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8.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D:\DA - Projects\Excel Projects\Excel Portfolio Projects\"/>
    </mc:Choice>
  </mc:AlternateContent>
  <xr:revisionPtr revIDLastSave="0" documentId="13_ncr:1_{1C18DF86-8063-43AB-B116-D61545048786}" xr6:coauthVersionLast="47" xr6:coauthVersionMax="47" xr10:uidLastSave="{00000000-0000-0000-0000-000000000000}"/>
  <bookViews>
    <workbookView xWindow="-108" yWindow="-108" windowWidth="23256" windowHeight="12456" tabRatio="722" firstSheet="3" activeTab="3" xr2:uid="{00000000-000D-0000-FFFF-FFFF00000000}"/>
  </bookViews>
  <sheets>
    <sheet name="Sheet12" sheetId="2" state="hidden" r:id="rId1"/>
    <sheet name="Monthly Goals" sheetId="3" state="hidden" r:id="rId2"/>
    <sheet name="Weekly Goals" sheetId="4" state="hidden" r:id="rId3"/>
    <sheet name="Dashboard_1" sheetId="19" r:id="rId4"/>
    <sheet name="Trend Analysis" sheetId="23" r:id="rId5"/>
    <sheet name="Sales Data" sheetId="5" state="hidden" r:id="rId6"/>
    <sheet name="Sales Table" sheetId="17" state="hidden" r:id="rId7"/>
    <sheet name="Monthly Achievement" sheetId="18" state="hidden" r:id="rId8"/>
    <sheet name="Top 10 Courses" sheetId="20" state="hidden" r:id="rId9"/>
    <sheet name="Category wise Sales" sheetId="21" state="hidden" r:id="rId10"/>
    <sheet name="Top Lead Sources" sheetId="22" state="hidden" r:id="rId11"/>
    <sheet name="Monthly Trend" sheetId="24" state="hidden" r:id="rId12"/>
    <sheet name="Quarterly Trend" sheetId="25" state="hidden" r:id="rId13"/>
    <sheet name="Top Courses By tickets" sheetId="28" state="hidden" r:id="rId14"/>
    <sheet name="Top Courses By Revenue" sheetId="30" state="hidden" r:id="rId15"/>
    <sheet name="Yearly Trend" sheetId="29" state="hidden" r:id="rId16"/>
    <sheet name="QuerySheet" sheetId="7" state="hidden" r:id="rId17"/>
    <sheet name="CBAP" sheetId="8" state="hidden" r:id="rId18"/>
    <sheet name="CSM" sheetId="9" state="hidden" r:id="rId19"/>
    <sheet name="CSPO" sheetId="10" state="hidden" r:id="rId20"/>
    <sheet name="ASM" sheetId="11" state="hidden" r:id="rId21"/>
    <sheet name="PMI-ACP" sheetId="12" state="hidden" r:id="rId22"/>
    <sheet name="PG Agile" sheetId="13" state="hidden" r:id="rId23"/>
    <sheet name="A-CSM" sheetId="14" state="hidden" r:id="rId24"/>
    <sheet name="Pivot Table 8" sheetId="15" state="hidden" r:id="rId25"/>
    <sheet name="SAFe Data" sheetId="16" state="hidden" r:id="rId26"/>
  </sheets>
  <definedNames>
    <definedName name="_xlnm._FilterDatabase" localSheetId="5" hidden="1">'Sales Data'!$A$1:$R$1985</definedName>
    <definedName name="_xlnm._FilterDatabase" localSheetId="6" hidden="1">'Sales Table'!$A$1:$Q$1746</definedName>
    <definedName name="Slicer_Category">#N/A</definedName>
    <definedName name="Slicer_Category1">#N/A</definedName>
    <definedName name="Slicer_Month">#N/A</definedName>
    <definedName name="Slicer_Year">#N/A</definedName>
  </definedNames>
  <calcPr calcId="191029"/>
  <pivotCaches>
    <pivotCache cacheId="0"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443" i="17" l="1"/>
  <c r="P1442" i="17"/>
  <c r="P1441" i="17"/>
  <c r="P1440" i="17"/>
  <c r="P1439" i="17"/>
  <c r="P1438" i="17"/>
  <c r="P1437" i="17"/>
  <c r="P1436" i="17"/>
  <c r="P1435" i="17"/>
  <c r="P1434" i="17"/>
  <c r="P1433" i="17"/>
  <c r="P1432" i="17"/>
  <c r="P1431" i="17"/>
  <c r="P1430" i="17"/>
  <c r="P1429" i="17"/>
  <c r="P1428" i="17"/>
  <c r="P1427" i="17"/>
  <c r="P1426" i="17"/>
  <c r="P1425" i="17"/>
  <c r="P1424" i="17"/>
  <c r="P1423" i="17"/>
  <c r="P1422" i="17"/>
  <c r="P1421" i="17"/>
  <c r="P1420" i="17"/>
  <c r="P1419" i="17"/>
  <c r="P1418" i="17"/>
  <c r="P1417" i="17"/>
  <c r="P1416" i="17"/>
  <c r="P1415" i="17"/>
  <c r="P1414" i="17"/>
  <c r="P1413" i="17"/>
  <c r="P1412" i="17"/>
  <c r="P1411" i="17"/>
  <c r="P1410" i="17"/>
  <c r="P1409" i="17"/>
  <c r="P1408" i="17"/>
  <c r="P1407" i="17"/>
  <c r="P1406" i="17"/>
  <c r="P1405" i="17"/>
  <c r="P1404" i="17"/>
  <c r="P1403" i="17"/>
  <c r="P1402" i="17"/>
  <c r="P1401" i="17"/>
  <c r="P1400" i="17"/>
  <c r="P1399" i="17"/>
  <c r="P1398" i="17"/>
  <c r="P1397" i="17"/>
  <c r="P1396" i="17"/>
  <c r="P1395" i="17"/>
  <c r="P1394" i="17"/>
  <c r="P1393" i="17"/>
  <c r="P1392" i="17"/>
  <c r="P1391" i="17"/>
  <c r="P1390" i="17"/>
  <c r="P1389" i="17"/>
  <c r="P1388" i="17"/>
  <c r="P1387" i="17"/>
  <c r="P1386" i="17"/>
  <c r="P1385" i="17"/>
  <c r="P1384" i="17"/>
  <c r="P1383" i="17"/>
  <c r="P1382" i="17"/>
  <c r="P1381" i="17"/>
  <c r="P1380" i="17"/>
  <c r="P1379" i="17"/>
  <c r="P1378" i="17"/>
  <c r="P1377" i="17"/>
  <c r="P1376" i="17"/>
  <c r="P1375" i="17"/>
  <c r="P1374" i="17"/>
  <c r="P1373" i="17"/>
  <c r="P1372" i="17"/>
  <c r="P1371" i="17"/>
  <c r="P1370" i="17"/>
  <c r="P1369" i="17"/>
  <c r="P1368" i="17"/>
  <c r="P1367" i="17"/>
  <c r="P1366" i="17"/>
  <c r="P1365" i="17"/>
  <c r="P1364" i="17"/>
  <c r="P1363" i="17"/>
  <c r="P1362" i="17"/>
  <c r="P1361" i="17"/>
  <c r="P1360" i="17"/>
  <c r="P1359" i="17"/>
  <c r="P1358" i="17"/>
  <c r="P1357" i="17"/>
  <c r="P1356" i="17"/>
  <c r="P1355" i="17"/>
  <c r="P1354" i="17"/>
  <c r="P1353" i="17"/>
  <c r="P1352" i="17"/>
  <c r="P1351" i="17"/>
  <c r="P1350" i="17"/>
  <c r="P1349" i="17"/>
  <c r="P1348" i="17"/>
  <c r="P1347" i="17"/>
  <c r="P1346" i="17"/>
  <c r="P1345" i="17"/>
  <c r="P1344" i="17"/>
  <c r="P1343" i="17"/>
  <c r="P1342" i="17"/>
  <c r="P1341" i="17"/>
  <c r="P1340" i="17"/>
  <c r="P1339" i="17"/>
  <c r="P1338" i="17"/>
  <c r="P1337" i="17"/>
  <c r="P1336" i="17"/>
  <c r="P1335" i="17"/>
  <c r="P1334" i="17"/>
  <c r="P1333" i="17"/>
  <c r="P1332" i="17"/>
  <c r="P1331" i="17"/>
  <c r="P1330" i="17"/>
  <c r="P1329" i="17"/>
  <c r="P1328" i="17"/>
  <c r="P1327" i="17"/>
  <c r="P1326" i="17"/>
  <c r="P1325" i="17"/>
  <c r="P1324" i="17"/>
  <c r="P1323" i="17"/>
  <c r="P1322" i="17"/>
  <c r="P1321" i="17"/>
  <c r="P1320" i="17"/>
  <c r="P1319" i="17"/>
  <c r="P1318" i="17"/>
  <c r="P1317" i="17"/>
  <c r="P1316" i="17"/>
  <c r="P1315" i="17"/>
  <c r="P1314" i="17"/>
  <c r="P1313" i="17"/>
  <c r="P1312" i="17"/>
  <c r="P1311" i="17"/>
  <c r="P1310" i="17"/>
  <c r="P1309" i="17"/>
  <c r="P1308" i="17"/>
  <c r="P1307" i="17"/>
  <c r="P1306" i="17"/>
  <c r="P1305" i="17"/>
  <c r="P1304" i="17"/>
  <c r="P1303" i="17"/>
  <c r="P1302" i="17"/>
  <c r="P1301" i="17"/>
  <c r="P1300" i="17"/>
  <c r="P1299" i="17"/>
  <c r="P1298" i="17"/>
  <c r="P1297" i="17"/>
  <c r="P1296" i="17"/>
  <c r="P1295" i="17"/>
  <c r="P1294" i="17"/>
  <c r="P1293" i="17"/>
  <c r="P1292" i="17"/>
  <c r="P1291" i="17"/>
  <c r="P1290" i="17"/>
  <c r="P1289" i="17"/>
  <c r="P1288" i="17"/>
  <c r="P1287" i="17"/>
  <c r="P1286" i="17"/>
  <c r="P1285" i="17"/>
  <c r="P1284" i="17"/>
  <c r="P1283" i="17"/>
  <c r="P1282" i="17"/>
  <c r="P1281" i="17"/>
  <c r="P1280" i="17"/>
  <c r="P1279" i="17"/>
  <c r="P1278" i="17"/>
  <c r="P1277" i="17"/>
  <c r="P1276" i="17"/>
  <c r="P1275" i="17"/>
  <c r="P1274" i="17"/>
  <c r="P1273" i="17"/>
  <c r="P1272" i="17"/>
  <c r="P1271" i="17"/>
  <c r="P1270" i="17"/>
  <c r="P1269" i="17"/>
  <c r="P1268" i="17"/>
  <c r="P1267" i="17"/>
  <c r="P1266" i="17"/>
  <c r="P1265" i="17"/>
  <c r="P1264" i="17"/>
  <c r="P1263" i="17"/>
  <c r="P1262" i="17"/>
  <c r="P1261" i="17"/>
  <c r="P1260" i="17"/>
  <c r="P1259" i="17"/>
  <c r="P1258" i="17"/>
  <c r="P1257" i="17"/>
  <c r="P1256" i="17"/>
  <c r="P1255" i="17"/>
  <c r="P1254" i="17"/>
  <c r="P1253" i="17"/>
  <c r="P1252" i="17"/>
  <c r="P1251" i="17"/>
  <c r="P1250" i="17"/>
  <c r="P1249" i="17"/>
  <c r="P1248" i="17"/>
  <c r="P1247" i="17"/>
  <c r="P1246" i="17"/>
  <c r="P1245" i="17"/>
  <c r="P1244" i="17"/>
  <c r="P1243" i="17"/>
  <c r="P1242" i="17"/>
  <c r="P1241" i="17"/>
  <c r="P1240" i="17"/>
  <c r="P1239" i="17"/>
  <c r="P1238" i="17"/>
  <c r="P1237" i="17"/>
  <c r="P1236" i="17"/>
  <c r="P1235" i="17"/>
  <c r="P1234" i="17"/>
  <c r="P1233" i="17"/>
  <c r="P1232" i="17"/>
  <c r="P1231" i="17"/>
  <c r="P1230" i="17"/>
  <c r="P1229" i="17"/>
  <c r="P1228" i="17"/>
  <c r="P1227" i="17"/>
  <c r="P1226" i="17"/>
  <c r="P1225" i="17"/>
  <c r="P1224" i="17"/>
  <c r="P1223" i="17"/>
  <c r="P1222" i="17"/>
  <c r="P1221" i="17"/>
  <c r="P1220" i="17"/>
  <c r="P1219" i="17"/>
  <c r="P1218" i="17"/>
  <c r="P1217" i="17"/>
  <c r="P1216" i="17"/>
  <c r="P1215" i="17"/>
  <c r="P1214" i="17"/>
  <c r="P1213" i="17"/>
  <c r="P1212" i="17"/>
  <c r="P1211" i="17"/>
  <c r="P1210" i="17"/>
  <c r="P1209" i="17"/>
  <c r="P1208" i="17"/>
  <c r="P1207" i="17"/>
  <c r="P1206" i="17"/>
  <c r="P1205" i="17"/>
  <c r="P1204" i="17"/>
  <c r="P1203" i="17"/>
  <c r="P1202" i="17"/>
  <c r="P1201" i="17"/>
  <c r="P1200" i="17"/>
  <c r="P1199" i="17"/>
  <c r="P1198" i="17"/>
  <c r="P1197" i="17"/>
  <c r="P1196" i="17"/>
  <c r="P1195" i="17"/>
  <c r="P1194" i="17"/>
  <c r="P1193" i="17"/>
  <c r="P1192" i="17"/>
  <c r="P1191" i="17"/>
  <c r="P1190" i="17"/>
  <c r="P1189" i="17"/>
  <c r="P1188" i="17"/>
  <c r="P1187" i="17"/>
  <c r="P1186" i="17"/>
  <c r="P1185" i="17"/>
  <c r="P1184" i="17"/>
  <c r="P1183" i="17"/>
  <c r="P1182" i="17"/>
  <c r="P1181" i="17"/>
  <c r="P1180" i="17"/>
  <c r="P1179" i="17"/>
  <c r="P1178" i="17"/>
  <c r="P1177" i="17"/>
  <c r="P1176" i="17"/>
  <c r="P1175" i="17"/>
  <c r="P1174" i="17"/>
  <c r="P1173" i="17"/>
  <c r="P1172" i="17"/>
  <c r="P1171" i="17"/>
  <c r="P1170" i="17"/>
  <c r="P1169" i="17"/>
  <c r="P1168" i="17"/>
  <c r="P1167" i="17"/>
  <c r="P1166" i="17"/>
  <c r="P1165" i="17"/>
  <c r="P1164" i="17"/>
  <c r="P1163" i="17"/>
  <c r="P1162" i="17"/>
  <c r="P1161" i="17"/>
  <c r="P1160" i="17"/>
  <c r="P1159" i="17"/>
  <c r="P1158" i="17"/>
  <c r="P1157" i="17"/>
  <c r="P1156" i="17"/>
  <c r="P1155" i="17"/>
  <c r="P1154" i="17"/>
  <c r="P1153" i="17"/>
  <c r="P1152" i="17"/>
  <c r="P1151" i="17"/>
  <c r="P1150" i="17"/>
  <c r="P1149" i="17"/>
  <c r="P1148" i="17"/>
  <c r="P1147" i="17"/>
  <c r="P1146" i="17"/>
  <c r="P1145" i="17"/>
  <c r="P1144" i="17"/>
  <c r="P1143" i="17"/>
  <c r="P1142" i="17"/>
  <c r="P1141" i="17"/>
  <c r="P1140" i="17"/>
  <c r="P1139" i="17"/>
  <c r="P1138" i="17"/>
  <c r="P1137" i="17"/>
  <c r="P1136" i="17"/>
  <c r="P1135" i="17"/>
  <c r="P1134" i="17"/>
  <c r="P1133" i="17"/>
  <c r="P1132" i="17"/>
  <c r="P1131" i="17"/>
  <c r="P1130" i="17"/>
  <c r="P1129" i="17"/>
  <c r="P1128" i="17"/>
  <c r="P1127" i="17"/>
  <c r="P1126" i="17"/>
  <c r="P1125" i="17"/>
  <c r="P1124" i="17"/>
  <c r="P1123" i="17"/>
  <c r="P1122" i="17"/>
  <c r="P1121" i="17"/>
  <c r="P1120" i="17"/>
  <c r="P1119" i="17"/>
  <c r="P1118" i="17"/>
  <c r="P1117" i="17"/>
  <c r="P1116" i="17"/>
  <c r="P1115" i="17"/>
  <c r="P1114" i="17"/>
  <c r="P1113" i="17"/>
  <c r="P1112" i="17"/>
  <c r="P1111" i="17"/>
  <c r="P1110" i="17"/>
  <c r="P1109" i="17"/>
  <c r="P1108" i="17"/>
  <c r="P1107" i="17"/>
  <c r="P1106" i="17"/>
  <c r="P1105" i="17"/>
  <c r="P1104" i="17"/>
  <c r="P1103" i="17"/>
  <c r="P1102" i="17"/>
  <c r="P1101" i="17"/>
  <c r="P1100" i="17"/>
  <c r="P1099" i="17"/>
  <c r="P1098" i="17"/>
  <c r="P1097" i="17"/>
  <c r="P1096" i="17"/>
  <c r="P1095" i="17"/>
  <c r="P1094" i="17"/>
  <c r="P1093" i="17"/>
  <c r="P1092" i="17"/>
  <c r="P1091" i="17"/>
  <c r="P1090" i="17"/>
  <c r="P1089" i="17"/>
  <c r="P1088" i="17"/>
  <c r="P1087" i="17"/>
  <c r="P1086" i="17"/>
  <c r="P1085" i="17"/>
  <c r="P1084" i="17"/>
  <c r="P1083" i="17"/>
  <c r="P1082" i="17"/>
  <c r="P1081" i="17"/>
  <c r="P1080" i="17"/>
  <c r="P1079" i="17"/>
  <c r="P1078" i="17"/>
  <c r="P1077" i="17"/>
  <c r="P1076" i="17"/>
  <c r="P1075" i="17"/>
  <c r="P1074" i="17"/>
  <c r="P1073" i="17"/>
  <c r="P1072" i="17"/>
  <c r="P1071" i="17"/>
  <c r="P1070" i="17"/>
  <c r="P1069" i="17"/>
  <c r="P1068" i="17"/>
  <c r="P1067" i="17"/>
  <c r="P1066" i="17"/>
  <c r="P1065" i="17"/>
  <c r="P1064" i="17"/>
  <c r="P1063" i="17"/>
  <c r="P1062" i="17"/>
  <c r="P1061" i="17"/>
  <c r="P1060" i="17"/>
  <c r="P1059" i="17"/>
  <c r="P1058" i="17"/>
  <c r="P1057" i="17"/>
  <c r="P1056" i="17"/>
  <c r="P1055" i="17"/>
  <c r="P1054" i="17"/>
  <c r="P1053" i="17"/>
  <c r="P1052" i="17"/>
  <c r="P1051" i="17"/>
  <c r="P1050" i="17"/>
  <c r="P1049" i="17"/>
  <c r="P1048" i="17"/>
  <c r="P1047" i="17"/>
  <c r="P1046" i="17"/>
  <c r="P1045" i="17"/>
  <c r="P1044" i="17"/>
  <c r="P1043" i="17"/>
  <c r="P1042" i="17"/>
  <c r="P1041" i="17"/>
  <c r="P1040" i="17"/>
  <c r="P1039" i="17"/>
  <c r="P1038" i="17"/>
  <c r="P1037" i="17"/>
  <c r="P1036" i="17"/>
  <c r="P1035" i="17"/>
  <c r="P1034" i="17"/>
  <c r="P1033" i="17"/>
  <c r="P1032" i="17"/>
  <c r="P1031" i="17"/>
  <c r="P1030" i="17"/>
  <c r="P1029" i="17"/>
  <c r="P1028" i="17"/>
  <c r="P1027" i="17"/>
  <c r="P1026" i="17"/>
  <c r="P1025" i="17"/>
  <c r="P1024" i="17"/>
  <c r="P1023" i="17"/>
  <c r="P1022" i="17"/>
  <c r="P1021" i="17"/>
  <c r="P1020" i="17"/>
  <c r="P1019" i="17"/>
  <c r="P1018" i="17"/>
  <c r="P1017" i="17"/>
  <c r="P1016" i="17"/>
  <c r="P1015" i="17"/>
  <c r="P1014" i="17"/>
  <c r="P1013" i="17"/>
  <c r="P1012" i="17"/>
  <c r="P1011" i="17"/>
  <c r="P1010" i="17"/>
  <c r="P1009" i="17"/>
  <c r="P1008" i="17"/>
  <c r="P1007" i="17"/>
  <c r="P1006" i="17"/>
  <c r="P1005" i="17"/>
  <c r="P1004" i="17"/>
  <c r="P1003" i="17"/>
  <c r="P1002" i="17"/>
  <c r="P1001" i="17"/>
  <c r="P1000" i="17"/>
  <c r="P999" i="17"/>
  <c r="P998" i="17"/>
  <c r="P997" i="17"/>
  <c r="P996" i="17"/>
  <c r="P995" i="17"/>
  <c r="P994" i="17"/>
  <c r="P993" i="17"/>
  <c r="P992" i="17"/>
  <c r="P991" i="17"/>
  <c r="P990" i="17"/>
  <c r="P989" i="17"/>
  <c r="P988" i="17"/>
  <c r="P987" i="17"/>
  <c r="P986" i="17"/>
  <c r="P985" i="17"/>
  <c r="P984" i="17"/>
  <c r="P983" i="17"/>
  <c r="P982" i="17"/>
  <c r="P981" i="17"/>
  <c r="P980" i="17"/>
  <c r="P979" i="17"/>
  <c r="P978" i="17"/>
  <c r="P977" i="17"/>
  <c r="P976" i="17"/>
  <c r="P975" i="17"/>
  <c r="P974" i="17"/>
  <c r="P973" i="17"/>
  <c r="P972" i="17"/>
  <c r="P971" i="17"/>
  <c r="P970" i="17"/>
  <c r="P969" i="17"/>
  <c r="P968" i="17"/>
  <c r="P967" i="17"/>
  <c r="P966" i="17"/>
  <c r="P965" i="17"/>
  <c r="P964" i="17"/>
  <c r="P963" i="17"/>
  <c r="P962" i="17"/>
  <c r="P961" i="17"/>
  <c r="P960" i="17"/>
  <c r="P959" i="17"/>
  <c r="P958" i="17"/>
  <c r="P957" i="17"/>
  <c r="P956" i="17"/>
  <c r="P955" i="17"/>
  <c r="P954" i="17"/>
  <c r="P953" i="17"/>
  <c r="P952" i="17"/>
  <c r="P951" i="17"/>
  <c r="P950" i="17"/>
  <c r="P949" i="17"/>
  <c r="P948" i="17"/>
  <c r="P947" i="17"/>
  <c r="P946" i="17"/>
  <c r="P945" i="17"/>
  <c r="P944" i="17"/>
  <c r="P943" i="17"/>
  <c r="P942" i="17"/>
  <c r="P941" i="17"/>
  <c r="P940" i="17"/>
  <c r="P939" i="17"/>
  <c r="P938" i="17"/>
  <c r="P937" i="17"/>
  <c r="P936" i="17"/>
  <c r="P935" i="17"/>
  <c r="P934" i="17"/>
  <c r="P933" i="17"/>
  <c r="P932" i="17"/>
  <c r="P931" i="17"/>
  <c r="P930" i="17"/>
  <c r="P929" i="17"/>
  <c r="P928" i="17"/>
  <c r="P927" i="17"/>
  <c r="P926" i="17"/>
  <c r="P925" i="17"/>
  <c r="P924" i="17"/>
  <c r="P923" i="17"/>
  <c r="P922" i="17"/>
  <c r="P921" i="17"/>
  <c r="P920" i="17"/>
  <c r="P919" i="17"/>
  <c r="P918" i="17"/>
  <c r="P917" i="17"/>
  <c r="P916" i="17"/>
  <c r="P915" i="17"/>
  <c r="P914" i="17"/>
  <c r="P913" i="17"/>
  <c r="P912" i="17"/>
  <c r="P911" i="17"/>
  <c r="P910" i="17"/>
  <c r="P909" i="17"/>
  <c r="P908" i="17"/>
  <c r="P907" i="17"/>
  <c r="P906" i="17"/>
  <c r="P905" i="17"/>
  <c r="P904" i="17"/>
  <c r="P903" i="17"/>
  <c r="P902" i="17"/>
  <c r="P901" i="17"/>
  <c r="P900" i="17"/>
  <c r="P899" i="17"/>
  <c r="P898" i="17"/>
  <c r="P897" i="17"/>
  <c r="P896" i="17"/>
  <c r="P895" i="17"/>
  <c r="P894" i="17"/>
  <c r="P893" i="17"/>
  <c r="P892" i="17"/>
  <c r="P891" i="17"/>
  <c r="P890" i="17"/>
  <c r="P889" i="17"/>
  <c r="P888" i="17"/>
  <c r="P887" i="17"/>
  <c r="P886" i="17"/>
  <c r="P885" i="17"/>
  <c r="P884" i="17"/>
  <c r="P883" i="17"/>
  <c r="P882" i="17"/>
  <c r="P881" i="17"/>
  <c r="P880" i="17"/>
  <c r="P879" i="17"/>
  <c r="P878" i="17"/>
  <c r="P877" i="17"/>
  <c r="P876" i="17"/>
  <c r="P875" i="17"/>
  <c r="P874" i="17"/>
  <c r="P873" i="17"/>
  <c r="P872" i="17"/>
  <c r="P871" i="17"/>
  <c r="P870" i="17"/>
  <c r="P869" i="17"/>
  <c r="P868" i="17"/>
  <c r="P867" i="17"/>
  <c r="P866" i="17"/>
  <c r="P865" i="17"/>
  <c r="P864" i="17"/>
  <c r="P863" i="17"/>
  <c r="P862" i="17"/>
  <c r="P861" i="17"/>
  <c r="P860" i="17"/>
  <c r="P859" i="17"/>
  <c r="P858" i="17"/>
  <c r="P857" i="17"/>
  <c r="P856" i="17"/>
  <c r="P855" i="17"/>
  <c r="P854" i="17"/>
  <c r="P853" i="17"/>
  <c r="P852" i="17"/>
  <c r="P851" i="17"/>
  <c r="P850" i="17"/>
  <c r="P849" i="17"/>
  <c r="P848" i="17"/>
  <c r="P847" i="17"/>
  <c r="P846" i="17"/>
  <c r="P845" i="17"/>
  <c r="P844" i="17"/>
  <c r="P843" i="17"/>
  <c r="P842" i="17"/>
  <c r="P841" i="17"/>
  <c r="P840" i="17"/>
  <c r="P839" i="17"/>
  <c r="P838" i="17"/>
  <c r="P837" i="17"/>
  <c r="P836" i="17"/>
  <c r="P835" i="17"/>
  <c r="P834" i="17"/>
  <c r="P833" i="17"/>
  <c r="P832" i="17"/>
  <c r="P831" i="17"/>
  <c r="P830" i="17"/>
  <c r="P829" i="17"/>
  <c r="P828" i="17"/>
  <c r="P827" i="17"/>
  <c r="P826" i="17"/>
  <c r="P825" i="17"/>
  <c r="P824" i="17"/>
  <c r="P823" i="17"/>
  <c r="P822" i="17"/>
  <c r="P821" i="17"/>
  <c r="P820" i="17"/>
  <c r="P819" i="17"/>
  <c r="P818" i="17"/>
  <c r="P817" i="17"/>
  <c r="P816" i="17"/>
  <c r="P815" i="17"/>
  <c r="P814" i="17"/>
  <c r="P813" i="17"/>
  <c r="P812" i="17"/>
  <c r="P811" i="17"/>
  <c r="P810" i="17"/>
  <c r="P809" i="17"/>
  <c r="P808" i="17"/>
  <c r="P807" i="17"/>
  <c r="P806" i="17"/>
  <c r="P805" i="17"/>
  <c r="P804" i="17"/>
  <c r="P803" i="17"/>
  <c r="P802" i="17"/>
  <c r="P801" i="17"/>
  <c r="P800" i="17"/>
  <c r="P799" i="17"/>
  <c r="P798" i="17"/>
  <c r="P797" i="17"/>
  <c r="P796" i="17"/>
  <c r="P795" i="17"/>
  <c r="P794" i="17"/>
  <c r="P793" i="17"/>
  <c r="P792" i="17"/>
  <c r="P791" i="17"/>
  <c r="P790" i="17"/>
  <c r="P789" i="17"/>
  <c r="P788" i="17"/>
  <c r="P787" i="17"/>
  <c r="P786" i="17"/>
  <c r="P785" i="17"/>
  <c r="P784" i="17"/>
  <c r="P783" i="17"/>
  <c r="P782" i="17"/>
  <c r="P781" i="17"/>
  <c r="P780" i="17"/>
  <c r="P779" i="17"/>
  <c r="P778" i="17"/>
  <c r="P777" i="17"/>
  <c r="P776" i="17"/>
  <c r="P775" i="17"/>
  <c r="P774" i="17"/>
  <c r="P773" i="17"/>
  <c r="P772" i="17"/>
  <c r="P771" i="17"/>
  <c r="P770" i="17"/>
  <c r="P769" i="17"/>
  <c r="P768" i="17"/>
  <c r="P767" i="17"/>
  <c r="P766" i="17"/>
  <c r="P765" i="17"/>
  <c r="P764" i="17"/>
  <c r="P763" i="17"/>
  <c r="P762" i="17"/>
  <c r="P761" i="17"/>
  <c r="P760" i="17"/>
  <c r="P759" i="17"/>
  <c r="P758" i="17"/>
  <c r="P757" i="17"/>
  <c r="P756" i="17"/>
  <c r="P755" i="17"/>
  <c r="P754" i="17"/>
  <c r="P753" i="17"/>
  <c r="P752" i="17"/>
  <c r="P751" i="17"/>
  <c r="P750" i="17"/>
  <c r="P749" i="17"/>
  <c r="P748" i="17"/>
  <c r="P747" i="17"/>
  <c r="P746" i="17"/>
  <c r="P745" i="17"/>
  <c r="P744" i="17"/>
  <c r="P743" i="17"/>
  <c r="P742" i="17"/>
  <c r="P741" i="17"/>
  <c r="P740" i="17"/>
  <c r="P739" i="17"/>
  <c r="P738" i="17"/>
  <c r="P737" i="17"/>
  <c r="P736" i="17"/>
  <c r="P735" i="17"/>
  <c r="P734" i="17"/>
  <c r="P733" i="17"/>
  <c r="P732" i="17"/>
  <c r="P731" i="17"/>
  <c r="P730" i="17"/>
  <c r="P729" i="17"/>
  <c r="P728" i="17"/>
  <c r="P727" i="17"/>
  <c r="P726" i="17"/>
  <c r="P725" i="17"/>
  <c r="P724" i="17"/>
  <c r="P723" i="17"/>
  <c r="P722" i="17"/>
  <c r="P721" i="17"/>
  <c r="P720" i="17"/>
  <c r="P719" i="17"/>
  <c r="P718" i="17"/>
  <c r="P717" i="17"/>
  <c r="P716" i="17"/>
  <c r="P715" i="17"/>
  <c r="P714" i="17"/>
  <c r="P713" i="17"/>
  <c r="P712" i="17"/>
  <c r="P711" i="17"/>
  <c r="P710" i="17"/>
  <c r="P709" i="17"/>
  <c r="P708" i="17"/>
  <c r="P707" i="17"/>
  <c r="P706" i="17"/>
  <c r="P705" i="17"/>
  <c r="P704" i="17"/>
  <c r="P703" i="17"/>
  <c r="P702" i="17"/>
  <c r="P701" i="17"/>
  <c r="P700" i="17"/>
  <c r="P699" i="17"/>
  <c r="P698" i="17"/>
  <c r="P697" i="17"/>
  <c r="P696" i="17"/>
  <c r="P695" i="17"/>
  <c r="P694" i="17"/>
  <c r="P693" i="17"/>
  <c r="P692" i="17"/>
  <c r="P691" i="17"/>
  <c r="P690" i="17"/>
  <c r="P689" i="17"/>
  <c r="P688" i="17"/>
  <c r="P687" i="17"/>
  <c r="P686" i="17"/>
  <c r="P685" i="17"/>
  <c r="P684" i="17"/>
  <c r="P683" i="17"/>
  <c r="P682" i="17"/>
  <c r="P681" i="17"/>
  <c r="P680" i="17"/>
  <c r="P679" i="17"/>
  <c r="P678" i="17"/>
  <c r="P677" i="17"/>
  <c r="P676" i="17"/>
  <c r="P675" i="17"/>
  <c r="P674" i="17"/>
  <c r="P673" i="17"/>
  <c r="P672" i="17"/>
  <c r="P671" i="17"/>
  <c r="P670" i="17"/>
  <c r="P669" i="17"/>
  <c r="P668" i="17"/>
  <c r="P667" i="17"/>
  <c r="P666" i="17"/>
  <c r="P665" i="17"/>
  <c r="P664" i="17"/>
  <c r="P663" i="17"/>
  <c r="P662" i="17"/>
  <c r="P661" i="17"/>
  <c r="P660" i="17"/>
  <c r="P659" i="17"/>
  <c r="P658" i="17"/>
  <c r="P657" i="17"/>
  <c r="P656" i="17"/>
  <c r="P655" i="17"/>
  <c r="P654" i="17"/>
  <c r="P653" i="17"/>
  <c r="P652" i="17"/>
  <c r="P651" i="17"/>
  <c r="P650" i="17"/>
  <c r="P649" i="17"/>
  <c r="P648" i="17"/>
  <c r="P647" i="17"/>
  <c r="P646" i="17"/>
  <c r="P645" i="17"/>
  <c r="P644" i="17"/>
  <c r="P643" i="17"/>
  <c r="P642" i="17"/>
  <c r="P641" i="17"/>
  <c r="P640" i="17"/>
  <c r="P639" i="17"/>
  <c r="P638" i="17"/>
  <c r="P637" i="17"/>
  <c r="P636" i="17"/>
  <c r="P635" i="17"/>
  <c r="P634" i="17"/>
  <c r="P633" i="17"/>
  <c r="P632" i="17"/>
  <c r="P631" i="17"/>
  <c r="P630" i="17"/>
  <c r="P629" i="17"/>
  <c r="P628" i="17"/>
  <c r="P627" i="17"/>
  <c r="P626" i="17"/>
  <c r="P625" i="17"/>
  <c r="P624" i="17"/>
  <c r="P623" i="17"/>
  <c r="P622" i="17"/>
  <c r="P621" i="17"/>
  <c r="P620" i="17"/>
  <c r="P619" i="17"/>
  <c r="P618" i="17"/>
  <c r="P617" i="17"/>
  <c r="P616" i="17"/>
  <c r="P615" i="17"/>
  <c r="P614" i="17"/>
  <c r="P613" i="17"/>
  <c r="P612" i="17"/>
  <c r="P611" i="17"/>
  <c r="P610" i="17"/>
  <c r="P609" i="17"/>
  <c r="P608" i="17"/>
  <c r="P607" i="17"/>
  <c r="P606" i="17"/>
  <c r="P605" i="17"/>
  <c r="P604" i="17"/>
  <c r="P603" i="17"/>
  <c r="P602" i="17"/>
  <c r="P601" i="17"/>
  <c r="P600" i="17"/>
  <c r="P599" i="17"/>
  <c r="P598" i="17"/>
  <c r="P597" i="17"/>
  <c r="P596" i="17"/>
  <c r="P595" i="17"/>
  <c r="P594" i="17"/>
  <c r="P593" i="17"/>
  <c r="P592" i="17"/>
  <c r="P591" i="17"/>
  <c r="P590" i="17"/>
  <c r="P589" i="17"/>
  <c r="P588" i="17"/>
  <c r="P587" i="17"/>
  <c r="P586" i="17"/>
  <c r="P585" i="17"/>
  <c r="P584" i="17"/>
  <c r="P583" i="17"/>
  <c r="P582" i="17"/>
  <c r="P581" i="17"/>
  <c r="P580" i="17"/>
  <c r="P579" i="17"/>
  <c r="P578" i="17"/>
  <c r="P577" i="17"/>
  <c r="P576" i="17"/>
  <c r="P575" i="17"/>
  <c r="P574" i="17"/>
  <c r="P573" i="17"/>
  <c r="P572" i="17"/>
  <c r="P571" i="17"/>
  <c r="P570" i="17"/>
  <c r="P569" i="17"/>
  <c r="P568" i="17"/>
  <c r="P567" i="17"/>
  <c r="P566" i="17"/>
  <c r="P565" i="17"/>
  <c r="P564" i="17"/>
  <c r="P563" i="17"/>
  <c r="P562" i="17"/>
  <c r="P561" i="17"/>
  <c r="P560" i="17"/>
  <c r="P559" i="17"/>
  <c r="P558" i="17"/>
  <c r="P557" i="17"/>
  <c r="P556" i="17"/>
  <c r="P555" i="17"/>
  <c r="P554" i="17"/>
  <c r="P553" i="17"/>
  <c r="P552" i="17"/>
  <c r="P551" i="17"/>
  <c r="P550" i="17"/>
  <c r="P549" i="17"/>
  <c r="P548" i="17"/>
  <c r="P547" i="17"/>
  <c r="P546" i="17"/>
  <c r="P545" i="17"/>
  <c r="P544" i="17"/>
  <c r="P543" i="17"/>
  <c r="P542" i="17"/>
  <c r="P541" i="17"/>
  <c r="P540" i="17"/>
  <c r="P539" i="17"/>
  <c r="P538" i="17"/>
  <c r="P537" i="17"/>
  <c r="P536" i="17"/>
  <c r="P535" i="17"/>
  <c r="P534" i="17"/>
  <c r="P533" i="17"/>
  <c r="P532" i="17"/>
  <c r="P531" i="17"/>
  <c r="P530" i="17"/>
  <c r="P529" i="17"/>
  <c r="P528" i="17"/>
  <c r="P527" i="17"/>
  <c r="P526" i="17"/>
  <c r="P525" i="17"/>
  <c r="P524" i="17"/>
  <c r="P523" i="17"/>
  <c r="P522" i="17"/>
  <c r="P521" i="17"/>
  <c r="P520" i="17"/>
  <c r="P519" i="17"/>
  <c r="P518" i="17"/>
  <c r="P517" i="17"/>
  <c r="P516" i="17"/>
  <c r="P515" i="17"/>
  <c r="P514" i="17"/>
  <c r="P513" i="17"/>
  <c r="P512" i="17"/>
  <c r="P511" i="17"/>
  <c r="P510" i="17"/>
  <c r="P509" i="17"/>
  <c r="P508" i="17"/>
  <c r="P507" i="17"/>
  <c r="P506" i="17"/>
  <c r="P505" i="17"/>
  <c r="P504" i="17"/>
  <c r="P503" i="17"/>
  <c r="P502" i="17"/>
  <c r="P501" i="17"/>
  <c r="P500" i="17"/>
  <c r="P499" i="17"/>
  <c r="P498" i="17"/>
  <c r="P497" i="17"/>
  <c r="P496" i="17"/>
  <c r="P495" i="17"/>
  <c r="P494" i="17"/>
  <c r="P493" i="17"/>
  <c r="P492" i="17"/>
  <c r="P491" i="17"/>
  <c r="P490" i="17"/>
  <c r="P489" i="17"/>
  <c r="P488" i="17"/>
  <c r="P487" i="17"/>
  <c r="P486" i="17"/>
  <c r="P485" i="17"/>
  <c r="P484" i="17"/>
  <c r="P483" i="17"/>
  <c r="P482" i="17"/>
  <c r="P481" i="17"/>
  <c r="P480" i="17"/>
  <c r="P479" i="17"/>
  <c r="P478" i="17"/>
  <c r="P477" i="17"/>
  <c r="P476" i="17"/>
  <c r="P475" i="17"/>
  <c r="P474" i="17"/>
  <c r="P473" i="17"/>
  <c r="P472" i="17"/>
  <c r="P471" i="17"/>
  <c r="P470" i="17"/>
  <c r="P469" i="17"/>
  <c r="P468" i="17"/>
  <c r="P467" i="17"/>
  <c r="P466" i="17"/>
  <c r="P465" i="17"/>
  <c r="P464" i="17"/>
  <c r="P463" i="17"/>
  <c r="P462" i="17"/>
  <c r="P461" i="17"/>
  <c r="P460" i="17"/>
  <c r="P459" i="17"/>
  <c r="P458" i="17"/>
  <c r="P457" i="17"/>
  <c r="P456" i="17"/>
  <c r="P455" i="17"/>
  <c r="P454" i="17"/>
  <c r="P453" i="17"/>
  <c r="P452" i="17"/>
  <c r="P451" i="17"/>
  <c r="P450" i="17"/>
  <c r="P449" i="17"/>
  <c r="P448" i="17"/>
  <c r="P447" i="17"/>
  <c r="P446" i="17"/>
  <c r="P445" i="17"/>
  <c r="P444" i="17"/>
  <c r="P443" i="17"/>
  <c r="P442" i="17"/>
  <c r="P441" i="17"/>
  <c r="P440" i="17"/>
  <c r="P439" i="17"/>
  <c r="P438" i="17"/>
  <c r="P437" i="17"/>
  <c r="P436" i="17"/>
  <c r="P435" i="17"/>
  <c r="P434" i="17"/>
  <c r="P433" i="17"/>
  <c r="P432" i="17"/>
  <c r="P431" i="17"/>
  <c r="P430" i="17"/>
  <c r="P429" i="17"/>
  <c r="P428" i="17"/>
  <c r="P427" i="17"/>
  <c r="P426" i="17"/>
  <c r="P425" i="17"/>
  <c r="P424" i="17"/>
  <c r="P423" i="17"/>
  <c r="P422" i="17"/>
  <c r="P421" i="17"/>
  <c r="P420" i="17"/>
  <c r="P419" i="17"/>
  <c r="P418" i="17"/>
  <c r="P417" i="17"/>
  <c r="P416" i="17"/>
  <c r="P415" i="17"/>
  <c r="P414" i="17"/>
  <c r="P413" i="17"/>
  <c r="P412" i="17"/>
  <c r="P411" i="17"/>
  <c r="P410" i="17"/>
  <c r="P409" i="17"/>
  <c r="P408" i="17"/>
  <c r="P407" i="17"/>
  <c r="P406" i="17"/>
  <c r="P405" i="17"/>
  <c r="P404" i="17"/>
  <c r="P403" i="17"/>
  <c r="P402" i="17"/>
  <c r="P401" i="17"/>
  <c r="P400" i="17"/>
  <c r="P399" i="17"/>
  <c r="P398" i="17"/>
  <c r="P397" i="17"/>
  <c r="P396" i="17"/>
  <c r="P395" i="17"/>
  <c r="P394" i="17"/>
  <c r="P393" i="17"/>
  <c r="P392" i="17"/>
  <c r="P391" i="17"/>
  <c r="P390" i="17"/>
  <c r="P389" i="17"/>
  <c r="P388" i="17"/>
  <c r="P387" i="17"/>
  <c r="P386" i="17"/>
  <c r="P385" i="17"/>
  <c r="P384" i="17"/>
  <c r="P383" i="17"/>
  <c r="P382" i="17"/>
  <c r="P381" i="17"/>
  <c r="P380" i="17"/>
  <c r="P379" i="17"/>
  <c r="P378" i="17"/>
  <c r="P377" i="17"/>
  <c r="P376" i="17"/>
  <c r="P375" i="17"/>
  <c r="P374" i="17"/>
  <c r="P373" i="17"/>
  <c r="P372" i="17"/>
  <c r="P371" i="17"/>
  <c r="P370" i="17"/>
  <c r="P369" i="17"/>
  <c r="P368" i="17"/>
  <c r="P367" i="17"/>
  <c r="P366" i="17"/>
  <c r="P365" i="17"/>
  <c r="P364" i="17"/>
  <c r="P363" i="17"/>
  <c r="P362" i="17"/>
  <c r="P361" i="17"/>
  <c r="P360" i="17"/>
  <c r="P359" i="17"/>
  <c r="P358" i="17"/>
  <c r="P357" i="17"/>
  <c r="P356" i="17"/>
  <c r="P355" i="17"/>
  <c r="P354" i="17"/>
  <c r="P353" i="17"/>
  <c r="P352" i="17"/>
  <c r="P351" i="17"/>
  <c r="P350" i="17"/>
  <c r="P349" i="17"/>
  <c r="P348" i="17"/>
  <c r="P347" i="17"/>
  <c r="P346" i="17"/>
  <c r="P345" i="17"/>
  <c r="P344" i="17"/>
  <c r="P343" i="17"/>
  <c r="P342" i="17"/>
  <c r="P341" i="17"/>
  <c r="P340" i="17"/>
  <c r="P339" i="17"/>
  <c r="P338" i="17"/>
  <c r="P337" i="17"/>
  <c r="P336" i="17"/>
  <c r="P335" i="17"/>
  <c r="P334" i="17"/>
  <c r="P333" i="17"/>
  <c r="P332" i="17"/>
  <c r="P331" i="17"/>
  <c r="P330" i="17"/>
  <c r="P329" i="17"/>
  <c r="P328" i="17"/>
  <c r="P327" i="17"/>
  <c r="P326" i="17"/>
  <c r="P325" i="17"/>
  <c r="P324" i="17"/>
  <c r="P323" i="17"/>
  <c r="P322" i="17"/>
  <c r="P321" i="17"/>
  <c r="P320" i="17"/>
  <c r="P319" i="17"/>
  <c r="P318" i="17"/>
  <c r="P317" i="17"/>
  <c r="P316" i="17"/>
  <c r="P315" i="17"/>
  <c r="P314" i="17"/>
  <c r="P313" i="17"/>
  <c r="P312" i="17"/>
  <c r="P311" i="17"/>
  <c r="P310" i="17"/>
  <c r="P309" i="17"/>
  <c r="P308" i="17"/>
  <c r="P307" i="17"/>
  <c r="P306" i="17"/>
  <c r="P305" i="17"/>
  <c r="P304" i="17"/>
  <c r="P303" i="17"/>
  <c r="P302" i="17"/>
  <c r="P301" i="17"/>
  <c r="P300" i="17"/>
  <c r="P299" i="17"/>
  <c r="P298" i="17"/>
  <c r="P297" i="17"/>
  <c r="P296" i="17"/>
  <c r="P295" i="17"/>
  <c r="P294" i="17"/>
  <c r="P293" i="17"/>
  <c r="P292" i="17"/>
  <c r="P291" i="17"/>
  <c r="P290" i="17"/>
  <c r="P289" i="17"/>
  <c r="P288" i="17"/>
  <c r="P287" i="17"/>
  <c r="P286" i="17"/>
  <c r="P285" i="17"/>
  <c r="P284" i="17"/>
  <c r="P283" i="17"/>
  <c r="P282" i="17"/>
  <c r="P281" i="17"/>
  <c r="P280" i="17"/>
  <c r="P279" i="17"/>
  <c r="P278" i="17"/>
  <c r="P277" i="17"/>
  <c r="P276" i="17"/>
  <c r="P275" i="17"/>
  <c r="P274" i="17"/>
  <c r="P273" i="17"/>
  <c r="P272" i="17"/>
  <c r="P271" i="17"/>
  <c r="P270" i="17"/>
  <c r="P269" i="17"/>
  <c r="P268" i="17"/>
  <c r="P267" i="17"/>
  <c r="P266" i="17"/>
  <c r="P265" i="17"/>
  <c r="P264" i="17"/>
  <c r="P263" i="17"/>
  <c r="P262" i="17"/>
  <c r="P261" i="17"/>
  <c r="P260" i="17"/>
  <c r="P259" i="17"/>
  <c r="P258" i="17"/>
  <c r="P257" i="17"/>
  <c r="P256" i="17"/>
  <c r="P255" i="17"/>
  <c r="P254" i="17"/>
  <c r="P253" i="17"/>
  <c r="P252" i="17"/>
  <c r="P251" i="17"/>
  <c r="P250" i="17"/>
  <c r="P249" i="17"/>
  <c r="P248" i="17"/>
  <c r="P247" i="17"/>
  <c r="P246" i="17"/>
  <c r="P245" i="17"/>
  <c r="P244" i="17"/>
  <c r="P243" i="17"/>
  <c r="P242" i="17"/>
  <c r="P241" i="17"/>
  <c r="P240" i="17"/>
  <c r="P239" i="17"/>
  <c r="P238" i="17"/>
  <c r="P237" i="17"/>
  <c r="P236" i="17"/>
  <c r="P235" i="17"/>
  <c r="P234" i="17"/>
  <c r="P233" i="17"/>
  <c r="P232" i="17"/>
  <c r="P231" i="17"/>
  <c r="P230" i="17"/>
  <c r="P229" i="17"/>
  <c r="P228" i="17"/>
  <c r="P227" i="17"/>
  <c r="P226" i="17"/>
  <c r="P225" i="17"/>
  <c r="P224" i="17"/>
  <c r="P223" i="17"/>
  <c r="P222" i="17"/>
  <c r="P221" i="17"/>
  <c r="P220" i="17"/>
  <c r="P219" i="17"/>
  <c r="P218" i="17"/>
  <c r="P217" i="17"/>
  <c r="P216" i="17"/>
  <c r="P215" i="17"/>
  <c r="P214" i="17"/>
  <c r="P213" i="17"/>
  <c r="P212" i="17"/>
  <c r="P211" i="17"/>
  <c r="P210" i="17"/>
  <c r="P209" i="17"/>
  <c r="P208" i="17"/>
  <c r="P207" i="17"/>
  <c r="P206" i="17"/>
  <c r="P205" i="17"/>
  <c r="P204" i="17"/>
  <c r="P203" i="17"/>
  <c r="P202" i="17"/>
  <c r="P201" i="17"/>
  <c r="P200" i="17"/>
  <c r="P199" i="17"/>
  <c r="P198" i="17"/>
  <c r="P197" i="17"/>
  <c r="P196" i="17"/>
  <c r="P195" i="17"/>
  <c r="P194" i="17"/>
  <c r="P193" i="17"/>
  <c r="P192" i="17"/>
  <c r="P191" i="17"/>
  <c r="P190" i="17"/>
  <c r="P189" i="17"/>
  <c r="P188" i="17"/>
  <c r="P187" i="17"/>
  <c r="P186" i="17"/>
  <c r="P185" i="17"/>
  <c r="P184" i="17"/>
  <c r="P183" i="17"/>
  <c r="P182" i="17"/>
  <c r="P181" i="17"/>
  <c r="P180" i="17"/>
  <c r="P179" i="17"/>
  <c r="P178" i="17"/>
  <c r="P177" i="17"/>
  <c r="P176" i="17"/>
  <c r="P175" i="17"/>
  <c r="P174" i="17"/>
  <c r="P173" i="17"/>
  <c r="P172" i="17"/>
  <c r="P171" i="17"/>
  <c r="P170" i="17"/>
  <c r="P169" i="17"/>
  <c r="P168" i="17"/>
  <c r="P167" i="17"/>
  <c r="P166" i="17"/>
  <c r="P165" i="17"/>
  <c r="P164" i="17"/>
  <c r="P163" i="17"/>
  <c r="P162" i="17"/>
  <c r="P161" i="17"/>
  <c r="P160" i="17"/>
  <c r="P159" i="17"/>
  <c r="P158" i="17"/>
  <c r="P157" i="17"/>
  <c r="P156" i="17"/>
  <c r="P155" i="17"/>
  <c r="P154" i="17"/>
  <c r="P153" i="17"/>
  <c r="P152" i="17"/>
  <c r="P151" i="17"/>
  <c r="P150" i="17"/>
  <c r="P149" i="17"/>
  <c r="P148" i="17"/>
  <c r="P147" i="17"/>
  <c r="P146" i="17"/>
  <c r="P145" i="17"/>
  <c r="P144" i="17"/>
  <c r="P143" i="17"/>
  <c r="P142" i="17"/>
  <c r="P141" i="17"/>
  <c r="P140" i="17"/>
  <c r="P139" i="17"/>
  <c r="P138" i="17"/>
  <c r="P137" i="17"/>
  <c r="P136" i="17"/>
  <c r="P135" i="17"/>
  <c r="P134" i="17"/>
  <c r="P133" i="17"/>
  <c r="P132" i="17"/>
  <c r="P131" i="17"/>
  <c r="P130" i="17"/>
  <c r="P129" i="17"/>
  <c r="P128" i="17"/>
  <c r="P127" i="17"/>
  <c r="P126" i="17"/>
  <c r="P125" i="17"/>
  <c r="P124" i="17"/>
  <c r="P123" i="17"/>
  <c r="P122" i="17"/>
  <c r="P121" i="17"/>
  <c r="P120" i="17"/>
  <c r="P119" i="17"/>
  <c r="P118" i="17"/>
  <c r="P117" i="17"/>
  <c r="P116" i="17"/>
  <c r="P115" i="17"/>
  <c r="P114" i="17"/>
  <c r="P113" i="17"/>
  <c r="P112" i="17"/>
  <c r="P111" i="17"/>
  <c r="P110" i="17"/>
  <c r="P109" i="17"/>
  <c r="P108" i="17"/>
  <c r="P107" i="17"/>
  <c r="P106" i="17"/>
  <c r="P105" i="17"/>
  <c r="P104" i="17"/>
  <c r="P103" i="17"/>
  <c r="P102" i="17"/>
  <c r="P101" i="17"/>
  <c r="P100" i="17"/>
  <c r="P99" i="17"/>
  <c r="P98" i="17"/>
  <c r="P97" i="17"/>
  <c r="P96" i="17"/>
  <c r="P95" i="17"/>
  <c r="P94" i="17"/>
  <c r="P93" i="17"/>
  <c r="P92" i="17"/>
  <c r="P91" i="17"/>
  <c r="P90" i="17"/>
  <c r="P89" i="17"/>
  <c r="P88" i="17"/>
  <c r="P87" i="17"/>
  <c r="P86" i="17"/>
  <c r="P85" i="17"/>
  <c r="P84" i="17"/>
  <c r="P83" i="17"/>
  <c r="P82" i="17"/>
  <c r="P81" i="17"/>
  <c r="P80" i="17"/>
  <c r="P79" i="17"/>
  <c r="P78" i="17"/>
  <c r="P77" i="17"/>
  <c r="P76" i="17"/>
  <c r="P75" i="17"/>
  <c r="P74" i="17"/>
  <c r="P73" i="17"/>
  <c r="P72" i="17"/>
  <c r="P71" i="17"/>
  <c r="P70" i="17"/>
  <c r="P69" i="17"/>
  <c r="P68" i="17"/>
  <c r="P67" i="17"/>
  <c r="P66" i="17"/>
  <c r="P65" i="17"/>
  <c r="P64" i="17"/>
  <c r="P63" i="17"/>
  <c r="P62" i="17"/>
  <c r="P61" i="17"/>
  <c r="P60" i="17"/>
  <c r="P59" i="17"/>
  <c r="P58" i="17"/>
  <c r="P57" i="17"/>
  <c r="P56" i="17"/>
  <c r="P55" i="17"/>
  <c r="P54" i="17"/>
  <c r="P53" i="17"/>
  <c r="P52" i="17"/>
  <c r="P51" i="17"/>
  <c r="P50" i="17"/>
  <c r="P49" i="17"/>
  <c r="P48" i="17"/>
  <c r="P47" i="17"/>
  <c r="P46" i="17"/>
  <c r="P45" i="17"/>
  <c r="P44" i="17"/>
  <c r="P43" i="17"/>
  <c r="P42" i="17"/>
  <c r="P41" i="17"/>
  <c r="P40" i="17"/>
  <c r="P39" i="17"/>
  <c r="P38" i="17"/>
  <c r="P37" i="17"/>
  <c r="P36" i="17"/>
  <c r="P35" i="17"/>
  <c r="P34" i="17"/>
  <c r="P33" i="17"/>
  <c r="P32" i="17"/>
  <c r="P31" i="17"/>
  <c r="P30" i="17"/>
  <c r="P29" i="17"/>
  <c r="P28" i="17"/>
  <c r="P27" i="17"/>
  <c r="P26" i="17"/>
  <c r="P25" i="17"/>
  <c r="P24" i="17"/>
  <c r="P23" i="17"/>
  <c r="P22" i="17"/>
  <c r="P21" i="17"/>
  <c r="P20" i="17"/>
  <c r="P19" i="17"/>
  <c r="P18" i="17"/>
  <c r="P17" i="17"/>
  <c r="P16" i="17"/>
  <c r="P15" i="17"/>
  <c r="P14" i="17"/>
  <c r="P13" i="17"/>
  <c r="P12" i="17"/>
  <c r="P11" i="17"/>
  <c r="P10" i="17"/>
  <c r="P9" i="17"/>
  <c r="P8" i="17"/>
  <c r="P7" i="17"/>
  <c r="P6" i="17"/>
  <c r="P5" i="17"/>
  <c r="P4" i="17"/>
  <c r="P3" i="17"/>
  <c r="P2" i="17"/>
  <c r="Q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Q1002" i="17"/>
  <c r="Q1003" i="17"/>
  <c r="Q1004" i="17"/>
  <c r="Q1005" i="17"/>
  <c r="Q1006" i="17"/>
  <c r="Q1007" i="17"/>
  <c r="Q1008" i="17"/>
  <c r="Q1009" i="17"/>
  <c r="Q1010" i="17"/>
  <c r="Q1011" i="17"/>
  <c r="Q1012" i="17"/>
  <c r="Q1013" i="17"/>
  <c r="Q1014" i="17"/>
  <c r="Q1015" i="17"/>
  <c r="Q1016" i="17"/>
  <c r="Q1017" i="17"/>
  <c r="Q1018" i="17"/>
  <c r="Q1019" i="17"/>
  <c r="Q1020" i="17"/>
  <c r="Q1021" i="17"/>
  <c r="Q1022" i="17"/>
  <c r="Q1023" i="17"/>
  <c r="Q1024" i="17"/>
  <c r="Q1025" i="17"/>
  <c r="Q1026" i="17"/>
  <c r="Q1027" i="17"/>
  <c r="Q1028" i="17"/>
  <c r="Q1029" i="17"/>
  <c r="Q1030" i="17"/>
  <c r="Q1031" i="17"/>
  <c r="Q1032" i="17"/>
  <c r="Q1033" i="17"/>
  <c r="Q1034" i="17"/>
  <c r="Q1035" i="17"/>
  <c r="Q1036" i="17"/>
  <c r="Q1037" i="17"/>
  <c r="Q1038" i="17"/>
  <c r="Q1039" i="17"/>
  <c r="Q1040" i="17"/>
  <c r="Q1041" i="17"/>
  <c r="Q1042" i="17"/>
  <c r="Q1043" i="17"/>
  <c r="Q1044" i="17"/>
  <c r="Q1045" i="17"/>
  <c r="Q1046" i="17"/>
  <c r="Q1047" i="17"/>
  <c r="Q1048" i="17"/>
  <c r="Q1049" i="17"/>
  <c r="Q1050" i="17"/>
  <c r="Q1051" i="17"/>
  <c r="Q1052" i="17"/>
  <c r="Q1053" i="17"/>
  <c r="Q1054" i="17"/>
  <c r="Q1055" i="17"/>
  <c r="Q1056" i="17"/>
  <c r="Q1057" i="17"/>
  <c r="Q1058" i="17"/>
  <c r="Q1059" i="17"/>
  <c r="Q1060" i="17"/>
  <c r="Q1061" i="17"/>
  <c r="Q1062" i="17"/>
  <c r="Q1063" i="17"/>
  <c r="Q1064" i="17"/>
  <c r="Q1065" i="17"/>
  <c r="Q1066" i="17"/>
  <c r="Q1067" i="17"/>
  <c r="Q1068" i="17"/>
  <c r="Q1069" i="17"/>
  <c r="Q1070" i="17"/>
  <c r="Q1071" i="17"/>
  <c r="Q1072" i="17"/>
  <c r="Q1073" i="17"/>
  <c r="Q1074" i="17"/>
  <c r="Q1075" i="17"/>
  <c r="Q1076" i="17"/>
  <c r="Q1077" i="17"/>
  <c r="Q1078" i="17"/>
  <c r="Q1079" i="17"/>
  <c r="Q1080" i="17"/>
  <c r="Q1081" i="17"/>
  <c r="Q1082" i="17"/>
  <c r="Q1083" i="17"/>
  <c r="Q1084" i="17"/>
  <c r="Q1085" i="17"/>
  <c r="Q1086" i="17"/>
  <c r="Q1087" i="17"/>
  <c r="Q1088" i="17"/>
  <c r="Q1089" i="17"/>
  <c r="Q1090" i="17"/>
  <c r="Q1091" i="17"/>
  <c r="Q1092" i="17"/>
  <c r="Q1093" i="17"/>
  <c r="Q1094" i="17"/>
  <c r="Q1095" i="17"/>
  <c r="Q1096" i="17"/>
  <c r="Q1097" i="17"/>
  <c r="Q1098" i="17"/>
  <c r="Q1099" i="17"/>
  <c r="Q1100" i="17"/>
  <c r="Q1101" i="17"/>
  <c r="Q1102" i="17"/>
  <c r="Q1103" i="17"/>
  <c r="Q1104" i="17"/>
  <c r="Q1105" i="17"/>
  <c r="Q1106" i="17"/>
  <c r="Q1107" i="17"/>
  <c r="Q1108" i="17"/>
  <c r="Q1109" i="17"/>
  <c r="Q1110" i="17"/>
  <c r="Q1111" i="17"/>
  <c r="Q1112" i="17"/>
  <c r="Q1113" i="17"/>
  <c r="Q1114" i="17"/>
  <c r="Q1115" i="17"/>
  <c r="Q1116" i="17"/>
  <c r="Q1117" i="17"/>
  <c r="Q1118" i="17"/>
  <c r="Q1119" i="17"/>
  <c r="Q1120" i="17"/>
  <c r="Q1121" i="17"/>
  <c r="Q1122" i="17"/>
  <c r="Q1123" i="17"/>
  <c r="Q1124" i="17"/>
  <c r="Q1125" i="17"/>
  <c r="Q1126" i="17"/>
  <c r="Q1127" i="17"/>
  <c r="Q1128" i="17"/>
  <c r="Q1129" i="17"/>
  <c r="Q1130" i="17"/>
  <c r="Q1131" i="17"/>
  <c r="Q1132" i="17"/>
  <c r="Q1133" i="17"/>
  <c r="Q1134" i="17"/>
  <c r="Q1135" i="17"/>
  <c r="Q1136" i="17"/>
  <c r="Q1137" i="17"/>
  <c r="Q1138" i="17"/>
  <c r="Q1139" i="17"/>
  <c r="Q1140" i="17"/>
  <c r="Q1141" i="17"/>
  <c r="Q1142" i="17"/>
  <c r="Q1143" i="17"/>
  <c r="Q1144" i="17"/>
  <c r="Q1145" i="17"/>
  <c r="Q1146" i="17"/>
  <c r="Q1147" i="17"/>
  <c r="Q1148" i="17"/>
  <c r="Q1149" i="17"/>
  <c r="Q1150" i="17"/>
  <c r="Q1151" i="17"/>
  <c r="Q1152" i="17"/>
  <c r="Q1153" i="17"/>
  <c r="Q1154" i="17"/>
  <c r="Q1155" i="17"/>
  <c r="Q1156" i="17"/>
  <c r="Q1157" i="17"/>
  <c r="Q1158" i="17"/>
  <c r="Q1159" i="17"/>
  <c r="Q1160" i="17"/>
  <c r="Q1161" i="17"/>
  <c r="Q1162" i="17"/>
  <c r="Q1163" i="17"/>
  <c r="Q1164" i="17"/>
  <c r="Q1165" i="17"/>
  <c r="Q1166" i="17"/>
  <c r="Q1167" i="17"/>
  <c r="Q1168" i="17"/>
  <c r="Q1169" i="17"/>
  <c r="Q1170" i="17"/>
  <c r="Q1171" i="17"/>
  <c r="Q1172" i="17"/>
  <c r="Q1173" i="17"/>
  <c r="Q1174" i="17"/>
  <c r="Q1175" i="17"/>
  <c r="Q1176" i="17"/>
  <c r="Q1177" i="17"/>
  <c r="Q1178" i="17"/>
  <c r="Q1179" i="17"/>
  <c r="Q1180" i="17"/>
  <c r="Q1181" i="17"/>
  <c r="Q1182" i="17"/>
  <c r="Q1183" i="17"/>
  <c r="Q1184" i="17"/>
  <c r="Q1185" i="17"/>
  <c r="Q1186" i="17"/>
  <c r="Q1187" i="17"/>
  <c r="Q1188" i="17"/>
  <c r="Q1189" i="17"/>
  <c r="Q1190" i="17"/>
  <c r="Q1191" i="17"/>
  <c r="Q1192" i="17"/>
  <c r="Q1193" i="17"/>
  <c r="Q1194" i="17"/>
  <c r="Q1195" i="17"/>
  <c r="Q1196" i="17"/>
  <c r="Q1197" i="17"/>
  <c r="Q1198" i="17"/>
  <c r="Q1199" i="17"/>
  <c r="Q1200" i="17"/>
  <c r="Q1201" i="17"/>
  <c r="Q1202" i="17"/>
  <c r="Q1203" i="17"/>
  <c r="Q1204" i="17"/>
  <c r="Q1205" i="17"/>
  <c r="Q1206" i="17"/>
  <c r="Q1207" i="17"/>
  <c r="Q1208" i="17"/>
  <c r="Q1209" i="17"/>
  <c r="Q1210" i="17"/>
  <c r="Q1211" i="17"/>
  <c r="Q1212" i="17"/>
  <c r="Q1213" i="17"/>
  <c r="Q1214" i="17"/>
  <c r="Q1215" i="17"/>
  <c r="Q1216" i="17"/>
  <c r="Q1217" i="17"/>
  <c r="Q1218" i="17"/>
  <c r="Q1219" i="17"/>
  <c r="Q1220" i="17"/>
  <c r="Q1221" i="17"/>
  <c r="Q1222" i="17"/>
  <c r="Q1223" i="17"/>
  <c r="Q1224" i="17"/>
  <c r="Q1225" i="17"/>
  <c r="Q1226" i="17"/>
  <c r="Q1227" i="17"/>
  <c r="Q1228" i="17"/>
  <c r="Q1229" i="17"/>
  <c r="Q1230" i="17"/>
  <c r="Q1231" i="17"/>
  <c r="Q1232" i="17"/>
  <c r="Q1233" i="17"/>
  <c r="Q1234" i="17"/>
  <c r="Q1235" i="17"/>
  <c r="Q1236" i="17"/>
  <c r="Q1237" i="17"/>
  <c r="Q1238" i="17"/>
  <c r="Q1239" i="17"/>
  <c r="Q1240" i="17"/>
  <c r="Q1241" i="17"/>
  <c r="Q1242" i="17"/>
  <c r="Q1243" i="17"/>
  <c r="Q1244" i="17"/>
  <c r="Q1245" i="17"/>
  <c r="Q1246" i="17"/>
  <c r="Q1247" i="17"/>
  <c r="Q1248" i="17"/>
  <c r="Q1249" i="17"/>
  <c r="Q1250" i="17"/>
  <c r="Q1251" i="17"/>
  <c r="Q1252" i="17"/>
  <c r="Q1253" i="17"/>
  <c r="Q1254" i="17"/>
  <c r="Q1255" i="17"/>
  <c r="Q1256" i="17"/>
  <c r="Q1257" i="17"/>
  <c r="Q1258" i="17"/>
  <c r="Q1259" i="17"/>
  <c r="Q1260" i="17"/>
  <c r="Q1261" i="17"/>
  <c r="Q1262" i="17"/>
  <c r="Q1263" i="17"/>
  <c r="Q1264" i="17"/>
  <c r="Q1265" i="17"/>
  <c r="Q1266" i="17"/>
  <c r="Q1267" i="17"/>
  <c r="Q1268" i="17"/>
  <c r="Q1269" i="17"/>
  <c r="Q1270" i="17"/>
  <c r="Q1271" i="17"/>
  <c r="Q1272" i="17"/>
  <c r="Q1273" i="17"/>
  <c r="Q1274" i="17"/>
  <c r="Q1275" i="17"/>
  <c r="Q1276" i="17"/>
  <c r="Q1277" i="17"/>
  <c r="Q1278" i="17"/>
  <c r="Q1279" i="17"/>
  <c r="Q1280" i="17"/>
  <c r="Q1281" i="17"/>
  <c r="Q1282" i="17"/>
  <c r="Q1283" i="17"/>
  <c r="Q1284" i="17"/>
  <c r="Q1285" i="17"/>
  <c r="Q1286" i="17"/>
  <c r="Q1287" i="17"/>
  <c r="Q1288" i="17"/>
  <c r="Q1289" i="17"/>
  <c r="Q1290" i="17"/>
  <c r="Q1291" i="17"/>
  <c r="Q1292" i="17"/>
  <c r="Q1293" i="17"/>
  <c r="Q1294" i="17"/>
  <c r="Q1295" i="17"/>
  <c r="Q1296" i="17"/>
  <c r="Q1297" i="17"/>
  <c r="Q1298" i="17"/>
  <c r="Q1299" i="17"/>
  <c r="Q1300" i="17"/>
  <c r="Q1301" i="17"/>
  <c r="Q1302" i="17"/>
  <c r="Q1303" i="17"/>
  <c r="Q1304" i="17"/>
  <c r="Q1305" i="17"/>
  <c r="Q1306" i="17"/>
  <c r="Q1307" i="17"/>
  <c r="Q1308" i="17"/>
  <c r="Q1309" i="17"/>
  <c r="Q1310" i="17"/>
  <c r="Q1311" i="17"/>
  <c r="Q1312" i="17"/>
  <c r="Q1313" i="17"/>
  <c r="Q1314" i="17"/>
  <c r="Q1315" i="17"/>
  <c r="Q1316" i="17"/>
  <c r="Q1317" i="17"/>
  <c r="Q1318" i="17"/>
  <c r="Q1319" i="17"/>
  <c r="Q1320" i="17"/>
  <c r="Q1321" i="17"/>
  <c r="Q1322" i="17"/>
  <c r="Q1323" i="17"/>
  <c r="Q1324" i="17"/>
  <c r="Q1325" i="17"/>
  <c r="Q1326" i="17"/>
  <c r="Q1327" i="17"/>
  <c r="Q1328" i="17"/>
  <c r="Q1329" i="17"/>
  <c r="Q1330" i="17"/>
  <c r="Q1331" i="17"/>
  <c r="Q1332" i="17"/>
  <c r="Q1333" i="17"/>
  <c r="Q1334" i="17"/>
  <c r="Q1335" i="17"/>
  <c r="Q1336" i="17"/>
  <c r="Q1337" i="17"/>
  <c r="Q1338" i="17"/>
  <c r="Q1339" i="17"/>
  <c r="Q1340" i="17"/>
  <c r="Q1341" i="17"/>
  <c r="Q1342" i="17"/>
  <c r="Q1343" i="17"/>
  <c r="Q1344" i="17"/>
  <c r="Q1345" i="17"/>
  <c r="Q1346" i="17"/>
  <c r="Q1347" i="17"/>
  <c r="Q1348" i="17"/>
  <c r="Q1349" i="17"/>
  <c r="Q1350" i="17"/>
  <c r="Q1351" i="17"/>
  <c r="Q1352" i="17"/>
  <c r="Q1353" i="17"/>
  <c r="Q1354" i="17"/>
  <c r="Q1355" i="17"/>
  <c r="Q1356" i="17"/>
  <c r="Q1357" i="17"/>
  <c r="Q1358" i="17"/>
  <c r="Q1359" i="17"/>
  <c r="Q1360" i="17"/>
  <c r="Q1361" i="17"/>
  <c r="Q1362" i="17"/>
  <c r="Q1363" i="17"/>
  <c r="Q1364" i="17"/>
  <c r="Q1365" i="17"/>
  <c r="Q1366" i="17"/>
  <c r="Q1367" i="17"/>
  <c r="Q1368" i="17"/>
  <c r="Q1369" i="17"/>
  <c r="Q1370" i="17"/>
  <c r="Q1371" i="17"/>
  <c r="Q1372" i="17"/>
  <c r="Q1373" i="17"/>
  <c r="Q1374" i="17"/>
  <c r="Q1375" i="17"/>
  <c r="Q1376" i="17"/>
  <c r="Q1377" i="17"/>
  <c r="Q1378" i="17"/>
  <c r="Q1379" i="17"/>
  <c r="Q1380" i="17"/>
  <c r="Q1381" i="17"/>
  <c r="Q1382" i="17"/>
  <c r="Q1383" i="17"/>
  <c r="Q1384" i="17"/>
  <c r="Q1385" i="17"/>
  <c r="Q1386" i="17"/>
  <c r="Q1387" i="17"/>
  <c r="Q1388" i="17"/>
  <c r="Q1389" i="17"/>
  <c r="Q1390" i="17"/>
  <c r="Q1391" i="17"/>
  <c r="Q1392" i="17"/>
  <c r="Q1393" i="17"/>
  <c r="Q1394" i="17"/>
  <c r="Q1395" i="17"/>
  <c r="Q1396" i="17"/>
  <c r="Q1397" i="17"/>
  <c r="Q1398" i="17"/>
  <c r="Q1399" i="17"/>
  <c r="Q1400" i="17"/>
  <c r="Q1401" i="17"/>
  <c r="Q1402" i="17"/>
  <c r="Q1403" i="17"/>
  <c r="Q1404" i="17"/>
  <c r="Q1405" i="17"/>
  <c r="Q1406" i="17"/>
  <c r="Q1407" i="17"/>
  <c r="Q1408" i="17"/>
  <c r="Q1409" i="17"/>
  <c r="Q1410" i="17"/>
  <c r="Q1411" i="17"/>
  <c r="Q1412" i="17"/>
  <c r="Q1413" i="17"/>
  <c r="Q1414" i="17"/>
  <c r="Q1415" i="17"/>
  <c r="Q1416" i="17"/>
  <c r="Q1417" i="17"/>
  <c r="Q1418" i="17"/>
  <c r="Q1419" i="17"/>
  <c r="Q1420" i="17"/>
  <c r="Q1421" i="17"/>
  <c r="Q1422" i="17"/>
  <c r="Q1423" i="17"/>
  <c r="Q1424" i="17"/>
  <c r="Q1425" i="17"/>
  <c r="Q1426" i="17"/>
  <c r="Q1427" i="17"/>
  <c r="Q1428" i="17"/>
  <c r="Q1429" i="17"/>
  <c r="Q1430" i="17"/>
  <c r="Q1431" i="17"/>
  <c r="Q1432" i="17"/>
  <c r="Q1433" i="17"/>
  <c r="Q1434" i="17"/>
  <c r="Q1435" i="17"/>
  <c r="Q1436" i="17"/>
  <c r="Q1437" i="17"/>
  <c r="Q1438" i="17"/>
  <c r="Q1439" i="17"/>
  <c r="Q1440" i="17"/>
  <c r="Q1441" i="17"/>
  <c r="Q1442" i="17"/>
  <c r="Q1443" i="17"/>
  <c r="G7" i="19"/>
  <c r="B7" i="19"/>
  <c r="Q1746" i="17"/>
  <c r="Q1745" i="17"/>
  <c r="Q1744" i="17"/>
  <c r="Q1743" i="17"/>
  <c r="Q1742" i="17"/>
  <c r="Q1741" i="17"/>
  <c r="Q1740" i="17"/>
  <c r="Q1739" i="17"/>
  <c r="Q1738" i="17"/>
  <c r="Q1737" i="17"/>
  <c r="Q1736" i="17"/>
  <c r="Q1735" i="17"/>
  <c r="Q1734" i="17"/>
  <c r="Q1733" i="17"/>
  <c r="Q1732" i="17"/>
  <c r="Q1731" i="17"/>
  <c r="Q1730" i="17"/>
  <c r="Q1729" i="17"/>
  <c r="Q1728" i="17"/>
  <c r="Q1727" i="17"/>
  <c r="Q1726" i="17"/>
  <c r="Q1725" i="17"/>
  <c r="Q1724" i="17"/>
  <c r="Q1723" i="17"/>
  <c r="Q1722" i="17"/>
  <c r="Q1721" i="17"/>
  <c r="Q1720" i="17"/>
  <c r="Q1719" i="17"/>
  <c r="Q1718" i="17"/>
  <c r="Q1717" i="17"/>
  <c r="Q1716" i="17"/>
  <c r="Q1715" i="17"/>
  <c r="Q1714" i="17"/>
  <c r="Q1713" i="17"/>
  <c r="Q1712" i="17"/>
  <c r="Q1711" i="17"/>
  <c r="Q1710" i="17"/>
  <c r="Q1709" i="17"/>
  <c r="Q1708" i="17"/>
  <c r="Q1707" i="17"/>
  <c r="Q1706" i="17"/>
  <c r="Q1705" i="17"/>
  <c r="Q1704" i="17"/>
  <c r="Q1703" i="17"/>
  <c r="Q1702" i="17"/>
  <c r="Q1701" i="17"/>
  <c r="Q1700" i="17"/>
  <c r="Q1699" i="17"/>
  <c r="Q1698" i="17"/>
  <c r="Q1697" i="17"/>
  <c r="Q1696" i="17"/>
  <c r="Q1695" i="17"/>
  <c r="Q1694" i="17"/>
  <c r="Q1693" i="17"/>
  <c r="Q1692" i="17"/>
  <c r="Q1691" i="17"/>
  <c r="Q1690" i="17"/>
  <c r="Q1689" i="17"/>
  <c r="Q1688" i="17"/>
  <c r="Q1687" i="17"/>
  <c r="Q1686" i="17"/>
  <c r="Q1685" i="17"/>
  <c r="Q1684" i="17"/>
  <c r="Q1683" i="17"/>
  <c r="Q1682" i="17"/>
  <c r="I1443" i="17"/>
  <c r="I1442" i="17"/>
  <c r="I1441" i="17"/>
  <c r="I1440" i="17"/>
  <c r="I1439" i="17"/>
  <c r="I1438" i="17"/>
  <c r="I1437" i="17"/>
  <c r="I1436" i="17"/>
  <c r="I1435" i="17"/>
  <c r="I1434" i="17"/>
  <c r="I1433" i="17"/>
  <c r="I1432" i="17"/>
  <c r="I1431" i="17"/>
  <c r="I1430" i="17"/>
  <c r="I1429" i="17"/>
  <c r="I1428" i="17"/>
  <c r="I1427" i="17"/>
  <c r="I1426" i="17"/>
  <c r="I1425" i="17"/>
  <c r="I1424" i="17"/>
  <c r="I1423" i="17"/>
  <c r="I1422" i="17"/>
  <c r="I1421" i="17"/>
  <c r="I1420" i="17"/>
  <c r="I1419" i="17"/>
  <c r="I1418" i="17"/>
  <c r="I1417" i="17"/>
  <c r="I1416" i="17"/>
  <c r="I1415" i="17"/>
  <c r="I1414" i="17"/>
  <c r="I1413" i="17"/>
  <c r="I1412" i="17"/>
  <c r="I1411" i="17"/>
  <c r="I1410" i="17"/>
  <c r="I1409" i="17"/>
  <c r="I1408" i="17"/>
  <c r="I1407" i="17"/>
  <c r="I1406" i="17"/>
  <c r="I1405" i="17"/>
  <c r="I1404" i="17"/>
  <c r="I1403" i="17"/>
  <c r="I1402" i="17"/>
  <c r="I1401" i="17"/>
  <c r="I1400" i="17"/>
  <c r="I1399" i="17"/>
  <c r="I1398" i="17"/>
  <c r="I1397" i="17"/>
  <c r="I1396" i="17"/>
  <c r="I1395" i="17"/>
  <c r="I1394" i="17"/>
  <c r="I1393" i="17"/>
  <c r="I1392" i="17"/>
  <c r="I1391" i="17"/>
  <c r="I1390" i="17"/>
  <c r="I1389" i="17"/>
  <c r="I1388" i="17"/>
  <c r="I1387" i="17"/>
  <c r="I1386" i="17"/>
  <c r="I1385" i="17"/>
  <c r="I1384" i="17"/>
  <c r="I1383" i="17"/>
  <c r="I1382" i="17"/>
  <c r="I1381" i="17"/>
  <c r="I1380" i="17"/>
  <c r="I1379" i="17"/>
  <c r="I1378" i="17"/>
  <c r="I1377" i="17"/>
  <c r="I1376" i="17"/>
  <c r="I1375" i="17"/>
  <c r="I1374" i="17"/>
  <c r="I1373" i="17"/>
  <c r="I1372" i="17"/>
  <c r="I1371" i="17"/>
  <c r="I1370" i="17"/>
  <c r="I1369" i="17"/>
  <c r="I1368" i="17"/>
  <c r="I1367" i="17"/>
  <c r="I1366" i="17"/>
  <c r="I1365" i="17"/>
  <c r="I1364" i="17"/>
  <c r="I1363" i="17"/>
  <c r="I1362" i="17"/>
  <c r="I1361" i="17"/>
  <c r="I1360" i="17"/>
  <c r="I1359" i="17"/>
  <c r="I1358" i="17"/>
  <c r="I1357" i="17"/>
  <c r="I1356" i="17"/>
  <c r="I1355" i="17"/>
  <c r="I1354" i="17"/>
  <c r="I1353" i="17"/>
  <c r="I1352" i="17"/>
  <c r="I1351" i="17"/>
  <c r="I1350" i="17"/>
  <c r="I1349" i="17"/>
  <c r="I1348" i="17"/>
  <c r="I1347" i="17"/>
  <c r="I1346" i="17"/>
  <c r="I1345" i="17"/>
  <c r="I1344" i="17"/>
  <c r="I1343" i="17"/>
  <c r="I1342" i="17"/>
  <c r="I1341" i="17"/>
  <c r="I1340" i="17"/>
  <c r="I1339" i="17"/>
  <c r="I1338" i="17"/>
  <c r="I1337" i="17"/>
  <c r="I1336" i="17"/>
  <c r="I1335" i="17"/>
  <c r="I1334" i="17"/>
  <c r="I1333" i="17"/>
  <c r="I1332" i="17"/>
  <c r="I1331" i="17"/>
  <c r="I1330" i="17"/>
  <c r="I1329" i="17"/>
  <c r="I1328" i="17"/>
  <c r="I1327" i="17"/>
  <c r="I1326" i="17"/>
  <c r="I1325" i="17"/>
  <c r="I1324" i="17"/>
  <c r="I1323" i="17"/>
  <c r="I1322" i="17"/>
  <c r="I1321" i="17"/>
  <c r="I1320" i="17"/>
  <c r="I1319" i="17"/>
  <c r="I1318" i="17"/>
  <c r="I1317" i="17"/>
  <c r="I1316" i="17"/>
  <c r="I1315" i="17"/>
  <c r="I1314" i="17"/>
  <c r="I1313" i="17"/>
  <c r="I1312" i="17"/>
  <c r="I1311" i="17"/>
  <c r="I1310" i="17"/>
  <c r="I1309" i="17"/>
  <c r="I1308" i="17"/>
  <c r="I1307" i="17"/>
  <c r="I1306" i="17"/>
  <c r="I1305" i="17"/>
  <c r="I1304" i="17"/>
  <c r="I1303" i="17"/>
  <c r="I1302" i="17"/>
  <c r="I1301" i="17"/>
  <c r="I1300" i="17"/>
  <c r="I1299" i="17"/>
  <c r="I1298" i="17"/>
  <c r="I1297" i="17"/>
  <c r="I1296" i="17"/>
  <c r="I1295" i="17"/>
  <c r="I1294" i="17"/>
  <c r="I1293" i="17"/>
  <c r="I1292" i="17"/>
  <c r="I1291" i="17"/>
  <c r="I1290" i="17"/>
  <c r="I1289" i="17"/>
  <c r="I1288" i="17"/>
  <c r="I1287" i="17"/>
  <c r="I1286" i="17"/>
  <c r="I1285" i="17"/>
  <c r="I1284" i="17"/>
  <c r="I1283" i="17"/>
  <c r="I1282" i="17"/>
  <c r="I1281" i="17"/>
  <c r="I1280" i="17"/>
  <c r="I1279" i="17"/>
  <c r="I1278" i="17"/>
  <c r="I1277" i="17"/>
  <c r="I1276" i="17"/>
  <c r="I1275" i="17"/>
  <c r="I1274" i="17"/>
  <c r="I1273" i="17"/>
  <c r="I1272" i="17"/>
  <c r="I1271" i="17"/>
  <c r="I1270" i="17"/>
  <c r="I1269" i="17"/>
  <c r="I1268" i="17"/>
  <c r="I1267" i="17"/>
  <c r="I1266" i="17"/>
  <c r="I1265" i="17"/>
  <c r="I1264" i="17"/>
  <c r="I1263" i="17"/>
  <c r="I1262" i="17"/>
  <c r="I1261" i="17"/>
  <c r="I1260" i="17"/>
  <c r="I1259" i="17"/>
  <c r="I1258" i="17"/>
  <c r="I1257" i="17"/>
  <c r="I1256" i="17"/>
  <c r="I1255" i="17"/>
  <c r="I1254" i="17"/>
  <c r="I1253" i="17"/>
  <c r="I1252" i="17"/>
  <c r="I1251" i="17"/>
  <c r="I1250" i="17"/>
  <c r="I1249" i="17"/>
  <c r="I1248" i="17"/>
  <c r="I1247" i="17"/>
  <c r="I1246" i="17"/>
  <c r="I1245" i="17"/>
  <c r="I1244" i="17"/>
  <c r="I1243" i="17"/>
  <c r="I1242" i="17"/>
  <c r="I1241" i="17"/>
  <c r="I1240" i="17"/>
  <c r="I1239" i="17"/>
  <c r="I1238" i="17"/>
  <c r="I1237" i="17"/>
  <c r="I1236" i="17"/>
  <c r="I1235" i="17"/>
  <c r="I1234" i="17"/>
  <c r="I1233" i="17"/>
  <c r="I1232" i="17"/>
  <c r="I1231" i="17"/>
  <c r="I1230" i="17"/>
  <c r="I1229" i="17"/>
  <c r="I1228" i="17"/>
  <c r="I1227" i="17"/>
  <c r="I1226" i="17"/>
  <c r="I1225" i="17"/>
  <c r="I1224" i="17"/>
  <c r="I1223" i="17"/>
  <c r="I1222" i="17"/>
  <c r="I1221" i="17"/>
  <c r="I1220" i="17"/>
  <c r="I1219" i="17"/>
  <c r="I1218" i="17"/>
  <c r="I1217" i="17"/>
  <c r="I1216" i="17"/>
  <c r="I1215" i="17"/>
  <c r="I1214" i="17"/>
  <c r="I1213" i="17"/>
  <c r="I1212" i="17"/>
  <c r="I1211" i="17"/>
  <c r="I1210" i="17"/>
  <c r="I1209" i="17"/>
  <c r="I1208" i="17"/>
  <c r="I1207" i="17"/>
  <c r="I1206" i="17"/>
  <c r="I1205" i="17"/>
  <c r="I1204" i="17"/>
  <c r="I1203" i="17"/>
  <c r="I1202" i="17"/>
  <c r="I1201" i="17"/>
  <c r="I1200" i="17"/>
  <c r="I1199" i="17"/>
  <c r="I1198" i="17"/>
  <c r="I1197" i="17"/>
  <c r="I1196" i="17"/>
  <c r="I1195" i="17"/>
  <c r="I1194" i="17"/>
  <c r="I1193" i="17"/>
  <c r="I1192" i="17"/>
  <c r="I1191" i="17"/>
  <c r="I1190" i="17"/>
  <c r="I1189" i="17"/>
  <c r="I1188" i="17"/>
  <c r="I1187" i="17"/>
  <c r="I1186" i="17"/>
  <c r="I1185" i="17"/>
  <c r="I1184" i="17"/>
  <c r="I1183" i="17"/>
  <c r="I1182" i="17"/>
  <c r="I1181" i="17"/>
  <c r="I1180" i="17"/>
  <c r="I1179" i="17"/>
  <c r="I1178" i="17"/>
  <c r="I1177" i="17"/>
  <c r="I1176" i="17"/>
  <c r="I1175" i="17"/>
  <c r="I1174" i="17"/>
  <c r="I1173" i="17"/>
  <c r="I1172" i="17"/>
  <c r="I1171" i="17"/>
  <c r="I1170" i="17"/>
  <c r="I1169" i="17"/>
  <c r="I1168" i="17"/>
  <c r="I1167" i="17"/>
  <c r="I1166" i="17"/>
  <c r="I1165" i="17"/>
  <c r="I1164" i="17"/>
  <c r="I1163" i="17"/>
  <c r="I1162" i="17"/>
  <c r="I1161" i="17"/>
  <c r="I1160" i="17"/>
  <c r="I1159" i="17"/>
  <c r="I1158" i="17"/>
  <c r="I1157" i="17"/>
  <c r="I1156" i="17"/>
  <c r="I1155" i="17"/>
  <c r="I1154" i="17"/>
  <c r="I1153" i="17"/>
  <c r="I1152" i="17"/>
  <c r="I1151" i="17"/>
  <c r="I1150" i="17"/>
  <c r="I1149" i="17"/>
  <c r="I1148" i="17"/>
  <c r="I1147" i="17"/>
  <c r="I1146" i="17"/>
  <c r="I1145" i="17"/>
  <c r="I1144" i="17"/>
  <c r="I1143" i="17"/>
  <c r="I1142" i="17"/>
  <c r="I1141" i="17"/>
  <c r="I1140" i="17"/>
  <c r="I1139" i="17"/>
  <c r="I1138" i="17"/>
  <c r="I1136" i="17"/>
  <c r="I1135" i="17"/>
  <c r="I1134" i="17"/>
  <c r="I1133" i="17"/>
  <c r="I1132" i="17"/>
  <c r="I1131" i="17"/>
  <c r="I1130" i="17"/>
  <c r="I1129" i="17"/>
  <c r="I1128" i="17"/>
  <c r="I1127" i="17"/>
  <c r="I1126" i="17"/>
  <c r="I1125" i="17"/>
  <c r="I1124" i="17"/>
  <c r="I1123" i="17"/>
  <c r="I1122" i="17"/>
  <c r="I1121" i="17"/>
  <c r="I1120" i="17"/>
  <c r="I1119" i="17"/>
  <c r="I1118" i="17"/>
  <c r="I1117" i="17"/>
  <c r="I1116" i="17"/>
  <c r="I1115" i="17"/>
  <c r="I1114" i="17"/>
  <c r="I1113" i="17"/>
  <c r="I1112" i="17"/>
  <c r="I1111" i="17"/>
  <c r="I1110" i="17"/>
  <c r="I1109" i="17"/>
  <c r="I1108" i="17"/>
  <c r="I1107" i="17"/>
  <c r="I1106" i="17"/>
  <c r="I1105" i="17"/>
  <c r="I1104" i="17"/>
  <c r="I1103" i="17"/>
  <c r="I1102" i="17"/>
  <c r="I1101" i="17"/>
  <c r="I1100" i="17"/>
  <c r="I1099" i="17"/>
  <c r="I1098" i="17"/>
  <c r="I1097" i="17"/>
  <c r="I1096" i="17"/>
  <c r="I1095" i="17"/>
  <c r="I1094" i="17"/>
  <c r="I1093" i="17"/>
  <c r="I1092" i="17"/>
  <c r="I1091" i="17"/>
  <c r="I1090" i="17"/>
  <c r="I1089" i="17"/>
  <c r="I1088" i="17"/>
  <c r="I1087" i="17"/>
  <c r="I1086" i="17"/>
  <c r="I1085" i="17"/>
  <c r="I1084" i="17"/>
  <c r="I1083" i="17"/>
  <c r="I1082" i="17"/>
  <c r="I1081" i="17"/>
  <c r="I1080" i="17"/>
  <c r="I1079" i="17"/>
  <c r="I1078" i="17"/>
  <c r="I1077" i="17"/>
  <c r="I1076" i="17"/>
  <c r="I1075" i="17"/>
  <c r="I1074" i="17"/>
  <c r="I1073" i="17"/>
  <c r="I1072" i="17"/>
  <c r="I1071" i="17"/>
  <c r="I1070" i="17"/>
  <c r="I1069" i="17"/>
  <c r="I1068" i="17"/>
  <c r="I1067" i="17"/>
  <c r="I1066" i="17"/>
  <c r="I1065" i="17"/>
  <c r="I1064" i="17"/>
  <c r="I1063" i="17"/>
  <c r="I1062" i="17"/>
  <c r="I1061" i="17"/>
  <c r="I1060" i="17"/>
  <c r="I1059" i="17"/>
  <c r="I1058" i="17"/>
  <c r="I1057" i="17"/>
  <c r="I1056" i="17"/>
  <c r="I1055" i="17"/>
  <c r="I1054" i="17"/>
  <c r="I1053" i="17"/>
  <c r="I1052" i="17"/>
  <c r="I1051" i="17"/>
  <c r="I1050" i="17"/>
  <c r="I1049" i="17"/>
  <c r="I1048" i="17"/>
  <c r="I1047" i="17"/>
  <c r="I1046" i="17"/>
  <c r="I1045" i="17"/>
  <c r="I1044" i="17"/>
  <c r="I1043" i="17"/>
  <c r="I1042" i="17"/>
  <c r="I1041" i="17"/>
  <c r="I1040" i="17"/>
  <c r="I1039" i="17"/>
  <c r="I1038" i="17"/>
  <c r="I1037" i="17"/>
  <c r="I1036" i="17"/>
  <c r="I1035" i="17"/>
  <c r="I1034" i="17"/>
  <c r="I1033" i="17"/>
  <c r="I1032" i="17"/>
  <c r="I1031" i="17"/>
  <c r="I1030" i="17"/>
  <c r="I1029" i="17"/>
  <c r="I1028" i="17"/>
  <c r="I1027" i="17"/>
  <c r="I1026" i="17"/>
  <c r="I1025" i="17"/>
  <c r="I1024" i="17"/>
  <c r="I1023" i="17"/>
  <c r="I1022" i="17"/>
  <c r="I1021" i="17"/>
  <c r="I1020" i="17"/>
  <c r="I1019" i="17"/>
  <c r="I1018" i="17"/>
  <c r="I1017" i="17"/>
  <c r="I1016" i="17"/>
  <c r="I1015" i="17"/>
  <c r="I1014" i="17"/>
  <c r="I1013" i="17"/>
  <c r="I1012" i="17"/>
  <c r="I1011" i="17"/>
  <c r="I1010" i="17"/>
  <c r="I1009" i="17"/>
  <c r="I1008" i="17"/>
  <c r="I1007" i="17"/>
  <c r="I1006" i="17"/>
  <c r="I1005" i="17"/>
  <c r="I1004" i="17"/>
  <c r="I1003" i="17"/>
  <c r="I1002" i="17"/>
  <c r="I1001" i="17"/>
  <c r="I1000" i="17"/>
  <c r="I999" i="17"/>
  <c r="I998" i="17"/>
  <c r="I997" i="17"/>
  <c r="I996" i="17"/>
  <c r="I995" i="17"/>
  <c r="I994" i="17"/>
  <c r="I993" i="17"/>
  <c r="I992" i="17"/>
  <c r="I991" i="17"/>
  <c r="I990" i="17"/>
  <c r="I989" i="17"/>
  <c r="I988" i="17"/>
  <c r="I987" i="17"/>
  <c r="I986" i="17"/>
  <c r="I985" i="17"/>
  <c r="I984" i="17"/>
  <c r="I983" i="17"/>
  <c r="I982" i="17"/>
  <c r="I981" i="17"/>
  <c r="I980" i="17"/>
  <c r="I979" i="17"/>
  <c r="I978" i="17"/>
  <c r="I977" i="17"/>
  <c r="I976" i="17"/>
  <c r="I975" i="17"/>
  <c r="I974" i="17"/>
  <c r="I973" i="17"/>
  <c r="I972" i="17"/>
  <c r="I971" i="17"/>
  <c r="I970" i="17"/>
  <c r="I969" i="17"/>
  <c r="I968" i="17"/>
  <c r="I967" i="17"/>
  <c r="I966" i="17"/>
  <c r="I965" i="17"/>
  <c r="I964" i="17"/>
  <c r="I963" i="17"/>
  <c r="I962" i="17"/>
  <c r="I961" i="17"/>
  <c r="I960" i="17"/>
  <c r="I959" i="17"/>
  <c r="I958" i="17"/>
  <c r="I957" i="17"/>
  <c r="I956" i="17"/>
  <c r="I955" i="17"/>
  <c r="I954" i="17"/>
  <c r="I953" i="17"/>
  <c r="I952" i="17"/>
  <c r="I951" i="17"/>
  <c r="I950" i="17"/>
  <c r="I949" i="17"/>
  <c r="I948" i="17"/>
  <c r="I947" i="17"/>
  <c r="I946" i="17"/>
  <c r="I945" i="17"/>
  <c r="I944" i="17"/>
  <c r="I943" i="17"/>
  <c r="I942" i="17"/>
  <c r="I941" i="17"/>
  <c r="I940" i="17"/>
  <c r="I939" i="17"/>
  <c r="I938" i="17"/>
  <c r="I937" i="17"/>
  <c r="I936" i="17"/>
  <c r="I935" i="17"/>
  <c r="I934" i="17"/>
  <c r="I933" i="17"/>
  <c r="I932" i="17"/>
  <c r="I931" i="17"/>
  <c r="I930" i="17"/>
  <c r="I929" i="17"/>
  <c r="I928" i="17"/>
  <c r="I927" i="17"/>
  <c r="I926" i="17"/>
  <c r="I925" i="17"/>
  <c r="I924" i="17"/>
  <c r="I923" i="17"/>
  <c r="I922" i="17"/>
  <c r="I921" i="17"/>
  <c r="I920" i="17"/>
  <c r="I919" i="17"/>
  <c r="I918" i="17"/>
  <c r="I917" i="17"/>
  <c r="I916" i="17"/>
  <c r="I915" i="17"/>
  <c r="I914" i="17"/>
  <c r="I913" i="17"/>
  <c r="I912" i="17"/>
  <c r="I911" i="17"/>
  <c r="I910" i="17"/>
  <c r="I909" i="17"/>
  <c r="I908" i="17"/>
  <c r="I907" i="17"/>
  <c r="I906" i="17"/>
  <c r="I905" i="17"/>
  <c r="I904" i="17"/>
  <c r="I903" i="17"/>
  <c r="I902" i="17"/>
  <c r="I901" i="17"/>
  <c r="I900" i="17"/>
  <c r="I899" i="17"/>
  <c r="I898" i="17"/>
  <c r="I897" i="17"/>
  <c r="I896" i="17"/>
  <c r="I895" i="17"/>
  <c r="I894" i="17"/>
  <c r="I893" i="17"/>
  <c r="I892" i="17"/>
  <c r="I891" i="17"/>
  <c r="I890" i="17"/>
  <c r="I889" i="17"/>
  <c r="I888" i="17"/>
  <c r="I887" i="17"/>
  <c r="I886" i="17"/>
  <c r="I885" i="17"/>
  <c r="I884" i="17"/>
  <c r="I883" i="17"/>
  <c r="I882" i="17"/>
  <c r="I881" i="17"/>
  <c r="I880" i="17"/>
  <c r="I879" i="17"/>
  <c r="I878" i="17"/>
  <c r="I877" i="17"/>
  <c r="I876" i="17"/>
  <c r="I875" i="17"/>
  <c r="I874" i="17"/>
  <c r="I873" i="17"/>
  <c r="I872" i="17"/>
  <c r="I871" i="17"/>
  <c r="I870" i="17"/>
  <c r="I869" i="17"/>
  <c r="I868" i="17"/>
  <c r="I867" i="17"/>
  <c r="I866" i="17"/>
  <c r="I865" i="17"/>
  <c r="I864" i="17"/>
  <c r="I863" i="17"/>
  <c r="I862" i="17"/>
  <c r="I861" i="17"/>
  <c r="I860" i="17"/>
  <c r="I859" i="17"/>
  <c r="I858" i="17"/>
  <c r="I857" i="17"/>
  <c r="I856" i="17"/>
  <c r="I855" i="17"/>
  <c r="I854" i="17"/>
  <c r="I853" i="17"/>
  <c r="I852" i="17"/>
  <c r="I851" i="17"/>
  <c r="I850" i="17"/>
  <c r="I849" i="17"/>
  <c r="I848" i="17"/>
  <c r="I847" i="17"/>
  <c r="I846" i="17"/>
  <c r="I845" i="17"/>
  <c r="I844" i="17"/>
  <c r="I843" i="17"/>
  <c r="I842" i="17"/>
  <c r="I841" i="17"/>
  <c r="I840" i="17"/>
  <c r="I839" i="17"/>
  <c r="I838" i="17"/>
  <c r="I837" i="17"/>
  <c r="I836" i="17"/>
  <c r="I835" i="17"/>
  <c r="I834" i="17"/>
  <c r="I833" i="17"/>
  <c r="I832" i="17"/>
  <c r="I831" i="17"/>
  <c r="I830" i="17"/>
  <c r="I829" i="17"/>
  <c r="I828" i="17"/>
  <c r="I827" i="17"/>
  <c r="I826" i="17"/>
  <c r="I825" i="17"/>
  <c r="I824" i="17"/>
  <c r="I823" i="17"/>
  <c r="I822" i="17"/>
  <c r="I821" i="17"/>
  <c r="I820" i="17"/>
  <c r="I819" i="17"/>
  <c r="I818" i="17"/>
  <c r="I817" i="17"/>
  <c r="I816" i="17"/>
  <c r="I815" i="17"/>
  <c r="I814" i="17"/>
  <c r="I813" i="17"/>
  <c r="I812" i="17"/>
  <c r="I811" i="17"/>
  <c r="I810" i="17"/>
  <c r="I809" i="17"/>
  <c r="I808" i="17"/>
  <c r="I807" i="17"/>
  <c r="I806" i="17"/>
  <c r="I805" i="17"/>
  <c r="I804" i="17"/>
  <c r="I803" i="17"/>
  <c r="I802" i="17"/>
  <c r="I801" i="17"/>
  <c r="I800" i="17"/>
  <c r="I799" i="17"/>
  <c r="I798" i="17"/>
  <c r="I797" i="17"/>
  <c r="I796" i="17"/>
  <c r="I795" i="17"/>
  <c r="I794" i="17"/>
  <c r="I793" i="17"/>
  <c r="I792" i="17"/>
  <c r="I791" i="17"/>
  <c r="I790" i="17"/>
  <c r="I789" i="17"/>
  <c r="I788" i="17"/>
  <c r="I787" i="17"/>
  <c r="I786" i="17"/>
  <c r="I785" i="17"/>
  <c r="I784" i="17"/>
  <c r="I783" i="17"/>
  <c r="I782" i="17"/>
  <c r="I781" i="17"/>
  <c r="I780" i="17"/>
  <c r="I779" i="17"/>
  <c r="I778" i="17"/>
  <c r="I777" i="17"/>
  <c r="I776" i="17"/>
  <c r="I775" i="17"/>
  <c r="I774" i="17"/>
  <c r="I773" i="17"/>
  <c r="I772" i="17"/>
  <c r="I771" i="17"/>
  <c r="I770" i="17"/>
  <c r="I769" i="17"/>
  <c r="I767" i="17"/>
  <c r="I766" i="17"/>
  <c r="I765" i="17"/>
  <c r="I764" i="17"/>
  <c r="I763" i="17"/>
  <c r="I762" i="17"/>
  <c r="I761" i="17"/>
  <c r="I760" i="17"/>
  <c r="I759" i="17"/>
  <c r="I758" i="17"/>
  <c r="I757" i="17"/>
  <c r="I756" i="17"/>
  <c r="I755" i="17"/>
  <c r="I754" i="17"/>
  <c r="I753" i="17"/>
  <c r="I752" i="17"/>
  <c r="I751" i="17"/>
  <c r="I750" i="17"/>
  <c r="I749" i="17"/>
  <c r="I748" i="17"/>
  <c r="I747" i="17"/>
  <c r="I746" i="17"/>
  <c r="I745" i="17"/>
  <c r="I744" i="17"/>
  <c r="I743" i="17"/>
  <c r="I742" i="17"/>
  <c r="I741" i="17"/>
  <c r="I740" i="17"/>
  <c r="I739" i="17"/>
  <c r="I738" i="17"/>
  <c r="I737" i="17"/>
  <c r="I736" i="17"/>
  <c r="I735" i="17"/>
  <c r="I734" i="17"/>
  <c r="I733" i="17"/>
  <c r="I732" i="17"/>
  <c r="I731" i="17"/>
  <c r="I730" i="17"/>
  <c r="I729" i="17"/>
  <c r="I728" i="17"/>
  <c r="I727" i="17"/>
  <c r="I726" i="17"/>
  <c r="I725" i="17"/>
  <c r="I724" i="17"/>
  <c r="I723" i="17"/>
  <c r="I722" i="17"/>
  <c r="I721" i="17"/>
  <c r="I720" i="17"/>
  <c r="I719" i="17"/>
  <c r="I718" i="17"/>
  <c r="I717" i="17"/>
  <c r="I716" i="17"/>
  <c r="I715" i="17"/>
  <c r="I714" i="17"/>
  <c r="I713" i="17"/>
  <c r="I712" i="17"/>
  <c r="I711" i="17"/>
  <c r="I710" i="17"/>
  <c r="I709" i="17"/>
  <c r="I708" i="17"/>
  <c r="I707" i="17"/>
  <c r="I706" i="17"/>
  <c r="I705" i="17"/>
  <c r="I704" i="17"/>
  <c r="I703" i="17"/>
  <c r="I702" i="17"/>
  <c r="I701" i="17"/>
  <c r="I700" i="17"/>
  <c r="I699" i="17"/>
  <c r="I698" i="17"/>
  <c r="I697" i="17"/>
  <c r="I696" i="17"/>
  <c r="I695" i="17"/>
  <c r="I694" i="17"/>
  <c r="I693" i="17"/>
  <c r="I692" i="17"/>
  <c r="I691" i="17"/>
  <c r="I690" i="17"/>
  <c r="I689" i="17"/>
  <c r="I688" i="17"/>
  <c r="I687" i="17"/>
  <c r="I686" i="17"/>
  <c r="I685" i="17"/>
  <c r="I684" i="17"/>
  <c r="I683" i="17"/>
  <c r="I682" i="17"/>
  <c r="I681" i="17"/>
  <c r="I680" i="17"/>
  <c r="I679" i="17"/>
  <c r="I678" i="17"/>
  <c r="I677" i="17"/>
  <c r="I676" i="17"/>
  <c r="I675" i="17"/>
  <c r="I674" i="17"/>
  <c r="I673" i="17"/>
  <c r="I672" i="17"/>
  <c r="I671" i="17"/>
  <c r="I670" i="17"/>
  <c r="I669" i="17"/>
  <c r="I668" i="17"/>
  <c r="I664" i="17"/>
  <c r="I663" i="17"/>
  <c r="I662" i="17"/>
  <c r="I661" i="17"/>
  <c r="I660" i="17"/>
  <c r="I659" i="17"/>
  <c r="I658" i="17"/>
  <c r="I657" i="17"/>
  <c r="I656" i="17"/>
  <c r="I655" i="17"/>
  <c r="I654" i="17"/>
  <c r="I653" i="17"/>
  <c r="I652" i="17"/>
  <c r="I651" i="17"/>
  <c r="I650" i="17"/>
  <c r="I649" i="17"/>
  <c r="I648" i="17"/>
  <c r="I647" i="17"/>
  <c r="I646" i="17"/>
  <c r="I645" i="17"/>
  <c r="I644" i="17"/>
  <c r="I643" i="17"/>
  <c r="I642" i="17"/>
  <c r="I641" i="17"/>
  <c r="I640" i="17"/>
  <c r="I639" i="17"/>
  <c r="I638" i="17"/>
  <c r="I637" i="17"/>
  <c r="I636" i="17"/>
  <c r="I635" i="17"/>
  <c r="I634" i="17"/>
  <c r="I633" i="17"/>
  <c r="I632" i="17"/>
  <c r="I631" i="17"/>
  <c r="I630" i="17"/>
  <c r="I629" i="17"/>
  <c r="I628" i="17"/>
  <c r="I627" i="17"/>
  <c r="I626" i="17"/>
  <c r="I625" i="17"/>
  <c r="I624" i="17"/>
  <c r="I623" i="17"/>
  <c r="I622" i="17"/>
  <c r="I621" i="17"/>
  <c r="I620" i="17"/>
  <c r="I619" i="17"/>
  <c r="I618" i="17"/>
  <c r="I617" i="17"/>
  <c r="I616" i="17"/>
  <c r="I615" i="17"/>
  <c r="I614" i="17"/>
  <c r="I613" i="17"/>
  <c r="I612" i="17"/>
  <c r="I611" i="17"/>
  <c r="I610" i="17"/>
  <c r="I609" i="17"/>
  <c r="I608" i="17"/>
  <c r="I607" i="17"/>
  <c r="I606" i="17"/>
  <c r="I605" i="17"/>
  <c r="I604" i="17"/>
  <c r="I603" i="17"/>
  <c r="I602" i="17"/>
  <c r="I601" i="17"/>
  <c r="I600" i="17"/>
  <c r="I599" i="17"/>
  <c r="I598" i="17"/>
  <c r="I597" i="17"/>
  <c r="I596" i="17"/>
  <c r="I595" i="17"/>
  <c r="I594" i="17"/>
  <c r="I593" i="17"/>
  <c r="I592" i="17"/>
  <c r="I591" i="17"/>
  <c r="I590" i="17"/>
  <c r="I589" i="17"/>
  <c r="I588" i="17"/>
  <c r="I587" i="17"/>
  <c r="I586" i="17"/>
  <c r="I585" i="17"/>
  <c r="I584" i="17"/>
  <c r="I583" i="17"/>
  <c r="I582" i="17"/>
  <c r="I581" i="17"/>
  <c r="I580" i="17"/>
  <c r="I579" i="17"/>
  <c r="I578" i="17"/>
  <c r="I577" i="17"/>
  <c r="I576" i="17"/>
  <c r="I575" i="17"/>
  <c r="I574" i="17"/>
  <c r="I573" i="17"/>
  <c r="I572" i="17"/>
  <c r="I571" i="17"/>
  <c r="I570" i="17"/>
  <c r="I569" i="17"/>
  <c r="I568" i="17"/>
  <c r="I567" i="17"/>
  <c r="I566" i="17"/>
  <c r="I565" i="17"/>
  <c r="I564" i="17"/>
  <c r="I563" i="17"/>
  <c r="I562" i="17"/>
  <c r="I561" i="17"/>
  <c r="I560" i="17"/>
  <c r="I559" i="17"/>
  <c r="I558" i="17"/>
  <c r="I557" i="17"/>
  <c r="I556" i="17"/>
  <c r="I555" i="17"/>
  <c r="I554" i="17"/>
  <c r="I553" i="17"/>
  <c r="I552" i="17"/>
  <c r="I551" i="17"/>
  <c r="I550" i="17"/>
  <c r="I549" i="17"/>
  <c r="I548" i="17"/>
  <c r="I547" i="17"/>
  <c r="I546" i="17"/>
  <c r="I545" i="17"/>
  <c r="I544" i="17"/>
  <c r="I543" i="17"/>
  <c r="I542" i="17"/>
  <c r="I541" i="17"/>
  <c r="I540" i="17"/>
  <c r="I539" i="17"/>
  <c r="I538" i="17"/>
  <c r="I537" i="17"/>
  <c r="I536" i="17"/>
  <c r="I535" i="17"/>
  <c r="I534" i="17"/>
  <c r="I533" i="17"/>
  <c r="I532" i="17"/>
  <c r="I531" i="17"/>
  <c r="I530" i="17"/>
  <c r="I529" i="17"/>
  <c r="I528" i="17"/>
  <c r="I527" i="17"/>
  <c r="I526" i="17"/>
  <c r="I525" i="17"/>
  <c r="I524" i="17"/>
  <c r="I523" i="17"/>
  <c r="I522" i="17"/>
  <c r="I521" i="17"/>
  <c r="I520" i="17"/>
  <c r="I519" i="17"/>
  <c r="I518" i="17"/>
  <c r="I517" i="17"/>
  <c r="I516" i="17"/>
  <c r="I515" i="17"/>
  <c r="I514" i="17"/>
  <c r="I513" i="17"/>
  <c r="I512" i="17"/>
  <c r="I511" i="17"/>
  <c r="I510" i="17"/>
  <c r="I509" i="17"/>
  <c r="I508" i="17"/>
  <c r="I507" i="17"/>
  <c r="I506" i="17"/>
  <c r="I505" i="17"/>
  <c r="I504" i="17"/>
  <c r="I503" i="17"/>
  <c r="I502" i="17"/>
  <c r="I501" i="17"/>
  <c r="I500" i="17"/>
  <c r="I499" i="17"/>
  <c r="I498" i="17"/>
  <c r="I497" i="17"/>
  <c r="I496" i="17"/>
  <c r="I495" i="17"/>
  <c r="I494" i="17"/>
  <c r="I493" i="17"/>
  <c r="I492" i="17"/>
  <c r="I491" i="17"/>
  <c r="I490" i="17"/>
  <c r="I489" i="17"/>
  <c r="I488" i="17"/>
  <c r="I487" i="17"/>
  <c r="I486" i="17"/>
  <c r="I485" i="17"/>
  <c r="I484" i="17"/>
  <c r="I483" i="17"/>
  <c r="I482" i="17"/>
  <c r="I481" i="17"/>
  <c r="I480" i="17"/>
  <c r="I479" i="17"/>
  <c r="I478" i="17"/>
  <c r="I477" i="17"/>
  <c r="I476" i="17"/>
  <c r="I475" i="17"/>
  <c r="I474" i="17"/>
  <c r="I473" i="17"/>
  <c r="I472" i="17"/>
  <c r="I471" i="17"/>
  <c r="I470" i="17"/>
  <c r="I469" i="17"/>
  <c r="I468" i="17"/>
  <c r="I467" i="17"/>
  <c r="I466" i="17"/>
  <c r="I465" i="17"/>
  <c r="I464" i="17"/>
  <c r="I463" i="17"/>
  <c r="I462" i="17"/>
  <c r="I461" i="17"/>
  <c r="I460" i="17"/>
  <c r="I459" i="17"/>
  <c r="I458" i="17"/>
  <c r="I457" i="17"/>
  <c r="I456" i="17"/>
  <c r="I455" i="17"/>
  <c r="I454" i="17"/>
  <c r="I453" i="17"/>
  <c r="I452" i="17"/>
  <c r="I451" i="17"/>
  <c r="I450" i="17"/>
  <c r="I449" i="17"/>
  <c r="I448" i="17"/>
  <c r="I447" i="17"/>
  <c r="I446" i="17"/>
  <c r="I445" i="17"/>
  <c r="I444" i="17"/>
  <c r="I443" i="17"/>
  <c r="I442" i="17"/>
  <c r="I441" i="17"/>
  <c r="I440" i="17"/>
  <c r="I439" i="17"/>
  <c r="I438" i="17"/>
  <c r="I437" i="17"/>
  <c r="I436" i="17"/>
  <c r="I435" i="17"/>
  <c r="I434" i="17"/>
  <c r="I433" i="17"/>
  <c r="I432" i="17"/>
  <c r="I431" i="17"/>
  <c r="I430" i="17"/>
  <c r="I429" i="17"/>
  <c r="I428" i="17"/>
  <c r="I427" i="17"/>
  <c r="I426" i="17"/>
  <c r="I425" i="17"/>
  <c r="I424" i="17"/>
  <c r="I423" i="17"/>
  <c r="I422" i="17"/>
  <c r="I421" i="17"/>
  <c r="I420" i="17"/>
  <c r="I419" i="17"/>
  <c r="I418" i="17"/>
  <c r="I417" i="17"/>
  <c r="I416" i="17"/>
  <c r="I415" i="17"/>
  <c r="I414" i="17"/>
  <c r="I413" i="17"/>
  <c r="I412" i="17"/>
  <c r="I411" i="17"/>
  <c r="I410" i="17"/>
  <c r="I409" i="17"/>
  <c r="I408" i="17"/>
  <c r="I407" i="17"/>
  <c r="I406" i="17"/>
  <c r="I405" i="17"/>
  <c r="I404" i="17"/>
  <c r="I403" i="17"/>
  <c r="I402" i="17"/>
  <c r="I401" i="17"/>
  <c r="I400" i="17"/>
  <c r="I399" i="17"/>
  <c r="I398" i="17"/>
  <c r="I397" i="17"/>
  <c r="I396" i="17"/>
  <c r="I395" i="17"/>
  <c r="I394" i="17"/>
  <c r="I393" i="17"/>
  <c r="I392" i="17"/>
  <c r="I391" i="17"/>
  <c r="I390" i="17"/>
  <c r="I389" i="17"/>
  <c r="I388" i="17"/>
  <c r="I387" i="17"/>
  <c r="I386" i="17"/>
  <c r="I385" i="17"/>
  <c r="I384" i="17"/>
  <c r="I383" i="17"/>
  <c r="I382" i="17"/>
  <c r="I381" i="17"/>
  <c r="I380" i="17"/>
  <c r="I379" i="17"/>
  <c r="I378" i="17"/>
  <c r="I377" i="17"/>
  <c r="I376" i="17"/>
  <c r="I375" i="17"/>
  <c r="I374" i="17"/>
  <c r="I373" i="17"/>
  <c r="I372" i="17"/>
  <c r="I371" i="17"/>
  <c r="I370" i="17"/>
  <c r="I369" i="17"/>
  <c r="I368" i="17"/>
  <c r="I367" i="17"/>
  <c r="I366" i="17"/>
  <c r="I365" i="17"/>
  <c r="I364" i="17"/>
  <c r="I363" i="17"/>
  <c r="I362" i="17"/>
  <c r="I361" i="17"/>
  <c r="I360" i="17"/>
  <c r="I359" i="17"/>
  <c r="I358" i="17"/>
  <c r="I357" i="17"/>
  <c r="I356" i="17"/>
  <c r="I355" i="17"/>
  <c r="I354" i="17"/>
  <c r="I353" i="17"/>
  <c r="I352" i="17"/>
  <c r="I351" i="17"/>
  <c r="I350" i="17"/>
  <c r="I349" i="17"/>
  <c r="I348" i="17"/>
  <c r="I347" i="17"/>
  <c r="I346" i="17"/>
  <c r="I345" i="17"/>
  <c r="I344" i="17"/>
  <c r="I343" i="17"/>
  <c r="I342" i="17"/>
  <c r="I341" i="17"/>
  <c r="I340" i="17"/>
  <c r="I339" i="17"/>
  <c r="I338" i="17"/>
  <c r="I337" i="17"/>
  <c r="I336" i="17"/>
  <c r="I335" i="17"/>
  <c r="I334" i="17"/>
  <c r="I333" i="17"/>
  <c r="I332" i="17"/>
  <c r="I331" i="17"/>
  <c r="I330" i="17"/>
  <c r="I329" i="17"/>
  <c r="I328" i="17"/>
  <c r="I327" i="17"/>
  <c r="I326" i="17"/>
  <c r="I325" i="17"/>
  <c r="I324" i="17"/>
  <c r="I323" i="17"/>
  <c r="I322" i="17"/>
  <c r="I321" i="17"/>
  <c r="I320" i="17"/>
  <c r="I319" i="17"/>
  <c r="I318" i="17"/>
  <c r="I317" i="17"/>
  <c r="I316" i="17"/>
  <c r="I315" i="17"/>
  <c r="I314" i="17"/>
  <c r="I313" i="17"/>
  <c r="I312" i="17"/>
  <c r="I311" i="17"/>
  <c r="I310" i="17"/>
  <c r="I309" i="17"/>
  <c r="I308" i="17"/>
  <c r="I307" i="17"/>
  <c r="I306" i="17"/>
  <c r="I305" i="17"/>
  <c r="I304" i="17"/>
  <c r="I303" i="17"/>
  <c r="I302" i="17"/>
  <c r="I301" i="17"/>
  <c r="I300" i="17"/>
  <c r="I299" i="17"/>
  <c r="I298" i="17"/>
  <c r="I297" i="17"/>
  <c r="I296" i="17"/>
  <c r="I295" i="17"/>
  <c r="I294" i="17"/>
  <c r="I293" i="17"/>
  <c r="I292" i="17"/>
  <c r="I291" i="17"/>
  <c r="I290" i="17"/>
  <c r="I289" i="17"/>
  <c r="I288" i="17"/>
  <c r="I287" i="17"/>
  <c r="I286" i="17"/>
  <c r="I285" i="17"/>
  <c r="I284" i="17"/>
  <c r="I283" i="17"/>
  <c r="I282" i="17"/>
  <c r="I281" i="17"/>
  <c r="I280" i="17"/>
  <c r="I279" i="17"/>
  <c r="I278" i="17"/>
  <c r="I277" i="17"/>
  <c r="I276" i="17"/>
  <c r="I275" i="17"/>
  <c r="I274" i="17"/>
  <c r="I273" i="17"/>
  <c r="I272" i="17"/>
  <c r="I271" i="17"/>
  <c r="I270" i="17"/>
  <c r="I269" i="17"/>
  <c r="I268" i="17"/>
  <c r="I267" i="17"/>
  <c r="I266" i="17"/>
  <c r="I265" i="17"/>
  <c r="I264" i="17"/>
  <c r="I263" i="17"/>
  <c r="I262" i="17"/>
  <c r="I261" i="17"/>
  <c r="I260" i="17"/>
  <c r="I259" i="17"/>
  <c r="I258" i="17"/>
  <c r="I257" i="17"/>
  <c r="I256" i="17"/>
  <c r="I255" i="17"/>
  <c r="I254" i="17"/>
  <c r="I253" i="17"/>
  <c r="I252" i="17"/>
  <c r="I251" i="17"/>
  <c r="I250" i="17"/>
  <c r="I249" i="17"/>
  <c r="I248" i="17"/>
  <c r="I247" i="17"/>
  <c r="I246" i="17"/>
  <c r="I245" i="17"/>
  <c r="I244" i="17"/>
  <c r="I243" i="17"/>
  <c r="I242" i="17"/>
  <c r="I241" i="17"/>
  <c r="I240" i="17"/>
  <c r="I239" i="17"/>
  <c r="I238" i="17"/>
  <c r="I237" i="17"/>
  <c r="I236" i="17"/>
  <c r="I235" i="17"/>
  <c r="I234" i="17"/>
  <c r="I233" i="17"/>
  <c r="I232" i="17"/>
  <c r="I231" i="17"/>
  <c r="I230" i="17"/>
  <c r="I229" i="17"/>
  <c r="I228" i="17"/>
  <c r="I227" i="17"/>
  <c r="I226" i="17"/>
  <c r="I225" i="17"/>
  <c r="I224" i="17"/>
  <c r="I223" i="17"/>
  <c r="I222" i="17"/>
  <c r="I221" i="17"/>
  <c r="I220" i="17"/>
  <c r="I219" i="17"/>
  <c r="I218" i="17"/>
  <c r="I217" i="17"/>
  <c r="I216" i="17"/>
  <c r="I215" i="17"/>
  <c r="I214" i="17"/>
  <c r="I213" i="17"/>
  <c r="I212" i="17"/>
  <c r="I211" i="17"/>
  <c r="I210" i="17"/>
  <c r="I209" i="17"/>
  <c r="I208" i="17"/>
  <c r="I207" i="17"/>
  <c r="I206" i="17"/>
  <c r="I205" i="17"/>
  <c r="I204" i="17"/>
  <c r="I203" i="17"/>
  <c r="I202" i="17"/>
  <c r="I201" i="17"/>
  <c r="I200" i="17"/>
  <c r="I199" i="17"/>
  <c r="I198" i="17"/>
  <c r="I197" i="17"/>
  <c r="I196" i="17"/>
  <c r="I195" i="17"/>
  <c r="I194" i="17"/>
  <c r="I193" i="17"/>
  <c r="I192" i="17"/>
  <c r="I191" i="17"/>
  <c r="I190" i="17"/>
  <c r="I189" i="17"/>
  <c r="I188" i="17"/>
  <c r="I187" i="17"/>
  <c r="I186" i="17"/>
  <c r="I185" i="17"/>
  <c r="I184" i="17"/>
  <c r="I183" i="17"/>
  <c r="I182" i="17"/>
  <c r="I181" i="17"/>
  <c r="I180" i="17"/>
  <c r="I179" i="17"/>
  <c r="I178" i="17"/>
  <c r="I177" i="17"/>
  <c r="I176" i="17"/>
  <c r="I175" i="17"/>
  <c r="I174" i="17"/>
  <c r="I173" i="17"/>
  <c r="I172" i="17"/>
  <c r="I171" i="17"/>
  <c r="I170" i="17"/>
  <c r="I169" i="17"/>
  <c r="I168" i="17"/>
  <c r="I167" i="17"/>
  <c r="I166" i="17"/>
  <c r="I165" i="17"/>
  <c r="I164" i="17"/>
  <c r="I163" i="17"/>
  <c r="I162" i="17"/>
  <c r="I161" i="17"/>
  <c r="I160" i="17"/>
  <c r="I159" i="17"/>
  <c r="I158" i="17"/>
  <c r="I157" i="17"/>
  <c r="I156" i="17"/>
  <c r="I155" i="17"/>
  <c r="I154" i="17"/>
  <c r="I153" i="17"/>
  <c r="I152" i="17"/>
  <c r="I151" i="17"/>
  <c r="I150" i="17"/>
  <c r="I149" i="17"/>
  <c r="I148" i="17"/>
  <c r="I147" i="17"/>
  <c r="I146" i="17"/>
  <c r="I145" i="17"/>
  <c r="I144" i="17"/>
  <c r="I143" i="17"/>
  <c r="I142" i="17"/>
  <c r="I141" i="17"/>
  <c r="I140" i="17"/>
  <c r="I139" i="17"/>
  <c r="I138" i="17"/>
  <c r="I137" i="17"/>
  <c r="I136" i="17"/>
  <c r="I135" i="17"/>
  <c r="I134" i="17"/>
  <c r="I133" i="17"/>
  <c r="I132" i="17"/>
  <c r="I131" i="17"/>
  <c r="I130" i="17"/>
  <c r="I129" i="17"/>
  <c r="I128" i="17"/>
  <c r="I127" i="17"/>
  <c r="I126" i="17"/>
  <c r="I125" i="17"/>
  <c r="I124" i="17"/>
  <c r="I123" i="17"/>
  <c r="I122" i="17"/>
  <c r="I121" i="17"/>
  <c r="I120" i="17"/>
  <c r="I119" i="17"/>
  <c r="I118" i="17"/>
  <c r="I117" i="17"/>
  <c r="I116" i="17"/>
  <c r="I115" i="17"/>
  <c r="I114" i="17"/>
  <c r="I113" i="17"/>
  <c r="I112" i="17"/>
  <c r="I111" i="17"/>
  <c r="I110" i="17"/>
  <c r="I109" i="17"/>
  <c r="I108" i="17"/>
  <c r="I107" i="17"/>
  <c r="I106" i="17"/>
  <c r="I105" i="17"/>
  <c r="I104" i="17"/>
  <c r="I103" i="17"/>
  <c r="I102" i="17"/>
  <c r="I101" i="17"/>
  <c r="I100" i="17"/>
  <c r="I99" i="17"/>
  <c r="I98" i="17"/>
  <c r="I97" i="17"/>
  <c r="I96" i="17"/>
  <c r="I95" i="17"/>
  <c r="I94" i="17"/>
  <c r="I93" i="17"/>
  <c r="I92" i="17"/>
  <c r="I91" i="17"/>
  <c r="I90" i="17"/>
  <c r="I89" i="17"/>
  <c r="I88" i="17"/>
  <c r="I87" i="17"/>
  <c r="I86" i="17"/>
  <c r="I85" i="17"/>
  <c r="I84" i="17"/>
  <c r="I83" i="17"/>
  <c r="I82" i="17"/>
  <c r="I81" i="17"/>
  <c r="I80" i="17"/>
  <c r="I79" i="17"/>
  <c r="I78" i="17"/>
  <c r="I77" i="17"/>
  <c r="I76" i="17"/>
  <c r="I75" i="17"/>
  <c r="I74" i="17"/>
  <c r="I73" i="17"/>
  <c r="I72" i="17"/>
  <c r="I71" i="17"/>
  <c r="I70" i="17"/>
  <c r="I69" i="17"/>
  <c r="I68" i="17"/>
  <c r="I67" i="17"/>
  <c r="I66" i="17"/>
  <c r="I65" i="17"/>
  <c r="I64" i="17"/>
  <c r="I63" i="17"/>
  <c r="I62" i="17"/>
  <c r="I61" i="17"/>
  <c r="I60" i="17"/>
  <c r="I59" i="17"/>
  <c r="I58" i="17"/>
  <c r="I57" i="17"/>
  <c r="I56" i="17"/>
  <c r="I55" i="17"/>
  <c r="I54" i="17"/>
  <c r="I53" i="17"/>
  <c r="I52" i="17"/>
  <c r="I51" i="17"/>
  <c r="I50" i="17"/>
  <c r="I49" i="17"/>
  <c r="I48" i="17"/>
  <c r="I47" i="17"/>
  <c r="I46" i="17"/>
  <c r="I45" i="17"/>
  <c r="I44" i="17"/>
  <c r="I43" i="17"/>
  <c r="I42" i="17"/>
  <c r="I41" i="17"/>
  <c r="I40" i="17"/>
  <c r="I39" i="17"/>
  <c r="I38" i="17"/>
  <c r="I37" i="17"/>
  <c r="I36" i="17"/>
  <c r="I35" i="17"/>
  <c r="I34" i="17"/>
  <c r="I33" i="17"/>
  <c r="I32" i="17"/>
  <c r="I31" i="17"/>
  <c r="I30" i="17"/>
  <c r="I29" i="17"/>
  <c r="I28" i="17"/>
  <c r="I27" i="17"/>
  <c r="I26" i="17"/>
  <c r="I25" i="17"/>
  <c r="I24" i="17"/>
  <c r="I23" i="17"/>
  <c r="I22" i="17"/>
  <c r="I21" i="17"/>
  <c r="I20" i="17"/>
  <c r="I19" i="17"/>
  <c r="I18" i="17"/>
  <c r="I17" i="17"/>
  <c r="I16" i="17"/>
  <c r="I15" i="17"/>
  <c r="I14" i="17"/>
  <c r="I13" i="17"/>
  <c r="I12" i="17"/>
  <c r="I11" i="17"/>
  <c r="I10" i="17"/>
  <c r="I9" i="17"/>
  <c r="I8" i="17"/>
  <c r="I7" i="17"/>
  <c r="I6" i="17"/>
  <c r="I5" i="17"/>
  <c r="I4" i="17"/>
  <c r="I3" i="17"/>
  <c r="I2" i="17"/>
  <c r="K493" i="16"/>
  <c r="I493" i="16"/>
  <c r="K492" i="16"/>
  <c r="I492" i="16"/>
  <c r="K491" i="16"/>
  <c r="I491" i="16"/>
  <c r="K490" i="16"/>
  <c r="I490" i="16"/>
  <c r="K489" i="16"/>
  <c r="I489" i="16"/>
  <c r="K488" i="16"/>
  <c r="I488" i="16"/>
  <c r="K487" i="16"/>
  <c r="I487" i="16"/>
  <c r="K486" i="16"/>
  <c r="I486" i="16"/>
  <c r="K485" i="16"/>
  <c r="I485" i="16"/>
  <c r="K484" i="16"/>
  <c r="I484" i="16"/>
  <c r="K483" i="16"/>
  <c r="I483" i="16"/>
  <c r="K482" i="16"/>
  <c r="I482" i="16"/>
  <c r="K481" i="16"/>
  <c r="I481" i="16"/>
  <c r="K480" i="16"/>
  <c r="I480" i="16"/>
  <c r="K479" i="16"/>
  <c r="I479" i="16"/>
  <c r="K478" i="16"/>
  <c r="I478" i="16"/>
  <c r="K477" i="16"/>
  <c r="I477" i="16"/>
  <c r="K476" i="16"/>
  <c r="I476" i="16"/>
  <c r="K475" i="16"/>
  <c r="I475" i="16"/>
  <c r="K474" i="16"/>
  <c r="I474" i="16"/>
  <c r="K473" i="16"/>
  <c r="I473" i="16"/>
  <c r="K472" i="16"/>
  <c r="I472" i="16"/>
  <c r="K471" i="16"/>
  <c r="I471" i="16"/>
  <c r="K470" i="16"/>
  <c r="I470" i="16"/>
  <c r="K469" i="16"/>
  <c r="I469" i="16"/>
  <c r="K468" i="16"/>
  <c r="I468" i="16"/>
  <c r="K467" i="16"/>
  <c r="I467" i="16"/>
  <c r="K466" i="16"/>
  <c r="I466" i="16"/>
  <c r="K465" i="16"/>
  <c r="I465" i="16"/>
  <c r="K464" i="16"/>
  <c r="I464" i="16"/>
  <c r="K463" i="16"/>
  <c r="I463" i="16"/>
  <c r="K462" i="16"/>
  <c r="I462" i="16"/>
  <c r="K461" i="16"/>
  <c r="I461" i="16"/>
  <c r="K460" i="16"/>
  <c r="I460" i="16"/>
  <c r="K459" i="16"/>
  <c r="I459" i="16"/>
  <c r="K458" i="16"/>
  <c r="I458" i="16"/>
  <c r="K457" i="16"/>
  <c r="I457" i="16"/>
  <c r="K456" i="16"/>
  <c r="I456" i="16"/>
  <c r="K455" i="16"/>
  <c r="I455" i="16"/>
  <c r="K454" i="16"/>
  <c r="I454" i="16"/>
  <c r="K453" i="16"/>
  <c r="I453" i="16"/>
  <c r="K452" i="16"/>
  <c r="I452" i="16"/>
  <c r="K451" i="16"/>
  <c r="I451" i="16"/>
  <c r="K450" i="16"/>
  <c r="I450" i="16"/>
  <c r="K449" i="16"/>
  <c r="I449" i="16"/>
  <c r="K448" i="16"/>
  <c r="I448" i="16"/>
  <c r="K447" i="16"/>
  <c r="I447" i="16"/>
  <c r="K446" i="16"/>
  <c r="I446" i="16"/>
  <c r="K445" i="16"/>
  <c r="I445" i="16"/>
  <c r="K444" i="16"/>
  <c r="I444" i="16"/>
  <c r="K443" i="16"/>
  <c r="I443" i="16"/>
  <c r="K442" i="16"/>
  <c r="I442" i="16"/>
  <c r="K441" i="16"/>
  <c r="I441" i="16"/>
  <c r="K440" i="16"/>
  <c r="I440" i="16"/>
  <c r="K439" i="16"/>
  <c r="I439" i="16"/>
  <c r="K438" i="16"/>
  <c r="I438" i="16"/>
  <c r="K437" i="16"/>
  <c r="I437" i="16"/>
  <c r="K436" i="16"/>
  <c r="I436" i="16"/>
  <c r="K435" i="16"/>
  <c r="I435" i="16"/>
  <c r="K434" i="16"/>
  <c r="I434" i="16"/>
  <c r="K433" i="16"/>
  <c r="I433" i="16"/>
  <c r="K432" i="16"/>
  <c r="I432" i="16"/>
  <c r="K431" i="16"/>
  <c r="I431" i="16"/>
  <c r="K430" i="16"/>
  <c r="I430" i="16"/>
  <c r="K429" i="16"/>
  <c r="I429" i="16"/>
  <c r="K428" i="16"/>
  <c r="I428" i="16"/>
  <c r="K427" i="16"/>
  <c r="I427" i="16"/>
  <c r="K426" i="16"/>
  <c r="I426" i="16"/>
  <c r="K425" i="16"/>
  <c r="I425" i="16"/>
  <c r="K424" i="16"/>
  <c r="I424" i="16"/>
  <c r="K423" i="16"/>
  <c r="I423" i="16"/>
  <c r="K422" i="16"/>
  <c r="I422" i="16"/>
  <c r="K421" i="16"/>
  <c r="I421" i="16"/>
  <c r="K420" i="16"/>
  <c r="I420" i="16"/>
  <c r="K419" i="16"/>
  <c r="I419" i="16"/>
  <c r="K418" i="16"/>
  <c r="I418" i="16"/>
  <c r="K417" i="16"/>
  <c r="I417" i="16"/>
  <c r="K416" i="16"/>
  <c r="I416" i="16"/>
  <c r="K415" i="16"/>
  <c r="I415" i="16"/>
  <c r="K414" i="16"/>
  <c r="I414" i="16"/>
  <c r="K413" i="16"/>
  <c r="I413" i="16"/>
  <c r="K412" i="16"/>
  <c r="I412" i="16"/>
  <c r="K411" i="16"/>
  <c r="I411" i="16"/>
  <c r="K410" i="16"/>
  <c r="I410" i="16"/>
  <c r="K409" i="16"/>
  <c r="I409" i="16"/>
  <c r="K408" i="16"/>
  <c r="I408" i="16"/>
  <c r="K407" i="16"/>
  <c r="I407" i="16"/>
  <c r="K406" i="16"/>
  <c r="I406" i="16"/>
  <c r="K405" i="16"/>
  <c r="I405" i="16"/>
  <c r="K404" i="16"/>
  <c r="I404" i="16"/>
  <c r="K403" i="16"/>
  <c r="I403" i="16"/>
  <c r="K402" i="16"/>
  <c r="I402" i="16"/>
  <c r="K401" i="16"/>
  <c r="I401" i="16"/>
  <c r="K400" i="16"/>
  <c r="I400" i="16"/>
  <c r="K399" i="16"/>
  <c r="I399" i="16"/>
  <c r="K398" i="16"/>
  <c r="I398" i="16"/>
  <c r="K397" i="16"/>
  <c r="I397" i="16"/>
  <c r="K396" i="16"/>
  <c r="I396" i="16"/>
  <c r="K395" i="16"/>
  <c r="I395" i="16"/>
  <c r="K394" i="16"/>
  <c r="I394" i="16"/>
  <c r="K393" i="16"/>
  <c r="I393" i="16"/>
  <c r="K392" i="16"/>
  <c r="I392" i="16"/>
  <c r="K391" i="16"/>
  <c r="I391" i="16"/>
  <c r="K390" i="16"/>
  <c r="I390" i="16"/>
  <c r="K389" i="16"/>
  <c r="I389" i="16"/>
  <c r="K388" i="16"/>
  <c r="I388" i="16"/>
  <c r="K387" i="16"/>
  <c r="I387" i="16"/>
  <c r="K386" i="16"/>
  <c r="I386" i="16"/>
  <c r="K385" i="16"/>
  <c r="I385" i="16"/>
  <c r="K384" i="16"/>
  <c r="I384" i="16"/>
  <c r="K383" i="16"/>
  <c r="I383" i="16"/>
  <c r="K382" i="16"/>
  <c r="I382" i="16"/>
  <c r="K381" i="16"/>
  <c r="I381" i="16"/>
  <c r="K380" i="16"/>
  <c r="I380" i="16"/>
  <c r="K379" i="16"/>
  <c r="I379" i="16"/>
  <c r="K378" i="16"/>
  <c r="I378" i="16"/>
  <c r="K377" i="16"/>
  <c r="I377" i="16"/>
  <c r="K376" i="16"/>
  <c r="I376" i="16"/>
  <c r="K375" i="16"/>
  <c r="I375" i="16"/>
  <c r="K374" i="16"/>
  <c r="I374" i="16"/>
  <c r="K373" i="16"/>
  <c r="I373" i="16"/>
  <c r="K372" i="16"/>
  <c r="I372" i="16"/>
  <c r="K371" i="16"/>
  <c r="I371" i="16"/>
  <c r="K370" i="16"/>
  <c r="I370" i="16"/>
  <c r="K369" i="16"/>
  <c r="I369" i="16"/>
  <c r="K368" i="16"/>
  <c r="I368" i="16"/>
  <c r="K367" i="16"/>
  <c r="I367" i="16"/>
  <c r="K366" i="16"/>
  <c r="I366" i="16"/>
  <c r="K365" i="16"/>
  <c r="I365" i="16"/>
  <c r="K364" i="16"/>
  <c r="I364" i="16"/>
  <c r="K363" i="16"/>
  <c r="I363" i="16"/>
  <c r="K362" i="16"/>
  <c r="I362" i="16"/>
  <c r="K361" i="16"/>
  <c r="I361" i="16"/>
  <c r="K360" i="16"/>
  <c r="I360" i="16"/>
  <c r="K359" i="16"/>
  <c r="I359" i="16"/>
  <c r="K358" i="16"/>
  <c r="I358" i="16"/>
  <c r="K357" i="16"/>
  <c r="I357" i="16"/>
  <c r="K356" i="16"/>
  <c r="I356" i="16"/>
  <c r="K355" i="16"/>
  <c r="I355" i="16"/>
  <c r="K354" i="16"/>
  <c r="I354" i="16"/>
  <c r="K353" i="16"/>
  <c r="I353" i="16"/>
  <c r="K352" i="16"/>
  <c r="I352" i="16"/>
  <c r="K351" i="16"/>
  <c r="I351" i="16"/>
  <c r="K350" i="16"/>
  <c r="I350" i="16"/>
  <c r="K349" i="16"/>
  <c r="I349" i="16"/>
  <c r="K348" i="16"/>
  <c r="I348" i="16"/>
  <c r="K347" i="16"/>
  <c r="I347" i="16"/>
  <c r="K346" i="16"/>
  <c r="I346" i="16"/>
  <c r="K345" i="16"/>
  <c r="I345" i="16"/>
  <c r="K344" i="16"/>
  <c r="I344" i="16"/>
  <c r="K343" i="16"/>
  <c r="I343" i="16"/>
  <c r="K342" i="16"/>
  <c r="I342" i="16"/>
  <c r="K341" i="16"/>
  <c r="I341" i="16"/>
  <c r="K340" i="16"/>
  <c r="I340" i="16"/>
  <c r="K339" i="16"/>
  <c r="I339" i="16"/>
  <c r="K338" i="16"/>
  <c r="I338" i="16"/>
  <c r="K337" i="16"/>
  <c r="I337" i="16"/>
  <c r="K336" i="16"/>
  <c r="I336" i="16"/>
  <c r="K335" i="16"/>
  <c r="I335" i="16"/>
  <c r="K334" i="16"/>
  <c r="I334" i="16"/>
  <c r="K333" i="16"/>
  <c r="I333" i="16"/>
  <c r="K332" i="16"/>
  <c r="I332" i="16"/>
  <c r="K331" i="16"/>
  <c r="I331" i="16"/>
  <c r="K330" i="16"/>
  <c r="I330" i="16"/>
  <c r="K329" i="16"/>
  <c r="I329" i="16"/>
  <c r="K328" i="16"/>
  <c r="I328" i="16"/>
  <c r="K327" i="16"/>
  <c r="I327" i="16"/>
  <c r="K326" i="16"/>
  <c r="I326" i="16"/>
  <c r="K325" i="16"/>
  <c r="I325" i="16"/>
  <c r="K324" i="16"/>
  <c r="I324" i="16"/>
  <c r="K323" i="16"/>
  <c r="I323" i="16"/>
  <c r="K322" i="16"/>
  <c r="I322" i="16"/>
  <c r="K321" i="16"/>
  <c r="I321" i="16"/>
  <c r="K320" i="16"/>
  <c r="I320" i="16"/>
  <c r="K319" i="16"/>
  <c r="I319" i="16"/>
  <c r="K318" i="16"/>
  <c r="I318" i="16"/>
  <c r="K317" i="16"/>
  <c r="I317" i="16"/>
  <c r="K316" i="16"/>
  <c r="I316" i="16"/>
  <c r="K315" i="16"/>
  <c r="I315" i="16"/>
  <c r="K314" i="16"/>
  <c r="I314" i="16"/>
  <c r="K313" i="16"/>
  <c r="I313" i="16"/>
  <c r="K312" i="16"/>
  <c r="I312" i="16"/>
  <c r="K311" i="16"/>
  <c r="I311" i="16"/>
  <c r="K310" i="16"/>
  <c r="I310" i="16"/>
  <c r="K309" i="16"/>
  <c r="I309" i="16"/>
  <c r="K308" i="16"/>
  <c r="I308" i="16"/>
  <c r="K307" i="16"/>
  <c r="I307" i="16"/>
  <c r="K306" i="16"/>
  <c r="I306" i="16"/>
  <c r="K305" i="16"/>
  <c r="I305" i="16"/>
  <c r="K304" i="16"/>
  <c r="I304" i="16"/>
  <c r="K303" i="16"/>
  <c r="I303" i="16"/>
  <c r="K302" i="16"/>
  <c r="I302" i="16"/>
  <c r="K301" i="16"/>
  <c r="I301" i="16"/>
  <c r="K300" i="16"/>
  <c r="I300" i="16"/>
  <c r="K299" i="16"/>
  <c r="I299" i="16"/>
  <c r="K298" i="16"/>
  <c r="I298" i="16"/>
  <c r="K297" i="16"/>
  <c r="I297" i="16"/>
  <c r="K296" i="16"/>
  <c r="I296" i="16"/>
  <c r="K295" i="16"/>
  <c r="I295" i="16"/>
  <c r="K294" i="16"/>
  <c r="I294" i="16"/>
  <c r="K293" i="16"/>
  <c r="I293" i="16"/>
  <c r="K292" i="16"/>
  <c r="I292" i="16"/>
  <c r="K291" i="16"/>
  <c r="I291" i="16"/>
  <c r="K290" i="16"/>
  <c r="I290" i="16"/>
  <c r="K289" i="16"/>
  <c r="I289" i="16"/>
  <c r="K288" i="16"/>
  <c r="I288" i="16"/>
  <c r="K287" i="16"/>
  <c r="I287" i="16"/>
  <c r="K286" i="16"/>
  <c r="I286" i="16"/>
  <c r="K285" i="16"/>
  <c r="I285" i="16"/>
  <c r="K284" i="16"/>
  <c r="I284" i="16"/>
  <c r="K283" i="16"/>
  <c r="I283" i="16"/>
  <c r="K282" i="16"/>
  <c r="I282" i="16"/>
  <c r="K281" i="16"/>
  <c r="I281" i="16"/>
  <c r="K280" i="16"/>
  <c r="I280" i="16"/>
  <c r="K279" i="16"/>
  <c r="I279" i="16"/>
  <c r="K278" i="16"/>
  <c r="I278" i="16"/>
  <c r="K277" i="16"/>
  <c r="I277" i="16"/>
  <c r="K276" i="16"/>
  <c r="I276" i="16"/>
  <c r="K275" i="16"/>
  <c r="I275" i="16"/>
  <c r="K274" i="16"/>
  <c r="I274" i="16"/>
  <c r="K273" i="16"/>
  <c r="I273" i="16"/>
  <c r="K272" i="16"/>
  <c r="I272" i="16"/>
  <c r="K271" i="16"/>
  <c r="I271" i="16"/>
  <c r="K270" i="16"/>
  <c r="I270" i="16"/>
  <c r="K269" i="16"/>
  <c r="I269" i="16"/>
  <c r="K268" i="16"/>
  <c r="I268" i="16"/>
  <c r="K267" i="16"/>
  <c r="I267" i="16"/>
  <c r="K266" i="16"/>
  <c r="I266" i="16"/>
  <c r="K265" i="16"/>
  <c r="I265" i="16"/>
  <c r="K264" i="16"/>
  <c r="I264" i="16"/>
  <c r="K263" i="16"/>
  <c r="I263" i="16"/>
  <c r="K262" i="16"/>
  <c r="I262" i="16"/>
  <c r="K261" i="16"/>
  <c r="I261" i="16"/>
  <c r="K260" i="16"/>
  <c r="I260" i="16"/>
  <c r="K259" i="16"/>
  <c r="I259" i="16"/>
  <c r="K258" i="16"/>
  <c r="I258" i="16"/>
  <c r="K257" i="16"/>
  <c r="I257" i="16"/>
  <c r="K256" i="16"/>
  <c r="I256" i="16"/>
  <c r="K255" i="16"/>
  <c r="I255" i="16"/>
  <c r="K254" i="16"/>
  <c r="I254" i="16"/>
  <c r="K253" i="16"/>
  <c r="I253" i="16"/>
  <c r="K252" i="16"/>
  <c r="I252" i="16"/>
  <c r="K251" i="16"/>
  <c r="I251" i="16"/>
  <c r="K250" i="16"/>
  <c r="I250" i="16"/>
  <c r="K249" i="16"/>
  <c r="I249" i="16"/>
  <c r="K248" i="16"/>
  <c r="I248" i="16"/>
  <c r="K247" i="16"/>
  <c r="I247" i="16"/>
  <c r="K246" i="16"/>
  <c r="I246" i="16"/>
  <c r="K245" i="16"/>
  <c r="I245" i="16"/>
  <c r="K244" i="16"/>
  <c r="I244" i="16"/>
  <c r="K243" i="16"/>
  <c r="I243" i="16"/>
  <c r="K242" i="16"/>
  <c r="I242" i="16"/>
  <c r="K241" i="16"/>
  <c r="I241" i="16"/>
  <c r="K240" i="16"/>
  <c r="I240" i="16"/>
  <c r="K239" i="16"/>
  <c r="I239" i="16"/>
  <c r="K238" i="16"/>
  <c r="I238" i="16"/>
  <c r="K237" i="16"/>
  <c r="I237" i="16"/>
  <c r="K236" i="16"/>
  <c r="I236" i="16"/>
  <c r="K235" i="16"/>
  <c r="I235" i="16"/>
  <c r="K234" i="16"/>
  <c r="I234" i="16"/>
  <c r="K233" i="16"/>
  <c r="I233" i="16"/>
  <c r="K232" i="16"/>
  <c r="I232" i="16"/>
  <c r="K231" i="16"/>
  <c r="I231" i="16"/>
  <c r="K230" i="16"/>
  <c r="I230" i="16"/>
  <c r="K229" i="16"/>
  <c r="I229" i="16"/>
  <c r="K228" i="16"/>
  <c r="I228" i="16"/>
  <c r="K227" i="16"/>
  <c r="I227" i="16"/>
  <c r="K226" i="16"/>
  <c r="I226" i="16"/>
  <c r="K225" i="16"/>
  <c r="I225" i="16"/>
  <c r="K224" i="16"/>
  <c r="I224" i="16"/>
  <c r="K223" i="16"/>
  <c r="I223" i="16"/>
  <c r="K222" i="16"/>
  <c r="I222" i="16"/>
  <c r="K221" i="16"/>
  <c r="I221" i="16"/>
  <c r="K220" i="16"/>
  <c r="I220" i="16"/>
  <c r="K219" i="16"/>
  <c r="I219" i="16"/>
  <c r="K218" i="16"/>
  <c r="I218" i="16"/>
  <c r="K217" i="16"/>
  <c r="I217" i="16"/>
  <c r="K216" i="16"/>
  <c r="I216" i="16"/>
  <c r="K215" i="16"/>
  <c r="I215" i="16"/>
  <c r="K214" i="16"/>
  <c r="I214" i="16"/>
  <c r="K213" i="16"/>
  <c r="I213" i="16"/>
  <c r="K212" i="16"/>
  <c r="I212" i="16"/>
  <c r="K211" i="16"/>
  <c r="I211" i="16"/>
  <c r="K210" i="16"/>
  <c r="I210" i="16"/>
  <c r="K209" i="16"/>
  <c r="I209" i="16"/>
  <c r="K208" i="16"/>
  <c r="I208" i="16"/>
  <c r="K207" i="16"/>
  <c r="I207" i="16"/>
  <c r="K206" i="16"/>
  <c r="I206" i="16"/>
  <c r="K205" i="16"/>
  <c r="I205" i="16"/>
  <c r="K204" i="16"/>
  <c r="I204" i="16"/>
  <c r="K203" i="16"/>
  <c r="I203" i="16"/>
  <c r="K202" i="16"/>
  <c r="I202" i="16"/>
  <c r="K201" i="16"/>
  <c r="I201" i="16"/>
  <c r="K200" i="16"/>
  <c r="I200" i="16"/>
  <c r="K199" i="16"/>
  <c r="I199" i="16"/>
  <c r="K198" i="16"/>
  <c r="I198" i="16"/>
  <c r="K197" i="16"/>
  <c r="I197" i="16"/>
  <c r="K196" i="16"/>
  <c r="I196" i="16"/>
  <c r="K195" i="16"/>
  <c r="I195" i="16"/>
  <c r="K194" i="16"/>
  <c r="I194" i="16"/>
  <c r="K193" i="16"/>
  <c r="I193" i="16"/>
  <c r="K192" i="16"/>
  <c r="I192" i="16"/>
  <c r="K191" i="16"/>
  <c r="I191" i="16"/>
  <c r="K190" i="16"/>
  <c r="I190" i="16"/>
  <c r="K189" i="16"/>
  <c r="I189" i="16"/>
  <c r="K188" i="16"/>
  <c r="I188" i="16"/>
  <c r="K187" i="16"/>
  <c r="I187" i="16"/>
  <c r="K186" i="16"/>
  <c r="I186" i="16"/>
  <c r="K185" i="16"/>
  <c r="I185" i="16"/>
  <c r="K184" i="16"/>
  <c r="I184" i="16"/>
  <c r="K183" i="16"/>
  <c r="I183" i="16"/>
  <c r="K182" i="16"/>
  <c r="I182" i="16"/>
  <c r="K181" i="16"/>
  <c r="I181" i="16"/>
  <c r="K180" i="16"/>
  <c r="I180" i="16"/>
  <c r="K179" i="16"/>
  <c r="I179" i="16"/>
  <c r="K178" i="16"/>
  <c r="I178" i="16"/>
  <c r="K177" i="16"/>
  <c r="I177" i="16"/>
  <c r="K176" i="16"/>
  <c r="I176" i="16"/>
  <c r="K175" i="16"/>
  <c r="I175" i="16"/>
  <c r="K174" i="16"/>
  <c r="I174" i="16"/>
  <c r="K173" i="16"/>
  <c r="I173" i="16"/>
  <c r="K172" i="16"/>
  <c r="I172" i="16"/>
  <c r="K171" i="16"/>
  <c r="I171" i="16"/>
  <c r="K170" i="16"/>
  <c r="I170" i="16"/>
  <c r="K169" i="16"/>
  <c r="I169" i="16"/>
  <c r="K168" i="16"/>
  <c r="I168" i="16"/>
  <c r="K167" i="16"/>
  <c r="I167" i="16"/>
  <c r="K166" i="16"/>
  <c r="I166" i="16"/>
  <c r="K165" i="16"/>
  <c r="I165" i="16"/>
  <c r="K164" i="16"/>
  <c r="I164" i="16"/>
  <c r="K163" i="16"/>
  <c r="I163" i="16"/>
  <c r="K162" i="16"/>
  <c r="I162" i="16"/>
  <c r="K161" i="16"/>
  <c r="I161" i="16"/>
  <c r="K160" i="16"/>
  <c r="I160" i="16"/>
  <c r="K159" i="16"/>
  <c r="I159" i="16"/>
  <c r="K158" i="16"/>
  <c r="I158" i="16"/>
  <c r="K157" i="16"/>
  <c r="I157" i="16"/>
  <c r="K156" i="16"/>
  <c r="I156" i="16"/>
  <c r="K155" i="16"/>
  <c r="I155" i="16"/>
  <c r="K154" i="16"/>
  <c r="I154" i="16"/>
  <c r="K153" i="16"/>
  <c r="I153" i="16"/>
  <c r="K152" i="16"/>
  <c r="I152" i="16"/>
  <c r="K151" i="16"/>
  <c r="I151" i="16"/>
  <c r="K150" i="16"/>
  <c r="I150" i="16"/>
  <c r="K149" i="16"/>
  <c r="I149" i="16"/>
  <c r="K148" i="16"/>
  <c r="I148" i="16"/>
  <c r="K147" i="16"/>
  <c r="I147" i="16"/>
  <c r="K146" i="16"/>
  <c r="I146" i="16"/>
  <c r="K145" i="16"/>
  <c r="I145" i="16"/>
  <c r="K144" i="16"/>
  <c r="I144" i="16"/>
  <c r="K143" i="16"/>
  <c r="I143" i="16"/>
  <c r="K142" i="16"/>
  <c r="I142" i="16"/>
  <c r="K141" i="16"/>
  <c r="I141" i="16"/>
  <c r="K140" i="16"/>
  <c r="I140" i="16"/>
  <c r="K139" i="16"/>
  <c r="I139" i="16"/>
  <c r="K138" i="16"/>
  <c r="I138" i="16"/>
  <c r="K137" i="16"/>
  <c r="I137" i="16"/>
  <c r="K136" i="16"/>
  <c r="I136" i="16"/>
  <c r="K135" i="16"/>
  <c r="I135" i="16"/>
  <c r="K134" i="16"/>
  <c r="I134" i="16"/>
  <c r="K133" i="16"/>
  <c r="I133" i="16"/>
  <c r="K132" i="16"/>
  <c r="I132" i="16"/>
  <c r="K131" i="16"/>
  <c r="I131" i="16"/>
  <c r="K130" i="16"/>
  <c r="I130" i="16"/>
  <c r="K129" i="16"/>
  <c r="I129" i="16"/>
  <c r="K128" i="16"/>
  <c r="I128" i="16"/>
  <c r="K127" i="16"/>
  <c r="I127" i="16"/>
  <c r="K126" i="16"/>
  <c r="I126" i="16"/>
  <c r="K125" i="16"/>
  <c r="I125" i="16"/>
  <c r="K124" i="16"/>
  <c r="I124" i="16"/>
  <c r="K123" i="16"/>
  <c r="I123" i="16"/>
  <c r="K122" i="16"/>
  <c r="I122" i="16"/>
  <c r="K121" i="16"/>
  <c r="I121" i="16"/>
  <c r="K120" i="16"/>
  <c r="I120" i="16"/>
  <c r="K119" i="16"/>
  <c r="I119" i="16"/>
  <c r="K118" i="16"/>
  <c r="I118" i="16"/>
  <c r="K117" i="16"/>
  <c r="I117" i="16"/>
  <c r="K116" i="16"/>
  <c r="I116" i="16"/>
  <c r="K115" i="16"/>
  <c r="I115" i="16"/>
  <c r="K114" i="16"/>
  <c r="I114" i="16"/>
  <c r="K113" i="16"/>
  <c r="I113" i="16"/>
  <c r="K112" i="16"/>
  <c r="I112" i="16"/>
  <c r="K111" i="16"/>
  <c r="I111" i="16"/>
  <c r="K110" i="16"/>
  <c r="I110" i="16"/>
  <c r="K109" i="16"/>
  <c r="I109" i="16"/>
  <c r="K108" i="16"/>
  <c r="I108" i="16"/>
  <c r="K107" i="16"/>
  <c r="I107" i="16"/>
  <c r="K106" i="16"/>
  <c r="I106" i="16"/>
  <c r="K105" i="16"/>
  <c r="I105" i="16"/>
  <c r="K104" i="16"/>
  <c r="I104" i="16"/>
  <c r="K103" i="16"/>
  <c r="I103" i="16"/>
  <c r="K102" i="16"/>
  <c r="I102" i="16"/>
  <c r="K101" i="16"/>
  <c r="I101" i="16"/>
  <c r="K100" i="16"/>
  <c r="I100" i="16"/>
  <c r="K99" i="16"/>
  <c r="I99" i="16"/>
  <c r="K98" i="16"/>
  <c r="I98" i="16"/>
  <c r="K97" i="16"/>
  <c r="I97" i="16"/>
  <c r="K96" i="16"/>
  <c r="I96" i="16"/>
  <c r="K95" i="16"/>
  <c r="I95" i="16"/>
  <c r="K94" i="16"/>
  <c r="I94" i="16"/>
  <c r="K93" i="16"/>
  <c r="I93" i="16"/>
  <c r="K92" i="16"/>
  <c r="I92" i="16"/>
  <c r="K91" i="16"/>
  <c r="I91" i="16"/>
  <c r="K90" i="16"/>
  <c r="I90" i="16"/>
  <c r="K89" i="16"/>
  <c r="I89" i="16"/>
  <c r="K88" i="16"/>
  <c r="I88" i="16"/>
  <c r="K87" i="16"/>
  <c r="I87" i="16"/>
  <c r="K86" i="16"/>
  <c r="I86" i="16"/>
  <c r="K85" i="16"/>
  <c r="I85" i="16"/>
  <c r="K84" i="16"/>
  <c r="I84" i="16"/>
  <c r="K83" i="16"/>
  <c r="I83" i="16"/>
  <c r="K82" i="16"/>
  <c r="I82" i="16"/>
  <c r="K81" i="16"/>
  <c r="I81" i="16"/>
  <c r="K80" i="16"/>
  <c r="I80" i="16"/>
  <c r="K79" i="16"/>
  <c r="I79" i="16"/>
  <c r="K78" i="16"/>
  <c r="I78" i="16"/>
  <c r="K77" i="16"/>
  <c r="I77" i="16"/>
  <c r="K76" i="16"/>
  <c r="I76" i="16"/>
  <c r="K75" i="16"/>
  <c r="I75" i="16"/>
  <c r="K74" i="16"/>
  <c r="I74" i="16"/>
  <c r="K73" i="16"/>
  <c r="I73" i="16"/>
  <c r="K72" i="16"/>
  <c r="I72" i="16"/>
  <c r="K71" i="16"/>
  <c r="I71" i="16"/>
  <c r="K70" i="16"/>
  <c r="I70" i="16"/>
  <c r="K69" i="16"/>
  <c r="I69" i="16"/>
  <c r="K68" i="16"/>
  <c r="I68" i="16"/>
  <c r="K67" i="16"/>
  <c r="I67" i="16"/>
  <c r="K66" i="16"/>
  <c r="I66" i="16"/>
  <c r="K65" i="16"/>
  <c r="I65" i="16"/>
  <c r="K64" i="16"/>
  <c r="I64" i="16"/>
  <c r="K63" i="16"/>
  <c r="I63" i="16"/>
  <c r="K62" i="16"/>
  <c r="I62" i="16"/>
  <c r="K61" i="16"/>
  <c r="I61" i="16"/>
  <c r="K60" i="16"/>
  <c r="I60" i="16"/>
  <c r="K59" i="16"/>
  <c r="I59" i="16"/>
  <c r="K58" i="16"/>
  <c r="I58" i="16"/>
  <c r="K57" i="16"/>
  <c r="I57" i="16"/>
  <c r="K56" i="16"/>
  <c r="I56" i="16"/>
  <c r="K55" i="16"/>
  <c r="I55" i="16"/>
  <c r="K54" i="16"/>
  <c r="I54" i="16"/>
  <c r="K53" i="16"/>
  <c r="I53" i="16"/>
  <c r="K52" i="16"/>
  <c r="I52" i="16"/>
  <c r="K51" i="16"/>
  <c r="I51" i="16"/>
  <c r="K50" i="16"/>
  <c r="I50" i="16"/>
  <c r="K49" i="16"/>
  <c r="I49" i="16"/>
  <c r="K48" i="16"/>
  <c r="I48" i="16"/>
  <c r="K47" i="16"/>
  <c r="I47" i="16"/>
  <c r="K46" i="16"/>
  <c r="I46" i="16"/>
  <c r="K45" i="16"/>
  <c r="I45" i="16"/>
  <c r="K44" i="16"/>
  <c r="I44" i="16"/>
  <c r="K43" i="16"/>
  <c r="I43" i="16"/>
  <c r="K42" i="16"/>
  <c r="I42" i="16"/>
  <c r="K41" i="16"/>
  <c r="I41" i="16"/>
  <c r="K40" i="16"/>
  <c r="I40" i="16"/>
  <c r="K39" i="16"/>
  <c r="I39" i="16"/>
  <c r="K38" i="16"/>
  <c r="I38" i="16"/>
  <c r="K37" i="16"/>
  <c r="I37" i="16"/>
  <c r="K36" i="16"/>
  <c r="I36" i="16"/>
  <c r="K35" i="16"/>
  <c r="I35" i="16"/>
  <c r="K34" i="16"/>
  <c r="I34" i="16"/>
  <c r="K33" i="16"/>
  <c r="I33" i="16"/>
  <c r="K32" i="16"/>
  <c r="I32" i="16"/>
  <c r="K31" i="16"/>
  <c r="I31" i="16"/>
  <c r="K30" i="16"/>
  <c r="I30" i="16"/>
  <c r="K29" i="16"/>
  <c r="I29" i="16"/>
  <c r="K28" i="16"/>
  <c r="I28" i="16"/>
  <c r="K27" i="16"/>
  <c r="I27" i="16"/>
  <c r="K26" i="16"/>
  <c r="I26" i="16"/>
  <c r="K25" i="16"/>
  <c r="I25" i="16"/>
  <c r="K24" i="16"/>
  <c r="I24" i="16"/>
  <c r="K23" i="16"/>
  <c r="I23" i="16"/>
  <c r="K22" i="16"/>
  <c r="I22" i="16"/>
  <c r="K21" i="16"/>
  <c r="I21" i="16"/>
  <c r="K20" i="16"/>
  <c r="I20" i="16"/>
  <c r="K19" i="16"/>
  <c r="I19" i="16"/>
  <c r="K18" i="16"/>
  <c r="I18" i="16"/>
  <c r="K17" i="16"/>
  <c r="I17" i="16"/>
  <c r="K16" i="16"/>
  <c r="I16" i="16"/>
  <c r="K15" i="16"/>
  <c r="I15" i="16"/>
  <c r="K14" i="16"/>
  <c r="I14" i="16"/>
  <c r="K13" i="16"/>
  <c r="I13" i="16"/>
  <c r="K12" i="16"/>
  <c r="I12" i="16"/>
  <c r="K11" i="16"/>
  <c r="I11" i="16"/>
  <c r="K10" i="16"/>
  <c r="I10" i="16"/>
  <c r="K9" i="16"/>
  <c r="I9" i="16"/>
  <c r="K8" i="16"/>
  <c r="I8" i="16"/>
  <c r="K7" i="16"/>
  <c r="I7" i="16"/>
  <c r="K6" i="16"/>
  <c r="I6" i="16"/>
  <c r="K5" i="16"/>
  <c r="I5" i="16"/>
  <c r="K4" i="16"/>
  <c r="I4" i="16"/>
  <c r="K3" i="16"/>
  <c r="I3" i="16"/>
  <c r="K2" i="16"/>
  <c r="I2" i="16"/>
  <c r="L76" i="12"/>
  <c r="M76" i="12" s="1"/>
  <c r="K75" i="12"/>
  <c r="L110" i="9"/>
  <c r="M110" i="9" s="1"/>
  <c r="J45" i="8"/>
  <c r="R1925" i="7"/>
  <c r="R1922" i="7"/>
  <c r="S1684" i="7"/>
  <c r="R1684" i="7"/>
  <c r="P1684" i="7"/>
  <c r="O1684" i="7"/>
  <c r="N1684" i="7"/>
  <c r="M1684" i="7"/>
  <c r="L1684" i="7"/>
  <c r="K1684" i="7"/>
  <c r="J1684" i="7"/>
  <c r="I1684" i="7"/>
  <c r="H1684" i="7"/>
  <c r="G1684" i="7"/>
  <c r="F1684" i="7"/>
  <c r="E1684" i="7"/>
  <c r="D1684" i="7"/>
  <c r="C1684" i="7"/>
  <c r="B1684" i="7"/>
  <c r="A1684" i="7"/>
  <c r="S1683" i="7"/>
  <c r="R1683" i="7"/>
  <c r="Q1683" i="7"/>
  <c r="P1683" i="7"/>
  <c r="O1683" i="7"/>
  <c r="N1683" i="7"/>
  <c r="M1683" i="7"/>
  <c r="L1683" i="7"/>
  <c r="K1683" i="7"/>
  <c r="J1683" i="7"/>
  <c r="I1683" i="7"/>
  <c r="H1683" i="7"/>
  <c r="G1683" i="7"/>
  <c r="F1683" i="7"/>
  <c r="E1683" i="7"/>
  <c r="D1683" i="7"/>
  <c r="C1683" i="7"/>
  <c r="B1683" i="7"/>
  <c r="A1683" i="7"/>
  <c r="S1682" i="7"/>
  <c r="R1682" i="7"/>
  <c r="P1682" i="7"/>
  <c r="O1682" i="7"/>
  <c r="N1682" i="7"/>
  <c r="M1682" i="7"/>
  <c r="L1682" i="7"/>
  <c r="K1682" i="7"/>
  <c r="J1682" i="7"/>
  <c r="I1682" i="7"/>
  <c r="H1682" i="7"/>
  <c r="G1682" i="7"/>
  <c r="F1682" i="7"/>
  <c r="E1682" i="7"/>
  <c r="D1682" i="7"/>
  <c r="C1682" i="7"/>
  <c r="B1682" i="7"/>
  <c r="A1682" i="7"/>
  <c r="S1681" i="7"/>
  <c r="R1681" i="7"/>
  <c r="P1681" i="7"/>
  <c r="O1681" i="7"/>
  <c r="N1681" i="7"/>
  <c r="M1681" i="7"/>
  <c r="L1681" i="7"/>
  <c r="K1681" i="7"/>
  <c r="J1681" i="7"/>
  <c r="I1681" i="7"/>
  <c r="H1681" i="7"/>
  <c r="G1681" i="7"/>
  <c r="F1681" i="7"/>
  <c r="E1681" i="7"/>
  <c r="D1681" i="7"/>
  <c r="C1681" i="7"/>
  <c r="B1681" i="7"/>
  <c r="A1681" i="7"/>
  <c r="S1680" i="7"/>
  <c r="R1680" i="7"/>
  <c r="P1680" i="7"/>
  <c r="O1680" i="7"/>
  <c r="N1680" i="7"/>
  <c r="M1680" i="7"/>
  <c r="L1680" i="7"/>
  <c r="K1680" i="7"/>
  <c r="J1680" i="7"/>
  <c r="I1680" i="7"/>
  <c r="H1680" i="7"/>
  <c r="G1680" i="7"/>
  <c r="F1680" i="7"/>
  <c r="E1680" i="7"/>
  <c r="D1680" i="7"/>
  <c r="C1680" i="7"/>
  <c r="B1680" i="7"/>
  <c r="A1680" i="7"/>
  <c r="S1679" i="7"/>
  <c r="R1679" i="7"/>
  <c r="Q1679" i="7"/>
  <c r="P1679" i="7"/>
  <c r="O1679" i="7"/>
  <c r="N1679" i="7"/>
  <c r="M1679" i="7"/>
  <c r="L1679" i="7"/>
  <c r="K1679" i="7"/>
  <c r="J1679" i="7"/>
  <c r="I1679" i="7"/>
  <c r="H1679" i="7"/>
  <c r="G1679" i="7"/>
  <c r="F1679" i="7"/>
  <c r="E1679" i="7"/>
  <c r="D1679" i="7"/>
  <c r="C1679" i="7"/>
  <c r="B1679" i="7"/>
  <c r="A1679" i="7"/>
  <c r="S1678" i="7"/>
  <c r="R1678" i="7"/>
  <c r="P1678" i="7"/>
  <c r="O1678" i="7"/>
  <c r="N1678" i="7"/>
  <c r="M1678" i="7"/>
  <c r="L1678" i="7"/>
  <c r="K1678" i="7"/>
  <c r="J1678" i="7"/>
  <c r="I1678" i="7"/>
  <c r="H1678" i="7"/>
  <c r="G1678" i="7"/>
  <c r="F1678" i="7"/>
  <c r="E1678" i="7"/>
  <c r="D1678" i="7"/>
  <c r="C1678" i="7"/>
  <c r="B1678" i="7"/>
  <c r="A1678" i="7"/>
  <c r="S1677" i="7"/>
  <c r="R1677" i="7"/>
  <c r="P1677" i="7"/>
  <c r="O1677" i="7"/>
  <c r="N1677" i="7"/>
  <c r="M1677" i="7"/>
  <c r="L1677" i="7"/>
  <c r="K1677" i="7"/>
  <c r="J1677" i="7"/>
  <c r="I1677" i="7"/>
  <c r="H1677" i="7"/>
  <c r="G1677" i="7"/>
  <c r="F1677" i="7"/>
  <c r="E1677" i="7"/>
  <c r="D1677" i="7"/>
  <c r="C1677" i="7"/>
  <c r="B1677" i="7"/>
  <c r="A1677" i="7"/>
  <c r="S1676" i="7"/>
  <c r="R1676" i="7"/>
  <c r="P1676" i="7"/>
  <c r="O1676" i="7"/>
  <c r="N1676" i="7"/>
  <c r="M1676" i="7"/>
  <c r="L1676" i="7"/>
  <c r="K1676" i="7"/>
  <c r="J1676" i="7"/>
  <c r="I1676" i="7"/>
  <c r="H1676" i="7"/>
  <c r="G1676" i="7"/>
  <c r="F1676" i="7"/>
  <c r="E1676" i="7"/>
  <c r="D1676" i="7"/>
  <c r="C1676" i="7"/>
  <c r="B1676" i="7"/>
  <c r="A1676" i="7"/>
  <c r="S1675" i="7"/>
  <c r="R1675" i="7"/>
  <c r="P1675" i="7"/>
  <c r="O1675" i="7"/>
  <c r="N1675" i="7"/>
  <c r="M1675" i="7"/>
  <c r="L1675" i="7"/>
  <c r="K1675" i="7"/>
  <c r="J1675" i="7"/>
  <c r="I1675" i="7"/>
  <c r="H1675" i="7"/>
  <c r="G1675" i="7"/>
  <c r="F1675" i="7"/>
  <c r="E1675" i="7"/>
  <c r="D1675" i="7"/>
  <c r="C1675" i="7"/>
  <c r="B1675" i="7"/>
  <c r="A1675" i="7"/>
  <c r="S1674" i="7"/>
  <c r="R1674" i="7"/>
  <c r="P1674" i="7"/>
  <c r="O1674" i="7"/>
  <c r="N1674" i="7"/>
  <c r="M1674" i="7"/>
  <c r="L1674" i="7"/>
  <c r="K1674" i="7"/>
  <c r="J1674" i="7"/>
  <c r="I1674" i="7"/>
  <c r="H1674" i="7"/>
  <c r="G1674" i="7"/>
  <c r="F1674" i="7"/>
  <c r="E1674" i="7"/>
  <c r="D1674" i="7"/>
  <c r="C1674" i="7"/>
  <c r="B1674" i="7"/>
  <c r="A1674" i="7"/>
  <c r="S1673" i="7"/>
  <c r="R1673" i="7"/>
  <c r="P1673" i="7"/>
  <c r="O1673" i="7"/>
  <c r="N1673" i="7"/>
  <c r="M1673" i="7"/>
  <c r="L1673" i="7"/>
  <c r="K1673" i="7"/>
  <c r="J1673" i="7"/>
  <c r="I1673" i="7"/>
  <c r="H1673" i="7"/>
  <c r="G1673" i="7"/>
  <c r="F1673" i="7"/>
  <c r="E1673" i="7"/>
  <c r="D1673" i="7"/>
  <c r="C1673" i="7"/>
  <c r="B1673" i="7"/>
  <c r="A1673" i="7"/>
  <c r="S1672" i="7"/>
  <c r="R1672" i="7"/>
  <c r="P1672" i="7"/>
  <c r="O1672" i="7"/>
  <c r="N1672" i="7"/>
  <c r="M1672" i="7"/>
  <c r="L1672" i="7"/>
  <c r="K1672" i="7"/>
  <c r="J1672" i="7"/>
  <c r="I1672" i="7"/>
  <c r="H1672" i="7"/>
  <c r="G1672" i="7"/>
  <c r="F1672" i="7"/>
  <c r="E1672" i="7"/>
  <c r="D1672" i="7"/>
  <c r="C1672" i="7"/>
  <c r="B1672" i="7"/>
  <c r="A1672" i="7"/>
  <c r="S1671" i="7"/>
  <c r="R1671" i="7"/>
  <c r="P1671" i="7"/>
  <c r="O1671" i="7"/>
  <c r="N1671" i="7"/>
  <c r="M1671" i="7"/>
  <c r="L1671" i="7"/>
  <c r="K1671" i="7"/>
  <c r="J1671" i="7"/>
  <c r="I1671" i="7"/>
  <c r="H1671" i="7"/>
  <c r="G1671" i="7"/>
  <c r="F1671" i="7"/>
  <c r="E1671" i="7"/>
  <c r="D1671" i="7"/>
  <c r="C1671" i="7"/>
  <c r="B1671" i="7"/>
  <c r="A1671" i="7"/>
  <c r="S1670" i="7"/>
  <c r="R1670" i="7"/>
  <c r="P1670" i="7"/>
  <c r="O1670" i="7"/>
  <c r="N1670" i="7"/>
  <c r="M1670" i="7"/>
  <c r="L1670" i="7"/>
  <c r="K1670" i="7"/>
  <c r="J1670" i="7"/>
  <c r="I1670" i="7"/>
  <c r="H1670" i="7"/>
  <c r="G1670" i="7"/>
  <c r="F1670" i="7"/>
  <c r="E1670" i="7"/>
  <c r="D1670" i="7"/>
  <c r="C1670" i="7"/>
  <c r="B1670" i="7"/>
  <c r="A1670" i="7"/>
  <c r="S1669" i="7"/>
  <c r="R1669" i="7"/>
  <c r="Q1669" i="7"/>
  <c r="P1669" i="7"/>
  <c r="O1669" i="7"/>
  <c r="N1669" i="7"/>
  <c r="M1669" i="7"/>
  <c r="L1669" i="7"/>
  <c r="K1669" i="7"/>
  <c r="J1669" i="7"/>
  <c r="I1669" i="7"/>
  <c r="H1669" i="7"/>
  <c r="G1669" i="7"/>
  <c r="F1669" i="7"/>
  <c r="E1669" i="7"/>
  <c r="D1669" i="7"/>
  <c r="C1669" i="7"/>
  <c r="B1669" i="7"/>
  <c r="A1669" i="7"/>
  <c r="S1668" i="7"/>
  <c r="R1668" i="7"/>
  <c r="Q1668" i="7"/>
  <c r="P1668" i="7"/>
  <c r="O1668" i="7"/>
  <c r="N1668" i="7"/>
  <c r="M1668" i="7"/>
  <c r="L1668" i="7"/>
  <c r="K1668" i="7"/>
  <c r="J1668" i="7"/>
  <c r="I1668" i="7"/>
  <c r="H1668" i="7"/>
  <c r="G1668" i="7"/>
  <c r="F1668" i="7"/>
  <c r="E1668" i="7"/>
  <c r="D1668" i="7"/>
  <c r="C1668" i="7"/>
  <c r="B1668" i="7"/>
  <c r="A1668" i="7"/>
  <c r="S1667" i="7"/>
  <c r="R1667" i="7"/>
  <c r="P1667" i="7"/>
  <c r="O1667" i="7"/>
  <c r="N1667" i="7"/>
  <c r="M1667" i="7"/>
  <c r="L1667" i="7"/>
  <c r="K1667" i="7"/>
  <c r="J1667" i="7"/>
  <c r="I1667" i="7"/>
  <c r="H1667" i="7"/>
  <c r="G1667" i="7"/>
  <c r="F1667" i="7"/>
  <c r="E1667" i="7"/>
  <c r="D1667" i="7"/>
  <c r="C1667" i="7"/>
  <c r="B1667" i="7"/>
  <c r="A1667" i="7"/>
  <c r="S1666" i="7"/>
  <c r="R1666" i="7"/>
  <c r="Q1666" i="7"/>
  <c r="P1666" i="7"/>
  <c r="O1666" i="7"/>
  <c r="N1666" i="7"/>
  <c r="M1666" i="7"/>
  <c r="L1666" i="7"/>
  <c r="K1666" i="7"/>
  <c r="J1666" i="7"/>
  <c r="I1666" i="7"/>
  <c r="H1666" i="7"/>
  <c r="G1666" i="7"/>
  <c r="F1666" i="7"/>
  <c r="E1666" i="7"/>
  <c r="D1666" i="7"/>
  <c r="C1666" i="7"/>
  <c r="B1666" i="7"/>
  <c r="A1666" i="7"/>
  <c r="S1665" i="7"/>
  <c r="R1665" i="7"/>
  <c r="Q1665" i="7"/>
  <c r="P1665" i="7"/>
  <c r="O1665" i="7"/>
  <c r="N1665" i="7"/>
  <c r="M1665" i="7"/>
  <c r="L1665" i="7"/>
  <c r="K1665" i="7"/>
  <c r="J1665" i="7"/>
  <c r="I1665" i="7"/>
  <c r="H1665" i="7"/>
  <c r="G1665" i="7"/>
  <c r="F1665" i="7"/>
  <c r="E1665" i="7"/>
  <c r="D1665" i="7"/>
  <c r="C1665" i="7"/>
  <c r="B1665" i="7"/>
  <c r="A1665" i="7"/>
  <c r="S1664" i="7"/>
  <c r="R1664" i="7"/>
  <c r="P1664" i="7"/>
  <c r="O1664" i="7"/>
  <c r="N1664" i="7"/>
  <c r="M1664" i="7"/>
  <c r="L1664" i="7"/>
  <c r="K1664" i="7"/>
  <c r="J1664" i="7"/>
  <c r="I1664" i="7"/>
  <c r="H1664" i="7"/>
  <c r="G1664" i="7"/>
  <c r="F1664" i="7"/>
  <c r="E1664" i="7"/>
  <c r="D1664" i="7"/>
  <c r="C1664" i="7"/>
  <c r="B1664" i="7"/>
  <c r="A1664" i="7"/>
  <c r="S1663" i="7"/>
  <c r="R1663" i="7"/>
  <c r="Q1663" i="7"/>
  <c r="P1663" i="7"/>
  <c r="O1663" i="7"/>
  <c r="N1663" i="7"/>
  <c r="M1663" i="7"/>
  <c r="L1663" i="7"/>
  <c r="K1663" i="7"/>
  <c r="J1663" i="7"/>
  <c r="I1663" i="7"/>
  <c r="H1663" i="7"/>
  <c r="G1663" i="7"/>
  <c r="F1663" i="7"/>
  <c r="E1663" i="7"/>
  <c r="D1663" i="7"/>
  <c r="C1663" i="7"/>
  <c r="B1663" i="7"/>
  <c r="A1663" i="7"/>
  <c r="S1662" i="7"/>
  <c r="R1662" i="7"/>
  <c r="Q1662" i="7"/>
  <c r="P1662" i="7"/>
  <c r="O1662" i="7"/>
  <c r="N1662" i="7"/>
  <c r="M1662" i="7"/>
  <c r="L1662" i="7"/>
  <c r="K1662" i="7"/>
  <c r="J1662" i="7"/>
  <c r="I1662" i="7"/>
  <c r="H1662" i="7"/>
  <c r="G1662" i="7"/>
  <c r="F1662" i="7"/>
  <c r="E1662" i="7"/>
  <c r="D1662" i="7"/>
  <c r="C1662" i="7"/>
  <c r="B1662" i="7"/>
  <c r="A1662" i="7"/>
  <c r="S1661" i="7"/>
  <c r="R1661" i="7"/>
  <c r="P1661" i="7"/>
  <c r="O1661" i="7"/>
  <c r="N1661" i="7"/>
  <c r="M1661" i="7"/>
  <c r="L1661" i="7"/>
  <c r="K1661" i="7"/>
  <c r="J1661" i="7"/>
  <c r="I1661" i="7"/>
  <c r="H1661" i="7"/>
  <c r="G1661" i="7"/>
  <c r="F1661" i="7"/>
  <c r="E1661" i="7"/>
  <c r="D1661" i="7"/>
  <c r="C1661" i="7"/>
  <c r="B1661" i="7"/>
  <c r="A1661" i="7"/>
  <c r="S1660" i="7"/>
  <c r="R1660" i="7"/>
  <c r="P1660" i="7"/>
  <c r="O1660" i="7"/>
  <c r="N1660" i="7"/>
  <c r="M1660" i="7"/>
  <c r="L1660" i="7"/>
  <c r="K1660" i="7"/>
  <c r="J1660" i="7"/>
  <c r="I1660" i="7"/>
  <c r="H1660" i="7"/>
  <c r="G1660" i="7"/>
  <c r="F1660" i="7"/>
  <c r="E1660" i="7"/>
  <c r="D1660" i="7"/>
  <c r="C1660" i="7"/>
  <c r="B1660" i="7"/>
  <c r="A1660" i="7"/>
  <c r="S1659" i="7"/>
  <c r="R1659" i="7"/>
  <c r="P1659" i="7"/>
  <c r="O1659" i="7"/>
  <c r="N1659" i="7"/>
  <c r="M1659" i="7"/>
  <c r="L1659" i="7"/>
  <c r="K1659" i="7"/>
  <c r="J1659" i="7"/>
  <c r="I1659" i="7"/>
  <c r="H1659" i="7"/>
  <c r="G1659" i="7"/>
  <c r="F1659" i="7"/>
  <c r="E1659" i="7"/>
  <c r="D1659" i="7"/>
  <c r="C1659" i="7"/>
  <c r="B1659" i="7"/>
  <c r="A1659" i="7"/>
  <c r="S1658" i="7"/>
  <c r="R1658" i="7"/>
  <c r="P1658" i="7"/>
  <c r="O1658" i="7"/>
  <c r="N1658" i="7"/>
  <c r="M1658" i="7"/>
  <c r="L1658" i="7"/>
  <c r="K1658" i="7"/>
  <c r="J1658" i="7"/>
  <c r="I1658" i="7"/>
  <c r="H1658" i="7"/>
  <c r="G1658" i="7"/>
  <c r="F1658" i="7"/>
  <c r="E1658" i="7"/>
  <c r="D1658" i="7"/>
  <c r="C1658" i="7"/>
  <c r="B1658" i="7"/>
  <c r="A1658" i="7"/>
  <c r="S1657" i="7"/>
  <c r="R1657" i="7"/>
  <c r="P1657" i="7"/>
  <c r="O1657" i="7"/>
  <c r="N1657" i="7"/>
  <c r="M1657" i="7"/>
  <c r="L1657" i="7"/>
  <c r="K1657" i="7"/>
  <c r="J1657" i="7"/>
  <c r="I1657" i="7"/>
  <c r="H1657" i="7"/>
  <c r="G1657" i="7"/>
  <c r="F1657" i="7"/>
  <c r="E1657" i="7"/>
  <c r="D1657" i="7"/>
  <c r="C1657" i="7"/>
  <c r="B1657" i="7"/>
  <c r="A1657" i="7"/>
  <c r="S1656" i="7"/>
  <c r="R1656" i="7"/>
  <c r="P1656" i="7"/>
  <c r="O1656" i="7"/>
  <c r="N1656" i="7"/>
  <c r="M1656" i="7"/>
  <c r="L1656" i="7"/>
  <c r="K1656" i="7"/>
  <c r="J1656" i="7"/>
  <c r="I1656" i="7"/>
  <c r="H1656" i="7"/>
  <c r="G1656" i="7"/>
  <c r="F1656" i="7"/>
  <c r="E1656" i="7"/>
  <c r="D1656" i="7"/>
  <c r="C1656" i="7"/>
  <c r="B1656" i="7"/>
  <c r="A1656" i="7"/>
  <c r="S1655" i="7"/>
  <c r="R1655" i="7"/>
  <c r="P1655" i="7"/>
  <c r="O1655" i="7"/>
  <c r="N1655" i="7"/>
  <c r="M1655" i="7"/>
  <c r="L1655" i="7"/>
  <c r="K1655" i="7"/>
  <c r="J1655" i="7"/>
  <c r="I1655" i="7"/>
  <c r="H1655" i="7"/>
  <c r="G1655" i="7"/>
  <c r="F1655" i="7"/>
  <c r="E1655" i="7"/>
  <c r="D1655" i="7"/>
  <c r="C1655" i="7"/>
  <c r="B1655" i="7"/>
  <c r="A1655" i="7"/>
  <c r="S1654" i="7"/>
  <c r="R1654" i="7"/>
  <c r="P1654" i="7"/>
  <c r="O1654" i="7"/>
  <c r="N1654" i="7"/>
  <c r="M1654" i="7"/>
  <c r="L1654" i="7"/>
  <c r="K1654" i="7"/>
  <c r="J1654" i="7"/>
  <c r="I1654" i="7"/>
  <c r="H1654" i="7"/>
  <c r="G1654" i="7"/>
  <c r="F1654" i="7"/>
  <c r="E1654" i="7"/>
  <c r="D1654" i="7"/>
  <c r="C1654" i="7"/>
  <c r="B1654" i="7"/>
  <c r="A1654" i="7"/>
  <c r="S1653" i="7"/>
  <c r="R1653" i="7"/>
  <c r="P1653" i="7"/>
  <c r="O1653" i="7"/>
  <c r="N1653" i="7"/>
  <c r="M1653" i="7"/>
  <c r="L1653" i="7"/>
  <c r="K1653" i="7"/>
  <c r="J1653" i="7"/>
  <c r="I1653" i="7"/>
  <c r="H1653" i="7"/>
  <c r="G1653" i="7"/>
  <c r="F1653" i="7"/>
  <c r="E1653" i="7"/>
  <c r="D1653" i="7"/>
  <c r="C1653" i="7"/>
  <c r="B1653" i="7"/>
  <c r="A1653" i="7"/>
  <c r="S1652" i="7"/>
  <c r="R1652" i="7"/>
  <c r="Q1652" i="7"/>
  <c r="P1652" i="7"/>
  <c r="O1652" i="7"/>
  <c r="N1652" i="7"/>
  <c r="M1652" i="7"/>
  <c r="L1652" i="7"/>
  <c r="K1652" i="7"/>
  <c r="J1652" i="7"/>
  <c r="I1652" i="7"/>
  <c r="H1652" i="7"/>
  <c r="G1652" i="7"/>
  <c r="F1652" i="7"/>
  <c r="E1652" i="7"/>
  <c r="D1652" i="7"/>
  <c r="C1652" i="7"/>
  <c r="B1652" i="7"/>
  <c r="A1652" i="7"/>
  <c r="S1651" i="7"/>
  <c r="R1651" i="7"/>
  <c r="P1651" i="7"/>
  <c r="O1651" i="7"/>
  <c r="N1651" i="7"/>
  <c r="M1651" i="7"/>
  <c r="L1651" i="7"/>
  <c r="K1651" i="7"/>
  <c r="J1651" i="7"/>
  <c r="I1651" i="7"/>
  <c r="H1651" i="7"/>
  <c r="G1651" i="7"/>
  <c r="F1651" i="7"/>
  <c r="E1651" i="7"/>
  <c r="D1651" i="7"/>
  <c r="C1651" i="7"/>
  <c r="B1651" i="7"/>
  <c r="A1651" i="7"/>
  <c r="S1650" i="7"/>
  <c r="R1650" i="7"/>
  <c r="P1650" i="7"/>
  <c r="O1650" i="7"/>
  <c r="N1650" i="7"/>
  <c r="M1650" i="7"/>
  <c r="L1650" i="7"/>
  <c r="K1650" i="7"/>
  <c r="J1650" i="7"/>
  <c r="I1650" i="7"/>
  <c r="H1650" i="7"/>
  <c r="G1650" i="7"/>
  <c r="F1650" i="7"/>
  <c r="E1650" i="7"/>
  <c r="D1650" i="7"/>
  <c r="C1650" i="7"/>
  <c r="B1650" i="7"/>
  <c r="A1650" i="7"/>
  <c r="S1649" i="7"/>
  <c r="R1649" i="7"/>
  <c r="P1649" i="7"/>
  <c r="O1649" i="7"/>
  <c r="N1649" i="7"/>
  <c r="M1649" i="7"/>
  <c r="L1649" i="7"/>
  <c r="K1649" i="7"/>
  <c r="J1649" i="7"/>
  <c r="I1649" i="7"/>
  <c r="H1649" i="7"/>
  <c r="G1649" i="7"/>
  <c r="F1649" i="7"/>
  <c r="E1649" i="7"/>
  <c r="D1649" i="7"/>
  <c r="C1649" i="7"/>
  <c r="B1649" i="7"/>
  <c r="A1649" i="7"/>
  <c r="S1648" i="7"/>
  <c r="R1648" i="7"/>
  <c r="P1648" i="7"/>
  <c r="O1648" i="7"/>
  <c r="N1648" i="7"/>
  <c r="M1648" i="7"/>
  <c r="L1648" i="7"/>
  <c r="K1648" i="7"/>
  <c r="J1648" i="7"/>
  <c r="I1648" i="7"/>
  <c r="H1648" i="7"/>
  <c r="G1648" i="7"/>
  <c r="F1648" i="7"/>
  <c r="E1648" i="7"/>
  <c r="D1648" i="7"/>
  <c r="C1648" i="7"/>
  <c r="B1648" i="7"/>
  <c r="A1648" i="7"/>
  <c r="S1647" i="7"/>
  <c r="R1647" i="7"/>
  <c r="Q1647" i="7"/>
  <c r="P1647" i="7"/>
  <c r="O1647" i="7"/>
  <c r="N1647" i="7"/>
  <c r="M1647" i="7"/>
  <c r="L1647" i="7"/>
  <c r="K1647" i="7"/>
  <c r="J1647" i="7"/>
  <c r="I1647" i="7"/>
  <c r="H1647" i="7"/>
  <c r="G1647" i="7"/>
  <c r="F1647" i="7"/>
  <c r="E1647" i="7"/>
  <c r="D1647" i="7"/>
  <c r="C1647" i="7"/>
  <c r="B1647" i="7"/>
  <c r="A1647" i="7"/>
  <c r="S1646" i="7"/>
  <c r="R1646" i="7"/>
  <c r="P1646" i="7"/>
  <c r="O1646" i="7"/>
  <c r="N1646" i="7"/>
  <c r="M1646" i="7"/>
  <c r="L1646" i="7"/>
  <c r="K1646" i="7"/>
  <c r="J1646" i="7"/>
  <c r="I1646" i="7"/>
  <c r="H1646" i="7"/>
  <c r="G1646" i="7"/>
  <c r="F1646" i="7"/>
  <c r="E1646" i="7"/>
  <c r="D1646" i="7"/>
  <c r="C1646" i="7"/>
  <c r="B1646" i="7"/>
  <c r="A1646" i="7"/>
  <c r="S1645" i="7"/>
  <c r="R1645" i="7"/>
  <c r="P1645" i="7"/>
  <c r="O1645" i="7"/>
  <c r="N1645" i="7"/>
  <c r="M1645" i="7"/>
  <c r="L1645" i="7"/>
  <c r="K1645" i="7"/>
  <c r="J1645" i="7"/>
  <c r="I1645" i="7"/>
  <c r="H1645" i="7"/>
  <c r="G1645" i="7"/>
  <c r="F1645" i="7"/>
  <c r="E1645" i="7"/>
  <c r="D1645" i="7"/>
  <c r="C1645" i="7"/>
  <c r="B1645" i="7"/>
  <c r="A1645" i="7"/>
  <c r="S1644" i="7"/>
  <c r="R1644" i="7"/>
  <c r="P1644" i="7"/>
  <c r="O1644" i="7"/>
  <c r="N1644" i="7"/>
  <c r="M1644" i="7"/>
  <c r="L1644" i="7"/>
  <c r="K1644" i="7"/>
  <c r="J1644" i="7"/>
  <c r="I1644" i="7"/>
  <c r="H1644" i="7"/>
  <c r="G1644" i="7"/>
  <c r="F1644" i="7"/>
  <c r="E1644" i="7"/>
  <c r="D1644" i="7"/>
  <c r="C1644" i="7"/>
  <c r="B1644" i="7"/>
  <c r="A1644" i="7"/>
  <c r="S1643" i="7"/>
  <c r="R1643" i="7"/>
  <c r="P1643" i="7"/>
  <c r="O1643" i="7"/>
  <c r="N1643" i="7"/>
  <c r="M1643" i="7"/>
  <c r="L1643" i="7"/>
  <c r="K1643" i="7"/>
  <c r="J1643" i="7"/>
  <c r="I1643" i="7"/>
  <c r="H1643" i="7"/>
  <c r="G1643" i="7"/>
  <c r="F1643" i="7"/>
  <c r="E1643" i="7"/>
  <c r="D1643" i="7"/>
  <c r="C1643" i="7"/>
  <c r="B1643" i="7"/>
  <c r="A1643" i="7"/>
  <c r="S1642" i="7"/>
  <c r="R1642" i="7"/>
  <c r="P1642" i="7"/>
  <c r="O1642" i="7"/>
  <c r="N1642" i="7"/>
  <c r="M1642" i="7"/>
  <c r="L1642" i="7"/>
  <c r="K1642" i="7"/>
  <c r="J1642" i="7"/>
  <c r="I1642" i="7"/>
  <c r="H1642" i="7"/>
  <c r="G1642" i="7"/>
  <c r="F1642" i="7"/>
  <c r="E1642" i="7"/>
  <c r="D1642" i="7"/>
  <c r="C1642" i="7"/>
  <c r="B1642" i="7"/>
  <c r="A1642" i="7"/>
  <c r="S1641" i="7"/>
  <c r="R1641" i="7"/>
  <c r="Q1641" i="7"/>
  <c r="P1641" i="7"/>
  <c r="O1641" i="7"/>
  <c r="N1641" i="7"/>
  <c r="M1641" i="7"/>
  <c r="L1641" i="7"/>
  <c r="K1641" i="7"/>
  <c r="J1641" i="7"/>
  <c r="I1641" i="7"/>
  <c r="H1641" i="7"/>
  <c r="G1641" i="7"/>
  <c r="F1641" i="7"/>
  <c r="E1641" i="7"/>
  <c r="D1641" i="7"/>
  <c r="C1641" i="7"/>
  <c r="B1641" i="7"/>
  <c r="A1641" i="7"/>
  <c r="S1640" i="7"/>
  <c r="R1640" i="7"/>
  <c r="Q1640" i="7"/>
  <c r="P1640" i="7"/>
  <c r="O1640" i="7"/>
  <c r="N1640" i="7"/>
  <c r="M1640" i="7"/>
  <c r="L1640" i="7"/>
  <c r="K1640" i="7"/>
  <c r="J1640" i="7"/>
  <c r="I1640" i="7"/>
  <c r="H1640" i="7"/>
  <c r="G1640" i="7"/>
  <c r="F1640" i="7"/>
  <c r="E1640" i="7"/>
  <c r="D1640" i="7"/>
  <c r="C1640" i="7"/>
  <c r="B1640" i="7"/>
  <c r="A1640" i="7"/>
  <c r="S1639" i="7"/>
  <c r="R1639" i="7"/>
  <c r="P1639" i="7"/>
  <c r="O1639" i="7"/>
  <c r="N1639" i="7"/>
  <c r="M1639" i="7"/>
  <c r="L1639" i="7"/>
  <c r="K1639" i="7"/>
  <c r="J1639" i="7"/>
  <c r="I1639" i="7"/>
  <c r="H1639" i="7"/>
  <c r="G1639" i="7"/>
  <c r="F1639" i="7"/>
  <c r="E1639" i="7"/>
  <c r="D1639" i="7"/>
  <c r="C1639" i="7"/>
  <c r="B1639" i="7"/>
  <c r="A1639" i="7"/>
  <c r="S1638" i="7"/>
  <c r="R1638" i="7"/>
  <c r="P1638" i="7"/>
  <c r="O1638" i="7"/>
  <c r="N1638" i="7"/>
  <c r="M1638" i="7"/>
  <c r="L1638" i="7"/>
  <c r="K1638" i="7"/>
  <c r="J1638" i="7"/>
  <c r="I1638" i="7"/>
  <c r="H1638" i="7"/>
  <c r="G1638" i="7"/>
  <c r="F1638" i="7"/>
  <c r="E1638" i="7"/>
  <c r="D1638" i="7"/>
  <c r="C1638" i="7"/>
  <c r="B1638" i="7"/>
  <c r="A1638" i="7"/>
  <c r="S1637" i="7"/>
  <c r="R1637" i="7"/>
  <c r="P1637" i="7"/>
  <c r="O1637" i="7"/>
  <c r="N1637" i="7"/>
  <c r="M1637" i="7"/>
  <c r="L1637" i="7"/>
  <c r="K1637" i="7"/>
  <c r="J1637" i="7"/>
  <c r="I1637" i="7"/>
  <c r="H1637" i="7"/>
  <c r="G1637" i="7"/>
  <c r="F1637" i="7"/>
  <c r="E1637" i="7"/>
  <c r="D1637" i="7"/>
  <c r="C1637" i="7"/>
  <c r="B1637" i="7"/>
  <c r="A1637" i="7"/>
  <c r="S1636" i="7"/>
  <c r="R1636" i="7"/>
  <c r="P1636" i="7"/>
  <c r="O1636" i="7"/>
  <c r="N1636" i="7"/>
  <c r="M1636" i="7"/>
  <c r="L1636" i="7"/>
  <c r="K1636" i="7"/>
  <c r="J1636" i="7"/>
  <c r="I1636" i="7"/>
  <c r="H1636" i="7"/>
  <c r="G1636" i="7"/>
  <c r="F1636" i="7"/>
  <c r="E1636" i="7"/>
  <c r="D1636" i="7"/>
  <c r="C1636" i="7"/>
  <c r="B1636" i="7"/>
  <c r="A1636" i="7"/>
  <c r="S1635" i="7"/>
  <c r="R1635" i="7"/>
  <c r="Q1635" i="7"/>
  <c r="P1635" i="7"/>
  <c r="O1635" i="7"/>
  <c r="N1635" i="7"/>
  <c r="M1635" i="7"/>
  <c r="L1635" i="7"/>
  <c r="K1635" i="7"/>
  <c r="J1635" i="7"/>
  <c r="I1635" i="7"/>
  <c r="H1635" i="7"/>
  <c r="G1635" i="7"/>
  <c r="F1635" i="7"/>
  <c r="E1635" i="7"/>
  <c r="D1635" i="7"/>
  <c r="C1635" i="7"/>
  <c r="B1635" i="7"/>
  <c r="A1635" i="7"/>
  <c r="S1634" i="7"/>
  <c r="R1634" i="7"/>
  <c r="P1634" i="7"/>
  <c r="O1634" i="7"/>
  <c r="N1634" i="7"/>
  <c r="M1634" i="7"/>
  <c r="L1634" i="7"/>
  <c r="K1634" i="7"/>
  <c r="J1634" i="7"/>
  <c r="I1634" i="7"/>
  <c r="H1634" i="7"/>
  <c r="G1634" i="7"/>
  <c r="F1634" i="7"/>
  <c r="E1634" i="7"/>
  <c r="D1634" i="7"/>
  <c r="C1634" i="7"/>
  <c r="B1634" i="7"/>
  <c r="A1634" i="7"/>
  <c r="S1633" i="7"/>
  <c r="R1633" i="7"/>
  <c r="P1633" i="7"/>
  <c r="O1633" i="7"/>
  <c r="N1633" i="7"/>
  <c r="M1633" i="7"/>
  <c r="L1633" i="7"/>
  <c r="K1633" i="7"/>
  <c r="J1633" i="7"/>
  <c r="I1633" i="7"/>
  <c r="H1633" i="7"/>
  <c r="G1633" i="7"/>
  <c r="F1633" i="7"/>
  <c r="E1633" i="7"/>
  <c r="D1633" i="7"/>
  <c r="C1633" i="7"/>
  <c r="B1633" i="7"/>
  <c r="A1633" i="7"/>
  <c r="S1632" i="7"/>
  <c r="R1632" i="7"/>
  <c r="P1632" i="7"/>
  <c r="O1632" i="7"/>
  <c r="N1632" i="7"/>
  <c r="M1632" i="7"/>
  <c r="L1632" i="7"/>
  <c r="K1632" i="7"/>
  <c r="J1632" i="7"/>
  <c r="I1632" i="7"/>
  <c r="H1632" i="7"/>
  <c r="G1632" i="7"/>
  <c r="F1632" i="7"/>
  <c r="E1632" i="7"/>
  <c r="D1632" i="7"/>
  <c r="C1632" i="7"/>
  <c r="B1632" i="7"/>
  <c r="A1632" i="7"/>
  <c r="S1631" i="7"/>
  <c r="R1631" i="7"/>
  <c r="P1631" i="7"/>
  <c r="O1631" i="7"/>
  <c r="N1631" i="7"/>
  <c r="M1631" i="7"/>
  <c r="L1631" i="7"/>
  <c r="K1631" i="7"/>
  <c r="J1631" i="7"/>
  <c r="I1631" i="7"/>
  <c r="H1631" i="7"/>
  <c r="G1631" i="7"/>
  <c r="F1631" i="7"/>
  <c r="E1631" i="7"/>
  <c r="D1631" i="7"/>
  <c r="C1631" i="7"/>
  <c r="B1631" i="7"/>
  <c r="A1631" i="7"/>
  <c r="S1630" i="7"/>
  <c r="R1630" i="7"/>
  <c r="P1630" i="7"/>
  <c r="O1630" i="7"/>
  <c r="N1630" i="7"/>
  <c r="M1630" i="7"/>
  <c r="L1630" i="7"/>
  <c r="K1630" i="7"/>
  <c r="J1630" i="7"/>
  <c r="I1630" i="7"/>
  <c r="H1630" i="7"/>
  <c r="G1630" i="7"/>
  <c r="F1630" i="7"/>
  <c r="E1630" i="7"/>
  <c r="D1630" i="7"/>
  <c r="C1630" i="7"/>
  <c r="B1630" i="7"/>
  <c r="A1630" i="7"/>
  <c r="S1629" i="7"/>
  <c r="R1629" i="7"/>
  <c r="Q1629" i="7"/>
  <c r="P1629" i="7"/>
  <c r="O1629" i="7"/>
  <c r="N1629" i="7"/>
  <c r="M1629" i="7"/>
  <c r="L1629" i="7"/>
  <c r="K1629" i="7"/>
  <c r="J1629" i="7"/>
  <c r="I1629" i="7"/>
  <c r="H1629" i="7"/>
  <c r="G1629" i="7"/>
  <c r="F1629" i="7"/>
  <c r="E1629" i="7"/>
  <c r="D1629" i="7"/>
  <c r="C1629" i="7"/>
  <c r="B1629" i="7"/>
  <c r="A1629" i="7"/>
  <c r="S1628" i="7"/>
  <c r="R1628" i="7"/>
  <c r="Q1628" i="7"/>
  <c r="P1628" i="7"/>
  <c r="O1628" i="7"/>
  <c r="N1628" i="7"/>
  <c r="M1628" i="7"/>
  <c r="L1628" i="7"/>
  <c r="K1628" i="7"/>
  <c r="J1628" i="7"/>
  <c r="I1628" i="7"/>
  <c r="H1628" i="7"/>
  <c r="G1628" i="7"/>
  <c r="F1628" i="7"/>
  <c r="E1628" i="7"/>
  <c r="D1628" i="7"/>
  <c r="C1628" i="7"/>
  <c r="B1628" i="7"/>
  <c r="A1628" i="7"/>
  <c r="S1627" i="7"/>
  <c r="R1627" i="7"/>
  <c r="P1627" i="7"/>
  <c r="O1627" i="7"/>
  <c r="N1627" i="7"/>
  <c r="M1627" i="7"/>
  <c r="L1627" i="7"/>
  <c r="K1627" i="7"/>
  <c r="J1627" i="7"/>
  <c r="I1627" i="7"/>
  <c r="H1627" i="7"/>
  <c r="G1627" i="7"/>
  <c r="F1627" i="7"/>
  <c r="E1627" i="7"/>
  <c r="D1627" i="7"/>
  <c r="C1627" i="7"/>
  <c r="B1627" i="7"/>
  <c r="A1627" i="7"/>
  <c r="S1626" i="7"/>
  <c r="R1626" i="7"/>
  <c r="Q1626" i="7"/>
  <c r="P1626" i="7"/>
  <c r="O1626" i="7"/>
  <c r="N1626" i="7"/>
  <c r="M1626" i="7"/>
  <c r="L1626" i="7"/>
  <c r="K1626" i="7"/>
  <c r="J1626" i="7"/>
  <c r="I1626" i="7"/>
  <c r="H1626" i="7"/>
  <c r="G1626" i="7"/>
  <c r="F1626" i="7"/>
  <c r="E1626" i="7"/>
  <c r="D1626" i="7"/>
  <c r="C1626" i="7"/>
  <c r="B1626" i="7"/>
  <c r="A1626" i="7"/>
  <c r="S1625" i="7"/>
  <c r="R1625" i="7"/>
  <c r="Q1625" i="7"/>
  <c r="P1625" i="7"/>
  <c r="O1625" i="7"/>
  <c r="N1625" i="7"/>
  <c r="M1625" i="7"/>
  <c r="L1625" i="7"/>
  <c r="K1625" i="7"/>
  <c r="J1625" i="7"/>
  <c r="I1625" i="7"/>
  <c r="H1625" i="7"/>
  <c r="G1625" i="7"/>
  <c r="F1625" i="7"/>
  <c r="E1625" i="7"/>
  <c r="D1625" i="7"/>
  <c r="C1625" i="7"/>
  <c r="B1625" i="7"/>
  <c r="A1625" i="7"/>
  <c r="S1624" i="7"/>
  <c r="R1624" i="7"/>
  <c r="P1624" i="7"/>
  <c r="O1624" i="7"/>
  <c r="N1624" i="7"/>
  <c r="M1624" i="7"/>
  <c r="L1624" i="7"/>
  <c r="K1624" i="7"/>
  <c r="J1624" i="7"/>
  <c r="I1624" i="7"/>
  <c r="H1624" i="7"/>
  <c r="G1624" i="7"/>
  <c r="F1624" i="7"/>
  <c r="E1624" i="7"/>
  <c r="D1624" i="7"/>
  <c r="C1624" i="7"/>
  <c r="B1624" i="7"/>
  <c r="A1624" i="7"/>
  <c r="S1623" i="7"/>
  <c r="R1623" i="7"/>
  <c r="P1623" i="7"/>
  <c r="O1623" i="7"/>
  <c r="N1623" i="7"/>
  <c r="M1623" i="7"/>
  <c r="L1623" i="7"/>
  <c r="K1623" i="7"/>
  <c r="J1623" i="7"/>
  <c r="I1623" i="7"/>
  <c r="H1623" i="7"/>
  <c r="G1623" i="7"/>
  <c r="F1623" i="7"/>
  <c r="E1623" i="7"/>
  <c r="D1623" i="7"/>
  <c r="C1623" i="7"/>
  <c r="B1623" i="7"/>
  <c r="A1623" i="7"/>
  <c r="S1622" i="7"/>
  <c r="R1622" i="7"/>
  <c r="Q1622" i="7"/>
  <c r="P1622" i="7"/>
  <c r="O1622" i="7"/>
  <c r="N1622" i="7"/>
  <c r="M1622" i="7"/>
  <c r="L1622" i="7"/>
  <c r="K1622" i="7"/>
  <c r="J1622" i="7"/>
  <c r="I1622" i="7"/>
  <c r="H1622" i="7"/>
  <c r="G1622" i="7"/>
  <c r="F1622" i="7"/>
  <c r="E1622" i="7"/>
  <c r="D1622" i="7"/>
  <c r="C1622" i="7"/>
  <c r="B1622" i="7"/>
  <c r="A1622" i="7"/>
  <c r="S1621" i="7"/>
  <c r="R1621" i="7"/>
  <c r="Q1621" i="7"/>
  <c r="P1621" i="7"/>
  <c r="O1621" i="7"/>
  <c r="N1621" i="7"/>
  <c r="M1621" i="7"/>
  <c r="L1621" i="7"/>
  <c r="K1621" i="7"/>
  <c r="J1621" i="7"/>
  <c r="I1621" i="7"/>
  <c r="H1621" i="7"/>
  <c r="G1621" i="7"/>
  <c r="F1621" i="7"/>
  <c r="E1621" i="7"/>
  <c r="D1621" i="7"/>
  <c r="C1621" i="7"/>
  <c r="B1621" i="7"/>
  <c r="A1621" i="7"/>
  <c r="S1620" i="7"/>
  <c r="R1620" i="7"/>
  <c r="Q1620" i="7"/>
  <c r="P1620" i="7"/>
  <c r="O1620" i="7"/>
  <c r="N1620" i="7"/>
  <c r="M1620" i="7"/>
  <c r="L1620" i="7"/>
  <c r="K1620" i="7"/>
  <c r="J1620" i="7"/>
  <c r="I1620" i="7"/>
  <c r="H1620" i="7"/>
  <c r="G1620" i="7"/>
  <c r="F1620" i="7"/>
  <c r="E1620" i="7"/>
  <c r="D1620" i="7"/>
  <c r="C1620" i="7"/>
  <c r="B1620" i="7"/>
  <c r="A1620" i="7"/>
  <c r="S1619" i="7"/>
  <c r="R1619" i="7"/>
  <c r="P1619" i="7"/>
  <c r="O1619" i="7"/>
  <c r="N1619" i="7"/>
  <c r="M1619" i="7"/>
  <c r="L1619" i="7"/>
  <c r="K1619" i="7"/>
  <c r="J1619" i="7"/>
  <c r="I1619" i="7"/>
  <c r="H1619" i="7"/>
  <c r="G1619" i="7"/>
  <c r="F1619" i="7"/>
  <c r="E1619" i="7"/>
  <c r="D1619" i="7"/>
  <c r="C1619" i="7"/>
  <c r="B1619" i="7"/>
  <c r="A1619" i="7"/>
  <c r="S1618" i="7"/>
  <c r="R1618" i="7"/>
  <c r="Q1618" i="7"/>
  <c r="P1618" i="7"/>
  <c r="O1618" i="7"/>
  <c r="N1618" i="7"/>
  <c r="M1618" i="7"/>
  <c r="L1618" i="7"/>
  <c r="K1618" i="7"/>
  <c r="J1618" i="7"/>
  <c r="I1618" i="7"/>
  <c r="H1618" i="7"/>
  <c r="G1618" i="7"/>
  <c r="F1618" i="7"/>
  <c r="E1618" i="7"/>
  <c r="D1618" i="7"/>
  <c r="C1618" i="7"/>
  <c r="B1618" i="7"/>
  <c r="A1618" i="7"/>
  <c r="S1617" i="7"/>
  <c r="R1617" i="7"/>
  <c r="P1617" i="7"/>
  <c r="O1617" i="7"/>
  <c r="N1617" i="7"/>
  <c r="M1617" i="7"/>
  <c r="L1617" i="7"/>
  <c r="K1617" i="7"/>
  <c r="J1617" i="7"/>
  <c r="I1617" i="7"/>
  <c r="H1617" i="7"/>
  <c r="G1617" i="7"/>
  <c r="F1617" i="7"/>
  <c r="E1617" i="7"/>
  <c r="D1617" i="7"/>
  <c r="C1617" i="7"/>
  <c r="B1617" i="7"/>
  <c r="A1617" i="7"/>
  <c r="S1616" i="7"/>
  <c r="R1616" i="7"/>
  <c r="Q1616" i="7"/>
  <c r="P1616" i="7"/>
  <c r="O1616" i="7"/>
  <c r="N1616" i="7"/>
  <c r="M1616" i="7"/>
  <c r="L1616" i="7"/>
  <c r="K1616" i="7"/>
  <c r="J1616" i="7"/>
  <c r="I1616" i="7"/>
  <c r="H1616" i="7"/>
  <c r="G1616" i="7"/>
  <c r="F1616" i="7"/>
  <c r="E1616" i="7"/>
  <c r="D1616" i="7"/>
  <c r="C1616" i="7"/>
  <c r="B1616" i="7"/>
  <c r="A1616" i="7"/>
  <c r="S1615" i="7"/>
  <c r="R1615" i="7"/>
  <c r="P1615" i="7"/>
  <c r="O1615" i="7"/>
  <c r="N1615" i="7"/>
  <c r="M1615" i="7"/>
  <c r="L1615" i="7"/>
  <c r="K1615" i="7"/>
  <c r="J1615" i="7"/>
  <c r="I1615" i="7"/>
  <c r="H1615" i="7"/>
  <c r="G1615" i="7"/>
  <c r="F1615" i="7"/>
  <c r="E1615" i="7"/>
  <c r="D1615" i="7"/>
  <c r="C1615" i="7"/>
  <c r="B1615" i="7"/>
  <c r="A1615" i="7"/>
  <c r="S1614" i="7"/>
  <c r="R1614" i="7"/>
  <c r="P1614" i="7"/>
  <c r="O1614" i="7"/>
  <c r="N1614" i="7"/>
  <c r="M1614" i="7"/>
  <c r="L1614" i="7"/>
  <c r="K1614" i="7"/>
  <c r="J1614" i="7"/>
  <c r="I1614" i="7"/>
  <c r="H1614" i="7"/>
  <c r="G1614" i="7"/>
  <c r="F1614" i="7"/>
  <c r="E1614" i="7"/>
  <c r="D1614" i="7"/>
  <c r="C1614" i="7"/>
  <c r="B1614" i="7"/>
  <c r="A1614" i="7"/>
  <c r="S1613" i="7"/>
  <c r="R1613" i="7"/>
  <c r="P1613" i="7"/>
  <c r="O1613" i="7"/>
  <c r="N1613" i="7"/>
  <c r="M1613" i="7"/>
  <c r="L1613" i="7"/>
  <c r="K1613" i="7"/>
  <c r="J1613" i="7"/>
  <c r="I1613" i="7"/>
  <c r="H1613" i="7"/>
  <c r="G1613" i="7"/>
  <c r="F1613" i="7"/>
  <c r="E1613" i="7"/>
  <c r="D1613" i="7"/>
  <c r="C1613" i="7"/>
  <c r="B1613" i="7"/>
  <c r="A1613" i="7"/>
  <c r="S1612" i="7"/>
  <c r="R1612" i="7"/>
  <c r="Q1612" i="7"/>
  <c r="P1612" i="7"/>
  <c r="O1612" i="7"/>
  <c r="N1612" i="7"/>
  <c r="M1612" i="7"/>
  <c r="L1612" i="7"/>
  <c r="K1612" i="7"/>
  <c r="J1612" i="7"/>
  <c r="I1612" i="7"/>
  <c r="H1612" i="7"/>
  <c r="G1612" i="7"/>
  <c r="F1612" i="7"/>
  <c r="E1612" i="7"/>
  <c r="D1612" i="7"/>
  <c r="C1612" i="7"/>
  <c r="B1612" i="7"/>
  <c r="A1612" i="7"/>
  <c r="S1611" i="7"/>
  <c r="R1611" i="7"/>
  <c r="Q1611" i="7"/>
  <c r="P1611" i="7"/>
  <c r="O1611" i="7"/>
  <c r="N1611" i="7"/>
  <c r="M1611" i="7"/>
  <c r="L1611" i="7"/>
  <c r="K1611" i="7"/>
  <c r="J1611" i="7"/>
  <c r="I1611" i="7"/>
  <c r="H1611" i="7"/>
  <c r="G1611" i="7"/>
  <c r="F1611" i="7"/>
  <c r="E1611" i="7"/>
  <c r="D1611" i="7"/>
  <c r="C1611" i="7"/>
  <c r="B1611" i="7"/>
  <c r="A1611" i="7"/>
  <c r="S1610" i="7"/>
  <c r="R1610" i="7"/>
  <c r="P1610" i="7"/>
  <c r="O1610" i="7"/>
  <c r="N1610" i="7"/>
  <c r="M1610" i="7"/>
  <c r="L1610" i="7"/>
  <c r="K1610" i="7"/>
  <c r="J1610" i="7"/>
  <c r="I1610" i="7"/>
  <c r="H1610" i="7"/>
  <c r="G1610" i="7"/>
  <c r="F1610" i="7"/>
  <c r="E1610" i="7"/>
  <c r="D1610" i="7"/>
  <c r="C1610" i="7"/>
  <c r="B1610" i="7"/>
  <c r="A1610" i="7"/>
  <c r="S1609" i="7"/>
  <c r="R1609" i="7"/>
  <c r="Q1609" i="7"/>
  <c r="P1609" i="7"/>
  <c r="O1609" i="7"/>
  <c r="N1609" i="7"/>
  <c r="M1609" i="7"/>
  <c r="L1609" i="7"/>
  <c r="K1609" i="7"/>
  <c r="J1609" i="7"/>
  <c r="I1609" i="7"/>
  <c r="H1609" i="7"/>
  <c r="G1609" i="7"/>
  <c r="F1609" i="7"/>
  <c r="E1609" i="7"/>
  <c r="D1609" i="7"/>
  <c r="C1609" i="7"/>
  <c r="B1609" i="7"/>
  <c r="A1609" i="7"/>
  <c r="S1608" i="7"/>
  <c r="R1608" i="7"/>
  <c r="P1608" i="7"/>
  <c r="O1608" i="7"/>
  <c r="N1608" i="7"/>
  <c r="M1608" i="7"/>
  <c r="L1608" i="7"/>
  <c r="K1608" i="7"/>
  <c r="J1608" i="7"/>
  <c r="I1608" i="7"/>
  <c r="H1608" i="7"/>
  <c r="G1608" i="7"/>
  <c r="F1608" i="7"/>
  <c r="E1608" i="7"/>
  <c r="D1608" i="7"/>
  <c r="C1608" i="7"/>
  <c r="B1608" i="7"/>
  <c r="A1608" i="7"/>
  <c r="S1607" i="7"/>
  <c r="R1607" i="7"/>
  <c r="Q1607" i="7"/>
  <c r="P1607" i="7"/>
  <c r="O1607" i="7"/>
  <c r="N1607" i="7"/>
  <c r="M1607" i="7"/>
  <c r="L1607" i="7"/>
  <c r="K1607" i="7"/>
  <c r="J1607" i="7"/>
  <c r="I1607" i="7"/>
  <c r="H1607" i="7"/>
  <c r="G1607" i="7"/>
  <c r="F1607" i="7"/>
  <c r="E1607" i="7"/>
  <c r="D1607" i="7"/>
  <c r="C1607" i="7"/>
  <c r="B1607" i="7"/>
  <c r="A1607" i="7"/>
  <c r="S1606" i="7"/>
  <c r="R1606" i="7"/>
  <c r="Q1606" i="7"/>
  <c r="P1606" i="7"/>
  <c r="O1606" i="7"/>
  <c r="N1606" i="7"/>
  <c r="M1606" i="7"/>
  <c r="L1606" i="7"/>
  <c r="K1606" i="7"/>
  <c r="J1606" i="7"/>
  <c r="I1606" i="7"/>
  <c r="H1606" i="7"/>
  <c r="G1606" i="7"/>
  <c r="F1606" i="7"/>
  <c r="E1606" i="7"/>
  <c r="D1606" i="7"/>
  <c r="C1606" i="7"/>
  <c r="B1606" i="7"/>
  <c r="A1606" i="7"/>
  <c r="S1605" i="7"/>
  <c r="R1605" i="7"/>
  <c r="P1605" i="7"/>
  <c r="O1605" i="7"/>
  <c r="N1605" i="7"/>
  <c r="M1605" i="7"/>
  <c r="L1605" i="7"/>
  <c r="K1605" i="7"/>
  <c r="J1605" i="7"/>
  <c r="I1605" i="7"/>
  <c r="H1605" i="7"/>
  <c r="G1605" i="7"/>
  <c r="F1605" i="7"/>
  <c r="E1605" i="7"/>
  <c r="D1605" i="7"/>
  <c r="C1605" i="7"/>
  <c r="B1605" i="7"/>
  <c r="A1605" i="7"/>
  <c r="S1604" i="7"/>
  <c r="R1604" i="7"/>
  <c r="P1604" i="7"/>
  <c r="O1604" i="7"/>
  <c r="N1604" i="7"/>
  <c r="M1604" i="7"/>
  <c r="L1604" i="7"/>
  <c r="K1604" i="7"/>
  <c r="J1604" i="7"/>
  <c r="I1604" i="7"/>
  <c r="H1604" i="7"/>
  <c r="G1604" i="7"/>
  <c r="F1604" i="7"/>
  <c r="E1604" i="7"/>
  <c r="D1604" i="7"/>
  <c r="C1604" i="7"/>
  <c r="B1604" i="7"/>
  <c r="A1604" i="7"/>
  <c r="S1603" i="7"/>
  <c r="R1603" i="7"/>
  <c r="Q1603" i="7"/>
  <c r="P1603" i="7"/>
  <c r="O1603" i="7"/>
  <c r="N1603" i="7"/>
  <c r="M1603" i="7"/>
  <c r="L1603" i="7"/>
  <c r="K1603" i="7"/>
  <c r="J1603" i="7"/>
  <c r="I1603" i="7"/>
  <c r="H1603" i="7"/>
  <c r="G1603" i="7"/>
  <c r="F1603" i="7"/>
  <c r="E1603" i="7"/>
  <c r="D1603" i="7"/>
  <c r="C1603" i="7"/>
  <c r="B1603" i="7"/>
  <c r="A1603" i="7"/>
  <c r="S1602" i="7"/>
  <c r="R1602" i="7"/>
  <c r="Q1602" i="7"/>
  <c r="P1602" i="7"/>
  <c r="O1602" i="7"/>
  <c r="N1602" i="7"/>
  <c r="M1602" i="7"/>
  <c r="L1602" i="7"/>
  <c r="K1602" i="7"/>
  <c r="J1602" i="7"/>
  <c r="I1602" i="7"/>
  <c r="H1602" i="7"/>
  <c r="G1602" i="7"/>
  <c r="F1602" i="7"/>
  <c r="E1602" i="7"/>
  <c r="D1602" i="7"/>
  <c r="C1602" i="7"/>
  <c r="B1602" i="7"/>
  <c r="A1602" i="7"/>
  <c r="S1601" i="7"/>
  <c r="R1601" i="7"/>
  <c r="Q1601" i="7"/>
  <c r="P1601" i="7"/>
  <c r="O1601" i="7"/>
  <c r="N1601" i="7"/>
  <c r="M1601" i="7"/>
  <c r="L1601" i="7"/>
  <c r="K1601" i="7"/>
  <c r="J1601" i="7"/>
  <c r="I1601" i="7"/>
  <c r="H1601" i="7"/>
  <c r="G1601" i="7"/>
  <c r="F1601" i="7"/>
  <c r="E1601" i="7"/>
  <c r="D1601" i="7"/>
  <c r="C1601" i="7"/>
  <c r="B1601" i="7"/>
  <c r="A1601" i="7"/>
  <c r="S1600" i="7"/>
  <c r="R1600" i="7"/>
  <c r="P1600" i="7"/>
  <c r="O1600" i="7"/>
  <c r="N1600" i="7"/>
  <c r="M1600" i="7"/>
  <c r="L1600" i="7"/>
  <c r="K1600" i="7"/>
  <c r="J1600" i="7"/>
  <c r="I1600" i="7"/>
  <c r="H1600" i="7"/>
  <c r="G1600" i="7"/>
  <c r="F1600" i="7"/>
  <c r="E1600" i="7"/>
  <c r="D1600" i="7"/>
  <c r="C1600" i="7"/>
  <c r="B1600" i="7"/>
  <c r="A1600" i="7"/>
  <c r="S1599" i="7"/>
  <c r="R1599" i="7"/>
  <c r="Q1599" i="7"/>
  <c r="P1599" i="7"/>
  <c r="O1599" i="7"/>
  <c r="N1599" i="7"/>
  <c r="M1599" i="7"/>
  <c r="L1599" i="7"/>
  <c r="K1599" i="7"/>
  <c r="J1599" i="7"/>
  <c r="I1599" i="7"/>
  <c r="H1599" i="7"/>
  <c r="G1599" i="7"/>
  <c r="F1599" i="7"/>
  <c r="E1599" i="7"/>
  <c r="D1599" i="7"/>
  <c r="C1599" i="7"/>
  <c r="B1599" i="7"/>
  <c r="A1599" i="7"/>
  <c r="S1598" i="7"/>
  <c r="R1598" i="7"/>
  <c r="P1598" i="7"/>
  <c r="O1598" i="7"/>
  <c r="N1598" i="7"/>
  <c r="M1598" i="7"/>
  <c r="L1598" i="7"/>
  <c r="K1598" i="7"/>
  <c r="J1598" i="7"/>
  <c r="I1598" i="7"/>
  <c r="H1598" i="7"/>
  <c r="G1598" i="7"/>
  <c r="F1598" i="7"/>
  <c r="E1598" i="7"/>
  <c r="D1598" i="7"/>
  <c r="C1598" i="7"/>
  <c r="B1598" i="7"/>
  <c r="A1598" i="7"/>
  <c r="S1597" i="7"/>
  <c r="R1597" i="7"/>
  <c r="P1597" i="7"/>
  <c r="O1597" i="7"/>
  <c r="N1597" i="7"/>
  <c r="M1597" i="7"/>
  <c r="L1597" i="7"/>
  <c r="K1597" i="7"/>
  <c r="J1597" i="7"/>
  <c r="I1597" i="7"/>
  <c r="H1597" i="7"/>
  <c r="G1597" i="7"/>
  <c r="F1597" i="7"/>
  <c r="E1597" i="7"/>
  <c r="D1597" i="7"/>
  <c r="C1597" i="7"/>
  <c r="B1597" i="7"/>
  <c r="A1597" i="7"/>
  <c r="S1596" i="7"/>
  <c r="R1596" i="7"/>
  <c r="P1596" i="7"/>
  <c r="O1596" i="7"/>
  <c r="N1596" i="7"/>
  <c r="M1596" i="7"/>
  <c r="L1596" i="7"/>
  <c r="K1596" i="7"/>
  <c r="J1596" i="7"/>
  <c r="I1596" i="7"/>
  <c r="H1596" i="7"/>
  <c r="G1596" i="7"/>
  <c r="F1596" i="7"/>
  <c r="E1596" i="7"/>
  <c r="D1596" i="7"/>
  <c r="C1596" i="7"/>
  <c r="B1596" i="7"/>
  <c r="A1596" i="7"/>
  <c r="S1595" i="7"/>
  <c r="R1595" i="7"/>
  <c r="Q1595" i="7"/>
  <c r="P1595" i="7"/>
  <c r="O1595" i="7"/>
  <c r="N1595" i="7"/>
  <c r="M1595" i="7"/>
  <c r="L1595" i="7"/>
  <c r="K1595" i="7"/>
  <c r="J1595" i="7"/>
  <c r="I1595" i="7"/>
  <c r="H1595" i="7"/>
  <c r="G1595" i="7"/>
  <c r="F1595" i="7"/>
  <c r="E1595" i="7"/>
  <c r="D1595" i="7"/>
  <c r="C1595" i="7"/>
  <c r="B1595" i="7"/>
  <c r="A1595" i="7"/>
  <c r="S1594" i="7"/>
  <c r="R1594" i="7"/>
  <c r="P1594" i="7"/>
  <c r="O1594" i="7"/>
  <c r="N1594" i="7"/>
  <c r="M1594" i="7"/>
  <c r="L1594" i="7"/>
  <c r="K1594" i="7"/>
  <c r="J1594" i="7"/>
  <c r="I1594" i="7"/>
  <c r="H1594" i="7"/>
  <c r="G1594" i="7"/>
  <c r="F1594" i="7"/>
  <c r="E1594" i="7"/>
  <c r="D1594" i="7"/>
  <c r="C1594" i="7"/>
  <c r="B1594" i="7"/>
  <c r="A1594" i="7"/>
  <c r="S1593" i="7"/>
  <c r="R1593" i="7"/>
  <c r="Q1593" i="7"/>
  <c r="P1593" i="7"/>
  <c r="O1593" i="7"/>
  <c r="N1593" i="7"/>
  <c r="M1593" i="7"/>
  <c r="L1593" i="7"/>
  <c r="K1593" i="7"/>
  <c r="J1593" i="7"/>
  <c r="I1593" i="7"/>
  <c r="H1593" i="7"/>
  <c r="G1593" i="7"/>
  <c r="F1593" i="7"/>
  <c r="E1593" i="7"/>
  <c r="D1593" i="7"/>
  <c r="C1593" i="7"/>
  <c r="B1593" i="7"/>
  <c r="A1593" i="7"/>
  <c r="S1592" i="7"/>
  <c r="R1592" i="7"/>
  <c r="P1592" i="7"/>
  <c r="O1592" i="7"/>
  <c r="N1592" i="7"/>
  <c r="M1592" i="7"/>
  <c r="L1592" i="7"/>
  <c r="K1592" i="7"/>
  <c r="J1592" i="7"/>
  <c r="I1592" i="7"/>
  <c r="H1592" i="7"/>
  <c r="G1592" i="7"/>
  <c r="F1592" i="7"/>
  <c r="E1592" i="7"/>
  <c r="D1592" i="7"/>
  <c r="C1592" i="7"/>
  <c r="B1592" i="7"/>
  <c r="A1592" i="7"/>
  <c r="S1591" i="7"/>
  <c r="R1591" i="7"/>
  <c r="Q1591" i="7"/>
  <c r="P1591" i="7"/>
  <c r="O1591" i="7"/>
  <c r="N1591" i="7"/>
  <c r="M1591" i="7"/>
  <c r="L1591" i="7"/>
  <c r="K1591" i="7"/>
  <c r="J1591" i="7"/>
  <c r="I1591" i="7"/>
  <c r="H1591" i="7"/>
  <c r="G1591" i="7"/>
  <c r="F1591" i="7"/>
  <c r="E1591" i="7"/>
  <c r="D1591" i="7"/>
  <c r="C1591" i="7"/>
  <c r="B1591" i="7"/>
  <c r="A1591" i="7"/>
  <c r="S1590" i="7"/>
  <c r="R1590" i="7"/>
  <c r="P1590" i="7"/>
  <c r="O1590" i="7"/>
  <c r="N1590" i="7"/>
  <c r="M1590" i="7"/>
  <c r="L1590" i="7"/>
  <c r="K1590" i="7"/>
  <c r="J1590" i="7"/>
  <c r="I1590" i="7"/>
  <c r="H1590" i="7"/>
  <c r="G1590" i="7"/>
  <c r="F1590" i="7"/>
  <c r="E1590" i="7"/>
  <c r="D1590" i="7"/>
  <c r="C1590" i="7"/>
  <c r="B1590" i="7"/>
  <c r="A1590" i="7"/>
  <c r="S1589" i="7"/>
  <c r="R1589" i="7"/>
  <c r="P1589" i="7"/>
  <c r="O1589" i="7"/>
  <c r="N1589" i="7"/>
  <c r="M1589" i="7"/>
  <c r="L1589" i="7"/>
  <c r="K1589" i="7"/>
  <c r="J1589" i="7"/>
  <c r="I1589" i="7"/>
  <c r="H1589" i="7"/>
  <c r="G1589" i="7"/>
  <c r="F1589" i="7"/>
  <c r="E1589" i="7"/>
  <c r="D1589" i="7"/>
  <c r="C1589" i="7"/>
  <c r="B1589" i="7"/>
  <c r="A1589" i="7"/>
  <c r="S1588" i="7"/>
  <c r="R1588" i="7"/>
  <c r="P1588" i="7"/>
  <c r="O1588" i="7"/>
  <c r="N1588" i="7"/>
  <c r="M1588" i="7"/>
  <c r="L1588" i="7"/>
  <c r="K1588" i="7"/>
  <c r="J1588" i="7"/>
  <c r="I1588" i="7"/>
  <c r="H1588" i="7"/>
  <c r="G1588" i="7"/>
  <c r="F1588" i="7"/>
  <c r="E1588" i="7"/>
  <c r="D1588" i="7"/>
  <c r="C1588" i="7"/>
  <c r="B1588" i="7"/>
  <c r="A1588" i="7"/>
  <c r="S1587" i="7"/>
  <c r="R1587" i="7"/>
  <c r="P1587" i="7"/>
  <c r="O1587" i="7"/>
  <c r="N1587" i="7"/>
  <c r="M1587" i="7"/>
  <c r="L1587" i="7"/>
  <c r="K1587" i="7"/>
  <c r="J1587" i="7"/>
  <c r="I1587" i="7"/>
  <c r="H1587" i="7"/>
  <c r="G1587" i="7"/>
  <c r="F1587" i="7"/>
  <c r="E1587" i="7"/>
  <c r="D1587" i="7"/>
  <c r="C1587" i="7"/>
  <c r="B1587" i="7"/>
  <c r="A1587" i="7"/>
  <c r="S1586" i="7"/>
  <c r="R1586" i="7"/>
  <c r="Q1586" i="7"/>
  <c r="P1586" i="7"/>
  <c r="O1586" i="7"/>
  <c r="N1586" i="7"/>
  <c r="M1586" i="7"/>
  <c r="L1586" i="7"/>
  <c r="K1586" i="7"/>
  <c r="J1586" i="7"/>
  <c r="I1586" i="7"/>
  <c r="H1586" i="7"/>
  <c r="G1586" i="7"/>
  <c r="F1586" i="7"/>
  <c r="E1586" i="7"/>
  <c r="D1586" i="7"/>
  <c r="C1586" i="7"/>
  <c r="B1586" i="7"/>
  <c r="A1586" i="7"/>
  <c r="S1585" i="7"/>
  <c r="R1585" i="7"/>
  <c r="Q1585" i="7"/>
  <c r="P1585" i="7"/>
  <c r="O1585" i="7"/>
  <c r="N1585" i="7"/>
  <c r="M1585" i="7"/>
  <c r="L1585" i="7"/>
  <c r="K1585" i="7"/>
  <c r="J1585" i="7"/>
  <c r="I1585" i="7"/>
  <c r="H1585" i="7"/>
  <c r="G1585" i="7"/>
  <c r="F1585" i="7"/>
  <c r="E1585" i="7"/>
  <c r="D1585" i="7"/>
  <c r="C1585" i="7"/>
  <c r="B1585" i="7"/>
  <c r="A1585" i="7"/>
  <c r="S1584" i="7"/>
  <c r="R1584" i="7"/>
  <c r="P1584" i="7"/>
  <c r="O1584" i="7"/>
  <c r="N1584" i="7"/>
  <c r="M1584" i="7"/>
  <c r="L1584" i="7"/>
  <c r="K1584" i="7"/>
  <c r="J1584" i="7"/>
  <c r="I1584" i="7"/>
  <c r="H1584" i="7"/>
  <c r="G1584" i="7"/>
  <c r="F1584" i="7"/>
  <c r="E1584" i="7"/>
  <c r="D1584" i="7"/>
  <c r="C1584" i="7"/>
  <c r="B1584" i="7"/>
  <c r="A1584" i="7"/>
  <c r="S1583" i="7"/>
  <c r="R1583" i="7"/>
  <c r="P1583" i="7"/>
  <c r="O1583" i="7"/>
  <c r="N1583" i="7"/>
  <c r="M1583" i="7"/>
  <c r="L1583" i="7"/>
  <c r="K1583" i="7"/>
  <c r="J1583" i="7"/>
  <c r="I1583" i="7"/>
  <c r="H1583" i="7"/>
  <c r="G1583" i="7"/>
  <c r="F1583" i="7"/>
  <c r="E1583" i="7"/>
  <c r="D1583" i="7"/>
  <c r="C1583" i="7"/>
  <c r="B1583" i="7"/>
  <c r="A1583" i="7"/>
  <c r="S1582" i="7"/>
  <c r="R1582" i="7"/>
  <c r="P1582" i="7"/>
  <c r="O1582" i="7"/>
  <c r="N1582" i="7"/>
  <c r="M1582" i="7"/>
  <c r="L1582" i="7"/>
  <c r="K1582" i="7"/>
  <c r="J1582" i="7"/>
  <c r="I1582" i="7"/>
  <c r="H1582" i="7"/>
  <c r="G1582" i="7"/>
  <c r="F1582" i="7"/>
  <c r="E1582" i="7"/>
  <c r="D1582" i="7"/>
  <c r="C1582" i="7"/>
  <c r="B1582" i="7"/>
  <c r="A1582" i="7"/>
  <c r="S1581" i="7"/>
  <c r="R1581" i="7"/>
  <c r="Q1581" i="7"/>
  <c r="P1581" i="7"/>
  <c r="O1581" i="7"/>
  <c r="N1581" i="7"/>
  <c r="M1581" i="7"/>
  <c r="L1581" i="7"/>
  <c r="K1581" i="7"/>
  <c r="J1581" i="7"/>
  <c r="I1581" i="7"/>
  <c r="H1581" i="7"/>
  <c r="G1581" i="7"/>
  <c r="F1581" i="7"/>
  <c r="E1581" i="7"/>
  <c r="D1581" i="7"/>
  <c r="C1581" i="7"/>
  <c r="B1581" i="7"/>
  <c r="A1581" i="7"/>
  <c r="S1580" i="7"/>
  <c r="R1580" i="7"/>
  <c r="Q1580" i="7"/>
  <c r="P1580" i="7"/>
  <c r="O1580" i="7"/>
  <c r="N1580" i="7"/>
  <c r="M1580" i="7"/>
  <c r="L1580" i="7"/>
  <c r="K1580" i="7"/>
  <c r="J1580" i="7"/>
  <c r="I1580" i="7"/>
  <c r="H1580" i="7"/>
  <c r="G1580" i="7"/>
  <c r="F1580" i="7"/>
  <c r="E1580" i="7"/>
  <c r="D1580" i="7"/>
  <c r="C1580" i="7"/>
  <c r="B1580" i="7"/>
  <c r="A1580" i="7"/>
  <c r="S1579" i="7"/>
  <c r="R1579" i="7"/>
  <c r="Q1579" i="7"/>
  <c r="P1579" i="7"/>
  <c r="O1579" i="7"/>
  <c r="N1579" i="7"/>
  <c r="M1579" i="7"/>
  <c r="L1579" i="7"/>
  <c r="K1579" i="7"/>
  <c r="J1579" i="7"/>
  <c r="I1579" i="7"/>
  <c r="H1579" i="7"/>
  <c r="G1579" i="7"/>
  <c r="F1579" i="7"/>
  <c r="E1579" i="7"/>
  <c r="D1579" i="7"/>
  <c r="C1579" i="7"/>
  <c r="B1579" i="7"/>
  <c r="A1579" i="7"/>
  <c r="S1578" i="7"/>
  <c r="R1578" i="7"/>
  <c r="P1578" i="7"/>
  <c r="O1578" i="7"/>
  <c r="N1578" i="7"/>
  <c r="M1578" i="7"/>
  <c r="L1578" i="7"/>
  <c r="K1578" i="7"/>
  <c r="J1578" i="7"/>
  <c r="I1578" i="7"/>
  <c r="H1578" i="7"/>
  <c r="G1578" i="7"/>
  <c r="F1578" i="7"/>
  <c r="E1578" i="7"/>
  <c r="D1578" i="7"/>
  <c r="C1578" i="7"/>
  <c r="B1578" i="7"/>
  <c r="A1578" i="7"/>
  <c r="S1577" i="7"/>
  <c r="R1577" i="7"/>
  <c r="P1577" i="7"/>
  <c r="O1577" i="7"/>
  <c r="N1577" i="7"/>
  <c r="M1577" i="7"/>
  <c r="L1577" i="7"/>
  <c r="K1577" i="7"/>
  <c r="J1577" i="7"/>
  <c r="I1577" i="7"/>
  <c r="H1577" i="7"/>
  <c r="G1577" i="7"/>
  <c r="F1577" i="7"/>
  <c r="E1577" i="7"/>
  <c r="D1577" i="7"/>
  <c r="C1577" i="7"/>
  <c r="B1577" i="7"/>
  <c r="A1577" i="7"/>
  <c r="S1576" i="7"/>
  <c r="R1576" i="7"/>
  <c r="Q1576" i="7"/>
  <c r="P1576" i="7"/>
  <c r="O1576" i="7"/>
  <c r="N1576" i="7"/>
  <c r="M1576" i="7"/>
  <c r="L1576" i="7"/>
  <c r="K1576" i="7"/>
  <c r="J1576" i="7"/>
  <c r="I1576" i="7"/>
  <c r="H1576" i="7"/>
  <c r="G1576" i="7"/>
  <c r="F1576" i="7"/>
  <c r="E1576" i="7"/>
  <c r="D1576" i="7"/>
  <c r="C1576" i="7"/>
  <c r="B1576" i="7"/>
  <c r="A1576" i="7"/>
  <c r="S1575" i="7"/>
  <c r="R1575" i="7"/>
  <c r="P1575" i="7"/>
  <c r="O1575" i="7"/>
  <c r="N1575" i="7"/>
  <c r="M1575" i="7"/>
  <c r="L1575" i="7"/>
  <c r="K1575" i="7"/>
  <c r="J1575" i="7"/>
  <c r="I1575" i="7"/>
  <c r="H1575" i="7"/>
  <c r="G1575" i="7"/>
  <c r="F1575" i="7"/>
  <c r="E1575" i="7"/>
  <c r="D1575" i="7"/>
  <c r="C1575" i="7"/>
  <c r="B1575" i="7"/>
  <c r="A1575" i="7"/>
  <c r="S1574" i="7"/>
  <c r="R1574" i="7"/>
  <c r="P1574" i="7"/>
  <c r="O1574" i="7"/>
  <c r="N1574" i="7"/>
  <c r="M1574" i="7"/>
  <c r="L1574" i="7"/>
  <c r="K1574" i="7"/>
  <c r="J1574" i="7"/>
  <c r="I1574" i="7"/>
  <c r="H1574" i="7"/>
  <c r="G1574" i="7"/>
  <c r="F1574" i="7"/>
  <c r="E1574" i="7"/>
  <c r="D1574" i="7"/>
  <c r="C1574" i="7"/>
  <c r="B1574" i="7"/>
  <c r="A1574" i="7"/>
  <c r="S1573" i="7"/>
  <c r="R1573" i="7"/>
  <c r="Q1573" i="7"/>
  <c r="P1573" i="7"/>
  <c r="O1573" i="7"/>
  <c r="N1573" i="7"/>
  <c r="M1573" i="7"/>
  <c r="L1573" i="7"/>
  <c r="K1573" i="7"/>
  <c r="J1573" i="7"/>
  <c r="I1573" i="7"/>
  <c r="H1573" i="7"/>
  <c r="G1573" i="7"/>
  <c r="F1573" i="7"/>
  <c r="E1573" i="7"/>
  <c r="D1573" i="7"/>
  <c r="C1573" i="7"/>
  <c r="B1573" i="7"/>
  <c r="A1573" i="7"/>
  <c r="S1572" i="7"/>
  <c r="R1572" i="7"/>
  <c r="P1572" i="7"/>
  <c r="O1572" i="7"/>
  <c r="N1572" i="7"/>
  <c r="M1572" i="7"/>
  <c r="L1572" i="7"/>
  <c r="K1572" i="7"/>
  <c r="J1572" i="7"/>
  <c r="I1572" i="7"/>
  <c r="H1572" i="7"/>
  <c r="G1572" i="7"/>
  <c r="F1572" i="7"/>
  <c r="E1572" i="7"/>
  <c r="D1572" i="7"/>
  <c r="C1572" i="7"/>
  <c r="B1572" i="7"/>
  <c r="A1572" i="7"/>
  <c r="S1571" i="7"/>
  <c r="R1571" i="7"/>
  <c r="Q1571" i="7"/>
  <c r="P1571" i="7"/>
  <c r="O1571" i="7"/>
  <c r="N1571" i="7"/>
  <c r="M1571" i="7"/>
  <c r="L1571" i="7"/>
  <c r="K1571" i="7"/>
  <c r="J1571" i="7"/>
  <c r="I1571" i="7"/>
  <c r="H1571" i="7"/>
  <c r="G1571" i="7"/>
  <c r="F1571" i="7"/>
  <c r="E1571" i="7"/>
  <c r="D1571" i="7"/>
  <c r="C1571" i="7"/>
  <c r="B1571" i="7"/>
  <c r="A1571" i="7"/>
  <c r="S1570" i="7"/>
  <c r="R1570" i="7"/>
  <c r="Q1570" i="7"/>
  <c r="P1570" i="7"/>
  <c r="O1570" i="7"/>
  <c r="N1570" i="7"/>
  <c r="M1570" i="7"/>
  <c r="L1570" i="7"/>
  <c r="K1570" i="7"/>
  <c r="J1570" i="7"/>
  <c r="I1570" i="7"/>
  <c r="H1570" i="7"/>
  <c r="G1570" i="7"/>
  <c r="F1570" i="7"/>
  <c r="E1570" i="7"/>
  <c r="D1570" i="7"/>
  <c r="C1570" i="7"/>
  <c r="B1570" i="7"/>
  <c r="A1570" i="7"/>
  <c r="S1569" i="7"/>
  <c r="R1569" i="7"/>
  <c r="Q1569" i="7"/>
  <c r="P1569" i="7"/>
  <c r="O1569" i="7"/>
  <c r="N1569" i="7"/>
  <c r="M1569" i="7"/>
  <c r="L1569" i="7"/>
  <c r="K1569" i="7"/>
  <c r="J1569" i="7"/>
  <c r="I1569" i="7"/>
  <c r="H1569" i="7"/>
  <c r="G1569" i="7"/>
  <c r="F1569" i="7"/>
  <c r="E1569" i="7"/>
  <c r="D1569" i="7"/>
  <c r="C1569" i="7"/>
  <c r="B1569" i="7"/>
  <c r="A1569" i="7"/>
  <c r="S1568" i="7"/>
  <c r="R1568" i="7"/>
  <c r="Q1568" i="7"/>
  <c r="P1568" i="7"/>
  <c r="O1568" i="7"/>
  <c r="N1568" i="7"/>
  <c r="M1568" i="7"/>
  <c r="L1568" i="7"/>
  <c r="K1568" i="7"/>
  <c r="J1568" i="7"/>
  <c r="I1568" i="7"/>
  <c r="H1568" i="7"/>
  <c r="G1568" i="7"/>
  <c r="F1568" i="7"/>
  <c r="E1568" i="7"/>
  <c r="D1568" i="7"/>
  <c r="C1568" i="7"/>
  <c r="B1568" i="7"/>
  <c r="A1568" i="7"/>
  <c r="S1567" i="7"/>
  <c r="R1567" i="7"/>
  <c r="Q1567" i="7"/>
  <c r="P1567" i="7"/>
  <c r="O1567" i="7"/>
  <c r="N1567" i="7"/>
  <c r="M1567" i="7"/>
  <c r="L1567" i="7"/>
  <c r="K1567" i="7"/>
  <c r="J1567" i="7"/>
  <c r="I1567" i="7"/>
  <c r="H1567" i="7"/>
  <c r="G1567" i="7"/>
  <c r="F1567" i="7"/>
  <c r="E1567" i="7"/>
  <c r="D1567" i="7"/>
  <c r="C1567" i="7"/>
  <c r="B1567" i="7"/>
  <c r="A1567" i="7"/>
  <c r="S1566" i="7"/>
  <c r="R1566" i="7"/>
  <c r="P1566" i="7"/>
  <c r="O1566" i="7"/>
  <c r="N1566" i="7"/>
  <c r="M1566" i="7"/>
  <c r="L1566" i="7"/>
  <c r="K1566" i="7"/>
  <c r="J1566" i="7"/>
  <c r="I1566" i="7"/>
  <c r="H1566" i="7"/>
  <c r="G1566" i="7"/>
  <c r="F1566" i="7"/>
  <c r="E1566" i="7"/>
  <c r="D1566" i="7"/>
  <c r="C1566" i="7"/>
  <c r="B1566" i="7"/>
  <c r="A1566" i="7"/>
  <c r="S1565" i="7"/>
  <c r="R1565" i="7"/>
  <c r="Q1565" i="7"/>
  <c r="P1565" i="7"/>
  <c r="O1565" i="7"/>
  <c r="N1565" i="7"/>
  <c r="M1565" i="7"/>
  <c r="L1565" i="7"/>
  <c r="K1565" i="7"/>
  <c r="J1565" i="7"/>
  <c r="I1565" i="7"/>
  <c r="H1565" i="7"/>
  <c r="G1565" i="7"/>
  <c r="F1565" i="7"/>
  <c r="E1565" i="7"/>
  <c r="D1565" i="7"/>
  <c r="C1565" i="7"/>
  <c r="B1565" i="7"/>
  <c r="A1565" i="7"/>
  <c r="S1564" i="7"/>
  <c r="R1564" i="7"/>
  <c r="Q1564" i="7"/>
  <c r="P1564" i="7"/>
  <c r="O1564" i="7"/>
  <c r="N1564" i="7"/>
  <c r="M1564" i="7"/>
  <c r="L1564" i="7"/>
  <c r="K1564" i="7"/>
  <c r="J1564" i="7"/>
  <c r="I1564" i="7"/>
  <c r="H1564" i="7"/>
  <c r="G1564" i="7"/>
  <c r="F1564" i="7"/>
  <c r="E1564" i="7"/>
  <c r="D1564" i="7"/>
  <c r="C1564" i="7"/>
  <c r="B1564" i="7"/>
  <c r="A1564" i="7"/>
  <c r="S1563" i="7"/>
  <c r="R1563" i="7"/>
  <c r="P1563" i="7"/>
  <c r="O1563" i="7"/>
  <c r="N1563" i="7"/>
  <c r="M1563" i="7"/>
  <c r="L1563" i="7"/>
  <c r="K1563" i="7"/>
  <c r="J1563" i="7"/>
  <c r="I1563" i="7"/>
  <c r="H1563" i="7"/>
  <c r="G1563" i="7"/>
  <c r="F1563" i="7"/>
  <c r="E1563" i="7"/>
  <c r="D1563" i="7"/>
  <c r="C1563" i="7"/>
  <c r="B1563" i="7"/>
  <c r="A1563" i="7"/>
  <c r="S1562" i="7"/>
  <c r="R1562" i="7"/>
  <c r="P1562" i="7"/>
  <c r="O1562" i="7"/>
  <c r="N1562" i="7"/>
  <c r="M1562" i="7"/>
  <c r="L1562" i="7"/>
  <c r="K1562" i="7"/>
  <c r="J1562" i="7"/>
  <c r="I1562" i="7"/>
  <c r="H1562" i="7"/>
  <c r="G1562" i="7"/>
  <c r="F1562" i="7"/>
  <c r="E1562" i="7"/>
  <c r="D1562" i="7"/>
  <c r="C1562" i="7"/>
  <c r="B1562" i="7"/>
  <c r="A1562" i="7"/>
  <c r="S1561" i="7"/>
  <c r="R1561" i="7"/>
  <c r="P1561" i="7"/>
  <c r="O1561" i="7"/>
  <c r="N1561" i="7"/>
  <c r="M1561" i="7"/>
  <c r="L1561" i="7"/>
  <c r="K1561" i="7"/>
  <c r="J1561" i="7"/>
  <c r="I1561" i="7"/>
  <c r="H1561" i="7"/>
  <c r="G1561" i="7"/>
  <c r="F1561" i="7"/>
  <c r="E1561" i="7"/>
  <c r="D1561" i="7"/>
  <c r="C1561" i="7"/>
  <c r="B1561" i="7"/>
  <c r="A1561" i="7"/>
  <c r="S1560" i="7"/>
  <c r="R1560" i="7"/>
  <c r="Q1560" i="7"/>
  <c r="P1560" i="7"/>
  <c r="O1560" i="7"/>
  <c r="N1560" i="7"/>
  <c r="M1560" i="7"/>
  <c r="L1560" i="7"/>
  <c r="K1560" i="7"/>
  <c r="J1560" i="7"/>
  <c r="I1560" i="7"/>
  <c r="H1560" i="7"/>
  <c r="G1560" i="7"/>
  <c r="F1560" i="7"/>
  <c r="E1560" i="7"/>
  <c r="D1560" i="7"/>
  <c r="C1560" i="7"/>
  <c r="B1560" i="7"/>
  <c r="A1560" i="7"/>
  <c r="S1559" i="7"/>
  <c r="R1559" i="7"/>
  <c r="P1559" i="7"/>
  <c r="O1559" i="7"/>
  <c r="N1559" i="7"/>
  <c r="M1559" i="7"/>
  <c r="L1559" i="7"/>
  <c r="K1559" i="7"/>
  <c r="J1559" i="7"/>
  <c r="I1559" i="7"/>
  <c r="H1559" i="7"/>
  <c r="G1559" i="7"/>
  <c r="F1559" i="7"/>
  <c r="E1559" i="7"/>
  <c r="D1559" i="7"/>
  <c r="C1559" i="7"/>
  <c r="B1559" i="7"/>
  <c r="A1559" i="7"/>
  <c r="S1558" i="7"/>
  <c r="R1558" i="7"/>
  <c r="P1558" i="7"/>
  <c r="O1558" i="7"/>
  <c r="N1558" i="7"/>
  <c r="M1558" i="7"/>
  <c r="L1558" i="7"/>
  <c r="K1558" i="7"/>
  <c r="J1558" i="7"/>
  <c r="I1558" i="7"/>
  <c r="H1558" i="7"/>
  <c r="G1558" i="7"/>
  <c r="F1558" i="7"/>
  <c r="E1558" i="7"/>
  <c r="D1558" i="7"/>
  <c r="C1558" i="7"/>
  <c r="B1558" i="7"/>
  <c r="A1558" i="7"/>
  <c r="S1557" i="7"/>
  <c r="R1557" i="7"/>
  <c r="P1557" i="7"/>
  <c r="O1557" i="7"/>
  <c r="N1557" i="7"/>
  <c r="M1557" i="7"/>
  <c r="L1557" i="7"/>
  <c r="K1557" i="7"/>
  <c r="J1557" i="7"/>
  <c r="I1557" i="7"/>
  <c r="H1557" i="7"/>
  <c r="G1557" i="7"/>
  <c r="F1557" i="7"/>
  <c r="E1557" i="7"/>
  <c r="D1557" i="7"/>
  <c r="C1557" i="7"/>
  <c r="B1557" i="7"/>
  <c r="A1557" i="7"/>
  <c r="S1556" i="7"/>
  <c r="R1556" i="7"/>
  <c r="Q1556" i="7"/>
  <c r="P1556" i="7"/>
  <c r="O1556" i="7"/>
  <c r="N1556" i="7"/>
  <c r="M1556" i="7"/>
  <c r="L1556" i="7"/>
  <c r="K1556" i="7"/>
  <c r="J1556" i="7"/>
  <c r="I1556" i="7"/>
  <c r="H1556" i="7"/>
  <c r="G1556" i="7"/>
  <c r="F1556" i="7"/>
  <c r="E1556" i="7"/>
  <c r="D1556" i="7"/>
  <c r="C1556" i="7"/>
  <c r="B1556" i="7"/>
  <c r="A1556" i="7"/>
  <c r="S1555" i="7"/>
  <c r="R1555" i="7"/>
  <c r="P1555" i="7"/>
  <c r="O1555" i="7"/>
  <c r="N1555" i="7"/>
  <c r="M1555" i="7"/>
  <c r="L1555" i="7"/>
  <c r="K1555" i="7"/>
  <c r="J1555" i="7"/>
  <c r="I1555" i="7"/>
  <c r="H1555" i="7"/>
  <c r="G1555" i="7"/>
  <c r="F1555" i="7"/>
  <c r="E1555" i="7"/>
  <c r="D1555" i="7"/>
  <c r="C1555" i="7"/>
  <c r="B1555" i="7"/>
  <c r="A1555" i="7"/>
  <c r="S1554" i="7"/>
  <c r="R1554" i="7"/>
  <c r="Q1554" i="7"/>
  <c r="P1554" i="7"/>
  <c r="O1554" i="7"/>
  <c r="N1554" i="7"/>
  <c r="M1554" i="7"/>
  <c r="L1554" i="7"/>
  <c r="K1554" i="7"/>
  <c r="J1554" i="7"/>
  <c r="I1554" i="7"/>
  <c r="H1554" i="7"/>
  <c r="G1554" i="7"/>
  <c r="F1554" i="7"/>
  <c r="E1554" i="7"/>
  <c r="D1554" i="7"/>
  <c r="C1554" i="7"/>
  <c r="B1554" i="7"/>
  <c r="A1554" i="7"/>
  <c r="S1553" i="7"/>
  <c r="R1553" i="7"/>
  <c r="P1553" i="7"/>
  <c r="O1553" i="7"/>
  <c r="N1553" i="7"/>
  <c r="M1553" i="7"/>
  <c r="L1553" i="7"/>
  <c r="K1553" i="7"/>
  <c r="J1553" i="7"/>
  <c r="I1553" i="7"/>
  <c r="H1553" i="7"/>
  <c r="G1553" i="7"/>
  <c r="F1553" i="7"/>
  <c r="E1553" i="7"/>
  <c r="D1553" i="7"/>
  <c r="C1553" i="7"/>
  <c r="B1553" i="7"/>
  <c r="A1553" i="7"/>
  <c r="S1552" i="7"/>
  <c r="R1552" i="7"/>
  <c r="P1552" i="7"/>
  <c r="O1552" i="7"/>
  <c r="N1552" i="7"/>
  <c r="M1552" i="7"/>
  <c r="L1552" i="7"/>
  <c r="K1552" i="7"/>
  <c r="J1552" i="7"/>
  <c r="I1552" i="7"/>
  <c r="H1552" i="7"/>
  <c r="G1552" i="7"/>
  <c r="F1552" i="7"/>
  <c r="E1552" i="7"/>
  <c r="D1552" i="7"/>
  <c r="C1552" i="7"/>
  <c r="B1552" i="7"/>
  <c r="A1552" i="7"/>
  <c r="S1551" i="7"/>
  <c r="R1551" i="7"/>
  <c r="Q1551" i="7"/>
  <c r="P1551" i="7"/>
  <c r="O1551" i="7"/>
  <c r="N1551" i="7"/>
  <c r="M1551" i="7"/>
  <c r="L1551" i="7"/>
  <c r="K1551" i="7"/>
  <c r="J1551" i="7"/>
  <c r="I1551" i="7"/>
  <c r="H1551" i="7"/>
  <c r="G1551" i="7"/>
  <c r="F1551" i="7"/>
  <c r="E1551" i="7"/>
  <c r="D1551" i="7"/>
  <c r="C1551" i="7"/>
  <c r="B1551" i="7"/>
  <c r="A1551" i="7"/>
  <c r="S1550" i="7"/>
  <c r="R1550" i="7"/>
  <c r="P1550" i="7"/>
  <c r="O1550" i="7"/>
  <c r="N1550" i="7"/>
  <c r="M1550" i="7"/>
  <c r="L1550" i="7"/>
  <c r="K1550" i="7"/>
  <c r="J1550" i="7"/>
  <c r="I1550" i="7"/>
  <c r="H1550" i="7"/>
  <c r="G1550" i="7"/>
  <c r="F1550" i="7"/>
  <c r="E1550" i="7"/>
  <c r="D1550" i="7"/>
  <c r="C1550" i="7"/>
  <c r="B1550" i="7"/>
  <c r="A1550" i="7"/>
  <c r="S1549" i="7"/>
  <c r="R1549" i="7"/>
  <c r="P1549" i="7"/>
  <c r="O1549" i="7"/>
  <c r="N1549" i="7"/>
  <c r="M1549" i="7"/>
  <c r="L1549" i="7"/>
  <c r="K1549" i="7"/>
  <c r="J1549" i="7"/>
  <c r="I1549" i="7"/>
  <c r="H1549" i="7"/>
  <c r="G1549" i="7"/>
  <c r="F1549" i="7"/>
  <c r="E1549" i="7"/>
  <c r="D1549" i="7"/>
  <c r="C1549" i="7"/>
  <c r="B1549" i="7"/>
  <c r="A1549" i="7"/>
  <c r="S1548" i="7"/>
  <c r="R1548" i="7"/>
  <c r="Q1548" i="7"/>
  <c r="P1548" i="7"/>
  <c r="O1548" i="7"/>
  <c r="N1548" i="7"/>
  <c r="M1548" i="7"/>
  <c r="L1548" i="7"/>
  <c r="K1548" i="7"/>
  <c r="J1548" i="7"/>
  <c r="I1548" i="7"/>
  <c r="H1548" i="7"/>
  <c r="G1548" i="7"/>
  <c r="F1548" i="7"/>
  <c r="E1548" i="7"/>
  <c r="D1548" i="7"/>
  <c r="C1548" i="7"/>
  <c r="B1548" i="7"/>
  <c r="A1548" i="7"/>
  <c r="S1547" i="7"/>
  <c r="R1547" i="7"/>
  <c r="P1547" i="7"/>
  <c r="O1547" i="7"/>
  <c r="N1547" i="7"/>
  <c r="M1547" i="7"/>
  <c r="L1547" i="7"/>
  <c r="K1547" i="7"/>
  <c r="J1547" i="7"/>
  <c r="I1547" i="7"/>
  <c r="H1547" i="7"/>
  <c r="G1547" i="7"/>
  <c r="F1547" i="7"/>
  <c r="E1547" i="7"/>
  <c r="D1547" i="7"/>
  <c r="C1547" i="7"/>
  <c r="B1547" i="7"/>
  <c r="A1547" i="7"/>
  <c r="S1546" i="7"/>
  <c r="R1546" i="7"/>
  <c r="P1546" i="7"/>
  <c r="O1546" i="7"/>
  <c r="N1546" i="7"/>
  <c r="M1546" i="7"/>
  <c r="L1546" i="7"/>
  <c r="K1546" i="7"/>
  <c r="J1546" i="7"/>
  <c r="I1546" i="7"/>
  <c r="H1546" i="7"/>
  <c r="G1546" i="7"/>
  <c r="F1546" i="7"/>
  <c r="E1546" i="7"/>
  <c r="D1546" i="7"/>
  <c r="C1546" i="7"/>
  <c r="B1546" i="7"/>
  <c r="A1546" i="7"/>
  <c r="S1545" i="7"/>
  <c r="R1545" i="7"/>
  <c r="Q1545" i="7"/>
  <c r="P1545" i="7"/>
  <c r="O1545" i="7"/>
  <c r="N1545" i="7"/>
  <c r="M1545" i="7"/>
  <c r="L1545" i="7"/>
  <c r="K1545" i="7"/>
  <c r="J1545" i="7"/>
  <c r="I1545" i="7"/>
  <c r="H1545" i="7"/>
  <c r="G1545" i="7"/>
  <c r="F1545" i="7"/>
  <c r="E1545" i="7"/>
  <c r="D1545" i="7"/>
  <c r="C1545" i="7"/>
  <c r="B1545" i="7"/>
  <c r="A1545" i="7"/>
  <c r="S1544" i="7"/>
  <c r="R1544" i="7"/>
  <c r="P1544" i="7"/>
  <c r="O1544" i="7"/>
  <c r="N1544" i="7"/>
  <c r="M1544" i="7"/>
  <c r="L1544" i="7"/>
  <c r="K1544" i="7"/>
  <c r="J1544" i="7"/>
  <c r="I1544" i="7"/>
  <c r="H1544" i="7"/>
  <c r="G1544" i="7"/>
  <c r="F1544" i="7"/>
  <c r="E1544" i="7"/>
  <c r="D1544" i="7"/>
  <c r="C1544" i="7"/>
  <c r="B1544" i="7"/>
  <c r="A1544" i="7"/>
  <c r="S1543" i="7"/>
  <c r="R1543" i="7"/>
  <c r="P1543" i="7"/>
  <c r="O1543" i="7"/>
  <c r="N1543" i="7"/>
  <c r="M1543" i="7"/>
  <c r="L1543" i="7"/>
  <c r="K1543" i="7"/>
  <c r="J1543" i="7"/>
  <c r="I1543" i="7"/>
  <c r="H1543" i="7"/>
  <c r="G1543" i="7"/>
  <c r="F1543" i="7"/>
  <c r="E1543" i="7"/>
  <c r="D1543" i="7"/>
  <c r="C1543" i="7"/>
  <c r="B1543" i="7"/>
  <c r="A1543" i="7"/>
  <c r="S1542" i="7"/>
  <c r="R1542" i="7"/>
  <c r="P1542" i="7"/>
  <c r="O1542" i="7"/>
  <c r="N1542" i="7"/>
  <c r="M1542" i="7"/>
  <c r="L1542" i="7"/>
  <c r="K1542" i="7"/>
  <c r="J1542" i="7"/>
  <c r="I1542" i="7"/>
  <c r="H1542" i="7"/>
  <c r="G1542" i="7"/>
  <c r="F1542" i="7"/>
  <c r="E1542" i="7"/>
  <c r="D1542" i="7"/>
  <c r="C1542" i="7"/>
  <c r="B1542" i="7"/>
  <c r="A1542" i="7"/>
  <c r="S1541" i="7"/>
  <c r="R1541" i="7"/>
  <c r="P1541" i="7"/>
  <c r="O1541" i="7"/>
  <c r="N1541" i="7"/>
  <c r="M1541" i="7"/>
  <c r="L1541" i="7"/>
  <c r="K1541" i="7"/>
  <c r="J1541" i="7"/>
  <c r="I1541" i="7"/>
  <c r="H1541" i="7"/>
  <c r="G1541" i="7"/>
  <c r="F1541" i="7"/>
  <c r="E1541" i="7"/>
  <c r="D1541" i="7"/>
  <c r="C1541" i="7"/>
  <c r="B1541" i="7"/>
  <c r="A1541" i="7"/>
  <c r="S1540" i="7"/>
  <c r="R1540" i="7"/>
  <c r="P1540" i="7"/>
  <c r="O1540" i="7"/>
  <c r="N1540" i="7"/>
  <c r="M1540" i="7"/>
  <c r="L1540" i="7"/>
  <c r="K1540" i="7"/>
  <c r="J1540" i="7"/>
  <c r="I1540" i="7"/>
  <c r="H1540" i="7"/>
  <c r="G1540" i="7"/>
  <c r="F1540" i="7"/>
  <c r="E1540" i="7"/>
  <c r="D1540" i="7"/>
  <c r="C1540" i="7"/>
  <c r="B1540" i="7"/>
  <c r="A1540" i="7"/>
  <c r="S1539" i="7"/>
  <c r="R1539" i="7"/>
  <c r="Q1539" i="7"/>
  <c r="P1539" i="7"/>
  <c r="O1539" i="7"/>
  <c r="N1539" i="7"/>
  <c r="M1539" i="7"/>
  <c r="L1539" i="7"/>
  <c r="K1539" i="7"/>
  <c r="J1539" i="7"/>
  <c r="I1539" i="7"/>
  <c r="H1539" i="7"/>
  <c r="G1539" i="7"/>
  <c r="F1539" i="7"/>
  <c r="E1539" i="7"/>
  <c r="D1539" i="7"/>
  <c r="C1539" i="7"/>
  <c r="B1539" i="7"/>
  <c r="A1539" i="7"/>
  <c r="S1538" i="7"/>
  <c r="M1538" i="7"/>
  <c r="L1538" i="7"/>
  <c r="K1538" i="7"/>
  <c r="J1538" i="7"/>
  <c r="I1538" i="7"/>
  <c r="H1538" i="7"/>
  <c r="G1538" i="7"/>
  <c r="F1538" i="7"/>
  <c r="E1538" i="7"/>
  <c r="D1538" i="7"/>
  <c r="C1538" i="7"/>
  <c r="B1538" i="7"/>
  <c r="A1538" i="7"/>
  <c r="S1537" i="7"/>
  <c r="R1537" i="7"/>
  <c r="Q1537" i="7"/>
  <c r="P1537" i="7"/>
  <c r="O1537" i="7"/>
  <c r="N1537" i="7"/>
  <c r="M1537" i="7"/>
  <c r="L1537" i="7"/>
  <c r="K1537" i="7"/>
  <c r="J1537" i="7"/>
  <c r="I1537" i="7"/>
  <c r="H1537" i="7"/>
  <c r="G1537" i="7"/>
  <c r="F1537" i="7"/>
  <c r="E1537" i="7"/>
  <c r="D1537" i="7"/>
  <c r="C1537" i="7"/>
  <c r="B1537" i="7"/>
  <c r="A1537" i="7"/>
  <c r="S1536" i="7"/>
  <c r="R1536" i="7"/>
  <c r="Q1536" i="7"/>
  <c r="P1536" i="7"/>
  <c r="O1536" i="7"/>
  <c r="N1536" i="7"/>
  <c r="M1536" i="7"/>
  <c r="L1536" i="7"/>
  <c r="K1536" i="7"/>
  <c r="J1536" i="7"/>
  <c r="I1536" i="7"/>
  <c r="H1536" i="7"/>
  <c r="G1536" i="7"/>
  <c r="F1536" i="7"/>
  <c r="E1536" i="7"/>
  <c r="D1536" i="7"/>
  <c r="C1536" i="7"/>
  <c r="B1536" i="7"/>
  <c r="A1536" i="7"/>
  <c r="S1535" i="7"/>
  <c r="R1535" i="7"/>
  <c r="Q1535" i="7"/>
  <c r="P1535" i="7"/>
  <c r="O1535" i="7"/>
  <c r="N1535" i="7"/>
  <c r="M1535" i="7"/>
  <c r="L1535" i="7"/>
  <c r="K1535" i="7"/>
  <c r="J1535" i="7"/>
  <c r="I1535" i="7"/>
  <c r="H1535" i="7"/>
  <c r="G1535" i="7"/>
  <c r="F1535" i="7"/>
  <c r="E1535" i="7"/>
  <c r="D1535" i="7"/>
  <c r="C1535" i="7"/>
  <c r="B1535" i="7"/>
  <c r="A1535" i="7"/>
  <c r="S1534" i="7"/>
  <c r="M1534" i="7"/>
  <c r="L1534" i="7"/>
  <c r="K1534" i="7"/>
  <c r="J1534" i="7"/>
  <c r="I1534" i="7"/>
  <c r="H1534" i="7"/>
  <c r="G1534" i="7"/>
  <c r="F1534" i="7"/>
  <c r="E1534" i="7"/>
  <c r="D1534" i="7"/>
  <c r="C1534" i="7"/>
  <c r="B1534" i="7"/>
  <c r="A1534" i="7"/>
  <c r="S1533" i="7"/>
  <c r="R1533" i="7"/>
  <c r="Q1533" i="7"/>
  <c r="P1533" i="7"/>
  <c r="O1533" i="7"/>
  <c r="N1533" i="7"/>
  <c r="M1533" i="7"/>
  <c r="L1533" i="7"/>
  <c r="K1533" i="7"/>
  <c r="J1533" i="7"/>
  <c r="I1533" i="7"/>
  <c r="H1533" i="7"/>
  <c r="G1533" i="7"/>
  <c r="F1533" i="7"/>
  <c r="E1533" i="7"/>
  <c r="D1533" i="7"/>
  <c r="C1533" i="7"/>
  <c r="B1533" i="7"/>
  <c r="A1533" i="7"/>
  <c r="S1532" i="7"/>
  <c r="R1532" i="7"/>
  <c r="P1532" i="7"/>
  <c r="O1532" i="7"/>
  <c r="N1532" i="7"/>
  <c r="M1532" i="7"/>
  <c r="L1532" i="7"/>
  <c r="K1532" i="7"/>
  <c r="J1532" i="7"/>
  <c r="I1532" i="7"/>
  <c r="H1532" i="7"/>
  <c r="G1532" i="7"/>
  <c r="F1532" i="7"/>
  <c r="E1532" i="7"/>
  <c r="D1532" i="7"/>
  <c r="C1532" i="7"/>
  <c r="B1532" i="7"/>
  <c r="A1532" i="7"/>
  <c r="S1531" i="7"/>
  <c r="R1531" i="7"/>
  <c r="P1531" i="7"/>
  <c r="O1531" i="7"/>
  <c r="N1531" i="7"/>
  <c r="M1531" i="7"/>
  <c r="L1531" i="7"/>
  <c r="K1531" i="7"/>
  <c r="J1531" i="7"/>
  <c r="I1531" i="7"/>
  <c r="H1531" i="7"/>
  <c r="G1531" i="7"/>
  <c r="F1531" i="7"/>
  <c r="E1531" i="7"/>
  <c r="D1531" i="7"/>
  <c r="C1531" i="7"/>
  <c r="B1531" i="7"/>
  <c r="A1531" i="7"/>
  <c r="S1530" i="7"/>
  <c r="R1530" i="7"/>
  <c r="P1530" i="7"/>
  <c r="O1530" i="7"/>
  <c r="N1530" i="7"/>
  <c r="M1530" i="7"/>
  <c r="L1530" i="7"/>
  <c r="K1530" i="7"/>
  <c r="J1530" i="7"/>
  <c r="I1530" i="7"/>
  <c r="H1530" i="7"/>
  <c r="G1530" i="7"/>
  <c r="F1530" i="7"/>
  <c r="E1530" i="7"/>
  <c r="D1530" i="7"/>
  <c r="C1530" i="7"/>
  <c r="B1530" i="7"/>
  <c r="A1530" i="7"/>
  <c r="S1529" i="7"/>
  <c r="R1529" i="7"/>
  <c r="P1529" i="7"/>
  <c r="O1529" i="7"/>
  <c r="N1529" i="7"/>
  <c r="M1529" i="7"/>
  <c r="L1529" i="7"/>
  <c r="K1529" i="7"/>
  <c r="J1529" i="7"/>
  <c r="I1529" i="7"/>
  <c r="H1529" i="7"/>
  <c r="G1529" i="7"/>
  <c r="F1529" i="7"/>
  <c r="E1529" i="7"/>
  <c r="D1529" i="7"/>
  <c r="C1529" i="7"/>
  <c r="B1529" i="7"/>
  <c r="A1529" i="7"/>
  <c r="S1528" i="7"/>
  <c r="R1528" i="7"/>
  <c r="Q1528" i="7"/>
  <c r="P1528" i="7"/>
  <c r="O1528" i="7"/>
  <c r="N1528" i="7"/>
  <c r="M1528" i="7"/>
  <c r="L1528" i="7"/>
  <c r="K1528" i="7"/>
  <c r="J1528" i="7"/>
  <c r="I1528" i="7"/>
  <c r="H1528" i="7"/>
  <c r="G1528" i="7"/>
  <c r="F1528" i="7"/>
  <c r="E1528" i="7"/>
  <c r="D1528" i="7"/>
  <c r="C1528" i="7"/>
  <c r="B1528" i="7"/>
  <c r="A1528" i="7"/>
  <c r="S1527" i="7"/>
  <c r="R1527" i="7"/>
  <c r="Q1527" i="7"/>
  <c r="P1527" i="7"/>
  <c r="O1527" i="7"/>
  <c r="N1527" i="7"/>
  <c r="M1527" i="7"/>
  <c r="L1527" i="7"/>
  <c r="K1527" i="7"/>
  <c r="J1527" i="7"/>
  <c r="I1527" i="7"/>
  <c r="H1527" i="7"/>
  <c r="G1527" i="7"/>
  <c r="F1527" i="7"/>
  <c r="E1527" i="7"/>
  <c r="D1527" i="7"/>
  <c r="C1527" i="7"/>
  <c r="B1527" i="7"/>
  <c r="A1527" i="7"/>
  <c r="S1526" i="7"/>
  <c r="R1526" i="7"/>
  <c r="P1526" i="7"/>
  <c r="O1526" i="7"/>
  <c r="N1526" i="7"/>
  <c r="M1526" i="7"/>
  <c r="L1526" i="7"/>
  <c r="K1526" i="7"/>
  <c r="J1526" i="7"/>
  <c r="I1526" i="7"/>
  <c r="H1526" i="7"/>
  <c r="G1526" i="7"/>
  <c r="F1526" i="7"/>
  <c r="E1526" i="7"/>
  <c r="D1526" i="7"/>
  <c r="C1526" i="7"/>
  <c r="B1526" i="7"/>
  <c r="A1526" i="7"/>
  <c r="S1525" i="7"/>
  <c r="R1525" i="7"/>
  <c r="Q1525" i="7"/>
  <c r="P1525" i="7"/>
  <c r="O1525" i="7"/>
  <c r="N1525" i="7"/>
  <c r="M1525" i="7"/>
  <c r="L1525" i="7"/>
  <c r="K1525" i="7"/>
  <c r="J1525" i="7"/>
  <c r="I1525" i="7"/>
  <c r="H1525" i="7"/>
  <c r="G1525" i="7"/>
  <c r="F1525" i="7"/>
  <c r="E1525" i="7"/>
  <c r="D1525" i="7"/>
  <c r="C1525" i="7"/>
  <c r="B1525" i="7"/>
  <c r="A1525" i="7"/>
  <c r="S1524" i="7"/>
  <c r="R1524" i="7"/>
  <c r="P1524" i="7"/>
  <c r="O1524" i="7"/>
  <c r="N1524" i="7"/>
  <c r="M1524" i="7"/>
  <c r="L1524" i="7"/>
  <c r="K1524" i="7"/>
  <c r="J1524" i="7"/>
  <c r="I1524" i="7"/>
  <c r="H1524" i="7"/>
  <c r="G1524" i="7"/>
  <c r="F1524" i="7"/>
  <c r="E1524" i="7"/>
  <c r="D1524" i="7"/>
  <c r="C1524" i="7"/>
  <c r="B1524" i="7"/>
  <c r="A1524" i="7"/>
  <c r="S1523" i="7"/>
  <c r="R1523" i="7"/>
  <c r="Q1523" i="7"/>
  <c r="P1523" i="7"/>
  <c r="O1523" i="7"/>
  <c r="N1523" i="7"/>
  <c r="M1523" i="7"/>
  <c r="L1523" i="7"/>
  <c r="K1523" i="7"/>
  <c r="J1523" i="7"/>
  <c r="I1523" i="7"/>
  <c r="H1523" i="7"/>
  <c r="G1523" i="7"/>
  <c r="F1523" i="7"/>
  <c r="E1523" i="7"/>
  <c r="D1523" i="7"/>
  <c r="C1523" i="7"/>
  <c r="B1523" i="7"/>
  <c r="A1523" i="7"/>
  <c r="S1522" i="7"/>
  <c r="R1522" i="7"/>
  <c r="P1522" i="7"/>
  <c r="O1522" i="7"/>
  <c r="N1522" i="7"/>
  <c r="M1522" i="7"/>
  <c r="L1522" i="7"/>
  <c r="K1522" i="7"/>
  <c r="J1522" i="7"/>
  <c r="I1522" i="7"/>
  <c r="H1522" i="7"/>
  <c r="G1522" i="7"/>
  <c r="F1522" i="7"/>
  <c r="E1522" i="7"/>
  <c r="D1522" i="7"/>
  <c r="C1522" i="7"/>
  <c r="B1522" i="7"/>
  <c r="A1522" i="7"/>
  <c r="S1521" i="7"/>
  <c r="R1521" i="7"/>
  <c r="Q1521" i="7"/>
  <c r="P1521" i="7"/>
  <c r="O1521" i="7"/>
  <c r="N1521" i="7"/>
  <c r="M1521" i="7"/>
  <c r="L1521" i="7"/>
  <c r="K1521" i="7"/>
  <c r="J1521" i="7"/>
  <c r="I1521" i="7"/>
  <c r="H1521" i="7"/>
  <c r="G1521" i="7"/>
  <c r="F1521" i="7"/>
  <c r="E1521" i="7"/>
  <c r="D1521" i="7"/>
  <c r="C1521" i="7"/>
  <c r="B1521" i="7"/>
  <c r="A1521" i="7"/>
  <c r="S1520" i="7"/>
  <c r="M1520" i="7"/>
  <c r="L1520" i="7"/>
  <c r="K1520" i="7"/>
  <c r="J1520" i="7"/>
  <c r="I1520" i="7"/>
  <c r="H1520" i="7"/>
  <c r="G1520" i="7"/>
  <c r="F1520" i="7"/>
  <c r="E1520" i="7"/>
  <c r="D1520" i="7"/>
  <c r="C1520" i="7"/>
  <c r="B1520" i="7"/>
  <c r="A1520" i="7"/>
  <c r="S1519" i="7"/>
  <c r="R1519" i="7"/>
  <c r="P1519" i="7"/>
  <c r="O1519" i="7"/>
  <c r="N1519" i="7"/>
  <c r="M1519" i="7"/>
  <c r="L1519" i="7"/>
  <c r="K1519" i="7"/>
  <c r="J1519" i="7"/>
  <c r="I1519" i="7"/>
  <c r="H1519" i="7"/>
  <c r="G1519" i="7"/>
  <c r="F1519" i="7"/>
  <c r="E1519" i="7"/>
  <c r="D1519" i="7"/>
  <c r="C1519" i="7"/>
  <c r="B1519" i="7"/>
  <c r="A1519" i="7"/>
  <c r="S1518" i="7"/>
  <c r="R1518" i="7"/>
  <c r="P1518" i="7"/>
  <c r="O1518" i="7"/>
  <c r="N1518" i="7"/>
  <c r="M1518" i="7"/>
  <c r="L1518" i="7"/>
  <c r="K1518" i="7"/>
  <c r="J1518" i="7"/>
  <c r="I1518" i="7"/>
  <c r="H1518" i="7"/>
  <c r="G1518" i="7"/>
  <c r="F1518" i="7"/>
  <c r="E1518" i="7"/>
  <c r="D1518" i="7"/>
  <c r="C1518" i="7"/>
  <c r="B1518" i="7"/>
  <c r="A1518" i="7"/>
  <c r="S1517" i="7"/>
  <c r="R1517" i="7"/>
  <c r="P1517" i="7"/>
  <c r="O1517" i="7"/>
  <c r="N1517" i="7"/>
  <c r="M1517" i="7"/>
  <c r="L1517" i="7"/>
  <c r="K1517" i="7"/>
  <c r="J1517" i="7"/>
  <c r="I1517" i="7"/>
  <c r="H1517" i="7"/>
  <c r="G1517" i="7"/>
  <c r="F1517" i="7"/>
  <c r="E1517" i="7"/>
  <c r="D1517" i="7"/>
  <c r="C1517" i="7"/>
  <c r="B1517" i="7"/>
  <c r="A1517" i="7"/>
  <c r="S1516" i="7"/>
  <c r="R1516" i="7"/>
  <c r="P1516" i="7"/>
  <c r="O1516" i="7"/>
  <c r="N1516" i="7"/>
  <c r="M1516" i="7"/>
  <c r="L1516" i="7"/>
  <c r="K1516" i="7"/>
  <c r="J1516" i="7"/>
  <c r="I1516" i="7"/>
  <c r="H1516" i="7"/>
  <c r="G1516" i="7"/>
  <c r="F1516" i="7"/>
  <c r="E1516" i="7"/>
  <c r="D1516" i="7"/>
  <c r="C1516" i="7"/>
  <c r="B1516" i="7"/>
  <c r="A1516" i="7"/>
  <c r="S1515" i="7"/>
  <c r="R1515" i="7"/>
  <c r="P1515" i="7"/>
  <c r="O1515" i="7"/>
  <c r="N1515" i="7"/>
  <c r="M1515" i="7"/>
  <c r="L1515" i="7"/>
  <c r="K1515" i="7"/>
  <c r="J1515" i="7"/>
  <c r="I1515" i="7"/>
  <c r="H1515" i="7"/>
  <c r="G1515" i="7"/>
  <c r="F1515" i="7"/>
  <c r="E1515" i="7"/>
  <c r="D1515" i="7"/>
  <c r="C1515" i="7"/>
  <c r="B1515" i="7"/>
  <c r="A1515" i="7"/>
  <c r="S1514" i="7"/>
  <c r="M1514" i="7"/>
  <c r="L1514" i="7"/>
  <c r="K1514" i="7"/>
  <c r="J1514" i="7"/>
  <c r="I1514" i="7"/>
  <c r="H1514" i="7"/>
  <c r="G1514" i="7"/>
  <c r="F1514" i="7"/>
  <c r="E1514" i="7"/>
  <c r="D1514" i="7"/>
  <c r="C1514" i="7"/>
  <c r="B1514" i="7"/>
  <c r="A1514" i="7"/>
  <c r="S1513" i="7"/>
  <c r="R1513" i="7"/>
  <c r="P1513" i="7"/>
  <c r="O1513" i="7"/>
  <c r="N1513" i="7"/>
  <c r="M1513" i="7"/>
  <c r="L1513" i="7"/>
  <c r="K1513" i="7"/>
  <c r="J1513" i="7"/>
  <c r="I1513" i="7"/>
  <c r="H1513" i="7"/>
  <c r="G1513" i="7"/>
  <c r="F1513" i="7"/>
  <c r="E1513" i="7"/>
  <c r="D1513" i="7"/>
  <c r="C1513" i="7"/>
  <c r="B1513" i="7"/>
  <c r="A1513" i="7"/>
  <c r="S1512" i="7"/>
  <c r="R1512" i="7"/>
  <c r="P1512" i="7"/>
  <c r="O1512" i="7"/>
  <c r="N1512" i="7"/>
  <c r="M1512" i="7"/>
  <c r="L1512" i="7"/>
  <c r="K1512" i="7"/>
  <c r="J1512" i="7"/>
  <c r="I1512" i="7"/>
  <c r="H1512" i="7"/>
  <c r="G1512" i="7"/>
  <c r="F1512" i="7"/>
  <c r="E1512" i="7"/>
  <c r="D1512" i="7"/>
  <c r="C1512" i="7"/>
  <c r="B1512" i="7"/>
  <c r="A1512" i="7"/>
  <c r="S1511" i="7"/>
  <c r="R1511" i="7"/>
  <c r="P1511" i="7"/>
  <c r="O1511" i="7"/>
  <c r="N1511" i="7"/>
  <c r="M1511" i="7"/>
  <c r="L1511" i="7"/>
  <c r="K1511" i="7"/>
  <c r="J1511" i="7"/>
  <c r="I1511" i="7"/>
  <c r="H1511" i="7"/>
  <c r="G1511" i="7"/>
  <c r="F1511" i="7"/>
  <c r="E1511" i="7"/>
  <c r="D1511" i="7"/>
  <c r="C1511" i="7"/>
  <c r="B1511" i="7"/>
  <c r="A1511" i="7"/>
  <c r="S1510" i="7"/>
  <c r="R1510" i="7"/>
  <c r="P1510" i="7"/>
  <c r="O1510" i="7"/>
  <c r="N1510" i="7"/>
  <c r="M1510" i="7"/>
  <c r="L1510" i="7"/>
  <c r="K1510" i="7"/>
  <c r="J1510" i="7"/>
  <c r="I1510" i="7"/>
  <c r="H1510" i="7"/>
  <c r="G1510" i="7"/>
  <c r="F1510" i="7"/>
  <c r="E1510" i="7"/>
  <c r="D1510" i="7"/>
  <c r="C1510" i="7"/>
  <c r="B1510" i="7"/>
  <c r="A1510" i="7"/>
  <c r="S1509" i="7"/>
  <c r="R1509" i="7"/>
  <c r="Q1509" i="7"/>
  <c r="P1509" i="7"/>
  <c r="O1509" i="7"/>
  <c r="N1509" i="7"/>
  <c r="M1509" i="7"/>
  <c r="L1509" i="7"/>
  <c r="K1509" i="7"/>
  <c r="J1509" i="7"/>
  <c r="I1509" i="7"/>
  <c r="H1509" i="7"/>
  <c r="G1509" i="7"/>
  <c r="F1509" i="7"/>
  <c r="E1509" i="7"/>
  <c r="D1509" i="7"/>
  <c r="C1509" i="7"/>
  <c r="B1509" i="7"/>
  <c r="A1509" i="7"/>
  <c r="S1508" i="7"/>
  <c r="R1508" i="7"/>
  <c r="Q1508" i="7"/>
  <c r="P1508" i="7"/>
  <c r="O1508" i="7"/>
  <c r="N1508" i="7"/>
  <c r="M1508" i="7"/>
  <c r="L1508" i="7"/>
  <c r="K1508" i="7"/>
  <c r="J1508" i="7"/>
  <c r="I1508" i="7"/>
  <c r="H1508" i="7"/>
  <c r="G1508" i="7"/>
  <c r="F1508" i="7"/>
  <c r="E1508" i="7"/>
  <c r="D1508" i="7"/>
  <c r="C1508" i="7"/>
  <c r="B1508" i="7"/>
  <c r="A1508" i="7"/>
  <c r="S1507" i="7"/>
  <c r="R1507" i="7"/>
  <c r="P1507" i="7"/>
  <c r="O1507" i="7"/>
  <c r="N1507" i="7"/>
  <c r="M1507" i="7"/>
  <c r="L1507" i="7"/>
  <c r="K1507" i="7"/>
  <c r="J1507" i="7"/>
  <c r="I1507" i="7"/>
  <c r="H1507" i="7"/>
  <c r="G1507" i="7"/>
  <c r="F1507" i="7"/>
  <c r="E1507" i="7"/>
  <c r="D1507" i="7"/>
  <c r="C1507" i="7"/>
  <c r="B1507" i="7"/>
  <c r="A1507" i="7"/>
  <c r="S1506" i="7"/>
  <c r="R1506" i="7"/>
  <c r="Q1506" i="7"/>
  <c r="P1506" i="7"/>
  <c r="O1506" i="7"/>
  <c r="N1506" i="7"/>
  <c r="M1506" i="7"/>
  <c r="L1506" i="7"/>
  <c r="K1506" i="7"/>
  <c r="J1506" i="7"/>
  <c r="I1506" i="7"/>
  <c r="H1506" i="7"/>
  <c r="G1506" i="7"/>
  <c r="F1506" i="7"/>
  <c r="E1506" i="7"/>
  <c r="D1506" i="7"/>
  <c r="C1506" i="7"/>
  <c r="B1506" i="7"/>
  <c r="A1506" i="7"/>
  <c r="S1505" i="7"/>
  <c r="R1505" i="7"/>
  <c r="P1505" i="7"/>
  <c r="O1505" i="7"/>
  <c r="N1505" i="7"/>
  <c r="M1505" i="7"/>
  <c r="L1505" i="7"/>
  <c r="K1505" i="7"/>
  <c r="J1505" i="7"/>
  <c r="I1505" i="7"/>
  <c r="H1505" i="7"/>
  <c r="G1505" i="7"/>
  <c r="F1505" i="7"/>
  <c r="E1505" i="7"/>
  <c r="D1505" i="7"/>
  <c r="C1505" i="7"/>
  <c r="B1505" i="7"/>
  <c r="A1505" i="7"/>
  <c r="S1504" i="7"/>
  <c r="R1504" i="7"/>
  <c r="P1504" i="7"/>
  <c r="O1504" i="7"/>
  <c r="N1504" i="7"/>
  <c r="M1504" i="7"/>
  <c r="L1504" i="7"/>
  <c r="K1504" i="7"/>
  <c r="J1504" i="7"/>
  <c r="I1504" i="7"/>
  <c r="H1504" i="7"/>
  <c r="G1504" i="7"/>
  <c r="F1504" i="7"/>
  <c r="E1504" i="7"/>
  <c r="D1504" i="7"/>
  <c r="C1504" i="7"/>
  <c r="B1504" i="7"/>
  <c r="A1504" i="7"/>
  <c r="S1503" i="7"/>
  <c r="M1503" i="7"/>
  <c r="L1503" i="7"/>
  <c r="K1503" i="7"/>
  <c r="J1503" i="7"/>
  <c r="I1503" i="7"/>
  <c r="H1503" i="7"/>
  <c r="G1503" i="7"/>
  <c r="F1503" i="7"/>
  <c r="E1503" i="7"/>
  <c r="D1503" i="7"/>
  <c r="C1503" i="7"/>
  <c r="B1503" i="7"/>
  <c r="A1503" i="7"/>
  <c r="S1502" i="7"/>
  <c r="R1502" i="7"/>
  <c r="P1502" i="7"/>
  <c r="O1502" i="7"/>
  <c r="N1502" i="7"/>
  <c r="M1502" i="7"/>
  <c r="L1502" i="7"/>
  <c r="K1502" i="7"/>
  <c r="J1502" i="7"/>
  <c r="I1502" i="7"/>
  <c r="H1502" i="7"/>
  <c r="G1502" i="7"/>
  <c r="F1502" i="7"/>
  <c r="E1502" i="7"/>
  <c r="D1502" i="7"/>
  <c r="C1502" i="7"/>
  <c r="B1502" i="7"/>
  <c r="A1502" i="7"/>
  <c r="S1501" i="7"/>
  <c r="Q1501" i="7"/>
  <c r="M1501" i="7"/>
  <c r="K1501" i="7"/>
  <c r="J1501" i="7"/>
  <c r="I1501" i="7"/>
  <c r="H1501" i="7"/>
  <c r="G1501" i="7"/>
  <c r="F1501" i="7"/>
  <c r="E1501" i="7"/>
  <c r="D1501" i="7"/>
  <c r="C1501" i="7"/>
  <c r="B1501" i="7"/>
  <c r="A1501" i="7"/>
  <c r="S1500" i="7"/>
  <c r="R1500" i="7"/>
  <c r="Q1500" i="7"/>
  <c r="P1500" i="7"/>
  <c r="O1500" i="7"/>
  <c r="N1500" i="7"/>
  <c r="M1500" i="7"/>
  <c r="L1500" i="7"/>
  <c r="K1500" i="7"/>
  <c r="J1500" i="7"/>
  <c r="I1500" i="7"/>
  <c r="H1500" i="7"/>
  <c r="G1500" i="7"/>
  <c r="F1500" i="7"/>
  <c r="E1500" i="7"/>
  <c r="D1500" i="7"/>
  <c r="C1500" i="7"/>
  <c r="B1500" i="7"/>
  <c r="A1500" i="7"/>
  <c r="S1499" i="7"/>
  <c r="R1499" i="7"/>
  <c r="Q1499" i="7"/>
  <c r="P1499" i="7"/>
  <c r="O1499" i="7"/>
  <c r="N1499" i="7"/>
  <c r="M1499" i="7"/>
  <c r="L1499" i="7"/>
  <c r="K1499" i="7"/>
  <c r="J1499" i="7"/>
  <c r="I1499" i="7"/>
  <c r="H1499" i="7"/>
  <c r="G1499" i="7"/>
  <c r="F1499" i="7"/>
  <c r="E1499" i="7"/>
  <c r="D1499" i="7"/>
  <c r="C1499" i="7"/>
  <c r="B1499" i="7"/>
  <c r="A1499" i="7"/>
  <c r="S1498" i="7"/>
  <c r="R1498" i="7"/>
  <c r="Q1498" i="7"/>
  <c r="P1498" i="7"/>
  <c r="O1498" i="7"/>
  <c r="N1498" i="7"/>
  <c r="M1498" i="7"/>
  <c r="L1498" i="7"/>
  <c r="K1498" i="7"/>
  <c r="J1498" i="7"/>
  <c r="I1498" i="7"/>
  <c r="H1498" i="7"/>
  <c r="G1498" i="7"/>
  <c r="F1498" i="7"/>
  <c r="E1498" i="7"/>
  <c r="D1498" i="7"/>
  <c r="C1498" i="7"/>
  <c r="B1498" i="7"/>
  <c r="A1498" i="7"/>
  <c r="S1497" i="7"/>
  <c r="R1497" i="7"/>
  <c r="P1497" i="7"/>
  <c r="O1497" i="7"/>
  <c r="N1497" i="7"/>
  <c r="M1497" i="7"/>
  <c r="L1497" i="7"/>
  <c r="K1497" i="7"/>
  <c r="J1497" i="7"/>
  <c r="I1497" i="7"/>
  <c r="H1497" i="7"/>
  <c r="G1497" i="7"/>
  <c r="F1497" i="7"/>
  <c r="E1497" i="7"/>
  <c r="D1497" i="7"/>
  <c r="C1497" i="7"/>
  <c r="B1497" i="7"/>
  <c r="A1497" i="7"/>
  <c r="S1496" i="7"/>
  <c r="R1496" i="7"/>
  <c r="P1496" i="7"/>
  <c r="O1496" i="7"/>
  <c r="N1496" i="7"/>
  <c r="M1496" i="7"/>
  <c r="L1496" i="7"/>
  <c r="K1496" i="7"/>
  <c r="J1496" i="7"/>
  <c r="I1496" i="7"/>
  <c r="H1496" i="7"/>
  <c r="G1496" i="7"/>
  <c r="F1496" i="7"/>
  <c r="E1496" i="7"/>
  <c r="D1496" i="7"/>
  <c r="C1496" i="7"/>
  <c r="B1496" i="7"/>
  <c r="A1496" i="7"/>
  <c r="S1495" i="7"/>
  <c r="R1495" i="7"/>
  <c r="P1495" i="7"/>
  <c r="O1495" i="7"/>
  <c r="N1495" i="7"/>
  <c r="M1495" i="7"/>
  <c r="L1495" i="7"/>
  <c r="K1495" i="7"/>
  <c r="J1495" i="7"/>
  <c r="I1495" i="7"/>
  <c r="H1495" i="7"/>
  <c r="G1495" i="7"/>
  <c r="F1495" i="7"/>
  <c r="E1495" i="7"/>
  <c r="D1495" i="7"/>
  <c r="C1495" i="7"/>
  <c r="B1495" i="7"/>
  <c r="A1495" i="7"/>
  <c r="S1494" i="7"/>
  <c r="R1494" i="7"/>
  <c r="Q1494" i="7"/>
  <c r="P1494" i="7"/>
  <c r="O1494" i="7"/>
  <c r="N1494" i="7"/>
  <c r="M1494" i="7"/>
  <c r="L1494" i="7"/>
  <c r="K1494" i="7"/>
  <c r="J1494" i="7"/>
  <c r="I1494" i="7"/>
  <c r="H1494" i="7"/>
  <c r="G1494" i="7"/>
  <c r="F1494" i="7"/>
  <c r="E1494" i="7"/>
  <c r="D1494" i="7"/>
  <c r="C1494" i="7"/>
  <c r="B1494" i="7"/>
  <c r="A1494" i="7"/>
  <c r="S1493" i="7"/>
  <c r="R1493" i="7"/>
  <c r="P1493" i="7"/>
  <c r="O1493" i="7"/>
  <c r="N1493" i="7"/>
  <c r="M1493" i="7"/>
  <c r="L1493" i="7"/>
  <c r="K1493" i="7"/>
  <c r="J1493" i="7"/>
  <c r="I1493" i="7"/>
  <c r="H1493" i="7"/>
  <c r="G1493" i="7"/>
  <c r="F1493" i="7"/>
  <c r="E1493" i="7"/>
  <c r="D1493" i="7"/>
  <c r="C1493" i="7"/>
  <c r="B1493" i="7"/>
  <c r="A1493" i="7"/>
  <c r="S1492" i="7"/>
  <c r="R1492" i="7"/>
  <c r="P1492" i="7"/>
  <c r="O1492" i="7"/>
  <c r="N1492" i="7"/>
  <c r="M1492" i="7"/>
  <c r="L1492" i="7"/>
  <c r="K1492" i="7"/>
  <c r="J1492" i="7"/>
  <c r="I1492" i="7"/>
  <c r="H1492" i="7"/>
  <c r="G1492" i="7"/>
  <c r="F1492" i="7"/>
  <c r="E1492" i="7"/>
  <c r="D1492" i="7"/>
  <c r="C1492" i="7"/>
  <c r="B1492" i="7"/>
  <c r="A1492" i="7"/>
  <c r="S1491" i="7"/>
  <c r="R1491" i="7"/>
  <c r="P1491" i="7"/>
  <c r="O1491" i="7"/>
  <c r="N1491" i="7"/>
  <c r="M1491" i="7"/>
  <c r="L1491" i="7"/>
  <c r="K1491" i="7"/>
  <c r="J1491" i="7"/>
  <c r="I1491" i="7"/>
  <c r="H1491" i="7"/>
  <c r="G1491" i="7"/>
  <c r="F1491" i="7"/>
  <c r="E1491" i="7"/>
  <c r="D1491" i="7"/>
  <c r="C1491" i="7"/>
  <c r="B1491" i="7"/>
  <c r="A1491" i="7"/>
  <c r="S1490" i="7"/>
  <c r="R1490" i="7"/>
  <c r="P1490" i="7"/>
  <c r="O1490" i="7"/>
  <c r="N1490" i="7"/>
  <c r="M1490" i="7"/>
  <c r="L1490" i="7"/>
  <c r="K1490" i="7"/>
  <c r="J1490" i="7"/>
  <c r="I1490" i="7"/>
  <c r="H1490" i="7"/>
  <c r="G1490" i="7"/>
  <c r="F1490" i="7"/>
  <c r="E1490" i="7"/>
  <c r="D1490" i="7"/>
  <c r="C1490" i="7"/>
  <c r="B1490" i="7"/>
  <c r="A1490" i="7"/>
  <c r="S1489" i="7"/>
  <c r="R1489" i="7"/>
  <c r="P1489" i="7"/>
  <c r="O1489" i="7"/>
  <c r="N1489" i="7"/>
  <c r="M1489" i="7"/>
  <c r="L1489" i="7"/>
  <c r="K1489" i="7"/>
  <c r="J1489" i="7"/>
  <c r="I1489" i="7"/>
  <c r="H1489" i="7"/>
  <c r="G1489" i="7"/>
  <c r="F1489" i="7"/>
  <c r="E1489" i="7"/>
  <c r="D1489" i="7"/>
  <c r="C1489" i="7"/>
  <c r="B1489" i="7"/>
  <c r="A1489" i="7"/>
  <c r="S1488" i="7"/>
  <c r="R1488" i="7"/>
  <c r="P1488" i="7"/>
  <c r="O1488" i="7"/>
  <c r="N1488" i="7"/>
  <c r="M1488" i="7"/>
  <c r="L1488" i="7"/>
  <c r="K1488" i="7"/>
  <c r="J1488" i="7"/>
  <c r="I1488" i="7"/>
  <c r="H1488" i="7"/>
  <c r="G1488" i="7"/>
  <c r="F1488" i="7"/>
  <c r="E1488" i="7"/>
  <c r="D1488" i="7"/>
  <c r="C1488" i="7"/>
  <c r="B1488" i="7"/>
  <c r="A1488" i="7"/>
  <c r="S1487" i="7"/>
  <c r="R1487" i="7"/>
  <c r="P1487" i="7"/>
  <c r="O1487" i="7"/>
  <c r="N1487" i="7"/>
  <c r="M1487" i="7"/>
  <c r="L1487" i="7"/>
  <c r="K1487" i="7"/>
  <c r="J1487" i="7"/>
  <c r="I1487" i="7"/>
  <c r="H1487" i="7"/>
  <c r="G1487" i="7"/>
  <c r="F1487" i="7"/>
  <c r="E1487" i="7"/>
  <c r="D1487" i="7"/>
  <c r="C1487" i="7"/>
  <c r="B1487" i="7"/>
  <c r="A1487" i="7"/>
  <c r="S1486" i="7"/>
  <c r="R1486" i="7"/>
  <c r="P1486" i="7"/>
  <c r="O1486" i="7"/>
  <c r="N1486" i="7"/>
  <c r="M1486" i="7"/>
  <c r="L1486" i="7"/>
  <c r="K1486" i="7"/>
  <c r="J1486" i="7"/>
  <c r="I1486" i="7"/>
  <c r="H1486" i="7"/>
  <c r="G1486" i="7"/>
  <c r="F1486" i="7"/>
  <c r="E1486" i="7"/>
  <c r="D1486" i="7"/>
  <c r="C1486" i="7"/>
  <c r="B1486" i="7"/>
  <c r="A1486" i="7"/>
  <c r="S1485" i="7"/>
  <c r="R1485" i="7"/>
  <c r="P1485" i="7"/>
  <c r="O1485" i="7"/>
  <c r="N1485" i="7"/>
  <c r="M1485" i="7"/>
  <c r="L1485" i="7"/>
  <c r="K1485" i="7"/>
  <c r="J1485" i="7"/>
  <c r="I1485" i="7"/>
  <c r="H1485" i="7"/>
  <c r="G1485" i="7"/>
  <c r="F1485" i="7"/>
  <c r="E1485" i="7"/>
  <c r="D1485" i="7"/>
  <c r="C1485" i="7"/>
  <c r="B1485" i="7"/>
  <c r="A1485" i="7"/>
  <c r="S1484" i="7"/>
  <c r="R1484" i="7"/>
  <c r="P1484" i="7"/>
  <c r="O1484" i="7"/>
  <c r="N1484" i="7"/>
  <c r="M1484" i="7"/>
  <c r="L1484" i="7"/>
  <c r="K1484" i="7"/>
  <c r="J1484" i="7"/>
  <c r="I1484" i="7"/>
  <c r="H1484" i="7"/>
  <c r="G1484" i="7"/>
  <c r="F1484" i="7"/>
  <c r="E1484" i="7"/>
  <c r="D1484" i="7"/>
  <c r="C1484" i="7"/>
  <c r="B1484" i="7"/>
  <c r="A1484" i="7"/>
  <c r="S1483" i="7"/>
  <c r="R1483" i="7"/>
  <c r="P1483" i="7"/>
  <c r="O1483" i="7"/>
  <c r="N1483" i="7"/>
  <c r="M1483" i="7"/>
  <c r="L1483" i="7"/>
  <c r="K1483" i="7"/>
  <c r="J1483" i="7"/>
  <c r="I1483" i="7"/>
  <c r="H1483" i="7"/>
  <c r="G1483" i="7"/>
  <c r="F1483" i="7"/>
  <c r="E1483" i="7"/>
  <c r="D1483" i="7"/>
  <c r="C1483" i="7"/>
  <c r="B1483" i="7"/>
  <c r="A1483" i="7"/>
  <c r="S1482" i="7"/>
  <c r="R1482" i="7"/>
  <c r="P1482" i="7"/>
  <c r="O1482" i="7"/>
  <c r="N1482" i="7"/>
  <c r="M1482" i="7"/>
  <c r="L1482" i="7"/>
  <c r="K1482" i="7"/>
  <c r="J1482" i="7"/>
  <c r="I1482" i="7"/>
  <c r="H1482" i="7"/>
  <c r="G1482" i="7"/>
  <c r="F1482" i="7"/>
  <c r="E1482" i="7"/>
  <c r="D1482" i="7"/>
  <c r="C1482" i="7"/>
  <c r="B1482" i="7"/>
  <c r="A1482" i="7"/>
  <c r="S1481" i="7"/>
  <c r="R1481" i="7"/>
  <c r="P1481" i="7"/>
  <c r="O1481" i="7"/>
  <c r="N1481" i="7"/>
  <c r="M1481" i="7"/>
  <c r="L1481" i="7"/>
  <c r="K1481" i="7"/>
  <c r="J1481" i="7"/>
  <c r="I1481" i="7"/>
  <c r="H1481" i="7"/>
  <c r="G1481" i="7"/>
  <c r="F1481" i="7"/>
  <c r="E1481" i="7"/>
  <c r="D1481" i="7"/>
  <c r="C1481" i="7"/>
  <c r="B1481" i="7"/>
  <c r="A1481" i="7"/>
  <c r="S1480" i="7"/>
  <c r="M1480" i="7"/>
  <c r="L1480" i="7"/>
  <c r="K1480" i="7"/>
  <c r="J1480" i="7"/>
  <c r="I1480" i="7"/>
  <c r="H1480" i="7"/>
  <c r="G1480" i="7"/>
  <c r="F1480" i="7"/>
  <c r="E1480" i="7"/>
  <c r="D1480" i="7"/>
  <c r="C1480" i="7"/>
  <c r="B1480" i="7"/>
  <c r="A1480" i="7"/>
  <c r="S1479" i="7"/>
  <c r="R1479" i="7"/>
  <c r="P1479" i="7"/>
  <c r="O1479" i="7"/>
  <c r="N1479" i="7"/>
  <c r="M1479" i="7"/>
  <c r="L1479" i="7"/>
  <c r="K1479" i="7"/>
  <c r="J1479" i="7"/>
  <c r="I1479" i="7"/>
  <c r="H1479" i="7"/>
  <c r="G1479" i="7"/>
  <c r="F1479" i="7"/>
  <c r="E1479" i="7"/>
  <c r="D1479" i="7"/>
  <c r="C1479" i="7"/>
  <c r="B1479" i="7"/>
  <c r="A1479" i="7"/>
  <c r="S1478" i="7"/>
  <c r="R1478" i="7"/>
  <c r="P1478" i="7"/>
  <c r="O1478" i="7"/>
  <c r="N1478" i="7"/>
  <c r="M1478" i="7"/>
  <c r="L1478" i="7"/>
  <c r="K1478" i="7"/>
  <c r="J1478" i="7"/>
  <c r="I1478" i="7"/>
  <c r="H1478" i="7"/>
  <c r="G1478" i="7"/>
  <c r="F1478" i="7"/>
  <c r="E1478" i="7"/>
  <c r="D1478" i="7"/>
  <c r="C1478" i="7"/>
  <c r="B1478" i="7"/>
  <c r="A1478" i="7"/>
  <c r="S1477" i="7"/>
  <c r="R1477" i="7"/>
  <c r="Q1477" i="7"/>
  <c r="P1477" i="7"/>
  <c r="O1477" i="7"/>
  <c r="N1477" i="7"/>
  <c r="M1477" i="7"/>
  <c r="L1477" i="7"/>
  <c r="K1477" i="7"/>
  <c r="J1477" i="7"/>
  <c r="I1477" i="7"/>
  <c r="H1477" i="7"/>
  <c r="G1477" i="7"/>
  <c r="F1477" i="7"/>
  <c r="E1477" i="7"/>
  <c r="D1477" i="7"/>
  <c r="C1477" i="7"/>
  <c r="B1477" i="7"/>
  <c r="A1477" i="7"/>
  <c r="S1476" i="7"/>
  <c r="R1476" i="7"/>
  <c r="Q1476" i="7"/>
  <c r="P1476" i="7"/>
  <c r="O1476" i="7"/>
  <c r="N1476" i="7"/>
  <c r="M1476" i="7"/>
  <c r="L1476" i="7"/>
  <c r="K1476" i="7"/>
  <c r="J1476" i="7"/>
  <c r="I1476" i="7"/>
  <c r="H1476" i="7"/>
  <c r="G1476" i="7"/>
  <c r="F1476" i="7"/>
  <c r="E1476" i="7"/>
  <c r="D1476" i="7"/>
  <c r="C1476" i="7"/>
  <c r="B1476" i="7"/>
  <c r="A1476" i="7"/>
  <c r="S1475" i="7"/>
  <c r="R1475" i="7"/>
  <c r="P1475" i="7"/>
  <c r="O1475" i="7"/>
  <c r="N1475" i="7"/>
  <c r="M1475" i="7"/>
  <c r="L1475" i="7"/>
  <c r="K1475" i="7"/>
  <c r="J1475" i="7"/>
  <c r="I1475" i="7"/>
  <c r="H1475" i="7"/>
  <c r="G1475" i="7"/>
  <c r="F1475" i="7"/>
  <c r="E1475" i="7"/>
  <c r="D1475" i="7"/>
  <c r="C1475" i="7"/>
  <c r="B1475" i="7"/>
  <c r="A1475" i="7"/>
  <c r="S1474" i="7"/>
  <c r="R1474" i="7"/>
  <c r="Q1474" i="7"/>
  <c r="P1474" i="7"/>
  <c r="O1474" i="7"/>
  <c r="N1474" i="7"/>
  <c r="M1474" i="7"/>
  <c r="L1474" i="7"/>
  <c r="K1474" i="7"/>
  <c r="J1474" i="7"/>
  <c r="I1474" i="7"/>
  <c r="H1474" i="7"/>
  <c r="G1474" i="7"/>
  <c r="F1474" i="7"/>
  <c r="E1474" i="7"/>
  <c r="D1474" i="7"/>
  <c r="C1474" i="7"/>
  <c r="B1474" i="7"/>
  <c r="A1474" i="7"/>
  <c r="S1473" i="7"/>
  <c r="Q1473" i="7"/>
  <c r="M1473" i="7"/>
  <c r="L1473" i="7"/>
  <c r="K1473" i="7"/>
  <c r="J1473" i="7"/>
  <c r="I1473" i="7"/>
  <c r="H1473" i="7"/>
  <c r="G1473" i="7"/>
  <c r="F1473" i="7"/>
  <c r="E1473" i="7"/>
  <c r="D1473" i="7"/>
  <c r="C1473" i="7"/>
  <c r="B1473" i="7"/>
  <c r="A1473" i="7"/>
  <c r="S1472" i="7"/>
  <c r="R1472" i="7"/>
  <c r="Q1472" i="7"/>
  <c r="P1472" i="7"/>
  <c r="O1472" i="7"/>
  <c r="N1472" i="7"/>
  <c r="M1472" i="7"/>
  <c r="L1472" i="7"/>
  <c r="K1472" i="7"/>
  <c r="J1472" i="7"/>
  <c r="I1472" i="7"/>
  <c r="H1472" i="7"/>
  <c r="G1472" i="7"/>
  <c r="F1472" i="7"/>
  <c r="E1472" i="7"/>
  <c r="D1472" i="7"/>
  <c r="C1472" i="7"/>
  <c r="B1472" i="7"/>
  <c r="A1472" i="7"/>
  <c r="S1471" i="7"/>
  <c r="R1471" i="7"/>
  <c r="P1471" i="7"/>
  <c r="O1471" i="7"/>
  <c r="N1471" i="7"/>
  <c r="M1471" i="7"/>
  <c r="L1471" i="7"/>
  <c r="K1471" i="7"/>
  <c r="J1471" i="7"/>
  <c r="I1471" i="7"/>
  <c r="H1471" i="7"/>
  <c r="G1471" i="7"/>
  <c r="F1471" i="7"/>
  <c r="E1471" i="7"/>
  <c r="D1471" i="7"/>
  <c r="C1471" i="7"/>
  <c r="B1471" i="7"/>
  <c r="A1471" i="7"/>
  <c r="S1470" i="7"/>
  <c r="R1470" i="7"/>
  <c r="P1470" i="7"/>
  <c r="O1470" i="7"/>
  <c r="N1470" i="7"/>
  <c r="M1470" i="7"/>
  <c r="L1470" i="7"/>
  <c r="K1470" i="7"/>
  <c r="J1470" i="7"/>
  <c r="I1470" i="7"/>
  <c r="H1470" i="7"/>
  <c r="G1470" i="7"/>
  <c r="F1470" i="7"/>
  <c r="E1470" i="7"/>
  <c r="D1470" i="7"/>
  <c r="C1470" i="7"/>
  <c r="B1470" i="7"/>
  <c r="A1470" i="7"/>
  <c r="S1469" i="7"/>
  <c r="M1469" i="7"/>
  <c r="L1469" i="7"/>
  <c r="K1469" i="7"/>
  <c r="J1469" i="7"/>
  <c r="I1469" i="7"/>
  <c r="H1469" i="7"/>
  <c r="G1469" i="7"/>
  <c r="F1469" i="7"/>
  <c r="E1469" i="7"/>
  <c r="D1469" i="7"/>
  <c r="C1469" i="7"/>
  <c r="B1469" i="7"/>
  <c r="A1469" i="7"/>
  <c r="S1468" i="7"/>
  <c r="M1468" i="7"/>
  <c r="L1468" i="7"/>
  <c r="K1468" i="7"/>
  <c r="J1468" i="7"/>
  <c r="I1468" i="7"/>
  <c r="H1468" i="7"/>
  <c r="G1468" i="7"/>
  <c r="F1468" i="7"/>
  <c r="E1468" i="7"/>
  <c r="D1468" i="7"/>
  <c r="C1468" i="7"/>
  <c r="B1468" i="7"/>
  <c r="A1468" i="7"/>
  <c r="S1467" i="7"/>
  <c r="R1467" i="7"/>
  <c r="Q1467" i="7"/>
  <c r="P1467" i="7"/>
  <c r="O1467" i="7"/>
  <c r="N1467" i="7"/>
  <c r="M1467" i="7"/>
  <c r="L1467" i="7"/>
  <c r="K1467" i="7"/>
  <c r="J1467" i="7"/>
  <c r="I1467" i="7"/>
  <c r="H1467" i="7"/>
  <c r="G1467" i="7"/>
  <c r="F1467" i="7"/>
  <c r="E1467" i="7"/>
  <c r="D1467" i="7"/>
  <c r="C1467" i="7"/>
  <c r="B1467" i="7"/>
  <c r="A1467" i="7"/>
  <c r="S1466" i="7"/>
  <c r="R1466" i="7"/>
  <c r="P1466" i="7"/>
  <c r="O1466" i="7"/>
  <c r="N1466" i="7"/>
  <c r="M1466" i="7"/>
  <c r="L1466" i="7"/>
  <c r="K1466" i="7"/>
  <c r="J1466" i="7"/>
  <c r="I1466" i="7"/>
  <c r="H1466" i="7"/>
  <c r="G1466" i="7"/>
  <c r="F1466" i="7"/>
  <c r="E1466" i="7"/>
  <c r="D1466" i="7"/>
  <c r="C1466" i="7"/>
  <c r="B1466" i="7"/>
  <c r="A1466" i="7"/>
  <c r="S1465" i="7"/>
  <c r="R1465" i="7"/>
  <c r="P1465" i="7"/>
  <c r="O1465" i="7"/>
  <c r="N1465" i="7"/>
  <c r="M1465" i="7"/>
  <c r="L1465" i="7"/>
  <c r="K1465" i="7"/>
  <c r="J1465" i="7"/>
  <c r="I1465" i="7"/>
  <c r="H1465" i="7"/>
  <c r="G1465" i="7"/>
  <c r="F1465" i="7"/>
  <c r="E1465" i="7"/>
  <c r="D1465" i="7"/>
  <c r="C1465" i="7"/>
  <c r="B1465" i="7"/>
  <c r="A1465" i="7"/>
  <c r="S1464" i="7"/>
  <c r="R1464" i="7"/>
  <c r="P1464" i="7"/>
  <c r="O1464" i="7"/>
  <c r="N1464" i="7"/>
  <c r="M1464" i="7"/>
  <c r="L1464" i="7"/>
  <c r="K1464" i="7"/>
  <c r="J1464" i="7"/>
  <c r="I1464" i="7"/>
  <c r="H1464" i="7"/>
  <c r="G1464" i="7"/>
  <c r="F1464" i="7"/>
  <c r="E1464" i="7"/>
  <c r="D1464" i="7"/>
  <c r="C1464" i="7"/>
  <c r="B1464" i="7"/>
  <c r="A1464" i="7"/>
  <c r="S1463" i="7"/>
  <c r="M1463" i="7"/>
  <c r="L1463" i="7"/>
  <c r="K1463" i="7"/>
  <c r="J1463" i="7"/>
  <c r="I1463" i="7"/>
  <c r="H1463" i="7"/>
  <c r="G1463" i="7"/>
  <c r="F1463" i="7"/>
  <c r="E1463" i="7"/>
  <c r="D1463" i="7"/>
  <c r="C1463" i="7"/>
  <c r="B1463" i="7"/>
  <c r="A1463" i="7"/>
  <c r="S1462" i="7"/>
  <c r="R1462" i="7"/>
  <c r="P1462" i="7"/>
  <c r="O1462" i="7"/>
  <c r="N1462" i="7"/>
  <c r="M1462" i="7"/>
  <c r="L1462" i="7"/>
  <c r="K1462" i="7"/>
  <c r="J1462" i="7"/>
  <c r="I1462" i="7"/>
  <c r="H1462" i="7"/>
  <c r="G1462" i="7"/>
  <c r="F1462" i="7"/>
  <c r="E1462" i="7"/>
  <c r="D1462" i="7"/>
  <c r="C1462" i="7"/>
  <c r="B1462" i="7"/>
  <c r="A1462" i="7"/>
  <c r="S1461" i="7"/>
  <c r="R1461" i="7"/>
  <c r="Q1461" i="7"/>
  <c r="P1461" i="7"/>
  <c r="O1461" i="7"/>
  <c r="N1461" i="7"/>
  <c r="M1461" i="7"/>
  <c r="L1461" i="7"/>
  <c r="K1461" i="7"/>
  <c r="J1461" i="7"/>
  <c r="I1461" i="7"/>
  <c r="H1461" i="7"/>
  <c r="G1461" i="7"/>
  <c r="F1461" i="7"/>
  <c r="E1461" i="7"/>
  <c r="D1461" i="7"/>
  <c r="C1461" i="7"/>
  <c r="B1461" i="7"/>
  <c r="A1461" i="7"/>
  <c r="S1460" i="7"/>
  <c r="R1460" i="7"/>
  <c r="Q1460" i="7"/>
  <c r="P1460" i="7"/>
  <c r="O1460" i="7"/>
  <c r="N1460" i="7"/>
  <c r="M1460" i="7"/>
  <c r="L1460" i="7"/>
  <c r="K1460" i="7"/>
  <c r="J1460" i="7"/>
  <c r="I1460" i="7"/>
  <c r="H1460" i="7"/>
  <c r="G1460" i="7"/>
  <c r="F1460" i="7"/>
  <c r="E1460" i="7"/>
  <c r="D1460" i="7"/>
  <c r="C1460" i="7"/>
  <c r="B1460" i="7"/>
  <c r="A1460" i="7"/>
  <c r="S1459" i="7"/>
  <c r="R1459" i="7"/>
  <c r="P1459" i="7"/>
  <c r="O1459" i="7"/>
  <c r="N1459" i="7"/>
  <c r="M1459" i="7"/>
  <c r="L1459" i="7"/>
  <c r="K1459" i="7"/>
  <c r="J1459" i="7"/>
  <c r="I1459" i="7"/>
  <c r="H1459" i="7"/>
  <c r="G1459" i="7"/>
  <c r="F1459" i="7"/>
  <c r="E1459" i="7"/>
  <c r="D1459" i="7"/>
  <c r="C1459" i="7"/>
  <c r="B1459" i="7"/>
  <c r="A1459" i="7"/>
  <c r="S1458" i="7"/>
  <c r="R1458" i="7"/>
  <c r="Q1458" i="7"/>
  <c r="P1458" i="7"/>
  <c r="O1458" i="7"/>
  <c r="N1458" i="7"/>
  <c r="M1458" i="7"/>
  <c r="L1458" i="7"/>
  <c r="K1458" i="7"/>
  <c r="J1458" i="7"/>
  <c r="I1458" i="7"/>
  <c r="H1458" i="7"/>
  <c r="G1458" i="7"/>
  <c r="F1458" i="7"/>
  <c r="E1458" i="7"/>
  <c r="D1458" i="7"/>
  <c r="C1458" i="7"/>
  <c r="B1458" i="7"/>
  <c r="A1458" i="7"/>
  <c r="S1457" i="7"/>
  <c r="R1457" i="7"/>
  <c r="Q1457" i="7"/>
  <c r="P1457" i="7"/>
  <c r="O1457" i="7"/>
  <c r="N1457" i="7"/>
  <c r="M1457" i="7"/>
  <c r="L1457" i="7"/>
  <c r="K1457" i="7"/>
  <c r="J1457" i="7"/>
  <c r="I1457" i="7"/>
  <c r="H1457" i="7"/>
  <c r="G1457" i="7"/>
  <c r="F1457" i="7"/>
  <c r="E1457" i="7"/>
  <c r="D1457" i="7"/>
  <c r="C1457" i="7"/>
  <c r="B1457" i="7"/>
  <c r="A1457" i="7"/>
  <c r="S1456" i="7"/>
  <c r="R1456" i="7"/>
  <c r="P1456" i="7"/>
  <c r="O1456" i="7"/>
  <c r="N1456" i="7"/>
  <c r="M1456" i="7"/>
  <c r="L1456" i="7"/>
  <c r="K1456" i="7"/>
  <c r="J1456" i="7"/>
  <c r="I1456" i="7"/>
  <c r="H1456" i="7"/>
  <c r="G1456" i="7"/>
  <c r="F1456" i="7"/>
  <c r="E1456" i="7"/>
  <c r="D1456" i="7"/>
  <c r="C1456" i="7"/>
  <c r="B1456" i="7"/>
  <c r="A1456" i="7"/>
  <c r="S1455" i="7"/>
  <c r="R1455" i="7"/>
  <c r="P1455" i="7"/>
  <c r="O1455" i="7"/>
  <c r="N1455" i="7"/>
  <c r="M1455" i="7"/>
  <c r="L1455" i="7"/>
  <c r="K1455" i="7"/>
  <c r="J1455" i="7"/>
  <c r="I1455" i="7"/>
  <c r="H1455" i="7"/>
  <c r="G1455" i="7"/>
  <c r="F1455" i="7"/>
  <c r="E1455" i="7"/>
  <c r="D1455" i="7"/>
  <c r="C1455" i="7"/>
  <c r="B1455" i="7"/>
  <c r="A1455" i="7"/>
  <c r="S1454" i="7"/>
  <c r="R1454" i="7"/>
  <c r="P1454" i="7"/>
  <c r="O1454" i="7"/>
  <c r="N1454" i="7"/>
  <c r="M1454" i="7"/>
  <c r="L1454" i="7"/>
  <c r="K1454" i="7"/>
  <c r="J1454" i="7"/>
  <c r="I1454" i="7"/>
  <c r="H1454" i="7"/>
  <c r="G1454" i="7"/>
  <c r="F1454" i="7"/>
  <c r="E1454" i="7"/>
  <c r="D1454" i="7"/>
  <c r="C1454" i="7"/>
  <c r="B1454" i="7"/>
  <c r="A1454" i="7"/>
  <c r="S1453" i="7"/>
  <c r="R1453" i="7"/>
  <c r="P1453" i="7"/>
  <c r="O1453" i="7"/>
  <c r="N1453" i="7"/>
  <c r="M1453" i="7"/>
  <c r="L1453" i="7"/>
  <c r="K1453" i="7"/>
  <c r="J1453" i="7"/>
  <c r="I1453" i="7"/>
  <c r="H1453" i="7"/>
  <c r="G1453" i="7"/>
  <c r="F1453" i="7"/>
  <c r="E1453" i="7"/>
  <c r="D1453" i="7"/>
  <c r="C1453" i="7"/>
  <c r="B1453" i="7"/>
  <c r="A1453" i="7"/>
  <c r="S1452" i="7"/>
  <c r="R1452" i="7"/>
  <c r="P1452" i="7"/>
  <c r="O1452" i="7"/>
  <c r="N1452" i="7"/>
  <c r="M1452" i="7"/>
  <c r="L1452" i="7"/>
  <c r="K1452" i="7"/>
  <c r="J1452" i="7"/>
  <c r="I1452" i="7"/>
  <c r="H1452" i="7"/>
  <c r="G1452" i="7"/>
  <c r="F1452" i="7"/>
  <c r="E1452" i="7"/>
  <c r="D1452" i="7"/>
  <c r="C1452" i="7"/>
  <c r="B1452" i="7"/>
  <c r="A1452" i="7"/>
  <c r="S1451" i="7"/>
  <c r="R1451" i="7"/>
  <c r="P1451" i="7"/>
  <c r="O1451" i="7"/>
  <c r="N1451" i="7"/>
  <c r="M1451" i="7"/>
  <c r="L1451" i="7"/>
  <c r="K1451" i="7"/>
  <c r="J1451" i="7"/>
  <c r="I1451" i="7"/>
  <c r="H1451" i="7"/>
  <c r="G1451" i="7"/>
  <c r="F1451" i="7"/>
  <c r="E1451" i="7"/>
  <c r="D1451" i="7"/>
  <c r="C1451" i="7"/>
  <c r="B1451" i="7"/>
  <c r="A1451" i="7"/>
  <c r="S1450" i="7"/>
  <c r="R1450" i="7"/>
  <c r="Q1450" i="7"/>
  <c r="P1450" i="7"/>
  <c r="O1450" i="7"/>
  <c r="N1450" i="7"/>
  <c r="M1450" i="7"/>
  <c r="L1450" i="7"/>
  <c r="K1450" i="7"/>
  <c r="J1450" i="7"/>
  <c r="I1450" i="7"/>
  <c r="H1450" i="7"/>
  <c r="G1450" i="7"/>
  <c r="F1450" i="7"/>
  <c r="E1450" i="7"/>
  <c r="D1450" i="7"/>
  <c r="C1450" i="7"/>
  <c r="B1450" i="7"/>
  <c r="A1450" i="7"/>
  <c r="S1449" i="7"/>
  <c r="R1449" i="7"/>
  <c r="P1449" i="7"/>
  <c r="O1449" i="7"/>
  <c r="N1449" i="7"/>
  <c r="M1449" i="7"/>
  <c r="L1449" i="7"/>
  <c r="K1449" i="7"/>
  <c r="J1449" i="7"/>
  <c r="I1449" i="7"/>
  <c r="H1449" i="7"/>
  <c r="G1449" i="7"/>
  <c r="F1449" i="7"/>
  <c r="E1449" i="7"/>
  <c r="D1449" i="7"/>
  <c r="C1449" i="7"/>
  <c r="B1449" i="7"/>
  <c r="A1449" i="7"/>
  <c r="S1448" i="7"/>
  <c r="R1448" i="7"/>
  <c r="Q1448" i="7"/>
  <c r="P1448" i="7"/>
  <c r="O1448" i="7"/>
  <c r="N1448" i="7"/>
  <c r="M1448" i="7"/>
  <c r="L1448" i="7"/>
  <c r="K1448" i="7"/>
  <c r="J1448" i="7"/>
  <c r="I1448" i="7"/>
  <c r="H1448" i="7"/>
  <c r="G1448" i="7"/>
  <c r="F1448" i="7"/>
  <c r="E1448" i="7"/>
  <c r="D1448" i="7"/>
  <c r="C1448" i="7"/>
  <c r="B1448" i="7"/>
  <c r="A1448" i="7"/>
  <c r="S1447" i="7"/>
  <c r="R1447" i="7"/>
  <c r="P1447" i="7"/>
  <c r="O1447" i="7"/>
  <c r="N1447" i="7"/>
  <c r="M1447" i="7"/>
  <c r="L1447" i="7"/>
  <c r="K1447" i="7"/>
  <c r="J1447" i="7"/>
  <c r="I1447" i="7"/>
  <c r="H1447" i="7"/>
  <c r="G1447" i="7"/>
  <c r="F1447" i="7"/>
  <c r="E1447" i="7"/>
  <c r="D1447" i="7"/>
  <c r="C1447" i="7"/>
  <c r="B1447" i="7"/>
  <c r="A1447" i="7"/>
  <c r="S1446" i="7"/>
  <c r="R1446" i="7"/>
  <c r="P1446" i="7"/>
  <c r="O1446" i="7"/>
  <c r="N1446" i="7"/>
  <c r="M1446" i="7"/>
  <c r="L1446" i="7"/>
  <c r="K1446" i="7"/>
  <c r="J1446" i="7"/>
  <c r="I1446" i="7"/>
  <c r="H1446" i="7"/>
  <c r="G1446" i="7"/>
  <c r="F1446" i="7"/>
  <c r="E1446" i="7"/>
  <c r="D1446" i="7"/>
  <c r="C1446" i="7"/>
  <c r="B1446" i="7"/>
  <c r="A1446" i="7"/>
  <c r="S1445" i="7"/>
  <c r="R1445" i="7"/>
  <c r="P1445" i="7"/>
  <c r="O1445" i="7"/>
  <c r="N1445" i="7"/>
  <c r="M1445" i="7"/>
  <c r="L1445" i="7"/>
  <c r="K1445" i="7"/>
  <c r="J1445" i="7"/>
  <c r="I1445" i="7"/>
  <c r="H1445" i="7"/>
  <c r="G1445" i="7"/>
  <c r="F1445" i="7"/>
  <c r="E1445" i="7"/>
  <c r="D1445" i="7"/>
  <c r="C1445" i="7"/>
  <c r="B1445" i="7"/>
  <c r="A1445" i="7"/>
  <c r="S1444" i="7"/>
  <c r="R1444" i="7"/>
  <c r="P1444" i="7"/>
  <c r="O1444" i="7"/>
  <c r="N1444" i="7"/>
  <c r="M1444" i="7"/>
  <c r="L1444" i="7"/>
  <c r="K1444" i="7"/>
  <c r="J1444" i="7"/>
  <c r="I1444" i="7"/>
  <c r="H1444" i="7"/>
  <c r="G1444" i="7"/>
  <c r="F1444" i="7"/>
  <c r="E1444" i="7"/>
  <c r="D1444" i="7"/>
  <c r="C1444" i="7"/>
  <c r="B1444" i="7"/>
  <c r="A1444" i="7"/>
  <c r="S1443" i="7"/>
  <c r="R1443" i="7"/>
  <c r="P1443" i="7"/>
  <c r="O1443" i="7"/>
  <c r="N1443" i="7"/>
  <c r="M1443" i="7"/>
  <c r="L1443" i="7"/>
  <c r="K1443" i="7"/>
  <c r="J1443" i="7"/>
  <c r="I1443" i="7"/>
  <c r="H1443" i="7"/>
  <c r="G1443" i="7"/>
  <c r="F1443" i="7"/>
  <c r="E1443" i="7"/>
  <c r="D1443" i="7"/>
  <c r="C1443" i="7"/>
  <c r="B1443" i="7"/>
  <c r="A1443" i="7"/>
  <c r="S1442" i="7"/>
  <c r="R1442" i="7"/>
  <c r="Q1442" i="7"/>
  <c r="P1442" i="7"/>
  <c r="O1442" i="7"/>
  <c r="N1442" i="7"/>
  <c r="M1442" i="7"/>
  <c r="L1442" i="7"/>
  <c r="K1442" i="7"/>
  <c r="J1442" i="7"/>
  <c r="I1442" i="7"/>
  <c r="H1442" i="7"/>
  <c r="G1442" i="7"/>
  <c r="F1442" i="7"/>
  <c r="E1442" i="7"/>
  <c r="D1442" i="7"/>
  <c r="C1442" i="7"/>
  <c r="B1442" i="7"/>
  <c r="A1442" i="7"/>
  <c r="S1441" i="7"/>
  <c r="R1441" i="7"/>
  <c r="P1441" i="7"/>
  <c r="O1441" i="7"/>
  <c r="N1441" i="7"/>
  <c r="M1441" i="7"/>
  <c r="L1441" i="7"/>
  <c r="K1441" i="7"/>
  <c r="J1441" i="7"/>
  <c r="I1441" i="7"/>
  <c r="H1441" i="7"/>
  <c r="G1441" i="7"/>
  <c r="F1441" i="7"/>
  <c r="E1441" i="7"/>
  <c r="D1441" i="7"/>
  <c r="C1441" i="7"/>
  <c r="B1441" i="7"/>
  <c r="A1441" i="7"/>
  <c r="S1440" i="7"/>
  <c r="R1440" i="7"/>
  <c r="P1440" i="7"/>
  <c r="O1440" i="7"/>
  <c r="N1440" i="7"/>
  <c r="M1440" i="7"/>
  <c r="L1440" i="7"/>
  <c r="K1440" i="7"/>
  <c r="J1440" i="7"/>
  <c r="I1440" i="7"/>
  <c r="H1440" i="7"/>
  <c r="G1440" i="7"/>
  <c r="F1440" i="7"/>
  <c r="E1440" i="7"/>
  <c r="D1440" i="7"/>
  <c r="C1440" i="7"/>
  <c r="B1440" i="7"/>
  <c r="A1440" i="7"/>
  <c r="S1439" i="7"/>
  <c r="R1439" i="7"/>
  <c r="P1439" i="7"/>
  <c r="O1439" i="7"/>
  <c r="N1439" i="7"/>
  <c r="M1439" i="7"/>
  <c r="L1439" i="7"/>
  <c r="K1439" i="7"/>
  <c r="J1439" i="7"/>
  <c r="I1439" i="7"/>
  <c r="H1439" i="7"/>
  <c r="G1439" i="7"/>
  <c r="F1439" i="7"/>
  <c r="E1439" i="7"/>
  <c r="D1439" i="7"/>
  <c r="C1439" i="7"/>
  <c r="B1439" i="7"/>
  <c r="A1439" i="7"/>
  <c r="S1438" i="7"/>
  <c r="R1438" i="7"/>
  <c r="P1438" i="7"/>
  <c r="O1438" i="7"/>
  <c r="N1438" i="7"/>
  <c r="M1438" i="7"/>
  <c r="L1438" i="7"/>
  <c r="K1438" i="7"/>
  <c r="J1438" i="7"/>
  <c r="I1438" i="7"/>
  <c r="H1438" i="7"/>
  <c r="G1438" i="7"/>
  <c r="F1438" i="7"/>
  <c r="E1438" i="7"/>
  <c r="D1438" i="7"/>
  <c r="C1438" i="7"/>
  <c r="B1438" i="7"/>
  <c r="A1438" i="7"/>
  <c r="S1437" i="7"/>
  <c r="R1437" i="7"/>
  <c r="P1437" i="7"/>
  <c r="O1437" i="7"/>
  <c r="N1437" i="7"/>
  <c r="M1437" i="7"/>
  <c r="L1437" i="7"/>
  <c r="K1437" i="7"/>
  <c r="J1437" i="7"/>
  <c r="I1437" i="7"/>
  <c r="H1437" i="7"/>
  <c r="G1437" i="7"/>
  <c r="F1437" i="7"/>
  <c r="E1437" i="7"/>
  <c r="D1437" i="7"/>
  <c r="C1437" i="7"/>
  <c r="B1437" i="7"/>
  <c r="A1437" i="7"/>
  <c r="S1436" i="7"/>
  <c r="R1436" i="7"/>
  <c r="Q1436" i="7"/>
  <c r="P1436" i="7"/>
  <c r="O1436" i="7"/>
  <c r="N1436" i="7"/>
  <c r="M1436" i="7"/>
  <c r="L1436" i="7"/>
  <c r="K1436" i="7"/>
  <c r="J1436" i="7"/>
  <c r="I1436" i="7"/>
  <c r="H1436" i="7"/>
  <c r="G1436" i="7"/>
  <c r="F1436" i="7"/>
  <c r="E1436" i="7"/>
  <c r="D1436" i="7"/>
  <c r="C1436" i="7"/>
  <c r="B1436" i="7"/>
  <c r="A1436" i="7"/>
  <c r="S1435" i="7"/>
  <c r="M1435" i="7"/>
  <c r="L1435" i="7"/>
  <c r="K1435" i="7"/>
  <c r="J1435" i="7"/>
  <c r="I1435" i="7"/>
  <c r="H1435" i="7"/>
  <c r="G1435" i="7"/>
  <c r="F1435" i="7"/>
  <c r="E1435" i="7"/>
  <c r="D1435" i="7"/>
  <c r="C1435" i="7"/>
  <c r="B1435" i="7"/>
  <c r="A1435" i="7"/>
  <c r="S1434" i="7"/>
  <c r="R1434" i="7"/>
  <c r="P1434" i="7"/>
  <c r="O1434" i="7"/>
  <c r="N1434" i="7"/>
  <c r="M1434" i="7"/>
  <c r="L1434" i="7"/>
  <c r="K1434" i="7"/>
  <c r="J1434" i="7"/>
  <c r="I1434" i="7"/>
  <c r="H1434" i="7"/>
  <c r="G1434" i="7"/>
  <c r="F1434" i="7"/>
  <c r="E1434" i="7"/>
  <c r="D1434" i="7"/>
  <c r="C1434" i="7"/>
  <c r="B1434" i="7"/>
  <c r="A1434" i="7"/>
  <c r="S1433" i="7"/>
  <c r="R1433" i="7"/>
  <c r="P1433" i="7"/>
  <c r="O1433" i="7"/>
  <c r="N1433" i="7"/>
  <c r="M1433" i="7"/>
  <c r="L1433" i="7"/>
  <c r="K1433" i="7"/>
  <c r="J1433" i="7"/>
  <c r="I1433" i="7"/>
  <c r="H1433" i="7"/>
  <c r="G1433" i="7"/>
  <c r="F1433" i="7"/>
  <c r="E1433" i="7"/>
  <c r="D1433" i="7"/>
  <c r="C1433" i="7"/>
  <c r="B1433" i="7"/>
  <c r="A1433" i="7"/>
  <c r="S1432" i="7"/>
  <c r="M1432" i="7"/>
  <c r="L1432" i="7"/>
  <c r="K1432" i="7"/>
  <c r="J1432" i="7"/>
  <c r="I1432" i="7"/>
  <c r="H1432" i="7"/>
  <c r="G1432" i="7"/>
  <c r="F1432" i="7"/>
  <c r="E1432" i="7"/>
  <c r="D1432" i="7"/>
  <c r="C1432" i="7"/>
  <c r="B1432" i="7"/>
  <c r="A1432" i="7"/>
  <c r="S1431" i="7"/>
  <c r="M1431" i="7"/>
  <c r="L1431" i="7"/>
  <c r="K1431" i="7"/>
  <c r="J1431" i="7"/>
  <c r="I1431" i="7"/>
  <c r="H1431" i="7"/>
  <c r="G1431" i="7"/>
  <c r="F1431" i="7"/>
  <c r="E1431" i="7"/>
  <c r="D1431" i="7"/>
  <c r="C1431" i="7"/>
  <c r="B1431" i="7"/>
  <c r="A1431" i="7"/>
  <c r="S1430" i="7"/>
  <c r="R1430" i="7"/>
  <c r="P1430" i="7"/>
  <c r="O1430" i="7"/>
  <c r="N1430" i="7"/>
  <c r="M1430" i="7"/>
  <c r="L1430" i="7"/>
  <c r="K1430" i="7"/>
  <c r="J1430" i="7"/>
  <c r="I1430" i="7"/>
  <c r="H1430" i="7"/>
  <c r="G1430" i="7"/>
  <c r="F1430" i="7"/>
  <c r="E1430" i="7"/>
  <c r="D1430" i="7"/>
  <c r="C1430" i="7"/>
  <c r="B1430" i="7"/>
  <c r="A1430" i="7"/>
  <c r="S1429" i="7"/>
  <c r="R1429" i="7"/>
  <c r="P1429" i="7"/>
  <c r="O1429" i="7"/>
  <c r="N1429" i="7"/>
  <c r="M1429" i="7"/>
  <c r="L1429" i="7"/>
  <c r="K1429" i="7"/>
  <c r="J1429" i="7"/>
  <c r="I1429" i="7"/>
  <c r="H1429" i="7"/>
  <c r="G1429" i="7"/>
  <c r="F1429" i="7"/>
  <c r="E1429" i="7"/>
  <c r="D1429" i="7"/>
  <c r="C1429" i="7"/>
  <c r="B1429" i="7"/>
  <c r="A1429" i="7"/>
  <c r="S1428" i="7"/>
  <c r="R1428" i="7"/>
  <c r="P1428" i="7"/>
  <c r="O1428" i="7"/>
  <c r="N1428" i="7"/>
  <c r="M1428" i="7"/>
  <c r="L1428" i="7"/>
  <c r="K1428" i="7"/>
  <c r="J1428" i="7"/>
  <c r="I1428" i="7"/>
  <c r="H1428" i="7"/>
  <c r="G1428" i="7"/>
  <c r="F1428" i="7"/>
  <c r="E1428" i="7"/>
  <c r="D1428" i="7"/>
  <c r="C1428" i="7"/>
  <c r="B1428" i="7"/>
  <c r="A1428" i="7"/>
  <c r="S1427" i="7"/>
  <c r="R1427" i="7"/>
  <c r="P1427" i="7"/>
  <c r="O1427" i="7"/>
  <c r="N1427" i="7"/>
  <c r="M1427" i="7"/>
  <c r="L1427" i="7"/>
  <c r="K1427" i="7"/>
  <c r="J1427" i="7"/>
  <c r="I1427" i="7"/>
  <c r="H1427" i="7"/>
  <c r="G1427" i="7"/>
  <c r="F1427" i="7"/>
  <c r="E1427" i="7"/>
  <c r="D1427" i="7"/>
  <c r="C1427" i="7"/>
  <c r="B1427" i="7"/>
  <c r="A1427" i="7"/>
  <c r="S1426" i="7"/>
  <c r="R1426" i="7"/>
  <c r="Q1426" i="7"/>
  <c r="P1426" i="7"/>
  <c r="O1426" i="7"/>
  <c r="N1426" i="7"/>
  <c r="M1426" i="7"/>
  <c r="L1426" i="7"/>
  <c r="K1426" i="7"/>
  <c r="J1426" i="7"/>
  <c r="I1426" i="7"/>
  <c r="H1426" i="7"/>
  <c r="G1426" i="7"/>
  <c r="F1426" i="7"/>
  <c r="E1426" i="7"/>
  <c r="D1426" i="7"/>
  <c r="C1426" i="7"/>
  <c r="B1426" i="7"/>
  <c r="A1426" i="7"/>
  <c r="S1425" i="7"/>
  <c r="R1425" i="7"/>
  <c r="P1425" i="7"/>
  <c r="O1425" i="7"/>
  <c r="N1425" i="7"/>
  <c r="M1425" i="7"/>
  <c r="L1425" i="7"/>
  <c r="K1425" i="7"/>
  <c r="J1425" i="7"/>
  <c r="I1425" i="7"/>
  <c r="H1425" i="7"/>
  <c r="G1425" i="7"/>
  <c r="F1425" i="7"/>
  <c r="E1425" i="7"/>
  <c r="D1425" i="7"/>
  <c r="C1425" i="7"/>
  <c r="B1425" i="7"/>
  <c r="A1425" i="7"/>
  <c r="S1424" i="7"/>
  <c r="R1424" i="7"/>
  <c r="P1424" i="7"/>
  <c r="O1424" i="7"/>
  <c r="N1424" i="7"/>
  <c r="M1424" i="7"/>
  <c r="L1424" i="7"/>
  <c r="K1424" i="7"/>
  <c r="J1424" i="7"/>
  <c r="I1424" i="7"/>
  <c r="H1424" i="7"/>
  <c r="G1424" i="7"/>
  <c r="F1424" i="7"/>
  <c r="E1424" i="7"/>
  <c r="D1424" i="7"/>
  <c r="C1424" i="7"/>
  <c r="B1424" i="7"/>
  <c r="A1424" i="7"/>
  <c r="S1423" i="7"/>
  <c r="R1423" i="7"/>
  <c r="P1423" i="7"/>
  <c r="O1423" i="7"/>
  <c r="N1423" i="7"/>
  <c r="M1423" i="7"/>
  <c r="L1423" i="7"/>
  <c r="K1423" i="7"/>
  <c r="J1423" i="7"/>
  <c r="I1423" i="7"/>
  <c r="H1423" i="7"/>
  <c r="G1423" i="7"/>
  <c r="F1423" i="7"/>
  <c r="E1423" i="7"/>
  <c r="D1423" i="7"/>
  <c r="C1423" i="7"/>
  <c r="B1423" i="7"/>
  <c r="A1423" i="7"/>
  <c r="S1422" i="7"/>
  <c r="R1422" i="7"/>
  <c r="P1422" i="7"/>
  <c r="O1422" i="7"/>
  <c r="N1422" i="7"/>
  <c r="M1422" i="7"/>
  <c r="L1422" i="7"/>
  <c r="K1422" i="7"/>
  <c r="J1422" i="7"/>
  <c r="I1422" i="7"/>
  <c r="H1422" i="7"/>
  <c r="G1422" i="7"/>
  <c r="F1422" i="7"/>
  <c r="E1422" i="7"/>
  <c r="D1422" i="7"/>
  <c r="C1422" i="7"/>
  <c r="B1422" i="7"/>
  <c r="A1422" i="7"/>
  <c r="S1421" i="7"/>
  <c r="M1421" i="7"/>
  <c r="L1421" i="7"/>
  <c r="K1421" i="7"/>
  <c r="J1421" i="7"/>
  <c r="I1421" i="7"/>
  <c r="H1421" i="7"/>
  <c r="G1421" i="7"/>
  <c r="F1421" i="7"/>
  <c r="E1421" i="7"/>
  <c r="D1421" i="7"/>
  <c r="C1421" i="7"/>
  <c r="B1421" i="7"/>
  <c r="A1421" i="7"/>
  <c r="S1420" i="7"/>
  <c r="R1420" i="7"/>
  <c r="P1420" i="7"/>
  <c r="O1420" i="7"/>
  <c r="N1420" i="7"/>
  <c r="M1420" i="7"/>
  <c r="L1420" i="7"/>
  <c r="K1420" i="7"/>
  <c r="J1420" i="7"/>
  <c r="I1420" i="7"/>
  <c r="H1420" i="7"/>
  <c r="G1420" i="7"/>
  <c r="F1420" i="7"/>
  <c r="E1420" i="7"/>
  <c r="D1420" i="7"/>
  <c r="C1420" i="7"/>
  <c r="B1420" i="7"/>
  <c r="A1420" i="7"/>
  <c r="S1419" i="7"/>
  <c r="R1419" i="7"/>
  <c r="P1419" i="7"/>
  <c r="O1419" i="7"/>
  <c r="N1419" i="7"/>
  <c r="M1419" i="7"/>
  <c r="L1419" i="7"/>
  <c r="K1419" i="7"/>
  <c r="J1419" i="7"/>
  <c r="I1419" i="7"/>
  <c r="H1419" i="7"/>
  <c r="G1419" i="7"/>
  <c r="F1419" i="7"/>
  <c r="E1419" i="7"/>
  <c r="D1419" i="7"/>
  <c r="C1419" i="7"/>
  <c r="B1419" i="7"/>
  <c r="A1419" i="7"/>
  <c r="S1418" i="7"/>
  <c r="R1418" i="7"/>
  <c r="P1418" i="7"/>
  <c r="O1418" i="7"/>
  <c r="N1418" i="7"/>
  <c r="M1418" i="7"/>
  <c r="L1418" i="7"/>
  <c r="K1418" i="7"/>
  <c r="J1418" i="7"/>
  <c r="I1418" i="7"/>
  <c r="H1418" i="7"/>
  <c r="G1418" i="7"/>
  <c r="F1418" i="7"/>
  <c r="E1418" i="7"/>
  <c r="D1418" i="7"/>
  <c r="C1418" i="7"/>
  <c r="B1418" i="7"/>
  <c r="A1418" i="7"/>
  <c r="S1417" i="7"/>
  <c r="R1417" i="7"/>
  <c r="Q1417" i="7"/>
  <c r="P1417" i="7"/>
  <c r="O1417" i="7"/>
  <c r="N1417" i="7"/>
  <c r="M1417" i="7"/>
  <c r="L1417" i="7"/>
  <c r="K1417" i="7"/>
  <c r="J1417" i="7"/>
  <c r="I1417" i="7"/>
  <c r="H1417" i="7"/>
  <c r="G1417" i="7"/>
  <c r="F1417" i="7"/>
  <c r="E1417" i="7"/>
  <c r="D1417" i="7"/>
  <c r="C1417" i="7"/>
  <c r="B1417" i="7"/>
  <c r="A1417" i="7"/>
  <c r="S1416" i="7"/>
  <c r="R1416" i="7"/>
  <c r="P1416" i="7"/>
  <c r="O1416" i="7"/>
  <c r="N1416" i="7"/>
  <c r="M1416" i="7"/>
  <c r="L1416" i="7"/>
  <c r="K1416" i="7"/>
  <c r="J1416" i="7"/>
  <c r="I1416" i="7"/>
  <c r="H1416" i="7"/>
  <c r="G1416" i="7"/>
  <c r="F1416" i="7"/>
  <c r="E1416" i="7"/>
  <c r="D1416" i="7"/>
  <c r="C1416" i="7"/>
  <c r="B1416" i="7"/>
  <c r="A1416" i="7"/>
  <c r="S1415" i="7"/>
  <c r="R1415" i="7"/>
  <c r="P1415" i="7"/>
  <c r="O1415" i="7"/>
  <c r="N1415" i="7"/>
  <c r="M1415" i="7"/>
  <c r="L1415" i="7"/>
  <c r="K1415" i="7"/>
  <c r="J1415" i="7"/>
  <c r="I1415" i="7"/>
  <c r="H1415" i="7"/>
  <c r="G1415" i="7"/>
  <c r="F1415" i="7"/>
  <c r="E1415" i="7"/>
  <c r="D1415" i="7"/>
  <c r="C1415" i="7"/>
  <c r="B1415" i="7"/>
  <c r="A1415" i="7"/>
  <c r="S1414" i="7"/>
  <c r="R1414" i="7"/>
  <c r="P1414" i="7"/>
  <c r="O1414" i="7"/>
  <c r="N1414" i="7"/>
  <c r="M1414" i="7"/>
  <c r="L1414" i="7"/>
  <c r="K1414" i="7"/>
  <c r="J1414" i="7"/>
  <c r="I1414" i="7"/>
  <c r="H1414" i="7"/>
  <c r="G1414" i="7"/>
  <c r="F1414" i="7"/>
  <c r="E1414" i="7"/>
  <c r="D1414" i="7"/>
  <c r="C1414" i="7"/>
  <c r="B1414" i="7"/>
  <c r="A1414" i="7"/>
  <c r="S1413" i="7"/>
  <c r="R1413" i="7"/>
  <c r="P1413" i="7"/>
  <c r="O1413" i="7"/>
  <c r="N1413" i="7"/>
  <c r="M1413" i="7"/>
  <c r="L1413" i="7"/>
  <c r="K1413" i="7"/>
  <c r="J1413" i="7"/>
  <c r="I1413" i="7"/>
  <c r="H1413" i="7"/>
  <c r="G1413" i="7"/>
  <c r="F1413" i="7"/>
  <c r="E1413" i="7"/>
  <c r="D1413" i="7"/>
  <c r="C1413" i="7"/>
  <c r="B1413" i="7"/>
  <c r="A1413" i="7"/>
  <c r="S1412" i="7"/>
  <c r="R1412" i="7"/>
  <c r="Q1412" i="7"/>
  <c r="P1412" i="7"/>
  <c r="O1412" i="7"/>
  <c r="N1412" i="7"/>
  <c r="M1412" i="7"/>
  <c r="L1412" i="7"/>
  <c r="K1412" i="7"/>
  <c r="J1412" i="7"/>
  <c r="I1412" i="7"/>
  <c r="H1412" i="7"/>
  <c r="G1412" i="7"/>
  <c r="F1412" i="7"/>
  <c r="E1412" i="7"/>
  <c r="D1412" i="7"/>
  <c r="C1412" i="7"/>
  <c r="B1412" i="7"/>
  <c r="A1412" i="7"/>
  <c r="S1411" i="7"/>
  <c r="R1411" i="7"/>
  <c r="P1411" i="7"/>
  <c r="O1411" i="7"/>
  <c r="N1411" i="7"/>
  <c r="M1411" i="7"/>
  <c r="L1411" i="7"/>
  <c r="K1411" i="7"/>
  <c r="J1411" i="7"/>
  <c r="I1411" i="7"/>
  <c r="H1411" i="7"/>
  <c r="G1411" i="7"/>
  <c r="F1411" i="7"/>
  <c r="E1411" i="7"/>
  <c r="D1411" i="7"/>
  <c r="C1411" i="7"/>
  <c r="B1411" i="7"/>
  <c r="A1411" i="7"/>
  <c r="S1410" i="7"/>
  <c r="R1410" i="7"/>
  <c r="P1410" i="7"/>
  <c r="O1410" i="7"/>
  <c r="N1410" i="7"/>
  <c r="M1410" i="7"/>
  <c r="L1410" i="7"/>
  <c r="K1410" i="7"/>
  <c r="J1410" i="7"/>
  <c r="I1410" i="7"/>
  <c r="H1410" i="7"/>
  <c r="G1410" i="7"/>
  <c r="F1410" i="7"/>
  <c r="E1410" i="7"/>
  <c r="D1410" i="7"/>
  <c r="C1410" i="7"/>
  <c r="B1410" i="7"/>
  <c r="A1410" i="7"/>
  <c r="S1409" i="7"/>
  <c r="R1409" i="7"/>
  <c r="P1409" i="7"/>
  <c r="O1409" i="7"/>
  <c r="N1409" i="7"/>
  <c r="M1409" i="7"/>
  <c r="L1409" i="7"/>
  <c r="K1409" i="7"/>
  <c r="J1409" i="7"/>
  <c r="I1409" i="7"/>
  <c r="H1409" i="7"/>
  <c r="G1409" i="7"/>
  <c r="F1409" i="7"/>
  <c r="E1409" i="7"/>
  <c r="D1409" i="7"/>
  <c r="C1409" i="7"/>
  <c r="B1409" i="7"/>
  <c r="A1409" i="7"/>
  <c r="S1408" i="7"/>
  <c r="R1408" i="7"/>
  <c r="Q1408" i="7"/>
  <c r="P1408" i="7"/>
  <c r="O1408" i="7"/>
  <c r="N1408" i="7"/>
  <c r="M1408" i="7"/>
  <c r="L1408" i="7"/>
  <c r="K1408" i="7"/>
  <c r="J1408" i="7"/>
  <c r="I1408" i="7"/>
  <c r="H1408" i="7"/>
  <c r="G1408" i="7"/>
  <c r="F1408" i="7"/>
  <c r="E1408" i="7"/>
  <c r="D1408" i="7"/>
  <c r="C1408" i="7"/>
  <c r="B1408" i="7"/>
  <c r="A1408" i="7"/>
  <c r="S1407" i="7"/>
  <c r="R1407" i="7"/>
  <c r="P1407" i="7"/>
  <c r="O1407" i="7"/>
  <c r="N1407" i="7"/>
  <c r="M1407" i="7"/>
  <c r="L1407" i="7"/>
  <c r="K1407" i="7"/>
  <c r="J1407" i="7"/>
  <c r="I1407" i="7"/>
  <c r="H1407" i="7"/>
  <c r="G1407" i="7"/>
  <c r="F1407" i="7"/>
  <c r="E1407" i="7"/>
  <c r="D1407" i="7"/>
  <c r="C1407" i="7"/>
  <c r="B1407" i="7"/>
  <c r="A1407" i="7"/>
  <c r="S1406" i="7"/>
  <c r="R1406" i="7"/>
  <c r="Q1406" i="7"/>
  <c r="P1406" i="7"/>
  <c r="O1406" i="7"/>
  <c r="N1406" i="7"/>
  <c r="M1406" i="7"/>
  <c r="L1406" i="7"/>
  <c r="K1406" i="7"/>
  <c r="J1406" i="7"/>
  <c r="I1406" i="7"/>
  <c r="H1406" i="7"/>
  <c r="G1406" i="7"/>
  <c r="F1406" i="7"/>
  <c r="E1406" i="7"/>
  <c r="D1406" i="7"/>
  <c r="C1406" i="7"/>
  <c r="B1406" i="7"/>
  <c r="A1406" i="7"/>
  <c r="S1405" i="7"/>
  <c r="R1405" i="7"/>
  <c r="Q1405" i="7"/>
  <c r="P1405" i="7"/>
  <c r="O1405" i="7"/>
  <c r="N1405" i="7"/>
  <c r="M1405" i="7"/>
  <c r="L1405" i="7"/>
  <c r="K1405" i="7"/>
  <c r="J1405" i="7"/>
  <c r="I1405" i="7"/>
  <c r="H1405" i="7"/>
  <c r="G1405" i="7"/>
  <c r="F1405" i="7"/>
  <c r="E1405" i="7"/>
  <c r="D1405" i="7"/>
  <c r="C1405" i="7"/>
  <c r="B1405" i="7"/>
  <c r="A1405" i="7"/>
  <c r="S1404" i="7"/>
  <c r="R1404" i="7"/>
  <c r="P1404" i="7"/>
  <c r="O1404" i="7"/>
  <c r="N1404" i="7"/>
  <c r="M1404" i="7"/>
  <c r="L1404" i="7"/>
  <c r="K1404" i="7"/>
  <c r="J1404" i="7"/>
  <c r="I1404" i="7"/>
  <c r="H1404" i="7"/>
  <c r="G1404" i="7"/>
  <c r="F1404" i="7"/>
  <c r="E1404" i="7"/>
  <c r="D1404" i="7"/>
  <c r="C1404" i="7"/>
  <c r="B1404" i="7"/>
  <c r="A1404" i="7"/>
  <c r="S1403" i="7"/>
  <c r="R1403" i="7"/>
  <c r="P1403" i="7"/>
  <c r="O1403" i="7"/>
  <c r="N1403" i="7"/>
  <c r="M1403" i="7"/>
  <c r="L1403" i="7"/>
  <c r="K1403" i="7"/>
  <c r="J1403" i="7"/>
  <c r="I1403" i="7"/>
  <c r="H1403" i="7"/>
  <c r="G1403" i="7"/>
  <c r="F1403" i="7"/>
  <c r="E1403" i="7"/>
  <c r="D1403" i="7"/>
  <c r="C1403" i="7"/>
  <c r="B1403" i="7"/>
  <c r="A1403" i="7"/>
  <c r="S1402" i="7"/>
  <c r="R1402" i="7"/>
  <c r="Q1402" i="7"/>
  <c r="P1402" i="7"/>
  <c r="O1402" i="7"/>
  <c r="N1402" i="7"/>
  <c r="M1402" i="7"/>
  <c r="L1402" i="7"/>
  <c r="K1402" i="7"/>
  <c r="J1402" i="7"/>
  <c r="I1402" i="7"/>
  <c r="H1402" i="7"/>
  <c r="G1402" i="7"/>
  <c r="F1402" i="7"/>
  <c r="E1402" i="7"/>
  <c r="D1402" i="7"/>
  <c r="C1402" i="7"/>
  <c r="B1402" i="7"/>
  <c r="A1402" i="7"/>
  <c r="S1401" i="7"/>
  <c r="R1401" i="7"/>
  <c r="P1401" i="7"/>
  <c r="O1401" i="7"/>
  <c r="N1401" i="7"/>
  <c r="M1401" i="7"/>
  <c r="L1401" i="7"/>
  <c r="K1401" i="7"/>
  <c r="J1401" i="7"/>
  <c r="I1401" i="7"/>
  <c r="H1401" i="7"/>
  <c r="G1401" i="7"/>
  <c r="F1401" i="7"/>
  <c r="E1401" i="7"/>
  <c r="D1401" i="7"/>
  <c r="C1401" i="7"/>
  <c r="B1401" i="7"/>
  <c r="A1401" i="7"/>
  <c r="S1400" i="7"/>
  <c r="R1400" i="7"/>
  <c r="P1400" i="7"/>
  <c r="O1400" i="7"/>
  <c r="N1400" i="7"/>
  <c r="M1400" i="7"/>
  <c r="L1400" i="7"/>
  <c r="K1400" i="7"/>
  <c r="J1400" i="7"/>
  <c r="I1400" i="7"/>
  <c r="H1400" i="7"/>
  <c r="G1400" i="7"/>
  <c r="F1400" i="7"/>
  <c r="E1400" i="7"/>
  <c r="D1400" i="7"/>
  <c r="C1400" i="7"/>
  <c r="B1400" i="7"/>
  <c r="A1400" i="7"/>
  <c r="S1399" i="7"/>
  <c r="R1399" i="7"/>
  <c r="P1399" i="7"/>
  <c r="O1399" i="7"/>
  <c r="N1399" i="7"/>
  <c r="M1399" i="7"/>
  <c r="L1399" i="7"/>
  <c r="K1399" i="7"/>
  <c r="J1399" i="7"/>
  <c r="I1399" i="7"/>
  <c r="H1399" i="7"/>
  <c r="G1399" i="7"/>
  <c r="F1399" i="7"/>
  <c r="E1399" i="7"/>
  <c r="D1399" i="7"/>
  <c r="C1399" i="7"/>
  <c r="B1399" i="7"/>
  <c r="A1399" i="7"/>
  <c r="S1398" i="7"/>
  <c r="R1398" i="7"/>
  <c r="P1398" i="7"/>
  <c r="O1398" i="7"/>
  <c r="N1398" i="7"/>
  <c r="M1398" i="7"/>
  <c r="L1398" i="7"/>
  <c r="K1398" i="7"/>
  <c r="J1398" i="7"/>
  <c r="I1398" i="7"/>
  <c r="H1398" i="7"/>
  <c r="G1398" i="7"/>
  <c r="F1398" i="7"/>
  <c r="E1398" i="7"/>
  <c r="D1398" i="7"/>
  <c r="C1398" i="7"/>
  <c r="B1398" i="7"/>
  <c r="A1398" i="7"/>
  <c r="S1397" i="7"/>
  <c r="R1397" i="7"/>
  <c r="P1397" i="7"/>
  <c r="O1397" i="7"/>
  <c r="N1397" i="7"/>
  <c r="M1397" i="7"/>
  <c r="L1397" i="7"/>
  <c r="K1397" i="7"/>
  <c r="J1397" i="7"/>
  <c r="I1397" i="7"/>
  <c r="H1397" i="7"/>
  <c r="G1397" i="7"/>
  <c r="F1397" i="7"/>
  <c r="E1397" i="7"/>
  <c r="D1397" i="7"/>
  <c r="C1397" i="7"/>
  <c r="B1397" i="7"/>
  <c r="A1397" i="7"/>
  <c r="S1396" i="7"/>
  <c r="Q1396" i="7"/>
  <c r="M1396" i="7"/>
  <c r="L1396" i="7"/>
  <c r="K1396" i="7"/>
  <c r="J1396" i="7"/>
  <c r="I1396" i="7"/>
  <c r="H1396" i="7"/>
  <c r="G1396" i="7"/>
  <c r="F1396" i="7"/>
  <c r="E1396" i="7"/>
  <c r="D1396" i="7"/>
  <c r="C1396" i="7"/>
  <c r="B1396" i="7"/>
  <c r="A1396" i="7"/>
  <c r="S1395" i="7"/>
  <c r="R1395" i="7"/>
  <c r="P1395" i="7"/>
  <c r="O1395" i="7"/>
  <c r="N1395" i="7"/>
  <c r="M1395" i="7"/>
  <c r="L1395" i="7"/>
  <c r="K1395" i="7"/>
  <c r="J1395" i="7"/>
  <c r="I1395" i="7"/>
  <c r="H1395" i="7"/>
  <c r="G1395" i="7"/>
  <c r="F1395" i="7"/>
  <c r="E1395" i="7"/>
  <c r="D1395" i="7"/>
  <c r="C1395" i="7"/>
  <c r="B1395" i="7"/>
  <c r="A1395" i="7"/>
  <c r="S1394" i="7"/>
  <c r="R1394" i="7"/>
  <c r="Q1394" i="7"/>
  <c r="P1394" i="7"/>
  <c r="O1394" i="7"/>
  <c r="N1394" i="7"/>
  <c r="M1394" i="7"/>
  <c r="L1394" i="7"/>
  <c r="K1394" i="7"/>
  <c r="J1394" i="7"/>
  <c r="I1394" i="7"/>
  <c r="H1394" i="7"/>
  <c r="G1394" i="7"/>
  <c r="F1394" i="7"/>
  <c r="E1394" i="7"/>
  <c r="D1394" i="7"/>
  <c r="C1394" i="7"/>
  <c r="B1394" i="7"/>
  <c r="A1394" i="7"/>
  <c r="S1393" i="7"/>
  <c r="R1393" i="7"/>
  <c r="Q1393" i="7"/>
  <c r="P1393" i="7"/>
  <c r="O1393" i="7"/>
  <c r="N1393" i="7"/>
  <c r="M1393" i="7"/>
  <c r="L1393" i="7"/>
  <c r="K1393" i="7"/>
  <c r="J1393" i="7"/>
  <c r="I1393" i="7"/>
  <c r="H1393" i="7"/>
  <c r="G1393" i="7"/>
  <c r="F1393" i="7"/>
  <c r="E1393" i="7"/>
  <c r="D1393" i="7"/>
  <c r="C1393" i="7"/>
  <c r="B1393" i="7"/>
  <c r="A1393" i="7"/>
  <c r="S1392" i="7"/>
  <c r="R1392" i="7"/>
  <c r="Q1392" i="7"/>
  <c r="P1392" i="7"/>
  <c r="O1392" i="7"/>
  <c r="N1392" i="7"/>
  <c r="M1392" i="7"/>
  <c r="L1392" i="7"/>
  <c r="K1392" i="7"/>
  <c r="J1392" i="7"/>
  <c r="I1392" i="7"/>
  <c r="H1392" i="7"/>
  <c r="G1392" i="7"/>
  <c r="F1392" i="7"/>
  <c r="E1392" i="7"/>
  <c r="D1392" i="7"/>
  <c r="C1392" i="7"/>
  <c r="B1392" i="7"/>
  <c r="A1392" i="7"/>
  <c r="S1391" i="7"/>
  <c r="R1391" i="7"/>
  <c r="Q1391" i="7"/>
  <c r="P1391" i="7"/>
  <c r="O1391" i="7"/>
  <c r="N1391" i="7"/>
  <c r="M1391" i="7"/>
  <c r="L1391" i="7"/>
  <c r="K1391" i="7"/>
  <c r="J1391" i="7"/>
  <c r="I1391" i="7"/>
  <c r="H1391" i="7"/>
  <c r="G1391" i="7"/>
  <c r="F1391" i="7"/>
  <c r="E1391" i="7"/>
  <c r="D1391" i="7"/>
  <c r="C1391" i="7"/>
  <c r="B1391" i="7"/>
  <c r="A1391" i="7"/>
  <c r="S1390" i="7"/>
  <c r="R1390" i="7"/>
  <c r="Q1390" i="7"/>
  <c r="P1390" i="7"/>
  <c r="O1390" i="7"/>
  <c r="N1390" i="7"/>
  <c r="M1390" i="7"/>
  <c r="L1390" i="7"/>
  <c r="K1390" i="7"/>
  <c r="J1390" i="7"/>
  <c r="I1390" i="7"/>
  <c r="H1390" i="7"/>
  <c r="G1390" i="7"/>
  <c r="F1390" i="7"/>
  <c r="E1390" i="7"/>
  <c r="D1390" i="7"/>
  <c r="C1390" i="7"/>
  <c r="B1390" i="7"/>
  <c r="A1390" i="7"/>
  <c r="S1389" i="7"/>
  <c r="R1389" i="7"/>
  <c r="P1389" i="7"/>
  <c r="O1389" i="7"/>
  <c r="N1389" i="7"/>
  <c r="M1389" i="7"/>
  <c r="L1389" i="7"/>
  <c r="K1389" i="7"/>
  <c r="J1389" i="7"/>
  <c r="I1389" i="7"/>
  <c r="H1389" i="7"/>
  <c r="G1389" i="7"/>
  <c r="F1389" i="7"/>
  <c r="E1389" i="7"/>
  <c r="D1389" i="7"/>
  <c r="C1389" i="7"/>
  <c r="B1389" i="7"/>
  <c r="A1389" i="7"/>
  <c r="S1388" i="7"/>
  <c r="R1388" i="7"/>
  <c r="Q1388" i="7"/>
  <c r="P1388" i="7"/>
  <c r="O1388" i="7"/>
  <c r="N1388" i="7"/>
  <c r="M1388" i="7"/>
  <c r="L1388" i="7"/>
  <c r="K1388" i="7"/>
  <c r="J1388" i="7"/>
  <c r="I1388" i="7"/>
  <c r="H1388" i="7"/>
  <c r="G1388" i="7"/>
  <c r="F1388" i="7"/>
  <c r="E1388" i="7"/>
  <c r="D1388" i="7"/>
  <c r="C1388" i="7"/>
  <c r="B1388" i="7"/>
  <c r="A1388" i="7"/>
  <c r="S1387" i="7"/>
  <c r="R1387" i="7"/>
  <c r="Q1387" i="7"/>
  <c r="P1387" i="7"/>
  <c r="O1387" i="7"/>
  <c r="N1387" i="7"/>
  <c r="M1387" i="7"/>
  <c r="L1387" i="7"/>
  <c r="K1387" i="7"/>
  <c r="J1387" i="7"/>
  <c r="I1387" i="7"/>
  <c r="H1387" i="7"/>
  <c r="G1387" i="7"/>
  <c r="F1387" i="7"/>
  <c r="E1387" i="7"/>
  <c r="D1387" i="7"/>
  <c r="C1387" i="7"/>
  <c r="B1387" i="7"/>
  <c r="A1387" i="7"/>
  <c r="S1386" i="7"/>
  <c r="R1386" i="7"/>
  <c r="Q1386" i="7"/>
  <c r="P1386" i="7"/>
  <c r="O1386" i="7"/>
  <c r="N1386" i="7"/>
  <c r="M1386" i="7"/>
  <c r="L1386" i="7"/>
  <c r="K1386" i="7"/>
  <c r="J1386" i="7"/>
  <c r="I1386" i="7"/>
  <c r="H1386" i="7"/>
  <c r="G1386" i="7"/>
  <c r="F1386" i="7"/>
  <c r="E1386" i="7"/>
  <c r="D1386" i="7"/>
  <c r="C1386" i="7"/>
  <c r="B1386" i="7"/>
  <c r="A1386" i="7"/>
  <c r="S1385" i="7"/>
  <c r="R1385" i="7"/>
  <c r="Q1385" i="7"/>
  <c r="P1385" i="7"/>
  <c r="O1385" i="7"/>
  <c r="N1385" i="7"/>
  <c r="M1385" i="7"/>
  <c r="L1385" i="7"/>
  <c r="K1385" i="7"/>
  <c r="J1385" i="7"/>
  <c r="I1385" i="7"/>
  <c r="H1385" i="7"/>
  <c r="G1385" i="7"/>
  <c r="F1385" i="7"/>
  <c r="E1385" i="7"/>
  <c r="D1385" i="7"/>
  <c r="C1385" i="7"/>
  <c r="B1385" i="7"/>
  <c r="A1385" i="7"/>
  <c r="S1384" i="7"/>
  <c r="R1384" i="7"/>
  <c r="P1384" i="7"/>
  <c r="O1384" i="7"/>
  <c r="N1384" i="7"/>
  <c r="M1384" i="7"/>
  <c r="L1384" i="7"/>
  <c r="K1384" i="7"/>
  <c r="J1384" i="7"/>
  <c r="I1384" i="7"/>
  <c r="H1384" i="7"/>
  <c r="G1384" i="7"/>
  <c r="F1384" i="7"/>
  <c r="E1384" i="7"/>
  <c r="D1384" i="7"/>
  <c r="C1384" i="7"/>
  <c r="B1384" i="7"/>
  <c r="A1384" i="7"/>
  <c r="S1383" i="7"/>
  <c r="M1383" i="7"/>
  <c r="L1383" i="7"/>
  <c r="K1383" i="7"/>
  <c r="J1383" i="7"/>
  <c r="I1383" i="7"/>
  <c r="H1383" i="7"/>
  <c r="G1383" i="7"/>
  <c r="F1383" i="7"/>
  <c r="E1383" i="7"/>
  <c r="D1383" i="7"/>
  <c r="C1383" i="7"/>
  <c r="B1383" i="7"/>
  <c r="A1383" i="7"/>
  <c r="S1382" i="7"/>
  <c r="R1382" i="7"/>
  <c r="P1382" i="7"/>
  <c r="O1382" i="7"/>
  <c r="N1382" i="7"/>
  <c r="M1382" i="7"/>
  <c r="L1382" i="7"/>
  <c r="K1382" i="7"/>
  <c r="J1382" i="7"/>
  <c r="I1382" i="7"/>
  <c r="H1382" i="7"/>
  <c r="G1382" i="7"/>
  <c r="F1382" i="7"/>
  <c r="E1382" i="7"/>
  <c r="D1382" i="7"/>
  <c r="C1382" i="7"/>
  <c r="B1382" i="7"/>
  <c r="A1382" i="7"/>
  <c r="S1381" i="7"/>
  <c r="Q1381" i="7"/>
  <c r="M1381" i="7"/>
  <c r="L1381" i="7"/>
  <c r="K1381" i="7"/>
  <c r="J1381" i="7"/>
  <c r="I1381" i="7"/>
  <c r="H1381" i="7"/>
  <c r="G1381" i="7"/>
  <c r="F1381" i="7"/>
  <c r="E1381" i="7"/>
  <c r="D1381" i="7"/>
  <c r="C1381" i="7"/>
  <c r="B1381" i="7"/>
  <c r="A1381" i="7"/>
  <c r="S1380" i="7"/>
  <c r="R1380" i="7"/>
  <c r="Q1380" i="7"/>
  <c r="P1380" i="7"/>
  <c r="O1380" i="7"/>
  <c r="N1380" i="7"/>
  <c r="M1380" i="7"/>
  <c r="L1380" i="7"/>
  <c r="K1380" i="7"/>
  <c r="J1380" i="7"/>
  <c r="I1380" i="7"/>
  <c r="H1380" i="7"/>
  <c r="G1380" i="7"/>
  <c r="F1380" i="7"/>
  <c r="E1380" i="7"/>
  <c r="D1380" i="7"/>
  <c r="C1380" i="7"/>
  <c r="B1380" i="7"/>
  <c r="A1380" i="7"/>
  <c r="S1379" i="7"/>
  <c r="R1379" i="7"/>
  <c r="Q1379" i="7"/>
  <c r="P1379" i="7"/>
  <c r="O1379" i="7"/>
  <c r="N1379" i="7"/>
  <c r="M1379" i="7"/>
  <c r="L1379" i="7"/>
  <c r="K1379" i="7"/>
  <c r="J1379" i="7"/>
  <c r="I1379" i="7"/>
  <c r="H1379" i="7"/>
  <c r="G1379" i="7"/>
  <c r="F1379" i="7"/>
  <c r="E1379" i="7"/>
  <c r="D1379" i="7"/>
  <c r="C1379" i="7"/>
  <c r="B1379" i="7"/>
  <c r="A1379" i="7"/>
  <c r="S1378" i="7"/>
  <c r="R1378" i="7"/>
  <c r="P1378" i="7"/>
  <c r="O1378" i="7"/>
  <c r="N1378" i="7"/>
  <c r="M1378" i="7"/>
  <c r="L1378" i="7"/>
  <c r="K1378" i="7"/>
  <c r="J1378" i="7"/>
  <c r="I1378" i="7"/>
  <c r="H1378" i="7"/>
  <c r="G1378" i="7"/>
  <c r="F1378" i="7"/>
  <c r="E1378" i="7"/>
  <c r="D1378" i="7"/>
  <c r="C1378" i="7"/>
  <c r="B1378" i="7"/>
  <c r="A1378" i="7"/>
  <c r="S1377" i="7"/>
  <c r="R1377" i="7"/>
  <c r="P1377" i="7"/>
  <c r="O1377" i="7"/>
  <c r="N1377" i="7"/>
  <c r="M1377" i="7"/>
  <c r="L1377" i="7"/>
  <c r="K1377" i="7"/>
  <c r="J1377" i="7"/>
  <c r="I1377" i="7"/>
  <c r="H1377" i="7"/>
  <c r="G1377" i="7"/>
  <c r="F1377" i="7"/>
  <c r="E1377" i="7"/>
  <c r="D1377" i="7"/>
  <c r="C1377" i="7"/>
  <c r="B1377" i="7"/>
  <c r="A1377" i="7"/>
  <c r="S1376" i="7"/>
  <c r="R1376" i="7"/>
  <c r="P1376" i="7"/>
  <c r="O1376" i="7"/>
  <c r="N1376" i="7"/>
  <c r="M1376" i="7"/>
  <c r="L1376" i="7"/>
  <c r="K1376" i="7"/>
  <c r="J1376" i="7"/>
  <c r="I1376" i="7"/>
  <c r="H1376" i="7"/>
  <c r="G1376" i="7"/>
  <c r="F1376" i="7"/>
  <c r="E1376" i="7"/>
  <c r="D1376" i="7"/>
  <c r="C1376" i="7"/>
  <c r="B1376" i="7"/>
  <c r="A1376" i="7"/>
  <c r="S1375" i="7"/>
  <c r="R1375" i="7"/>
  <c r="P1375" i="7"/>
  <c r="O1375" i="7"/>
  <c r="N1375" i="7"/>
  <c r="M1375" i="7"/>
  <c r="L1375" i="7"/>
  <c r="K1375" i="7"/>
  <c r="J1375" i="7"/>
  <c r="I1375" i="7"/>
  <c r="H1375" i="7"/>
  <c r="G1375" i="7"/>
  <c r="F1375" i="7"/>
  <c r="E1375" i="7"/>
  <c r="D1375" i="7"/>
  <c r="C1375" i="7"/>
  <c r="B1375" i="7"/>
  <c r="A1375" i="7"/>
  <c r="S1374" i="7"/>
  <c r="R1374" i="7"/>
  <c r="Q1374" i="7"/>
  <c r="P1374" i="7"/>
  <c r="O1374" i="7"/>
  <c r="N1374" i="7"/>
  <c r="M1374" i="7"/>
  <c r="L1374" i="7"/>
  <c r="K1374" i="7"/>
  <c r="J1374" i="7"/>
  <c r="I1374" i="7"/>
  <c r="H1374" i="7"/>
  <c r="G1374" i="7"/>
  <c r="F1374" i="7"/>
  <c r="E1374" i="7"/>
  <c r="D1374" i="7"/>
  <c r="C1374" i="7"/>
  <c r="B1374" i="7"/>
  <c r="A1374" i="7"/>
  <c r="S1373" i="7"/>
  <c r="M1373" i="7"/>
  <c r="L1373" i="7"/>
  <c r="K1373" i="7"/>
  <c r="J1373" i="7"/>
  <c r="I1373" i="7"/>
  <c r="H1373" i="7"/>
  <c r="G1373" i="7"/>
  <c r="F1373" i="7"/>
  <c r="E1373" i="7"/>
  <c r="D1373" i="7"/>
  <c r="C1373" i="7"/>
  <c r="B1373" i="7"/>
  <c r="A1373" i="7"/>
  <c r="S1372" i="7"/>
  <c r="R1372" i="7"/>
  <c r="P1372" i="7"/>
  <c r="O1372" i="7"/>
  <c r="N1372" i="7"/>
  <c r="M1372" i="7"/>
  <c r="L1372" i="7"/>
  <c r="K1372" i="7"/>
  <c r="J1372" i="7"/>
  <c r="I1372" i="7"/>
  <c r="H1372" i="7"/>
  <c r="G1372" i="7"/>
  <c r="F1372" i="7"/>
  <c r="E1372" i="7"/>
  <c r="D1372" i="7"/>
  <c r="C1372" i="7"/>
  <c r="B1372" i="7"/>
  <c r="A1372" i="7"/>
  <c r="S1371" i="7"/>
  <c r="R1371" i="7"/>
  <c r="P1371" i="7"/>
  <c r="O1371" i="7"/>
  <c r="N1371" i="7"/>
  <c r="M1371" i="7"/>
  <c r="L1371" i="7"/>
  <c r="K1371" i="7"/>
  <c r="J1371" i="7"/>
  <c r="I1371" i="7"/>
  <c r="H1371" i="7"/>
  <c r="G1371" i="7"/>
  <c r="F1371" i="7"/>
  <c r="E1371" i="7"/>
  <c r="D1371" i="7"/>
  <c r="C1371" i="7"/>
  <c r="B1371" i="7"/>
  <c r="A1371" i="7"/>
  <c r="S1370" i="7"/>
  <c r="R1370" i="7"/>
  <c r="Q1370" i="7"/>
  <c r="P1370" i="7"/>
  <c r="O1370" i="7"/>
  <c r="N1370" i="7"/>
  <c r="M1370" i="7"/>
  <c r="L1370" i="7"/>
  <c r="K1370" i="7"/>
  <c r="J1370" i="7"/>
  <c r="I1370" i="7"/>
  <c r="H1370" i="7"/>
  <c r="G1370" i="7"/>
  <c r="F1370" i="7"/>
  <c r="E1370" i="7"/>
  <c r="D1370" i="7"/>
  <c r="C1370" i="7"/>
  <c r="B1370" i="7"/>
  <c r="A1370" i="7"/>
  <c r="S1369" i="7"/>
  <c r="R1369" i="7"/>
  <c r="Q1369" i="7"/>
  <c r="P1369" i="7"/>
  <c r="O1369" i="7"/>
  <c r="N1369" i="7"/>
  <c r="M1369" i="7"/>
  <c r="L1369" i="7"/>
  <c r="K1369" i="7"/>
  <c r="J1369" i="7"/>
  <c r="I1369" i="7"/>
  <c r="H1369" i="7"/>
  <c r="G1369" i="7"/>
  <c r="F1369" i="7"/>
  <c r="E1369" i="7"/>
  <c r="D1369" i="7"/>
  <c r="C1369" i="7"/>
  <c r="B1369" i="7"/>
  <c r="A1369" i="7"/>
  <c r="S1368" i="7"/>
  <c r="R1368" i="7"/>
  <c r="P1368" i="7"/>
  <c r="O1368" i="7"/>
  <c r="N1368" i="7"/>
  <c r="M1368" i="7"/>
  <c r="L1368" i="7"/>
  <c r="K1368" i="7"/>
  <c r="J1368" i="7"/>
  <c r="I1368" i="7"/>
  <c r="H1368" i="7"/>
  <c r="G1368" i="7"/>
  <c r="F1368" i="7"/>
  <c r="E1368" i="7"/>
  <c r="D1368" i="7"/>
  <c r="C1368" i="7"/>
  <c r="B1368" i="7"/>
  <c r="A1368" i="7"/>
  <c r="S1367" i="7"/>
  <c r="R1367" i="7"/>
  <c r="P1367" i="7"/>
  <c r="O1367" i="7"/>
  <c r="N1367" i="7"/>
  <c r="M1367" i="7"/>
  <c r="L1367" i="7"/>
  <c r="K1367" i="7"/>
  <c r="J1367" i="7"/>
  <c r="I1367" i="7"/>
  <c r="H1367" i="7"/>
  <c r="G1367" i="7"/>
  <c r="F1367" i="7"/>
  <c r="E1367" i="7"/>
  <c r="D1367" i="7"/>
  <c r="C1367" i="7"/>
  <c r="B1367" i="7"/>
  <c r="A1367" i="7"/>
  <c r="S1366" i="7"/>
  <c r="R1366" i="7"/>
  <c r="P1366" i="7"/>
  <c r="O1366" i="7"/>
  <c r="N1366" i="7"/>
  <c r="M1366" i="7"/>
  <c r="L1366" i="7"/>
  <c r="K1366" i="7"/>
  <c r="J1366" i="7"/>
  <c r="I1366" i="7"/>
  <c r="H1366" i="7"/>
  <c r="G1366" i="7"/>
  <c r="F1366" i="7"/>
  <c r="E1366" i="7"/>
  <c r="D1366" i="7"/>
  <c r="C1366" i="7"/>
  <c r="B1366" i="7"/>
  <c r="A1366" i="7"/>
  <c r="S1365" i="7"/>
  <c r="R1365" i="7"/>
  <c r="P1365" i="7"/>
  <c r="O1365" i="7"/>
  <c r="N1365" i="7"/>
  <c r="M1365" i="7"/>
  <c r="L1365" i="7"/>
  <c r="K1365" i="7"/>
  <c r="J1365" i="7"/>
  <c r="I1365" i="7"/>
  <c r="H1365" i="7"/>
  <c r="G1365" i="7"/>
  <c r="F1365" i="7"/>
  <c r="E1365" i="7"/>
  <c r="D1365" i="7"/>
  <c r="C1365" i="7"/>
  <c r="B1365" i="7"/>
  <c r="A1365" i="7"/>
  <c r="S1364" i="7"/>
  <c r="R1364" i="7"/>
  <c r="P1364" i="7"/>
  <c r="O1364" i="7"/>
  <c r="N1364" i="7"/>
  <c r="M1364" i="7"/>
  <c r="L1364" i="7"/>
  <c r="K1364" i="7"/>
  <c r="J1364" i="7"/>
  <c r="I1364" i="7"/>
  <c r="H1364" i="7"/>
  <c r="G1364" i="7"/>
  <c r="F1364" i="7"/>
  <c r="E1364" i="7"/>
  <c r="D1364" i="7"/>
  <c r="C1364" i="7"/>
  <c r="B1364" i="7"/>
  <c r="A1364" i="7"/>
  <c r="S1363" i="7"/>
  <c r="R1363" i="7"/>
  <c r="Q1363" i="7"/>
  <c r="P1363" i="7"/>
  <c r="O1363" i="7"/>
  <c r="N1363" i="7"/>
  <c r="M1363" i="7"/>
  <c r="L1363" i="7"/>
  <c r="K1363" i="7"/>
  <c r="J1363" i="7"/>
  <c r="I1363" i="7"/>
  <c r="H1363" i="7"/>
  <c r="G1363" i="7"/>
  <c r="F1363" i="7"/>
  <c r="E1363" i="7"/>
  <c r="D1363" i="7"/>
  <c r="C1363" i="7"/>
  <c r="B1363" i="7"/>
  <c r="A1363" i="7"/>
  <c r="S1362" i="7"/>
  <c r="R1362" i="7"/>
  <c r="P1362" i="7"/>
  <c r="O1362" i="7"/>
  <c r="N1362" i="7"/>
  <c r="M1362" i="7"/>
  <c r="L1362" i="7"/>
  <c r="K1362" i="7"/>
  <c r="J1362" i="7"/>
  <c r="I1362" i="7"/>
  <c r="H1362" i="7"/>
  <c r="G1362" i="7"/>
  <c r="F1362" i="7"/>
  <c r="E1362" i="7"/>
  <c r="D1362" i="7"/>
  <c r="C1362" i="7"/>
  <c r="B1362" i="7"/>
  <c r="A1362" i="7"/>
  <c r="S1361" i="7"/>
  <c r="R1361" i="7"/>
  <c r="P1361" i="7"/>
  <c r="O1361" i="7"/>
  <c r="N1361" i="7"/>
  <c r="M1361" i="7"/>
  <c r="L1361" i="7"/>
  <c r="K1361" i="7"/>
  <c r="J1361" i="7"/>
  <c r="I1361" i="7"/>
  <c r="H1361" i="7"/>
  <c r="G1361" i="7"/>
  <c r="F1361" i="7"/>
  <c r="E1361" i="7"/>
  <c r="D1361" i="7"/>
  <c r="C1361" i="7"/>
  <c r="B1361" i="7"/>
  <c r="A1361" i="7"/>
  <c r="S1360" i="7"/>
  <c r="R1360" i="7"/>
  <c r="Q1360" i="7"/>
  <c r="P1360" i="7"/>
  <c r="O1360" i="7"/>
  <c r="N1360" i="7"/>
  <c r="M1360" i="7"/>
  <c r="L1360" i="7"/>
  <c r="K1360" i="7"/>
  <c r="J1360" i="7"/>
  <c r="I1360" i="7"/>
  <c r="H1360" i="7"/>
  <c r="G1360" i="7"/>
  <c r="F1360" i="7"/>
  <c r="E1360" i="7"/>
  <c r="D1360" i="7"/>
  <c r="C1360" i="7"/>
  <c r="B1360" i="7"/>
  <c r="A1360" i="7"/>
  <c r="S1359" i="7"/>
  <c r="R1359" i="7"/>
  <c r="Q1359" i="7"/>
  <c r="P1359" i="7"/>
  <c r="O1359" i="7"/>
  <c r="N1359" i="7"/>
  <c r="M1359" i="7"/>
  <c r="L1359" i="7"/>
  <c r="J1359" i="7"/>
  <c r="I1359" i="7"/>
  <c r="H1359" i="7"/>
  <c r="G1359" i="7"/>
  <c r="F1359" i="7"/>
  <c r="E1359" i="7"/>
  <c r="D1359" i="7"/>
  <c r="C1359" i="7"/>
  <c r="B1359" i="7"/>
  <c r="A1359" i="7"/>
  <c r="S1358" i="7"/>
  <c r="R1358" i="7"/>
  <c r="Q1358" i="7"/>
  <c r="P1358" i="7"/>
  <c r="O1358" i="7"/>
  <c r="N1358" i="7"/>
  <c r="M1358" i="7"/>
  <c r="L1358" i="7"/>
  <c r="K1358" i="7"/>
  <c r="J1358" i="7"/>
  <c r="I1358" i="7"/>
  <c r="H1358" i="7"/>
  <c r="G1358" i="7"/>
  <c r="F1358" i="7"/>
  <c r="E1358" i="7"/>
  <c r="D1358" i="7"/>
  <c r="C1358" i="7"/>
  <c r="B1358" i="7"/>
  <c r="A1358" i="7"/>
  <c r="S1357" i="7"/>
  <c r="R1357" i="7"/>
  <c r="Q1357" i="7"/>
  <c r="P1357" i="7"/>
  <c r="O1357" i="7"/>
  <c r="N1357" i="7"/>
  <c r="M1357" i="7"/>
  <c r="L1357" i="7"/>
  <c r="K1357" i="7"/>
  <c r="J1357" i="7"/>
  <c r="I1357" i="7"/>
  <c r="H1357" i="7"/>
  <c r="G1357" i="7"/>
  <c r="F1357" i="7"/>
  <c r="E1357" i="7"/>
  <c r="D1357" i="7"/>
  <c r="C1357" i="7"/>
  <c r="B1357" i="7"/>
  <c r="A1357" i="7"/>
  <c r="S1356" i="7"/>
  <c r="R1356" i="7"/>
  <c r="P1356" i="7"/>
  <c r="O1356" i="7"/>
  <c r="N1356" i="7"/>
  <c r="M1356" i="7"/>
  <c r="L1356" i="7"/>
  <c r="K1356" i="7"/>
  <c r="J1356" i="7"/>
  <c r="I1356" i="7"/>
  <c r="H1356" i="7"/>
  <c r="G1356" i="7"/>
  <c r="F1356" i="7"/>
  <c r="E1356" i="7"/>
  <c r="D1356" i="7"/>
  <c r="C1356" i="7"/>
  <c r="B1356" i="7"/>
  <c r="A1356" i="7"/>
  <c r="S1355" i="7"/>
  <c r="R1355" i="7"/>
  <c r="Q1355" i="7"/>
  <c r="P1355" i="7"/>
  <c r="O1355" i="7"/>
  <c r="N1355" i="7"/>
  <c r="M1355" i="7"/>
  <c r="L1355" i="7"/>
  <c r="K1355" i="7"/>
  <c r="J1355" i="7"/>
  <c r="I1355" i="7"/>
  <c r="H1355" i="7"/>
  <c r="G1355" i="7"/>
  <c r="F1355" i="7"/>
  <c r="E1355" i="7"/>
  <c r="D1355" i="7"/>
  <c r="C1355" i="7"/>
  <c r="B1355" i="7"/>
  <c r="A1355" i="7"/>
  <c r="S1354" i="7"/>
  <c r="R1354" i="7"/>
  <c r="P1354" i="7"/>
  <c r="O1354" i="7"/>
  <c r="N1354" i="7"/>
  <c r="M1354" i="7"/>
  <c r="L1354" i="7"/>
  <c r="K1354" i="7"/>
  <c r="J1354" i="7"/>
  <c r="I1354" i="7"/>
  <c r="H1354" i="7"/>
  <c r="G1354" i="7"/>
  <c r="F1354" i="7"/>
  <c r="E1354" i="7"/>
  <c r="D1354" i="7"/>
  <c r="C1354" i="7"/>
  <c r="B1354" i="7"/>
  <c r="A1354" i="7"/>
  <c r="S1353" i="7"/>
  <c r="R1353" i="7"/>
  <c r="P1353" i="7"/>
  <c r="O1353" i="7"/>
  <c r="N1353" i="7"/>
  <c r="M1353" i="7"/>
  <c r="L1353" i="7"/>
  <c r="K1353" i="7"/>
  <c r="J1353" i="7"/>
  <c r="I1353" i="7"/>
  <c r="H1353" i="7"/>
  <c r="G1353" i="7"/>
  <c r="F1353" i="7"/>
  <c r="E1353" i="7"/>
  <c r="D1353" i="7"/>
  <c r="C1353" i="7"/>
  <c r="B1353" i="7"/>
  <c r="A1353" i="7"/>
  <c r="S1352" i="7"/>
  <c r="R1352" i="7"/>
  <c r="Q1352" i="7"/>
  <c r="P1352" i="7"/>
  <c r="O1352" i="7"/>
  <c r="N1352" i="7"/>
  <c r="M1352" i="7"/>
  <c r="L1352" i="7"/>
  <c r="K1352" i="7"/>
  <c r="J1352" i="7"/>
  <c r="I1352" i="7"/>
  <c r="H1352" i="7"/>
  <c r="G1352" i="7"/>
  <c r="F1352" i="7"/>
  <c r="E1352" i="7"/>
  <c r="D1352" i="7"/>
  <c r="C1352" i="7"/>
  <c r="B1352" i="7"/>
  <c r="A1352" i="7"/>
  <c r="S1351" i="7"/>
  <c r="R1351" i="7"/>
  <c r="P1351" i="7"/>
  <c r="O1351" i="7"/>
  <c r="N1351" i="7"/>
  <c r="M1351" i="7"/>
  <c r="L1351" i="7"/>
  <c r="K1351" i="7"/>
  <c r="J1351" i="7"/>
  <c r="I1351" i="7"/>
  <c r="H1351" i="7"/>
  <c r="G1351" i="7"/>
  <c r="F1351" i="7"/>
  <c r="E1351" i="7"/>
  <c r="D1351" i="7"/>
  <c r="C1351" i="7"/>
  <c r="B1351" i="7"/>
  <c r="A1351" i="7"/>
  <c r="S1350" i="7"/>
  <c r="R1350" i="7"/>
  <c r="P1350" i="7"/>
  <c r="O1350" i="7"/>
  <c r="N1350" i="7"/>
  <c r="M1350" i="7"/>
  <c r="L1350" i="7"/>
  <c r="K1350" i="7"/>
  <c r="J1350" i="7"/>
  <c r="I1350" i="7"/>
  <c r="H1350" i="7"/>
  <c r="G1350" i="7"/>
  <c r="F1350" i="7"/>
  <c r="E1350" i="7"/>
  <c r="D1350" i="7"/>
  <c r="C1350" i="7"/>
  <c r="B1350" i="7"/>
  <c r="A1350" i="7"/>
  <c r="S1349" i="7"/>
  <c r="M1349" i="7"/>
  <c r="L1349" i="7"/>
  <c r="K1349" i="7"/>
  <c r="J1349" i="7"/>
  <c r="I1349" i="7"/>
  <c r="H1349" i="7"/>
  <c r="G1349" i="7"/>
  <c r="F1349" i="7"/>
  <c r="E1349" i="7"/>
  <c r="D1349" i="7"/>
  <c r="C1349" i="7"/>
  <c r="B1349" i="7"/>
  <c r="A1349" i="7"/>
  <c r="S1348" i="7"/>
  <c r="R1348" i="7"/>
  <c r="P1348" i="7"/>
  <c r="O1348" i="7"/>
  <c r="N1348" i="7"/>
  <c r="M1348" i="7"/>
  <c r="L1348" i="7"/>
  <c r="K1348" i="7"/>
  <c r="J1348" i="7"/>
  <c r="I1348" i="7"/>
  <c r="H1348" i="7"/>
  <c r="G1348" i="7"/>
  <c r="F1348" i="7"/>
  <c r="E1348" i="7"/>
  <c r="D1348" i="7"/>
  <c r="C1348" i="7"/>
  <c r="B1348" i="7"/>
  <c r="A1348" i="7"/>
  <c r="S1347" i="7"/>
  <c r="R1347" i="7"/>
  <c r="P1347" i="7"/>
  <c r="O1347" i="7"/>
  <c r="N1347" i="7"/>
  <c r="M1347" i="7"/>
  <c r="L1347" i="7"/>
  <c r="K1347" i="7"/>
  <c r="J1347" i="7"/>
  <c r="I1347" i="7"/>
  <c r="H1347" i="7"/>
  <c r="G1347" i="7"/>
  <c r="F1347" i="7"/>
  <c r="E1347" i="7"/>
  <c r="D1347" i="7"/>
  <c r="C1347" i="7"/>
  <c r="B1347" i="7"/>
  <c r="A1347" i="7"/>
  <c r="S1346" i="7"/>
  <c r="R1346" i="7"/>
  <c r="Q1346" i="7"/>
  <c r="P1346" i="7"/>
  <c r="O1346" i="7"/>
  <c r="N1346" i="7"/>
  <c r="M1346" i="7"/>
  <c r="L1346" i="7"/>
  <c r="K1346" i="7"/>
  <c r="J1346" i="7"/>
  <c r="I1346" i="7"/>
  <c r="H1346" i="7"/>
  <c r="G1346" i="7"/>
  <c r="F1346" i="7"/>
  <c r="E1346" i="7"/>
  <c r="D1346" i="7"/>
  <c r="C1346" i="7"/>
  <c r="B1346" i="7"/>
  <c r="A1346" i="7"/>
  <c r="S1345" i="7"/>
  <c r="R1345" i="7"/>
  <c r="Q1345" i="7"/>
  <c r="P1345" i="7"/>
  <c r="O1345" i="7"/>
  <c r="N1345" i="7"/>
  <c r="M1345" i="7"/>
  <c r="L1345" i="7"/>
  <c r="K1345" i="7"/>
  <c r="J1345" i="7"/>
  <c r="I1345" i="7"/>
  <c r="H1345" i="7"/>
  <c r="G1345" i="7"/>
  <c r="F1345" i="7"/>
  <c r="E1345" i="7"/>
  <c r="D1345" i="7"/>
  <c r="C1345" i="7"/>
  <c r="B1345" i="7"/>
  <c r="A1345" i="7"/>
  <c r="S1344" i="7"/>
  <c r="R1344" i="7"/>
  <c r="P1344" i="7"/>
  <c r="O1344" i="7"/>
  <c r="N1344" i="7"/>
  <c r="M1344" i="7"/>
  <c r="L1344" i="7"/>
  <c r="K1344" i="7"/>
  <c r="J1344" i="7"/>
  <c r="I1344" i="7"/>
  <c r="H1344" i="7"/>
  <c r="G1344" i="7"/>
  <c r="F1344" i="7"/>
  <c r="E1344" i="7"/>
  <c r="D1344" i="7"/>
  <c r="C1344" i="7"/>
  <c r="B1344" i="7"/>
  <c r="A1344" i="7"/>
  <c r="S1343" i="7"/>
  <c r="R1343" i="7"/>
  <c r="Q1343" i="7"/>
  <c r="P1343" i="7"/>
  <c r="O1343" i="7"/>
  <c r="N1343" i="7"/>
  <c r="M1343" i="7"/>
  <c r="L1343" i="7"/>
  <c r="K1343" i="7"/>
  <c r="J1343" i="7"/>
  <c r="I1343" i="7"/>
  <c r="H1343" i="7"/>
  <c r="G1343" i="7"/>
  <c r="F1343" i="7"/>
  <c r="E1343" i="7"/>
  <c r="D1343" i="7"/>
  <c r="C1343" i="7"/>
  <c r="B1343" i="7"/>
  <c r="A1343" i="7"/>
  <c r="S1342" i="7"/>
  <c r="R1342" i="7"/>
  <c r="P1342" i="7"/>
  <c r="O1342" i="7"/>
  <c r="N1342" i="7"/>
  <c r="M1342" i="7"/>
  <c r="L1342" i="7"/>
  <c r="K1342" i="7"/>
  <c r="J1342" i="7"/>
  <c r="I1342" i="7"/>
  <c r="H1342" i="7"/>
  <c r="G1342" i="7"/>
  <c r="F1342" i="7"/>
  <c r="E1342" i="7"/>
  <c r="D1342" i="7"/>
  <c r="C1342" i="7"/>
  <c r="B1342" i="7"/>
  <c r="A1342" i="7"/>
  <c r="S1341" i="7"/>
  <c r="R1341" i="7"/>
  <c r="P1341" i="7"/>
  <c r="O1341" i="7"/>
  <c r="N1341" i="7"/>
  <c r="M1341" i="7"/>
  <c r="L1341" i="7"/>
  <c r="K1341" i="7"/>
  <c r="J1341" i="7"/>
  <c r="I1341" i="7"/>
  <c r="H1341" i="7"/>
  <c r="G1341" i="7"/>
  <c r="F1341" i="7"/>
  <c r="E1341" i="7"/>
  <c r="D1341" i="7"/>
  <c r="C1341" i="7"/>
  <c r="B1341" i="7"/>
  <c r="A1341" i="7"/>
  <c r="S1340" i="7"/>
  <c r="R1340" i="7"/>
  <c r="P1340" i="7"/>
  <c r="O1340" i="7"/>
  <c r="N1340" i="7"/>
  <c r="M1340" i="7"/>
  <c r="L1340" i="7"/>
  <c r="K1340" i="7"/>
  <c r="J1340" i="7"/>
  <c r="I1340" i="7"/>
  <c r="H1340" i="7"/>
  <c r="G1340" i="7"/>
  <c r="F1340" i="7"/>
  <c r="E1340" i="7"/>
  <c r="D1340" i="7"/>
  <c r="C1340" i="7"/>
  <c r="B1340" i="7"/>
  <c r="A1340" i="7"/>
  <c r="S1339" i="7"/>
  <c r="R1339" i="7"/>
  <c r="Q1339" i="7"/>
  <c r="P1339" i="7"/>
  <c r="O1339" i="7"/>
  <c r="N1339" i="7"/>
  <c r="M1339" i="7"/>
  <c r="L1339" i="7"/>
  <c r="K1339" i="7"/>
  <c r="J1339" i="7"/>
  <c r="I1339" i="7"/>
  <c r="H1339" i="7"/>
  <c r="G1339" i="7"/>
  <c r="F1339" i="7"/>
  <c r="E1339" i="7"/>
  <c r="D1339" i="7"/>
  <c r="C1339" i="7"/>
  <c r="B1339" i="7"/>
  <c r="A1339" i="7"/>
  <c r="S1338" i="7"/>
  <c r="R1338" i="7"/>
  <c r="Q1338" i="7"/>
  <c r="P1338" i="7"/>
  <c r="O1338" i="7"/>
  <c r="N1338" i="7"/>
  <c r="M1338" i="7"/>
  <c r="L1338" i="7"/>
  <c r="K1338" i="7"/>
  <c r="J1338" i="7"/>
  <c r="I1338" i="7"/>
  <c r="H1338" i="7"/>
  <c r="G1338" i="7"/>
  <c r="F1338" i="7"/>
  <c r="E1338" i="7"/>
  <c r="D1338" i="7"/>
  <c r="C1338" i="7"/>
  <c r="B1338" i="7"/>
  <c r="A1338" i="7"/>
  <c r="S1337" i="7"/>
  <c r="R1337" i="7"/>
  <c r="P1337" i="7"/>
  <c r="O1337" i="7"/>
  <c r="N1337" i="7"/>
  <c r="M1337" i="7"/>
  <c r="L1337" i="7"/>
  <c r="K1337" i="7"/>
  <c r="J1337" i="7"/>
  <c r="I1337" i="7"/>
  <c r="H1337" i="7"/>
  <c r="G1337" i="7"/>
  <c r="F1337" i="7"/>
  <c r="E1337" i="7"/>
  <c r="D1337" i="7"/>
  <c r="C1337" i="7"/>
  <c r="B1337" i="7"/>
  <c r="A1337" i="7"/>
  <c r="S1336" i="7"/>
  <c r="R1336" i="7"/>
  <c r="P1336" i="7"/>
  <c r="O1336" i="7"/>
  <c r="N1336" i="7"/>
  <c r="M1336" i="7"/>
  <c r="L1336" i="7"/>
  <c r="K1336" i="7"/>
  <c r="J1336" i="7"/>
  <c r="I1336" i="7"/>
  <c r="H1336" i="7"/>
  <c r="G1336" i="7"/>
  <c r="F1336" i="7"/>
  <c r="E1336" i="7"/>
  <c r="D1336" i="7"/>
  <c r="C1336" i="7"/>
  <c r="B1336" i="7"/>
  <c r="A1336" i="7"/>
  <c r="S1335" i="7"/>
  <c r="R1335" i="7"/>
  <c r="P1335" i="7"/>
  <c r="O1335" i="7"/>
  <c r="N1335" i="7"/>
  <c r="M1335" i="7"/>
  <c r="L1335" i="7"/>
  <c r="K1335" i="7"/>
  <c r="J1335" i="7"/>
  <c r="I1335" i="7"/>
  <c r="H1335" i="7"/>
  <c r="G1335" i="7"/>
  <c r="F1335" i="7"/>
  <c r="E1335" i="7"/>
  <c r="D1335" i="7"/>
  <c r="C1335" i="7"/>
  <c r="B1335" i="7"/>
  <c r="A1335" i="7"/>
  <c r="S1334" i="7"/>
  <c r="R1334" i="7"/>
  <c r="P1334" i="7"/>
  <c r="O1334" i="7"/>
  <c r="N1334" i="7"/>
  <c r="M1334" i="7"/>
  <c r="L1334" i="7"/>
  <c r="K1334" i="7"/>
  <c r="J1334" i="7"/>
  <c r="I1334" i="7"/>
  <c r="H1334" i="7"/>
  <c r="G1334" i="7"/>
  <c r="F1334" i="7"/>
  <c r="E1334" i="7"/>
  <c r="D1334" i="7"/>
  <c r="C1334" i="7"/>
  <c r="B1334" i="7"/>
  <c r="A1334" i="7"/>
  <c r="S1333" i="7"/>
  <c r="R1333" i="7"/>
  <c r="P1333" i="7"/>
  <c r="O1333" i="7"/>
  <c r="N1333" i="7"/>
  <c r="M1333" i="7"/>
  <c r="L1333" i="7"/>
  <c r="K1333" i="7"/>
  <c r="J1333" i="7"/>
  <c r="I1333" i="7"/>
  <c r="H1333" i="7"/>
  <c r="G1333" i="7"/>
  <c r="F1333" i="7"/>
  <c r="E1333" i="7"/>
  <c r="D1333" i="7"/>
  <c r="C1333" i="7"/>
  <c r="B1333" i="7"/>
  <c r="A1333" i="7"/>
  <c r="S1332" i="7"/>
  <c r="M1332" i="7"/>
  <c r="L1332" i="7"/>
  <c r="K1332" i="7"/>
  <c r="J1332" i="7"/>
  <c r="I1332" i="7"/>
  <c r="H1332" i="7"/>
  <c r="G1332" i="7"/>
  <c r="F1332" i="7"/>
  <c r="E1332" i="7"/>
  <c r="D1332" i="7"/>
  <c r="C1332" i="7"/>
  <c r="B1332" i="7"/>
  <c r="A1332" i="7"/>
  <c r="S1331" i="7"/>
  <c r="R1331" i="7"/>
  <c r="P1331" i="7"/>
  <c r="O1331" i="7"/>
  <c r="N1331" i="7"/>
  <c r="M1331" i="7"/>
  <c r="L1331" i="7"/>
  <c r="K1331" i="7"/>
  <c r="J1331" i="7"/>
  <c r="I1331" i="7"/>
  <c r="H1331" i="7"/>
  <c r="G1331" i="7"/>
  <c r="F1331" i="7"/>
  <c r="E1331" i="7"/>
  <c r="D1331" i="7"/>
  <c r="C1331" i="7"/>
  <c r="B1331" i="7"/>
  <c r="A1331" i="7"/>
  <c r="S1330" i="7"/>
  <c r="R1330" i="7"/>
  <c r="P1330" i="7"/>
  <c r="O1330" i="7"/>
  <c r="N1330" i="7"/>
  <c r="M1330" i="7"/>
  <c r="L1330" i="7"/>
  <c r="K1330" i="7"/>
  <c r="J1330" i="7"/>
  <c r="I1330" i="7"/>
  <c r="H1330" i="7"/>
  <c r="G1330" i="7"/>
  <c r="F1330" i="7"/>
  <c r="E1330" i="7"/>
  <c r="D1330" i="7"/>
  <c r="C1330" i="7"/>
  <c r="B1330" i="7"/>
  <c r="A1330" i="7"/>
  <c r="S1329" i="7"/>
  <c r="R1329" i="7"/>
  <c r="P1329" i="7"/>
  <c r="O1329" i="7"/>
  <c r="N1329" i="7"/>
  <c r="M1329" i="7"/>
  <c r="L1329" i="7"/>
  <c r="K1329" i="7"/>
  <c r="J1329" i="7"/>
  <c r="I1329" i="7"/>
  <c r="H1329" i="7"/>
  <c r="G1329" i="7"/>
  <c r="F1329" i="7"/>
  <c r="E1329" i="7"/>
  <c r="D1329" i="7"/>
  <c r="C1329" i="7"/>
  <c r="B1329" i="7"/>
  <c r="A1329" i="7"/>
  <c r="S1328" i="7"/>
  <c r="R1328" i="7"/>
  <c r="P1328" i="7"/>
  <c r="O1328" i="7"/>
  <c r="N1328" i="7"/>
  <c r="M1328" i="7"/>
  <c r="L1328" i="7"/>
  <c r="K1328" i="7"/>
  <c r="J1328" i="7"/>
  <c r="I1328" i="7"/>
  <c r="H1328" i="7"/>
  <c r="G1328" i="7"/>
  <c r="F1328" i="7"/>
  <c r="E1328" i="7"/>
  <c r="D1328" i="7"/>
  <c r="C1328" i="7"/>
  <c r="B1328" i="7"/>
  <c r="A1328" i="7"/>
  <c r="S1327" i="7"/>
  <c r="R1327" i="7"/>
  <c r="Q1327" i="7"/>
  <c r="P1327" i="7"/>
  <c r="O1327" i="7"/>
  <c r="N1327" i="7"/>
  <c r="M1327" i="7"/>
  <c r="L1327" i="7"/>
  <c r="K1327" i="7"/>
  <c r="J1327" i="7"/>
  <c r="I1327" i="7"/>
  <c r="H1327" i="7"/>
  <c r="G1327" i="7"/>
  <c r="F1327" i="7"/>
  <c r="E1327" i="7"/>
  <c r="D1327" i="7"/>
  <c r="C1327" i="7"/>
  <c r="B1327" i="7"/>
  <c r="A1327" i="7"/>
  <c r="S1326" i="7"/>
  <c r="R1326" i="7"/>
  <c r="P1326" i="7"/>
  <c r="O1326" i="7"/>
  <c r="N1326" i="7"/>
  <c r="M1326" i="7"/>
  <c r="L1326" i="7"/>
  <c r="K1326" i="7"/>
  <c r="J1326" i="7"/>
  <c r="I1326" i="7"/>
  <c r="H1326" i="7"/>
  <c r="G1326" i="7"/>
  <c r="F1326" i="7"/>
  <c r="E1326" i="7"/>
  <c r="D1326" i="7"/>
  <c r="C1326" i="7"/>
  <c r="B1326" i="7"/>
  <c r="A1326" i="7"/>
  <c r="S1325" i="7"/>
  <c r="R1325" i="7"/>
  <c r="Q1325" i="7"/>
  <c r="P1325" i="7"/>
  <c r="O1325" i="7"/>
  <c r="N1325" i="7"/>
  <c r="M1325" i="7"/>
  <c r="L1325" i="7"/>
  <c r="K1325" i="7"/>
  <c r="J1325" i="7"/>
  <c r="I1325" i="7"/>
  <c r="H1325" i="7"/>
  <c r="G1325" i="7"/>
  <c r="F1325" i="7"/>
  <c r="E1325" i="7"/>
  <c r="D1325" i="7"/>
  <c r="C1325" i="7"/>
  <c r="B1325" i="7"/>
  <c r="A1325" i="7"/>
  <c r="S1324" i="7"/>
  <c r="M1324" i="7"/>
  <c r="L1324" i="7"/>
  <c r="K1324" i="7"/>
  <c r="J1324" i="7"/>
  <c r="I1324" i="7"/>
  <c r="H1324" i="7"/>
  <c r="G1324" i="7"/>
  <c r="F1324" i="7"/>
  <c r="E1324" i="7"/>
  <c r="D1324" i="7"/>
  <c r="C1324" i="7"/>
  <c r="B1324" i="7"/>
  <c r="A1324" i="7"/>
  <c r="S1323" i="7"/>
  <c r="R1323" i="7"/>
  <c r="P1323" i="7"/>
  <c r="O1323" i="7"/>
  <c r="N1323" i="7"/>
  <c r="M1323" i="7"/>
  <c r="L1323" i="7"/>
  <c r="K1323" i="7"/>
  <c r="J1323" i="7"/>
  <c r="I1323" i="7"/>
  <c r="H1323" i="7"/>
  <c r="G1323" i="7"/>
  <c r="F1323" i="7"/>
  <c r="E1323" i="7"/>
  <c r="D1323" i="7"/>
  <c r="C1323" i="7"/>
  <c r="B1323" i="7"/>
  <c r="A1323" i="7"/>
  <c r="S1322" i="7"/>
  <c r="R1322" i="7"/>
  <c r="P1322" i="7"/>
  <c r="O1322" i="7"/>
  <c r="N1322" i="7"/>
  <c r="M1322" i="7"/>
  <c r="L1322" i="7"/>
  <c r="K1322" i="7"/>
  <c r="J1322" i="7"/>
  <c r="I1322" i="7"/>
  <c r="H1322" i="7"/>
  <c r="G1322" i="7"/>
  <c r="F1322" i="7"/>
  <c r="E1322" i="7"/>
  <c r="D1322" i="7"/>
  <c r="C1322" i="7"/>
  <c r="B1322" i="7"/>
  <c r="A1322" i="7"/>
  <c r="S1321" i="7"/>
  <c r="R1321" i="7"/>
  <c r="P1321" i="7"/>
  <c r="O1321" i="7"/>
  <c r="N1321" i="7"/>
  <c r="M1321" i="7"/>
  <c r="L1321" i="7"/>
  <c r="K1321" i="7"/>
  <c r="J1321" i="7"/>
  <c r="I1321" i="7"/>
  <c r="H1321" i="7"/>
  <c r="G1321" i="7"/>
  <c r="F1321" i="7"/>
  <c r="E1321" i="7"/>
  <c r="D1321" i="7"/>
  <c r="C1321" i="7"/>
  <c r="B1321" i="7"/>
  <c r="A1321" i="7"/>
  <c r="S1320" i="7"/>
  <c r="R1320" i="7"/>
  <c r="P1320" i="7"/>
  <c r="O1320" i="7"/>
  <c r="N1320" i="7"/>
  <c r="M1320" i="7"/>
  <c r="L1320" i="7"/>
  <c r="K1320" i="7"/>
  <c r="J1320" i="7"/>
  <c r="I1320" i="7"/>
  <c r="H1320" i="7"/>
  <c r="G1320" i="7"/>
  <c r="F1320" i="7"/>
  <c r="E1320" i="7"/>
  <c r="D1320" i="7"/>
  <c r="C1320" i="7"/>
  <c r="B1320" i="7"/>
  <c r="A1320" i="7"/>
  <c r="S1319" i="7"/>
  <c r="R1319" i="7"/>
  <c r="P1319" i="7"/>
  <c r="O1319" i="7"/>
  <c r="N1319" i="7"/>
  <c r="M1319" i="7"/>
  <c r="L1319" i="7"/>
  <c r="K1319" i="7"/>
  <c r="J1319" i="7"/>
  <c r="I1319" i="7"/>
  <c r="H1319" i="7"/>
  <c r="G1319" i="7"/>
  <c r="F1319" i="7"/>
  <c r="E1319" i="7"/>
  <c r="D1319" i="7"/>
  <c r="C1319" i="7"/>
  <c r="B1319" i="7"/>
  <c r="A1319" i="7"/>
  <c r="S1318" i="7"/>
  <c r="R1318" i="7"/>
  <c r="P1318" i="7"/>
  <c r="O1318" i="7"/>
  <c r="N1318" i="7"/>
  <c r="M1318" i="7"/>
  <c r="L1318" i="7"/>
  <c r="K1318" i="7"/>
  <c r="J1318" i="7"/>
  <c r="I1318" i="7"/>
  <c r="H1318" i="7"/>
  <c r="G1318" i="7"/>
  <c r="F1318" i="7"/>
  <c r="E1318" i="7"/>
  <c r="D1318" i="7"/>
  <c r="C1318" i="7"/>
  <c r="B1318" i="7"/>
  <c r="A1318" i="7"/>
  <c r="S1317" i="7"/>
  <c r="R1317" i="7"/>
  <c r="P1317" i="7"/>
  <c r="O1317" i="7"/>
  <c r="N1317" i="7"/>
  <c r="M1317" i="7"/>
  <c r="L1317" i="7"/>
  <c r="K1317" i="7"/>
  <c r="J1317" i="7"/>
  <c r="I1317" i="7"/>
  <c r="H1317" i="7"/>
  <c r="G1317" i="7"/>
  <c r="F1317" i="7"/>
  <c r="E1317" i="7"/>
  <c r="D1317" i="7"/>
  <c r="C1317" i="7"/>
  <c r="B1317" i="7"/>
  <c r="A1317" i="7"/>
  <c r="S1316" i="7"/>
  <c r="R1316" i="7"/>
  <c r="P1316" i="7"/>
  <c r="O1316" i="7"/>
  <c r="N1316" i="7"/>
  <c r="M1316" i="7"/>
  <c r="L1316" i="7"/>
  <c r="K1316" i="7"/>
  <c r="J1316" i="7"/>
  <c r="I1316" i="7"/>
  <c r="H1316" i="7"/>
  <c r="G1316" i="7"/>
  <c r="F1316" i="7"/>
  <c r="E1316" i="7"/>
  <c r="D1316" i="7"/>
  <c r="C1316" i="7"/>
  <c r="B1316" i="7"/>
  <c r="A1316" i="7"/>
  <c r="S1315" i="7"/>
  <c r="R1315" i="7"/>
  <c r="Q1315" i="7"/>
  <c r="P1315" i="7"/>
  <c r="O1315" i="7"/>
  <c r="N1315" i="7"/>
  <c r="M1315" i="7"/>
  <c r="L1315" i="7"/>
  <c r="K1315" i="7"/>
  <c r="J1315" i="7"/>
  <c r="I1315" i="7"/>
  <c r="H1315" i="7"/>
  <c r="G1315" i="7"/>
  <c r="F1315" i="7"/>
  <c r="E1315" i="7"/>
  <c r="D1315" i="7"/>
  <c r="C1315" i="7"/>
  <c r="B1315" i="7"/>
  <c r="A1315" i="7"/>
  <c r="S1314" i="7"/>
  <c r="R1314" i="7"/>
  <c r="P1314" i="7"/>
  <c r="O1314" i="7"/>
  <c r="N1314" i="7"/>
  <c r="M1314" i="7"/>
  <c r="L1314" i="7"/>
  <c r="K1314" i="7"/>
  <c r="J1314" i="7"/>
  <c r="I1314" i="7"/>
  <c r="H1314" i="7"/>
  <c r="G1314" i="7"/>
  <c r="F1314" i="7"/>
  <c r="E1314" i="7"/>
  <c r="D1314" i="7"/>
  <c r="C1314" i="7"/>
  <c r="B1314" i="7"/>
  <c r="A1314" i="7"/>
  <c r="S1313" i="7"/>
  <c r="R1313" i="7"/>
  <c r="P1313" i="7"/>
  <c r="O1313" i="7"/>
  <c r="N1313" i="7"/>
  <c r="M1313" i="7"/>
  <c r="L1313" i="7"/>
  <c r="K1313" i="7"/>
  <c r="J1313" i="7"/>
  <c r="I1313" i="7"/>
  <c r="H1313" i="7"/>
  <c r="G1313" i="7"/>
  <c r="F1313" i="7"/>
  <c r="E1313" i="7"/>
  <c r="D1313" i="7"/>
  <c r="C1313" i="7"/>
  <c r="B1313" i="7"/>
  <c r="A1313" i="7"/>
  <c r="S1312" i="7"/>
  <c r="R1312" i="7"/>
  <c r="P1312" i="7"/>
  <c r="O1312" i="7"/>
  <c r="N1312" i="7"/>
  <c r="M1312" i="7"/>
  <c r="L1312" i="7"/>
  <c r="K1312" i="7"/>
  <c r="J1312" i="7"/>
  <c r="I1312" i="7"/>
  <c r="H1312" i="7"/>
  <c r="G1312" i="7"/>
  <c r="F1312" i="7"/>
  <c r="E1312" i="7"/>
  <c r="D1312" i="7"/>
  <c r="C1312" i="7"/>
  <c r="B1312" i="7"/>
  <c r="A1312" i="7"/>
  <c r="S1311" i="7"/>
  <c r="R1311" i="7"/>
  <c r="P1311" i="7"/>
  <c r="O1311" i="7"/>
  <c r="N1311" i="7"/>
  <c r="M1311" i="7"/>
  <c r="L1311" i="7"/>
  <c r="K1311" i="7"/>
  <c r="J1311" i="7"/>
  <c r="I1311" i="7"/>
  <c r="H1311" i="7"/>
  <c r="G1311" i="7"/>
  <c r="F1311" i="7"/>
  <c r="E1311" i="7"/>
  <c r="D1311" i="7"/>
  <c r="C1311" i="7"/>
  <c r="B1311" i="7"/>
  <c r="A1311" i="7"/>
  <c r="S1310" i="7"/>
  <c r="M1310" i="7"/>
  <c r="L1310" i="7"/>
  <c r="K1310" i="7"/>
  <c r="J1310" i="7"/>
  <c r="I1310" i="7"/>
  <c r="H1310" i="7"/>
  <c r="G1310" i="7"/>
  <c r="F1310" i="7"/>
  <c r="E1310" i="7"/>
  <c r="D1310" i="7"/>
  <c r="C1310" i="7"/>
  <c r="B1310" i="7"/>
  <c r="A1310" i="7"/>
  <c r="S1309" i="7"/>
  <c r="R1309" i="7"/>
  <c r="Q1309" i="7"/>
  <c r="P1309" i="7"/>
  <c r="O1309" i="7"/>
  <c r="N1309" i="7"/>
  <c r="M1309" i="7"/>
  <c r="L1309" i="7"/>
  <c r="K1309" i="7"/>
  <c r="J1309" i="7"/>
  <c r="I1309" i="7"/>
  <c r="H1309" i="7"/>
  <c r="G1309" i="7"/>
  <c r="F1309" i="7"/>
  <c r="E1309" i="7"/>
  <c r="D1309" i="7"/>
  <c r="C1309" i="7"/>
  <c r="B1309" i="7"/>
  <c r="A1309" i="7"/>
  <c r="S1308" i="7"/>
  <c r="R1308" i="7"/>
  <c r="Q1308" i="7"/>
  <c r="P1308" i="7"/>
  <c r="O1308" i="7"/>
  <c r="N1308" i="7"/>
  <c r="M1308" i="7"/>
  <c r="L1308" i="7"/>
  <c r="K1308" i="7"/>
  <c r="J1308" i="7"/>
  <c r="I1308" i="7"/>
  <c r="H1308" i="7"/>
  <c r="G1308" i="7"/>
  <c r="F1308" i="7"/>
  <c r="E1308" i="7"/>
  <c r="D1308" i="7"/>
  <c r="C1308" i="7"/>
  <c r="B1308" i="7"/>
  <c r="A1308" i="7"/>
  <c r="S1307" i="7"/>
  <c r="R1307" i="7"/>
  <c r="P1307" i="7"/>
  <c r="O1307" i="7"/>
  <c r="N1307" i="7"/>
  <c r="M1307" i="7"/>
  <c r="L1307" i="7"/>
  <c r="K1307" i="7"/>
  <c r="J1307" i="7"/>
  <c r="I1307" i="7"/>
  <c r="H1307" i="7"/>
  <c r="G1307" i="7"/>
  <c r="F1307" i="7"/>
  <c r="E1307" i="7"/>
  <c r="D1307" i="7"/>
  <c r="C1307" i="7"/>
  <c r="B1307" i="7"/>
  <c r="A1307" i="7"/>
  <c r="S1306" i="7"/>
  <c r="R1306" i="7"/>
  <c r="P1306" i="7"/>
  <c r="O1306" i="7"/>
  <c r="N1306" i="7"/>
  <c r="M1306" i="7"/>
  <c r="L1306" i="7"/>
  <c r="K1306" i="7"/>
  <c r="J1306" i="7"/>
  <c r="I1306" i="7"/>
  <c r="H1306" i="7"/>
  <c r="G1306" i="7"/>
  <c r="F1306" i="7"/>
  <c r="E1306" i="7"/>
  <c r="D1306" i="7"/>
  <c r="C1306" i="7"/>
  <c r="B1306" i="7"/>
  <c r="A1306" i="7"/>
  <c r="S1305" i="7"/>
  <c r="R1305" i="7"/>
  <c r="P1305" i="7"/>
  <c r="O1305" i="7"/>
  <c r="N1305" i="7"/>
  <c r="M1305" i="7"/>
  <c r="L1305" i="7"/>
  <c r="K1305" i="7"/>
  <c r="J1305" i="7"/>
  <c r="I1305" i="7"/>
  <c r="H1305" i="7"/>
  <c r="G1305" i="7"/>
  <c r="F1305" i="7"/>
  <c r="E1305" i="7"/>
  <c r="D1305" i="7"/>
  <c r="C1305" i="7"/>
  <c r="B1305" i="7"/>
  <c r="A1305" i="7"/>
  <c r="S1304" i="7"/>
  <c r="R1304" i="7"/>
  <c r="P1304" i="7"/>
  <c r="O1304" i="7"/>
  <c r="N1304" i="7"/>
  <c r="M1304" i="7"/>
  <c r="L1304" i="7"/>
  <c r="K1304" i="7"/>
  <c r="J1304" i="7"/>
  <c r="I1304" i="7"/>
  <c r="H1304" i="7"/>
  <c r="G1304" i="7"/>
  <c r="F1304" i="7"/>
  <c r="E1304" i="7"/>
  <c r="D1304" i="7"/>
  <c r="C1304" i="7"/>
  <c r="B1304" i="7"/>
  <c r="A1304" i="7"/>
  <c r="S1303" i="7"/>
  <c r="R1303" i="7"/>
  <c r="P1303" i="7"/>
  <c r="O1303" i="7"/>
  <c r="N1303" i="7"/>
  <c r="M1303" i="7"/>
  <c r="L1303" i="7"/>
  <c r="K1303" i="7"/>
  <c r="J1303" i="7"/>
  <c r="I1303" i="7"/>
  <c r="H1303" i="7"/>
  <c r="G1303" i="7"/>
  <c r="F1303" i="7"/>
  <c r="E1303" i="7"/>
  <c r="D1303" i="7"/>
  <c r="C1303" i="7"/>
  <c r="B1303" i="7"/>
  <c r="A1303" i="7"/>
  <c r="S1302" i="7"/>
  <c r="L1302" i="7"/>
  <c r="K1302" i="7"/>
  <c r="J1302" i="7"/>
  <c r="I1302" i="7"/>
  <c r="H1302" i="7"/>
  <c r="G1302" i="7"/>
  <c r="F1302" i="7"/>
  <c r="E1302" i="7"/>
  <c r="D1302" i="7"/>
  <c r="C1302" i="7"/>
  <c r="B1302" i="7"/>
  <c r="A1302" i="7"/>
  <c r="S1301" i="7"/>
  <c r="R1301" i="7"/>
  <c r="P1301" i="7"/>
  <c r="O1301" i="7"/>
  <c r="N1301" i="7"/>
  <c r="M1301" i="7"/>
  <c r="L1301" i="7"/>
  <c r="K1301" i="7"/>
  <c r="J1301" i="7"/>
  <c r="I1301" i="7"/>
  <c r="H1301" i="7"/>
  <c r="G1301" i="7"/>
  <c r="F1301" i="7"/>
  <c r="E1301" i="7"/>
  <c r="D1301" i="7"/>
  <c r="C1301" i="7"/>
  <c r="B1301" i="7"/>
  <c r="A1301" i="7"/>
  <c r="S1300" i="7"/>
  <c r="R1300" i="7"/>
  <c r="P1300" i="7"/>
  <c r="O1300" i="7"/>
  <c r="N1300" i="7"/>
  <c r="M1300" i="7"/>
  <c r="L1300" i="7"/>
  <c r="K1300" i="7"/>
  <c r="J1300" i="7"/>
  <c r="I1300" i="7"/>
  <c r="H1300" i="7"/>
  <c r="G1300" i="7"/>
  <c r="F1300" i="7"/>
  <c r="E1300" i="7"/>
  <c r="D1300" i="7"/>
  <c r="C1300" i="7"/>
  <c r="B1300" i="7"/>
  <c r="A1300" i="7"/>
  <c r="S1299" i="7"/>
  <c r="R1299" i="7"/>
  <c r="P1299" i="7"/>
  <c r="O1299" i="7"/>
  <c r="N1299" i="7"/>
  <c r="M1299" i="7"/>
  <c r="L1299" i="7"/>
  <c r="K1299" i="7"/>
  <c r="J1299" i="7"/>
  <c r="I1299" i="7"/>
  <c r="H1299" i="7"/>
  <c r="G1299" i="7"/>
  <c r="F1299" i="7"/>
  <c r="E1299" i="7"/>
  <c r="D1299" i="7"/>
  <c r="C1299" i="7"/>
  <c r="B1299" i="7"/>
  <c r="A1299" i="7"/>
  <c r="S1298" i="7"/>
  <c r="R1298" i="7"/>
  <c r="P1298" i="7"/>
  <c r="O1298" i="7"/>
  <c r="N1298" i="7"/>
  <c r="M1298" i="7"/>
  <c r="L1298" i="7"/>
  <c r="K1298" i="7"/>
  <c r="J1298" i="7"/>
  <c r="I1298" i="7"/>
  <c r="H1298" i="7"/>
  <c r="G1298" i="7"/>
  <c r="F1298" i="7"/>
  <c r="E1298" i="7"/>
  <c r="D1298" i="7"/>
  <c r="C1298" i="7"/>
  <c r="B1298" i="7"/>
  <c r="A1298" i="7"/>
  <c r="S1297" i="7"/>
  <c r="R1297" i="7"/>
  <c r="Q1297" i="7"/>
  <c r="P1297" i="7"/>
  <c r="O1297" i="7"/>
  <c r="N1297" i="7"/>
  <c r="M1297" i="7"/>
  <c r="L1297" i="7"/>
  <c r="K1297" i="7"/>
  <c r="J1297" i="7"/>
  <c r="I1297" i="7"/>
  <c r="H1297" i="7"/>
  <c r="G1297" i="7"/>
  <c r="F1297" i="7"/>
  <c r="E1297" i="7"/>
  <c r="D1297" i="7"/>
  <c r="C1297" i="7"/>
  <c r="B1297" i="7"/>
  <c r="A1297" i="7"/>
  <c r="S1296" i="7"/>
  <c r="R1296" i="7"/>
  <c r="P1296" i="7"/>
  <c r="O1296" i="7"/>
  <c r="N1296" i="7"/>
  <c r="M1296" i="7"/>
  <c r="L1296" i="7"/>
  <c r="K1296" i="7"/>
  <c r="J1296" i="7"/>
  <c r="I1296" i="7"/>
  <c r="H1296" i="7"/>
  <c r="G1296" i="7"/>
  <c r="F1296" i="7"/>
  <c r="E1296" i="7"/>
  <c r="D1296" i="7"/>
  <c r="C1296" i="7"/>
  <c r="B1296" i="7"/>
  <c r="A1296" i="7"/>
  <c r="S1295" i="7"/>
  <c r="R1295" i="7"/>
  <c r="P1295" i="7"/>
  <c r="O1295" i="7"/>
  <c r="N1295" i="7"/>
  <c r="M1295" i="7"/>
  <c r="L1295" i="7"/>
  <c r="K1295" i="7"/>
  <c r="J1295" i="7"/>
  <c r="I1295" i="7"/>
  <c r="H1295" i="7"/>
  <c r="G1295" i="7"/>
  <c r="F1295" i="7"/>
  <c r="E1295" i="7"/>
  <c r="D1295" i="7"/>
  <c r="C1295" i="7"/>
  <c r="B1295" i="7"/>
  <c r="A1295" i="7"/>
  <c r="S1294" i="7"/>
  <c r="R1294" i="7"/>
  <c r="P1294" i="7"/>
  <c r="O1294" i="7"/>
  <c r="N1294" i="7"/>
  <c r="M1294" i="7"/>
  <c r="L1294" i="7"/>
  <c r="K1294" i="7"/>
  <c r="J1294" i="7"/>
  <c r="I1294" i="7"/>
  <c r="H1294" i="7"/>
  <c r="G1294" i="7"/>
  <c r="F1294" i="7"/>
  <c r="E1294" i="7"/>
  <c r="D1294" i="7"/>
  <c r="C1294" i="7"/>
  <c r="B1294" i="7"/>
  <c r="A1294" i="7"/>
  <c r="S1293" i="7"/>
  <c r="R1293" i="7"/>
  <c r="P1293" i="7"/>
  <c r="O1293" i="7"/>
  <c r="N1293" i="7"/>
  <c r="M1293" i="7"/>
  <c r="L1293" i="7"/>
  <c r="K1293" i="7"/>
  <c r="J1293" i="7"/>
  <c r="I1293" i="7"/>
  <c r="H1293" i="7"/>
  <c r="G1293" i="7"/>
  <c r="F1293" i="7"/>
  <c r="E1293" i="7"/>
  <c r="D1293" i="7"/>
  <c r="C1293" i="7"/>
  <c r="B1293" i="7"/>
  <c r="A1293" i="7"/>
  <c r="S1292" i="7"/>
  <c r="R1292" i="7"/>
  <c r="P1292" i="7"/>
  <c r="O1292" i="7"/>
  <c r="N1292" i="7"/>
  <c r="M1292" i="7"/>
  <c r="L1292" i="7"/>
  <c r="K1292" i="7"/>
  <c r="J1292" i="7"/>
  <c r="I1292" i="7"/>
  <c r="H1292" i="7"/>
  <c r="G1292" i="7"/>
  <c r="F1292" i="7"/>
  <c r="E1292" i="7"/>
  <c r="C1292" i="7"/>
  <c r="B1292" i="7"/>
  <c r="A1292" i="7"/>
  <c r="S1291" i="7"/>
  <c r="R1291" i="7"/>
  <c r="P1291" i="7"/>
  <c r="O1291" i="7"/>
  <c r="N1291" i="7"/>
  <c r="M1291" i="7"/>
  <c r="L1291" i="7"/>
  <c r="K1291" i="7"/>
  <c r="J1291" i="7"/>
  <c r="I1291" i="7"/>
  <c r="H1291" i="7"/>
  <c r="G1291" i="7"/>
  <c r="F1291" i="7"/>
  <c r="E1291" i="7"/>
  <c r="D1291" i="7"/>
  <c r="C1291" i="7"/>
  <c r="B1291" i="7"/>
  <c r="A1291" i="7"/>
  <c r="S1290" i="7"/>
  <c r="R1290" i="7"/>
  <c r="P1290" i="7"/>
  <c r="O1290" i="7"/>
  <c r="N1290" i="7"/>
  <c r="M1290" i="7"/>
  <c r="L1290" i="7"/>
  <c r="K1290" i="7"/>
  <c r="J1290" i="7"/>
  <c r="I1290" i="7"/>
  <c r="H1290" i="7"/>
  <c r="G1290" i="7"/>
  <c r="F1290" i="7"/>
  <c r="E1290" i="7"/>
  <c r="D1290" i="7"/>
  <c r="C1290" i="7"/>
  <c r="B1290" i="7"/>
  <c r="A1290" i="7"/>
  <c r="S1289" i="7"/>
  <c r="R1289" i="7"/>
  <c r="P1289" i="7"/>
  <c r="O1289" i="7"/>
  <c r="N1289" i="7"/>
  <c r="M1289" i="7"/>
  <c r="L1289" i="7"/>
  <c r="K1289" i="7"/>
  <c r="J1289" i="7"/>
  <c r="I1289" i="7"/>
  <c r="H1289" i="7"/>
  <c r="G1289" i="7"/>
  <c r="F1289" i="7"/>
  <c r="E1289" i="7"/>
  <c r="D1289" i="7"/>
  <c r="C1289" i="7"/>
  <c r="B1289" i="7"/>
  <c r="A1289" i="7"/>
  <c r="S1288" i="7"/>
  <c r="R1288" i="7"/>
  <c r="P1288" i="7"/>
  <c r="O1288" i="7"/>
  <c r="N1288" i="7"/>
  <c r="M1288" i="7"/>
  <c r="L1288" i="7"/>
  <c r="K1288" i="7"/>
  <c r="J1288" i="7"/>
  <c r="I1288" i="7"/>
  <c r="H1288" i="7"/>
  <c r="G1288" i="7"/>
  <c r="F1288" i="7"/>
  <c r="E1288" i="7"/>
  <c r="D1288" i="7"/>
  <c r="C1288" i="7"/>
  <c r="B1288" i="7"/>
  <c r="A1288" i="7"/>
  <c r="S1287" i="7"/>
  <c r="R1287" i="7"/>
  <c r="P1287" i="7"/>
  <c r="O1287" i="7"/>
  <c r="N1287" i="7"/>
  <c r="M1287" i="7"/>
  <c r="L1287" i="7"/>
  <c r="K1287" i="7"/>
  <c r="J1287" i="7"/>
  <c r="I1287" i="7"/>
  <c r="H1287" i="7"/>
  <c r="G1287" i="7"/>
  <c r="F1287" i="7"/>
  <c r="E1287" i="7"/>
  <c r="D1287" i="7"/>
  <c r="C1287" i="7"/>
  <c r="B1287" i="7"/>
  <c r="A1287" i="7"/>
  <c r="S1286" i="7"/>
  <c r="R1286" i="7"/>
  <c r="Q1286" i="7"/>
  <c r="P1286" i="7"/>
  <c r="O1286" i="7"/>
  <c r="N1286" i="7"/>
  <c r="M1286" i="7"/>
  <c r="L1286" i="7"/>
  <c r="K1286" i="7"/>
  <c r="J1286" i="7"/>
  <c r="I1286" i="7"/>
  <c r="H1286" i="7"/>
  <c r="G1286" i="7"/>
  <c r="F1286" i="7"/>
  <c r="E1286" i="7"/>
  <c r="D1286" i="7"/>
  <c r="C1286" i="7"/>
  <c r="B1286" i="7"/>
  <c r="A1286" i="7"/>
  <c r="S1285" i="7"/>
  <c r="R1285" i="7"/>
  <c r="P1285" i="7"/>
  <c r="O1285" i="7"/>
  <c r="N1285" i="7"/>
  <c r="M1285" i="7"/>
  <c r="L1285" i="7"/>
  <c r="K1285" i="7"/>
  <c r="J1285" i="7"/>
  <c r="I1285" i="7"/>
  <c r="H1285" i="7"/>
  <c r="G1285" i="7"/>
  <c r="F1285" i="7"/>
  <c r="E1285" i="7"/>
  <c r="D1285" i="7"/>
  <c r="C1285" i="7"/>
  <c r="B1285" i="7"/>
  <c r="A1285" i="7"/>
  <c r="S1284" i="7"/>
  <c r="M1284" i="7"/>
  <c r="L1284" i="7"/>
  <c r="K1284" i="7"/>
  <c r="J1284" i="7"/>
  <c r="I1284" i="7"/>
  <c r="H1284" i="7"/>
  <c r="G1284" i="7"/>
  <c r="F1284" i="7"/>
  <c r="E1284" i="7"/>
  <c r="D1284" i="7"/>
  <c r="C1284" i="7"/>
  <c r="B1284" i="7"/>
  <c r="A1284" i="7"/>
  <c r="S1283" i="7"/>
  <c r="R1283" i="7"/>
  <c r="P1283" i="7"/>
  <c r="O1283" i="7"/>
  <c r="N1283" i="7"/>
  <c r="M1283" i="7"/>
  <c r="L1283" i="7"/>
  <c r="K1283" i="7"/>
  <c r="J1283" i="7"/>
  <c r="I1283" i="7"/>
  <c r="H1283" i="7"/>
  <c r="G1283" i="7"/>
  <c r="F1283" i="7"/>
  <c r="E1283" i="7"/>
  <c r="D1283" i="7"/>
  <c r="C1283" i="7"/>
  <c r="B1283" i="7"/>
  <c r="A1283" i="7"/>
  <c r="S1282" i="7"/>
  <c r="R1282" i="7"/>
  <c r="P1282" i="7"/>
  <c r="O1282" i="7"/>
  <c r="N1282" i="7"/>
  <c r="M1282" i="7"/>
  <c r="L1282" i="7"/>
  <c r="K1282" i="7"/>
  <c r="J1282" i="7"/>
  <c r="I1282" i="7"/>
  <c r="H1282" i="7"/>
  <c r="G1282" i="7"/>
  <c r="F1282" i="7"/>
  <c r="E1282" i="7"/>
  <c r="D1282" i="7"/>
  <c r="C1282" i="7"/>
  <c r="B1282" i="7"/>
  <c r="A1282" i="7"/>
  <c r="S1281" i="7"/>
  <c r="R1281" i="7"/>
  <c r="P1281" i="7"/>
  <c r="O1281" i="7"/>
  <c r="N1281" i="7"/>
  <c r="M1281" i="7"/>
  <c r="L1281" i="7"/>
  <c r="K1281" i="7"/>
  <c r="J1281" i="7"/>
  <c r="I1281" i="7"/>
  <c r="H1281" i="7"/>
  <c r="G1281" i="7"/>
  <c r="F1281" i="7"/>
  <c r="E1281" i="7"/>
  <c r="D1281" i="7"/>
  <c r="C1281" i="7"/>
  <c r="B1281" i="7"/>
  <c r="A1281" i="7"/>
  <c r="S1280" i="7"/>
  <c r="M1280" i="7"/>
  <c r="L1280" i="7"/>
  <c r="K1280" i="7"/>
  <c r="J1280" i="7"/>
  <c r="I1280" i="7"/>
  <c r="H1280" i="7"/>
  <c r="G1280" i="7"/>
  <c r="F1280" i="7"/>
  <c r="E1280" i="7"/>
  <c r="D1280" i="7"/>
  <c r="C1280" i="7"/>
  <c r="B1280" i="7"/>
  <c r="A1280" i="7"/>
  <c r="S1279" i="7"/>
  <c r="R1279" i="7"/>
  <c r="Q1279" i="7"/>
  <c r="P1279" i="7"/>
  <c r="O1279" i="7"/>
  <c r="N1279" i="7"/>
  <c r="M1279" i="7"/>
  <c r="L1279" i="7"/>
  <c r="K1279" i="7"/>
  <c r="J1279" i="7"/>
  <c r="I1279" i="7"/>
  <c r="H1279" i="7"/>
  <c r="G1279" i="7"/>
  <c r="F1279" i="7"/>
  <c r="E1279" i="7"/>
  <c r="D1279" i="7"/>
  <c r="C1279" i="7"/>
  <c r="B1279" i="7"/>
  <c r="A1279" i="7"/>
  <c r="S1278" i="7"/>
  <c r="R1278" i="7"/>
  <c r="Q1278" i="7"/>
  <c r="P1278" i="7"/>
  <c r="O1278" i="7"/>
  <c r="N1278" i="7"/>
  <c r="M1278" i="7"/>
  <c r="L1278" i="7"/>
  <c r="K1278" i="7"/>
  <c r="J1278" i="7"/>
  <c r="I1278" i="7"/>
  <c r="H1278" i="7"/>
  <c r="G1278" i="7"/>
  <c r="F1278" i="7"/>
  <c r="E1278" i="7"/>
  <c r="D1278" i="7"/>
  <c r="C1278" i="7"/>
  <c r="B1278" i="7"/>
  <c r="A1278" i="7"/>
  <c r="S1277" i="7"/>
  <c r="R1277" i="7"/>
  <c r="P1277" i="7"/>
  <c r="O1277" i="7"/>
  <c r="N1277" i="7"/>
  <c r="M1277" i="7"/>
  <c r="L1277" i="7"/>
  <c r="K1277" i="7"/>
  <c r="J1277" i="7"/>
  <c r="I1277" i="7"/>
  <c r="H1277" i="7"/>
  <c r="G1277" i="7"/>
  <c r="F1277" i="7"/>
  <c r="E1277" i="7"/>
  <c r="D1277" i="7"/>
  <c r="C1277" i="7"/>
  <c r="B1277" i="7"/>
  <c r="A1277" i="7"/>
  <c r="S1276" i="7"/>
  <c r="R1276" i="7"/>
  <c r="P1276" i="7"/>
  <c r="O1276" i="7"/>
  <c r="N1276" i="7"/>
  <c r="M1276" i="7"/>
  <c r="L1276" i="7"/>
  <c r="K1276" i="7"/>
  <c r="J1276" i="7"/>
  <c r="I1276" i="7"/>
  <c r="H1276" i="7"/>
  <c r="G1276" i="7"/>
  <c r="F1276" i="7"/>
  <c r="E1276" i="7"/>
  <c r="D1276" i="7"/>
  <c r="C1276" i="7"/>
  <c r="B1276" i="7"/>
  <c r="A1276" i="7"/>
  <c r="S1275" i="7"/>
  <c r="M1275" i="7"/>
  <c r="L1275" i="7"/>
  <c r="K1275" i="7"/>
  <c r="J1275" i="7"/>
  <c r="I1275" i="7"/>
  <c r="H1275" i="7"/>
  <c r="G1275" i="7"/>
  <c r="F1275" i="7"/>
  <c r="E1275" i="7"/>
  <c r="D1275" i="7"/>
  <c r="C1275" i="7"/>
  <c r="B1275" i="7"/>
  <c r="A1275" i="7"/>
  <c r="S1274" i="7"/>
  <c r="R1274" i="7"/>
  <c r="P1274" i="7"/>
  <c r="O1274" i="7"/>
  <c r="N1274" i="7"/>
  <c r="M1274" i="7"/>
  <c r="L1274" i="7"/>
  <c r="K1274" i="7"/>
  <c r="J1274" i="7"/>
  <c r="I1274" i="7"/>
  <c r="H1274" i="7"/>
  <c r="G1274" i="7"/>
  <c r="F1274" i="7"/>
  <c r="E1274" i="7"/>
  <c r="D1274" i="7"/>
  <c r="C1274" i="7"/>
  <c r="B1274" i="7"/>
  <c r="A1274" i="7"/>
  <c r="S1273" i="7"/>
  <c r="R1273" i="7"/>
  <c r="P1273" i="7"/>
  <c r="O1273" i="7"/>
  <c r="N1273" i="7"/>
  <c r="M1273" i="7"/>
  <c r="L1273" i="7"/>
  <c r="K1273" i="7"/>
  <c r="J1273" i="7"/>
  <c r="I1273" i="7"/>
  <c r="H1273" i="7"/>
  <c r="G1273" i="7"/>
  <c r="F1273" i="7"/>
  <c r="E1273" i="7"/>
  <c r="D1273" i="7"/>
  <c r="C1273" i="7"/>
  <c r="B1273" i="7"/>
  <c r="A1273" i="7"/>
  <c r="S1272" i="7"/>
  <c r="R1272" i="7"/>
  <c r="P1272" i="7"/>
  <c r="O1272" i="7"/>
  <c r="N1272" i="7"/>
  <c r="M1272" i="7"/>
  <c r="L1272" i="7"/>
  <c r="K1272" i="7"/>
  <c r="J1272" i="7"/>
  <c r="I1272" i="7"/>
  <c r="H1272" i="7"/>
  <c r="G1272" i="7"/>
  <c r="F1272" i="7"/>
  <c r="E1272" i="7"/>
  <c r="D1272" i="7"/>
  <c r="C1272" i="7"/>
  <c r="B1272" i="7"/>
  <c r="A1272" i="7"/>
  <c r="T1271" i="7"/>
  <c r="S1271" i="7"/>
  <c r="R1271" i="7"/>
  <c r="Q1271" i="7"/>
  <c r="P1271" i="7"/>
  <c r="O1271" i="7"/>
  <c r="N1271" i="7"/>
  <c r="M1271" i="7"/>
  <c r="L1271" i="7"/>
  <c r="K1271" i="7"/>
  <c r="J1271" i="7"/>
  <c r="I1271" i="7"/>
  <c r="H1271" i="7"/>
  <c r="G1271" i="7"/>
  <c r="F1271" i="7"/>
  <c r="E1271" i="7"/>
  <c r="D1271" i="7"/>
  <c r="C1271" i="7"/>
  <c r="B1271" i="7"/>
  <c r="A1271" i="7"/>
  <c r="S1270" i="7"/>
  <c r="R1270" i="7"/>
  <c r="P1270" i="7"/>
  <c r="O1270" i="7"/>
  <c r="N1270" i="7"/>
  <c r="M1270" i="7"/>
  <c r="L1270" i="7"/>
  <c r="K1270" i="7"/>
  <c r="J1270" i="7"/>
  <c r="I1270" i="7"/>
  <c r="H1270" i="7"/>
  <c r="G1270" i="7"/>
  <c r="F1270" i="7"/>
  <c r="E1270" i="7"/>
  <c r="D1270" i="7"/>
  <c r="C1270" i="7"/>
  <c r="B1270" i="7"/>
  <c r="A1270" i="7"/>
  <c r="S1269" i="7"/>
  <c r="R1269" i="7"/>
  <c r="P1269" i="7"/>
  <c r="O1269" i="7"/>
  <c r="N1269" i="7"/>
  <c r="M1269" i="7"/>
  <c r="L1269" i="7"/>
  <c r="K1269" i="7"/>
  <c r="J1269" i="7"/>
  <c r="I1269" i="7"/>
  <c r="H1269" i="7"/>
  <c r="G1269" i="7"/>
  <c r="F1269" i="7"/>
  <c r="E1269" i="7"/>
  <c r="D1269" i="7"/>
  <c r="C1269" i="7"/>
  <c r="B1269" i="7"/>
  <c r="A1269" i="7"/>
  <c r="S1268" i="7"/>
  <c r="R1268" i="7"/>
  <c r="P1268" i="7"/>
  <c r="O1268" i="7"/>
  <c r="N1268" i="7"/>
  <c r="M1268" i="7"/>
  <c r="L1268" i="7"/>
  <c r="K1268" i="7"/>
  <c r="J1268" i="7"/>
  <c r="I1268" i="7"/>
  <c r="H1268" i="7"/>
  <c r="G1268" i="7"/>
  <c r="F1268" i="7"/>
  <c r="E1268" i="7"/>
  <c r="D1268" i="7"/>
  <c r="C1268" i="7"/>
  <c r="B1268" i="7"/>
  <c r="A1268" i="7"/>
  <c r="S1267" i="7"/>
  <c r="R1267" i="7"/>
  <c r="P1267" i="7"/>
  <c r="O1267" i="7"/>
  <c r="N1267" i="7"/>
  <c r="M1267" i="7"/>
  <c r="L1267" i="7"/>
  <c r="K1267" i="7"/>
  <c r="J1267" i="7"/>
  <c r="I1267" i="7"/>
  <c r="H1267" i="7"/>
  <c r="G1267" i="7"/>
  <c r="F1267" i="7"/>
  <c r="E1267" i="7"/>
  <c r="D1267" i="7"/>
  <c r="C1267" i="7"/>
  <c r="B1267" i="7"/>
  <c r="A1267" i="7"/>
  <c r="S1266" i="7"/>
  <c r="R1266" i="7"/>
  <c r="Q1266" i="7"/>
  <c r="P1266" i="7"/>
  <c r="O1266" i="7"/>
  <c r="N1266" i="7"/>
  <c r="M1266" i="7"/>
  <c r="L1266" i="7"/>
  <c r="K1266" i="7"/>
  <c r="J1266" i="7"/>
  <c r="I1266" i="7"/>
  <c r="H1266" i="7"/>
  <c r="G1266" i="7"/>
  <c r="F1266" i="7"/>
  <c r="E1266" i="7"/>
  <c r="D1266" i="7"/>
  <c r="C1266" i="7"/>
  <c r="B1266" i="7"/>
  <c r="A1266" i="7"/>
  <c r="S1265" i="7"/>
  <c r="R1265" i="7"/>
  <c r="P1265" i="7"/>
  <c r="O1265" i="7"/>
  <c r="N1265" i="7"/>
  <c r="M1265" i="7"/>
  <c r="L1265" i="7"/>
  <c r="K1265" i="7"/>
  <c r="J1265" i="7"/>
  <c r="I1265" i="7"/>
  <c r="H1265" i="7"/>
  <c r="G1265" i="7"/>
  <c r="F1265" i="7"/>
  <c r="E1265" i="7"/>
  <c r="D1265" i="7"/>
  <c r="C1265" i="7"/>
  <c r="B1265" i="7"/>
  <c r="A1265" i="7"/>
  <c r="S1264" i="7"/>
  <c r="R1264" i="7"/>
  <c r="P1264" i="7"/>
  <c r="O1264" i="7"/>
  <c r="N1264" i="7"/>
  <c r="M1264" i="7"/>
  <c r="L1264" i="7"/>
  <c r="K1264" i="7"/>
  <c r="J1264" i="7"/>
  <c r="I1264" i="7"/>
  <c r="H1264" i="7"/>
  <c r="G1264" i="7"/>
  <c r="F1264" i="7"/>
  <c r="E1264" i="7"/>
  <c r="D1264" i="7"/>
  <c r="C1264" i="7"/>
  <c r="B1264" i="7"/>
  <c r="A1264" i="7"/>
  <c r="S1263" i="7"/>
  <c r="R1263" i="7"/>
  <c r="P1263" i="7"/>
  <c r="O1263" i="7"/>
  <c r="N1263" i="7"/>
  <c r="M1263" i="7"/>
  <c r="L1263" i="7"/>
  <c r="K1263" i="7"/>
  <c r="J1263" i="7"/>
  <c r="I1263" i="7"/>
  <c r="H1263" i="7"/>
  <c r="G1263" i="7"/>
  <c r="F1263" i="7"/>
  <c r="E1263" i="7"/>
  <c r="D1263" i="7"/>
  <c r="C1263" i="7"/>
  <c r="B1263" i="7"/>
  <c r="A1263" i="7"/>
  <c r="S1262" i="7"/>
  <c r="R1262" i="7"/>
  <c r="P1262" i="7"/>
  <c r="O1262" i="7"/>
  <c r="N1262" i="7"/>
  <c r="M1262" i="7"/>
  <c r="L1262" i="7"/>
  <c r="K1262" i="7"/>
  <c r="J1262" i="7"/>
  <c r="I1262" i="7"/>
  <c r="H1262" i="7"/>
  <c r="G1262" i="7"/>
  <c r="F1262" i="7"/>
  <c r="E1262" i="7"/>
  <c r="D1262" i="7"/>
  <c r="C1262" i="7"/>
  <c r="B1262" i="7"/>
  <c r="A1262" i="7"/>
  <c r="S1261" i="7"/>
  <c r="R1261" i="7"/>
  <c r="P1261" i="7"/>
  <c r="O1261" i="7"/>
  <c r="N1261" i="7"/>
  <c r="M1261" i="7"/>
  <c r="L1261" i="7"/>
  <c r="K1261" i="7"/>
  <c r="J1261" i="7"/>
  <c r="I1261" i="7"/>
  <c r="H1261" i="7"/>
  <c r="G1261" i="7"/>
  <c r="F1261" i="7"/>
  <c r="E1261" i="7"/>
  <c r="D1261" i="7"/>
  <c r="C1261" i="7"/>
  <c r="B1261" i="7"/>
  <c r="A1261" i="7"/>
  <c r="S1260" i="7"/>
  <c r="R1260" i="7"/>
  <c r="Q1260" i="7"/>
  <c r="P1260" i="7"/>
  <c r="O1260" i="7"/>
  <c r="N1260" i="7"/>
  <c r="M1260" i="7"/>
  <c r="L1260" i="7"/>
  <c r="K1260" i="7"/>
  <c r="J1260" i="7"/>
  <c r="I1260" i="7"/>
  <c r="H1260" i="7"/>
  <c r="G1260" i="7"/>
  <c r="F1260" i="7"/>
  <c r="E1260" i="7"/>
  <c r="D1260" i="7"/>
  <c r="C1260" i="7"/>
  <c r="B1260" i="7"/>
  <c r="A1260" i="7"/>
  <c r="S1259" i="7"/>
  <c r="R1259" i="7"/>
  <c r="P1259" i="7"/>
  <c r="O1259" i="7"/>
  <c r="N1259" i="7"/>
  <c r="M1259" i="7"/>
  <c r="L1259" i="7"/>
  <c r="K1259" i="7"/>
  <c r="J1259" i="7"/>
  <c r="I1259" i="7"/>
  <c r="H1259" i="7"/>
  <c r="G1259" i="7"/>
  <c r="F1259" i="7"/>
  <c r="E1259" i="7"/>
  <c r="D1259" i="7"/>
  <c r="C1259" i="7"/>
  <c r="B1259" i="7"/>
  <c r="A1259" i="7"/>
  <c r="S1258" i="7"/>
  <c r="R1258" i="7"/>
  <c r="P1258" i="7"/>
  <c r="O1258" i="7"/>
  <c r="N1258" i="7"/>
  <c r="M1258" i="7"/>
  <c r="L1258" i="7"/>
  <c r="K1258" i="7"/>
  <c r="J1258" i="7"/>
  <c r="I1258" i="7"/>
  <c r="H1258" i="7"/>
  <c r="G1258" i="7"/>
  <c r="F1258" i="7"/>
  <c r="E1258" i="7"/>
  <c r="D1258" i="7"/>
  <c r="C1258" i="7"/>
  <c r="B1258" i="7"/>
  <c r="A1258" i="7"/>
  <c r="S1257" i="7"/>
  <c r="R1257" i="7"/>
  <c r="P1257" i="7"/>
  <c r="O1257" i="7"/>
  <c r="N1257" i="7"/>
  <c r="M1257" i="7"/>
  <c r="L1257" i="7"/>
  <c r="K1257" i="7"/>
  <c r="J1257" i="7"/>
  <c r="I1257" i="7"/>
  <c r="H1257" i="7"/>
  <c r="G1257" i="7"/>
  <c r="F1257" i="7"/>
  <c r="E1257" i="7"/>
  <c r="D1257" i="7"/>
  <c r="C1257" i="7"/>
  <c r="B1257" i="7"/>
  <c r="A1257" i="7"/>
  <c r="S1256" i="7"/>
  <c r="R1256" i="7"/>
  <c r="P1256" i="7"/>
  <c r="O1256" i="7"/>
  <c r="N1256" i="7"/>
  <c r="M1256" i="7"/>
  <c r="L1256" i="7"/>
  <c r="K1256" i="7"/>
  <c r="J1256" i="7"/>
  <c r="I1256" i="7"/>
  <c r="H1256" i="7"/>
  <c r="G1256" i="7"/>
  <c r="F1256" i="7"/>
  <c r="E1256" i="7"/>
  <c r="D1256" i="7"/>
  <c r="C1256" i="7"/>
  <c r="B1256" i="7"/>
  <c r="A1256" i="7"/>
  <c r="S1255" i="7"/>
  <c r="R1255" i="7"/>
  <c r="P1255" i="7"/>
  <c r="O1255" i="7"/>
  <c r="N1255" i="7"/>
  <c r="M1255" i="7"/>
  <c r="L1255" i="7"/>
  <c r="K1255" i="7"/>
  <c r="J1255" i="7"/>
  <c r="I1255" i="7"/>
  <c r="H1255" i="7"/>
  <c r="G1255" i="7"/>
  <c r="F1255" i="7"/>
  <c r="E1255" i="7"/>
  <c r="D1255" i="7"/>
  <c r="C1255" i="7"/>
  <c r="B1255" i="7"/>
  <c r="A1255" i="7"/>
  <c r="T1254" i="7"/>
  <c r="S1254" i="7"/>
  <c r="R1254" i="7"/>
  <c r="Q1254" i="7"/>
  <c r="P1254" i="7"/>
  <c r="O1254" i="7"/>
  <c r="N1254" i="7"/>
  <c r="M1254" i="7"/>
  <c r="L1254" i="7"/>
  <c r="K1254" i="7"/>
  <c r="J1254" i="7"/>
  <c r="I1254" i="7"/>
  <c r="H1254" i="7"/>
  <c r="G1254" i="7"/>
  <c r="F1254" i="7"/>
  <c r="E1254" i="7"/>
  <c r="D1254" i="7"/>
  <c r="C1254" i="7"/>
  <c r="B1254" i="7"/>
  <c r="A1254" i="7"/>
  <c r="S1253" i="7"/>
  <c r="R1253" i="7"/>
  <c r="P1253" i="7"/>
  <c r="O1253" i="7"/>
  <c r="N1253" i="7"/>
  <c r="M1253" i="7"/>
  <c r="L1253" i="7"/>
  <c r="K1253" i="7"/>
  <c r="J1253" i="7"/>
  <c r="I1253" i="7"/>
  <c r="H1253" i="7"/>
  <c r="G1253" i="7"/>
  <c r="F1253" i="7"/>
  <c r="E1253" i="7"/>
  <c r="D1253" i="7"/>
  <c r="C1253" i="7"/>
  <c r="B1253" i="7"/>
  <c r="A1253" i="7"/>
  <c r="S1252" i="7"/>
  <c r="R1252" i="7"/>
  <c r="Q1252" i="7"/>
  <c r="P1252" i="7"/>
  <c r="O1252" i="7"/>
  <c r="N1252" i="7"/>
  <c r="M1252" i="7"/>
  <c r="L1252" i="7"/>
  <c r="K1252" i="7"/>
  <c r="J1252" i="7"/>
  <c r="I1252" i="7"/>
  <c r="H1252" i="7"/>
  <c r="G1252" i="7"/>
  <c r="F1252" i="7"/>
  <c r="E1252" i="7"/>
  <c r="D1252" i="7"/>
  <c r="C1252" i="7"/>
  <c r="B1252" i="7"/>
  <c r="A1252" i="7"/>
  <c r="S1251" i="7"/>
  <c r="R1251" i="7"/>
  <c r="P1251" i="7"/>
  <c r="O1251" i="7"/>
  <c r="N1251" i="7"/>
  <c r="M1251" i="7"/>
  <c r="L1251" i="7"/>
  <c r="K1251" i="7"/>
  <c r="J1251" i="7"/>
  <c r="I1251" i="7"/>
  <c r="H1251" i="7"/>
  <c r="G1251" i="7"/>
  <c r="F1251" i="7"/>
  <c r="E1251" i="7"/>
  <c r="D1251" i="7"/>
  <c r="C1251" i="7"/>
  <c r="B1251" i="7"/>
  <c r="A1251" i="7"/>
  <c r="T1250" i="7"/>
  <c r="S1250" i="7"/>
  <c r="R1250" i="7"/>
  <c r="Q1250" i="7"/>
  <c r="P1250" i="7"/>
  <c r="O1250" i="7"/>
  <c r="N1250" i="7"/>
  <c r="M1250" i="7"/>
  <c r="L1250" i="7"/>
  <c r="K1250" i="7"/>
  <c r="J1250" i="7"/>
  <c r="I1250" i="7"/>
  <c r="H1250" i="7"/>
  <c r="G1250" i="7"/>
  <c r="F1250" i="7"/>
  <c r="E1250" i="7"/>
  <c r="D1250" i="7"/>
  <c r="C1250" i="7"/>
  <c r="B1250" i="7"/>
  <c r="A1250" i="7"/>
  <c r="S1249" i="7"/>
  <c r="M1249" i="7"/>
  <c r="L1249" i="7"/>
  <c r="K1249" i="7"/>
  <c r="J1249" i="7"/>
  <c r="I1249" i="7"/>
  <c r="H1249" i="7"/>
  <c r="G1249" i="7"/>
  <c r="F1249" i="7"/>
  <c r="E1249" i="7"/>
  <c r="D1249" i="7"/>
  <c r="C1249" i="7"/>
  <c r="B1249" i="7"/>
  <c r="A1249" i="7"/>
  <c r="S1248" i="7"/>
  <c r="R1248" i="7"/>
  <c r="P1248" i="7"/>
  <c r="O1248" i="7"/>
  <c r="N1248" i="7"/>
  <c r="M1248" i="7"/>
  <c r="L1248" i="7"/>
  <c r="K1248" i="7"/>
  <c r="J1248" i="7"/>
  <c r="I1248" i="7"/>
  <c r="H1248" i="7"/>
  <c r="G1248" i="7"/>
  <c r="F1248" i="7"/>
  <c r="E1248" i="7"/>
  <c r="D1248" i="7"/>
  <c r="C1248" i="7"/>
  <c r="B1248" i="7"/>
  <c r="A1248" i="7"/>
  <c r="T1247" i="7"/>
  <c r="S1247" i="7"/>
  <c r="R1247" i="7"/>
  <c r="Q1247" i="7"/>
  <c r="P1247" i="7"/>
  <c r="O1247" i="7"/>
  <c r="N1247" i="7"/>
  <c r="M1247" i="7"/>
  <c r="L1247" i="7"/>
  <c r="K1247" i="7"/>
  <c r="J1247" i="7"/>
  <c r="I1247" i="7"/>
  <c r="H1247" i="7"/>
  <c r="G1247" i="7"/>
  <c r="F1247" i="7"/>
  <c r="E1247" i="7"/>
  <c r="D1247" i="7"/>
  <c r="C1247" i="7"/>
  <c r="B1247" i="7"/>
  <c r="A1247" i="7"/>
  <c r="T1246" i="7"/>
  <c r="S1246" i="7"/>
  <c r="R1246" i="7"/>
  <c r="Q1246" i="7"/>
  <c r="P1246" i="7"/>
  <c r="O1246" i="7"/>
  <c r="N1246" i="7"/>
  <c r="M1246" i="7"/>
  <c r="L1246" i="7"/>
  <c r="K1246" i="7"/>
  <c r="J1246" i="7"/>
  <c r="I1246" i="7"/>
  <c r="H1246" i="7"/>
  <c r="G1246" i="7"/>
  <c r="F1246" i="7"/>
  <c r="E1246" i="7"/>
  <c r="D1246" i="7"/>
  <c r="C1246" i="7"/>
  <c r="B1246" i="7"/>
  <c r="A1246" i="7"/>
  <c r="S1245" i="7"/>
  <c r="R1245" i="7"/>
  <c r="Q1245" i="7"/>
  <c r="P1245" i="7"/>
  <c r="O1245" i="7"/>
  <c r="N1245" i="7"/>
  <c r="M1245" i="7"/>
  <c r="L1245" i="7"/>
  <c r="K1245" i="7"/>
  <c r="J1245" i="7"/>
  <c r="I1245" i="7"/>
  <c r="H1245" i="7"/>
  <c r="G1245" i="7"/>
  <c r="F1245" i="7"/>
  <c r="E1245" i="7"/>
  <c r="D1245" i="7"/>
  <c r="C1245" i="7"/>
  <c r="B1245" i="7"/>
  <c r="A1245" i="7"/>
  <c r="S1244" i="7"/>
  <c r="R1244" i="7"/>
  <c r="Q1244" i="7"/>
  <c r="P1244" i="7"/>
  <c r="O1244" i="7"/>
  <c r="N1244" i="7"/>
  <c r="M1244" i="7"/>
  <c r="L1244" i="7"/>
  <c r="K1244" i="7"/>
  <c r="J1244" i="7"/>
  <c r="I1244" i="7"/>
  <c r="H1244" i="7"/>
  <c r="G1244" i="7"/>
  <c r="F1244" i="7"/>
  <c r="E1244" i="7"/>
  <c r="D1244" i="7"/>
  <c r="C1244" i="7"/>
  <c r="B1244" i="7"/>
  <c r="A1244" i="7"/>
  <c r="S1243" i="7"/>
  <c r="R1243" i="7"/>
  <c r="P1243" i="7"/>
  <c r="O1243" i="7"/>
  <c r="N1243" i="7"/>
  <c r="M1243" i="7"/>
  <c r="L1243" i="7"/>
  <c r="K1243" i="7"/>
  <c r="J1243" i="7"/>
  <c r="I1243" i="7"/>
  <c r="H1243" i="7"/>
  <c r="G1243" i="7"/>
  <c r="F1243" i="7"/>
  <c r="E1243" i="7"/>
  <c r="D1243" i="7"/>
  <c r="C1243" i="7"/>
  <c r="B1243" i="7"/>
  <c r="A1243" i="7"/>
  <c r="S1242" i="7"/>
  <c r="R1242" i="7"/>
  <c r="P1242" i="7"/>
  <c r="O1242" i="7"/>
  <c r="N1242" i="7"/>
  <c r="M1242" i="7"/>
  <c r="L1242" i="7"/>
  <c r="K1242" i="7"/>
  <c r="J1242" i="7"/>
  <c r="I1242" i="7"/>
  <c r="H1242" i="7"/>
  <c r="G1242" i="7"/>
  <c r="F1242" i="7"/>
  <c r="E1242" i="7"/>
  <c r="D1242" i="7"/>
  <c r="C1242" i="7"/>
  <c r="B1242" i="7"/>
  <c r="A1242" i="7"/>
  <c r="S1241" i="7"/>
  <c r="R1241" i="7"/>
  <c r="P1241" i="7"/>
  <c r="O1241" i="7"/>
  <c r="N1241" i="7"/>
  <c r="M1241" i="7"/>
  <c r="L1241" i="7"/>
  <c r="K1241" i="7"/>
  <c r="J1241" i="7"/>
  <c r="I1241" i="7"/>
  <c r="H1241" i="7"/>
  <c r="G1241" i="7"/>
  <c r="F1241" i="7"/>
  <c r="E1241" i="7"/>
  <c r="D1241" i="7"/>
  <c r="C1241" i="7"/>
  <c r="B1241" i="7"/>
  <c r="A1241" i="7"/>
  <c r="S1240" i="7"/>
  <c r="R1240" i="7"/>
  <c r="Q1240" i="7"/>
  <c r="P1240" i="7"/>
  <c r="O1240" i="7"/>
  <c r="N1240" i="7"/>
  <c r="M1240" i="7"/>
  <c r="L1240" i="7"/>
  <c r="K1240" i="7"/>
  <c r="J1240" i="7"/>
  <c r="I1240" i="7"/>
  <c r="H1240" i="7"/>
  <c r="G1240" i="7"/>
  <c r="F1240" i="7"/>
  <c r="E1240" i="7"/>
  <c r="D1240" i="7"/>
  <c r="C1240" i="7"/>
  <c r="B1240" i="7"/>
  <c r="A1240" i="7"/>
  <c r="S1239" i="7"/>
  <c r="R1239" i="7"/>
  <c r="P1239" i="7"/>
  <c r="O1239" i="7"/>
  <c r="N1239" i="7"/>
  <c r="M1239" i="7"/>
  <c r="L1239" i="7"/>
  <c r="K1239" i="7"/>
  <c r="J1239" i="7"/>
  <c r="I1239" i="7"/>
  <c r="H1239" i="7"/>
  <c r="G1239" i="7"/>
  <c r="F1239" i="7"/>
  <c r="E1239" i="7"/>
  <c r="D1239" i="7"/>
  <c r="C1239" i="7"/>
  <c r="B1239" i="7"/>
  <c r="A1239" i="7"/>
  <c r="S1238" i="7"/>
  <c r="M1238" i="7"/>
  <c r="L1238" i="7"/>
  <c r="K1238" i="7"/>
  <c r="J1238" i="7"/>
  <c r="I1238" i="7"/>
  <c r="H1238" i="7"/>
  <c r="G1238" i="7"/>
  <c r="F1238" i="7"/>
  <c r="E1238" i="7"/>
  <c r="D1238" i="7"/>
  <c r="C1238" i="7"/>
  <c r="B1238" i="7"/>
  <c r="A1238" i="7"/>
  <c r="S1237" i="7"/>
  <c r="R1237" i="7"/>
  <c r="Q1237" i="7"/>
  <c r="P1237" i="7"/>
  <c r="O1237" i="7"/>
  <c r="N1237" i="7"/>
  <c r="M1237" i="7"/>
  <c r="L1237" i="7"/>
  <c r="K1237" i="7"/>
  <c r="J1237" i="7"/>
  <c r="I1237" i="7"/>
  <c r="H1237" i="7"/>
  <c r="G1237" i="7"/>
  <c r="F1237" i="7"/>
  <c r="E1237" i="7"/>
  <c r="D1237" i="7"/>
  <c r="C1237" i="7"/>
  <c r="B1237" i="7"/>
  <c r="A1237" i="7"/>
  <c r="S1236" i="7"/>
  <c r="R1236" i="7"/>
  <c r="P1236" i="7"/>
  <c r="O1236" i="7"/>
  <c r="N1236" i="7"/>
  <c r="M1236" i="7"/>
  <c r="L1236" i="7"/>
  <c r="K1236" i="7"/>
  <c r="J1236" i="7"/>
  <c r="I1236" i="7"/>
  <c r="H1236" i="7"/>
  <c r="G1236" i="7"/>
  <c r="F1236" i="7"/>
  <c r="E1236" i="7"/>
  <c r="D1236" i="7"/>
  <c r="C1236" i="7"/>
  <c r="B1236" i="7"/>
  <c r="A1236" i="7"/>
  <c r="S1235" i="7"/>
  <c r="R1235" i="7"/>
  <c r="Q1235" i="7"/>
  <c r="P1235" i="7"/>
  <c r="O1235" i="7"/>
  <c r="N1235" i="7"/>
  <c r="M1235" i="7"/>
  <c r="L1235" i="7"/>
  <c r="K1235" i="7"/>
  <c r="J1235" i="7"/>
  <c r="I1235" i="7"/>
  <c r="H1235" i="7"/>
  <c r="G1235" i="7"/>
  <c r="F1235" i="7"/>
  <c r="E1235" i="7"/>
  <c r="D1235" i="7"/>
  <c r="C1235" i="7"/>
  <c r="B1235" i="7"/>
  <c r="A1235" i="7"/>
  <c r="T1234" i="7"/>
  <c r="S1234" i="7"/>
  <c r="R1234" i="7"/>
  <c r="Q1234" i="7"/>
  <c r="P1234" i="7"/>
  <c r="O1234" i="7"/>
  <c r="N1234" i="7"/>
  <c r="M1234" i="7"/>
  <c r="L1234" i="7"/>
  <c r="K1234" i="7"/>
  <c r="J1234" i="7"/>
  <c r="I1234" i="7"/>
  <c r="H1234" i="7"/>
  <c r="G1234" i="7"/>
  <c r="F1234" i="7"/>
  <c r="E1234" i="7"/>
  <c r="D1234" i="7"/>
  <c r="C1234" i="7"/>
  <c r="B1234" i="7"/>
  <c r="A1234" i="7"/>
  <c r="S1233" i="7"/>
  <c r="R1233" i="7"/>
  <c r="P1233" i="7"/>
  <c r="O1233" i="7"/>
  <c r="N1233" i="7"/>
  <c r="M1233" i="7"/>
  <c r="L1233" i="7"/>
  <c r="K1233" i="7"/>
  <c r="J1233" i="7"/>
  <c r="I1233" i="7"/>
  <c r="H1233" i="7"/>
  <c r="G1233" i="7"/>
  <c r="F1233" i="7"/>
  <c r="E1233" i="7"/>
  <c r="D1233" i="7"/>
  <c r="C1233" i="7"/>
  <c r="B1233" i="7"/>
  <c r="A1233" i="7"/>
  <c r="S1232" i="7"/>
  <c r="R1232" i="7"/>
  <c r="P1232" i="7"/>
  <c r="O1232" i="7"/>
  <c r="N1232" i="7"/>
  <c r="M1232" i="7"/>
  <c r="L1232" i="7"/>
  <c r="K1232" i="7"/>
  <c r="J1232" i="7"/>
  <c r="I1232" i="7"/>
  <c r="H1232" i="7"/>
  <c r="G1232" i="7"/>
  <c r="F1232" i="7"/>
  <c r="E1232" i="7"/>
  <c r="D1232" i="7"/>
  <c r="C1232" i="7"/>
  <c r="B1232" i="7"/>
  <c r="A1232" i="7"/>
  <c r="T1231" i="7"/>
  <c r="S1231" i="7"/>
  <c r="R1231" i="7"/>
  <c r="Q1231" i="7"/>
  <c r="P1231" i="7"/>
  <c r="O1231" i="7"/>
  <c r="N1231" i="7"/>
  <c r="M1231" i="7"/>
  <c r="L1231" i="7"/>
  <c r="K1231" i="7"/>
  <c r="J1231" i="7"/>
  <c r="I1231" i="7"/>
  <c r="H1231" i="7"/>
  <c r="G1231" i="7"/>
  <c r="F1231" i="7"/>
  <c r="E1231" i="7"/>
  <c r="D1231" i="7"/>
  <c r="C1231" i="7"/>
  <c r="B1231" i="7"/>
  <c r="A1231" i="7"/>
  <c r="S1230" i="7"/>
  <c r="R1230" i="7"/>
  <c r="P1230" i="7"/>
  <c r="O1230" i="7"/>
  <c r="N1230" i="7"/>
  <c r="M1230" i="7"/>
  <c r="L1230" i="7"/>
  <c r="K1230" i="7"/>
  <c r="J1230" i="7"/>
  <c r="I1230" i="7"/>
  <c r="H1230" i="7"/>
  <c r="G1230" i="7"/>
  <c r="F1230" i="7"/>
  <c r="E1230" i="7"/>
  <c r="D1230" i="7"/>
  <c r="C1230" i="7"/>
  <c r="B1230" i="7"/>
  <c r="A1230" i="7"/>
  <c r="S1229" i="7"/>
  <c r="M1229" i="7"/>
  <c r="L1229" i="7"/>
  <c r="K1229" i="7"/>
  <c r="J1229" i="7"/>
  <c r="I1229" i="7"/>
  <c r="H1229" i="7"/>
  <c r="G1229" i="7"/>
  <c r="F1229" i="7"/>
  <c r="E1229" i="7"/>
  <c r="D1229" i="7"/>
  <c r="C1229" i="7"/>
  <c r="B1229" i="7"/>
  <c r="A1229" i="7"/>
  <c r="S1228" i="7"/>
  <c r="R1228" i="7"/>
  <c r="P1228" i="7"/>
  <c r="O1228" i="7"/>
  <c r="N1228" i="7"/>
  <c r="M1228" i="7"/>
  <c r="L1228" i="7"/>
  <c r="K1228" i="7"/>
  <c r="J1228" i="7"/>
  <c r="I1228" i="7"/>
  <c r="H1228" i="7"/>
  <c r="G1228" i="7"/>
  <c r="F1228" i="7"/>
  <c r="E1228" i="7"/>
  <c r="D1228" i="7"/>
  <c r="C1228" i="7"/>
  <c r="B1228" i="7"/>
  <c r="A1228" i="7"/>
  <c r="S1227" i="7"/>
  <c r="R1227" i="7"/>
  <c r="P1227" i="7"/>
  <c r="O1227" i="7"/>
  <c r="N1227" i="7"/>
  <c r="M1227" i="7"/>
  <c r="L1227" i="7"/>
  <c r="K1227" i="7"/>
  <c r="J1227" i="7"/>
  <c r="I1227" i="7"/>
  <c r="H1227" i="7"/>
  <c r="G1227" i="7"/>
  <c r="F1227" i="7"/>
  <c r="E1227" i="7"/>
  <c r="D1227" i="7"/>
  <c r="C1227" i="7"/>
  <c r="B1227" i="7"/>
  <c r="A1227" i="7"/>
  <c r="S1226" i="7"/>
  <c r="M1226" i="7"/>
  <c r="L1226" i="7"/>
  <c r="K1226" i="7"/>
  <c r="J1226" i="7"/>
  <c r="I1226" i="7"/>
  <c r="H1226" i="7"/>
  <c r="G1226" i="7"/>
  <c r="F1226" i="7"/>
  <c r="E1226" i="7"/>
  <c r="D1226" i="7"/>
  <c r="C1226" i="7"/>
  <c r="B1226" i="7"/>
  <c r="A1226" i="7"/>
  <c r="S1225" i="7"/>
  <c r="R1225" i="7"/>
  <c r="P1225" i="7"/>
  <c r="O1225" i="7"/>
  <c r="N1225" i="7"/>
  <c r="M1225" i="7"/>
  <c r="L1225" i="7"/>
  <c r="K1225" i="7"/>
  <c r="J1225" i="7"/>
  <c r="I1225" i="7"/>
  <c r="H1225" i="7"/>
  <c r="G1225" i="7"/>
  <c r="F1225" i="7"/>
  <c r="E1225" i="7"/>
  <c r="D1225" i="7"/>
  <c r="C1225" i="7"/>
  <c r="B1225" i="7"/>
  <c r="A1225" i="7"/>
  <c r="S1224" i="7"/>
  <c r="R1224" i="7"/>
  <c r="P1224" i="7"/>
  <c r="O1224" i="7"/>
  <c r="N1224" i="7"/>
  <c r="M1224" i="7"/>
  <c r="L1224" i="7"/>
  <c r="K1224" i="7"/>
  <c r="J1224" i="7"/>
  <c r="I1224" i="7"/>
  <c r="H1224" i="7"/>
  <c r="G1224" i="7"/>
  <c r="F1224" i="7"/>
  <c r="E1224" i="7"/>
  <c r="D1224" i="7"/>
  <c r="C1224" i="7"/>
  <c r="B1224" i="7"/>
  <c r="A1224" i="7"/>
  <c r="S1223" i="7"/>
  <c r="R1223" i="7"/>
  <c r="P1223" i="7"/>
  <c r="O1223" i="7"/>
  <c r="N1223" i="7"/>
  <c r="M1223" i="7"/>
  <c r="L1223" i="7"/>
  <c r="K1223" i="7"/>
  <c r="J1223" i="7"/>
  <c r="I1223" i="7"/>
  <c r="H1223" i="7"/>
  <c r="G1223" i="7"/>
  <c r="F1223" i="7"/>
  <c r="E1223" i="7"/>
  <c r="D1223" i="7"/>
  <c r="C1223" i="7"/>
  <c r="B1223" i="7"/>
  <c r="A1223" i="7"/>
  <c r="S1222" i="7"/>
  <c r="R1222" i="7"/>
  <c r="Q1222" i="7"/>
  <c r="P1222" i="7"/>
  <c r="O1222" i="7"/>
  <c r="N1222" i="7"/>
  <c r="M1222" i="7"/>
  <c r="L1222" i="7"/>
  <c r="K1222" i="7"/>
  <c r="J1222" i="7"/>
  <c r="I1222" i="7"/>
  <c r="H1222" i="7"/>
  <c r="G1222" i="7"/>
  <c r="F1222" i="7"/>
  <c r="E1222" i="7"/>
  <c r="D1222" i="7"/>
  <c r="C1222" i="7"/>
  <c r="B1222" i="7"/>
  <c r="A1222" i="7"/>
  <c r="S1221" i="7"/>
  <c r="R1221" i="7"/>
  <c r="P1221" i="7"/>
  <c r="O1221" i="7"/>
  <c r="N1221" i="7"/>
  <c r="M1221" i="7"/>
  <c r="L1221" i="7"/>
  <c r="K1221" i="7"/>
  <c r="J1221" i="7"/>
  <c r="I1221" i="7"/>
  <c r="H1221" i="7"/>
  <c r="G1221" i="7"/>
  <c r="F1221" i="7"/>
  <c r="E1221" i="7"/>
  <c r="D1221" i="7"/>
  <c r="C1221" i="7"/>
  <c r="B1221" i="7"/>
  <c r="A1221" i="7"/>
  <c r="S1220" i="7"/>
  <c r="R1220" i="7"/>
  <c r="Q1220" i="7"/>
  <c r="P1220" i="7"/>
  <c r="O1220" i="7"/>
  <c r="N1220" i="7"/>
  <c r="M1220" i="7"/>
  <c r="L1220" i="7"/>
  <c r="K1220" i="7"/>
  <c r="J1220" i="7"/>
  <c r="I1220" i="7"/>
  <c r="H1220" i="7"/>
  <c r="G1220" i="7"/>
  <c r="F1220" i="7"/>
  <c r="E1220" i="7"/>
  <c r="D1220" i="7"/>
  <c r="C1220" i="7"/>
  <c r="B1220" i="7"/>
  <c r="A1220" i="7"/>
  <c r="S1219" i="7"/>
  <c r="R1219" i="7"/>
  <c r="P1219" i="7"/>
  <c r="O1219" i="7"/>
  <c r="N1219" i="7"/>
  <c r="M1219" i="7"/>
  <c r="L1219" i="7"/>
  <c r="K1219" i="7"/>
  <c r="J1219" i="7"/>
  <c r="I1219" i="7"/>
  <c r="H1219" i="7"/>
  <c r="G1219" i="7"/>
  <c r="F1219" i="7"/>
  <c r="E1219" i="7"/>
  <c r="D1219" i="7"/>
  <c r="C1219" i="7"/>
  <c r="B1219" i="7"/>
  <c r="A1219" i="7"/>
  <c r="S1218" i="7"/>
  <c r="R1218" i="7"/>
  <c r="P1218" i="7"/>
  <c r="O1218" i="7"/>
  <c r="N1218" i="7"/>
  <c r="M1218" i="7"/>
  <c r="L1218" i="7"/>
  <c r="K1218" i="7"/>
  <c r="J1218" i="7"/>
  <c r="I1218" i="7"/>
  <c r="H1218" i="7"/>
  <c r="G1218" i="7"/>
  <c r="F1218" i="7"/>
  <c r="E1218" i="7"/>
  <c r="D1218" i="7"/>
  <c r="C1218" i="7"/>
  <c r="B1218" i="7"/>
  <c r="A1218" i="7"/>
  <c r="S1217" i="7"/>
  <c r="R1217" i="7"/>
  <c r="P1217" i="7"/>
  <c r="O1217" i="7"/>
  <c r="N1217" i="7"/>
  <c r="M1217" i="7"/>
  <c r="L1217" i="7"/>
  <c r="K1217" i="7"/>
  <c r="J1217" i="7"/>
  <c r="I1217" i="7"/>
  <c r="H1217" i="7"/>
  <c r="G1217" i="7"/>
  <c r="F1217" i="7"/>
  <c r="E1217" i="7"/>
  <c r="D1217" i="7"/>
  <c r="C1217" i="7"/>
  <c r="B1217" i="7"/>
  <c r="A1217" i="7"/>
  <c r="S1216" i="7"/>
  <c r="R1216" i="7"/>
  <c r="P1216" i="7"/>
  <c r="O1216" i="7"/>
  <c r="N1216" i="7"/>
  <c r="M1216" i="7"/>
  <c r="L1216" i="7"/>
  <c r="K1216" i="7"/>
  <c r="J1216" i="7"/>
  <c r="I1216" i="7"/>
  <c r="H1216" i="7"/>
  <c r="G1216" i="7"/>
  <c r="F1216" i="7"/>
  <c r="E1216" i="7"/>
  <c r="D1216" i="7"/>
  <c r="C1216" i="7"/>
  <c r="B1216" i="7"/>
  <c r="A1216" i="7"/>
  <c r="S1215" i="7"/>
  <c r="R1215" i="7"/>
  <c r="P1215" i="7"/>
  <c r="O1215" i="7"/>
  <c r="N1215" i="7"/>
  <c r="M1215" i="7"/>
  <c r="L1215" i="7"/>
  <c r="K1215" i="7"/>
  <c r="J1215" i="7"/>
  <c r="I1215" i="7"/>
  <c r="H1215" i="7"/>
  <c r="G1215" i="7"/>
  <c r="F1215" i="7"/>
  <c r="E1215" i="7"/>
  <c r="D1215" i="7"/>
  <c r="C1215" i="7"/>
  <c r="B1215" i="7"/>
  <c r="A1215" i="7"/>
  <c r="S1214" i="7"/>
  <c r="R1214" i="7"/>
  <c r="P1214" i="7"/>
  <c r="O1214" i="7"/>
  <c r="N1214" i="7"/>
  <c r="M1214" i="7"/>
  <c r="L1214" i="7"/>
  <c r="K1214" i="7"/>
  <c r="J1214" i="7"/>
  <c r="I1214" i="7"/>
  <c r="H1214" i="7"/>
  <c r="G1214" i="7"/>
  <c r="F1214" i="7"/>
  <c r="E1214" i="7"/>
  <c r="D1214" i="7"/>
  <c r="C1214" i="7"/>
  <c r="B1214" i="7"/>
  <c r="A1214" i="7"/>
  <c r="S1213" i="7"/>
  <c r="R1213" i="7"/>
  <c r="P1213" i="7"/>
  <c r="O1213" i="7"/>
  <c r="N1213" i="7"/>
  <c r="M1213" i="7"/>
  <c r="L1213" i="7"/>
  <c r="K1213" i="7"/>
  <c r="J1213" i="7"/>
  <c r="I1213" i="7"/>
  <c r="H1213" i="7"/>
  <c r="G1213" i="7"/>
  <c r="F1213" i="7"/>
  <c r="E1213" i="7"/>
  <c r="D1213" i="7"/>
  <c r="C1213" i="7"/>
  <c r="B1213" i="7"/>
  <c r="A1213" i="7"/>
  <c r="S1212" i="7"/>
  <c r="R1212" i="7"/>
  <c r="P1212" i="7"/>
  <c r="O1212" i="7"/>
  <c r="N1212" i="7"/>
  <c r="M1212" i="7"/>
  <c r="L1212" i="7"/>
  <c r="K1212" i="7"/>
  <c r="J1212" i="7"/>
  <c r="I1212" i="7"/>
  <c r="H1212" i="7"/>
  <c r="G1212" i="7"/>
  <c r="F1212" i="7"/>
  <c r="E1212" i="7"/>
  <c r="D1212" i="7"/>
  <c r="C1212" i="7"/>
  <c r="B1212" i="7"/>
  <c r="A1212" i="7"/>
  <c r="S1211" i="7"/>
  <c r="R1211" i="7"/>
  <c r="P1211" i="7"/>
  <c r="O1211" i="7"/>
  <c r="N1211" i="7"/>
  <c r="M1211" i="7"/>
  <c r="L1211" i="7"/>
  <c r="K1211" i="7"/>
  <c r="J1211" i="7"/>
  <c r="I1211" i="7"/>
  <c r="H1211" i="7"/>
  <c r="G1211" i="7"/>
  <c r="F1211" i="7"/>
  <c r="E1211" i="7"/>
  <c r="D1211" i="7"/>
  <c r="C1211" i="7"/>
  <c r="B1211" i="7"/>
  <c r="A1211" i="7"/>
  <c r="S1210" i="7"/>
  <c r="Q1210" i="7"/>
  <c r="M1210" i="7"/>
  <c r="L1210" i="7"/>
  <c r="K1210" i="7"/>
  <c r="J1210" i="7"/>
  <c r="I1210" i="7"/>
  <c r="H1210" i="7"/>
  <c r="G1210" i="7"/>
  <c r="F1210" i="7"/>
  <c r="E1210" i="7"/>
  <c r="D1210" i="7"/>
  <c r="C1210" i="7"/>
  <c r="B1210" i="7"/>
  <c r="A1210" i="7"/>
  <c r="S1209" i="7"/>
  <c r="R1209" i="7"/>
  <c r="Q1209" i="7"/>
  <c r="P1209" i="7"/>
  <c r="O1209" i="7"/>
  <c r="N1209" i="7"/>
  <c r="M1209" i="7"/>
  <c r="L1209" i="7"/>
  <c r="K1209" i="7"/>
  <c r="J1209" i="7"/>
  <c r="I1209" i="7"/>
  <c r="H1209" i="7"/>
  <c r="G1209" i="7"/>
  <c r="F1209" i="7"/>
  <c r="E1209" i="7"/>
  <c r="D1209" i="7"/>
  <c r="C1209" i="7"/>
  <c r="B1209" i="7"/>
  <c r="A1209" i="7"/>
  <c r="S1208" i="7"/>
  <c r="R1208" i="7"/>
  <c r="P1208" i="7"/>
  <c r="O1208" i="7"/>
  <c r="N1208" i="7"/>
  <c r="M1208" i="7"/>
  <c r="L1208" i="7"/>
  <c r="K1208" i="7"/>
  <c r="J1208" i="7"/>
  <c r="I1208" i="7"/>
  <c r="H1208" i="7"/>
  <c r="G1208" i="7"/>
  <c r="F1208" i="7"/>
  <c r="E1208" i="7"/>
  <c r="D1208" i="7"/>
  <c r="C1208" i="7"/>
  <c r="B1208" i="7"/>
  <c r="A1208" i="7"/>
  <c r="T1207" i="7"/>
  <c r="S1207" i="7"/>
  <c r="R1207" i="7"/>
  <c r="Q1207" i="7"/>
  <c r="P1207" i="7"/>
  <c r="O1207" i="7"/>
  <c r="N1207" i="7"/>
  <c r="M1207" i="7"/>
  <c r="L1207" i="7"/>
  <c r="K1207" i="7"/>
  <c r="J1207" i="7"/>
  <c r="I1207" i="7"/>
  <c r="H1207" i="7"/>
  <c r="G1207" i="7"/>
  <c r="F1207" i="7"/>
  <c r="E1207" i="7"/>
  <c r="D1207" i="7"/>
  <c r="C1207" i="7"/>
  <c r="B1207" i="7"/>
  <c r="A1207" i="7"/>
  <c r="S1206" i="7"/>
  <c r="R1206" i="7"/>
  <c r="Q1206" i="7"/>
  <c r="P1206" i="7"/>
  <c r="O1206" i="7"/>
  <c r="N1206" i="7"/>
  <c r="M1206" i="7"/>
  <c r="L1206" i="7"/>
  <c r="K1206" i="7"/>
  <c r="J1206" i="7"/>
  <c r="I1206" i="7"/>
  <c r="H1206" i="7"/>
  <c r="G1206" i="7"/>
  <c r="F1206" i="7"/>
  <c r="E1206" i="7"/>
  <c r="D1206" i="7"/>
  <c r="C1206" i="7"/>
  <c r="B1206" i="7"/>
  <c r="A1206" i="7"/>
  <c r="S1205" i="7"/>
  <c r="R1205" i="7"/>
  <c r="P1205" i="7"/>
  <c r="O1205" i="7"/>
  <c r="N1205" i="7"/>
  <c r="M1205" i="7"/>
  <c r="L1205" i="7"/>
  <c r="K1205" i="7"/>
  <c r="J1205" i="7"/>
  <c r="I1205" i="7"/>
  <c r="H1205" i="7"/>
  <c r="G1205" i="7"/>
  <c r="F1205" i="7"/>
  <c r="E1205" i="7"/>
  <c r="D1205" i="7"/>
  <c r="C1205" i="7"/>
  <c r="B1205" i="7"/>
  <c r="A1205" i="7"/>
  <c r="S1204" i="7"/>
  <c r="R1204" i="7"/>
  <c r="P1204" i="7"/>
  <c r="O1204" i="7"/>
  <c r="N1204" i="7"/>
  <c r="M1204" i="7"/>
  <c r="L1204" i="7"/>
  <c r="K1204" i="7"/>
  <c r="J1204" i="7"/>
  <c r="I1204" i="7"/>
  <c r="H1204" i="7"/>
  <c r="G1204" i="7"/>
  <c r="F1204" i="7"/>
  <c r="E1204" i="7"/>
  <c r="D1204" i="7"/>
  <c r="C1204" i="7"/>
  <c r="B1204" i="7"/>
  <c r="A1204" i="7"/>
  <c r="S1203" i="7"/>
  <c r="R1203" i="7"/>
  <c r="P1203" i="7"/>
  <c r="O1203" i="7"/>
  <c r="N1203" i="7"/>
  <c r="M1203" i="7"/>
  <c r="L1203" i="7"/>
  <c r="K1203" i="7"/>
  <c r="J1203" i="7"/>
  <c r="I1203" i="7"/>
  <c r="H1203" i="7"/>
  <c r="G1203" i="7"/>
  <c r="F1203" i="7"/>
  <c r="E1203" i="7"/>
  <c r="D1203" i="7"/>
  <c r="C1203" i="7"/>
  <c r="B1203" i="7"/>
  <c r="A1203" i="7"/>
  <c r="S1202" i="7"/>
  <c r="R1202" i="7"/>
  <c r="P1202" i="7"/>
  <c r="O1202" i="7"/>
  <c r="N1202" i="7"/>
  <c r="M1202" i="7"/>
  <c r="L1202" i="7"/>
  <c r="K1202" i="7"/>
  <c r="J1202" i="7"/>
  <c r="I1202" i="7"/>
  <c r="H1202" i="7"/>
  <c r="G1202" i="7"/>
  <c r="F1202" i="7"/>
  <c r="E1202" i="7"/>
  <c r="D1202" i="7"/>
  <c r="C1202" i="7"/>
  <c r="B1202" i="7"/>
  <c r="A1202" i="7"/>
  <c r="S1201" i="7"/>
  <c r="R1201" i="7"/>
  <c r="P1201" i="7"/>
  <c r="O1201" i="7"/>
  <c r="N1201" i="7"/>
  <c r="M1201" i="7"/>
  <c r="L1201" i="7"/>
  <c r="K1201" i="7"/>
  <c r="J1201" i="7"/>
  <c r="I1201" i="7"/>
  <c r="H1201" i="7"/>
  <c r="G1201" i="7"/>
  <c r="F1201" i="7"/>
  <c r="E1201" i="7"/>
  <c r="D1201" i="7"/>
  <c r="C1201" i="7"/>
  <c r="B1201" i="7"/>
  <c r="A1201" i="7"/>
  <c r="S1200" i="7"/>
  <c r="R1200" i="7"/>
  <c r="P1200" i="7"/>
  <c r="O1200" i="7"/>
  <c r="N1200" i="7"/>
  <c r="M1200" i="7"/>
  <c r="L1200" i="7"/>
  <c r="K1200" i="7"/>
  <c r="J1200" i="7"/>
  <c r="I1200" i="7"/>
  <c r="H1200" i="7"/>
  <c r="G1200" i="7"/>
  <c r="F1200" i="7"/>
  <c r="E1200" i="7"/>
  <c r="D1200" i="7"/>
  <c r="C1200" i="7"/>
  <c r="B1200" i="7"/>
  <c r="A1200" i="7"/>
  <c r="S1199" i="7"/>
  <c r="R1199" i="7"/>
  <c r="P1199" i="7"/>
  <c r="O1199" i="7"/>
  <c r="N1199" i="7"/>
  <c r="M1199" i="7"/>
  <c r="L1199" i="7"/>
  <c r="K1199" i="7"/>
  <c r="J1199" i="7"/>
  <c r="I1199" i="7"/>
  <c r="H1199" i="7"/>
  <c r="G1199" i="7"/>
  <c r="F1199" i="7"/>
  <c r="E1199" i="7"/>
  <c r="D1199" i="7"/>
  <c r="C1199" i="7"/>
  <c r="B1199" i="7"/>
  <c r="A1199" i="7"/>
  <c r="S1198" i="7"/>
  <c r="R1198" i="7"/>
  <c r="P1198" i="7"/>
  <c r="O1198" i="7"/>
  <c r="N1198" i="7"/>
  <c r="M1198" i="7"/>
  <c r="L1198" i="7"/>
  <c r="K1198" i="7"/>
  <c r="J1198" i="7"/>
  <c r="I1198" i="7"/>
  <c r="H1198" i="7"/>
  <c r="G1198" i="7"/>
  <c r="F1198" i="7"/>
  <c r="E1198" i="7"/>
  <c r="D1198" i="7"/>
  <c r="C1198" i="7"/>
  <c r="B1198" i="7"/>
  <c r="A1198" i="7"/>
  <c r="S1197" i="7"/>
  <c r="M1197" i="7"/>
  <c r="L1197" i="7"/>
  <c r="K1197" i="7"/>
  <c r="J1197" i="7"/>
  <c r="I1197" i="7"/>
  <c r="H1197" i="7"/>
  <c r="G1197" i="7"/>
  <c r="F1197" i="7"/>
  <c r="E1197" i="7"/>
  <c r="D1197" i="7"/>
  <c r="C1197" i="7"/>
  <c r="B1197" i="7"/>
  <c r="A1197" i="7"/>
  <c r="S1196" i="7"/>
  <c r="R1196" i="7"/>
  <c r="P1196" i="7"/>
  <c r="O1196" i="7"/>
  <c r="N1196" i="7"/>
  <c r="M1196" i="7"/>
  <c r="L1196" i="7"/>
  <c r="K1196" i="7"/>
  <c r="J1196" i="7"/>
  <c r="I1196" i="7"/>
  <c r="H1196" i="7"/>
  <c r="G1196" i="7"/>
  <c r="F1196" i="7"/>
  <c r="E1196" i="7"/>
  <c r="D1196" i="7"/>
  <c r="C1196" i="7"/>
  <c r="B1196" i="7"/>
  <c r="A1196" i="7"/>
  <c r="S1195" i="7"/>
  <c r="R1195" i="7"/>
  <c r="Q1195" i="7"/>
  <c r="P1195" i="7"/>
  <c r="O1195" i="7"/>
  <c r="N1195" i="7"/>
  <c r="M1195" i="7"/>
  <c r="L1195" i="7"/>
  <c r="K1195" i="7"/>
  <c r="J1195" i="7"/>
  <c r="I1195" i="7"/>
  <c r="H1195" i="7"/>
  <c r="G1195" i="7"/>
  <c r="F1195" i="7"/>
  <c r="E1195" i="7"/>
  <c r="D1195" i="7"/>
  <c r="C1195" i="7"/>
  <c r="B1195" i="7"/>
  <c r="A1195" i="7"/>
  <c r="S1194" i="7"/>
  <c r="R1194" i="7"/>
  <c r="Q1194" i="7"/>
  <c r="P1194" i="7"/>
  <c r="O1194" i="7"/>
  <c r="N1194" i="7"/>
  <c r="M1194" i="7"/>
  <c r="L1194" i="7"/>
  <c r="K1194" i="7"/>
  <c r="J1194" i="7"/>
  <c r="I1194" i="7"/>
  <c r="H1194" i="7"/>
  <c r="G1194" i="7"/>
  <c r="F1194" i="7"/>
  <c r="E1194" i="7"/>
  <c r="D1194" i="7"/>
  <c r="C1194" i="7"/>
  <c r="B1194" i="7"/>
  <c r="A1194" i="7"/>
  <c r="S1193" i="7"/>
  <c r="R1193" i="7"/>
  <c r="P1193" i="7"/>
  <c r="O1193" i="7"/>
  <c r="N1193" i="7"/>
  <c r="M1193" i="7"/>
  <c r="L1193" i="7"/>
  <c r="K1193" i="7"/>
  <c r="J1193" i="7"/>
  <c r="I1193" i="7"/>
  <c r="H1193" i="7"/>
  <c r="G1193" i="7"/>
  <c r="F1193" i="7"/>
  <c r="E1193" i="7"/>
  <c r="D1193" i="7"/>
  <c r="C1193" i="7"/>
  <c r="B1193" i="7"/>
  <c r="A1193" i="7"/>
  <c r="T1192" i="7"/>
  <c r="S1192" i="7"/>
  <c r="R1192" i="7"/>
  <c r="Q1192" i="7"/>
  <c r="P1192" i="7"/>
  <c r="O1192" i="7"/>
  <c r="N1192" i="7"/>
  <c r="M1192" i="7"/>
  <c r="L1192" i="7"/>
  <c r="K1192" i="7"/>
  <c r="J1192" i="7"/>
  <c r="I1192" i="7"/>
  <c r="H1192" i="7"/>
  <c r="G1192" i="7"/>
  <c r="F1192" i="7"/>
  <c r="E1192" i="7"/>
  <c r="D1192" i="7"/>
  <c r="C1192" i="7"/>
  <c r="B1192" i="7"/>
  <c r="A1192" i="7"/>
  <c r="S1191" i="7"/>
  <c r="R1191" i="7"/>
  <c r="Q1191" i="7"/>
  <c r="P1191" i="7"/>
  <c r="O1191" i="7"/>
  <c r="N1191" i="7"/>
  <c r="M1191" i="7"/>
  <c r="L1191" i="7"/>
  <c r="K1191" i="7"/>
  <c r="J1191" i="7"/>
  <c r="I1191" i="7"/>
  <c r="H1191" i="7"/>
  <c r="G1191" i="7"/>
  <c r="F1191" i="7"/>
  <c r="E1191" i="7"/>
  <c r="D1191" i="7"/>
  <c r="C1191" i="7"/>
  <c r="B1191" i="7"/>
  <c r="A1191" i="7"/>
  <c r="S1190" i="7"/>
  <c r="R1190" i="7"/>
  <c r="P1190" i="7"/>
  <c r="O1190" i="7"/>
  <c r="N1190" i="7"/>
  <c r="M1190" i="7"/>
  <c r="L1190" i="7"/>
  <c r="K1190" i="7"/>
  <c r="J1190" i="7"/>
  <c r="I1190" i="7"/>
  <c r="H1190" i="7"/>
  <c r="G1190" i="7"/>
  <c r="F1190" i="7"/>
  <c r="E1190" i="7"/>
  <c r="D1190" i="7"/>
  <c r="C1190" i="7"/>
  <c r="B1190" i="7"/>
  <c r="A1190" i="7"/>
  <c r="S1189" i="7"/>
  <c r="M1189" i="7"/>
  <c r="L1189" i="7"/>
  <c r="K1189" i="7"/>
  <c r="J1189" i="7"/>
  <c r="I1189" i="7"/>
  <c r="H1189" i="7"/>
  <c r="G1189" i="7"/>
  <c r="F1189" i="7"/>
  <c r="E1189" i="7"/>
  <c r="D1189" i="7"/>
  <c r="C1189" i="7"/>
  <c r="B1189" i="7"/>
  <c r="A1189" i="7"/>
  <c r="S1188" i="7"/>
  <c r="R1188" i="7"/>
  <c r="P1188" i="7"/>
  <c r="O1188" i="7"/>
  <c r="N1188" i="7"/>
  <c r="M1188" i="7"/>
  <c r="L1188" i="7"/>
  <c r="K1188" i="7"/>
  <c r="J1188" i="7"/>
  <c r="I1188" i="7"/>
  <c r="H1188" i="7"/>
  <c r="G1188" i="7"/>
  <c r="F1188" i="7"/>
  <c r="E1188" i="7"/>
  <c r="D1188" i="7"/>
  <c r="C1188" i="7"/>
  <c r="B1188" i="7"/>
  <c r="A1188" i="7"/>
  <c r="S1187" i="7"/>
  <c r="R1187" i="7"/>
  <c r="P1187" i="7"/>
  <c r="O1187" i="7"/>
  <c r="N1187" i="7"/>
  <c r="M1187" i="7"/>
  <c r="L1187" i="7"/>
  <c r="K1187" i="7"/>
  <c r="J1187" i="7"/>
  <c r="I1187" i="7"/>
  <c r="H1187" i="7"/>
  <c r="G1187" i="7"/>
  <c r="F1187" i="7"/>
  <c r="E1187" i="7"/>
  <c r="D1187" i="7"/>
  <c r="C1187" i="7"/>
  <c r="B1187" i="7"/>
  <c r="A1187" i="7"/>
  <c r="T1186" i="7"/>
  <c r="S1186" i="7"/>
  <c r="R1186" i="7"/>
  <c r="Q1186" i="7"/>
  <c r="P1186" i="7"/>
  <c r="O1186" i="7"/>
  <c r="N1186" i="7"/>
  <c r="M1186" i="7"/>
  <c r="L1186" i="7"/>
  <c r="K1186" i="7"/>
  <c r="J1186" i="7"/>
  <c r="I1186" i="7"/>
  <c r="H1186" i="7"/>
  <c r="G1186" i="7"/>
  <c r="F1186" i="7"/>
  <c r="E1186" i="7"/>
  <c r="D1186" i="7"/>
  <c r="C1186" i="7"/>
  <c r="B1186" i="7"/>
  <c r="A1186" i="7"/>
  <c r="S1185" i="7"/>
  <c r="M1185" i="7"/>
  <c r="L1185" i="7"/>
  <c r="K1185" i="7"/>
  <c r="J1185" i="7"/>
  <c r="I1185" i="7"/>
  <c r="H1185" i="7"/>
  <c r="G1185" i="7"/>
  <c r="F1185" i="7"/>
  <c r="E1185" i="7"/>
  <c r="D1185" i="7"/>
  <c r="C1185" i="7"/>
  <c r="B1185" i="7"/>
  <c r="A1185" i="7"/>
  <c r="S1184" i="7"/>
  <c r="R1184" i="7"/>
  <c r="P1184" i="7"/>
  <c r="O1184" i="7"/>
  <c r="N1184" i="7"/>
  <c r="M1184" i="7"/>
  <c r="L1184" i="7"/>
  <c r="K1184" i="7"/>
  <c r="J1184" i="7"/>
  <c r="I1184" i="7"/>
  <c r="H1184" i="7"/>
  <c r="G1184" i="7"/>
  <c r="F1184" i="7"/>
  <c r="E1184" i="7"/>
  <c r="D1184" i="7"/>
  <c r="C1184" i="7"/>
  <c r="B1184" i="7"/>
  <c r="A1184" i="7"/>
  <c r="S1183" i="7"/>
  <c r="R1183" i="7"/>
  <c r="P1183" i="7"/>
  <c r="O1183" i="7"/>
  <c r="N1183" i="7"/>
  <c r="M1183" i="7"/>
  <c r="L1183" i="7"/>
  <c r="K1183" i="7"/>
  <c r="J1183" i="7"/>
  <c r="I1183" i="7"/>
  <c r="H1183" i="7"/>
  <c r="G1183" i="7"/>
  <c r="F1183" i="7"/>
  <c r="E1183" i="7"/>
  <c r="D1183" i="7"/>
  <c r="C1183" i="7"/>
  <c r="B1183" i="7"/>
  <c r="A1183" i="7"/>
  <c r="S1182" i="7"/>
  <c r="R1182" i="7"/>
  <c r="P1182" i="7"/>
  <c r="O1182" i="7"/>
  <c r="N1182" i="7"/>
  <c r="M1182" i="7"/>
  <c r="L1182" i="7"/>
  <c r="K1182" i="7"/>
  <c r="J1182" i="7"/>
  <c r="I1182" i="7"/>
  <c r="H1182" i="7"/>
  <c r="G1182" i="7"/>
  <c r="F1182" i="7"/>
  <c r="E1182" i="7"/>
  <c r="D1182" i="7"/>
  <c r="C1182" i="7"/>
  <c r="B1182" i="7"/>
  <c r="A1182" i="7"/>
  <c r="S1181" i="7"/>
  <c r="R1181" i="7"/>
  <c r="P1181" i="7"/>
  <c r="O1181" i="7"/>
  <c r="N1181" i="7"/>
  <c r="M1181" i="7"/>
  <c r="L1181" i="7"/>
  <c r="K1181" i="7"/>
  <c r="J1181" i="7"/>
  <c r="I1181" i="7"/>
  <c r="H1181" i="7"/>
  <c r="G1181" i="7"/>
  <c r="F1181" i="7"/>
  <c r="E1181" i="7"/>
  <c r="D1181" i="7"/>
  <c r="C1181" i="7"/>
  <c r="B1181" i="7"/>
  <c r="A1181" i="7"/>
  <c r="S1180" i="7"/>
  <c r="M1180" i="7"/>
  <c r="L1180" i="7"/>
  <c r="K1180" i="7"/>
  <c r="J1180" i="7"/>
  <c r="I1180" i="7"/>
  <c r="H1180" i="7"/>
  <c r="G1180" i="7"/>
  <c r="F1180" i="7"/>
  <c r="E1180" i="7"/>
  <c r="D1180" i="7"/>
  <c r="C1180" i="7"/>
  <c r="B1180" i="7"/>
  <c r="A1180" i="7"/>
  <c r="S1179" i="7"/>
  <c r="R1179" i="7"/>
  <c r="P1179" i="7"/>
  <c r="O1179" i="7"/>
  <c r="N1179" i="7"/>
  <c r="M1179" i="7"/>
  <c r="L1179" i="7"/>
  <c r="K1179" i="7"/>
  <c r="J1179" i="7"/>
  <c r="I1179" i="7"/>
  <c r="H1179" i="7"/>
  <c r="G1179" i="7"/>
  <c r="F1179" i="7"/>
  <c r="E1179" i="7"/>
  <c r="D1179" i="7"/>
  <c r="C1179" i="7"/>
  <c r="B1179" i="7"/>
  <c r="A1179" i="7"/>
  <c r="S1178" i="7"/>
  <c r="R1178" i="7"/>
  <c r="P1178" i="7"/>
  <c r="O1178" i="7"/>
  <c r="N1178" i="7"/>
  <c r="M1178" i="7"/>
  <c r="L1178" i="7"/>
  <c r="K1178" i="7"/>
  <c r="J1178" i="7"/>
  <c r="I1178" i="7"/>
  <c r="H1178" i="7"/>
  <c r="G1178" i="7"/>
  <c r="F1178" i="7"/>
  <c r="E1178" i="7"/>
  <c r="D1178" i="7"/>
  <c r="C1178" i="7"/>
  <c r="B1178" i="7"/>
  <c r="A1178" i="7"/>
  <c r="S1177" i="7"/>
  <c r="R1177" i="7"/>
  <c r="P1177" i="7"/>
  <c r="O1177" i="7"/>
  <c r="N1177" i="7"/>
  <c r="M1177" i="7"/>
  <c r="L1177" i="7"/>
  <c r="K1177" i="7"/>
  <c r="J1177" i="7"/>
  <c r="I1177" i="7"/>
  <c r="H1177" i="7"/>
  <c r="G1177" i="7"/>
  <c r="F1177" i="7"/>
  <c r="E1177" i="7"/>
  <c r="D1177" i="7"/>
  <c r="C1177" i="7"/>
  <c r="B1177" i="7"/>
  <c r="A1177" i="7"/>
  <c r="S1176" i="7"/>
  <c r="R1176" i="7"/>
  <c r="P1176" i="7"/>
  <c r="O1176" i="7"/>
  <c r="N1176" i="7"/>
  <c r="M1176" i="7"/>
  <c r="L1176" i="7"/>
  <c r="K1176" i="7"/>
  <c r="J1176" i="7"/>
  <c r="I1176" i="7"/>
  <c r="H1176" i="7"/>
  <c r="G1176" i="7"/>
  <c r="F1176" i="7"/>
  <c r="E1176" i="7"/>
  <c r="D1176" i="7"/>
  <c r="C1176" i="7"/>
  <c r="B1176" i="7"/>
  <c r="A1176" i="7"/>
  <c r="S1175" i="7"/>
  <c r="R1175" i="7"/>
  <c r="P1175" i="7"/>
  <c r="O1175" i="7"/>
  <c r="N1175" i="7"/>
  <c r="M1175" i="7"/>
  <c r="L1175" i="7"/>
  <c r="K1175" i="7"/>
  <c r="J1175" i="7"/>
  <c r="I1175" i="7"/>
  <c r="H1175" i="7"/>
  <c r="G1175" i="7"/>
  <c r="F1175" i="7"/>
  <c r="E1175" i="7"/>
  <c r="D1175" i="7"/>
  <c r="C1175" i="7"/>
  <c r="B1175" i="7"/>
  <c r="A1175" i="7"/>
  <c r="S1174" i="7"/>
  <c r="R1174" i="7"/>
  <c r="Q1174" i="7"/>
  <c r="P1174" i="7"/>
  <c r="O1174" i="7"/>
  <c r="N1174" i="7"/>
  <c r="M1174" i="7"/>
  <c r="L1174" i="7"/>
  <c r="K1174" i="7"/>
  <c r="J1174" i="7"/>
  <c r="I1174" i="7"/>
  <c r="H1174" i="7"/>
  <c r="G1174" i="7"/>
  <c r="F1174" i="7"/>
  <c r="E1174" i="7"/>
  <c r="D1174" i="7"/>
  <c r="C1174" i="7"/>
  <c r="B1174" i="7"/>
  <c r="A1174" i="7"/>
  <c r="S1173" i="7"/>
  <c r="R1173" i="7"/>
  <c r="P1173" i="7"/>
  <c r="O1173" i="7"/>
  <c r="N1173" i="7"/>
  <c r="M1173" i="7"/>
  <c r="L1173" i="7"/>
  <c r="K1173" i="7"/>
  <c r="J1173" i="7"/>
  <c r="I1173" i="7"/>
  <c r="H1173" i="7"/>
  <c r="G1173" i="7"/>
  <c r="F1173" i="7"/>
  <c r="E1173" i="7"/>
  <c r="D1173" i="7"/>
  <c r="C1173" i="7"/>
  <c r="B1173" i="7"/>
  <c r="A1173" i="7"/>
  <c r="S1172" i="7"/>
  <c r="R1172" i="7"/>
  <c r="Q1172" i="7"/>
  <c r="P1172" i="7"/>
  <c r="O1172" i="7"/>
  <c r="N1172" i="7"/>
  <c r="M1172" i="7"/>
  <c r="L1172" i="7"/>
  <c r="K1172" i="7"/>
  <c r="J1172" i="7"/>
  <c r="I1172" i="7"/>
  <c r="H1172" i="7"/>
  <c r="G1172" i="7"/>
  <c r="F1172" i="7"/>
  <c r="E1172" i="7"/>
  <c r="D1172" i="7"/>
  <c r="C1172" i="7"/>
  <c r="B1172" i="7"/>
  <c r="A1172" i="7"/>
  <c r="T1171" i="7"/>
  <c r="S1171" i="7"/>
  <c r="R1171" i="7"/>
  <c r="Q1171" i="7"/>
  <c r="P1171" i="7"/>
  <c r="O1171" i="7"/>
  <c r="N1171" i="7"/>
  <c r="M1171" i="7"/>
  <c r="L1171" i="7"/>
  <c r="K1171" i="7"/>
  <c r="J1171" i="7"/>
  <c r="I1171" i="7"/>
  <c r="H1171" i="7"/>
  <c r="G1171" i="7"/>
  <c r="F1171" i="7"/>
  <c r="E1171" i="7"/>
  <c r="D1171" i="7"/>
  <c r="C1171" i="7"/>
  <c r="B1171" i="7"/>
  <c r="A1171" i="7"/>
  <c r="S1170" i="7"/>
  <c r="R1170" i="7"/>
  <c r="Q1170" i="7"/>
  <c r="P1170" i="7"/>
  <c r="O1170" i="7"/>
  <c r="N1170" i="7"/>
  <c r="M1170" i="7"/>
  <c r="L1170" i="7"/>
  <c r="K1170" i="7"/>
  <c r="J1170" i="7"/>
  <c r="I1170" i="7"/>
  <c r="H1170" i="7"/>
  <c r="G1170" i="7"/>
  <c r="F1170" i="7"/>
  <c r="E1170" i="7"/>
  <c r="D1170" i="7"/>
  <c r="C1170" i="7"/>
  <c r="B1170" i="7"/>
  <c r="A1170" i="7"/>
  <c r="S1169" i="7"/>
  <c r="R1169" i="7"/>
  <c r="Q1169" i="7"/>
  <c r="P1169" i="7"/>
  <c r="O1169" i="7"/>
  <c r="N1169" i="7"/>
  <c r="M1169" i="7"/>
  <c r="L1169" i="7"/>
  <c r="K1169" i="7"/>
  <c r="J1169" i="7"/>
  <c r="I1169" i="7"/>
  <c r="H1169" i="7"/>
  <c r="G1169" i="7"/>
  <c r="F1169" i="7"/>
  <c r="E1169" i="7"/>
  <c r="D1169" i="7"/>
  <c r="C1169" i="7"/>
  <c r="B1169" i="7"/>
  <c r="A1169" i="7"/>
  <c r="S1168" i="7"/>
  <c r="R1168" i="7"/>
  <c r="Q1168" i="7"/>
  <c r="P1168" i="7"/>
  <c r="O1168" i="7"/>
  <c r="N1168" i="7"/>
  <c r="M1168" i="7"/>
  <c r="L1168" i="7"/>
  <c r="K1168" i="7"/>
  <c r="J1168" i="7"/>
  <c r="I1168" i="7"/>
  <c r="H1168" i="7"/>
  <c r="G1168" i="7"/>
  <c r="F1168" i="7"/>
  <c r="E1168" i="7"/>
  <c r="D1168" i="7"/>
  <c r="C1168" i="7"/>
  <c r="B1168" i="7"/>
  <c r="A1168" i="7"/>
  <c r="S1167" i="7"/>
  <c r="R1167" i="7"/>
  <c r="Q1167" i="7"/>
  <c r="P1167" i="7"/>
  <c r="O1167" i="7"/>
  <c r="N1167" i="7"/>
  <c r="M1167" i="7"/>
  <c r="L1167" i="7"/>
  <c r="K1167" i="7"/>
  <c r="J1167" i="7"/>
  <c r="I1167" i="7"/>
  <c r="H1167" i="7"/>
  <c r="G1167" i="7"/>
  <c r="F1167" i="7"/>
  <c r="E1167" i="7"/>
  <c r="D1167" i="7"/>
  <c r="C1167" i="7"/>
  <c r="B1167" i="7"/>
  <c r="A1167" i="7"/>
  <c r="S1166" i="7"/>
  <c r="R1166" i="7"/>
  <c r="P1166" i="7"/>
  <c r="O1166" i="7"/>
  <c r="N1166" i="7"/>
  <c r="M1166" i="7"/>
  <c r="L1166" i="7"/>
  <c r="K1166" i="7"/>
  <c r="J1166" i="7"/>
  <c r="I1166" i="7"/>
  <c r="H1166" i="7"/>
  <c r="G1166" i="7"/>
  <c r="F1166" i="7"/>
  <c r="E1166" i="7"/>
  <c r="D1166" i="7"/>
  <c r="C1166" i="7"/>
  <c r="B1166" i="7"/>
  <c r="A1166" i="7"/>
  <c r="S1165" i="7"/>
  <c r="R1165" i="7"/>
  <c r="P1165" i="7"/>
  <c r="O1165" i="7"/>
  <c r="N1165" i="7"/>
  <c r="M1165" i="7"/>
  <c r="L1165" i="7"/>
  <c r="K1165" i="7"/>
  <c r="J1165" i="7"/>
  <c r="I1165" i="7"/>
  <c r="H1165" i="7"/>
  <c r="G1165" i="7"/>
  <c r="F1165" i="7"/>
  <c r="E1165" i="7"/>
  <c r="D1165" i="7"/>
  <c r="C1165" i="7"/>
  <c r="B1165" i="7"/>
  <c r="A1165" i="7"/>
  <c r="S1164" i="7"/>
  <c r="R1164" i="7"/>
  <c r="P1164" i="7"/>
  <c r="O1164" i="7"/>
  <c r="N1164" i="7"/>
  <c r="M1164" i="7"/>
  <c r="L1164" i="7"/>
  <c r="K1164" i="7"/>
  <c r="J1164" i="7"/>
  <c r="I1164" i="7"/>
  <c r="H1164" i="7"/>
  <c r="G1164" i="7"/>
  <c r="F1164" i="7"/>
  <c r="E1164" i="7"/>
  <c r="D1164" i="7"/>
  <c r="C1164" i="7"/>
  <c r="B1164" i="7"/>
  <c r="A1164" i="7"/>
  <c r="S1163" i="7"/>
  <c r="R1163" i="7"/>
  <c r="Q1163" i="7"/>
  <c r="P1163" i="7"/>
  <c r="O1163" i="7"/>
  <c r="N1163" i="7"/>
  <c r="M1163" i="7"/>
  <c r="L1163" i="7"/>
  <c r="K1163" i="7"/>
  <c r="J1163" i="7"/>
  <c r="I1163" i="7"/>
  <c r="H1163" i="7"/>
  <c r="G1163" i="7"/>
  <c r="F1163" i="7"/>
  <c r="E1163" i="7"/>
  <c r="D1163" i="7"/>
  <c r="C1163" i="7"/>
  <c r="B1163" i="7"/>
  <c r="A1163" i="7"/>
  <c r="T1162" i="7"/>
  <c r="S1162" i="7"/>
  <c r="R1162" i="7"/>
  <c r="Q1162" i="7"/>
  <c r="P1162" i="7"/>
  <c r="O1162" i="7"/>
  <c r="N1162" i="7"/>
  <c r="M1162" i="7"/>
  <c r="L1162" i="7"/>
  <c r="K1162" i="7"/>
  <c r="J1162" i="7"/>
  <c r="I1162" i="7"/>
  <c r="H1162" i="7"/>
  <c r="G1162" i="7"/>
  <c r="F1162" i="7"/>
  <c r="E1162" i="7"/>
  <c r="D1162" i="7"/>
  <c r="C1162" i="7"/>
  <c r="B1162" i="7"/>
  <c r="A1162" i="7"/>
  <c r="T1161" i="7"/>
  <c r="S1161" i="7"/>
  <c r="R1161" i="7"/>
  <c r="Q1161" i="7"/>
  <c r="P1161" i="7"/>
  <c r="O1161" i="7"/>
  <c r="N1161" i="7"/>
  <c r="M1161" i="7"/>
  <c r="L1161" i="7"/>
  <c r="K1161" i="7"/>
  <c r="J1161" i="7"/>
  <c r="I1161" i="7"/>
  <c r="H1161" i="7"/>
  <c r="G1161" i="7"/>
  <c r="F1161" i="7"/>
  <c r="E1161" i="7"/>
  <c r="D1161" i="7"/>
  <c r="C1161" i="7"/>
  <c r="B1161" i="7"/>
  <c r="A1161" i="7"/>
  <c r="T1160" i="7"/>
  <c r="S1160" i="7"/>
  <c r="R1160" i="7"/>
  <c r="Q1160" i="7"/>
  <c r="P1160" i="7"/>
  <c r="O1160" i="7"/>
  <c r="N1160" i="7"/>
  <c r="M1160" i="7"/>
  <c r="L1160" i="7"/>
  <c r="K1160" i="7"/>
  <c r="J1160" i="7"/>
  <c r="I1160" i="7"/>
  <c r="H1160" i="7"/>
  <c r="G1160" i="7"/>
  <c r="F1160" i="7"/>
  <c r="E1160" i="7"/>
  <c r="D1160" i="7"/>
  <c r="C1160" i="7"/>
  <c r="B1160" i="7"/>
  <c r="A1160" i="7"/>
  <c r="S1159" i="7"/>
  <c r="R1159" i="7"/>
  <c r="Q1159" i="7"/>
  <c r="P1159" i="7"/>
  <c r="O1159" i="7"/>
  <c r="N1159" i="7"/>
  <c r="M1159" i="7"/>
  <c r="L1159" i="7"/>
  <c r="K1159" i="7"/>
  <c r="J1159" i="7"/>
  <c r="I1159" i="7"/>
  <c r="H1159" i="7"/>
  <c r="G1159" i="7"/>
  <c r="F1159" i="7"/>
  <c r="E1159" i="7"/>
  <c r="D1159" i="7"/>
  <c r="C1159" i="7"/>
  <c r="B1159" i="7"/>
  <c r="A1159" i="7"/>
  <c r="S1158" i="7"/>
  <c r="R1158" i="7"/>
  <c r="Q1158" i="7"/>
  <c r="P1158" i="7"/>
  <c r="O1158" i="7"/>
  <c r="N1158" i="7"/>
  <c r="M1158" i="7"/>
  <c r="L1158" i="7"/>
  <c r="K1158" i="7"/>
  <c r="J1158" i="7"/>
  <c r="I1158" i="7"/>
  <c r="H1158" i="7"/>
  <c r="G1158" i="7"/>
  <c r="F1158" i="7"/>
  <c r="E1158" i="7"/>
  <c r="D1158" i="7"/>
  <c r="C1158" i="7"/>
  <c r="B1158" i="7"/>
  <c r="A1158" i="7"/>
  <c r="S1157" i="7"/>
  <c r="R1157" i="7"/>
  <c r="P1157" i="7"/>
  <c r="O1157" i="7"/>
  <c r="N1157" i="7"/>
  <c r="M1157" i="7"/>
  <c r="L1157" i="7"/>
  <c r="K1157" i="7"/>
  <c r="J1157" i="7"/>
  <c r="I1157" i="7"/>
  <c r="H1157" i="7"/>
  <c r="G1157" i="7"/>
  <c r="F1157" i="7"/>
  <c r="E1157" i="7"/>
  <c r="D1157" i="7"/>
  <c r="C1157" i="7"/>
  <c r="B1157" i="7"/>
  <c r="A1157" i="7"/>
  <c r="S1156" i="7"/>
  <c r="R1156" i="7"/>
  <c r="P1156" i="7"/>
  <c r="O1156" i="7"/>
  <c r="N1156" i="7"/>
  <c r="M1156" i="7"/>
  <c r="L1156" i="7"/>
  <c r="K1156" i="7"/>
  <c r="J1156" i="7"/>
  <c r="I1156" i="7"/>
  <c r="H1156" i="7"/>
  <c r="G1156" i="7"/>
  <c r="F1156" i="7"/>
  <c r="E1156" i="7"/>
  <c r="D1156" i="7"/>
  <c r="C1156" i="7"/>
  <c r="B1156" i="7"/>
  <c r="A1156" i="7"/>
  <c r="S1155" i="7"/>
  <c r="R1155" i="7"/>
  <c r="P1155" i="7"/>
  <c r="O1155" i="7"/>
  <c r="N1155" i="7"/>
  <c r="M1155" i="7"/>
  <c r="L1155" i="7"/>
  <c r="K1155" i="7"/>
  <c r="J1155" i="7"/>
  <c r="I1155" i="7"/>
  <c r="H1155" i="7"/>
  <c r="G1155" i="7"/>
  <c r="F1155" i="7"/>
  <c r="E1155" i="7"/>
  <c r="D1155" i="7"/>
  <c r="C1155" i="7"/>
  <c r="B1155" i="7"/>
  <c r="A1155" i="7"/>
  <c r="S1154" i="7"/>
  <c r="R1154" i="7"/>
  <c r="P1154" i="7"/>
  <c r="O1154" i="7"/>
  <c r="N1154" i="7"/>
  <c r="M1154" i="7"/>
  <c r="L1154" i="7"/>
  <c r="K1154" i="7"/>
  <c r="J1154" i="7"/>
  <c r="I1154" i="7"/>
  <c r="H1154" i="7"/>
  <c r="G1154" i="7"/>
  <c r="F1154" i="7"/>
  <c r="E1154" i="7"/>
  <c r="D1154" i="7"/>
  <c r="C1154" i="7"/>
  <c r="B1154" i="7"/>
  <c r="A1154" i="7"/>
  <c r="S1153" i="7"/>
  <c r="R1153" i="7"/>
  <c r="Q1153" i="7"/>
  <c r="P1153" i="7"/>
  <c r="O1153" i="7"/>
  <c r="N1153" i="7"/>
  <c r="M1153" i="7"/>
  <c r="L1153" i="7"/>
  <c r="K1153" i="7"/>
  <c r="J1153" i="7"/>
  <c r="I1153" i="7"/>
  <c r="H1153" i="7"/>
  <c r="G1153" i="7"/>
  <c r="F1153" i="7"/>
  <c r="E1153" i="7"/>
  <c r="D1153" i="7"/>
  <c r="C1153" i="7"/>
  <c r="B1153" i="7"/>
  <c r="A1153" i="7"/>
  <c r="S1152" i="7"/>
  <c r="R1152" i="7"/>
  <c r="P1152" i="7"/>
  <c r="O1152" i="7"/>
  <c r="N1152" i="7"/>
  <c r="M1152" i="7"/>
  <c r="L1152" i="7"/>
  <c r="K1152" i="7"/>
  <c r="J1152" i="7"/>
  <c r="I1152" i="7"/>
  <c r="H1152" i="7"/>
  <c r="G1152" i="7"/>
  <c r="F1152" i="7"/>
  <c r="E1152" i="7"/>
  <c r="D1152" i="7"/>
  <c r="C1152" i="7"/>
  <c r="B1152" i="7"/>
  <c r="A1152" i="7"/>
  <c r="S1151" i="7"/>
  <c r="R1151" i="7"/>
  <c r="P1151" i="7"/>
  <c r="O1151" i="7"/>
  <c r="N1151" i="7"/>
  <c r="M1151" i="7"/>
  <c r="L1151" i="7"/>
  <c r="K1151" i="7"/>
  <c r="J1151" i="7"/>
  <c r="I1151" i="7"/>
  <c r="H1151" i="7"/>
  <c r="G1151" i="7"/>
  <c r="F1151" i="7"/>
  <c r="E1151" i="7"/>
  <c r="D1151" i="7"/>
  <c r="C1151" i="7"/>
  <c r="B1151" i="7"/>
  <c r="A1151" i="7"/>
  <c r="S1150" i="7"/>
  <c r="R1150" i="7"/>
  <c r="P1150" i="7"/>
  <c r="O1150" i="7"/>
  <c r="N1150" i="7"/>
  <c r="M1150" i="7"/>
  <c r="L1150" i="7"/>
  <c r="K1150" i="7"/>
  <c r="J1150" i="7"/>
  <c r="I1150" i="7"/>
  <c r="H1150" i="7"/>
  <c r="G1150" i="7"/>
  <c r="F1150" i="7"/>
  <c r="E1150" i="7"/>
  <c r="D1150" i="7"/>
  <c r="C1150" i="7"/>
  <c r="B1150" i="7"/>
  <c r="A1150" i="7"/>
  <c r="S1149" i="7"/>
  <c r="R1149" i="7"/>
  <c r="P1149" i="7"/>
  <c r="O1149" i="7"/>
  <c r="N1149" i="7"/>
  <c r="M1149" i="7"/>
  <c r="L1149" i="7"/>
  <c r="K1149" i="7"/>
  <c r="J1149" i="7"/>
  <c r="I1149" i="7"/>
  <c r="H1149" i="7"/>
  <c r="G1149" i="7"/>
  <c r="F1149" i="7"/>
  <c r="E1149" i="7"/>
  <c r="D1149" i="7"/>
  <c r="C1149" i="7"/>
  <c r="B1149" i="7"/>
  <c r="A1149" i="7"/>
  <c r="S1148" i="7"/>
  <c r="R1148" i="7"/>
  <c r="P1148" i="7"/>
  <c r="O1148" i="7"/>
  <c r="N1148" i="7"/>
  <c r="M1148" i="7"/>
  <c r="L1148" i="7"/>
  <c r="K1148" i="7"/>
  <c r="J1148" i="7"/>
  <c r="I1148" i="7"/>
  <c r="H1148" i="7"/>
  <c r="G1148" i="7"/>
  <c r="F1148" i="7"/>
  <c r="E1148" i="7"/>
  <c r="D1148" i="7"/>
  <c r="C1148" i="7"/>
  <c r="B1148" i="7"/>
  <c r="A1148" i="7"/>
  <c r="S1147" i="7"/>
  <c r="R1147" i="7"/>
  <c r="P1147" i="7"/>
  <c r="O1147" i="7"/>
  <c r="N1147" i="7"/>
  <c r="M1147" i="7"/>
  <c r="L1147" i="7"/>
  <c r="K1147" i="7"/>
  <c r="J1147" i="7"/>
  <c r="I1147" i="7"/>
  <c r="H1147" i="7"/>
  <c r="G1147" i="7"/>
  <c r="F1147" i="7"/>
  <c r="E1147" i="7"/>
  <c r="D1147" i="7"/>
  <c r="C1147" i="7"/>
  <c r="B1147" i="7"/>
  <c r="A1147" i="7"/>
  <c r="S1146" i="7"/>
  <c r="M1146" i="7"/>
  <c r="L1146" i="7"/>
  <c r="K1146" i="7"/>
  <c r="J1146" i="7"/>
  <c r="I1146" i="7"/>
  <c r="H1146" i="7"/>
  <c r="G1146" i="7"/>
  <c r="F1146" i="7"/>
  <c r="E1146" i="7"/>
  <c r="D1146" i="7"/>
  <c r="C1146" i="7"/>
  <c r="B1146" i="7"/>
  <c r="A1146" i="7"/>
  <c r="S1145" i="7"/>
  <c r="R1145" i="7"/>
  <c r="P1145" i="7"/>
  <c r="O1145" i="7"/>
  <c r="N1145" i="7"/>
  <c r="M1145" i="7"/>
  <c r="L1145" i="7"/>
  <c r="K1145" i="7"/>
  <c r="J1145" i="7"/>
  <c r="I1145" i="7"/>
  <c r="H1145" i="7"/>
  <c r="G1145" i="7"/>
  <c r="F1145" i="7"/>
  <c r="E1145" i="7"/>
  <c r="D1145" i="7"/>
  <c r="C1145" i="7"/>
  <c r="B1145" i="7"/>
  <c r="A1145" i="7"/>
  <c r="S1144" i="7"/>
  <c r="R1144" i="7"/>
  <c r="P1144" i="7"/>
  <c r="O1144" i="7"/>
  <c r="N1144" i="7"/>
  <c r="M1144" i="7"/>
  <c r="L1144" i="7"/>
  <c r="K1144" i="7"/>
  <c r="J1144" i="7"/>
  <c r="I1144" i="7"/>
  <c r="H1144" i="7"/>
  <c r="G1144" i="7"/>
  <c r="F1144" i="7"/>
  <c r="E1144" i="7"/>
  <c r="D1144" i="7"/>
  <c r="C1144" i="7"/>
  <c r="B1144" i="7"/>
  <c r="A1144" i="7"/>
  <c r="S1143" i="7"/>
  <c r="R1143" i="7"/>
  <c r="P1143" i="7"/>
  <c r="O1143" i="7"/>
  <c r="N1143" i="7"/>
  <c r="M1143" i="7"/>
  <c r="L1143" i="7"/>
  <c r="K1143" i="7"/>
  <c r="J1143" i="7"/>
  <c r="I1143" i="7"/>
  <c r="H1143" i="7"/>
  <c r="G1143" i="7"/>
  <c r="F1143" i="7"/>
  <c r="E1143" i="7"/>
  <c r="D1143" i="7"/>
  <c r="C1143" i="7"/>
  <c r="B1143" i="7"/>
  <c r="A1143" i="7"/>
  <c r="S1142" i="7"/>
  <c r="R1142" i="7"/>
  <c r="P1142" i="7"/>
  <c r="O1142" i="7"/>
  <c r="N1142" i="7"/>
  <c r="M1142" i="7"/>
  <c r="L1142" i="7"/>
  <c r="K1142" i="7"/>
  <c r="J1142" i="7"/>
  <c r="I1142" i="7"/>
  <c r="H1142" i="7"/>
  <c r="G1142" i="7"/>
  <c r="F1142" i="7"/>
  <c r="E1142" i="7"/>
  <c r="D1142" i="7"/>
  <c r="C1142" i="7"/>
  <c r="B1142" i="7"/>
  <c r="A1142" i="7"/>
  <c r="S1141" i="7"/>
  <c r="R1141" i="7"/>
  <c r="P1141" i="7"/>
  <c r="O1141" i="7"/>
  <c r="N1141" i="7"/>
  <c r="M1141" i="7"/>
  <c r="L1141" i="7"/>
  <c r="K1141" i="7"/>
  <c r="J1141" i="7"/>
  <c r="I1141" i="7"/>
  <c r="H1141" i="7"/>
  <c r="G1141" i="7"/>
  <c r="F1141" i="7"/>
  <c r="E1141" i="7"/>
  <c r="D1141" i="7"/>
  <c r="C1141" i="7"/>
  <c r="B1141" i="7"/>
  <c r="A1141" i="7"/>
  <c r="S1140" i="7"/>
  <c r="M1140" i="7"/>
  <c r="L1140" i="7"/>
  <c r="K1140" i="7"/>
  <c r="J1140" i="7"/>
  <c r="I1140" i="7"/>
  <c r="H1140" i="7"/>
  <c r="G1140" i="7"/>
  <c r="F1140" i="7"/>
  <c r="E1140" i="7"/>
  <c r="D1140" i="7"/>
  <c r="C1140" i="7"/>
  <c r="B1140" i="7"/>
  <c r="A1140" i="7"/>
  <c r="S1139" i="7"/>
  <c r="R1139" i="7"/>
  <c r="P1139" i="7"/>
  <c r="O1139" i="7"/>
  <c r="N1139" i="7"/>
  <c r="M1139" i="7"/>
  <c r="L1139" i="7"/>
  <c r="K1139" i="7"/>
  <c r="J1139" i="7"/>
  <c r="I1139" i="7"/>
  <c r="H1139" i="7"/>
  <c r="G1139" i="7"/>
  <c r="F1139" i="7"/>
  <c r="E1139" i="7"/>
  <c r="D1139" i="7"/>
  <c r="C1139" i="7"/>
  <c r="B1139" i="7"/>
  <c r="A1139" i="7"/>
  <c r="S1138" i="7"/>
  <c r="R1138" i="7"/>
  <c r="P1138" i="7"/>
  <c r="O1138" i="7"/>
  <c r="N1138" i="7"/>
  <c r="M1138" i="7"/>
  <c r="L1138" i="7"/>
  <c r="K1138" i="7"/>
  <c r="J1138" i="7"/>
  <c r="I1138" i="7"/>
  <c r="H1138" i="7"/>
  <c r="G1138" i="7"/>
  <c r="F1138" i="7"/>
  <c r="E1138" i="7"/>
  <c r="D1138" i="7"/>
  <c r="C1138" i="7"/>
  <c r="B1138" i="7"/>
  <c r="A1138" i="7"/>
  <c r="S1137" i="7"/>
  <c r="R1137" i="7"/>
  <c r="P1137" i="7"/>
  <c r="O1137" i="7"/>
  <c r="N1137" i="7"/>
  <c r="M1137" i="7"/>
  <c r="L1137" i="7"/>
  <c r="K1137" i="7"/>
  <c r="J1137" i="7"/>
  <c r="I1137" i="7"/>
  <c r="H1137" i="7"/>
  <c r="G1137" i="7"/>
  <c r="F1137" i="7"/>
  <c r="E1137" i="7"/>
  <c r="D1137" i="7"/>
  <c r="C1137" i="7"/>
  <c r="B1137" i="7"/>
  <c r="A1137" i="7"/>
  <c r="S1136" i="7"/>
  <c r="R1136" i="7"/>
  <c r="P1136" i="7"/>
  <c r="O1136" i="7"/>
  <c r="N1136" i="7"/>
  <c r="M1136" i="7"/>
  <c r="L1136" i="7"/>
  <c r="K1136" i="7"/>
  <c r="J1136" i="7"/>
  <c r="I1136" i="7"/>
  <c r="H1136" i="7"/>
  <c r="G1136" i="7"/>
  <c r="F1136" i="7"/>
  <c r="E1136" i="7"/>
  <c r="D1136" i="7"/>
  <c r="C1136" i="7"/>
  <c r="B1136" i="7"/>
  <c r="A1136" i="7"/>
  <c r="S1135" i="7"/>
  <c r="R1135" i="7"/>
  <c r="P1135" i="7"/>
  <c r="O1135" i="7"/>
  <c r="N1135" i="7"/>
  <c r="M1135" i="7"/>
  <c r="L1135" i="7"/>
  <c r="K1135" i="7"/>
  <c r="J1135" i="7"/>
  <c r="I1135" i="7"/>
  <c r="H1135" i="7"/>
  <c r="G1135" i="7"/>
  <c r="F1135" i="7"/>
  <c r="E1135" i="7"/>
  <c r="D1135" i="7"/>
  <c r="C1135" i="7"/>
  <c r="B1135" i="7"/>
  <c r="A1135" i="7"/>
  <c r="S1134" i="7"/>
  <c r="R1134" i="7"/>
  <c r="P1134" i="7"/>
  <c r="O1134" i="7"/>
  <c r="N1134" i="7"/>
  <c r="M1134" i="7"/>
  <c r="L1134" i="7"/>
  <c r="K1134" i="7"/>
  <c r="J1134" i="7"/>
  <c r="I1134" i="7"/>
  <c r="H1134" i="7"/>
  <c r="G1134" i="7"/>
  <c r="F1134" i="7"/>
  <c r="E1134" i="7"/>
  <c r="D1134" i="7"/>
  <c r="C1134" i="7"/>
  <c r="B1134" i="7"/>
  <c r="A1134" i="7"/>
  <c r="S1133" i="7"/>
  <c r="R1133" i="7"/>
  <c r="P1133" i="7"/>
  <c r="O1133" i="7"/>
  <c r="N1133" i="7"/>
  <c r="M1133" i="7"/>
  <c r="L1133" i="7"/>
  <c r="K1133" i="7"/>
  <c r="J1133" i="7"/>
  <c r="I1133" i="7"/>
  <c r="H1133" i="7"/>
  <c r="G1133" i="7"/>
  <c r="F1133" i="7"/>
  <c r="E1133" i="7"/>
  <c r="D1133" i="7"/>
  <c r="C1133" i="7"/>
  <c r="B1133" i="7"/>
  <c r="A1133" i="7"/>
  <c r="S1132" i="7"/>
  <c r="R1132" i="7"/>
  <c r="P1132" i="7"/>
  <c r="O1132" i="7"/>
  <c r="N1132" i="7"/>
  <c r="M1132" i="7"/>
  <c r="L1132" i="7"/>
  <c r="K1132" i="7"/>
  <c r="J1132" i="7"/>
  <c r="I1132" i="7"/>
  <c r="H1132" i="7"/>
  <c r="G1132" i="7"/>
  <c r="F1132" i="7"/>
  <c r="E1132" i="7"/>
  <c r="D1132" i="7"/>
  <c r="C1132" i="7"/>
  <c r="B1132" i="7"/>
  <c r="A1132" i="7"/>
  <c r="S1131" i="7"/>
  <c r="R1131" i="7"/>
  <c r="P1131" i="7"/>
  <c r="O1131" i="7"/>
  <c r="N1131" i="7"/>
  <c r="M1131" i="7"/>
  <c r="L1131" i="7"/>
  <c r="K1131" i="7"/>
  <c r="J1131" i="7"/>
  <c r="I1131" i="7"/>
  <c r="H1131" i="7"/>
  <c r="G1131" i="7"/>
  <c r="F1131" i="7"/>
  <c r="E1131" i="7"/>
  <c r="D1131" i="7"/>
  <c r="C1131" i="7"/>
  <c r="B1131" i="7"/>
  <c r="A1131" i="7"/>
  <c r="S1130" i="7"/>
  <c r="R1130" i="7"/>
  <c r="P1130" i="7"/>
  <c r="O1130" i="7"/>
  <c r="N1130" i="7"/>
  <c r="M1130" i="7"/>
  <c r="L1130" i="7"/>
  <c r="K1130" i="7"/>
  <c r="J1130" i="7"/>
  <c r="I1130" i="7"/>
  <c r="H1130" i="7"/>
  <c r="G1130" i="7"/>
  <c r="F1130" i="7"/>
  <c r="E1130" i="7"/>
  <c r="D1130" i="7"/>
  <c r="C1130" i="7"/>
  <c r="B1130" i="7"/>
  <c r="A1130" i="7"/>
  <c r="S1129" i="7"/>
  <c r="R1129" i="7"/>
  <c r="P1129" i="7"/>
  <c r="O1129" i="7"/>
  <c r="N1129" i="7"/>
  <c r="M1129" i="7"/>
  <c r="L1129" i="7"/>
  <c r="K1129" i="7"/>
  <c r="J1129" i="7"/>
  <c r="I1129" i="7"/>
  <c r="H1129" i="7"/>
  <c r="G1129" i="7"/>
  <c r="F1129" i="7"/>
  <c r="E1129" i="7"/>
  <c r="D1129" i="7"/>
  <c r="C1129" i="7"/>
  <c r="B1129" i="7"/>
  <c r="A1129" i="7"/>
  <c r="S1128" i="7"/>
  <c r="R1128" i="7"/>
  <c r="P1128" i="7"/>
  <c r="O1128" i="7"/>
  <c r="N1128" i="7"/>
  <c r="M1128" i="7"/>
  <c r="L1128" i="7"/>
  <c r="K1128" i="7"/>
  <c r="J1128" i="7"/>
  <c r="I1128" i="7"/>
  <c r="H1128" i="7"/>
  <c r="G1128" i="7"/>
  <c r="F1128" i="7"/>
  <c r="E1128" i="7"/>
  <c r="D1128" i="7"/>
  <c r="C1128" i="7"/>
  <c r="B1128" i="7"/>
  <c r="A1128" i="7"/>
  <c r="S1127" i="7"/>
  <c r="R1127" i="7"/>
  <c r="P1127" i="7"/>
  <c r="O1127" i="7"/>
  <c r="N1127" i="7"/>
  <c r="M1127" i="7"/>
  <c r="L1127" i="7"/>
  <c r="K1127" i="7"/>
  <c r="J1127" i="7"/>
  <c r="I1127" i="7"/>
  <c r="H1127" i="7"/>
  <c r="G1127" i="7"/>
  <c r="F1127" i="7"/>
  <c r="E1127" i="7"/>
  <c r="D1127" i="7"/>
  <c r="C1127" i="7"/>
  <c r="B1127" i="7"/>
  <c r="A1127" i="7"/>
  <c r="S1126" i="7"/>
  <c r="R1126" i="7"/>
  <c r="P1126" i="7"/>
  <c r="O1126" i="7"/>
  <c r="N1126" i="7"/>
  <c r="M1126" i="7"/>
  <c r="L1126" i="7"/>
  <c r="K1126" i="7"/>
  <c r="J1126" i="7"/>
  <c r="I1126" i="7"/>
  <c r="H1126" i="7"/>
  <c r="G1126" i="7"/>
  <c r="F1126" i="7"/>
  <c r="E1126" i="7"/>
  <c r="D1126" i="7"/>
  <c r="C1126" i="7"/>
  <c r="B1126" i="7"/>
  <c r="A1126" i="7"/>
  <c r="S1125" i="7"/>
  <c r="R1125" i="7"/>
  <c r="P1125" i="7"/>
  <c r="O1125" i="7"/>
  <c r="N1125" i="7"/>
  <c r="M1125" i="7"/>
  <c r="L1125" i="7"/>
  <c r="K1125" i="7"/>
  <c r="J1125" i="7"/>
  <c r="I1125" i="7"/>
  <c r="H1125" i="7"/>
  <c r="G1125" i="7"/>
  <c r="F1125" i="7"/>
  <c r="E1125" i="7"/>
  <c r="D1125" i="7"/>
  <c r="C1125" i="7"/>
  <c r="B1125" i="7"/>
  <c r="A1125" i="7"/>
  <c r="T1124" i="7"/>
  <c r="S1124" i="7"/>
  <c r="R1124" i="7"/>
  <c r="Q1124" i="7"/>
  <c r="P1124" i="7"/>
  <c r="O1124" i="7"/>
  <c r="N1124" i="7"/>
  <c r="M1124" i="7"/>
  <c r="L1124" i="7"/>
  <c r="K1124" i="7"/>
  <c r="J1124" i="7"/>
  <c r="I1124" i="7"/>
  <c r="H1124" i="7"/>
  <c r="G1124" i="7"/>
  <c r="F1124" i="7"/>
  <c r="E1124" i="7"/>
  <c r="D1124" i="7"/>
  <c r="C1124" i="7"/>
  <c r="B1124" i="7"/>
  <c r="A1124" i="7"/>
  <c r="S1123" i="7"/>
  <c r="R1123" i="7"/>
  <c r="P1123" i="7"/>
  <c r="O1123" i="7"/>
  <c r="N1123" i="7"/>
  <c r="M1123" i="7"/>
  <c r="L1123" i="7"/>
  <c r="K1123" i="7"/>
  <c r="J1123" i="7"/>
  <c r="I1123" i="7"/>
  <c r="H1123" i="7"/>
  <c r="G1123" i="7"/>
  <c r="F1123" i="7"/>
  <c r="E1123" i="7"/>
  <c r="D1123" i="7"/>
  <c r="C1123" i="7"/>
  <c r="B1123" i="7"/>
  <c r="A1123" i="7"/>
  <c r="S1122" i="7"/>
  <c r="R1122" i="7"/>
  <c r="P1122" i="7"/>
  <c r="O1122" i="7"/>
  <c r="N1122" i="7"/>
  <c r="M1122" i="7"/>
  <c r="L1122" i="7"/>
  <c r="K1122" i="7"/>
  <c r="J1122" i="7"/>
  <c r="I1122" i="7"/>
  <c r="H1122" i="7"/>
  <c r="G1122" i="7"/>
  <c r="F1122" i="7"/>
  <c r="E1122" i="7"/>
  <c r="D1122" i="7"/>
  <c r="C1122" i="7"/>
  <c r="B1122" i="7"/>
  <c r="A1122" i="7"/>
  <c r="S1121" i="7"/>
  <c r="R1121" i="7"/>
  <c r="P1121" i="7"/>
  <c r="O1121" i="7"/>
  <c r="N1121" i="7"/>
  <c r="M1121" i="7"/>
  <c r="L1121" i="7"/>
  <c r="K1121" i="7"/>
  <c r="J1121" i="7"/>
  <c r="I1121" i="7"/>
  <c r="H1121" i="7"/>
  <c r="G1121" i="7"/>
  <c r="F1121" i="7"/>
  <c r="E1121" i="7"/>
  <c r="D1121" i="7"/>
  <c r="C1121" i="7"/>
  <c r="B1121" i="7"/>
  <c r="A1121" i="7"/>
  <c r="S1120" i="7"/>
  <c r="R1120" i="7"/>
  <c r="P1120" i="7"/>
  <c r="O1120" i="7"/>
  <c r="N1120" i="7"/>
  <c r="M1120" i="7"/>
  <c r="L1120" i="7"/>
  <c r="K1120" i="7"/>
  <c r="J1120" i="7"/>
  <c r="I1120" i="7"/>
  <c r="H1120" i="7"/>
  <c r="G1120" i="7"/>
  <c r="F1120" i="7"/>
  <c r="E1120" i="7"/>
  <c r="D1120" i="7"/>
  <c r="C1120" i="7"/>
  <c r="B1120" i="7"/>
  <c r="A1120" i="7"/>
  <c r="S1119" i="7"/>
  <c r="R1119" i="7"/>
  <c r="P1119" i="7"/>
  <c r="O1119" i="7"/>
  <c r="N1119" i="7"/>
  <c r="M1119" i="7"/>
  <c r="L1119" i="7"/>
  <c r="K1119" i="7"/>
  <c r="J1119" i="7"/>
  <c r="I1119" i="7"/>
  <c r="H1119" i="7"/>
  <c r="G1119" i="7"/>
  <c r="F1119" i="7"/>
  <c r="E1119" i="7"/>
  <c r="D1119" i="7"/>
  <c r="C1119" i="7"/>
  <c r="B1119" i="7"/>
  <c r="A1119" i="7"/>
  <c r="S1118" i="7"/>
  <c r="M1118" i="7"/>
  <c r="L1118" i="7"/>
  <c r="K1118" i="7"/>
  <c r="J1118" i="7"/>
  <c r="I1118" i="7"/>
  <c r="H1118" i="7"/>
  <c r="G1118" i="7"/>
  <c r="F1118" i="7"/>
  <c r="E1118" i="7"/>
  <c r="D1118" i="7"/>
  <c r="C1118" i="7"/>
  <c r="B1118" i="7"/>
  <c r="A1118" i="7"/>
  <c r="S1117" i="7"/>
  <c r="R1117" i="7"/>
  <c r="P1117" i="7"/>
  <c r="O1117" i="7"/>
  <c r="N1117" i="7"/>
  <c r="M1117" i="7"/>
  <c r="L1117" i="7"/>
  <c r="K1117" i="7"/>
  <c r="J1117" i="7"/>
  <c r="I1117" i="7"/>
  <c r="H1117" i="7"/>
  <c r="G1117" i="7"/>
  <c r="F1117" i="7"/>
  <c r="E1117" i="7"/>
  <c r="D1117" i="7"/>
  <c r="C1117" i="7"/>
  <c r="B1117" i="7"/>
  <c r="A1117" i="7"/>
  <c r="S1116" i="7"/>
  <c r="R1116" i="7"/>
  <c r="P1116" i="7"/>
  <c r="O1116" i="7"/>
  <c r="N1116" i="7"/>
  <c r="M1116" i="7"/>
  <c r="L1116" i="7"/>
  <c r="K1116" i="7"/>
  <c r="J1116" i="7"/>
  <c r="I1116" i="7"/>
  <c r="H1116" i="7"/>
  <c r="G1116" i="7"/>
  <c r="F1116" i="7"/>
  <c r="E1116" i="7"/>
  <c r="D1116" i="7"/>
  <c r="C1116" i="7"/>
  <c r="B1116" i="7"/>
  <c r="A1116" i="7"/>
  <c r="S1115" i="7"/>
  <c r="R1115" i="7"/>
  <c r="P1115" i="7"/>
  <c r="O1115" i="7"/>
  <c r="N1115" i="7"/>
  <c r="M1115" i="7"/>
  <c r="L1115" i="7"/>
  <c r="K1115" i="7"/>
  <c r="J1115" i="7"/>
  <c r="I1115" i="7"/>
  <c r="H1115" i="7"/>
  <c r="G1115" i="7"/>
  <c r="F1115" i="7"/>
  <c r="E1115" i="7"/>
  <c r="D1115" i="7"/>
  <c r="C1115" i="7"/>
  <c r="B1115" i="7"/>
  <c r="A1115" i="7"/>
  <c r="S1114" i="7"/>
  <c r="R1114" i="7"/>
  <c r="Q1114" i="7"/>
  <c r="P1114" i="7"/>
  <c r="O1114" i="7"/>
  <c r="N1114" i="7"/>
  <c r="M1114" i="7"/>
  <c r="L1114" i="7"/>
  <c r="K1114" i="7"/>
  <c r="J1114" i="7"/>
  <c r="I1114" i="7"/>
  <c r="H1114" i="7"/>
  <c r="G1114" i="7"/>
  <c r="F1114" i="7"/>
  <c r="E1114" i="7"/>
  <c r="D1114" i="7"/>
  <c r="C1114" i="7"/>
  <c r="B1114" i="7"/>
  <c r="A1114" i="7"/>
  <c r="S1113" i="7"/>
  <c r="R1113" i="7"/>
  <c r="P1113" i="7"/>
  <c r="O1113" i="7"/>
  <c r="N1113" i="7"/>
  <c r="M1113" i="7"/>
  <c r="L1113" i="7"/>
  <c r="K1113" i="7"/>
  <c r="J1113" i="7"/>
  <c r="I1113" i="7"/>
  <c r="H1113" i="7"/>
  <c r="G1113" i="7"/>
  <c r="F1113" i="7"/>
  <c r="E1113" i="7"/>
  <c r="D1113" i="7"/>
  <c r="C1113" i="7"/>
  <c r="B1113" i="7"/>
  <c r="A1113" i="7"/>
  <c r="S1112" i="7"/>
  <c r="R1112" i="7"/>
  <c r="P1112" i="7"/>
  <c r="O1112" i="7"/>
  <c r="N1112" i="7"/>
  <c r="M1112" i="7"/>
  <c r="L1112" i="7"/>
  <c r="K1112" i="7"/>
  <c r="J1112" i="7"/>
  <c r="I1112" i="7"/>
  <c r="H1112" i="7"/>
  <c r="G1112" i="7"/>
  <c r="F1112" i="7"/>
  <c r="E1112" i="7"/>
  <c r="D1112" i="7"/>
  <c r="C1112" i="7"/>
  <c r="B1112" i="7"/>
  <c r="A1112" i="7"/>
  <c r="S1111" i="7"/>
  <c r="R1111" i="7"/>
  <c r="P1111" i="7"/>
  <c r="O1111" i="7"/>
  <c r="N1111" i="7"/>
  <c r="M1111" i="7"/>
  <c r="L1111" i="7"/>
  <c r="K1111" i="7"/>
  <c r="J1111" i="7"/>
  <c r="I1111" i="7"/>
  <c r="H1111" i="7"/>
  <c r="G1111" i="7"/>
  <c r="F1111" i="7"/>
  <c r="E1111" i="7"/>
  <c r="D1111" i="7"/>
  <c r="C1111" i="7"/>
  <c r="B1111" i="7"/>
  <c r="A1111" i="7"/>
  <c r="S1110" i="7"/>
  <c r="R1110" i="7"/>
  <c r="P1110" i="7"/>
  <c r="O1110" i="7"/>
  <c r="N1110" i="7"/>
  <c r="M1110" i="7"/>
  <c r="L1110" i="7"/>
  <c r="K1110" i="7"/>
  <c r="J1110" i="7"/>
  <c r="I1110" i="7"/>
  <c r="H1110" i="7"/>
  <c r="G1110" i="7"/>
  <c r="F1110" i="7"/>
  <c r="E1110" i="7"/>
  <c r="D1110" i="7"/>
  <c r="C1110" i="7"/>
  <c r="B1110" i="7"/>
  <c r="A1110" i="7"/>
  <c r="S1109" i="7"/>
  <c r="R1109" i="7"/>
  <c r="P1109" i="7"/>
  <c r="O1109" i="7"/>
  <c r="N1109" i="7"/>
  <c r="M1109" i="7"/>
  <c r="L1109" i="7"/>
  <c r="K1109" i="7"/>
  <c r="J1109" i="7"/>
  <c r="I1109" i="7"/>
  <c r="H1109" i="7"/>
  <c r="G1109" i="7"/>
  <c r="F1109" i="7"/>
  <c r="E1109" i="7"/>
  <c r="D1109" i="7"/>
  <c r="C1109" i="7"/>
  <c r="B1109" i="7"/>
  <c r="A1109" i="7"/>
  <c r="S1108" i="7"/>
  <c r="R1108" i="7"/>
  <c r="P1108" i="7"/>
  <c r="O1108" i="7"/>
  <c r="N1108" i="7"/>
  <c r="M1108" i="7"/>
  <c r="L1108" i="7"/>
  <c r="K1108" i="7"/>
  <c r="J1108" i="7"/>
  <c r="I1108" i="7"/>
  <c r="H1108" i="7"/>
  <c r="G1108" i="7"/>
  <c r="F1108" i="7"/>
  <c r="E1108" i="7"/>
  <c r="D1108" i="7"/>
  <c r="C1108" i="7"/>
  <c r="B1108" i="7"/>
  <c r="A1108" i="7"/>
  <c r="S1107" i="7"/>
  <c r="R1107" i="7"/>
  <c r="P1107" i="7"/>
  <c r="O1107" i="7"/>
  <c r="N1107" i="7"/>
  <c r="M1107" i="7"/>
  <c r="L1107" i="7"/>
  <c r="K1107" i="7"/>
  <c r="J1107" i="7"/>
  <c r="I1107" i="7"/>
  <c r="H1107" i="7"/>
  <c r="G1107" i="7"/>
  <c r="F1107" i="7"/>
  <c r="E1107" i="7"/>
  <c r="D1107" i="7"/>
  <c r="C1107" i="7"/>
  <c r="B1107" i="7"/>
  <c r="A1107" i="7"/>
  <c r="S1106" i="7"/>
  <c r="R1106" i="7"/>
  <c r="P1106" i="7"/>
  <c r="O1106" i="7"/>
  <c r="N1106" i="7"/>
  <c r="M1106" i="7"/>
  <c r="L1106" i="7"/>
  <c r="K1106" i="7"/>
  <c r="J1106" i="7"/>
  <c r="I1106" i="7"/>
  <c r="H1106" i="7"/>
  <c r="G1106" i="7"/>
  <c r="F1106" i="7"/>
  <c r="E1106" i="7"/>
  <c r="D1106" i="7"/>
  <c r="C1106" i="7"/>
  <c r="B1106" i="7"/>
  <c r="A1106" i="7"/>
  <c r="S1105" i="7"/>
  <c r="R1105" i="7"/>
  <c r="Q1105" i="7"/>
  <c r="P1105" i="7"/>
  <c r="O1105" i="7"/>
  <c r="N1105" i="7"/>
  <c r="M1105" i="7"/>
  <c r="L1105" i="7"/>
  <c r="K1105" i="7"/>
  <c r="J1105" i="7"/>
  <c r="I1105" i="7"/>
  <c r="H1105" i="7"/>
  <c r="G1105" i="7"/>
  <c r="F1105" i="7"/>
  <c r="E1105" i="7"/>
  <c r="D1105" i="7"/>
  <c r="C1105" i="7"/>
  <c r="B1105" i="7"/>
  <c r="A1105" i="7"/>
  <c r="S1104" i="7"/>
  <c r="R1104" i="7"/>
  <c r="P1104" i="7"/>
  <c r="O1104" i="7"/>
  <c r="N1104" i="7"/>
  <c r="M1104" i="7"/>
  <c r="L1104" i="7"/>
  <c r="K1104" i="7"/>
  <c r="J1104" i="7"/>
  <c r="I1104" i="7"/>
  <c r="H1104" i="7"/>
  <c r="G1104" i="7"/>
  <c r="F1104" i="7"/>
  <c r="E1104" i="7"/>
  <c r="D1104" i="7"/>
  <c r="C1104" i="7"/>
  <c r="B1104" i="7"/>
  <c r="A1104" i="7"/>
  <c r="S1103" i="7"/>
  <c r="M1103" i="7"/>
  <c r="L1103" i="7"/>
  <c r="K1103" i="7"/>
  <c r="J1103" i="7"/>
  <c r="I1103" i="7"/>
  <c r="H1103" i="7"/>
  <c r="G1103" i="7"/>
  <c r="F1103" i="7"/>
  <c r="E1103" i="7"/>
  <c r="D1103" i="7"/>
  <c r="C1103" i="7"/>
  <c r="B1103" i="7"/>
  <c r="A1103" i="7"/>
  <c r="S1102" i="7"/>
  <c r="R1102" i="7"/>
  <c r="P1102" i="7"/>
  <c r="O1102" i="7"/>
  <c r="N1102" i="7"/>
  <c r="M1102" i="7"/>
  <c r="L1102" i="7"/>
  <c r="K1102" i="7"/>
  <c r="J1102" i="7"/>
  <c r="I1102" i="7"/>
  <c r="H1102" i="7"/>
  <c r="G1102" i="7"/>
  <c r="F1102" i="7"/>
  <c r="E1102" i="7"/>
  <c r="D1102" i="7"/>
  <c r="C1102" i="7"/>
  <c r="B1102" i="7"/>
  <c r="A1102" i="7"/>
  <c r="S1101" i="7"/>
  <c r="Q1101" i="7"/>
  <c r="M1101" i="7"/>
  <c r="L1101" i="7"/>
  <c r="K1101" i="7"/>
  <c r="J1101" i="7"/>
  <c r="I1101" i="7"/>
  <c r="H1101" i="7"/>
  <c r="G1101" i="7"/>
  <c r="F1101" i="7"/>
  <c r="E1101" i="7"/>
  <c r="D1101" i="7"/>
  <c r="C1101" i="7"/>
  <c r="B1101" i="7"/>
  <c r="A1101" i="7"/>
  <c r="S1100" i="7"/>
  <c r="R1100" i="7"/>
  <c r="Q1100" i="7"/>
  <c r="P1100" i="7"/>
  <c r="O1100" i="7"/>
  <c r="N1100" i="7"/>
  <c r="M1100" i="7"/>
  <c r="L1100" i="7"/>
  <c r="K1100" i="7"/>
  <c r="J1100" i="7"/>
  <c r="I1100" i="7"/>
  <c r="H1100" i="7"/>
  <c r="G1100" i="7"/>
  <c r="F1100" i="7"/>
  <c r="E1100" i="7"/>
  <c r="D1100" i="7"/>
  <c r="C1100" i="7"/>
  <c r="B1100" i="7"/>
  <c r="A1100" i="7"/>
  <c r="S1099" i="7"/>
  <c r="Q1099" i="7"/>
  <c r="M1099" i="7"/>
  <c r="L1099" i="7"/>
  <c r="K1099" i="7"/>
  <c r="J1099" i="7"/>
  <c r="I1099" i="7"/>
  <c r="H1099" i="7"/>
  <c r="G1099" i="7"/>
  <c r="F1099" i="7"/>
  <c r="E1099" i="7"/>
  <c r="D1099" i="7"/>
  <c r="C1099" i="7"/>
  <c r="B1099" i="7"/>
  <c r="A1099" i="7"/>
  <c r="S1098" i="7"/>
  <c r="Q1098" i="7"/>
  <c r="M1098" i="7"/>
  <c r="L1098" i="7"/>
  <c r="K1098" i="7"/>
  <c r="J1098" i="7"/>
  <c r="I1098" i="7"/>
  <c r="H1098" i="7"/>
  <c r="G1098" i="7"/>
  <c r="F1098" i="7"/>
  <c r="E1098" i="7"/>
  <c r="D1098" i="7"/>
  <c r="C1098" i="7"/>
  <c r="B1098" i="7"/>
  <c r="A1098" i="7"/>
  <c r="S1097" i="7"/>
  <c r="R1097" i="7"/>
  <c r="Q1097" i="7"/>
  <c r="P1097" i="7"/>
  <c r="O1097" i="7"/>
  <c r="N1097" i="7"/>
  <c r="M1097" i="7"/>
  <c r="L1097" i="7"/>
  <c r="K1097" i="7"/>
  <c r="J1097" i="7"/>
  <c r="I1097" i="7"/>
  <c r="H1097" i="7"/>
  <c r="G1097" i="7"/>
  <c r="F1097" i="7"/>
  <c r="E1097" i="7"/>
  <c r="D1097" i="7"/>
  <c r="C1097" i="7"/>
  <c r="B1097" i="7"/>
  <c r="A1097" i="7"/>
  <c r="S1096" i="7"/>
  <c r="R1096" i="7"/>
  <c r="Q1096" i="7"/>
  <c r="P1096" i="7"/>
  <c r="O1096" i="7"/>
  <c r="N1096" i="7"/>
  <c r="M1096" i="7"/>
  <c r="L1096" i="7"/>
  <c r="K1096" i="7"/>
  <c r="J1096" i="7"/>
  <c r="I1096" i="7"/>
  <c r="H1096" i="7"/>
  <c r="G1096" i="7"/>
  <c r="F1096" i="7"/>
  <c r="E1096" i="7"/>
  <c r="D1096" i="7"/>
  <c r="C1096" i="7"/>
  <c r="B1096" i="7"/>
  <c r="A1096" i="7"/>
  <c r="S1095" i="7"/>
  <c r="R1095" i="7"/>
  <c r="Q1095" i="7"/>
  <c r="P1095" i="7"/>
  <c r="O1095" i="7"/>
  <c r="N1095" i="7"/>
  <c r="M1095" i="7"/>
  <c r="L1095" i="7"/>
  <c r="K1095" i="7"/>
  <c r="J1095" i="7"/>
  <c r="I1095" i="7"/>
  <c r="H1095" i="7"/>
  <c r="G1095" i="7"/>
  <c r="F1095" i="7"/>
  <c r="E1095" i="7"/>
  <c r="D1095" i="7"/>
  <c r="C1095" i="7"/>
  <c r="B1095" i="7"/>
  <c r="A1095" i="7"/>
  <c r="S1094" i="7"/>
  <c r="R1094" i="7"/>
  <c r="P1094" i="7"/>
  <c r="O1094" i="7"/>
  <c r="N1094" i="7"/>
  <c r="M1094" i="7"/>
  <c r="L1094" i="7"/>
  <c r="K1094" i="7"/>
  <c r="J1094" i="7"/>
  <c r="I1094" i="7"/>
  <c r="H1094" i="7"/>
  <c r="G1094" i="7"/>
  <c r="F1094" i="7"/>
  <c r="E1094" i="7"/>
  <c r="D1094" i="7"/>
  <c r="C1094" i="7"/>
  <c r="B1094" i="7"/>
  <c r="A1094" i="7"/>
  <c r="S1093" i="7"/>
  <c r="R1093" i="7"/>
  <c r="P1093" i="7"/>
  <c r="O1093" i="7"/>
  <c r="N1093" i="7"/>
  <c r="M1093" i="7"/>
  <c r="L1093" i="7"/>
  <c r="K1093" i="7"/>
  <c r="J1093" i="7"/>
  <c r="I1093" i="7"/>
  <c r="H1093" i="7"/>
  <c r="G1093" i="7"/>
  <c r="F1093" i="7"/>
  <c r="E1093" i="7"/>
  <c r="D1093" i="7"/>
  <c r="C1093" i="7"/>
  <c r="B1093" i="7"/>
  <c r="A1093" i="7"/>
  <c r="S1092" i="7"/>
  <c r="R1092" i="7"/>
  <c r="P1092" i="7"/>
  <c r="O1092" i="7"/>
  <c r="N1092" i="7"/>
  <c r="M1092" i="7"/>
  <c r="L1092" i="7"/>
  <c r="K1092" i="7"/>
  <c r="J1092" i="7"/>
  <c r="I1092" i="7"/>
  <c r="H1092" i="7"/>
  <c r="G1092" i="7"/>
  <c r="F1092" i="7"/>
  <c r="E1092" i="7"/>
  <c r="D1092" i="7"/>
  <c r="C1092" i="7"/>
  <c r="B1092" i="7"/>
  <c r="A1092" i="7"/>
  <c r="S1091" i="7"/>
  <c r="R1091" i="7"/>
  <c r="P1091" i="7"/>
  <c r="O1091" i="7"/>
  <c r="N1091" i="7"/>
  <c r="M1091" i="7"/>
  <c r="L1091" i="7"/>
  <c r="K1091" i="7"/>
  <c r="J1091" i="7"/>
  <c r="I1091" i="7"/>
  <c r="H1091" i="7"/>
  <c r="G1091" i="7"/>
  <c r="F1091" i="7"/>
  <c r="E1091" i="7"/>
  <c r="D1091" i="7"/>
  <c r="C1091" i="7"/>
  <c r="B1091" i="7"/>
  <c r="A1091" i="7"/>
  <c r="S1090" i="7"/>
  <c r="R1090" i="7"/>
  <c r="P1090" i="7"/>
  <c r="O1090" i="7"/>
  <c r="N1090" i="7"/>
  <c r="M1090" i="7"/>
  <c r="L1090" i="7"/>
  <c r="K1090" i="7"/>
  <c r="J1090" i="7"/>
  <c r="I1090" i="7"/>
  <c r="H1090" i="7"/>
  <c r="G1090" i="7"/>
  <c r="F1090" i="7"/>
  <c r="E1090" i="7"/>
  <c r="D1090" i="7"/>
  <c r="C1090" i="7"/>
  <c r="B1090" i="7"/>
  <c r="A1090" i="7"/>
  <c r="T1089" i="7"/>
  <c r="S1089" i="7"/>
  <c r="R1089" i="7"/>
  <c r="Q1089" i="7"/>
  <c r="P1089" i="7"/>
  <c r="O1089" i="7"/>
  <c r="N1089" i="7"/>
  <c r="M1089" i="7"/>
  <c r="L1089" i="7"/>
  <c r="K1089" i="7"/>
  <c r="J1089" i="7"/>
  <c r="I1089" i="7"/>
  <c r="H1089" i="7"/>
  <c r="G1089" i="7"/>
  <c r="F1089" i="7"/>
  <c r="E1089" i="7"/>
  <c r="D1089" i="7"/>
  <c r="C1089" i="7"/>
  <c r="B1089" i="7"/>
  <c r="A1089" i="7"/>
  <c r="S1088" i="7"/>
  <c r="R1088" i="7"/>
  <c r="Q1088" i="7"/>
  <c r="P1088" i="7"/>
  <c r="O1088" i="7"/>
  <c r="N1088" i="7"/>
  <c r="M1088" i="7"/>
  <c r="L1088" i="7"/>
  <c r="K1088" i="7"/>
  <c r="J1088" i="7"/>
  <c r="I1088" i="7"/>
  <c r="H1088" i="7"/>
  <c r="G1088" i="7"/>
  <c r="F1088" i="7"/>
  <c r="E1088" i="7"/>
  <c r="D1088" i="7"/>
  <c r="C1088" i="7"/>
  <c r="B1088" i="7"/>
  <c r="A1088" i="7"/>
  <c r="S1087" i="7"/>
  <c r="R1087" i="7"/>
  <c r="P1087" i="7"/>
  <c r="O1087" i="7"/>
  <c r="N1087" i="7"/>
  <c r="M1087" i="7"/>
  <c r="L1087" i="7"/>
  <c r="K1087" i="7"/>
  <c r="J1087" i="7"/>
  <c r="I1087" i="7"/>
  <c r="H1087" i="7"/>
  <c r="G1087" i="7"/>
  <c r="F1087" i="7"/>
  <c r="E1087" i="7"/>
  <c r="D1087" i="7"/>
  <c r="C1087" i="7"/>
  <c r="B1087" i="7"/>
  <c r="A1087" i="7"/>
  <c r="S1086" i="7"/>
  <c r="R1086" i="7"/>
  <c r="P1086" i="7"/>
  <c r="O1086" i="7"/>
  <c r="N1086" i="7"/>
  <c r="M1086" i="7"/>
  <c r="L1086" i="7"/>
  <c r="K1086" i="7"/>
  <c r="J1086" i="7"/>
  <c r="I1086" i="7"/>
  <c r="H1086" i="7"/>
  <c r="G1086" i="7"/>
  <c r="F1086" i="7"/>
  <c r="E1086" i="7"/>
  <c r="D1086" i="7"/>
  <c r="C1086" i="7"/>
  <c r="B1086" i="7"/>
  <c r="A1086" i="7"/>
  <c r="S1085" i="7"/>
  <c r="R1085" i="7"/>
  <c r="P1085" i="7"/>
  <c r="O1085" i="7"/>
  <c r="N1085" i="7"/>
  <c r="M1085" i="7"/>
  <c r="L1085" i="7"/>
  <c r="K1085" i="7"/>
  <c r="J1085" i="7"/>
  <c r="I1085" i="7"/>
  <c r="H1085" i="7"/>
  <c r="G1085" i="7"/>
  <c r="F1085" i="7"/>
  <c r="E1085" i="7"/>
  <c r="D1085" i="7"/>
  <c r="C1085" i="7"/>
  <c r="B1085" i="7"/>
  <c r="A1085" i="7"/>
  <c r="S1084" i="7"/>
  <c r="R1084" i="7"/>
  <c r="Q1084" i="7"/>
  <c r="P1084" i="7"/>
  <c r="O1084" i="7"/>
  <c r="N1084" i="7"/>
  <c r="M1084" i="7"/>
  <c r="L1084" i="7"/>
  <c r="K1084" i="7"/>
  <c r="J1084" i="7"/>
  <c r="I1084" i="7"/>
  <c r="H1084" i="7"/>
  <c r="G1084" i="7"/>
  <c r="F1084" i="7"/>
  <c r="E1084" i="7"/>
  <c r="D1084" i="7"/>
  <c r="C1084" i="7"/>
  <c r="B1084" i="7"/>
  <c r="A1084" i="7"/>
  <c r="S1083" i="7"/>
  <c r="R1083" i="7"/>
  <c r="Q1083" i="7"/>
  <c r="P1083" i="7"/>
  <c r="O1083" i="7"/>
  <c r="N1083" i="7"/>
  <c r="M1083" i="7"/>
  <c r="L1083" i="7"/>
  <c r="K1083" i="7"/>
  <c r="J1083" i="7"/>
  <c r="I1083" i="7"/>
  <c r="H1083" i="7"/>
  <c r="G1083" i="7"/>
  <c r="F1083" i="7"/>
  <c r="E1083" i="7"/>
  <c r="D1083" i="7"/>
  <c r="C1083" i="7"/>
  <c r="B1083" i="7"/>
  <c r="A1083" i="7"/>
  <c r="S1082" i="7"/>
  <c r="R1082" i="7"/>
  <c r="P1082" i="7"/>
  <c r="O1082" i="7"/>
  <c r="N1082" i="7"/>
  <c r="M1082" i="7"/>
  <c r="L1082" i="7"/>
  <c r="K1082" i="7"/>
  <c r="J1082" i="7"/>
  <c r="I1082" i="7"/>
  <c r="H1082" i="7"/>
  <c r="G1082" i="7"/>
  <c r="F1082" i="7"/>
  <c r="E1082" i="7"/>
  <c r="D1082" i="7"/>
  <c r="C1082" i="7"/>
  <c r="B1082" i="7"/>
  <c r="A1082" i="7"/>
  <c r="S1081" i="7"/>
  <c r="R1081" i="7"/>
  <c r="P1081" i="7"/>
  <c r="O1081" i="7"/>
  <c r="N1081" i="7"/>
  <c r="M1081" i="7"/>
  <c r="L1081" i="7"/>
  <c r="K1081" i="7"/>
  <c r="J1081" i="7"/>
  <c r="I1081" i="7"/>
  <c r="H1081" i="7"/>
  <c r="G1081" i="7"/>
  <c r="F1081" i="7"/>
  <c r="E1081" i="7"/>
  <c r="D1081" i="7"/>
  <c r="C1081" i="7"/>
  <c r="B1081" i="7"/>
  <c r="A1081" i="7"/>
  <c r="S1080" i="7"/>
  <c r="R1080" i="7"/>
  <c r="P1080" i="7"/>
  <c r="O1080" i="7"/>
  <c r="N1080" i="7"/>
  <c r="M1080" i="7"/>
  <c r="L1080" i="7"/>
  <c r="K1080" i="7"/>
  <c r="J1080" i="7"/>
  <c r="I1080" i="7"/>
  <c r="H1080" i="7"/>
  <c r="G1080" i="7"/>
  <c r="F1080" i="7"/>
  <c r="E1080" i="7"/>
  <c r="D1080" i="7"/>
  <c r="C1080" i="7"/>
  <c r="B1080" i="7"/>
  <c r="A1080" i="7"/>
  <c r="S1079" i="7"/>
  <c r="M1079" i="7"/>
  <c r="L1079" i="7"/>
  <c r="K1079" i="7"/>
  <c r="J1079" i="7"/>
  <c r="I1079" i="7"/>
  <c r="H1079" i="7"/>
  <c r="G1079" i="7"/>
  <c r="F1079" i="7"/>
  <c r="E1079" i="7"/>
  <c r="D1079" i="7"/>
  <c r="C1079" i="7"/>
  <c r="B1079" i="7"/>
  <c r="A1079" i="7"/>
  <c r="S1078" i="7"/>
  <c r="R1078" i="7"/>
  <c r="P1078" i="7"/>
  <c r="O1078" i="7"/>
  <c r="N1078" i="7"/>
  <c r="M1078" i="7"/>
  <c r="L1078" i="7"/>
  <c r="K1078" i="7"/>
  <c r="J1078" i="7"/>
  <c r="I1078" i="7"/>
  <c r="H1078" i="7"/>
  <c r="G1078" i="7"/>
  <c r="F1078" i="7"/>
  <c r="E1078" i="7"/>
  <c r="D1078" i="7"/>
  <c r="C1078" i="7"/>
  <c r="B1078" i="7"/>
  <c r="A1078" i="7"/>
  <c r="S1077" i="7"/>
  <c r="R1077" i="7"/>
  <c r="Q1077" i="7"/>
  <c r="P1077" i="7"/>
  <c r="O1077" i="7"/>
  <c r="N1077" i="7"/>
  <c r="M1077" i="7"/>
  <c r="L1077" i="7"/>
  <c r="K1077" i="7"/>
  <c r="J1077" i="7"/>
  <c r="I1077" i="7"/>
  <c r="H1077" i="7"/>
  <c r="G1077" i="7"/>
  <c r="F1077" i="7"/>
  <c r="E1077" i="7"/>
  <c r="D1077" i="7"/>
  <c r="C1077" i="7"/>
  <c r="B1077" i="7"/>
  <c r="A1077" i="7"/>
  <c r="S1076" i="7"/>
  <c r="R1076" i="7"/>
  <c r="P1076" i="7"/>
  <c r="O1076" i="7"/>
  <c r="N1076" i="7"/>
  <c r="M1076" i="7"/>
  <c r="L1076" i="7"/>
  <c r="K1076" i="7"/>
  <c r="J1076" i="7"/>
  <c r="I1076" i="7"/>
  <c r="H1076" i="7"/>
  <c r="G1076" i="7"/>
  <c r="F1076" i="7"/>
  <c r="E1076" i="7"/>
  <c r="D1076" i="7"/>
  <c r="C1076" i="7"/>
  <c r="B1076" i="7"/>
  <c r="A1076" i="7"/>
  <c r="S1075" i="7"/>
  <c r="R1075" i="7"/>
  <c r="P1075" i="7"/>
  <c r="O1075" i="7"/>
  <c r="N1075" i="7"/>
  <c r="M1075" i="7"/>
  <c r="L1075" i="7"/>
  <c r="K1075" i="7"/>
  <c r="J1075" i="7"/>
  <c r="I1075" i="7"/>
  <c r="H1075" i="7"/>
  <c r="G1075" i="7"/>
  <c r="F1075" i="7"/>
  <c r="E1075" i="7"/>
  <c r="D1075" i="7"/>
  <c r="C1075" i="7"/>
  <c r="B1075" i="7"/>
  <c r="A1075" i="7"/>
  <c r="S1074" i="7"/>
  <c r="R1074" i="7"/>
  <c r="P1074" i="7"/>
  <c r="O1074" i="7"/>
  <c r="N1074" i="7"/>
  <c r="M1074" i="7"/>
  <c r="L1074" i="7"/>
  <c r="K1074" i="7"/>
  <c r="J1074" i="7"/>
  <c r="I1074" i="7"/>
  <c r="H1074" i="7"/>
  <c r="G1074" i="7"/>
  <c r="F1074" i="7"/>
  <c r="E1074" i="7"/>
  <c r="D1074" i="7"/>
  <c r="C1074" i="7"/>
  <c r="B1074" i="7"/>
  <c r="A1074" i="7"/>
  <c r="S1073" i="7"/>
  <c r="R1073" i="7"/>
  <c r="P1073" i="7"/>
  <c r="O1073" i="7"/>
  <c r="N1073" i="7"/>
  <c r="M1073" i="7"/>
  <c r="L1073" i="7"/>
  <c r="K1073" i="7"/>
  <c r="J1073" i="7"/>
  <c r="I1073" i="7"/>
  <c r="H1073" i="7"/>
  <c r="G1073" i="7"/>
  <c r="F1073" i="7"/>
  <c r="E1073" i="7"/>
  <c r="D1073" i="7"/>
  <c r="C1073" i="7"/>
  <c r="B1073" i="7"/>
  <c r="A1073" i="7"/>
  <c r="S1072" i="7"/>
  <c r="R1072" i="7"/>
  <c r="Q1072" i="7"/>
  <c r="P1072" i="7"/>
  <c r="O1072" i="7"/>
  <c r="N1072" i="7"/>
  <c r="M1072" i="7"/>
  <c r="L1072" i="7"/>
  <c r="K1072" i="7"/>
  <c r="J1072" i="7"/>
  <c r="I1072" i="7"/>
  <c r="H1072" i="7"/>
  <c r="G1072" i="7"/>
  <c r="F1072" i="7"/>
  <c r="E1072" i="7"/>
  <c r="D1072" i="7"/>
  <c r="C1072" i="7"/>
  <c r="B1072" i="7"/>
  <c r="A1072" i="7"/>
  <c r="S1071" i="7"/>
  <c r="R1071" i="7"/>
  <c r="P1071" i="7"/>
  <c r="O1071" i="7"/>
  <c r="N1071" i="7"/>
  <c r="M1071" i="7"/>
  <c r="L1071" i="7"/>
  <c r="K1071" i="7"/>
  <c r="J1071" i="7"/>
  <c r="I1071" i="7"/>
  <c r="H1071" i="7"/>
  <c r="G1071" i="7"/>
  <c r="F1071" i="7"/>
  <c r="E1071" i="7"/>
  <c r="D1071" i="7"/>
  <c r="C1071" i="7"/>
  <c r="B1071" i="7"/>
  <c r="A1071" i="7"/>
  <c r="S1070" i="7"/>
  <c r="R1070" i="7"/>
  <c r="P1070" i="7"/>
  <c r="O1070" i="7"/>
  <c r="N1070" i="7"/>
  <c r="M1070" i="7"/>
  <c r="L1070" i="7"/>
  <c r="K1070" i="7"/>
  <c r="J1070" i="7"/>
  <c r="I1070" i="7"/>
  <c r="H1070" i="7"/>
  <c r="G1070" i="7"/>
  <c r="F1070" i="7"/>
  <c r="E1070" i="7"/>
  <c r="D1070" i="7"/>
  <c r="C1070" i="7"/>
  <c r="B1070" i="7"/>
  <c r="A1070" i="7"/>
  <c r="S1069" i="7"/>
  <c r="R1069" i="7"/>
  <c r="P1069" i="7"/>
  <c r="O1069" i="7"/>
  <c r="N1069" i="7"/>
  <c r="M1069" i="7"/>
  <c r="L1069" i="7"/>
  <c r="K1069" i="7"/>
  <c r="J1069" i="7"/>
  <c r="I1069" i="7"/>
  <c r="H1069" i="7"/>
  <c r="G1069" i="7"/>
  <c r="F1069" i="7"/>
  <c r="E1069" i="7"/>
  <c r="D1069" i="7"/>
  <c r="C1069" i="7"/>
  <c r="B1069" i="7"/>
  <c r="A1069" i="7"/>
  <c r="S1068" i="7"/>
  <c r="R1068" i="7"/>
  <c r="P1068" i="7"/>
  <c r="O1068" i="7"/>
  <c r="N1068" i="7"/>
  <c r="M1068" i="7"/>
  <c r="L1068" i="7"/>
  <c r="K1068" i="7"/>
  <c r="J1068" i="7"/>
  <c r="I1068" i="7"/>
  <c r="H1068" i="7"/>
  <c r="G1068" i="7"/>
  <c r="F1068" i="7"/>
  <c r="E1068" i="7"/>
  <c r="D1068" i="7"/>
  <c r="C1068" i="7"/>
  <c r="B1068" i="7"/>
  <c r="A1068" i="7"/>
  <c r="S1067" i="7"/>
  <c r="R1067" i="7"/>
  <c r="P1067" i="7"/>
  <c r="O1067" i="7"/>
  <c r="N1067" i="7"/>
  <c r="M1067" i="7"/>
  <c r="L1067" i="7"/>
  <c r="K1067" i="7"/>
  <c r="J1067" i="7"/>
  <c r="I1067" i="7"/>
  <c r="H1067" i="7"/>
  <c r="G1067" i="7"/>
  <c r="F1067" i="7"/>
  <c r="E1067" i="7"/>
  <c r="D1067" i="7"/>
  <c r="C1067" i="7"/>
  <c r="B1067" i="7"/>
  <c r="A1067" i="7"/>
  <c r="S1066" i="7"/>
  <c r="R1066" i="7"/>
  <c r="P1066" i="7"/>
  <c r="O1066" i="7"/>
  <c r="N1066" i="7"/>
  <c r="M1066" i="7"/>
  <c r="L1066" i="7"/>
  <c r="K1066" i="7"/>
  <c r="J1066" i="7"/>
  <c r="I1066" i="7"/>
  <c r="H1066" i="7"/>
  <c r="G1066" i="7"/>
  <c r="F1066" i="7"/>
  <c r="E1066" i="7"/>
  <c r="D1066" i="7"/>
  <c r="C1066" i="7"/>
  <c r="B1066" i="7"/>
  <c r="A1066" i="7"/>
  <c r="S1065" i="7"/>
  <c r="R1065" i="7"/>
  <c r="P1065" i="7"/>
  <c r="O1065" i="7"/>
  <c r="N1065" i="7"/>
  <c r="M1065" i="7"/>
  <c r="L1065" i="7"/>
  <c r="K1065" i="7"/>
  <c r="J1065" i="7"/>
  <c r="I1065" i="7"/>
  <c r="H1065" i="7"/>
  <c r="G1065" i="7"/>
  <c r="F1065" i="7"/>
  <c r="E1065" i="7"/>
  <c r="D1065" i="7"/>
  <c r="C1065" i="7"/>
  <c r="B1065" i="7"/>
  <c r="A1065" i="7"/>
  <c r="S1064" i="7"/>
  <c r="R1064" i="7"/>
  <c r="P1064" i="7"/>
  <c r="O1064" i="7"/>
  <c r="N1064" i="7"/>
  <c r="M1064" i="7"/>
  <c r="L1064" i="7"/>
  <c r="K1064" i="7"/>
  <c r="J1064" i="7"/>
  <c r="I1064" i="7"/>
  <c r="H1064" i="7"/>
  <c r="G1064" i="7"/>
  <c r="F1064" i="7"/>
  <c r="E1064" i="7"/>
  <c r="D1064" i="7"/>
  <c r="C1064" i="7"/>
  <c r="B1064" i="7"/>
  <c r="A1064" i="7"/>
  <c r="S1063" i="7"/>
  <c r="R1063" i="7"/>
  <c r="P1063" i="7"/>
  <c r="O1063" i="7"/>
  <c r="N1063" i="7"/>
  <c r="M1063" i="7"/>
  <c r="L1063" i="7"/>
  <c r="K1063" i="7"/>
  <c r="J1063" i="7"/>
  <c r="I1063" i="7"/>
  <c r="H1063" i="7"/>
  <c r="G1063" i="7"/>
  <c r="F1063" i="7"/>
  <c r="E1063" i="7"/>
  <c r="D1063" i="7"/>
  <c r="C1063" i="7"/>
  <c r="B1063" i="7"/>
  <c r="A1063" i="7"/>
  <c r="S1062" i="7"/>
  <c r="R1062" i="7"/>
  <c r="P1062" i="7"/>
  <c r="O1062" i="7"/>
  <c r="N1062" i="7"/>
  <c r="M1062" i="7"/>
  <c r="L1062" i="7"/>
  <c r="K1062" i="7"/>
  <c r="J1062" i="7"/>
  <c r="I1062" i="7"/>
  <c r="H1062" i="7"/>
  <c r="G1062" i="7"/>
  <c r="F1062" i="7"/>
  <c r="E1062" i="7"/>
  <c r="D1062" i="7"/>
  <c r="C1062" i="7"/>
  <c r="B1062" i="7"/>
  <c r="A1062" i="7"/>
  <c r="S1061" i="7"/>
  <c r="R1061" i="7"/>
  <c r="P1061" i="7"/>
  <c r="O1061" i="7"/>
  <c r="N1061" i="7"/>
  <c r="M1061" i="7"/>
  <c r="L1061" i="7"/>
  <c r="K1061" i="7"/>
  <c r="J1061" i="7"/>
  <c r="I1061" i="7"/>
  <c r="H1061" i="7"/>
  <c r="G1061" i="7"/>
  <c r="F1061" i="7"/>
  <c r="E1061" i="7"/>
  <c r="D1061" i="7"/>
  <c r="C1061" i="7"/>
  <c r="B1061" i="7"/>
  <c r="A1061" i="7"/>
  <c r="S1060" i="7"/>
  <c r="R1060" i="7"/>
  <c r="Q1060" i="7"/>
  <c r="P1060" i="7"/>
  <c r="O1060" i="7"/>
  <c r="N1060" i="7"/>
  <c r="M1060" i="7"/>
  <c r="L1060" i="7"/>
  <c r="K1060" i="7"/>
  <c r="J1060" i="7"/>
  <c r="I1060" i="7"/>
  <c r="H1060" i="7"/>
  <c r="G1060" i="7"/>
  <c r="F1060" i="7"/>
  <c r="E1060" i="7"/>
  <c r="D1060" i="7"/>
  <c r="C1060" i="7"/>
  <c r="B1060" i="7"/>
  <c r="A1060" i="7"/>
  <c r="S1059" i="7"/>
  <c r="R1059" i="7"/>
  <c r="Q1059" i="7"/>
  <c r="P1059" i="7"/>
  <c r="O1059" i="7"/>
  <c r="N1059" i="7"/>
  <c r="M1059" i="7"/>
  <c r="L1059" i="7"/>
  <c r="K1059" i="7"/>
  <c r="J1059" i="7"/>
  <c r="I1059" i="7"/>
  <c r="H1059" i="7"/>
  <c r="G1059" i="7"/>
  <c r="F1059" i="7"/>
  <c r="E1059" i="7"/>
  <c r="D1059" i="7"/>
  <c r="C1059" i="7"/>
  <c r="B1059" i="7"/>
  <c r="A1059" i="7"/>
  <c r="S1058" i="7"/>
  <c r="R1058" i="7"/>
  <c r="P1058" i="7"/>
  <c r="O1058" i="7"/>
  <c r="N1058" i="7"/>
  <c r="M1058" i="7"/>
  <c r="L1058" i="7"/>
  <c r="K1058" i="7"/>
  <c r="J1058" i="7"/>
  <c r="I1058" i="7"/>
  <c r="H1058" i="7"/>
  <c r="G1058" i="7"/>
  <c r="F1058" i="7"/>
  <c r="E1058" i="7"/>
  <c r="D1058" i="7"/>
  <c r="C1058" i="7"/>
  <c r="B1058" i="7"/>
  <c r="A1058" i="7"/>
  <c r="T1057" i="7"/>
  <c r="S1057" i="7"/>
  <c r="R1057" i="7"/>
  <c r="Q1057" i="7"/>
  <c r="P1057" i="7"/>
  <c r="O1057" i="7"/>
  <c r="N1057" i="7"/>
  <c r="M1057" i="7"/>
  <c r="L1057" i="7"/>
  <c r="K1057" i="7"/>
  <c r="J1057" i="7"/>
  <c r="I1057" i="7"/>
  <c r="H1057" i="7"/>
  <c r="G1057" i="7"/>
  <c r="F1057" i="7"/>
  <c r="E1057" i="7"/>
  <c r="D1057" i="7"/>
  <c r="C1057" i="7"/>
  <c r="B1057" i="7"/>
  <c r="A1057" i="7"/>
  <c r="S1056" i="7"/>
  <c r="R1056" i="7"/>
  <c r="P1056" i="7"/>
  <c r="O1056" i="7"/>
  <c r="N1056" i="7"/>
  <c r="M1056" i="7"/>
  <c r="L1056" i="7"/>
  <c r="K1056" i="7"/>
  <c r="J1056" i="7"/>
  <c r="I1056" i="7"/>
  <c r="H1056" i="7"/>
  <c r="G1056" i="7"/>
  <c r="F1056" i="7"/>
  <c r="E1056" i="7"/>
  <c r="D1056" i="7"/>
  <c r="C1056" i="7"/>
  <c r="B1056" i="7"/>
  <c r="A1056" i="7"/>
  <c r="S1055" i="7"/>
  <c r="R1055" i="7"/>
  <c r="P1055" i="7"/>
  <c r="O1055" i="7"/>
  <c r="N1055" i="7"/>
  <c r="M1055" i="7"/>
  <c r="L1055" i="7"/>
  <c r="K1055" i="7"/>
  <c r="J1055" i="7"/>
  <c r="I1055" i="7"/>
  <c r="H1055" i="7"/>
  <c r="G1055" i="7"/>
  <c r="F1055" i="7"/>
  <c r="E1055" i="7"/>
  <c r="D1055" i="7"/>
  <c r="C1055" i="7"/>
  <c r="B1055" i="7"/>
  <c r="A1055" i="7"/>
  <c r="S1054" i="7"/>
  <c r="R1054" i="7"/>
  <c r="P1054" i="7"/>
  <c r="O1054" i="7"/>
  <c r="N1054" i="7"/>
  <c r="M1054" i="7"/>
  <c r="L1054" i="7"/>
  <c r="K1054" i="7"/>
  <c r="J1054" i="7"/>
  <c r="I1054" i="7"/>
  <c r="H1054" i="7"/>
  <c r="G1054" i="7"/>
  <c r="F1054" i="7"/>
  <c r="E1054" i="7"/>
  <c r="D1054" i="7"/>
  <c r="C1054" i="7"/>
  <c r="B1054" i="7"/>
  <c r="A1054" i="7"/>
  <c r="S1053" i="7"/>
  <c r="R1053" i="7"/>
  <c r="Q1053" i="7"/>
  <c r="P1053" i="7"/>
  <c r="O1053" i="7"/>
  <c r="N1053" i="7"/>
  <c r="M1053" i="7"/>
  <c r="L1053" i="7"/>
  <c r="K1053" i="7"/>
  <c r="J1053" i="7"/>
  <c r="I1053" i="7"/>
  <c r="H1053" i="7"/>
  <c r="G1053" i="7"/>
  <c r="F1053" i="7"/>
  <c r="E1053" i="7"/>
  <c r="D1053" i="7"/>
  <c r="C1053" i="7"/>
  <c r="B1053" i="7"/>
  <c r="A1053" i="7"/>
  <c r="S1052" i="7"/>
  <c r="M1052" i="7"/>
  <c r="L1052" i="7"/>
  <c r="K1052" i="7"/>
  <c r="J1052" i="7"/>
  <c r="I1052" i="7"/>
  <c r="H1052" i="7"/>
  <c r="G1052" i="7"/>
  <c r="F1052" i="7"/>
  <c r="E1052" i="7"/>
  <c r="D1052" i="7"/>
  <c r="C1052" i="7"/>
  <c r="B1052" i="7"/>
  <c r="A1052" i="7"/>
  <c r="S1051" i="7"/>
  <c r="R1051" i="7"/>
  <c r="P1051" i="7"/>
  <c r="O1051" i="7"/>
  <c r="N1051" i="7"/>
  <c r="M1051" i="7"/>
  <c r="L1051" i="7"/>
  <c r="K1051" i="7"/>
  <c r="J1051" i="7"/>
  <c r="I1051" i="7"/>
  <c r="H1051" i="7"/>
  <c r="G1051" i="7"/>
  <c r="F1051" i="7"/>
  <c r="E1051" i="7"/>
  <c r="D1051" i="7"/>
  <c r="C1051" i="7"/>
  <c r="B1051" i="7"/>
  <c r="A1051" i="7"/>
  <c r="S1050" i="7"/>
  <c r="M1050" i="7"/>
  <c r="L1050" i="7"/>
  <c r="K1050" i="7"/>
  <c r="J1050" i="7"/>
  <c r="I1050" i="7"/>
  <c r="H1050" i="7"/>
  <c r="G1050" i="7"/>
  <c r="F1050" i="7"/>
  <c r="E1050" i="7"/>
  <c r="D1050" i="7"/>
  <c r="C1050" i="7"/>
  <c r="B1050" i="7"/>
  <c r="A1050" i="7"/>
  <c r="S1049" i="7"/>
  <c r="R1049" i="7"/>
  <c r="P1049" i="7"/>
  <c r="O1049" i="7"/>
  <c r="N1049" i="7"/>
  <c r="M1049" i="7"/>
  <c r="L1049" i="7"/>
  <c r="K1049" i="7"/>
  <c r="J1049" i="7"/>
  <c r="I1049" i="7"/>
  <c r="H1049" i="7"/>
  <c r="G1049" i="7"/>
  <c r="F1049" i="7"/>
  <c r="E1049" i="7"/>
  <c r="D1049" i="7"/>
  <c r="C1049" i="7"/>
  <c r="B1049" i="7"/>
  <c r="A1049" i="7"/>
  <c r="S1048" i="7"/>
  <c r="R1048" i="7"/>
  <c r="P1048" i="7"/>
  <c r="O1048" i="7"/>
  <c r="N1048" i="7"/>
  <c r="M1048" i="7"/>
  <c r="L1048" i="7"/>
  <c r="K1048" i="7"/>
  <c r="J1048" i="7"/>
  <c r="I1048" i="7"/>
  <c r="H1048" i="7"/>
  <c r="G1048" i="7"/>
  <c r="F1048" i="7"/>
  <c r="E1048" i="7"/>
  <c r="D1048" i="7"/>
  <c r="C1048" i="7"/>
  <c r="B1048" i="7"/>
  <c r="A1048" i="7"/>
  <c r="S1047" i="7"/>
  <c r="R1047" i="7"/>
  <c r="Q1047" i="7"/>
  <c r="P1047" i="7"/>
  <c r="O1047" i="7"/>
  <c r="N1047" i="7"/>
  <c r="M1047" i="7"/>
  <c r="L1047" i="7"/>
  <c r="K1047" i="7"/>
  <c r="J1047" i="7"/>
  <c r="I1047" i="7"/>
  <c r="H1047" i="7"/>
  <c r="G1047" i="7"/>
  <c r="F1047" i="7"/>
  <c r="E1047" i="7"/>
  <c r="D1047" i="7"/>
  <c r="C1047" i="7"/>
  <c r="B1047" i="7"/>
  <c r="A1047" i="7"/>
  <c r="S1046" i="7"/>
  <c r="R1046" i="7"/>
  <c r="P1046" i="7"/>
  <c r="O1046" i="7"/>
  <c r="N1046" i="7"/>
  <c r="M1046" i="7"/>
  <c r="L1046" i="7"/>
  <c r="K1046" i="7"/>
  <c r="J1046" i="7"/>
  <c r="I1046" i="7"/>
  <c r="H1046" i="7"/>
  <c r="G1046" i="7"/>
  <c r="F1046" i="7"/>
  <c r="E1046" i="7"/>
  <c r="D1046" i="7"/>
  <c r="C1046" i="7"/>
  <c r="B1046" i="7"/>
  <c r="A1046" i="7"/>
  <c r="S1045" i="7"/>
  <c r="M1045" i="7"/>
  <c r="L1045" i="7"/>
  <c r="K1045" i="7"/>
  <c r="J1045" i="7"/>
  <c r="I1045" i="7"/>
  <c r="H1045" i="7"/>
  <c r="G1045" i="7"/>
  <c r="F1045" i="7"/>
  <c r="E1045" i="7"/>
  <c r="D1045" i="7"/>
  <c r="C1045" i="7"/>
  <c r="B1045" i="7"/>
  <c r="A1045" i="7"/>
  <c r="S1044" i="7"/>
  <c r="R1044" i="7"/>
  <c r="Q1044" i="7"/>
  <c r="P1044" i="7"/>
  <c r="O1044" i="7"/>
  <c r="N1044" i="7"/>
  <c r="M1044" i="7"/>
  <c r="L1044" i="7"/>
  <c r="K1044" i="7"/>
  <c r="J1044" i="7"/>
  <c r="I1044" i="7"/>
  <c r="H1044" i="7"/>
  <c r="G1044" i="7"/>
  <c r="F1044" i="7"/>
  <c r="E1044" i="7"/>
  <c r="D1044" i="7"/>
  <c r="C1044" i="7"/>
  <c r="B1044" i="7"/>
  <c r="A1044" i="7"/>
  <c r="S1043" i="7"/>
  <c r="R1043" i="7"/>
  <c r="P1043" i="7"/>
  <c r="O1043" i="7"/>
  <c r="N1043" i="7"/>
  <c r="M1043" i="7"/>
  <c r="L1043" i="7"/>
  <c r="K1043" i="7"/>
  <c r="J1043" i="7"/>
  <c r="I1043" i="7"/>
  <c r="H1043" i="7"/>
  <c r="G1043" i="7"/>
  <c r="F1043" i="7"/>
  <c r="E1043" i="7"/>
  <c r="D1043" i="7"/>
  <c r="C1043" i="7"/>
  <c r="B1043" i="7"/>
  <c r="A1043" i="7"/>
  <c r="S1042" i="7"/>
  <c r="R1042" i="7"/>
  <c r="P1042" i="7"/>
  <c r="O1042" i="7"/>
  <c r="N1042" i="7"/>
  <c r="M1042" i="7"/>
  <c r="L1042" i="7"/>
  <c r="K1042" i="7"/>
  <c r="J1042" i="7"/>
  <c r="I1042" i="7"/>
  <c r="H1042" i="7"/>
  <c r="G1042" i="7"/>
  <c r="F1042" i="7"/>
  <c r="E1042" i="7"/>
  <c r="D1042" i="7"/>
  <c r="C1042" i="7"/>
  <c r="B1042" i="7"/>
  <c r="A1042" i="7"/>
  <c r="S1041" i="7"/>
  <c r="R1041" i="7"/>
  <c r="P1041" i="7"/>
  <c r="O1041" i="7"/>
  <c r="N1041" i="7"/>
  <c r="M1041" i="7"/>
  <c r="L1041" i="7"/>
  <c r="K1041" i="7"/>
  <c r="J1041" i="7"/>
  <c r="I1041" i="7"/>
  <c r="H1041" i="7"/>
  <c r="G1041" i="7"/>
  <c r="F1041" i="7"/>
  <c r="E1041" i="7"/>
  <c r="D1041" i="7"/>
  <c r="C1041" i="7"/>
  <c r="B1041" i="7"/>
  <c r="A1041" i="7"/>
  <c r="S1040" i="7"/>
  <c r="R1040" i="7"/>
  <c r="P1040" i="7"/>
  <c r="O1040" i="7"/>
  <c r="N1040" i="7"/>
  <c r="M1040" i="7"/>
  <c r="L1040" i="7"/>
  <c r="K1040" i="7"/>
  <c r="J1040" i="7"/>
  <c r="I1040" i="7"/>
  <c r="H1040" i="7"/>
  <c r="G1040" i="7"/>
  <c r="F1040" i="7"/>
  <c r="E1040" i="7"/>
  <c r="D1040" i="7"/>
  <c r="C1040" i="7"/>
  <c r="B1040" i="7"/>
  <c r="A1040" i="7"/>
  <c r="T1039" i="7"/>
  <c r="S1039" i="7"/>
  <c r="R1039" i="7"/>
  <c r="Q1039" i="7"/>
  <c r="P1039" i="7"/>
  <c r="O1039" i="7"/>
  <c r="N1039" i="7"/>
  <c r="M1039" i="7"/>
  <c r="L1039" i="7"/>
  <c r="K1039" i="7"/>
  <c r="J1039" i="7"/>
  <c r="I1039" i="7"/>
  <c r="H1039" i="7"/>
  <c r="G1039" i="7"/>
  <c r="F1039" i="7"/>
  <c r="E1039" i="7"/>
  <c r="D1039" i="7"/>
  <c r="C1039" i="7"/>
  <c r="B1039" i="7"/>
  <c r="A1039" i="7"/>
  <c r="S1038" i="7"/>
  <c r="R1038" i="7"/>
  <c r="Q1038" i="7"/>
  <c r="P1038" i="7"/>
  <c r="O1038" i="7"/>
  <c r="N1038" i="7"/>
  <c r="M1038" i="7"/>
  <c r="L1038" i="7"/>
  <c r="K1038" i="7"/>
  <c r="J1038" i="7"/>
  <c r="I1038" i="7"/>
  <c r="H1038" i="7"/>
  <c r="G1038" i="7"/>
  <c r="F1038" i="7"/>
  <c r="E1038" i="7"/>
  <c r="D1038" i="7"/>
  <c r="C1038" i="7"/>
  <c r="B1038" i="7"/>
  <c r="A1038" i="7"/>
  <c r="S1037" i="7"/>
  <c r="R1037" i="7"/>
  <c r="P1037" i="7"/>
  <c r="O1037" i="7"/>
  <c r="N1037" i="7"/>
  <c r="M1037" i="7"/>
  <c r="L1037" i="7"/>
  <c r="K1037" i="7"/>
  <c r="J1037" i="7"/>
  <c r="I1037" i="7"/>
  <c r="H1037" i="7"/>
  <c r="G1037" i="7"/>
  <c r="F1037" i="7"/>
  <c r="E1037" i="7"/>
  <c r="D1037" i="7"/>
  <c r="C1037" i="7"/>
  <c r="B1037" i="7"/>
  <c r="A1037" i="7"/>
  <c r="S1036" i="7"/>
  <c r="R1036" i="7"/>
  <c r="Q1036" i="7"/>
  <c r="P1036" i="7"/>
  <c r="O1036" i="7"/>
  <c r="N1036" i="7"/>
  <c r="M1036" i="7"/>
  <c r="L1036" i="7"/>
  <c r="K1036" i="7"/>
  <c r="J1036" i="7"/>
  <c r="I1036" i="7"/>
  <c r="H1036" i="7"/>
  <c r="G1036" i="7"/>
  <c r="F1036" i="7"/>
  <c r="E1036" i="7"/>
  <c r="D1036" i="7"/>
  <c r="C1036" i="7"/>
  <c r="B1036" i="7"/>
  <c r="A1036" i="7"/>
  <c r="S1035" i="7"/>
  <c r="R1035" i="7"/>
  <c r="P1035" i="7"/>
  <c r="O1035" i="7"/>
  <c r="N1035" i="7"/>
  <c r="M1035" i="7"/>
  <c r="L1035" i="7"/>
  <c r="K1035" i="7"/>
  <c r="J1035" i="7"/>
  <c r="I1035" i="7"/>
  <c r="H1035" i="7"/>
  <c r="G1035" i="7"/>
  <c r="F1035" i="7"/>
  <c r="E1035" i="7"/>
  <c r="D1035" i="7"/>
  <c r="C1035" i="7"/>
  <c r="B1035" i="7"/>
  <c r="A1035" i="7"/>
  <c r="S1034" i="7"/>
  <c r="R1034" i="7"/>
  <c r="P1034" i="7"/>
  <c r="O1034" i="7"/>
  <c r="N1034" i="7"/>
  <c r="M1034" i="7"/>
  <c r="L1034" i="7"/>
  <c r="K1034" i="7"/>
  <c r="J1034" i="7"/>
  <c r="I1034" i="7"/>
  <c r="H1034" i="7"/>
  <c r="G1034" i="7"/>
  <c r="F1034" i="7"/>
  <c r="E1034" i="7"/>
  <c r="D1034" i="7"/>
  <c r="C1034" i="7"/>
  <c r="B1034" i="7"/>
  <c r="A1034" i="7"/>
  <c r="S1033" i="7"/>
  <c r="R1033" i="7"/>
  <c r="P1033" i="7"/>
  <c r="O1033" i="7"/>
  <c r="N1033" i="7"/>
  <c r="M1033" i="7"/>
  <c r="L1033" i="7"/>
  <c r="K1033" i="7"/>
  <c r="J1033" i="7"/>
  <c r="I1033" i="7"/>
  <c r="H1033" i="7"/>
  <c r="G1033" i="7"/>
  <c r="F1033" i="7"/>
  <c r="E1033" i="7"/>
  <c r="D1033" i="7"/>
  <c r="C1033" i="7"/>
  <c r="B1033" i="7"/>
  <c r="A1033" i="7"/>
  <c r="S1032" i="7"/>
  <c r="M1032" i="7"/>
  <c r="L1032" i="7"/>
  <c r="K1032" i="7"/>
  <c r="J1032" i="7"/>
  <c r="I1032" i="7"/>
  <c r="H1032" i="7"/>
  <c r="G1032" i="7"/>
  <c r="F1032" i="7"/>
  <c r="E1032" i="7"/>
  <c r="D1032" i="7"/>
  <c r="C1032" i="7"/>
  <c r="B1032" i="7"/>
  <c r="A1032" i="7"/>
  <c r="S1031" i="7"/>
  <c r="R1031" i="7"/>
  <c r="P1031" i="7"/>
  <c r="O1031" i="7"/>
  <c r="N1031" i="7"/>
  <c r="M1031" i="7"/>
  <c r="L1031" i="7"/>
  <c r="K1031" i="7"/>
  <c r="J1031" i="7"/>
  <c r="I1031" i="7"/>
  <c r="H1031" i="7"/>
  <c r="G1031" i="7"/>
  <c r="F1031" i="7"/>
  <c r="E1031" i="7"/>
  <c r="D1031" i="7"/>
  <c r="C1031" i="7"/>
  <c r="B1031" i="7"/>
  <c r="A1031" i="7"/>
  <c r="S1030" i="7"/>
  <c r="R1030" i="7"/>
  <c r="P1030" i="7"/>
  <c r="O1030" i="7"/>
  <c r="N1030" i="7"/>
  <c r="M1030" i="7"/>
  <c r="L1030" i="7"/>
  <c r="K1030" i="7"/>
  <c r="J1030" i="7"/>
  <c r="I1030" i="7"/>
  <c r="H1030" i="7"/>
  <c r="G1030" i="7"/>
  <c r="F1030" i="7"/>
  <c r="E1030" i="7"/>
  <c r="D1030" i="7"/>
  <c r="C1030" i="7"/>
  <c r="B1030" i="7"/>
  <c r="A1030" i="7"/>
  <c r="S1029" i="7"/>
  <c r="R1029" i="7"/>
  <c r="P1029" i="7"/>
  <c r="O1029" i="7"/>
  <c r="N1029" i="7"/>
  <c r="M1029" i="7"/>
  <c r="L1029" i="7"/>
  <c r="K1029" i="7"/>
  <c r="J1029" i="7"/>
  <c r="I1029" i="7"/>
  <c r="H1029" i="7"/>
  <c r="G1029" i="7"/>
  <c r="F1029" i="7"/>
  <c r="E1029" i="7"/>
  <c r="D1029" i="7"/>
  <c r="C1029" i="7"/>
  <c r="B1029" i="7"/>
  <c r="A1029" i="7"/>
  <c r="S1028" i="7"/>
  <c r="R1028" i="7"/>
  <c r="P1028" i="7"/>
  <c r="O1028" i="7"/>
  <c r="N1028" i="7"/>
  <c r="M1028" i="7"/>
  <c r="L1028" i="7"/>
  <c r="K1028" i="7"/>
  <c r="J1028" i="7"/>
  <c r="I1028" i="7"/>
  <c r="H1028" i="7"/>
  <c r="G1028" i="7"/>
  <c r="F1028" i="7"/>
  <c r="E1028" i="7"/>
  <c r="D1028" i="7"/>
  <c r="C1028" i="7"/>
  <c r="B1028" i="7"/>
  <c r="A1028" i="7"/>
  <c r="S1027" i="7"/>
  <c r="R1027" i="7"/>
  <c r="P1027" i="7"/>
  <c r="O1027" i="7"/>
  <c r="N1027" i="7"/>
  <c r="M1027" i="7"/>
  <c r="L1027" i="7"/>
  <c r="K1027" i="7"/>
  <c r="J1027" i="7"/>
  <c r="I1027" i="7"/>
  <c r="H1027" i="7"/>
  <c r="G1027" i="7"/>
  <c r="F1027" i="7"/>
  <c r="E1027" i="7"/>
  <c r="D1027" i="7"/>
  <c r="C1027" i="7"/>
  <c r="B1027" i="7"/>
  <c r="A1027" i="7"/>
  <c r="T1026" i="7"/>
  <c r="S1026" i="7"/>
  <c r="R1026" i="7"/>
  <c r="Q1026" i="7"/>
  <c r="P1026" i="7"/>
  <c r="O1026" i="7"/>
  <c r="N1026" i="7"/>
  <c r="M1026" i="7"/>
  <c r="L1026" i="7"/>
  <c r="K1026" i="7"/>
  <c r="J1026" i="7"/>
  <c r="I1026" i="7"/>
  <c r="H1026" i="7"/>
  <c r="G1026" i="7"/>
  <c r="F1026" i="7"/>
  <c r="E1026" i="7"/>
  <c r="D1026" i="7"/>
  <c r="C1026" i="7"/>
  <c r="B1026" i="7"/>
  <c r="A1026" i="7"/>
  <c r="S1025" i="7"/>
  <c r="R1025" i="7"/>
  <c r="P1025" i="7"/>
  <c r="O1025" i="7"/>
  <c r="N1025" i="7"/>
  <c r="M1025" i="7"/>
  <c r="L1025" i="7"/>
  <c r="K1025" i="7"/>
  <c r="J1025" i="7"/>
  <c r="I1025" i="7"/>
  <c r="H1025" i="7"/>
  <c r="G1025" i="7"/>
  <c r="F1025" i="7"/>
  <c r="E1025" i="7"/>
  <c r="D1025" i="7"/>
  <c r="C1025" i="7"/>
  <c r="B1025" i="7"/>
  <c r="A1025" i="7"/>
  <c r="S1024" i="7"/>
  <c r="R1024" i="7"/>
  <c r="P1024" i="7"/>
  <c r="O1024" i="7"/>
  <c r="N1024" i="7"/>
  <c r="M1024" i="7"/>
  <c r="L1024" i="7"/>
  <c r="K1024" i="7"/>
  <c r="J1024" i="7"/>
  <c r="I1024" i="7"/>
  <c r="H1024" i="7"/>
  <c r="G1024" i="7"/>
  <c r="F1024" i="7"/>
  <c r="E1024" i="7"/>
  <c r="D1024" i="7"/>
  <c r="C1024" i="7"/>
  <c r="B1024" i="7"/>
  <c r="A1024" i="7"/>
  <c r="S1023" i="7"/>
  <c r="R1023" i="7"/>
  <c r="P1023" i="7"/>
  <c r="O1023" i="7"/>
  <c r="N1023" i="7"/>
  <c r="M1023" i="7"/>
  <c r="L1023" i="7"/>
  <c r="K1023" i="7"/>
  <c r="J1023" i="7"/>
  <c r="I1023" i="7"/>
  <c r="H1023" i="7"/>
  <c r="G1023" i="7"/>
  <c r="F1023" i="7"/>
  <c r="E1023" i="7"/>
  <c r="D1023" i="7"/>
  <c r="C1023" i="7"/>
  <c r="B1023" i="7"/>
  <c r="A1023" i="7"/>
  <c r="S1022" i="7"/>
  <c r="R1022" i="7"/>
  <c r="P1022" i="7"/>
  <c r="O1022" i="7"/>
  <c r="N1022" i="7"/>
  <c r="M1022" i="7"/>
  <c r="L1022" i="7"/>
  <c r="K1022" i="7"/>
  <c r="J1022" i="7"/>
  <c r="I1022" i="7"/>
  <c r="H1022" i="7"/>
  <c r="G1022" i="7"/>
  <c r="F1022" i="7"/>
  <c r="E1022" i="7"/>
  <c r="D1022" i="7"/>
  <c r="C1022" i="7"/>
  <c r="B1022" i="7"/>
  <c r="A1022" i="7"/>
  <c r="S1021" i="7"/>
  <c r="M1021" i="7"/>
  <c r="L1021" i="7"/>
  <c r="K1021" i="7"/>
  <c r="J1021" i="7"/>
  <c r="I1021" i="7"/>
  <c r="H1021" i="7"/>
  <c r="G1021" i="7"/>
  <c r="F1021" i="7"/>
  <c r="E1021" i="7"/>
  <c r="D1021" i="7"/>
  <c r="C1021" i="7"/>
  <c r="B1021" i="7"/>
  <c r="A1021" i="7"/>
  <c r="S1020" i="7"/>
  <c r="R1020" i="7"/>
  <c r="P1020" i="7"/>
  <c r="O1020" i="7"/>
  <c r="N1020" i="7"/>
  <c r="M1020" i="7"/>
  <c r="L1020" i="7"/>
  <c r="K1020" i="7"/>
  <c r="J1020" i="7"/>
  <c r="I1020" i="7"/>
  <c r="H1020" i="7"/>
  <c r="G1020" i="7"/>
  <c r="F1020" i="7"/>
  <c r="E1020" i="7"/>
  <c r="D1020" i="7"/>
  <c r="C1020" i="7"/>
  <c r="B1020" i="7"/>
  <c r="A1020" i="7"/>
  <c r="S1019" i="7"/>
  <c r="R1019" i="7"/>
  <c r="Q1019" i="7"/>
  <c r="P1019" i="7"/>
  <c r="O1019" i="7"/>
  <c r="N1019" i="7"/>
  <c r="M1019" i="7"/>
  <c r="L1019" i="7"/>
  <c r="K1019" i="7"/>
  <c r="J1019" i="7"/>
  <c r="I1019" i="7"/>
  <c r="H1019" i="7"/>
  <c r="G1019" i="7"/>
  <c r="F1019" i="7"/>
  <c r="E1019" i="7"/>
  <c r="D1019" i="7"/>
  <c r="C1019" i="7"/>
  <c r="B1019" i="7"/>
  <c r="A1019" i="7"/>
  <c r="S1018" i="7"/>
  <c r="R1018" i="7"/>
  <c r="P1018" i="7"/>
  <c r="O1018" i="7"/>
  <c r="N1018" i="7"/>
  <c r="M1018" i="7"/>
  <c r="L1018" i="7"/>
  <c r="K1018" i="7"/>
  <c r="J1018" i="7"/>
  <c r="I1018" i="7"/>
  <c r="H1018" i="7"/>
  <c r="G1018" i="7"/>
  <c r="F1018" i="7"/>
  <c r="E1018" i="7"/>
  <c r="D1018" i="7"/>
  <c r="C1018" i="7"/>
  <c r="B1018" i="7"/>
  <c r="A1018" i="7"/>
  <c r="T1017" i="7"/>
  <c r="S1017" i="7"/>
  <c r="R1017" i="7"/>
  <c r="Q1017" i="7"/>
  <c r="P1017" i="7"/>
  <c r="O1017" i="7"/>
  <c r="N1017" i="7"/>
  <c r="M1017" i="7"/>
  <c r="L1017" i="7"/>
  <c r="K1017" i="7"/>
  <c r="J1017" i="7"/>
  <c r="I1017" i="7"/>
  <c r="H1017" i="7"/>
  <c r="G1017" i="7"/>
  <c r="F1017" i="7"/>
  <c r="E1017" i="7"/>
  <c r="D1017" i="7"/>
  <c r="C1017" i="7"/>
  <c r="B1017" i="7"/>
  <c r="A1017" i="7"/>
  <c r="S1016" i="7"/>
  <c r="R1016" i="7"/>
  <c r="Q1016" i="7"/>
  <c r="P1016" i="7"/>
  <c r="O1016" i="7"/>
  <c r="N1016" i="7"/>
  <c r="M1016" i="7"/>
  <c r="L1016" i="7"/>
  <c r="K1016" i="7"/>
  <c r="J1016" i="7"/>
  <c r="I1016" i="7"/>
  <c r="H1016" i="7"/>
  <c r="G1016" i="7"/>
  <c r="F1016" i="7"/>
  <c r="E1016" i="7"/>
  <c r="D1016" i="7"/>
  <c r="C1016" i="7"/>
  <c r="B1016" i="7"/>
  <c r="A1016" i="7"/>
  <c r="S1015" i="7"/>
  <c r="M1015" i="7"/>
  <c r="L1015" i="7"/>
  <c r="K1015" i="7"/>
  <c r="J1015" i="7"/>
  <c r="I1015" i="7"/>
  <c r="H1015" i="7"/>
  <c r="G1015" i="7"/>
  <c r="F1015" i="7"/>
  <c r="E1015" i="7"/>
  <c r="D1015" i="7"/>
  <c r="C1015" i="7"/>
  <c r="B1015" i="7"/>
  <c r="A1015" i="7"/>
  <c r="S1014" i="7"/>
  <c r="R1014" i="7"/>
  <c r="P1014" i="7"/>
  <c r="O1014" i="7"/>
  <c r="N1014" i="7"/>
  <c r="M1014" i="7"/>
  <c r="L1014" i="7"/>
  <c r="K1014" i="7"/>
  <c r="J1014" i="7"/>
  <c r="I1014" i="7"/>
  <c r="H1014" i="7"/>
  <c r="G1014" i="7"/>
  <c r="F1014" i="7"/>
  <c r="E1014" i="7"/>
  <c r="D1014" i="7"/>
  <c r="C1014" i="7"/>
  <c r="B1014" i="7"/>
  <c r="A1014" i="7"/>
  <c r="S1013" i="7"/>
  <c r="R1013" i="7"/>
  <c r="P1013" i="7"/>
  <c r="O1013" i="7"/>
  <c r="N1013" i="7"/>
  <c r="M1013" i="7"/>
  <c r="L1013" i="7"/>
  <c r="K1013" i="7"/>
  <c r="J1013" i="7"/>
  <c r="I1013" i="7"/>
  <c r="H1013" i="7"/>
  <c r="G1013" i="7"/>
  <c r="F1013" i="7"/>
  <c r="E1013" i="7"/>
  <c r="D1013" i="7"/>
  <c r="C1013" i="7"/>
  <c r="B1013" i="7"/>
  <c r="A1013" i="7"/>
  <c r="S1012" i="7"/>
  <c r="R1012" i="7"/>
  <c r="P1012" i="7"/>
  <c r="O1012" i="7"/>
  <c r="N1012" i="7"/>
  <c r="M1012" i="7"/>
  <c r="L1012" i="7"/>
  <c r="K1012" i="7"/>
  <c r="J1012" i="7"/>
  <c r="I1012" i="7"/>
  <c r="H1012" i="7"/>
  <c r="G1012" i="7"/>
  <c r="F1012" i="7"/>
  <c r="E1012" i="7"/>
  <c r="D1012" i="7"/>
  <c r="C1012" i="7"/>
  <c r="B1012" i="7"/>
  <c r="A1012" i="7"/>
  <c r="S1011" i="7"/>
  <c r="M1011" i="7"/>
  <c r="L1011" i="7"/>
  <c r="K1011" i="7"/>
  <c r="J1011" i="7"/>
  <c r="I1011" i="7"/>
  <c r="H1011" i="7"/>
  <c r="G1011" i="7"/>
  <c r="F1011" i="7"/>
  <c r="E1011" i="7"/>
  <c r="D1011" i="7"/>
  <c r="C1011" i="7"/>
  <c r="B1011" i="7"/>
  <c r="A1011" i="7"/>
  <c r="S1010" i="7"/>
  <c r="R1010" i="7"/>
  <c r="P1010" i="7"/>
  <c r="O1010" i="7"/>
  <c r="N1010" i="7"/>
  <c r="M1010" i="7"/>
  <c r="L1010" i="7"/>
  <c r="K1010" i="7"/>
  <c r="J1010" i="7"/>
  <c r="I1010" i="7"/>
  <c r="H1010" i="7"/>
  <c r="G1010" i="7"/>
  <c r="F1010" i="7"/>
  <c r="E1010" i="7"/>
  <c r="D1010" i="7"/>
  <c r="C1010" i="7"/>
  <c r="B1010" i="7"/>
  <c r="A1010" i="7"/>
  <c r="S1009" i="7"/>
  <c r="R1009" i="7"/>
  <c r="P1009" i="7"/>
  <c r="O1009" i="7"/>
  <c r="N1009" i="7"/>
  <c r="M1009" i="7"/>
  <c r="L1009" i="7"/>
  <c r="K1009" i="7"/>
  <c r="J1009" i="7"/>
  <c r="I1009" i="7"/>
  <c r="H1009" i="7"/>
  <c r="G1009" i="7"/>
  <c r="F1009" i="7"/>
  <c r="E1009" i="7"/>
  <c r="D1009" i="7"/>
  <c r="C1009" i="7"/>
  <c r="B1009" i="7"/>
  <c r="A1009" i="7"/>
  <c r="S1008" i="7"/>
  <c r="R1008" i="7"/>
  <c r="P1008" i="7"/>
  <c r="O1008" i="7"/>
  <c r="N1008" i="7"/>
  <c r="M1008" i="7"/>
  <c r="L1008" i="7"/>
  <c r="K1008" i="7"/>
  <c r="J1008" i="7"/>
  <c r="I1008" i="7"/>
  <c r="H1008" i="7"/>
  <c r="G1008" i="7"/>
  <c r="F1008" i="7"/>
  <c r="E1008" i="7"/>
  <c r="D1008" i="7"/>
  <c r="C1008" i="7"/>
  <c r="B1008" i="7"/>
  <c r="A1008" i="7"/>
  <c r="S1007" i="7"/>
  <c r="R1007" i="7"/>
  <c r="P1007" i="7"/>
  <c r="O1007" i="7"/>
  <c r="N1007" i="7"/>
  <c r="M1007" i="7"/>
  <c r="L1007" i="7"/>
  <c r="K1007" i="7"/>
  <c r="J1007" i="7"/>
  <c r="I1007" i="7"/>
  <c r="H1007" i="7"/>
  <c r="G1007" i="7"/>
  <c r="F1007" i="7"/>
  <c r="E1007" i="7"/>
  <c r="D1007" i="7"/>
  <c r="C1007" i="7"/>
  <c r="B1007" i="7"/>
  <c r="A1007" i="7"/>
  <c r="S1006" i="7"/>
  <c r="M1006" i="7"/>
  <c r="L1006" i="7"/>
  <c r="K1006" i="7"/>
  <c r="J1006" i="7"/>
  <c r="I1006" i="7"/>
  <c r="H1006" i="7"/>
  <c r="G1006" i="7"/>
  <c r="F1006" i="7"/>
  <c r="E1006" i="7"/>
  <c r="D1006" i="7"/>
  <c r="C1006" i="7"/>
  <c r="B1006" i="7"/>
  <c r="A1006" i="7"/>
  <c r="S1005" i="7"/>
  <c r="R1005" i="7"/>
  <c r="Q1005" i="7"/>
  <c r="P1005" i="7"/>
  <c r="O1005" i="7"/>
  <c r="N1005" i="7"/>
  <c r="M1005" i="7"/>
  <c r="L1005" i="7"/>
  <c r="K1005" i="7"/>
  <c r="J1005" i="7"/>
  <c r="I1005" i="7"/>
  <c r="H1005" i="7"/>
  <c r="G1005" i="7"/>
  <c r="F1005" i="7"/>
  <c r="E1005" i="7"/>
  <c r="D1005" i="7"/>
  <c r="C1005" i="7"/>
  <c r="B1005" i="7"/>
  <c r="A1005" i="7"/>
  <c r="S1004" i="7"/>
  <c r="R1004" i="7"/>
  <c r="P1004" i="7"/>
  <c r="O1004" i="7"/>
  <c r="N1004" i="7"/>
  <c r="M1004" i="7"/>
  <c r="L1004" i="7"/>
  <c r="K1004" i="7"/>
  <c r="J1004" i="7"/>
  <c r="I1004" i="7"/>
  <c r="H1004" i="7"/>
  <c r="G1004" i="7"/>
  <c r="F1004" i="7"/>
  <c r="E1004" i="7"/>
  <c r="D1004" i="7"/>
  <c r="C1004" i="7"/>
  <c r="B1004" i="7"/>
  <c r="A1004" i="7"/>
  <c r="S1003" i="7"/>
  <c r="R1003" i="7"/>
  <c r="Q1003" i="7"/>
  <c r="P1003" i="7"/>
  <c r="O1003" i="7"/>
  <c r="N1003" i="7"/>
  <c r="M1003" i="7"/>
  <c r="L1003" i="7"/>
  <c r="K1003" i="7"/>
  <c r="J1003" i="7"/>
  <c r="I1003" i="7"/>
  <c r="H1003" i="7"/>
  <c r="G1003" i="7"/>
  <c r="F1003" i="7"/>
  <c r="E1003" i="7"/>
  <c r="D1003" i="7"/>
  <c r="C1003" i="7"/>
  <c r="B1003" i="7"/>
  <c r="A1003" i="7"/>
  <c r="S1002" i="7"/>
  <c r="R1002" i="7"/>
  <c r="P1002" i="7"/>
  <c r="O1002" i="7"/>
  <c r="N1002" i="7"/>
  <c r="M1002" i="7"/>
  <c r="L1002" i="7"/>
  <c r="K1002" i="7"/>
  <c r="J1002" i="7"/>
  <c r="I1002" i="7"/>
  <c r="H1002" i="7"/>
  <c r="G1002" i="7"/>
  <c r="F1002" i="7"/>
  <c r="E1002" i="7"/>
  <c r="D1002" i="7"/>
  <c r="C1002" i="7"/>
  <c r="B1002" i="7"/>
  <c r="A1002" i="7"/>
  <c r="S1001" i="7"/>
  <c r="R1001" i="7"/>
  <c r="Q1001" i="7"/>
  <c r="P1001" i="7"/>
  <c r="O1001" i="7"/>
  <c r="N1001" i="7"/>
  <c r="M1001" i="7"/>
  <c r="L1001" i="7"/>
  <c r="K1001" i="7"/>
  <c r="J1001" i="7"/>
  <c r="I1001" i="7"/>
  <c r="H1001" i="7"/>
  <c r="G1001" i="7"/>
  <c r="F1001" i="7"/>
  <c r="E1001" i="7"/>
  <c r="D1001" i="7"/>
  <c r="C1001" i="7"/>
  <c r="B1001" i="7"/>
  <c r="A1001" i="7"/>
  <c r="S1000" i="7"/>
  <c r="R1000" i="7"/>
  <c r="P1000" i="7"/>
  <c r="O1000" i="7"/>
  <c r="N1000" i="7"/>
  <c r="M1000" i="7"/>
  <c r="L1000" i="7"/>
  <c r="K1000" i="7"/>
  <c r="J1000" i="7"/>
  <c r="I1000" i="7"/>
  <c r="H1000" i="7"/>
  <c r="G1000" i="7"/>
  <c r="F1000" i="7"/>
  <c r="E1000" i="7"/>
  <c r="D1000" i="7"/>
  <c r="C1000" i="7"/>
  <c r="B1000" i="7"/>
  <c r="A1000" i="7"/>
  <c r="S999" i="7"/>
  <c r="R999" i="7"/>
  <c r="P999" i="7"/>
  <c r="O999" i="7"/>
  <c r="N999" i="7"/>
  <c r="M999" i="7"/>
  <c r="L999" i="7"/>
  <c r="K999" i="7"/>
  <c r="J999" i="7"/>
  <c r="I999" i="7"/>
  <c r="H999" i="7"/>
  <c r="G999" i="7"/>
  <c r="F999" i="7"/>
  <c r="E999" i="7"/>
  <c r="D999" i="7"/>
  <c r="C999" i="7"/>
  <c r="B999" i="7"/>
  <c r="A999" i="7"/>
  <c r="T998" i="7"/>
  <c r="S998" i="7"/>
  <c r="R998" i="7"/>
  <c r="Q998" i="7"/>
  <c r="P998" i="7"/>
  <c r="O998" i="7"/>
  <c r="N998" i="7"/>
  <c r="M998" i="7"/>
  <c r="L998" i="7"/>
  <c r="K998" i="7"/>
  <c r="J998" i="7"/>
  <c r="I998" i="7"/>
  <c r="H998" i="7"/>
  <c r="G998" i="7"/>
  <c r="F998" i="7"/>
  <c r="E998" i="7"/>
  <c r="D998" i="7"/>
  <c r="C998" i="7"/>
  <c r="B998" i="7"/>
  <c r="A998" i="7"/>
  <c r="S997" i="7"/>
  <c r="R997" i="7"/>
  <c r="P997" i="7"/>
  <c r="O997" i="7"/>
  <c r="N997" i="7"/>
  <c r="M997" i="7"/>
  <c r="L997" i="7"/>
  <c r="K997" i="7"/>
  <c r="J997" i="7"/>
  <c r="I997" i="7"/>
  <c r="H997" i="7"/>
  <c r="G997" i="7"/>
  <c r="F997" i="7"/>
  <c r="E997" i="7"/>
  <c r="D997" i="7"/>
  <c r="C997" i="7"/>
  <c r="B997" i="7"/>
  <c r="A997" i="7"/>
  <c r="S996" i="7"/>
  <c r="R996" i="7"/>
  <c r="P996" i="7"/>
  <c r="O996" i="7"/>
  <c r="N996" i="7"/>
  <c r="M996" i="7"/>
  <c r="L996" i="7"/>
  <c r="K996" i="7"/>
  <c r="J996" i="7"/>
  <c r="I996" i="7"/>
  <c r="H996" i="7"/>
  <c r="G996" i="7"/>
  <c r="F996" i="7"/>
  <c r="E996" i="7"/>
  <c r="D996" i="7"/>
  <c r="C996" i="7"/>
  <c r="B996" i="7"/>
  <c r="A996" i="7"/>
  <c r="S995" i="7"/>
  <c r="R995" i="7"/>
  <c r="P995" i="7"/>
  <c r="O995" i="7"/>
  <c r="N995" i="7"/>
  <c r="M995" i="7"/>
  <c r="L995" i="7"/>
  <c r="K995" i="7"/>
  <c r="J995" i="7"/>
  <c r="I995" i="7"/>
  <c r="H995" i="7"/>
  <c r="G995" i="7"/>
  <c r="F995" i="7"/>
  <c r="E995" i="7"/>
  <c r="D995" i="7"/>
  <c r="C995" i="7"/>
  <c r="B995" i="7"/>
  <c r="A995" i="7"/>
  <c r="S994" i="7"/>
  <c r="R994" i="7"/>
  <c r="Q994" i="7"/>
  <c r="P994" i="7"/>
  <c r="O994" i="7"/>
  <c r="N994" i="7"/>
  <c r="M994" i="7"/>
  <c r="L994" i="7"/>
  <c r="K994" i="7"/>
  <c r="J994" i="7"/>
  <c r="I994" i="7"/>
  <c r="H994" i="7"/>
  <c r="G994" i="7"/>
  <c r="F994" i="7"/>
  <c r="E994" i="7"/>
  <c r="D994" i="7"/>
  <c r="C994" i="7"/>
  <c r="B994" i="7"/>
  <c r="A994" i="7"/>
  <c r="S993" i="7"/>
  <c r="R993" i="7"/>
  <c r="P993" i="7"/>
  <c r="O993" i="7"/>
  <c r="N993" i="7"/>
  <c r="M993" i="7"/>
  <c r="L993" i="7"/>
  <c r="K993" i="7"/>
  <c r="J993" i="7"/>
  <c r="I993" i="7"/>
  <c r="H993" i="7"/>
  <c r="G993" i="7"/>
  <c r="F993" i="7"/>
  <c r="E993" i="7"/>
  <c r="D993" i="7"/>
  <c r="C993" i="7"/>
  <c r="B993" i="7"/>
  <c r="A993" i="7"/>
  <c r="S992" i="7"/>
  <c r="R992" i="7"/>
  <c r="P992" i="7"/>
  <c r="O992" i="7"/>
  <c r="N992" i="7"/>
  <c r="M992" i="7"/>
  <c r="L992" i="7"/>
  <c r="K992" i="7"/>
  <c r="J992" i="7"/>
  <c r="I992" i="7"/>
  <c r="H992" i="7"/>
  <c r="G992" i="7"/>
  <c r="F992" i="7"/>
  <c r="E992" i="7"/>
  <c r="D992" i="7"/>
  <c r="C992" i="7"/>
  <c r="B992" i="7"/>
  <c r="A992" i="7"/>
  <c r="S991" i="7"/>
  <c r="R991" i="7"/>
  <c r="Q991" i="7"/>
  <c r="P991" i="7"/>
  <c r="O991" i="7"/>
  <c r="N991" i="7"/>
  <c r="M991" i="7"/>
  <c r="L991" i="7"/>
  <c r="K991" i="7"/>
  <c r="J991" i="7"/>
  <c r="I991" i="7"/>
  <c r="H991" i="7"/>
  <c r="G991" i="7"/>
  <c r="F991" i="7"/>
  <c r="E991" i="7"/>
  <c r="D991" i="7"/>
  <c r="C991" i="7"/>
  <c r="B991" i="7"/>
  <c r="A991" i="7"/>
  <c r="S990" i="7"/>
  <c r="R990" i="7"/>
  <c r="Q990" i="7"/>
  <c r="P990" i="7"/>
  <c r="O990" i="7"/>
  <c r="N990" i="7"/>
  <c r="M990" i="7"/>
  <c r="L990" i="7"/>
  <c r="K990" i="7"/>
  <c r="J990" i="7"/>
  <c r="I990" i="7"/>
  <c r="H990" i="7"/>
  <c r="G990" i="7"/>
  <c r="F990" i="7"/>
  <c r="E990" i="7"/>
  <c r="D990" i="7"/>
  <c r="C990" i="7"/>
  <c r="B990" i="7"/>
  <c r="A990" i="7"/>
  <c r="S989" i="7"/>
  <c r="R989" i="7"/>
  <c r="P989" i="7"/>
  <c r="O989" i="7"/>
  <c r="N989" i="7"/>
  <c r="M989" i="7"/>
  <c r="L989" i="7"/>
  <c r="K989" i="7"/>
  <c r="J989" i="7"/>
  <c r="I989" i="7"/>
  <c r="H989" i="7"/>
  <c r="G989" i="7"/>
  <c r="F989" i="7"/>
  <c r="E989" i="7"/>
  <c r="D989" i="7"/>
  <c r="C989" i="7"/>
  <c r="B989" i="7"/>
  <c r="A989" i="7"/>
  <c r="S988" i="7"/>
  <c r="R988" i="7"/>
  <c r="Q988" i="7"/>
  <c r="P988" i="7"/>
  <c r="O988" i="7"/>
  <c r="N988" i="7"/>
  <c r="M988" i="7"/>
  <c r="L988" i="7"/>
  <c r="K988" i="7"/>
  <c r="J988" i="7"/>
  <c r="I988" i="7"/>
  <c r="H988" i="7"/>
  <c r="G988" i="7"/>
  <c r="F988" i="7"/>
  <c r="E988" i="7"/>
  <c r="D988" i="7"/>
  <c r="C988" i="7"/>
  <c r="B988" i="7"/>
  <c r="A988" i="7"/>
  <c r="S987" i="7"/>
  <c r="R987" i="7"/>
  <c r="P987" i="7"/>
  <c r="O987" i="7"/>
  <c r="N987" i="7"/>
  <c r="M987" i="7"/>
  <c r="L987" i="7"/>
  <c r="K987" i="7"/>
  <c r="J987" i="7"/>
  <c r="I987" i="7"/>
  <c r="H987" i="7"/>
  <c r="G987" i="7"/>
  <c r="F987" i="7"/>
  <c r="E987" i="7"/>
  <c r="D987" i="7"/>
  <c r="C987" i="7"/>
  <c r="B987" i="7"/>
  <c r="A987" i="7"/>
  <c r="S986" i="7"/>
  <c r="R986" i="7"/>
  <c r="P986" i="7"/>
  <c r="O986" i="7"/>
  <c r="N986" i="7"/>
  <c r="M986" i="7"/>
  <c r="L986" i="7"/>
  <c r="K986" i="7"/>
  <c r="J986" i="7"/>
  <c r="I986" i="7"/>
  <c r="H986" i="7"/>
  <c r="G986" i="7"/>
  <c r="F986" i="7"/>
  <c r="E986" i="7"/>
  <c r="D986" i="7"/>
  <c r="C986" i="7"/>
  <c r="B986" i="7"/>
  <c r="A986" i="7"/>
  <c r="S985" i="7"/>
  <c r="R985" i="7"/>
  <c r="Q985" i="7"/>
  <c r="P985" i="7"/>
  <c r="O985" i="7"/>
  <c r="N985" i="7"/>
  <c r="M985" i="7"/>
  <c r="L985" i="7"/>
  <c r="K985" i="7"/>
  <c r="J985" i="7"/>
  <c r="I985" i="7"/>
  <c r="H985" i="7"/>
  <c r="G985" i="7"/>
  <c r="F985" i="7"/>
  <c r="E985" i="7"/>
  <c r="D985" i="7"/>
  <c r="C985" i="7"/>
  <c r="B985" i="7"/>
  <c r="A985" i="7"/>
  <c r="S984" i="7"/>
  <c r="R984" i="7"/>
  <c r="P984" i="7"/>
  <c r="O984" i="7"/>
  <c r="N984" i="7"/>
  <c r="M984" i="7"/>
  <c r="L984" i="7"/>
  <c r="K984" i="7"/>
  <c r="J984" i="7"/>
  <c r="I984" i="7"/>
  <c r="H984" i="7"/>
  <c r="G984" i="7"/>
  <c r="F984" i="7"/>
  <c r="E984" i="7"/>
  <c r="D984" i="7"/>
  <c r="C984" i="7"/>
  <c r="B984" i="7"/>
  <c r="A984" i="7"/>
  <c r="S983" i="7"/>
  <c r="R983" i="7"/>
  <c r="P983" i="7"/>
  <c r="O983" i="7"/>
  <c r="N983" i="7"/>
  <c r="M983" i="7"/>
  <c r="L983" i="7"/>
  <c r="K983" i="7"/>
  <c r="J983" i="7"/>
  <c r="I983" i="7"/>
  <c r="H983" i="7"/>
  <c r="G983" i="7"/>
  <c r="F983" i="7"/>
  <c r="E983" i="7"/>
  <c r="D983" i="7"/>
  <c r="C983" i="7"/>
  <c r="B983" i="7"/>
  <c r="A983" i="7"/>
  <c r="S982" i="7"/>
  <c r="R982" i="7"/>
  <c r="P982" i="7"/>
  <c r="O982" i="7"/>
  <c r="N982" i="7"/>
  <c r="M982" i="7"/>
  <c r="L982" i="7"/>
  <c r="K982" i="7"/>
  <c r="J982" i="7"/>
  <c r="I982" i="7"/>
  <c r="H982" i="7"/>
  <c r="G982" i="7"/>
  <c r="F982" i="7"/>
  <c r="E982" i="7"/>
  <c r="D982" i="7"/>
  <c r="C982" i="7"/>
  <c r="B982" i="7"/>
  <c r="A982" i="7"/>
  <c r="S981" i="7"/>
  <c r="R981" i="7"/>
  <c r="P981" i="7"/>
  <c r="O981" i="7"/>
  <c r="N981" i="7"/>
  <c r="M981" i="7"/>
  <c r="L981" i="7"/>
  <c r="K981" i="7"/>
  <c r="J981" i="7"/>
  <c r="I981" i="7"/>
  <c r="H981" i="7"/>
  <c r="G981" i="7"/>
  <c r="F981" i="7"/>
  <c r="E981" i="7"/>
  <c r="D981" i="7"/>
  <c r="C981" i="7"/>
  <c r="B981" i="7"/>
  <c r="A981" i="7"/>
  <c r="S980" i="7"/>
  <c r="R980" i="7"/>
  <c r="P980" i="7"/>
  <c r="O980" i="7"/>
  <c r="N980" i="7"/>
  <c r="M980" i="7"/>
  <c r="L980" i="7"/>
  <c r="K980" i="7"/>
  <c r="J980" i="7"/>
  <c r="I980" i="7"/>
  <c r="H980" i="7"/>
  <c r="G980" i="7"/>
  <c r="F980" i="7"/>
  <c r="E980" i="7"/>
  <c r="D980" i="7"/>
  <c r="C980" i="7"/>
  <c r="B980" i="7"/>
  <c r="A980" i="7"/>
  <c r="S979" i="7"/>
  <c r="R979" i="7"/>
  <c r="P979" i="7"/>
  <c r="O979" i="7"/>
  <c r="N979" i="7"/>
  <c r="M979" i="7"/>
  <c r="L979" i="7"/>
  <c r="K979" i="7"/>
  <c r="J979" i="7"/>
  <c r="I979" i="7"/>
  <c r="H979" i="7"/>
  <c r="G979" i="7"/>
  <c r="F979" i="7"/>
  <c r="E979" i="7"/>
  <c r="D979" i="7"/>
  <c r="C979" i="7"/>
  <c r="B979" i="7"/>
  <c r="A979" i="7"/>
  <c r="S978" i="7"/>
  <c r="R978" i="7"/>
  <c r="P978" i="7"/>
  <c r="O978" i="7"/>
  <c r="N978" i="7"/>
  <c r="M978" i="7"/>
  <c r="L978" i="7"/>
  <c r="K978" i="7"/>
  <c r="J978" i="7"/>
  <c r="I978" i="7"/>
  <c r="H978" i="7"/>
  <c r="G978" i="7"/>
  <c r="F978" i="7"/>
  <c r="E978" i="7"/>
  <c r="D978" i="7"/>
  <c r="C978" i="7"/>
  <c r="B978" i="7"/>
  <c r="A978" i="7"/>
  <c r="S977" i="7"/>
  <c r="R977" i="7"/>
  <c r="P977" i="7"/>
  <c r="O977" i="7"/>
  <c r="N977" i="7"/>
  <c r="M977" i="7"/>
  <c r="L977" i="7"/>
  <c r="K977" i="7"/>
  <c r="J977" i="7"/>
  <c r="I977" i="7"/>
  <c r="H977" i="7"/>
  <c r="G977" i="7"/>
  <c r="F977" i="7"/>
  <c r="E977" i="7"/>
  <c r="D977" i="7"/>
  <c r="C977" i="7"/>
  <c r="B977" i="7"/>
  <c r="A977" i="7"/>
  <c r="S976" i="7"/>
  <c r="R976" i="7"/>
  <c r="P976" i="7"/>
  <c r="O976" i="7"/>
  <c r="N976" i="7"/>
  <c r="M976" i="7"/>
  <c r="L976" i="7"/>
  <c r="K976" i="7"/>
  <c r="J976" i="7"/>
  <c r="I976" i="7"/>
  <c r="H976" i="7"/>
  <c r="G976" i="7"/>
  <c r="F976" i="7"/>
  <c r="E976" i="7"/>
  <c r="D976" i="7"/>
  <c r="C976" i="7"/>
  <c r="B976" i="7"/>
  <c r="A976" i="7"/>
  <c r="S975" i="7"/>
  <c r="R975" i="7"/>
  <c r="Q975" i="7"/>
  <c r="P975" i="7"/>
  <c r="O975" i="7"/>
  <c r="N975" i="7"/>
  <c r="M975" i="7"/>
  <c r="L975" i="7"/>
  <c r="K975" i="7"/>
  <c r="J975" i="7"/>
  <c r="I975" i="7"/>
  <c r="H975" i="7"/>
  <c r="G975" i="7"/>
  <c r="F975" i="7"/>
  <c r="E975" i="7"/>
  <c r="D975" i="7"/>
  <c r="C975" i="7"/>
  <c r="B975" i="7"/>
  <c r="A975" i="7"/>
  <c r="S974" i="7"/>
  <c r="R974" i="7"/>
  <c r="P974" i="7"/>
  <c r="O974" i="7"/>
  <c r="N974" i="7"/>
  <c r="M974" i="7"/>
  <c r="L974" i="7"/>
  <c r="K974" i="7"/>
  <c r="J974" i="7"/>
  <c r="I974" i="7"/>
  <c r="H974" i="7"/>
  <c r="G974" i="7"/>
  <c r="F974" i="7"/>
  <c r="E974" i="7"/>
  <c r="D974" i="7"/>
  <c r="C974" i="7"/>
  <c r="B974" i="7"/>
  <c r="A974" i="7"/>
  <c r="S973" i="7"/>
  <c r="R973" i="7"/>
  <c r="P973" i="7"/>
  <c r="O973" i="7"/>
  <c r="N973" i="7"/>
  <c r="M973" i="7"/>
  <c r="L973" i="7"/>
  <c r="K973" i="7"/>
  <c r="J973" i="7"/>
  <c r="I973" i="7"/>
  <c r="H973" i="7"/>
  <c r="G973" i="7"/>
  <c r="F973" i="7"/>
  <c r="E973" i="7"/>
  <c r="D973" i="7"/>
  <c r="C973" i="7"/>
  <c r="B973" i="7"/>
  <c r="A973" i="7"/>
  <c r="S972" i="7"/>
  <c r="R972" i="7"/>
  <c r="P972" i="7"/>
  <c r="O972" i="7"/>
  <c r="N972" i="7"/>
  <c r="M972" i="7"/>
  <c r="L972" i="7"/>
  <c r="K972" i="7"/>
  <c r="J972" i="7"/>
  <c r="I972" i="7"/>
  <c r="H972" i="7"/>
  <c r="G972" i="7"/>
  <c r="F972" i="7"/>
  <c r="E972" i="7"/>
  <c r="D972" i="7"/>
  <c r="C972" i="7"/>
  <c r="B972" i="7"/>
  <c r="A972" i="7"/>
  <c r="S971" i="7"/>
  <c r="R971" i="7"/>
  <c r="P971" i="7"/>
  <c r="O971" i="7"/>
  <c r="N971" i="7"/>
  <c r="M971" i="7"/>
  <c r="L971" i="7"/>
  <c r="K971" i="7"/>
  <c r="J971" i="7"/>
  <c r="I971" i="7"/>
  <c r="H971" i="7"/>
  <c r="G971" i="7"/>
  <c r="F971" i="7"/>
  <c r="E971" i="7"/>
  <c r="D971" i="7"/>
  <c r="C971" i="7"/>
  <c r="B971" i="7"/>
  <c r="A971" i="7"/>
  <c r="S970" i="7"/>
  <c r="R970" i="7"/>
  <c r="P970" i="7"/>
  <c r="O970" i="7"/>
  <c r="N970" i="7"/>
  <c r="M970" i="7"/>
  <c r="L970" i="7"/>
  <c r="K970" i="7"/>
  <c r="J970" i="7"/>
  <c r="I970" i="7"/>
  <c r="H970" i="7"/>
  <c r="G970" i="7"/>
  <c r="F970" i="7"/>
  <c r="E970" i="7"/>
  <c r="D970" i="7"/>
  <c r="C970" i="7"/>
  <c r="B970" i="7"/>
  <c r="A970" i="7"/>
  <c r="S969" i="7"/>
  <c r="R969" i="7"/>
  <c r="P969" i="7"/>
  <c r="O969" i="7"/>
  <c r="N969" i="7"/>
  <c r="M969" i="7"/>
  <c r="L969" i="7"/>
  <c r="K969" i="7"/>
  <c r="J969" i="7"/>
  <c r="I969" i="7"/>
  <c r="H969" i="7"/>
  <c r="G969" i="7"/>
  <c r="F969" i="7"/>
  <c r="E969" i="7"/>
  <c r="D969" i="7"/>
  <c r="C969" i="7"/>
  <c r="B969" i="7"/>
  <c r="A969" i="7"/>
  <c r="S968" i="7"/>
  <c r="R968" i="7"/>
  <c r="P968" i="7"/>
  <c r="O968" i="7"/>
  <c r="N968" i="7"/>
  <c r="M968" i="7"/>
  <c r="L968" i="7"/>
  <c r="K968" i="7"/>
  <c r="J968" i="7"/>
  <c r="I968" i="7"/>
  <c r="H968" i="7"/>
  <c r="G968" i="7"/>
  <c r="F968" i="7"/>
  <c r="E968" i="7"/>
  <c r="D968" i="7"/>
  <c r="C968" i="7"/>
  <c r="B968" i="7"/>
  <c r="A968" i="7"/>
  <c r="T967" i="7"/>
  <c r="S967" i="7"/>
  <c r="R967" i="7"/>
  <c r="Q967" i="7"/>
  <c r="P967" i="7"/>
  <c r="O967" i="7"/>
  <c r="N967" i="7"/>
  <c r="M967" i="7"/>
  <c r="L967" i="7"/>
  <c r="K967" i="7"/>
  <c r="J967" i="7"/>
  <c r="I967" i="7"/>
  <c r="H967" i="7"/>
  <c r="G967" i="7"/>
  <c r="F967" i="7"/>
  <c r="E967" i="7"/>
  <c r="D967" i="7"/>
  <c r="C967" i="7"/>
  <c r="B967" i="7"/>
  <c r="A967" i="7"/>
  <c r="S966" i="7"/>
  <c r="R966" i="7"/>
  <c r="Q966" i="7"/>
  <c r="P966" i="7"/>
  <c r="O966" i="7"/>
  <c r="N966" i="7"/>
  <c r="M966" i="7"/>
  <c r="L966" i="7"/>
  <c r="K966" i="7"/>
  <c r="J966" i="7"/>
  <c r="I966" i="7"/>
  <c r="H966" i="7"/>
  <c r="G966" i="7"/>
  <c r="F966" i="7"/>
  <c r="E966" i="7"/>
  <c r="D966" i="7"/>
  <c r="C966" i="7"/>
  <c r="B966" i="7"/>
  <c r="A966" i="7"/>
  <c r="S965" i="7"/>
  <c r="R965" i="7"/>
  <c r="P965" i="7"/>
  <c r="O965" i="7"/>
  <c r="N965" i="7"/>
  <c r="M965" i="7"/>
  <c r="L965" i="7"/>
  <c r="K965" i="7"/>
  <c r="J965" i="7"/>
  <c r="I965" i="7"/>
  <c r="H965" i="7"/>
  <c r="G965" i="7"/>
  <c r="F965" i="7"/>
  <c r="E965" i="7"/>
  <c r="D965" i="7"/>
  <c r="C965" i="7"/>
  <c r="B965" i="7"/>
  <c r="A965" i="7"/>
  <c r="S964" i="7"/>
  <c r="R964" i="7"/>
  <c r="P964" i="7"/>
  <c r="O964" i="7"/>
  <c r="N964" i="7"/>
  <c r="M964" i="7"/>
  <c r="L964" i="7"/>
  <c r="K964" i="7"/>
  <c r="J964" i="7"/>
  <c r="I964" i="7"/>
  <c r="H964" i="7"/>
  <c r="G964" i="7"/>
  <c r="F964" i="7"/>
  <c r="E964" i="7"/>
  <c r="D964" i="7"/>
  <c r="C964" i="7"/>
  <c r="B964" i="7"/>
  <c r="A964" i="7"/>
  <c r="T963" i="7"/>
  <c r="S963" i="7"/>
  <c r="R963" i="7"/>
  <c r="Q963" i="7"/>
  <c r="P963" i="7"/>
  <c r="O963" i="7"/>
  <c r="N963" i="7"/>
  <c r="M963" i="7"/>
  <c r="L963" i="7"/>
  <c r="K963" i="7"/>
  <c r="J963" i="7"/>
  <c r="I963" i="7"/>
  <c r="H963" i="7"/>
  <c r="G963" i="7"/>
  <c r="F963" i="7"/>
  <c r="E963" i="7"/>
  <c r="D963" i="7"/>
  <c r="C963" i="7"/>
  <c r="B963" i="7"/>
  <c r="A963" i="7"/>
  <c r="S962" i="7"/>
  <c r="R962" i="7"/>
  <c r="P962" i="7"/>
  <c r="O962" i="7"/>
  <c r="N962" i="7"/>
  <c r="M962" i="7"/>
  <c r="L962" i="7"/>
  <c r="K962" i="7"/>
  <c r="J962" i="7"/>
  <c r="I962" i="7"/>
  <c r="H962" i="7"/>
  <c r="G962" i="7"/>
  <c r="F962" i="7"/>
  <c r="E962" i="7"/>
  <c r="D962" i="7"/>
  <c r="C962" i="7"/>
  <c r="B962" i="7"/>
  <c r="A962" i="7"/>
  <c r="S961" i="7"/>
  <c r="R961" i="7"/>
  <c r="P961" i="7"/>
  <c r="O961" i="7"/>
  <c r="N961" i="7"/>
  <c r="M961" i="7"/>
  <c r="L961" i="7"/>
  <c r="K961" i="7"/>
  <c r="J961" i="7"/>
  <c r="I961" i="7"/>
  <c r="H961" i="7"/>
  <c r="G961" i="7"/>
  <c r="F961" i="7"/>
  <c r="E961" i="7"/>
  <c r="D961" i="7"/>
  <c r="C961" i="7"/>
  <c r="B961" i="7"/>
  <c r="A961" i="7"/>
  <c r="S960" i="7"/>
  <c r="R960" i="7"/>
  <c r="P960" i="7"/>
  <c r="O960" i="7"/>
  <c r="N960" i="7"/>
  <c r="M960" i="7"/>
  <c r="L960" i="7"/>
  <c r="K960" i="7"/>
  <c r="J960" i="7"/>
  <c r="I960" i="7"/>
  <c r="H960" i="7"/>
  <c r="G960" i="7"/>
  <c r="F960" i="7"/>
  <c r="E960" i="7"/>
  <c r="D960" i="7"/>
  <c r="C960" i="7"/>
  <c r="B960" i="7"/>
  <c r="A960" i="7"/>
  <c r="S959" i="7"/>
  <c r="R959" i="7"/>
  <c r="P959" i="7"/>
  <c r="O959" i="7"/>
  <c r="N959" i="7"/>
  <c r="M959" i="7"/>
  <c r="L959" i="7"/>
  <c r="K959" i="7"/>
  <c r="J959" i="7"/>
  <c r="I959" i="7"/>
  <c r="H959" i="7"/>
  <c r="G959" i="7"/>
  <c r="F959" i="7"/>
  <c r="E959" i="7"/>
  <c r="D959" i="7"/>
  <c r="C959" i="7"/>
  <c r="B959" i="7"/>
  <c r="A959" i="7"/>
  <c r="S958" i="7"/>
  <c r="R958" i="7"/>
  <c r="P958" i="7"/>
  <c r="O958" i="7"/>
  <c r="N958" i="7"/>
  <c r="M958" i="7"/>
  <c r="L958" i="7"/>
  <c r="K958" i="7"/>
  <c r="J958" i="7"/>
  <c r="I958" i="7"/>
  <c r="H958" i="7"/>
  <c r="G958" i="7"/>
  <c r="F958" i="7"/>
  <c r="E958" i="7"/>
  <c r="D958" i="7"/>
  <c r="C958" i="7"/>
  <c r="B958" i="7"/>
  <c r="A958" i="7"/>
  <c r="S957" i="7"/>
  <c r="R957" i="7"/>
  <c r="P957" i="7"/>
  <c r="O957" i="7"/>
  <c r="N957" i="7"/>
  <c r="M957" i="7"/>
  <c r="J957" i="7"/>
  <c r="I957" i="7"/>
  <c r="G957" i="7"/>
  <c r="F957" i="7"/>
  <c r="E957" i="7"/>
  <c r="D957" i="7"/>
  <c r="C957" i="7"/>
  <c r="B957" i="7"/>
  <c r="A957" i="7"/>
  <c r="S956" i="7"/>
  <c r="R956" i="7"/>
  <c r="P956" i="7"/>
  <c r="O956" i="7"/>
  <c r="N956" i="7"/>
  <c r="M956" i="7"/>
  <c r="L956" i="7"/>
  <c r="K956" i="7"/>
  <c r="J956" i="7"/>
  <c r="I956" i="7"/>
  <c r="H956" i="7"/>
  <c r="G956" i="7"/>
  <c r="F956" i="7"/>
  <c r="E956" i="7"/>
  <c r="D956" i="7"/>
  <c r="C956" i="7"/>
  <c r="B956" i="7"/>
  <c r="A956" i="7"/>
  <c r="S955" i="7"/>
  <c r="R955" i="7"/>
  <c r="Q955" i="7"/>
  <c r="P955" i="7"/>
  <c r="O955" i="7"/>
  <c r="N955" i="7"/>
  <c r="M955" i="7"/>
  <c r="L955" i="7"/>
  <c r="K955" i="7"/>
  <c r="J955" i="7"/>
  <c r="I955" i="7"/>
  <c r="H955" i="7"/>
  <c r="G955" i="7"/>
  <c r="F955" i="7"/>
  <c r="E955" i="7"/>
  <c r="D955" i="7"/>
  <c r="C955" i="7"/>
  <c r="B955" i="7"/>
  <c r="A955" i="7"/>
  <c r="S954" i="7"/>
  <c r="R954" i="7"/>
  <c r="P954" i="7"/>
  <c r="O954" i="7"/>
  <c r="N954" i="7"/>
  <c r="M954" i="7"/>
  <c r="L954" i="7"/>
  <c r="K954" i="7"/>
  <c r="J954" i="7"/>
  <c r="I954" i="7"/>
  <c r="H954" i="7"/>
  <c r="G954" i="7"/>
  <c r="F954" i="7"/>
  <c r="E954" i="7"/>
  <c r="D954" i="7"/>
  <c r="C954" i="7"/>
  <c r="B954" i="7"/>
  <c r="A954" i="7"/>
  <c r="S953" i="7"/>
  <c r="R953" i="7"/>
  <c r="P953" i="7"/>
  <c r="O953" i="7"/>
  <c r="N953" i="7"/>
  <c r="M953" i="7"/>
  <c r="L953" i="7"/>
  <c r="K953" i="7"/>
  <c r="J953" i="7"/>
  <c r="I953" i="7"/>
  <c r="H953" i="7"/>
  <c r="G953" i="7"/>
  <c r="F953" i="7"/>
  <c r="E953" i="7"/>
  <c r="D953" i="7"/>
  <c r="C953" i="7"/>
  <c r="B953" i="7"/>
  <c r="A953" i="7"/>
  <c r="S952" i="7"/>
  <c r="R952" i="7"/>
  <c r="P952" i="7"/>
  <c r="O952" i="7"/>
  <c r="N952" i="7"/>
  <c r="M952" i="7"/>
  <c r="L952" i="7"/>
  <c r="K952" i="7"/>
  <c r="J952" i="7"/>
  <c r="I952" i="7"/>
  <c r="H952" i="7"/>
  <c r="G952" i="7"/>
  <c r="F952" i="7"/>
  <c r="E952" i="7"/>
  <c r="D952" i="7"/>
  <c r="C952" i="7"/>
  <c r="B952" i="7"/>
  <c r="A952" i="7"/>
  <c r="S951" i="7"/>
  <c r="R951" i="7"/>
  <c r="P951" i="7"/>
  <c r="O951" i="7"/>
  <c r="N951" i="7"/>
  <c r="M951" i="7"/>
  <c r="L951" i="7"/>
  <c r="K951" i="7"/>
  <c r="J951" i="7"/>
  <c r="I951" i="7"/>
  <c r="H951" i="7"/>
  <c r="G951" i="7"/>
  <c r="F951" i="7"/>
  <c r="E951" i="7"/>
  <c r="D951" i="7"/>
  <c r="C951" i="7"/>
  <c r="B951" i="7"/>
  <c r="A951" i="7"/>
  <c r="S950" i="7"/>
  <c r="R950" i="7"/>
  <c r="P950" i="7"/>
  <c r="O950" i="7"/>
  <c r="N950" i="7"/>
  <c r="M950" i="7"/>
  <c r="L950" i="7"/>
  <c r="K950" i="7"/>
  <c r="J950" i="7"/>
  <c r="I950" i="7"/>
  <c r="H950" i="7"/>
  <c r="G950" i="7"/>
  <c r="F950" i="7"/>
  <c r="E950" i="7"/>
  <c r="D950" i="7"/>
  <c r="C950" i="7"/>
  <c r="B950" i="7"/>
  <c r="A950" i="7"/>
  <c r="S949" i="7"/>
  <c r="R949" i="7"/>
  <c r="P949" i="7"/>
  <c r="O949" i="7"/>
  <c r="N949" i="7"/>
  <c r="M949" i="7"/>
  <c r="L949" i="7"/>
  <c r="K949" i="7"/>
  <c r="J949" i="7"/>
  <c r="I949" i="7"/>
  <c r="H949" i="7"/>
  <c r="G949" i="7"/>
  <c r="F949" i="7"/>
  <c r="E949" i="7"/>
  <c r="D949" i="7"/>
  <c r="C949" i="7"/>
  <c r="B949" i="7"/>
  <c r="A949" i="7"/>
  <c r="S948" i="7"/>
  <c r="R948" i="7"/>
  <c r="P948" i="7"/>
  <c r="O948" i="7"/>
  <c r="N948" i="7"/>
  <c r="M948" i="7"/>
  <c r="L948" i="7"/>
  <c r="K948" i="7"/>
  <c r="J948" i="7"/>
  <c r="I948" i="7"/>
  <c r="H948" i="7"/>
  <c r="G948" i="7"/>
  <c r="F948" i="7"/>
  <c r="E948" i="7"/>
  <c r="D948" i="7"/>
  <c r="C948" i="7"/>
  <c r="B948" i="7"/>
  <c r="A948" i="7"/>
  <c r="S947" i="7"/>
  <c r="R947" i="7"/>
  <c r="P947" i="7"/>
  <c r="O947" i="7"/>
  <c r="N947" i="7"/>
  <c r="M947" i="7"/>
  <c r="L947" i="7"/>
  <c r="K947" i="7"/>
  <c r="J947" i="7"/>
  <c r="I947" i="7"/>
  <c r="H947" i="7"/>
  <c r="G947" i="7"/>
  <c r="F947" i="7"/>
  <c r="E947" i="7"/>
  <c r="D947" i="7"/>
  <c r="C947" i="7"/>
  <c r="B947" i="7"/>
  <c r="A947" i="7"/>
  <c r="S946" i="7"/>
  <c r="R946" i="7"/>
  <c r="P946" i="7"/>
  <c r="O946" i="7"/>
  <c r="N946" i="7"/>
  <c r="M946" i="7"/>
  <c r="L946" i="7"/>
  <c r="K946" i="7"/>
  <c r="J946" i="7"/>
  <c r="I946" i="7"/>
  <c r="H946" i="7"/>
  <c r="G946" i="7"/>
  <c r="F946" i="7"/>
  <c r="E946" i="7"/>
  <c r="D946" i="7"/>
  <c r="C946" i="7"/>
  <c r="B946" i="7"/>
  <c r="A946" i="7"/>
  <c r="S945" i="7"/>
  <c r="M945" i="7"/>
  <c r="L945" i="7"/>
  <c r="K945" i="7"/>
  <c r="J945" i="7"/>
  <c r="I945" i="7"/>
  <c r="H945" i="7"/>
  <c r="G945" i="7"/>
  <c r="F945" i="7"/>
  <c r="E945" i="7"/>
  <c r="D945" i="7"/>
  <c r="C945" i="7"/>
  <c r="B945" i="7"/>
  <c r="A945" i="7"/>
  <c r="S944" i="7"/>
  <c r="R944" i="7"/>
  <c r="P944" i="7"/>
  <c r="O944" i="7"/>
  <c r="N944" i="7"/>
  <c r="M944" i="7"/>
  <c r="L944" i="7"/>
  <c r="K944" i="7"/>
  <c r="J944" i="7"/>
  <c r="I944" i="7"/>
  <c r="H944" i="7"/>
  <c r="G944" i="7"/>
  <c r="F944" i="7"/>
  <c r="E944" i="7"/>
  <c r="D944" i="7"/>
  <c r="C944" i="7"/>
  <c r="B944" i="7"/>
  <c r="A944" i="7"/>
  <c r="S943" i="7"/>
  <c r="R943" i="7"/>
  <c r="P943" i="7"/>
  <c r="O943" i="7"/>
  <c r="N943" i="7"/>
  <c r="M943" i="7"/>
  <c r="L943" i="7"/>
  <c r="K943" i="7"/>
  <c r="J943" i="7"/>
  <c r="I943" i="7"/>
  <c r="H943" i="7"/>
  <c r="G943" i="7"/>
  <c r="F943" i="7"/>
  <c r="E943" i="7"/>
  <c r="D943" i="7"/>
  <c r="C943" i="7"/>
  <c r="B943" i="7"/>
  <c r="A943" i="7"/>
  <c r="S942" i="7"/>
  <c r="R942" i="7"/>
  <c r="Q942" i="7"/>
  <c r="P942" i="7"/>
  <c r="O942" i="7"/>
  <c r="N942" i="7"/>
  <c r="M942" i="7"/>
  <c r="L942" i="7"/>
  <c r="K942" i="7"/>
  <c r="J942" i="7"/>
  <c r="I942" i="7"/>
  <c r="H942" i="7"/>
  <c r="G942" i="7"/>
  <c r="F942" i="7"/>
  <c r="E942" i="7"/>
  <c r="D942" i="7"/>
  <c r="C942" i="7"/>
  <c r="B942" i="7"/>
  <c r="A942" i="7"/>
  <c r="S941" i="7"/>
  <c r="R941" i="7"/>
  <c r="P941" i="7"/>
  <c r="O941" i="7"/>
  <c r="N941" i="7"/>
  <c r="M941" i="7"/>
  <c r="L941" i="7"/>
  <c r="K941" i="7"/>
  <c r="J941" i="7"/>
  <c r="I941" i="7"/>
  <c r="H941" i="7"/>
  <c r="G941" i="7"/>
  <c r="F941" i="7"/>
  <c r="E941" i="7"/>
  <c r="D941" i="7"/>
  <c r="C941" i="7"/>
  <c r="B941" i="7"/>
  <c r="A941" i="7"/>
  <c r="S940" i="7"/>
  <c r="R940" i="7"/>
  <c r="P940" i="7"/>
  <c r="O940" i="7"/>
  <c r="N940" i="7"/>
  <c r="M940" i="7"/>
  <c r="L940" i="7"/>
  <c r="K940" i="7"/>
  <c r="J940" i="7"/>
  <c r="I940" i="7"/>
  <c r="H940" i="7"/>
  <c r="G940" i="7"/>
  <c r="F940" i="7"/>
  <c r="E940" i="7"/>
  <c r="D940" i="7"/>
  <c r="C940" i="7"/>
  <c r="B940" i="7"/>
  <c r="A940" i="7"/>
  <c r="S939" i="7"/>
  <c r="M939" i="7"/>
  <c r="L939" i="7"/>
  <c r="K939" i="7"/>
  <c r="J939" i="7"/>
  <c r="I939" i="7"/>
  <c r="H939" i="7"/>
  <c r="G939" i="7"/>
  <c r="F939" i="7"/>
  <c r="E939" i="7"/>
  <c r="D939" i="7"/>
  <c r="C939" i="7"/>
  <c r="B939" i="7"/>
  <c r="A939" i="7"/>
  <c r="S938" i="7"/>
  <c r="R938" i="7"/>
  <c r="Q938" i="7"/>
  <c r="P938" i="7"/>
  <c r="O938" i="7"/>
  <c r="N938" i="7"/>
  <c r="M938" i="7"/>
  <c r="L938" i="7"/>
  <c r="K938" i="7"/>
  <c r="J938" i="7"/>
  <c r="I938" i="7"/>
  <c r="H938" i="7"/>
  <c r="G938" i="7"/>
  <c r="F938" i="7"/>
  <c r="E938" i="7"/>
  <c r="D938" i="7"/>
  <c r="C938" i="7"/>
  <c r="B938" i="7"/>
  <c r="A938" i="7"/>
  <c r="S937" i="7"/>
  <c r="M937" i="7"/>
  <c r="L937" i="7"/>
  <c r="K937" i="7"/>
  <c r="J937" i="7"/>
  <c r="I937" i="7"/>
  <c r="H937" i="7"/>
  <c r="G937" i="7"/>
  <c r="F937" i="7"/>
  <c r="E937" i="7"/>
  <c r="D937" i="7"/>
  <c r="C937" i="7"/>
  <c r="B937" i="7"/>
  <c r="A937" i="7"/>
  <c r="S936" i="7"/>
  <c r="R936" i="7"/>
  <c r="Q936" i="7"/>
  <c r="P936" i="7"/>
  <c r="O936" i="7"/>
  <c r="N936" i="7"/>
  <c r="M936" i="7"/>
  <c r="L936" i="7"/>
  <c r="K936" i="7"/>
  <c r="J936" i="7"/>
  <c r="I936" i="7"/>
  <c r="H936" i="7"/>
  <c r="G936" i="7"/>
  <c r="F936" i="7"/>
  <c r="E936" i="7"/>
  <c r="D936" i="7"/>
  <c r="C936" i="7"/>
  <c r="B936" i="7"/>
  <c r="A936" i="7"/>
  <c r="S935" i="7"/>
  <c r="R935" i="7"/>
  <c r="P935" i="7"/>
  <c r="O935" i="7"/>
  <c r="N935" i="7"/>
  <c r="M935" i="7"/>
  <c r="L935" i="7"/>
  <c r="K935" i="7"/>
  <c r="J935" i="7"/>
  <c r="I935" i="7"/>
  <c r="H935" i="7"/>
  <c r="G935" i="7"/>
  <c r="F935" i="7"/>
  <c r="E935" i="7"/>
  <c r="D935" i="7"/>
  <c r="C935" i="7"/>
  <c r="B935" i="7"/>
  <c r="A935" i="7"/>
  <c r="S934" i="7"/>
  <c r="R934" i="7"/>
  <c r="P934" i="7"/>
  <c r="O934" i="7"/>
  <c r="N934" i="7"/>
  <c r="M934" i="7"/>
  <c r="L934" i="7"/>
  <c r="K934" i="7"/>
  <c r="J934" i="7"/>
  <c r="I934" i="7"/>
  <c r="H934" i="7"/>
  <c r="G934" i="7"/>
  <c r="F934" i="7"/>
  <c r="E934" i="7"/>
  <c r="D934" i="7"/>
  <c r="C934" i="7"/>
  <c r="B934" i="7"/>
  <c r="A934" i="7"/>
  <c r="S933" i="7"/>
  <c r="R933" i="7"/>
  <c r="P933" i="7"/>
  <c r="O933" i="7"/>
  <c r="N933" i="7"/>
  <c r="M933" i="7"/>
  <c r="L933" i="7"/>
  <c r="K933" i="7"/>
  <c r="J933" i="7"/>
  <c r="I933" i="7"/>
  <c r="H933" i="7"/>
  <c r="G933" i="7"/>
  <c r="F933" i="7"/>
  <c r="E933" i="7"/>
  <c r="D933" i="7"/>
  <c r="C933" i="7"/>
  <c r="B933" i="7"/>
  <c r="A933" i="7"/>
  <c r="S932" i="7"/>
  <c r="R932" i="7"/>
  <c r="Q932" i="7"/>
  <c r="P932" i="7"/>
  <c r="O932" i="7"/>
  <c r="N932" i="7"/>
  <c r="M932" i="7"/>
  <c r="L932" i="7"/>
  <c r="K932" i="7"/>
  <c r="J932" i="7"/>
  <c r="I932" i="7"/>
  <c r="H932" i="7"/>
  <c r="G932" i="7"/>
  <c r="F932" i="7"/>
  <c r="E932" i="7"/>
  <c r="D932" i="7"/>
  <c r="C932" i="7"/>
  <c r="B932" i="7"/>
  <c r="A932" i="7"/>
  <c r="S931" i="7"/>
  <c r="M931" i="7"/>
  <c r="L931" i="7"/>
  <c r="K931" i="7"/>
  <c r="J931" i="7"/>
  <c r="I931" i="7"/>
  <c r="H931" i="7"/>
  <c r="G931" i="7"/>
  <c r="F931" i="7"/>
  <c r="E931" i="7"/>
  <c r="D931" i="7"/>
  <c r="C931" i="7"/>
  <c r="B931" i="7"/>
  <c r="A931" i="7"/>
  <c r="S930" i="7"/>
  <c r="R930" i="7"/>
  <c r="Q930" i="7"/>
  <c r="P930" i="7"/>
  <c r="O930" i="7"/>
  <c r="N930" i="7"/>
  <c r="M930" i="7"/>
  <c r="L930" i="7"/>
  <c r="K930" i="7"/>
  <c r="J930" i="7"/>
  <c r="I930" i="7"/>
  <c r="H930" i="7"/>
  <c r="G930" i="7"/>
  <c r="F930" i="7"/>
  <c r="E930" i="7"/>
  <c r="D930" i="7"/>
  <c r="C930" i="7"/>
  <c r="B930" i="7"/>
  <c r="A930" i="7"/>
  <c r="S929" i="7"/>
  <c r="R929" i="7"/>
  <c r="P929" i="7"/>
  <c r="O929" i="7"/>
  <c r="N929" i="7"/>
  <c r="M929" i="7"/>
  <c r="L929" i="7"/>
  <c r="K929" i="7"/>
  <c r="J929" i="7"/>
  <c r="I929" i="7"/>
  <c r="H929" i="7"/>
  <c r="G929" i="7"/>
  <c r="F929" i="7"/>
  <c r="E929" i="7"/>
  <c r="D929" i="7"/>
  <c r="C929" i="7"/>
  <c r="B929" i="7"/>
  <c r="A929" i="7"/>
  <c r="S928" i="7"/>
  <c r="R928" i="7"/>
  <c r="P928" i="7"/>
  <c r="O928" i="7"/>
  <c r="N928" i="7"/>
  <c r="M928" i="7"/>
  <c r="L928" i="7"/>
  <c r="K928" i="7"/>
  <c r="J928" i="7"/>
  <c r="I928" i="7"/>
  <c r="H928" i="7"/>
  <c r="G928" i="7"/>
  <c r="F928" i="7"/>
  <c r="E928" i="7"/>
  <c r="D928" i="7"/>
  <c r="C928" i="7"/>
  <c r="B928" i="7"/>
  <c r="A928" i="7"/>
  <c r="S927" i="7"/>
  <c r="R927" i="7"/>
  <c r="P927" i="7"/>
  <c r="O927" i="7"/>
  <c r="N927" i="7"/>
  <c r="M927" i="7"/>
  <c r="L927" i="7"/>
  <c r="K927" i="7"/>
  <c r="J927" i="7"/>
  <c r="I927" i="7"/>
  <c r="H927" i="7"/>
  <c r="G927" i="7"/>
  <c r="F927" i="7"/>
  <c r="E927" i="7"/>
  <c r="D927" i="7"/>
  <c r="C927" i="7"/>
  <c r="B927" i="7"/>
  <c r="A927" i="7"/>
  <c r="S926" i="7"/>
  <c r="R926" i="7"/>
  <c r="Q926" i="7"/>
  <c r="P926" i="7"/>
  <c r="O926" i="7"/>
  <c r="N926" i="7"/>
  <c r="M926" i="7"/>
  <c r="L926" i="7"/>
  <c r="K926" i="7"/>
  <c r="J926" i="7"/>
  <c r="I926" i="7"/>
  <c r="H926" i="7"/>
  <c r="G926" i="7"/>
  <c r="F926" i="7"/>
  <c r="E926" i="7"/>
  <c r="D926" i="7"/>
  <c r="C926" i="7"/>
  <c r="B926" i="7"/>
  <c r="A926" i="7"/>
  <c r="S925" i="7"/>
  <c r="R925" i="7"/>
  <c r="P925" i="7"/>
  <c r="O925" i="7"/>
  <c r="N925" i="7"/>
  <c r="M925" i="7"/>
  <c r="L925" i="7"/>
  <c r="K925" i="7"/>
  <c r="J925" i="7"/>
  <c r="I925" i="7"/>
  <c r="H925" i="7"/>
  <c r="G925" i="7"/>
  <c r="F925" i="7"/>
  <c r="E925" i="7"/>
  <c r="D925" i="7"/>
  <c r="C925" i="7"/>
  <c r="B925" i="7"/>
  <c r="A925" i="7"/>
  <c r="S924" i="7"/>
  <c r="R924" i="7"/>
  <c r="Q924" i="7"/>
  <c r="P924" i="7"/>
  <c r="O924" i="7"/>
  <c r="N924" i="7"/>
  <c r="M924" i="7"/>
  <c r="L924" i="7"/>
  <c r="K924" i="7"/>
  <c r="J924" i="7"/>
  <c r="I924" i="7"/>
  <c r="H924" i="7"/>
  <c r="G924" i="7"/>
  <c r="F924" i="7"/>
  <c r="E924" i="7"/>
  <c r="D924" i="7"/>
  <c r="C924" i="7"/>
  <c r="B924" i="7"/>
  <c r="A924" i="7"/>
  <c r="S923" i="7"/>
  <c r="R923" i="7"/>
  <c r="P923" i="7"/>
  <c r="O923" i="7"/>
  <c r="N923" i="7"/>
  <c r="M923" i="7"/>
  <c r="L923" i="7"/>
  <c r="K923" i="7"/>
  <c r="J923" i="7"/>
  <c r="I923" i="7"/>
  <c r="H923" i="7"/>
  <c r="G923" i="7"/>
  <c r="F923" i="7"/>
  <c r="E923" i="7"/>
  <c r="D923" i="7"/>
  <c r="C923" i="7"/>
  <c r="B923" i="7"/>
  <c r="A923" i="7"/>
  <c r="S922" i="7"/>
  <c r="R922" i="7"/>
  <c r="P922" i="7"/>
  <c r="O922" i="7"/>
  <c r="N922" i="7"/>
  <c r="M922" i="7"/>
  <c r="L922" i="7"/>
  <c r="K922" i="7"/>
  <c r="J922" i="7"/>
  <c r="I922" i="7"/>
  <c r="H922" i="7"/>
  <c r="G922" i="7"/>
  <c r="F922" i="7"/>
  <c r="E922" i="7"/>
  <c r="D922" i="7"/>
  <c r="C922" i="7"/>
  <c r="B922" i="7"/>
  <c r="A922" i="7"/>
  <c r="S921" i="7"/>
  <c r="R921" i="7"/>
  <c r="P921" i="7"/>
  <c r="O921" i="7"/>
  <c r="N921" i="7"/>
  <c r="M921" i="7"/>
  <c r="L921" i="7"/>
  <c r="K921" i="7"/>
  <c r="J921" i="7"/>
  <c r="I921" i="7"/>
  <c r="H921" i="7"/>
  <c r="G921" i="7"/>
  <c r="F921" i="7"/>
  <c r="E921" i="7"/>
  <c r="D921" i="7"/>
  <c r="C921" i="7"/>
  <c r="B921" i="7"/>
  <c r="A921" i="7"/>
  <c r="S920" i="7"/>
  <c r="R920" i="7"/>
  <c r="P920" i="7"/>
  <c r="O920" i="7"/>
  <c r="N920" i="7"/>
  <c r="M920" i="7"/>
  <c r="L920" i="7"/>
  <c r="K920" i="7"/>
  <c r="J920" i="7"/>
  <c r="I920" i="7"/>
  <c r="H920" i="7"/>
  <c r="G920" i="7"/>
  <c r="F920" i="7"/>
  <c r="E920" i="7"/>
  <c r="D920" i="7"/>
  <c r="C920" i="7"/>
  <c r="B920" i="7"/>
  <c r="A920" i="7"/>
  <c r="S919" i="7"/>
  <c r="R919" i="7"/>
  <c r="P919" i="7"/>
  <c r="O919" i="7"/>
  <c r="N919" i="7"/>
  <c r="M919" i="7"/>
  <c r="L919" i="7"/>
  <c r="K919" i="7"/>
  <c r="J919" i="7"/>
  <c r="I919" i="7"/>
  <c r="H919" i="7"/>
  <c r="G919" i="7"/>
  <c r="F919" i="7"/>
  <c r="E919" i="7"/>
  <c r="D919" i="7"/>
  <c r="C919" i="7"/>
  <c r="B919" i="7"/>
  <c r="A919" i="7"/>
  <c r="S918" i="7"/>
  <c r="R918" i="7"/>
  <c r="P918" i="7"/>
  <c r="O918" i="7"/>
  <c r="N918" i="7"/>
  <c r="M918" i="7"/>
  <c r="L918" i="7"/>
  <c r="K918" i="7"/>
  <c r="J918" i="7"/>
  <c r="I918" i="7"/>
  <c r="H918" i="7"/>
  <c r="G918" i="7"/>
  <c r="F918" i="7"/>
  <c r="E918" i="7"/>
  <c r="D918" i="7"/>
  <c r="C918" i="7"/>
  <c r="B918" i="7"/>
  <c r="A918" i="7"/>
  <c r="S917" i="7"/>
  <c r="R917" i="7"/>
  <c r="P917" i="7"/>
  <c r="O917" i="7"/>
  <c r="N917" i="7"/>
  <c r="M917" i="7"/>
  <c r="L917" i="7"/>
  <c r="K917" i="7"/>
  <c r="J917" i="7"/>
  <c r="I917" i="7"/>
  <c r="H917" i="7"/>
  <c r="G917" i="7"/>
  <c r="F917" i="7"/>
  <c r="E917" i="7"/>
  <c r="D917" i="7"/>
  <c r="C917" i="7"/>
  <c r="B917" i="7"/>
  <c r="A917" i="7"/>
  <c r="S916" i="7"/>
  <c r="R916" i="7"/>
  <c r="P916" i="7"/>
  <c r="O916" i="7"/>
  <c r="N916" i="7"/>
  <c r="M916" i="7"/>
  <c r="L916" i="7"/>
  <c r="K916" i="7"/>
  <c r="J916" i="7"/>
  <c r="I916" i="7"/>
  <c r="H916" i="7"/>
  <c r="G916" i="7"/>
  <c r="F916" i="7"/>
  <c r="E916" i="7"/>
  <c r="D916" i="7"/>
  <c r="C916" i="7"/>
  <c r="B916" i="7"/>
  <c r="A916" i="7"/>
  <c r="S915" i="7"/>
  <c r="R915" i="7"/>
  <c r="P915" i="7"/>
  <c r="O915" i="7"/>
  <c r="N915" i="7"/>
  <c r="M915" i="7"/>
  <c r="L915" i="7"/>
  <c r="K915" i="7"/>
  <c r="J915" i="7"/>
  <c r="I915" i="7"/>
  <c r="H915" i="7"/>
  <c r="G915" i="7"/>
  <c r="F915" i="7"/>
  <c r="E915" i="7"/>
  <c r="D915" i="7"/>
  <c r="C915" i="7"/>
  <c r="B915" i="7"/>
  <c r="A915" i="7"/>
  <c r="S914" i="7"/>
  <c r="R914" i="7"/>
  <c r="P914" i="7"/>
  <c r="O914" i="7"/>
  <c r="N914" i="7"/>
  <c r="M914" i="7"/>
  <c r="L914" i="7"/>
  <c r="K914" i="7"/>
  <c r="J914" i="7"/>
  <c r="I914" i="7"/>
  <c r="H914" i="7"/>
  <c r="G914" i="7"/>
  <c r="F914" i="7"/>
  <c r="E914" i="7"/>
  <c r="D914" i="7"/>
  <c r="C914" i="7"/>
  <c r="B914" i="7"/>
  <c r="A914" i="7"/>
  <c r="S913" i="7"/>
  <c r="R913" i="7"/>
  <c r="P913" i="7"/>
  <c r="O913" i="7"/>
  <c r="N913" i="7"/>
  <c r="M913" i="7"/>
  <c r="L913" i="7"/>
  <c r="K913" i="7"/>
  <c r="J913" i="7"/>
  <c r="I913" i="7"/>
  <c r="H913" i="7"/>
  <c r="G913" i="7"/>
  <c r="F913" i="7"/>
  <c r="E913" i="7"/>
  <c r="D913" i="7"/>
  <c r="C913" i="7"/>
  <c r="B913" i="7"/>
  <c r="A913" i="7"/>
  <c r="S912" i="7"/>
  <c r="R912" i="7"/>
  <c r="Q912" i="7"/>
  <c r="P912" i="7"/>
  <c r="O912" i="7"/>
  <c r="N912" i="7"/>
  <c r="M912" i="7"/>
  <c r="L912" i="7"/>
  <c r="K912" i="7"/>
  <c r="J912" i="7"/>
  <c r="I912" i="7"/>
  <c r="H912" i="7"/>
  <c r="G912" i="7"/>
  <c r="F912" i="7"/>
  <c r="E912" i="7"/>
  <c r="D912" i="7"/>
  <c r="C912" i="7"/>
  <c r="B912" i="7"/>
  <c r="A912" i="7"/>
  <c r="T911" i="7"/>
  <c r="S911" i="7"/>
  <c r="R911" i="7"/>
  <c r="Q911" i="7"/>
  <c r="P911" i="7"/>
  <c r="O911" i="7"/>
  <c r="N911" i="7"/>
  <c r="M911" i="7"/>
  <c r="L911" i="7"/>
  <c r="K911" i="7"/>
  <c r="J911" i="7"/>
  <c r="I911" i="7"/>
  <c r="H911" i="7"/>
  <c r="G911" i="7"/>
  <c r="F911" i="7"/>
  <c r="E911" i="7"/>
  <c r="D911" i="7"/>
  <c r="C911" i="7"/>
  <c r="B911" i="7"/>
  <c r="A911" i="7"/>
  <c r="S910" i="7"/>
  <c r="R910" i="7"/>
  <c r="Q910" i="7"/>
  <c r="P910" i="7"/>
  <c r="O910" i="7"/>
  <c r="N910" i="7"/>
  <c r="M910" i="7"/>
  <c r="L910" i="7"/>
  <c r="K910" i="7"/>
  <c r="J910" i="7"/>
  <c r="I910" i="7"/>
  <c r="H910" i="7"/>
  <c r="G910" i="7"/>
  <c r="F910" i="7"/>
  <c r="E910" i="7"/>
  <c r="D910" i="7"/>
  <c r="C910" i="7"/>
  <c r="B910" i="7"/>
  <c r="A910" i="7"/>
  <c r="S909" i="7"/>
  <c r="R909" i="7"/>
  <c r="P909" i="7"/>
  <c r="O909" i="7"/>
  <c r="N909" i="7"/>
  <c r="M909" i="7"/>
  <c r="L909" i="7"/>
  <c r="K909" i="7"/>
  <c r="J909" i="7"/>
  <c r="I909" i="7"/>
  <c r="H909" i="7"/>
  <c r="G909" i="7"/>
  <c r="F909" i="7"/>
  <c r="E909" i="7"/>
  <c r="D909" i="7"/>
  <c r="C909" i="7"/>
  <c r="B909" i="7"/>
  <c r="A909" i="7"/>
  <c r="S908" i="7"/>
  <c r="R908" i="7"/>
  <c r="P908" i="7"/>
  <c r="O908" i="7"/>
  <c r="N908" i="7"/>
  <c r="M908" i="7"/>
  <c r="L908" i="7"/>
  <c r="K908" i="7"/>
  <c r="J908" i="7"/>
  <c r="I908" i="7"/>
  <c r="H908" i="7"/>
  <c r="G908" i="7"/>
  <c r="F908" i="7"/>
  <c r="E908" i="7"/>
  <c r="D908" i="7"/>
  <c r="C908" i="7"/>
  <c r="B908" i="7"/>
  <c r="A908" i="7"/>
  <c r="S907" i="7"/>
  <c r="R907" i="7"/>
  <c r="P907" i="7"/>
  <c r="O907" i="7"/>
  <c r="N907" i="7"/>
  <c r="M907" i="7"/>
  <c r="L907" i="7"/>
  <c r="K907" i="7"/>
  <c r="J907" i="7"/>
  <c r="I907" i="7"/>
  <c r="H907" i="7"/>
  <c r="G907" i="7"/>
  <c r="F907" i="7"/>
  <c r="E907" i="7"/>
  <c r="D907" i="7"/>
  <c r="C907" i="7"/>
  <c r="B907" i="7"/>
  <c r="A907" i="7"/>
  <c r="S906" i="7"/>
  <c r="R906" i="7"/>
  <c r="P906" i="7"/>
  <c r="O906" i="7"/>
  <c r="N906" i="7"/>
  <c r="M906" i="7"/>
  <c r="L906" i="7"/>
  <c r="K906" i="7"/>
  <c r="J906" i="7"/>
  <c r="I906" i="7"/>
  <c r="H906" i="7"/>
  <c r="G906" i="7"/>
  <c r="F906" i="7"/>
  <c r="E906" i="7"/>
  <c r="D906" i="7"/>
  <c r="C906" i="7"/>
  <c r="B906" i="7"/>
  <c r="A906" i="7"/>
  <c r="S905" i="7"/>
  <c r="R905" i="7"/>
  <c r="P905" i="7"/>
  <c r="O905" i="7"/>
  <c r="N905" i="7"/>
  <c r="M905" i="7"/>
  <c r="L905" i="7"/>
  <c r="K905" i="7"/>
  <c r="J905" i="7"/>
  <c r="I905" i="7"/>
  <c r="H905" i="7"/>
  <c r="G905" i="7"/>
  <c r="F905" i="7"/>
  <c r="E905" i="7"/>
  <c r="D905" i="7"/>
  <c r="C905" i="7"/>
  <c r="B905" i="7"/>
  <c r="A905" i="7"/>
  <c r="S904" i="7"/>
  <c r="R904" i="7"/>
  <c r="P904" i="7"/>
  <c r="O904" i="7"/>
  <c r="N904" i="7"/>
  <c r="M904" i="7"/>
  <c r="L904" i="7"/>
  <c r="K904" i="7"/>
  <c r="J904" i="7"/>
  <c r="I904" i="7"/>
  <c r="H904" i="7"/>
  <c r="G904" i="7"/>
  <c r="F904" i="7"/>
  <c r="E904" i="7"/>
  <c r="D904" i="7"/>
  <c r="C904" i="7"/>
  <c r="B904" i="7"/>
  <c r="A904" i="7"/>
  <c r="S903" i="7"/>
  <c r="Q903" i="7"/>
  <c r="M903" i="7"/>
  <c r="L903" i="7"/>
  <c r="K903" i="7"/>
  <c r="J903" i="7"/>
  <c r="I903" i="7"/>
  <c r="H903" i="7"/>
  <c r="G903" i="7"/>
  <c r="F903" i="7"/>
  <c r="E903" i="7"/>
  <c r="D903" i="7"/>
  <c r="C903" i="7"/>
  <c r="B903" i="7"/>
  <c r="A903" i="7"/>
  <c r="S902" i="7"/>
  <c r="R902" i="7"/>
  <c r="P902" i="7"/>
  <c r="O902" i="7"/>
  <c r="N902" i="7"/>
  <c r="M902" i="7"/>
  <c r="L902" i="7"/>
  <c r="K902" i="7"/>
  <c r="J902" i="7"/>
  <c r="I902" i="7"/>
  <c r="H902" i="7"/>
  <c r="G902" i="7"/>
  <c r="F902" i="7"/>
  <c r="E902" i="7"/>
  <c r="D902" i="7"/>
  <c r="C902" i="7"/>
  <c r="B902" i="7"/>
  <c r="A902" i="7"/>
  <c r="S901" i="7"/>
  <c r="R901" i="7"/>
  <c r="P901" i="7"/>
  <c r="O901" i="7"/>
  <c r="N901" i="7"/>
  <c r="M901" i="7"/>
  <c r="L901" i="7"/>
  <c r="K901" i="7"/>
  <c r="J901" i="7"/>
  <c r="I901" i="7"/>
  <c r="H901" i="7"/>
  <c r="G901" i="7"/>
  <c r="F901" i="7"/>
  <c r="E901" i="7"/>
  <c r="D901" i="7"/>
  <c r="C901" i="7"/>
  <c r="B901" i="7"/>
  <c r="A901" i="7"/>
  <c r="S900" i="7"/>
  <c r="R900" i="7"/>
  <c r="P900" i="7"/>
  <c r="O900" i="7"/>
  <c r="N900" i="7"/>
  <c r="M900" i="7"/>
  <c r="L900" i="7"/>
  <c r="K900" i="7"/>
  <c r="J900" i="7"/>
  <c r="I900" i="7"/>
  <c r="H900" i="7"/>
  <c r="G900" i="7"/>
  <c r="F900" i="7"/>
  <c r="E900" i="7"/>
  <c r="D900" i="7"/>
  <c r="C900" i="7"/>
  <c r="B900" i="7"/>
  <c r="A900" i="7"/>
  <c r="S899" i="7"/>
  <c r="R899" i="7"/>
  <c r="P899" i="7"/>
  <c r="O899" i="7"/>
  <c r="N899" i="7"/>
  <c r="M899" i="7"/>
  <c r="L899" i="7"/>
  <c r="K899" i="7"/>
  <c r="J899" i="7"/>
  <c r="I899" i="7"/>
  <c r="H899" i="7"/>
  <c r="G899" i="7"/>
  <c r="F899" i="7"/>
  <c r="E899" i="7"/>
  <c r="D899" i="7"/>
  <c r="C899" i="7"/>
  <c r="B899" i="7"/>
  <c r="A899" i="7"/>
  <c r="S898" i="7"/>
  <c r="R898" i="7"/>
  <c r="P898" i="7"/>
  <c r="O898" i="7"/>
  <c r="N898" i="7"/>
  <c r="M898" i="7"/>
  <c r="L898" i="7"/>
  <c r="K898" i="7"/>
  <c r="J898" i="7"/>
  <c r="I898" i="7"/>
  <c r="H898" i="7"/>
  <c r="G898" i="7"/>
  <c r="F898" i="7"/>
  <c r="E898" i="7"/>
  <c r="D898" i="7"/>
  <c r="C898" i="7"/>
  <c r="B898" i="7"/>
  <c r="A898" i="7"/>
  <c r="S897" i="7"/>
  <c r="R897" i="7"/>
  <c r="P897" i="7"/>
  <c r="O897" i="7"/>
  <c r="N897" i="7"/>
  <c r="M897" i="7"/>
  <c r="L897" i="7"/>
  <c r="K897" i="7"/>
  <c r="J897" i="7"/>
  <c r="I897" i="7"/>
  <c r="H897" i="7"/>
  <c r="G897" i="7"/>
  <c r="F897" i="7"/>
  <c r="E897" i="7"/>
  <c r="D897" i="7"/>
  <c r="C897" i="7"/>
  <c r="B897" i="7"/>
  <c r="A897" i="7"/>
  <c r="S896" i="7"/>
  <c r="R896" i="7"/>
  <c r="P896" i="7"/>
  <c r="O896" i="7"/>
  <c r="N896" i="7"/>
  <c r="M896" i="7"/>
  <c r="L896" i="7"/>
  <c r="K896" i="7"/>
  <c r="J896" i="7"/>
  <c r="I896" i="7"/>
  <c r="H896" i="7"/>
  <c r="G896" i="7"/>
  <c r="F896" i="7"/>
  <c r="E896" i="7"/>
  <c r="D896" i="7"/>
  <c r="C896" i="7"/>
  <c r="B896" i="7"/>
  <c r="A896" i="7"/>
  <c r="S895" i="7"/>
  <c r="M895" i="7"/>
  <c r="L895" i="7"/>
  <c r="K895" i="7"/>
  <c r="J895" i="7"/>
  <c r="I895" i="7"/>
  <c r="H895" i="7"/>
  <c r="G895" i="7"/>
  <c r="F895" i="7"/>
  <c r="E895" i="7"/>
  <c r="D895" i="7"/>
  <c r="C895" i="7"/>
  <c r="B895" i="7"/>
  <c r="A895" i="7"/>
  <c r="S894" i="7"/>
  <c r="R894" i="7"/>
  <c r="Q894" i="7"/>
  <c r="P894" i="7"/>
  <c r="O894" i="7"/>
  <c r="N894" i="7"/>
  <c r="M894" i="7"/>
  <c r="L894" i="7"/>
  <c r="K894" i="7"/>
  <c r="J894" i="7"/>
  <c r="I894" i="7"/>
  <c r="H894" i="7"/>
  <c r="G894" i="7"/>
  <c r="F894" i="7"/>
  <c r="E894" i="7"/>
  <c r="D894" i="7"/>
  <c r="C894" i="7"/>
  <c r="B894" i="7"/>
  <c r="A894" i="7"/>
  <c r="S893" i="7"/>
  <c r="M893" i="7"/>
  <c r="L893" i="7"/>
  <c r="K893" i="7"/>
  <c r="J893" i="7"/>
  <c r="I893" i="7"/>
  <c r="H893" i="7"/>
  <c r="G893" i="7"/>
  <c r="F893" i="7"/>
  <c r="E893" i="7"/>
  <c r="D893" i="7"/>
  <c r="C893" i="7"/>
  <c r="B893" i="7"/>
  <c r="A893" i="7"/>
  <c r="S892" i="7"/>
  <c r="R892" i="7"/>
  <c r="P892" i="7"/>
  <c r="O892" i="7"/>
  <c r="N892" i="7"/>
  <c r="M892" i="7"/>
  <c r="L892" i="7"/>
  <c r="K892" i="7"/>
  <c r="J892" i="7"/>
  <c r="I892" i="7"/>
  <c r="H892" i="7"/>
  <c r="G892" i="7"/>
  <c r="F892" i="7"/>
  <c r="E892" i="7"/>
  <c r="D892" i="7"/>
  <c r="C892" i="7"/>
  <c r="B892" i="7"/>
  <c r="A892" i="7"/>
  <c r="S891" i="7"/>
  <c r="R891" i="7"/>
  <c r="P891" i="7"/>
  <c r="O891" i="7"/>
  <c r="N891" i="7"/>
  <c r="M891" i="7"/>
  <c r="L891" i="7"/>
  <c r="K891" i="7"/>
  <c r="J891" i="7"/>
  <c r="I891" i="7"/>
  <c r="H891" i="7"/>
  <c r="G891" i="7"/>
  <c r="F891" i="7"/>
  <c r="E891" i="7"/>
  <c r="D891" i="7"/>
  <c r="C891" i="7"/>
  <c r="B891" i="7"/>
  <c r="A891" i="7"/>
  <c r="S890" i="7"/>
  <c r="R890" i="7"/>
  <c r="Q890" i="7"/>
  <c r="P890" i="7"/>
  <c r="O890" i="7"/>
  <c r="N890" i="7"/>
  <c r="M890" i="7"/>
  <c r="L890" i="7"/>
  <c r="K890" i="7"/>
  <c r="J890" i="7"/>
  <c r="I890" i="7"/>
  <c r="H890" i="7"/>
  <c r="G890" i="7"/>
  <c r="F890" i="7"/>
  <c r="E890" i="7"/>
  <c r="D890" i="7"/>
  <c r="C890" i="7"/>
  <c r="B890" i="7"/>
  <c r="A890" i="7"/>
  <c r="S889" i="7"/>
  <c r="R889" i="7"/>
  <c r="P889" i="7"/>
  <c r="O889" i="7"/>
  <c r="N889" i="7"/>
  <c r="M889" i="7"/>
  <c r="L889" i="7"/>
  <c r="K889" i="7"/>
  <c r="J889" i="7"/>
  <c r="I889" i="7"/>
  <c r="H889" i="7"/>
  <c r="G889" i="7"/>
  <c r="F889" i="7"/>
  <c r="E889" i="7"/>
  <c r="D889" i="7"/>
  <c r="C889" i="7"/>
  <c r="B889" i="7"/>
  <c r="A889" i="7"/>
  <c r="S888" i="7"/>
  <c r="R888" i="7"/>
  <c r="P888" i="7"/>
  <c r="O888" i="7"/>
  <c r="N888" i="7"/>
  <c r="M888" i="7"/>
  <c r="L888" i="7"/>
  <c r="K888" i="7"/>
  <c r="J888" i="7"/>
  <c r="I888" i="7"/>
  <c r="H888" i="7"/>
  <c r="G888" i="7"/>
  <c r="F888" i="7"/>
  <c r="E888" i="7"/>
  <c r="D888" i="7"/>
  <c r="C888" i="7"/>
  <c r="B888" i="7"/>
  <c r="A888" i="7"/>
  <c r="S887" i="7"/>
  <c r="R887" i="7"/>
  <c r="P887" i="7"/>
  <c r="O887" i="7"/>
  <c r="N887" i="7"/>
  <c r="M887" i="7"/>
  <c r="L887" i="7"/>
  <c r="K887" i="7"/>
  <c r="J887" i="7"/>
  <c r="I887" i="7"/>
  <c r="H887" i="7"/>
  <c r="G887" i="7"/>
  <c r="F887" i="7"/>
  <c r="E887" i="7"/>
  <c r="D887" i="7"/>
  <c r="C887" i="7"/>
  <c r="B887" i="7"/>
  <c r="A887" i="7"/>
  <c r="S886" i="7"/>
  <c r="R886" i="7"/>
  <c r="P886" i="7"/>
  <c r="O886" i="7"/>
  <c r="N886" i="7"/>
  <c r="M886" i="7"/>
  <c r="L886" i="7"/>
  <c r="K886" i="7"/>
  <c r="J886" i="7"/>
  <c r="I886" i="7"/>
  <c r="H886" i="7"/>
  <c r="G886" i="7"/>
  <c r="F886" i="7"/>
  <c r="E886" i="7"/>
  <c r="D886" i="7"/>
  <c r="C886" i="7"/>
  <c r="B886" i="7"/>
  <c r="A886" i="7"/>
  <c r="S885" i="7"/>
  <c r="R885" i="7"/>
  <c r="P885" i="7"/>
  <c r="O885" i="7"/>
  <c r="N885" i="7"/>
  <c r="M885" i="7"/>
  <c r="L885" i="7"/>
  <c r="K885" i="7"/>
  <c r="J885" i="7"/>
  <c r="I885" i="7"/>
  <c r="H885" i="7"/>
  <c r="G885" i="7"/>
  <c r="F885" i="7"/>
  <c r="E885" i="7"/>
  <c r="D885" i="7"/>
  <c r="C885" i="7"/>
  <c r="B885" i="7"/>
  <c r="A885" i="7"/>
  <c r="S884" i="7"/>
  <c r="R884" i="7"/>
  <c r="Q884" i="7"/>
  <c r="P884" i="7"/>
  <c r="O884" i="7"/>
  <c r="N884" i="7"/>
  <c r="M884" i="7"/>
  <c r="L884" i="7"/>
  <c r="K884" i="7"/>
  <c r="J884" i="7"/>
  <c r="I884" i="7"/>
  <c r="H884" i="7"/>
  <c r="G884" i="7"/>
  <c r="F884" i="7"/>
  <c r="E884" i="7"/>
  <c r="D884" i="7"/>
  <c r="C884" i="7"/>
  <c r="B884" i="7"/>
  <c r="A884" i="7"/>
  <c r="S883" i="7"/>
  <c r="R883" i="7"/>
  <c r="P883" i="7"/>
  <c r="O883" i="7"/>
  <c r="N883" i="7"/>
  <c r="M883" i="7"/>
  <c r="L883" i="7"/>
  <c r="K883" i="7"/>
  <c r="J883" i="7"/>
  <c r="I883" i="7"/>
  <c r="H883" i="7"/>
  <c r="G883" i="7"/>
  <c r="F883" i="7"/>
  <c r="E883" i="7"/>
  <c r="D883" i="7"/>
  <c r="C883" i="7"/>
  <c r="B883" i="7"/>
  <c r="A883" i="7"/>
  <c r="S882" i="7"/>
  <c r="R882" i="7"/>
  <c r="P882" i="7"/>
  <c r="O882" i="7"/>
  <c r="N882" i="7"/>
  <c r="M882" i="7"/>
  <c r="L882" i="7"/>
  <c r="K882" i="7"/>
  <c r="J882" i="7"/>
  <c r="I882" i="7"/>
  <c r="H882" i="7"/>
  <c r="G882" i="7"/>
  <c r="F882" i="7"/>
  <c r="E882" i="7"/>
  <c r="D882" i="7"/>
  <c r="C882" i="7"/>
  <c r="B882" i="7"/>
  <c r="A882" i="7"/>
  <c r="S881" i="7"/>
  <c r="R881" i="7"/>
  <c r="P881" i="7"/>
  <c r="O881" i="7"/>
  <c r="N881" i="7"/>
  <c r="M881" i="7"/>
  <c r="L881" i="7"/>
  <c r="K881" i="7"/>
  <c r="J881" i="7"/>
  <c r="I881" i="7"/>
  <c r="H881" i="7"/>
  <c r="G881" i="7"/>
  <c r="F881" i="7"/>
  <c r="E881" i="7"/>
  <c r="D881" i="7"/>
  <c r="C881" i="7"/>
  <c r="B881" i="7"/>
  <c r="A881" i="7"/>
  <c r="T880" i="7"/>
  <c r="S880" i="7"/>
  <c r="R880" i="7"/>
  <c r="Q880" i="7"/>
  <c r="P880" i="7"/>
  <c r="O880" i="7"/>
  <c r="N880" i="7"/>
  <c r="M880" i="7"/>
  <c r="L880" i="7"/>
  <c r="K880" i="7"/>
  <c r="J880" i="7"/>
  <c r="I880" i="7"/>
  <c r="H880" i="7"/>
  <c r="G880" i="7"/>
  <c r="F880" i="7"/>
  <c r="E880" i="7"/>
  <c r="D880" i="7"/>
  <c r="C880" i="7"/>
  <c r="B880" i="7"/>
  <c r="A880" i="7"/>
  <c r="S879" i="7"/>
  <c r="R879" i="7"/>
  <c r="P879" i="7"/>
  <c r="O879" i="7"/>
  <c r="N879" i="7"/>
  <c r="M879" i="7"/>
  <c r="L879" i="7"/>
  <c r="K879" i="7"/>
  <c r="J879" i="7"/>
  <c r="I879" i="7"/>
  <c r="H879" i="7"/>
  <c r="G879" i="7"/>
  <c r="F879" i="7"/>
  <c r="E879" i="7"/>
  <c r="D879" i="7"/>
  <c r="C879" i="7"/>
  <c r="B879" i="7"/>
  <c r="A879" i="7"/>
  <c r="S878" i="7"/>
  <c r="R878" i="7"/>
  <c r="P878" i="7"/>
  <c r="O878" i="7"/>
  <c r="N878" i="7"/>
  <c r="M878" i="7"/>
  <c r="L878" i="7"/>
  <c r="K878" i="7"/>
  <c r="J878" i="7"/>
  <c r="I878" i="7"/>
  <c r="H878" i="7"/>
  <c r="G878" i="7"/>
  <c r="F878" i="7"/>
  <c r="E878" i="7"/>
  <c r="D878" i="7"/>
  <c r="C878" i="7"/>
  <c r="B878" i="7"/>
  <c r="A878" i="7"/>
  <c r="S877" i="7"/>
  <c r="R877" i="7"/>
  <c r="P877" i="7"/>
  <c r="O877" i="7"/>
  <c r="N877" i="7"/>
  <c r="M877" i="7"/>
  <c r="L877" i="7"/>
  <c r="K877" i="7"/>
  <c r="J877" i="7"/>
  <c r="I877" i="7"/>
  <c r="H877" i="7"/>
  <c r="G877" i="7"/>
  <c r="F877" i="7"/>
  <c r="E877" i="7"/>
  <c r="D877" i="7"/>
  <c r="C877" i="7"/>
  <c r="B877" i="7"/>
  <c r="A877" i="7"/>
  <c r="S876" i="7"/>
  <c r="R876" i="7"/>
  <c r="P876" i="7"/>
  <c r="O876" i="7"/>
  <c r="N876" i="7"/>
  <c r="M876" i="7"/>
  <c r="L876" i="7"/>
  <c r="K876" i="7"/>
  <c r="J876" i="7"/>
  <c r="I876" i="7"/>
  <c r="H876" i="7"/>
  <c r="G876" i="7"/>
  <c r="F876" i="7"/>
  <c r="E876" i="7"/>
  <c r="D876" i="7"/>
  <c r="C876" i="7"/>
  <c r="B876" i="7"/>
  <c r="A876" i="7"/>
  <c r="S875" i="7"/>
  <c r="R875" i="7"/>
  <c r="P875" i="7"/>
  <c r="O875" i="7"/>
  <c r="N875" i="7"/>
  <c r="M875" i="7"/>
  <c r="L875" i="7"/>
  <c r="K875" i="7"/>
  <c r="J875" i="7"/>
  <c r="I875" i="7"/>
  <c r="H875" i="7"/>
  <c r="G875" i="7"/>
  <c r="F875" i="7"/>
  <c r="E875" i="7"/>
  <c r="D875" i="7"/>
  <c r="C875" i="7"/>
  <c r="B875" i="7"/>
  <c r="A875" i="7"/>
  <c r="S874" i="7"/>
  <c r="R874" i="7"/>
  <c r="Q874" i="7"/>
  <c r="P874" i="7"/>
  <c r="O874" i="7"/>
  <c r="N874" i="7"/>
  <c r="M874" i="7"/>
  <c r="L874" i="7"/>
  <c r="K874" i="7"/>
  <c r="J874" i="7"/>
  <c r="I874" i="7"/>
  <c r="H874" i="7"/>
  <c r="G874" i="7"/>
  <c r="F874" i="7"/>
  <c r="E874" i="7"/>
  <c r="D874" i="7"/>
  <c r="C874" i="7"/>
  <c r="B874" i="7"/>
  <c r="A874" i="7"/>
  <c r="S873" i="7"/>
  <c r="R873" i="7"/>
  <c r="P873" i="7"/>
  <c r="O873" i="7"/>
  <c r="N873" i="7"/>
  <c r="M873" i="7"/>
  <c r="L873" i="7"/>
  <c r="K873" i="7"/>
  <c r="J873" i="7"/>
  <c r="I873" i="7"/>
  <c r="H873" i="7"/>
  <c r="G873" i="7"/>
  <c r="F873" i="7"/>
  <c r="E873" i="7"/>
  <c r="D873" i="7"/>
  <c r="C873" i="7"/>
  <c r="B873" i="7"/>
  <c r="A873" i="7"/>
  <c r="S872" i="7"/>
  <c r="R872" i="7"/>
  <c r="Q872" i="7"/>
  <c r="P872" i="7"/>
  <c r="O872" i="7"/>
  <c r="N872" i="7"/>
  <c r="M872" i="7"/>
  <c r="L872" i="7"/>
  <c r="K872" i="7"/>
  <c r="J872" i="7"/>
  <c r="I872" i="7"/>
  <c r="H872" i="7"/>
  <c r="G872" i="7"/>
  <c r="F872" i="7"/>
  <c r="E872" i="7"/>
  <c r="D872" i="7"/>
  <c r="C872" i="7"/>
  <c r="B872" i="7"/>
  <c r="A872" i="7"/>
  <c r="S871" i="7"/>
  <c r="R871" i="7"/>
  <c r="Q871" i="7"/>
  <c r="P871" i="7"/>
  <c r="O871" i="7"/>
  <c r="N871" i="7"/>
  <c r="M871" i="7"/>
  <c r="L871" i="7"/>
  <c r="K871" i="7"/>
  <c r="J871" i="7"/>
  <c r="I871" i="7"/>
  <c r="H871" i="7"/>
  <c r="G871" i="7"/>
  <c r="F871" i="7"/>
  <c r="E871" i="7"/>
  <c r="D871" i="7"/>
  <c r="C871" i="7"/>
  <c r="B871" i="7"/>
  <c r="A871" i="7"/>
  <c r="T870" i="7"/>
  <c r="S870" i="7"/>
  <c r="R870" i="7"/>
  <c r="Q870" i="7"/>
  <c r="P870" i="7"/>
  <c r="O870" i="7"/>
  <c r="N870" i="7"/>
  <c r="M870" i="7"/>
  <c r="L870" i="7"/>
  <c r="K870" i="7"/>
  <c r="J870" i="7"/>
  <c r="I870" i="7"/>
  <c r="H870" i="7"/>
  <c r="G870" i="7"/>
  <c r="F870" i="7"/>
  <c r="E870" i="7"/>
  <c r="D870" i="7"/>
  <c r="C870" i="7"/>
  <c r="B870" i="7"/>
  <c r="A870" i="7"/>
  <c r="S869" i="7"/>
  <c r="R869" i="7"/>
  <c r="P869" i="7"/>
  <c r="O869" i="7"/>
  <c r="N869" i="7"/>
  <c r="M869" i="7"/>
  <c r="L869" i="7"/>
  <c r="K869" i="7"/>
  <c r="J869" i="7"/>
  <c r="I869" i="7"/>
  <c r="H869" i="7"/>
  <c r="G869" i="7"/>
  <c r="F869" i="7"/>
  <c r="E869" i="7"/>
  <c r="D869" i="7"/>
  <c r="C869" i="7"/>
  <c r="B869" i="7"/>
  <c r="A869" i="7"/>
  <c r="S868" i="7"/>
  <c r="R868" i="7"/>
  <c r="Q868" i="7"/>
  <c r="P868" i="7"/>
  <c r="O868" i="7"/>
  <c r="N868" i="7"/>
  <c r="M868" i="7"/>
  <c r="L868" i="7"/>
  <c r="K868" i="7"/>
  <c r="J868" i="7"/>
  <c r="I868" i="7"/>
  <c r="H868" i="7"/>
  <c r="G868" i="7"/>
  <c r="F868" i="7"/>
  <c r="E868" i="7"/>
  <c r="D868" i="7"/>
  <c r="C868" i="7"/>
  <c r="B868" i="7"/>
  <c r="A868" i="7"/>
  <c r="S867" i="7"/>
  <c r="R867" i="7"/>
  <c r="P867" i="7"/>
  <c r="O867" i="7"/>
  <c r="N867" i="7"/>
  <c r="M867" i="7"/>
  <c r="L867" i="7"/>
  <c r="K867" i="7"/>
  <c r="J867" i="7"/>
  <c r="I867" i="7"/>
  <c r="H867" i="7"/>
  <c r="G867" i="7"/>
  <c r="F867" i="7"/>
  <c r="E867" i="7"/>
  <c r="D867" i="7"/>
  <c r="C867" i="7"/>
  <c r="B867" i="7"/>
  <c r="A867" i="7"/>
  <c r="S866" i="7"/>
  <c r="R866" i="7"/>
  <c r="P866" i="7"/>
  <c r="O866" i="7"/>
  <c r="N866" i="7"/>
  <c r="M866" i="7"/>
  <c r="L866" i="7"/>
  <c r="K866" i="7"/>
  <c r="J866" i="7"/>
  <c r="I866" i="7"/>
  <c r="H866" i="7"/>
  <c r="G866" i="7"/>
  <c r="F866" i="7"/>
  <c r="E866" i="7"/>
  <c r="D866" i="7"/>
  <c r="C866" i="7"/>
  <c r="B866" i="7"/>
  <c r="A866" i="7"/>
  <c r="S865" i="7"/>
  <c r="R865" i="7"/>
  <c r="Q865" i="7"/>
  <c r="P865" i="7"/>
  <c r="O865" i="7"/>
  <c r="N865" i="7"/>
  <c r="M865" i="7"/>
  <c r="L865" i="7"/>
  <c r="K865" i="7"/>
  <c r="J865" i="7"/>
  <c r="I865" i="7"/>
  <c r="H865" i="7"/>
  <c r="G865" i="7"/>
  <c r="F865" i="7"/>
  <c r="E865" i="7"/>
  <c r="D865" i="7"/>
  <c r="C865" i="7"/>
  <c r="B865" i="7"/>
  <c r="A865" i="7"/>
  <c r="S864" i="7"/>
  <c r="R864" i="7"/>
  <c r="P864" i="7"/>
  <c r="O864" i="7"/>
  <c r="N864" i="7"/>
  <c r="M864" i="7"/>
  <c r="L864" i="7"/>
  <c r="K864" i="7"/>
  <c r="J864" i="7"/>
  <c r="I864" i="7"/>
  <c r="H864" i="7"/>
  <c r="G864" i="7"/>
  <c r="F864" i="7"/>
  <c r="E864" i="7"/>
  <c r="D864" i="7"/>
  <c r="C864" i="7"/>
  <c r="B864" i="7"/>
  <c r="A864" i="7"/>
  <c r="S863" i="7"/>
  <c r="R863" i="7"/>
  <c r="P863" i="7"/>
  <c r="O863" i="7"/>
  <c r="N863" i="7"/>
  <c r="M863" i="7"/>
  <c r="L863" i="7"/>
  <c r="K863" i="7"/>
  <c r="J863" i="7"/>
  <c r="I863" i="7"/>
  <c r="H863" i="7"/>
  <c r="G863" i="7"/>
  <c r="F863" i="7"/>
  <c r="E863" i="7"/>
  <c r="D863" i="7"/>
  <c r="C863" i="7"/>
  <c r="B863" i="7"/>
  <c r="A863" i="7"/>
  <c r="S862" i="7"/>
  <c r="R862" i="7"/>
  <c r="P862" i="7"/>
  <c r="O862" i="7"/>
  <c r="N862" i="7"/>
  <c r="M862" i="7"/>
  <c r="L862" i="7"/>
  <c r="K862" i="7"/>
  <c r="J862" i="7"/>
  <c r="I862" i="7"/>
  <c r="H862" i="7"/>
  <c r="G862" i="7"/>
  <c r="F862" i="7"/>
  <c r="E862" i="7"/>
  <c r="D862" i="7"/>
  <c r="C862" i="7"/>
  <c r="B862" i="7"/>
  <c r="A862" i="7"/>
  <c r="S861" i="7"/>
  <c r="R861" i="7"/>
  <c r="Q861" i="7"/>
  <c r="P861" i="7"/>
  <c r="O861" i="7"/>
  <c r="N861" i="7"/>
  <c r="M861" i="7"/>
  <c r="L861" i="7"/>
  <c r="K861" i="7"/>
  <c r="J861" i="7"/>
  <c r="I861" i="7"/>
  <c r="H861" i="7"/>
  <c r="G861" i="7"/>
  <c r="F861" i="7"/>
  <c r="E861" i="7"/>
  <c r="D861" i="7"/>
  <c r="C861" i="7"/>
  <c r="B861" i="7"/>
  <c r="A861" i="7"/>
  <c r="S860" i="7"/>
  <c r="R860" i="7"/>
  <c r="Q860" i="7"/>
  <c r="P860" i="7"/>
  <c r="O860" i="7"/>
  <c r="N860" i="7"/>
  <c r="M860" i="7"/>
  <c r="L860" i="7"/>
  <c r="K860" i="7"/>
  <c r="J860" i="7"/>
  <c r="I860" i="7"/>
  <c r="H860" i="7"/>
  <c r="G860" i="7"/>
  <c r="F860" i="7"/>
  <c r="E860" i="7"/>
  <c r="D860" i="7"/>
  <c r="C860" i="7"/>
  <c r="B860" i="7"/>
  <c r="A860" i="7"/>
  <c r="S859" i="7"/>
  <c r="R859" i="7"/>
  <c r="P859" i="7"/>
  <c r="O859" i="7"/>
  <c r="N859" i="7"/>
  <c r="M859" i="7"/>
  <c r="L859" i="7"/>
  <c r="K859" i="7"/>
  <c r="J859" i="7"/>
  <c r="I859" i="7"/>
  <c r="H859" i="7"/>
  <c r="G859" i="7"/>
  <c r="F859" i="7"/>
  <c r="E859" i="7"/>
  <c r="D859" i="7"/>
  <c r="C859" i="7"/>
  <c r="B859" i="7"/>
  <c r="A859" i="7"/>
  <c r="T858" i="7"/>
  <c r="S858" i="7"/>
  <c r="R858" i="7"/>
  <c r="Q858" i="7"/>
  <c r="P858" i="7"/>
  <c r="O858" i="7"/>
  <c r="N858" i="7"/>
  <c r="M858" i="7"/>
  <c r="L858" i="7"/>
  <c r="K858" i="7"/>
  <c r="J858" i="7"/>
  <c r="I858" i="7"/>
  <c r="H858" i="7"/>
  <c r="G858" i="7"/>
  <c r="F858" i="7"/>
  <c r="E858" i="7"/>
  <c r="D858" i="7"/>
  <c r="C858" i="7"/>
  <c r="B858" i="7"/>
  <c r="A858" i="7"/>
  <c r="S857" i="7"/>
  <c r="R857" i="7"/>
  <c r="P857" i="7"/>
  <c r="O857" i="7"/>
  <c r="N857" i="7"/>
  <c r="M857" i="7"/>
  <c r="L857" i="7"/>
  <c r="K857" i="7"/>
  <c r="J857" i="7"/>
  <c r="I857" i="7"/>
  <c r="H857" i="7"/>
  <c r="G857" i="7"/>
  <c r="F857" i="7"/>
  <c r="E857" i="7"/>
  <c r="D857" i="7"/>
  <c r="C857" i="7"/>
  <c r="B857" i="7"/>
  <c r="A857" i="7"/>
  <c r="S856" i="7"/>
  <c r="R856" i="7"/>
  <c r="P856" i="7"/>
  <c r="O856" i="7"/>
  <c r="N856" i="7"/>
  <c r="M856" i="7"/>
  <c r="L856" i="7"/>
  <c r="K856" i="7"/>
  <c r="J856" i="7"/>
  <c r="I856" i="7"/>
  <c r="H856" i="7"/>
  <c r="G856" i="7"/>
  <c r="F856" i="7"/>
  <c r="E856" i="7"/>
  <c r="D856" i="7"/>
  <c r="C856" i="7"/>
  <c r="B856" i="7"/>
  <c r="A856" i="7"/>
  <c r="S855" i="7"/>
  <c r="R855" i="7"/>
  <c r="P855" i="7"/>
  <c r="O855" i="7"/>
  <c r="N855" i="7"/>
  <c r="M855" i="7"/>
  <c r="L855" i="7"/>
  <c r="K855" i="7"/>
  <c r="J855" i="7"/>
  <c r="I855" i="7"/>
  <c r="H855" i="7"/>
  <c r="G855" i="7"/>
  <c r="F855" i="7"/>
  <c r="E855" i="7"/>
  <c r="D855" i="7"/>
  <c r="C855" i="7"/>
  <c r="B855" i="7"/>
  <c r="A855" i="7"/>
  <c r="S854" i="7"/>
  <c r="R854" i="7"/>
  <c r="P854" i="7"/>
  <c r="O854" i="7"/>
  <c r="N854" i="7"/>
  <c r="M854" i="7"/>
  <c r="L854" i="7"/>
  <c r="K854" i="7"/>
  <c r="J854" i="7"/>
  <c r="I854" i="7"/>
  <c r="H854" i="7"/>
  <c r="G854" i="7"/>
  <c r="F854" i="7"/>
  <c r="E854" i="7"/>
  <c r="D854" i="7"/>
  <c r="C854" i="7"/>
  <c r="B854" i="7"/>
  <c r="A854" i="7"/>
  <c r="S853" i="7"/>
  <c r="R853" i="7"/>
  <c r="Q853" i="7"/>
  <c r="P853" i="7"/>
  <c r="O853" i="7"/>
  <c r="N853" i="7"/>
  <c r="M853" i="7"/>
  <c r="L853" i="7"/>
  <c r="K853" i="7"/>
  <c r="J853" i="7"/>
  <c r="I853" i="7"/>
  <c r="H853" i="7"/>
  <c r="G853" i="7"/>
  <c r="F853" i="7"/>
  <c r="E853" i="7"/>
  <c r="D853" i="7"/>
  <c r="C853" i="7"/>
  <c r="B853" i="7"/>
  <c r="A853" i="7"/>
  <c r="S852" i="7"/>
  <c r="R852" i="7"/>
  <c r="P852" i="7"/>
  <c r="O852" i="7"/>
  <c r="N852" i="7"/>
  <c r="M852" i="7"/>
  <c r="L852" i="7"/>
  <c r="K852" i="7"/>
  <c r="J852" i="7"/>
  <c r="I852" i="7"/>
  <c r="H852" i="7"/>
  <c r="G852" i="7"/>
  <c r="F852" i="7"/>
  <c r="E852" i="7"/>
  <c r="D852" i="7"/>
  <c r="C852" i="7"/>
  <c r="B852" i="7"/>
  <c r="A852" i="7"/>
  <c r="T851" i="7"/>
  <c r="S851" i="7"/>
  <c r="R851" i="7"/>
  <c r="Q851" i="7"/>
  <c r="P851" i="7"/>
  <c r="O851" i="7"/>
  <c r="N851" i="7"/>
  <c r="M851" i="7"/>
  <c r="L851" i="7"/>
  <c r="K851" i="7"/>
  <c r="J851" i="7"/>
  <c r="I851" i="7"/>
  <c r="H851" i="7"/>
  <c r="G851" i="7"/>
  <c r="F851" i="7"/>
  <c r="E851" i="7"/>
  <c r="D851" i="7"/>
  <c r="C851" i="7"/>
  <c r="B851" i="7"/>
  <c r="A851" i="7"/>
  <c r="S850" i="7"/>
  <c r="R850" i="7"/>
  <c r="P850" i="7"/>
  <c r="O850" i="7"/>
  <c r="N850" i="7"/>
  <c r="M850" i="7"/>
  <c r="L850" i="7"/>
  <c r="K850" i="7"/>
  <c r="J850" i="7"/>
  <c r="I850" i="7"/>
  <c r="H850" i="7"/>
  <c r="G850" i="7"/>
  <c r="F850" i="7"/>
  <c r="E850" i="7"/>
  <c r="D850" i="7"/>
  <c r="C850" i="7"/>
  <c r="B850" i="7"/>
  <c r="A850" i="7"/>
  <c r="T849" i="7"/>
  <c r="S849" i="7"/>
  <c r="R849" i="7"/>
  <c r="Q849" i="7"/>
  <c r="P849" i="7"/>
  <c r="O849" i="7"/>
  <c r="N849" i="7"/>
  <c r="M849" i="7"/>
  <c r="L849" i="7"/>
  <c r="K849" i="7"/>
  <c r="J849" i="7"/>
  <c r="I849" i="7"/>
  <c r="H849" i="7"/>
  <c r="G849" i="7"/>
  <c r="F849" i="7"/>
  <c r="E849" i="7"/>
  <c r="D849" i="7"/>
  <c r="C849" i="7"/>
  <c r="B849" i="7"/>
  <c r="A849" i="7"/>
  <c r="S848" i="7"/>
  <c r="R848" i="7"/>
  <c r="P848" i="7"/>
  <c r="O848" i="7"/>
  <c r="N848" i="7"/>
  <c r="M848" i="7"/>
  <c r="L848" i="7"/>
  <c r="K848" i="7"/>
  <c r="J848" i="7"/>
  <c r="I848" i="7"/>
  <c r="H848" i="7"/>
  <c r="G848" i="7"/>
  <c r="F848" i="7"/>
  <c r="E848" i="7"/>
  <c r="D848" i="7"/>
  <c r="C848" i="7"/>
  <c r="B848" i="7"/>
  <c r="A848" i="7"/>
  <c r="S847" i="7"/>
  <c r="R847" i="7"/>
  <c r="P847" i="7"/>
  <c r="O847" i="7"/>
  <c r="N847" i="7"/>
  <c r="M847" i="7"/>
  <c r="J847" i="7"/>
  <c r="I847" i="7"/>
  <c r="H847" i="7"/>
  <c r="G847" i="7"/>
  <c r="F847" i="7"/>
  <c r="E847" i="7"/>
  <c r="D847" i="7"/>
  <c r="C847" i="7"/>
  <c r="B847" i="7"/>
  <c r="A847" i="7"/>
  <c r="T846" i="7"/>
  <c r="S846" i="7"/>
  <c r="R846" i="7"/>
  <c r="Q846" i="7"/>
  <c r="P846" i="7"/>
  <c r="O846" i="7"/>
  <c r="N846" i="7"/>
  <c r="M846" i="7"/>
  <c r="L846" i="7"/>
  <c r="K846" i="7"/>
  <c r="J846" i="7"/>
  <c r="I846" i="7"/>
  <c r="H846" i="7"/>
  <c r="G846" i="7"/>
  <c r="F846" i="7"/>
  <c r="E846" i="7"/>
  <c r="D846" i="7"/>
  <c r="C846" i="7"/>
  <c r="B846" i="7"/>
  <c r="A846" i="7"/>
  <c r="S845" i="7"/>
  <c r="R845" i="7"/>
  <c r="P845" i="7"/>
  <c r="O845" i="7"/>
  <c r="N845" i="7"/>
  <c r="M845" i="7"/>
  <c r="L845" i="7"/>
  <c r="K845" i="7"/>
  <c r="J845" i="7"/>
  <c r="I845" i="7"/>
  <c r="H845" i="7"/>
  <c r="G845" i="7"/>
  <c r="F845" i="7"/>
  <c r="E845" i="7"/>
  <c r="D845" i="7"/>
  <c r="C845" i="7"/>
  <c r="B845" i="7"/>
  <c r="A845" i="7"/>
  <c r="S844" i="7"/>
  <c r="R844" i="7"/>
  <c r="P844" i="7"/>
  <c r="O844" i="7"/>
  <c r="N844" i="7"/>
  <c r="M844" i="7"/>
  <c r="L844" i="7"/>
  <c r="K844" i="7"/>
  <c r="J844" i="7"/>
  <c r="I844" i="7"/>
  <c r="H844" i="7"/>
  <c r="G844" i="7"/>
  <c r="F844" i="7"/>
  <c r="E844" i="7"/>
  <c r="D844" i="7"/>
  <c r="C844" i="7"/>
  <c r="B844" i="7"/>
  <c r="A844" i="7"/>
  <c r="T843" i="7"/>
  <c r="S843" i="7"/>
  <c r="R843" i="7"/>
  <c r="Q843" i="7"/>
  <c r="P843" i="7"/>
  <c r="O843" i="7"/>
  <c r="N843" i="7"/>
  <c r="M843" i="7"/>
  <c r="L843" i="7"/>
  <c r="K843" i="7"/>
  <c r="J843" i="7"/>
  <c r="I843" i="7"/>
  <c r="H843" i="7"/>
  <c r="G843" i="7"/>
  <c r="F843" i="7"/>
  <c r="E843" i="7"/>
  <c r="D843" i="7"/>
  <c r="C843" i="7"/>
  <c r="B843" i="7"/>
  <c r="A843" i="7"/>
  <c r="S842" i="7"/>
  <c r="M842" i="7"/>
  <c r="L842" i="7"/>
  <c r="K842" i="7"/>
  <c r="J842" i="7"/>
  <c r="I842" i="7"/>
  <c r="H842" i="7"/>
  <c r="G842" i="7"/>
  <c r="F842" i="7"/>
  <c r="E842" i="7"/>
  <c r="D842" i="7"/>
  <c r="C842" i="7"/>
  <c r="B842" i="7"/>
  <c r="A842" i="7"/>
  <c r="S841" i="7"/>
  <c r="R841" i="7"/>
  <c r="P841" i="7"/>
  <c r="O841" i="7"/>
  <c r="N841" i="7"/>
  <c r="M841" i="7"/>
  <c r="L841" i="7"/>
  <c r="K841" i="7"/>
  <c r="J841" i="7"/>
  <c r="I841" i="7"/>
  <c r="H841" i="7"/>
  <c r="G841" i="7"/>
  <c r="F841" i="7"/>
  <c r="E841" i="7"/>
  <c r="D841" i="7"/>
  <c r="C841" i="7"/>
  <c r="B841" i="7"/>
  <c r="A841" i="7"/>
  <c r="S840" i="7"/>
  <c r="R840" i="7"/>
  <c r="Q840" i="7"/>
  <c r="P840" i="7"/>
  <c r="O840" i="7"/>
  <c r="N840" i="7"/>
  <c r="M840" i="7"/>
  <c r="L840" i="7"/>
  <c r="K840" i="7"/>
  <c r="J840" i="7"/>
  <c r="I840" i="7"/>
  <c r="H840" i="7"/>
  <c r="G840" i="7"/>
  <c r="F840" i="7"/>
  <c r="E840" i="7"/>
  <c r="D840" i="7"/>
  <c r="C840" i="7"/>
  <c r="B840" i="7"/>
  <c r="A840" i="7"/>
  <c r="S839" i="7"/>
  <c r="R839" i="7"/>
  <c r="Q839" i="7"/>
  <c r="P839" i="7"/>
  <c r="O839" i="7"/>
  <c r="N839" i="7"/>
  <c r="M839" i="7"/>
  <c r="L839" i="7"/>
  <c r="K839" i="7"/>
  <c r="J839" i="7"/>
  <c r="I839" i="7"/>
  <c r="H839" i="7"/>
  <c r="G839" i="7"/>
  <c r="F839" i="7"/>
  <c r="E839" i="7"/>
  <c r="D839" i="7"/>
  <c r="C839" i="7"/>
  <c r="B839" i="7"/>
  <c r="A839" i="7"/>
  <c r="S838" i="7"/>
  <c r="R838" i="7"/>
  <c r="Q838" i="7"/>
  <c r="P838" i="7"/>
  <c r="O838" i="7"/>
  <c r="N838" i="7"/>
  <c r="M838" i="7"/>
  <c r="L838" i="7"/>
  <c r="K838" i="7"/>
  <c r="J838" i="7"/>
  <c r="I838" i="7"/>
  <c r="H838" i="7"/>
  <c r="G838" i="7"/>
  <c r="F838" i="7"/>
  <c r="E838" i="7"/>
  <c r="D838" i="7"/>
  <c r="C838" i="7"/>
  <c r="B838" i="7"/>
  <c r="A838" i="7"/>
  <c r="S837" i="7"/>
  <c r="R837" i="7"/>
  <c r="P837" i="7"/>
  <c r="O837" i="7"/>
  <c r="N837" i="7"/>
  <c r="M837" i="7"/>
  <c r="L837" i="7"/>
  <c r="K837" i="7"/>
  <c r="J837" i="7"/>
  <c r="I837" i="7"/>
  <c r="H837" i="7"/>
  <c r="G837" i="7"/>
  <c r="F837" i="7"/>
  <c r="E837" i="7"/>
  <c r="D837" i="7"/>
  <c r="C837" i="7"/>
  <c r="B837" i="7"/>
  <c r="A837" i="7"/>
  <c r="T836" i="7"/>
  <c r="S836" i="7"/>
  <c r="R836" i="7"/>
  <c r="Q836" i="7"/>
  <c r="P836" i="7"/>
  <c r="O836" i="7"/>
  <c r="N836" i="7"/>
  <c r="M836" i="7"/>
  <c r="L836" i="7"/>
  <c r="K836" i="7"/>
  <c r="J836" i="7"/>
  <c r="I836" i="7"/>
  <c r="H836" i="7"/>
  <c r="G836" i="7"/>
  <c r="F836" i="7"/>
  <c r="E836" i="7"/>
  <c r="D836" i="7"/>
  <c r="C836" i="7"/>
  <c r="B836" i="7"/>
  <c r="A836" i="7"/>
  <c r="S835" i="7"/>
  <c r="R835" i="7"/>
  <c r="P835" i="7"/>
  <c r="O835" i="7"/>
  <c r="N835" i="7"/>
  <c r="M835" i="7"/>
  <c r="L835" i="7"/>
  <c r="K835" i="7"/>
  <c r="J835" i="7"/>
  <c r="I835" i="7"/>
  <c r="H835" i="7"/>
  <c r="G835" i="7"/>
  <c r="F835" i="7"/>
  <c r="E835" i="7"/>
  <c r="D835" i="7"/>
  <c r="C835" i="7"/>
  <c r="B835" i="7"/>
  <c r="A835" i="7"/>
  <c r="S834" i="7"/>
  <c r="R834" i="7"/>
  <c r="Q834" i="7"/>
  <c r="P834" i="7"/>
  <c r="O834" i="7"/>
  <c r="N834" i="7"/>
  <c r="M834" i="7"/>
  <c r="L834" i="7"/>
  <c r="K834" i="7"/>
  <c r="J834" i="7"/>
  <c r="I834" i="7"/>
  <c r="H834" i="7"/>
  <c r="G834" i="7"/>
  <c r="F834" i="7"/>
  <c r="E834" i="7"/>
  <c r="D834" i="7"/>
  <c r="C834" i="7"/>
  <c r="B834" i="7"/>
  <c r="A834" i="7"/>
  <c r="S833" i="7"/>
  <c r="R833" i="7"/>
  <c r="P833" i="7"/>
  <c r="O833" i="7"/>
  <c r="N833" i="7"/>
  <c r="M833" i="7"/>
  <c r="L833" i="7"/>
  <c r="K833" i="7"/>
  <c r="J833" i="7"/>
  <c r="I833" i="7"/>
  <c r="H833" i="7"/>
  <c r="G833" i="7"/>
  <c r="F833" i="7"/>
  <c r="E833" i="7"/>
  <c r="D833" i="7"/>
  <c r="C833" i="7"/>
  <c r="B833" i="7"/>
  <c r="A833" i="7"/>
  <c r="S832" i="7"/>
  <c r="R832" i="7"/>
  <c r="P832" i="7"/>
  <c r="O832" i="7"/>
  <c r="N832" i="7"/>
  <c r="M832" i="7"/>
  <c r="L832" i="7"/>
  <c r="K832" i="7"/>
  <c r="J832" i="7"/>
  <c r="I832" i="7"/>
  <c r="H832" i="7"/>
  <c r="G832" i="7"/>
  <c r="F832" i="7"/>
  <c r="E832" i="7"/>
  <c r="D832" i="7"/>
  <c r="C832" i="7"/>
  <c r="B832" i="7"/>
  <c r="A832" i="7"/>
  <c r="S831" i="7"/>
  <c r="R831" i="7"/>
  <c r="P831" i="7"/>
  <c r="O831" i="7"/>
  <c r="N831" i="7"/>
  <c r="M831" i="7"/>
  <c r="L831" i="7"/>
  <c r="K831" i="7"/>
  <c r="J831" i="7"/>
  <c r="I831" i="7"/>
  <c r="H831" i="7"/>
  <c r="G831" i="7"/>
  <c r="F831" i="7"/>
  <c r="E831" i="7"/>
  <c r="D831" i="7"/>
  <c r="C831" i="7"/>
  <c r="B831" i="7"/>
  <c r="A831" i="7"/>
  <c r="S830" i="7"/>
  <c r="R830" i="7"/>
  <c r="P830" i="7"/>
  <c r="O830" i="7"/>
  <c r="N830" i="7"/>
  <c r="M830" i="7"/>
  <c r="L830" i="7"/>
  <c r="K830" i="7"/>
  <c r="J830" i="7"/>
  <c r="I830" i="7"/>
  <c r="H830" i="7"/>
  <c r="G830" i="7"/>
  <c r="F830" i="7"/>
  <c r="E830" i="7"/>
  <c r="D830" i="7"/>
  <c r="C830" i="7"/>
  <c r="B830" i="7"/>
  <c r="A830" i="7"/>
  <c r="S829" i="7"/>
  <c r="R829" i="7"/>
  <c r="P829" i="7"/>
  <c r="O829" i="7"/>
  <c r="N829" i="7"/>
  <c r="M829" i="7"/>
  <c r="L829" i="7"/>
  <c r="K829" i="7"/>
  <c r="J829" i="7"/>
  <c r="I829" i="7"/>
  <c r="H829" i="7"/>
  <c r="G829" i="7"/>
  <c r="F829" i="7"/>
  <c r="E829" i="7"/>
  <c r="D829" i="7"/>
  <c r="C829" i="7"/>
  <c r="B829" i="7"/>
  <c r="A829" i="7"/>
  <c r="S828" i="7"/>
  <c r="R828" i="7"/>
  <c r="P828" i="7"/>
  <c r="O828" i="7"/>
  <c r="N828" i="7"/>
  <c r="M828" i="7"/>
  <c r="L828" i="7"/>
  <c r="K828" i="7"/>
  <c r="J828" i="7"/>
  <c r="I828" i="7"/>
  <c r="H828" i="7"/>
  <c r="G828" i="7"/>
  <c r="F828" i="7"/>
  <c r="E828" i="7"/>
  <c r="D828" i="7"/>
  <c r="C828" i="7"/>
  <c r="B828" i="7"/>
  <c r="A828" i="7"/>
  <c r="S827" i="7"/>
  <c r="R827" i="7"/>
  <c r="P827" i="7"/>
  <c r="O827" i="7"/>
  <c r="N827" i="7"/>
  <c r="M827" i="7"/>
  <c r="L827" i="7"/>
  <c r="K827" i="7"/>
  <c r="J827" i="7"/>
  <c r="I827" i="7"/>
  <c r="H827" i="7"/>
  <c r="G827" i="7"/>
  <c r="F827" i="7"/>
  <c r="E827" i="7"/>
  <c r="D827" i="7"/>
  <c r="C827" i="7"/>
  <c r="B827" i="7"/>
  <c r="A827" i="7"/>
  <c r="S826" i="7"/>
  <c r="R826" i="7"/>
  <c r="P826" i="7"/>
  <c r="O826" i="7"/>
  <c r="N826" i="7"/>
  <c r="M826" i="7"/>
  <c r="L826" i="7"/>
  <c r="K826" i="7"/>
  <c r="J826" i="7"/>
  <c r="I826" i="7"/>
  <c r="H826" i="7"/>
  <c r="G826" i="7"/>
  <c r="F826" i="7"/>
  <c r="E826" i="7"/>
  <c r="D826" i="7"/>
  <c r="C826" i="7"/>
  <c r="B826" i="7"/>
  <c r="A826" i="7"/>
  <c r="S825" i="7"/>
  <c r="R825" i="7"/>
  <c r="P825" i="7"/>
  <c r="O825" i="7"/>
  <c r="N825" i="7"/>
  <c r="M825" i="7"/>
  <c r="L825" i="7"/>
  <c r="K825" i="7"/>
  <c r="J825" i="7"/>
  <c r="I825" i="7"/>
  <c r="H825" i="7"/>
  <c r="G825" i="7"/>
  <c r="F825" i="7"/>
  <c r="E825" i="7"/>
  <c r="D825" i="7"/>
  <c r="C825" i="7"/>
  <c r="B825" i="7"/>
  <c r="A825" i="7"/>
  <c r="T824" i="7"/>
  <c r="S824" i="7"/>
  <c r="R824" i="7"/>
  <c r="Q824" i="7"/>
  <c r="P824" i="7"/>
  <c r="O824" i="7"/>
  <c r="N824" i="7"/>
  <c r="M824" i="7"/>
  <c r="L824" i="7"/>
  <c r="K824" i="7"/>
  <c r="J824" i="7"/>
  <c r="I824" i="7"/>
  <c r="H824" i="7"/>
  <c r="G824" i="7"/>
  <c r="F824" i="7"/>
  <c r="E824" i="7"/>
  <c r="D824" i="7"/>
  <c r="C824" i="7"/>
  <c r="B824" i="7"/>
  <c r="A824" i="7"/>
  <c r="S823" i="7"/>
  <c r="R823" i="7"/>
  <c r="P823" i="7"/>
  <c r="O823" i="7"/>
  <c r="N823" i="7"/>
  <c r="M823" i="7"/>
  <c r="L823" i="7"/>
  <c r="K823" i="7"/>
  <c r="J823" i="7"/>
  <c r="I823" i="7"/>
  <c r="H823" i="7"/>
  <c r="G823" i="7"/>
  <c r="F823" i="7"/>
  <c r="E823" i="7"/>
  <c r="D823" i="7"/>
  <c r="C823" i="7"/>
  <c r="B823" i="7"/>
  <c r="A823" i="7"/>
  <c r="S822" i="7"/>
  <c r="R822" i="7"/>
  <c r="Q822" i="7"/>
  <c r="P822" i="7"/>
  <c r="O822" i="7"/>
  <c r="N822" i="7"/>
  <c r="M822" i="7"/>
  <c r="L822" i="7"/>
  <c r="K822" i="7"/>
  <c r="J822" i="7"/>
  <c r="I822" i="7"/>
  <c r="H822" i="7"/>
  <c r="G822" i="7"/>
  <c r="F822" i="7"/>
  <c r="E822" i="7"/>
  <c r="D822" i="7"/>
  <c r="C822" i="7"/>
  <c r="B822" i="7"/>
  <c r="A822" i="7"/>
  <c r="S821" i="7"/>
  <c r="R821" i="7"/>
  <c r="P821" i="7"/>
  <c r="O821" i="7"/>
  <c r="N821" i="7"/>
  <c r="M821" i="7"/>
  <c r="L821" i="7"/>
  <c r="K821" i="7"/>
  <c r="J821" i="7"/>
  <c r="I821" i="7"/>
  <c r="H821" i="7"/>
  <c r="G821" i="7"/>
  <c r="F821" i="7"/>
  <c r="E821" i="7"/>
  <c r="D821" i="7"/>
  <c r="C821" i="7"/>
  <c r="B821" i="7"/>
  <c r="A821" i="7"/>
  <c r="S820" i="7"/>
  <c r="M820" i="7"/>
  <c r="L820" i="7"/>
  <c r="K820" i="7"/>
  <c r="J820" i="7"/>
  <c r="I820" i="7"/>
  <c r="H820" i="7"/>
  <c r="G820" i="7"/>
  <c r="F820" i="7"/>
  <c r="E820" i="7"/>
  <c r="D820" i="7"/>
  <c r="C820" i="7"/>
  <c r="B820" i="7"/>
  <c r="A820" i="7"/>
  <c r="S819" i="7"/>
  <c r="R819" i="7"/>
  <c r="Q819" i="7"/>
  <c r="P819" i="7"/>
  <c r="O819" i="7"/>
  <c r="N819" i="7"/>
  <c r="M819" i="7"/>
  <c r="L819" i="7"/>
  <c r="K819" i="7"/>
  <c r="J819" i="7"/>
  <c r="I819" i="7"/>
  <c r="H819" i="7"/>
  <c r="G819" i="7"/>
  <c r="F819" i="7"/>
  <c r="E819" i="7"/>
  <c r="D819" i="7"/>
  <c r="C819" i="7"/>
  <c r="B819" i="7"/>
  <c r="A819" i="7"/>
  <c r="S818" i="7"/>
  <c r="R818" i="7"/>
  <c r="P818" i="7"/>
  <c r="O818" i="7"/>
  <c r="N818" i="7"/>
  <c r="M818" i="7"/>
  <c r="L818" i="7"/>
  <c r="K818" i="7"/>
  <c r="J818" i="7"/>
  <c r="I818" i="7"/>
  <c r="H818" i="7"/>
  <c r="G818" i="7"/>
  <c r="F818" i="7"/>
  <c r="E818" i="7"/>
  <c r="D818" i="7"/>
  <c r="C818" i="7"/>
  <c r="B818" i="7"/>
  <c r="A818" i="7"/>
  <c r="S817" i="7"/>
  <c r="R817" i="7"/>
  <c r="P817" i="7"/>
  <c r="O817" i="7"/>
  <c r="N817" i="7"/>
  <c r="M817" i="7"/>
  <c r="L817" i="7"/>
  <c r="K817" i="7"/>
  <c r="J817" i="7"/>
  <c r="I817" i="7"/>
  <c r="H817" i="7"/>
  <c r="G817" i="7"/>
  <c r="F817" i="7"/>
  <c r="E817" i="7"/>
  <c r="D817" i="7"/>
  <c r="C817" i="7"/>
  <c r="B817" i="7"/>
  <c r="A817" i="7"/>
  <c r="S816" i="7"/>
  <c r="M816" i="7"/>
  <c r="L816" i="7"/>
  <c r="K816" i="7"/>
  <c r="J816" i="7"/>
  <c r="I816" i="7"/>
  <c r="H816" i="7"/>
  <c r="G816" i="7"/>
  <c r="F816" i="7"/>
  <c r="E816" i="7"/>
  <c r="D816" i="7"/>
  <c r="C816" i="7"/>
  <c r="B816" i="7"/>
  <c r="A816" i="7"/>
  <c r="S815" i="7"/>
  <c r="R815" i="7"/>
  <c r="P815" i="7"/>
  <c r="O815" i="7"/>
  <c r="N815" i="7"/>
  <c r="M815" i="7"/>
  <c r="L815" i="7"/>
  <c r="K815" i="7"/>
  <c r="J815" i="7"/>
  <c r="I815" i="7"/>
  <c r="H815" i="7"/>
  <c r="G815" i="7"/>
  <c r="F815" i="7"/>
  <c r="E815" i="7"/>
  <c r="D815" i="7"/>
  <c r="C815" i="7"/>
  <c r="B815" i="7"/>
  <c r="A815" i="7"/>
  <c r="S814" i="7"/>
  <c r="R814" i="7"/>
  <c r="Q814" i="7"/>
  <c r="P814" i="7"/>
  <c r="O814" i="7"/>
  <c r="N814" i="7"/>
  <c r="M814" i="7"/>
  <c r="L814" i="7"/>
  <c r="K814" i="7"/>
  <c r="J814" i="7"/>
  <c r="I814" i="7"/>
  <c r="H814" i="7"/>
  <c r="G814" i="7"/>
  <c r="F814" i="7"/>
  <c r="E814" i="7"/>
  <c r="D814" i="7"/>
  <c r="C814" i="7"/>
  <c r="B814" i="7"/>
  <c r="A814" i="7"/>
  <c r="S813" i="7"/>
  <c r="R813" i="7"/>
  <c r="Q813" i="7"/>
  <c r="P813" i="7"/>
  <c r="O813" i="7"/>
  <c r="N813" i="7"/>
  <c r="M813" i="7"/>
  <c r="L813" i="7"/>
  <c r="K813" i="7"/>
  <c r="J813" i="7"/>
  <c r="I813" i="7"/>
  <c r="H813" i="7"/>
  <c r="G813" i="7"/>
  <c r="F813" i="7"/>
  <c r="E813" i="7"/>
  <c r="D813" i="7"/>
  <c r="C813" i="7"/>
  <c r="B813" i="7"/>
  <c r="A813" i="7"/>
  <c r="S812" i="7"/>
  <c r="R812" i="7"/>
  <c r="P812" i="7"/>
  <c r="O812" i="7"/>
  <c r="N812" i="7"/>
  <c r="M812" i="7"/>
  <c r="L812" i="7"/>
  <c r="K812" i="7"/>
  <c r="J812" i="7"/>
  <c r="I812" i="7"/>
  <c r="H812" i="7"/>
  <c r="G812" i="7"/>
  <c r="F812" i="7"/>
  <c r="E812" i="7"/>
  <c r="D812" i="7"/>
  <c r="C812" i="7"/>
  <c r="B812" i="7"/>
  <c r="A812" i="7"/>
  <c r="S811" i="7"/>
  <c r="R811" i="7"/>
  <c r="Q811" i="7"/>
  <c r="P811" i="7"/>
  <c r="O811" i="7"/>
  <c r="N811" i="7"/>
  <c r="M811" i="7"/>
  <c r="L811" i="7"/>
  <c r="K811" i="7"/>
  <c r="J811" i="7"/>
  <c r="I811" i="7"/>
  <c r="H811" i="7"/>
  <c r="G811" i="7"/>
  <c r="F811" i="7"/>
  <c r="E811" i="7"/>
  <c r="D811" i="7"/>
  <c r="C811" i="7"/>
  <c r="B811" i="7"/>
  <c r="A811" i="7"/>
  <c r="S810" i="7"/>
  <c r="R810" i="7"/>
  <c r="Q810" i="7"/>
  <c r="P810" i="7"/>
  <c r="O810" i="7"/>
  <c r="N810" i="7"/>
  <c r="M810" i="7"/>
  <c r="L810" i="7"/>
  <c r="K810" i="7"/>
  <c r="J810" i="7"/>
  <c r="I810" i="7"/>
  <c r="H810" i="7"/>
  <c r="G810" i="7"/>
  <c r="F810" i="7"/>
  <c r="E810" i="7"/>
  <c r="D810" i="7"/>
  <c r="C810" i="7"/>
  <c r="B810" i="7"/>
  <c r="A810" i="7"/>
  <c r="S809" i="7"/>
  <c r="R809" i="7"/>
  <c r="P809" i="7"/>
  <c r="O809" i="7"/>
  <c r="N809" i="7"/>
  <c r="M809" i="7"/>
  <c r="L809" i="7"/>
  <c r="K809" i="7"/>
  <c r="J809" i="7"/>
  <c r="I809" i="7"/>
  <c r="H809" i="7"/>
  <c r="G809" i="7"/>
  <c r="F809" i="7"/>
  <c r="E809" i="7"/>
  <c r="D809" i="7"/>
  <c r="C809" i="7"/>
  <c r="B809" i="7"/>
  <c r="A809" i="7"/>
  <c r="S808" i="7"/>
  <c r="R808" i="7"/>
  <c r="P808" i="7"/>
  <c r="O808" i="7"/>
  <c r="N808" i="7"/>
  <c r="M808" i="7"/>
  <c r="L808" i="7"/>
  <c r="K808" i="7"/>
  <c r="J808" i="7"/>
  <c r="I808" i="7"/>
  <c r="H808" i="7"/>
  <c r="G808" i="7"/>
  <c r="F808" i="7"/>
  <c r="E808" i="7"/>
  <c r="D808" i="7"/>
  <c r="C808" i="7"/>
  <c r="B808" i="7"/>
  <c r="A808" i="7"/>
  <c r="S807" i="7"/>
  <c r="R807" i="7"/>
  <c r="P807" i="7"/>
  <c r="O807" i="7"/>
  <c r="N807" i="7"/>
  <c r="M807" i="7"/>
  <c r="L807" i="7"/>
  <c r="K807" i="7"/>
  <c r="J807" i="7"/>
  <c r="I807" i="7"/>
  <c r="H807" i="7"/>
  <c r="G807" i="7"/>
  <c r="F807" i="7"/>
  <c r="E807" i="7"/>
  <c r="D807" i="7"/>
  <c r="C807" i="7"/>
  <c r="B807" i="7"/>
  <c r="A807" i="7"/>
  <c r="S806" i="7"/>
  <c r="R806" i="7"/>
  <c r="P806" i="7"/>
  <c r="O806" i="7"/>
  <c r="N806" i="7"/>
  <c r="M806" i="7"/>
  <c r="L806" i="7"/>
  <c r="K806" i="7"/>
  <c r="J806" i="7"/>
  <c r="I806" i="7"/>
  <c r="H806" i="7"/>
  <c r="G806" i="7"/>
  <c r="F806" i="7"/>
  <c r="E806" i="7"/>
  <c r="D806" i="7"/>
  <c r="C806" i="7"/>
  <c r="B806" i="7"/>
  <c r="A806" i="7"/>
  <c r="S805" i="7"/>
  <c r="R805" i="7"/>
  <c r="P805" i="7"/>
  <c r="O805" i="7"/>
  <c r="N805" i="7"/>
  <c r="M805" i="7"/>
  <c r="L805" i="7"/>
  <c r="K805" i="7"/>
  <c r="J805" i="7"/>
  <c r="I805" i="7"/>
  <c r="H805" i="7"/>
  <c r="G805" i="7"/>
  <c r="F805" i="7"/>
  <c r="E805" i="7"/>
  <c r="D805" i="7"/>
  <c r="C805" i="7"/>
  <c r="B805" i="7"/>
  <c r="A805" i="7"/>
  <c r="S804" i="7"/>
  <c r="R804" i="7"/>
  <c r="P804" i="7"/>
  <c r="O804" i="7"/>
  <c r="N804" i="7"/>
  <c r="M804" i="7"/>
  <c r="L804" i="7"/>
  <c r="K804" i="7"/>
  <c r="J804" i="7"/>
  <c r="I804" i="7"/>
  <c r="H804" i="7"/>
  <c r="G804" i="7"/>
  <c r="F804" i="7"/>
  <c r="E804" i="7"/>
  <c r="D804" i="7"/>
  <c r="C804" i="7"/>
  <c r="B804" i="7"/>
  <c r="A804" i="7"/>
  <c r="S803" i="7"/>
  <c r="R803" i="7"/>
  <c r="P803" i="7"/>
  <c r="O803" i="7"/>
  <c r="N803" i="7"/>
  <c r="M803" i="7"/>
  <c r="L803" i="7"/>
  <c r="K803" i="7"/>
  <c r="J803" i="7"/>
  <c r="I803" i="7"/>
  <c r="H803" i="7"/>
  <c r="G803" i="7"/>
  <c r="F803" i="7"/>
  <c r="E803" i="7"/>
  <c r="D803" i="7"/>
  <c r="C803" i="7"/>
  <c r="B803" i="7"/>
  <c r="A803" i="7"/>
  <c r="S802" i="7"/>
  <c r="R802" i="7"/>
  <c r="P802" i="7"/>
  <c r="O802" i="7"/>
  <c r="N802" i="7"/>
  <c r="M802" i="7"/>
  <c r="L802" i="7"/>
  <c r="K802" i="7"/>
  <c r="J802" i="7"/>
  <c r="I802" i="7"/>
  <c r="H802" i="7"/>
  <c r="G802" i="7"/>
  <c r="F802" i="7"/>
  <c r="E802" i="7"/>
  <c r="D802" i="7"/>
  <c r="C802" i="7"/>
  <c r="B802" i="7"/>
  <c r="A802" i="7"/>
  <c r="S801" i="7"/>
  <c r="R801" i="7"/>
  <c r="Q801" i="7"/>
  <c r="P801" i="7"/>
  <c r="O801" i="7"/>
  <c r="N801" i="7"/>
  <c r="M801" i="7"/>
  <c r="L801" i="7"/>
  <c r="K801" i="7"/>
  <c r="J801" i="7"/>
  <c r="I801" i="7"/>
  <c r="H801" i="7"/>
  <c r="G801" i="7"/>
  <c r="F801" i="7"/>
  <c r="E801" i="7"/>
  <c r="D801" i="7"/>
  <c r="C801" i="7"/>
  <c r="B801" i="7"/>
  <c r="A801" i="7"/>
  <c r="S800" i="7"/>
  <c r="R800" i="7"/>
  <c r="P800" i="7"/>
  <c r="O800" i="7"/>
  <c r="N800" i="7"/>
  <c r="M800" i="7"/>
  <c r="L800" i="7"/>
  <c r="K800" i="7"/>
  <c r="J800" i="7"/>
  <c r="I800" i="7"/>
  <c r="H800" i="7"/>
  <c r="G800" i="7"/>
  <c r="F800" i="7"/>
  <c r="E800" i="7"/>
  <c r="D800" i="7"/>
  <c r="C800" i="7"/>
  <c r="B800" i="7"/>
  <c r="A800" i="7"/>
  <c r="S799" i="7"/>
  <c r="R799" i="7"/>
  <c r="Q799" i="7"/>
  <c r="P799" i="7"/>
  <c r="O799" i="7"/>
  <c r="N799" i="7"/>
  <c r="M799" i="7"/>
  <c r="L799" i="7"/>
  <c r="K799" i="7"/>
  <c r="J799" i="7"/>
  <c r="I799" i="7"/>
  <c r="H799" i="7"/>
  <c r="G799" i="7"/>
  <c r="F799" i="7"/>
  <c r="E799" i="7"/>
  <c r="D799" i="7"/>
  <c r="C799" i="7"/>
  <c r="B799" i="7"/>
  <c r="A799" i="7"/>
  <c r="S798" i="7"/>
  <c r="R798" i="7"/>
  <c r="P798" i="7"/>
  <c r="O798" i="7"/>
  <c r="N798" i="7"/>
  <c r="M798" i="7"/>
  <c r="L798" i="7"/>
  <c r="K798" i="7"/>
  <c r="J798" i="7"/>
  <c r="I798" i="7"/>
  <c r="H798" i="7"/>
  <c r="G798" i="7"/>
  <c r="F798" i="7"/>
  <c r="E798" i="7"/>
  <c r="D798" i="7"/>
  <c r="C798" i="7"/>
  <c r="B798" i="7"/>
  <c r="A798" i="7"/>
  <c r="S797" i="7"/>
  <c r="R797" i="7"/>
  <c r="P797" i="7"/>
  <c r="O797" i="7"/>
  <c r="N797" i="7"/>
  <c r="M797" i="7"/>
  <c r="L797" i="7"/>
  <c r="K797" i="7"/>
  <c r="J797" i="7"/>
  <c r="I797" i="7"/>
  <c r="H797" i="7"/>
  <c r="G797" i="7"/>
  <c r="F797" i="7"/>
  <c r="E797" i="7"/>
  <c r="D797" i="7"/>
  <c r="C797" i="7"/>
  <c r="B797" i="7"/>
  <c r="A797" i="7"/>
  <c r="S796" i="7"/>
  <c r="R796" i="7"/>
  <c r="Q796" i="7"/>
  <c r="P796" i="7"/>
  <c r="O796" i="7"/>
  <c r="N796" i="7"/>
  <c r="M796" i="7"/>
  <c r="L796" i="7"/>
  <c r="K796" i="7"/>
  <c r="J796" i="7"/>
  <c r="I796" i="7"/>
  <c r="H796" i="7"/>
  <c r="G796" i="7"/>
  <c r="F796" i="7"/>
  <c r="E796" i="7"/>
  <c r="D796" i="7"/>
  <c r="C796" i="7"/>
  <c r="B796" i="7"/>
  <c r="A796" i="7"/>
  <c r="S795" i="7"/>
  <c r="R795" i="7"/>
  <c r="P795" i="7"/>
  <c r="O795" i="7"/>
  <c r="N795" i="7"/>
  <c r="M795" i="7"/>
  <c r="L795" i="7"/>
  <c r="K795" i="7"/>
  <c r="J795" i="7"/>
  <c r="I795" i="7"/>
  <c r="H795" i="7"/>
  <c r="G795" i="7"/>
  <c r="F795" i="7"/>
  <c r="E795" i="7"/>
  <c r="D795" i="7"/>
  <c r="C795" i="7"/>
  <c r="B795" i="7"/>
  <c r="A795" i="7"/>
  <c r="S794" i="7"/>
  <c r="R794" i="7"/>
  <c r="Q794" i="7"/>
  <c r="P794" i="7"/>
  <c r="O794" i="7"/>
  <c r="N794" i="7"/>
  <c r="M794" i="7"/>
  <c r="L794" i="7"/>
  <c r="K794" i="7"/>
  <c r="J794" i="7"/>
  <c r="I794" i="7"/>
  <c r="H794" i="7"/>
  <c r="G794" i="7"/>
  <c r="F794" i="7"/>
  <c r="E794" i="7"/>
  <c r="D794" i="7"/>
  <c r="C794" i="7"/>
  <c r="B794" i="7"/>
  <c r="A794" i="7"/>
  <c r="S793" i="7"/>
  <c r="R793" i="7"/>
  <c r="Q793" i="7"/>
  <c r="P793" i="7"/>
  <c r="O793" i="7"/>
  <c r="N793" i="7"/>
  <c r="M793" i="7"/>
  <c r="L793" i="7"/>
  <c r="K793" i="7"/>
  <c r="J793" i="7"/>
  <c r="I793" i="7"/>
  <c r="H793" i="7"/>
  <c r="G793" i="7"/>
  <c r="F793" i="7"/>
  <c r="E793" i="7"/>
  <c r="D793" i="7"/>
  <c r="C793" i="7"/>
  <c r="B793" i="7"/>
  <c r="A793" i="7"/>
  <c r="S792" i="7"/>
  <c r="R792" i="7"/>
  <c r="Q792" i="7"/>
  <c r="P792" i="7"/>
  <c r="O792" i="7"/>
  <c r="N792" i="7"/>
  <c r="M792" i="7"/>
  <c r="L792" i="7"/>
  <c r="K792" i="7"/>
  <c r="J792" i="7"/>
  <c r="I792" i="7"/>
  <c r="H792" i="7"/>
  <c r="G792" i="7"/>
  <c r="F792" i="7"/>
  <c r="E792" i="7"/>
  <c r="D792" i="7"/>
  <c r="C792" i="7"/>
  <c r="B792" i="7"/>
  <c r="A792" i="7"/>
  <c r="S791" i="7"/>
  <c r="R791" i="7"/>
  <c r="P791" i="7"/>
  <c r="O791" i="7"/>
  <c r="N791" i="7"/>
  <c r="M791" i="7"/>
  <c r="L791" i="7"/>
  <c r="K791" i="7"/>
  <c r="J791" i="7"/>
  <c r="I791" i="7"/>
  <c r="H791" i="7"/>
  <c r="G791" i="7"/>
  <c r="F791" i="7"/>
  <c r="E791" i="7"/>
  <c r="D791" i="7"/>
  <c r="C791" i="7"/>
  <c r="B791" i="7"/>
  <c r="A791" i="7"/>
  <c r="S790" i="7"/>
  <c r="R790" i="7"/>
  <c r="P790" i="7"/>
  <c r="O790" i="7"/>
  <c r="N790" i="7"/>
  <c r="M790" i="7"/>
  <c r="L790" i="7"/>
  <c r="K790" i="7"/>
  <c r="J790" i="7"/>
  <c r="I790" i="7"/>
  <c r="H790" i="7"/>
  <c r="G790" i="7"/>
  <c r="F790" i="7"/>
  <c r="E790" i="7"/>
  <c r="D790" i="7"/>
  <c r="C790" i="7"/>
  <c r="B790" i="7"/>
  <c r="A790" i="7"/>
  <c r="S789" i="7"/>
  <c r="R789" i="7"/>
  <c r="P789" i="7"/>
  <c r="O789" i="7"/>
  <c r="N789" i="7"/>
  <c r="M789" i="7"/>
  <c r="L789" i="7"/>
  <c r="K789" i="7"/>
  <c r="J789" i="7"/>
  <c r="I789" i="7"/>
  <c r="H789" i="7"/>
  <c r="G789" i="7"/>
  <c r="F789" i="7"/>
  <c r="E789" i="7"/>
  <c r="D789" i="7"/>
  <c r="C789" i="7"/>
  <c r="B789" i="7"/>
  <c r="A789" i="7"/>
  <c r="S788" i="7"/>
  <c r="R788" i="7"/>
  <c r="P788" i="7"/>
  <c r="O788" i="7"/>
  <c r="N788" i="7"/>
  <c r="M788" i="7"/>
  <c r="L788" i="7"/>
  <c r="K788" i="7"/>
  <c r="J788" i="7"/>
  <c r="I788" i="7"/>
  <c r="H788" i="7"/>
  <c r="G788" i="7"/>
  <c r="F788" i="7"/>
  <c r="E788" i="7"/>
  <c r="D788" i="7"/>
  <c r="C788" i="7"/>
  <c r="B788" i="7"/>
  <c r="A788" i="7"/>
  <c r="S787" i="7"/>
  <c r="R787" i="7"/>
  <c r="P787" i="7"/>
  <c r="O787" i="7"/>
  <c r="N787" i="7"/>
  <c r="M787" i="7"/>
  <c r="L787" i="7"/>
  <c r="K787" i="7"/>
  <c r="J787" i="7"/>
  <c r="I787" i="7"/>
  <c r="H787" i="7"/>
  <c r="G787" i="7"/>
  <c r="F787" i="7"/>
  <c r="E787" i="7"/>
  <c r="D787" i="7"/>
  <c r="C787" i="7"/>
  <c r="B787" i="7"/>
  <c r="A787" i="7"/>
  <c r="S786" i="7"/>
  <c r="R786" i="7"/>
  <c r="P786" i="7"/>
  <c r="O786" i="7"/>
  <c r="N786" i="7"/>
  <c r="M786" i="7"/>
  <c r="L786" i="7"/>
  <c r="K786" i="7"/>
  <c r="J786" i="7"/>
  <c r="I786" i="7"/>
  <c r="H786" i="7"/>
  <c r="G786" i="7"/>
  <c r="F786" i="7"/>
  <c r="E786" i="7"/>
  <c r="D786" i="7"/>
  <c r="C786" i="7"/>
  <c r="B786" i="7"/>
  <c r="A786" i="7"/>
  <c r="S785" i="7"/>
  <c r="R785" i="7"/>
  <c r="Q785" i="7"/>
  <c r="P785" i="7"/>
  <c r="O785" i="7"/>
  <c r="N785" i="7"/>
  <c r="M785" i="7"/>
  <c r="L785" i="7"/>
  <c r="K785" i="7"/>
  <c r="J785" i="7"/>
  <c r="I785" i="7"/>
  <c r="H785" i="7"/>
  <c r="G785" i="7"/>
  <c r="F785" i="7"/>
  <c r="E785" i="7"/>
  <c r="D785" i="7"/>
  <c r="C785" i="7"/>
  <c r="B785" i="7"/>
  <c r="A785" i="7"/>
  <c r="S784" i="7"/>
  <c r="R784" i="7"/>
  <c r="P784" i="7"/>
  <c r="O784" i="7"/>
  <c r="N784" i="7"/>
  <c r="M784" i="7"/>
  <c r="L784" i="7"/>
  <c r="K784" i="7"/>
  <c r="J784" i="7"/>
  <c r="I784" i="7"/>
  <c r="H784" i="7"/>
  <c r="G784" i="7"/>
  <c r="F784" i="7"/>
  <c r="E784" i="7"/>
  <c r="D784" i="7"/>
  <c r="C784" i="7"/>
  <c r="B784" i="7"/>
  <c r="A784" i="7"/>
  <c r="S783" i="7"/>
  <c r="R783" i="7"/>
  <c r="P783" i="7"/>
  <c r="O783" i="7"/>
  <c r="N783" i="7"/>
  <c r="M783" i="7"/>
  <c r="L783" i="7"/>
  <c r="K783" i="7"/>
  <c r="J783" i="7"/>
  <c r="I783" i="7"/>
  <c r="H783" i="7"/>
  <c r="G783" i="7"/>
  <c r="F783" i="7"/>
  <c r="E783" i="7"/>
  <c r="C783" i="7"/>
  <c r="B783" i="7"/>
  <c r="A783" i="7"/>
  <c r="S782" i="7"/>
  <c r="R782" i="7"/>
  <c r="Q782" i="7"/>
  <c r="P782" i="7"/>
  <c r="O782" i="7"/>
  <c r="N782" i="7"/>
  <c r="M782" i="7"/>
  <c r="L782" i="7"/>
  <c r="K782" i="7"/>
  <c r="J782" i="7"/>
  <c r="I782" i="7"/>
  <c r="H782" i="7"/>
  <c r="G782" i="7"/>
  <c r="F782" i="7"/>
  <c r="E782" i="7"/>
  <c r="D782" i="7"/>
  <c r="C782" i="7"/>
  <c r="B782" i="7"/>
  <c r="A782" i="7"/>
  <c r="S781" i="7"/>
  <c r="R781" i="7"/>
  <c r="P781" i="7"/>
  <c r="O781" i="7"/>
  <c r="N781" i="7"/>
  <c r="M781" i="7"/>
  <c r="L781" i="7"/>
  <c r="K781" i="7"/>
  <c r="J781" i="7"/>
  <c r="I781" i="7"/>
  <c r="H781" i="7"/>
  <c r="G781" i="7"/>
  <c r="F781" i="7"/>
  <c r="E781" i="7"/>
  <c r="D781" i="7"/>
  <c r="C781" i="7"/>
  <c r="B781" i="7"/>
  <c r="A781" i="7"/>
  <c r="S780" i="7"/>
  <c r="M780" i="7"/>
  <c r="L780" i="7"/>
  <c r="K780" i="7"/>
  <c r="J780" i="7"/>
  <c r="I780" i="7"/>
  <c r="H780" i="7"/>
  <c r="G780" i="7"/>
  <c r="F780" i="7"/>
  <c r="E780" i="7"/>
  <c r="D780" i="7"/>
  <c r="C780" i="7"/>
  <c r="B780" i="7"/>
  <c r="A780" i="7"/>
  <c r="S779" i="7"/>
  <c r="R779" i="7"/>
  <c r="P779" i="7"/>
  <c r="O779" i="7"/>
  <c r="N779" i="7"/>
  <c r="M779" i="7"/>
  <c r="L779" i="7"/>
  <c r="K779" i="7"/>
  <c r="J779" i="7"/>
  <c r="I779" i="7"/>
  <c r="H779" i="7"/>
  <c r="G779" i="7"/>
  <c r="F779" i="7"/>
  <c r="E779" i="7"/>
  <c r="D779" i="7"/>
  <c r="C779" i="7"/>
  <c r="B779" i="7"/>
  <c r="A779" i="7"/>
  <c r="S778" i="7"/>
  <c r="R778" i="7"/>
  <c r="Q778" i="7"/>
  <c r="P778" i="7"/>
  <c r="O778" i="7"/>
  <c r="N778" i="7"/>
  <c r="M778" i="7"/>
  <c r="L778" i="7"/>
  <c r="K778" i="7"/>
  <c r="J778" i="7"/>
  <c r="I778" i="7"/>
  <c r="H778" i="7"/>
  <c r="G778" i="7"/>
  <c r="F778" i="7"/>
  <c r="E778" i="7"/>
  <c r="D778" i="7"/>
  <c r="C778" i="7"/>
  <c r="B778" i="7"/>
  <c r="A778" i="7"/>
  <c r="S777" i="7"/>
  <c r="R777" i="7"/>
  <c r="P777" i="7"/>
  <c r="O777" i="7"/>
  <c r="N777" i="7"/>
  <c r="M777" i="7"/>
  <c r="L777" i="7"/>
  <c r="K777" i="7"/>
  <c r="J777" i="7"/>
  <c r="I777" i="7"/>
  <c r="H777" i="7"/>
  <c r="G777" i="7"/>
  <c r="F777" i="7"/>
  <c r="E777" i="7"/>
  <c r="D777" i="7"/>
  <c r="C777" i="7"/>
  <c r="B777" i="7"/>
  <c r="A777" i="7"/>
  <c r="S776" i="7"/>
  <c r="R776" i="7"/>
  <c r="Q776" i="7"/>
  <c r="P776" i="7"/>
  <c r="O776" i="7"/>
  <c r="N776" i="7"/>
  <c r="M776" i="7"/>
  <c r="L776" i="7"/>
  <c r="K776" i="7"/>
  <c r="J776" i="7"/>
  <c r="I776" i="7"/>
  <c r="H776" i="7"/>
  <c r="G776" i="7"/>
  <c r="F776" i="7"/>
  <c r="E776" i="7"/>
  <c r="D776" i="7"/>
  <c r="C776" i="7"/>
  <c r="B776" i="7"/>
  <c r="A776" i="7"/>
  <c r="S775" i="7"/>
  <c r="R775" i="7"/>
  <c r="Q775" i="7"/>
  <c r="P775" i="7"/>
  <c r="O775" i="7"/>
  <c r="N775" i="7"/>
  <c r="M775" i="7"/>
  <c r="L775" i="7"/>
  <c r="K775" i="7"/>
  <c r="J775" i="7"/>
  <c r="I775" i="7"/>
  <c r="H775" i="7"/>
  <c r="G775" i="7"/>
  <c r="F775" i="7"/>
  <c r="E775" i="7"/>
  <c r="D775" i="7"/>
  <c r="C775" i="7"/>
  <c r="B775" i="7"/>
  <c r="A775" i="7"/>
  <c r="S774" i="7"/>
  <c r="R774" i="7"/>
  <c r="P774" i="7"/>
  <c r="O774" i="7"/>
  <c r="N774" i="7"/>
  <c r="M774" i="7"/>
  <c r="L774" i="7"/>
  <c r="K774" i="7"/>
  <c r="J774" i="7"/>
  <c r="I774" i="7"/>
  <c r="H774" i="7"/>
  <c r="G774" i="7"/>
  <c r="F774" i="7"/>
  <c r="E774" i="7"/>
  <c r="D774" i="7"/>
  <c r="C774" i="7"/>
  <c r="B774" i="7"/>
  <c r="A774" i="7"/>
  <c r="S773" i="7"/>
  <c r="R773" i="7"/>
  <c r="P773" i="7"/>
  <c r="O773" i="7"/>
  <c r="N773" i="7"/>
  <c r="M773" i="7"/>
  <c r="L773" i="7"/>
  <c r="K773" i="7"/>
  <c r="J773" i="7"/>
  <c r="I773" i="7"/>
  <c r="H773" i="7"/>
  <c r="G773" i="7"/>
  <c r="F773" i="7"/>
  <c r="E773" i="7"/>
  <c r="D773" i="7"/>
  <c r="C773" i="7"/>
  <c r="B773" i="7"/>
  <c r="A773" i="7"/>
  <c r="S772" i="7"/>
  <c r="R772" i="7"/>
  <c r="Q772" i="7"/>
  <c r="P772" i="7"/>
  <c r="O772" i="7"/>
  <c r="N772" i="7"/>
  <c r="M772" i="7"/>
  <c r="L772" i="7"/>
  <c r="K772" i="7"/>
  <c r="J772" i="7"/>
  <c r="I772" i="7"/>
  <c r="H772" i="7"/>
  <c r="G772" i="7"/>
  <c r="F772" i="7"/>
  <c r="E772" i="7"/>
  <c r="D772" i="7"/>
  <c r="C772" i="7"/>
  <c r="B772" i="7"/>
  <c r="A772" i="7"/>
  <c r="S771" i="7"/>
  <c r="R771" i="7"/>
  <c r="P771" i="7"/>
  <c r="O771" i="7"/>
  <c r="N771" i="7"/>
  <c r="M771" i="7"/>
  <c r="L771" i="7"/>
  <c r="K771" i="7"/>
  <c r="J771" i="7"/>
  <c r="I771" i="7"/>
  <c r="H771" i="7"/>
  <c r="G771" i="7"/>
  <c r="F771" i="7"/>
  <c r="E771" i="7"/>
  <c r="D771" i="7"/>
  <c r="C771" i="7"/>
  <c r="B771" i="7"/>
  <c r="A771" i="7"/>
  <c r="S770" i="7"/>
  <c r="R770" i="7"/>
  <c r="Q770" i="7"/>
  <c r="P770" i="7"/>
  <c r="O770" i="7"/>
  <c r="N770" i="7"/>
  <c r="M770" i="7"/>
  <c r="L770" i="7"/>
  <c r="K770" i="7"/>
  <c r="J770" i="7"/>
  <c r="I770" i="7"/>
  <c r="H770" i="7"/>
  <c r="G770" i="7"/>
  <c r="F770" i="7"/>
  <c r="E770" i="7"/>
  <c r="D770" i="7"/>
  <c r="C770" i="7"/>
  <c r="B770" i="7"/>
  <c r="A770" i="7"/>
  <c r="S769" i="7"/>
  <c r="R769" i="7"/>
  <c r="P769" i="7"/>
  <c r="O769" i="7"/>
  <c r="N769" i="7"/>
  <c r="M769" i="7"/>
  <c r="L769" i="7"/>
  <c r="K769" i="7"/>
  <c r="J769" i="7"/>
  <c r="I769" i="7"/>
  <c r="H769" i="7"/>
  <c r="G769" i="7"/>
  <c r="F769" i="7"/>
  <c r="E769" i="7"/>
  <c r="D769" i="7"/>
  <c r="C769" i="7"/>
  <c r="B769" i="7"/>
  <c r="A769" i="7"/>
  <c r="S768" i="7"/>
  <c r="R768" i="7"/>
  <c r="P768" i="7"/>
  <c r="O768" i="7"/>
  <c r="N768" i="7"/>
  <c r="M768" i="7"/>
  <c r="L768" i="7"/>
  <c r="K768" i="7"/>
  <c r="J768" i="7"/>
  <c r="I768" i="7"/>
  <c r="H768" i="7"/>
  <c r="G768" i="7"/>
  <c r="F768" i="7"/>
  <c r="E768" i="7"/>
  <c r="D768" i="7"/>
  <c r="C768" i="7"/>
  <c r="B768" i="7"/>
  <c r="A768" i="7"/>
  <c r="S767" i="7"/>
  <c r="R767" i="7"/>
  <c r="P767" i="7"/>
  <c r="O767" i="7"/>
  <c r="N767" i="7"/>
  <c r="M767" i="7"/>
  <c r="L767" i="7"/>
  <c r="K767" i="7"/>
  <c r="J767" i="7"/>
  <c r="I767" i="7"/>
  <c r="H767" i="7"/>
  <c r="G767" i="7"/>
  <c r="F767" i="7"/>
  <c r="E767" i="7"/>
  <c r="D767" i="7"/>
  <c r="C767" i="7"/>
  <c r="B767" i="7"/>
  <c r="A767" i="7"/>
  <c r="S766" i="7"/>
  <c r="R766" i="7"/>
  <c r="Q766" i="7"/>
  <c r="P766" i="7"/>
  <c r="O766" i="7"/>
  <c r="N766" i="7"/>
  <c r="M766" i="7"/>
  <c r="L766" i="7"/>
  <c r="K766" i="7"/>
  <c r="J766" i="7"/>
  <c r="I766" i="7"/>
  <c r="H766" i="7"/>
  <c r="G766" i="7"/>
  <c r="F766" i="7"/>
  <c r="E766" i="7"/>
  <c r="D766" i="7"/>
  <c r="C766" i="7"/>
  <c r="B766" i="7"/>
  <c r="A766" i="7"/>
  <c r="S765" i="7"/>
  <c r="R765" i="7"/>
  <c r="P765" i="7"/>
  <c r="O765" i="7"/>
  <c r="N765" i="7"/>
  <c r="M765" i="7"/>
  <c r="L765" i="7"/>
  <c r="K765" i="7"/>
  <c r="J765" i="7"/>
  <c r="I765" i="7"/>
  <c r="H765" i="7"/>
  <c r="G765" i="7"/>
  <c r="F765" i="7"/>
  <c r="E765" i="7"/>
  <c r="D765" i="7"/>
  <c r="C765" i="7"/>
  <c r="B765" i="7"/>
  <c r="A765" i="7"/>
  <c r="S764" i="7"/>
  <c r="R764" i="7"/>
  <c r="P764" i="7"/>
  <c r="O764" i="7"/>
  <c r="N764" i="7"/>
  <c r="M764" i="7"/>
  <c r="L764" i="7"/>
  <c r="K764" i="7"/>
  <c r="J764" i="7"/>
  <c r="I764" i="7"/>
  <c r="H764" i="7"/>
  <c r="G764" i="7"/>
  <c r="F764" i="7"/>
  <c r="E764" i="7"/>
  <c r="D764" i="7"/>
  <c r="C764" i="7"/>
  <c r="B764" i="7"/>
  <c r="A764" i="7"/>
  <c r="S763" i="7"/>
  <c r="R763" i="7"/>
  <c r="P763" i="7"/>
  <c r="O763" i="7"/>
  <c r="N763" i="7"/>
  <c r="M763" i="7"/>
  <c r="L763" i="7"/>
  <c r="K763" i="7"/>
  <c r="J763" i="7"/>
  <c r="I763" i="7"/>
  <c r="H763" i="7"/>
  <c r="G763" i="7"/>
  <c r="F763" i="7"/>
  <c r="E763" i="7"/>
  <c r="D763" i="7"/>
  <c r="C763" i="7"/>
  <c r="B763" i="7"/>
  <c r="A763" i="7"/>
  <c r="S762" i="7"/>
  <c r="R762" i="7"/>
  <c r="Q762" i="7"/>
  <c r="P762" i="7"/>
  <c r="O762" i="7"/>
  <c r="N762" i="7"/>
  <c r="M762" i="7"/>
  <c r="L762" i="7"/>
  <c r="K762" i="7"/>
  <c r="J762" i="7"/>
  <c r="I762" i="7"/>
  <c r="H762" i="7"/>
  <c r="G762" i="7"/>
  <c r="F762" i="7"/>
  <c r="E762" i="7"/>
  <c r="D762" i="7"/>
  <c r="C762" i="7"/>
  <c r="B762" i="7"/>
  <c r="A762" i="7"/>
  <c r="S761" i="7"/>
  <c r="R761" i="7"/>
  <c r="Q761" i="7"/>
  <c r="P761" i="7"/>
  <c r="O761" i="7"/>
  <c r="N761" i="7"/>
  <c r="M761" i="7"/>
  <c r="L761" i="7"/>
  <c r="K761" i="7"/>
  <c r="J761" i="7"/>
  <c r="I761" i="7"/>
  <c r="H761" i="7"/>
  <c r="G761" i="7"/>
  <c r="F761" i="7"/>
  <c r="E761" i="7"/>
  <c r="D761" i="7"/>
  <c r="C761" i="7"/>
  <c r="B761" i="7"/>
  <c r="A761" i="7"/>
  <c r="S760" i="7"/>
  <c r="R760" i="7"/>
  <c r="Q760" i="7"/>
  <c r="P760" i="7"/>
  <c r="O760" i="7"/>
  <c r="N760" i="7"/>
  <c r="M760" i="7"/>
  <c r="L760" i="7"/>
  <c r="K760" i="7"/>
  <c r="J760" i="7"/>
  <c r="I760" i="7"/>
  <c r="H760" i="7"/>
  <c r="G760" i="7"/>
  <c r="F760" i="7"/>
  <c r="E760" i="7"/>
  <c r="D760" i="7"/>
  <c r="C760" i="7"/>
  <c r="B760" i="7"/>
  <c r="A760" i="7"/>
  <c r="S759" i="7"/>
  <c r="R759" i="7"/>
  <c r="Q759" i="7"/>
  <c r="P759" i="7"/>
  <c r="O759" i="7"/>
  <c r="N759" i="7"/>
  <c r="M759" i="7"/>
  <c r="L759" i="7"/>
  <c r="K759" i="7"/>
  <c r="J759" i="7"/>
  <c r="I759" i="7"/>
  <c r="H759" i="7"/>
  <c r="G759" i="7"/>
  <c r="F759" i="7"/>
  <c r="E759" i="7"/>
  <c r="D759" i="7"/>
  <c r="C759" i="7"/>
  <c r="B759" i="7"/>
  <c r="A759" i="7"/>
  <c r="S758" i="7"/>
  <c r="M758" i="7"/>
  <c r="L758" i="7"/>
  <c r="K758" i="7"/>
  <c r="J758" i="7"/>
  <c r="I758" i="7"/>
  <c r="H758" i="7"/>
  <c r="G758" i="7"/>
  <c r="F758" i="7"/>
  <c r="E758" i="7"/>
  <c r="D758" i="7"/>
  <c r="C758" i="7"/>
  <c r="B758" i="7"/>
  <c r="A758" i="7"/>
  <c r="S757" i="7"/>
  <c r="R757" i="7"/>
  <c r="P757" i="7"/>
  <c r="O757" i="7"/>
  <c r="N757" i="7"/>
  <c r="M757" i="7"/>
  <c r="L757" i="7"/>
  <c r="K757" i="7"/>
  <c r="J757" i="7"/>
  <c r="I757" i="7"/>
  <c r="H757" i="7"/>
  <c r="G757" i="7"/>
  <c r="F757" i="7"/>
  <c r="E757" i="7"/>
  <c r="D757" i="7"/>
  <c r="C757" i="7"/>
  <c r="B757" i="7"/>
  <c r="A757" i="7"/>
  <c r="S756" i="7"/>
  <c r="R756" i="7"/>
  <c r="P756" i="7"/>
  <c r="O756" i="7"/>
  <c r="N756" i="7"/>
  <c r="M756" i="7"/>
  <c r="L756" i="7"/>
  <c r="K756" i="7"/>
  <c r="J756" i="7"/>
  <c r="I756" i="7"/>
  <c r="H756" i="7"/>
  <c r="G756" i="7"/>
  <c r="F756" i="7"/>
  <c r="E756" i="7"/>
  <c r="D756" i="7"/>
  <c r="C756" i="7"/>
  <c r="B756" i="7"/>
  <c r="A756" i="7"/>
  <c r="S755" i="7"/>
  <c r="R755" i="7"/>
  <c r="P755" i="7"/>
  <c r="O755" i="7"/>
  <c r="N755" i="7"/>
  <c r="M755" i="7"/>
  <c r="L755" i="7"/>
  <c r="K755" i="7"/>
  <c r="J755" i="7"/>
  <c r="I755" i="7"/>
  <c r="H755" i="7"/>
  <c r="G755" i="7"/>
  <c r="F755" i="7"/>
  <c r="E755" i="7"/>
  <c r="D755" i="7"/>
  <c r="C755" i="7"/>
  <c r="B755" i="7"/>
  <c r="A755" i="7"/>
  <c r="S754" i="7"/>
  <c r="R754" i="7"/>
  <c r="Q754" i="7"/>
  <c r="P754" i="7"/>
  <c r="O754" i="7"/>
  <c r="N754" i="7"/>
  <c r="M754" i="7"/>
  <c r="L754" i="7"/>
  <c r="K754" i="7"/>
  <c r="J754" i="7"/>
  <c r="I754" i="7"/>
  <c r="H754" i="7"/>
  <c r="G754" i="7"/>
  <c r="F754" i="7"/>
  <c r="E754" i="7"/>
  <c r="D754" i="7"/>
  <c r="C754" i="7"/>
  <c r="B754" i="7"/>
  <c r="A754" i="7"/>
  <c r="S753" i="7"/>
  <c r="R753" i="7"/>
  <c r="P753" i="7"/>
  <c r="O753" i="7"/>
  <c r="N753" i="7"/>
  <c r="M753" i="7"/>
  <c r="L753" i="7"/>
  <c r="K753" i="7"/>
  <c r="J753" i="7"/>
  <c r="I753" i="7"/>
  <c r="H753" i="7"/>
  <c r="G753" i="7"/>
  <c r="F753" i="7"/>
  <c r="E753" i="7"/>
  <c r="D753" i="7"/>
  <c r="C753" i="7"/>
  <c r="B753" i="7"/>
  <c r="A753" i="7"/>
  <c r="S752" i="7"/>
  <c r="R752" i="7"/>
  <c r="Q752" i="7"/>
  <c r="P752" i="7"/>
  <c r="O752" i="7"/>
  <c r="N752" i="7"/>
  <c r="M752" i="7"/>
  <c r="L752" i="7"/>
  <c r="K752" i="7"/>
  <c r="J752" i="7"/>
  <c r="I752" i="7"/>
  <c r="H752" i="7"/>
  <c r="G752" i="7"/>
  <c r="F752" i="7"/>
  <c r="E752" i="7"/>
  <c r="D752" i="7"/>
  <c r="C752" i="7"/>
  <c r="B752" i="7"/>
  <c r="A752" i="7"/>
  <c r="S751" i="7"/>
  <c r="R751" i="7"/>
  <c r="Q751" i="7"/>
  <c r="P751" i="7"/>
  <c r="O751" i="7"/>
  <c r="N751" i="7"/>
  <c r="M751" i="7"/>
  <c r="L751" i="7"/>
  <c r="K751" i="7"/>
  <c r="J751" i="7"/>
  <c r="I751" i="7"/>
  <c r="H751" i="7"/>
  <c r="G751" i="7"/>
  <c r="F751" i="7"/>
  <c r="E751" i="7"/>
  <c r="D751" i="7"/>
  <c r="C751" i="7"/>
  <c r="B751" i="7"/>
  <c r="A751" i="7"/>
  <c r="S750" i="7"/>
  <c r="R750" i="7"/>
  <c r="Q750" i="7"/>
  <c r="P750" i="7"/>
  <c r="O750" i="7"/>
  <c r="N750" i="7"/>
  <c r="M750" i="7"/>
  <c r="L750" i="7"/>
  <c r="K750" i="7"/>
  <c r="J750" i="7"/>
  <c r="I750" i="7"/>
  <c r="H750" i="7"/>
  <c r="G750" i="7"/>
  <c r="F750" i="7"/>
  <c r="E750" i="7"/>
  <c r="D750" i="7"/>
  <c r="C750" i="7"/>
  <c r="B750" i="7"/>
  <c r="A750" i="7"/>
  <c r="S749" i="7"/>
  <c r="R749" i="7"/>
  <c r="Q749" i="7"/>
  <c r="P749" i="7"/>
  <c r="O749" i="7"/>
  <c r="N749" i="7"/>
  <c r="M749" i="7"/>
  <c r="L749" i="7"/>
  <c r="K749" i="7"/>
  <c r="J749" i="7"/>
  <c r="I749" i="7"/>
  <c r="H749" i="7"/>
  <c r="G749" i="7"/>
  <c r="F749" i="7"/>
  <c r="E749" i="7"/>
  <c r="D749" i="7"/>
  <c r="C749" i="7"/>
  <c r="B749" i="7"/>
  <c r="A749" i="7"/>
  <c r="S748" i="7"/>
  <c r="R748" i="7"/>
  <c r="Q748" i="7"/>
  <c r="P748" i="7"/>
  <c r="O748" i="7"/>
  <c r="N748" i="7"/>
  <c r="M748" i="7"/>
  <c r="L748" i="7"/>
  <c r="K748" i="7"/>
  <c r="J748" i="7"/>
  <c r="I748" i="7"/>
  <c r="H748" i="7"/>
  <c r="G748" i="7"/>
  <c r="F748" i="7"/>
  <c r="E748" i="7"/>
  <c r="D748" i="7"/>
  <c r="C748" i="7"/>
  <c r="B748" i="7"/>
  <c r="A748" i="7"/>
  <c r="S747" i="7"/>
  <c r="R747" i="7"/>
  <c r="P747" i="7"/>
  <c r="O747" i="7"/>
  <c r="N747" i="7"/>
  <c r="M747" i="7"/>
  <c r="L747" i="7"/>
  <c r="K747" i="7"/>
  <c r="J747" i="7"/>
  <c r="I747" i="7"/>
  <c r="H747" i="7"/>
  <c r="G747" i="7"/>
  <c r="F747" i="7"/>
  <c r="E747" i="7"/>
  <c r="D747" i="7"/>
  <c r="C747" i="7"/>
  <c r="B747" i="7"/>
  <c r="A747" i="7"/>
  <c r="S746" i="7"/>
  <c r="M746" i="7"/>
  <c r="L746" i="7"/>
  <c r="K746" i="7"/>
  <c r="J746" i="7"/>
  <c r="I746" i="7"/>
  <c r="H746" i="7"/>
  <c r="G746" i="7"/>
  <c r="F746" i="7"/>
  <c r="E746" i="7"/>
  <c r="D746" i="7"/>
  <c r="C746" i="7"/>
  <c r="B746" i="7"/>
  <c r="A746" i="7"/>
  <c r="S745" i="7"/>
  <c r="R745" i="7"/>
  <c r="Q745" i="7"/>
  <c r="P745" i="7"/>
  <c r="O745" i="7"/>
  <c r="N745" i="7"/>
  <c r="M745" i="7"/>
  <c r="L745" i="7"/>
  <c r="K745" i="7"/>
  <c r="J745" i="7"/>
  <c r="I745" i="7"/>
  <c r="H745" i="7"/>
  <c r="G745" i="7"/>
  <c r="F745" i="7"/>
  <c r="E745" i="7"/>
  <c r="D745" i="7"/>
  <c r="C745" i="7"/>
  <c r="B745" i="7"/>
  <c r="A745" i="7"/>
  <c r="S744" i="7"/>
  <c r="R744" i="7"/>
  <c r="P744" i="7"/>
  <c r="O744" i="7"/>
  <c r="N744" i="7"/>
  <c r="M744" i="7"/>
  <c r="L744" i="7"/>
  <c r="K744" i="7"/>
  <c r="J744" i="7"/>
  <c r="I744" i="7"/>
  <c r="H744" i="7"/>
  <c r="G744" i="7"/>
  <c r="F744" i="7"/>
  <c r="E744" i="7"/>
  <c r="D744" i="7"/>
  <c r="C744" i="7"/>
  <c r="B744" i="7"/>
  <c r="A744" i="7"/>
  <c r="S743" i="7"/>
  <c r="R743" i="7"/>
  <c r="P743" i="7"/>
  <c r="O743" i="7"/>
  <c r="N743" i="7"/>
  <c r="M743" i="7"/>
  <c r="L743" i="7"/>
  <c r="K743" i="7"/>
  <c r="J743" i="7"/>
  <c r="I743" i="7"/>
  <c r="H743" i="7"/>
  <c r="G743" i="7"/>
  <c r="F743" i="7"/>
  <c r="E743" i="7"/>
  <c r="D743" i="7"/>
  <c r="C743" i="7"/>
  <c r="B743" i="7"/>
  <c r="A743" i="7"/>
  <c r="S742" i="7"/>
  <c r="R742" i="7"/>
  <c r="P742" i="7"/>
  <c r="O742" i="7"/>
  <c r="N742" i="7"/>
  <c r="M742" i="7"/>
  <c r="L742" i="7"/>
  <c r="K742" i="7"/>
  <c r="J742" i="7"/>
  <c r="I742" i="7"/>
  <c r="H742" i="7"/>
  <c r="G742" i="7"/>
  <c r="F742" i="7"/>
  <c r="E742" i="7"/>
  <c r="D742" i="7"/>
  <c r="C742" i="7"/>
  <c r="B742" i="7"/>
  <c r="A742" i="7"/>
  <c r="S741" i="7"/>
  <c r="R741" i="7"/>
  <c r="Q741" i="7"/>
  <c r="P741" i="7"/>
  <c r="O741" i="7"/>
  <c r="N741" i="7"/>
  <c r="M741" i="7"/>
  <c r="L741" i="7"/>
  <c r="K741" i="7"/>
  <c r="J741" i="7"/>
  <c r="I741" i="7"/>
  <c r="H741" i="7"/>
  <c r="G741" i="7"/>
  <c r="F741" i="7"/>
  <c r="E741" i="7"/>
  <c r="D741" i="7"/>
  <c r="C741" i="7"/>
  <c r="B741" i="7"/>
  <c r="A741" i="7"/>
  <c r="S740" i="7"/>
  <c r="R740" i="7"/>
  <c r="P740" i="7"/>
  <c r="O740" i="7"/>
  <c r="N740" i="7"/>
  <c r="M740" i="7"/>
  <c r="L740" i="7"/>
  <c r="K740" i="7"/>
  <c r="J740" i="7"/>
  <c r="I740" i="7"/>
  <c r="H740" i="7"/>
  <c r="G740" i="7"/>
  <c r="F740" i="7"/>
  <c r="E740" i="7"/>
  <c r="D740" i="7"/>
  <c r="C740" i="7"/>
  <c r="B740" i="7"/>
  <c r="A740" i="7"/>
  <c r="S739" i="7"/>
  <c r="R739" i="7"/>
  <c r="P739" i="7"/>
  <c r="O739" i="7"/>
  <c r="N739" i="7"/>
  <c r="M739" i="7"/>
  <c r="L739" i="7"/>
  <c r="K739" i="7"/>
  <c r="J739" i="7"/>
  <c r="I739" i="7"/>
  <c r="H739" i="7"/>
  <c r="G739" i="7"/>
  <c r="F739" i="7"/>
  <c r="E739" i="7"/>
  <c r="D739" i="7"/>
  <c r="C739" i="7"/>
  <c r="B739" i="7"/>
  <c r="A739" i="7"/>
  <c r="S738" i="7"/>
  <c r="R738" i="7"/>
  <c r="Q738" i="7"/>
  <c r="P738" i="7"/>
  <c r="O738" i="7"/>
  <c r="N738" i="7"/>
  <c r="M738" i="7"/>
  <c r="L738" i="7"/>
  <c r="K738" i="7"/>
  <c r="J738" i="7"/>
  <c r="I738" i="7"/>
  <c r="H738" i="7"/>
  <c r="G738" i="7"/>
  <c r="F738" i="7"/>
  <c r="E738" i="7"/>
  <c r="D738" i="7"/>
  <c r="C738" i="7"/>
  <c r="B738" i="7"/>
  <c r="A738" i="7"/>
  <c r="S737" i="7"/>
  <c r="R737" i="7"/>
  <c r="P737" i="7"/>
  <c r="O737" i="7"/>
  <c r="N737" i="7"/>
  <c r="M737" i="7"/>
  <c r="L737" i="7"/>
  <c r="K737" i="7"/>
  <c r="J737" i="7"/>
  <c r="I737" i="7"/>
  <c r="H737" i="7"/>
  <c r="G737" i="7"/>
  <c r="F737" i="7"/>
  <c r="E737" i="7"/>
  <c r="D737" i="7"/>
  <c r="C737" i="7"/>
  <c r="B737" i="7"/>
  <c r="A737" i="7"/>
  <c r="S736" i="7"/>
  <c r="R736" i="7"/>
  <c r="P736" i="7"/>
  <c r="O736" i="7"/>
  <c r="N736" i="7"/>
  <c r="M736" i="7"/>
  <c r="L736" i="7"/>
  <c r="K736" i="7"/>
  <c r="J736" i="7"/>
  <c r="I736" i="7"/>
  <c r="H736" i="7"/>
  <c r="G736" i="7"/>
  <c r="F736" i="7"/>
  <c r="E736" i="7"/>
  <c r="D736" i="7"/>
  <c r="C736" i="7"/>
  <c r="B736" i="7"/>
  <c r="A736" i="7"/>
  <c r="S735" i="7"/>
  <c r="R735" i="7"/>
  <c r="P735" i="7"/>
  <c r="O735" i="7"/>
  <c r="N735" i="7"/>
  <c r="M735" i="7"/>
  <c r="L735" i="7"/>
  <c r="K735" i="7"/>
  <c r="J735" i="7"/>
  <c r="I735" i="7"/>
  <c r="H735" i="7"/>
  <c r="G735" i="7"/>
  <c r="F735" i="7"/>
  <c r="E735" i="7"/>
  <c r="D735" i="7"/>
  <c r="C735" i="7"/>
  <c r="B735" i="7"/>
  <c r="A735" i="7"/>
  <c r="S734" i="7"/>
  <c r="R734" i="7"/>
  <c r="P734" i="7"/>
  <c r="O734" i="7"/>
  <c r="N734" i="7"/>
  <c r="M734" i="7"/>
  <c r="L734" i="7"/>
  <c r="K734" i="7"/>
  <c r="J734" i="7"/>
  <c r="I734" i="7"/>
  <c r="H734" i="7"/>
  <c r="G734" i="7"/>
  <c r="F734" i="7"/>
  <c r="E734" i="7"/>
  <c r="D734" i="7"/>
  <c r="C734" i="7"/>
  <c r="B734" i="7"/>
  <c r="A734" i="7"/>
  <c r="S733" i="7"/>
  <c r="R733" i="7"/>
  <c r="Q733" i="7"/>
  <c r="P733" i="7"/>
  <c r="O733" i="7"/>
  <c r="N733" i="7"/>
  <c r="M733" i="7"/>
  <c r="L733" i="7"/>
  <c r="K733" i="7"/>
  <c r="J733" i="7"/>
  <c r="I733" i="7"/>
  <c r="H733" i="7"/>
  <c r="G733" i="7"/>
  <c r="F733" i="7"/>
  <c r="E733" i="7"/>
  <c r="D733" i="7"/>
  <c r="C733" i="7"/>
  <c r="B733" i="7"/>
  <c r="A733" i="7"/>
  <c r="S732" i="7"/>
  <c r="R732" i="7"/>
  <c r="P732" i="7"/>
  <c r="O732" i="7"/>
  <c r="N732" i="7"/>
  <c r="M732" i="7"/>
  <c r="L732" i="7"/>
  <c r="K732" i="7"/>
  <c r="J732" i="7"/>
  <c r="I732" i="7"/>
  <c r="H732" i="7"/>
  <c r="G732" i="7"/>
  <c r="F732" i="7"/>
  <c r="E732" i="7"/>
  <c r="D732" i="7"/>
  <c r="C732" i="7"/>
  <c r="B732" i="7"/>
  <c r="A732" i="7"/>
  <c r="S731" i="7"/>
  <c r="R731" i="7"/>
  <c r="Q731" i="7"/>
  <c r="P731" i="7"/>
  <c r="O731" i="7"/>
  <c r="N731" i="7"/>
  <c r="M731" i="7"/>
  <c r="L731" i="7"/>
  <c r="K731" i="7"/>
  <c r="J731" i="7"/>
  <c r="I731" i="7"/>
  <c r="H731" i="7"/>
  <c r="G731" i="7"/>
  <c r="F731" i="7"/>
  <c r="E731" i="7"/>
  <c r="D731" i="7"/>
  <c r="C731" i="7"/>
  <c r="B731" i="7"/>
  <c r="A731" i="7"/>
  <c r="S730" i="7"/>
  <c r="R730" i="7"/>
  <c r="P730" i="7"/>
  <c r="O730" i="7"/>
  <c r="N730" i="7"/>
  <c r="M730" i="7"/>
  <c r="L730" i="7"/>
  <c r="K730" i="7"/>
  <c r="J730" i="7"/>
  <c r="I730" i="7"/>
  <c r="H730" i="7"/>
  <c r="G730" i="7"/>
  <c r="F730" i="7"/>
  <c r="E730" i="7"/>
  <c r="D730" i="7"/>
  <c r="C730" i="7"/>
  <c r="B730" i="7"/>
  <c r="A730" i="7"/>
  <c r="S729" i="7"/>
  <c r="R729" i="7"/>
  <c r="Q729" i="7"/>
  <c r="P729" i="7"/>
  <c r="O729" i="7"/>
  <c r="N729" i="7"/>
  <c r="M729" i="7"/>
  <c r="L729" i="7"/>
  <c r="K729" i="7"/>
  <c r="J729" i="7"/>
  <c r="I729" i="7"/>
  <c r="H729" i="7"/>
  <c r="G729" i="7"/>
  <c r="F729" i="7"/>
  <c r="E729" i="7"/>
  <c r="D729" i="7"/>
  <c r="C729" i="7"/>
  <c r="B729" i="7"/>
  <c r="A729" i="7"/>
  <c r="S728" i="7"/>
  <c r="R728" i="7"/>
  <c r="Q728" i="7"/>
  <c r="P728" i="7"/>
  <c r="O728" i="7"/>
  <c r="N728" i="7"/>
  <c r="M728" i="7"/>
  <c r="L728" i="7"/>
  <c r="K728" i="7"/>
  <c r="J728" i="7"/>
  <c r="I728" i="7"/>
  <c r="H728" i="7"/>
  <c r="G728" i="7"/>
  <c r="F728" i="7"/>
  <c r="E728" i="7"/>
  <c r="D728" i="7"/>
  <c r="C728" i="7"/>
  <c r="B728" i="7"/>
  <c r="A728" i="7"/>
  <c r="S727" i="7"/>
  <c r="R727" i="7"/>
  <c r="P727" i="7"/>
  <c r="O727" i="7"/>
  <c r="N727" i="7"/>
  <c r="M727" i="7"/>
  <c r="L727" i="7"/>
  <c r="K727" i="7"/>
  <c r="J727" i="7"/>
  <c r="I727" i="7"/>
  <c r="H727" i="7"/>
  <c r="G727" i="7"/>
  <c r="F727" i="7"/>
  <c r="E727" i="7"/>
  <c r="D727" i="7"/>
  <c r="C727" i="7"/>
  <c r="B727" i="7"/>
  <c r="A727" i="7"/>
  <c r="S726" i="7"/>
  <c r="R726" i="7"/>
  <c r="Q726" i="7"/>
  <c r="P726" i="7"/>
  <c r="O726" i="7"/>
  <c r="N726" i="7"/>
  <c r="M726" i="7"/>
  <c r="L726" i="7"/>
  <c r="K726" i="7"/>
  <c r="J726" i="7"/>
  <c r="I726" i="7"/>
  <c r="H726" i="7"/>
  <c r="G726" i="7"/>
  <c r="F726" i="7"/>
  <c r="E726" i="7"/>
  <c r="D726" i="7"/>
  <c r="C726" i="7"/>
  <c r="B726" i="7"/>
  <c r="A726" i="7"/>
  <c r="S725" i="7"/>
  <c r="R725" i="7"/>
  <c r="P725" i="7"/>
  <c r="O725" i="7"/>
  <c r="N725" i="7"/>
  <c r="M725" i="7"/>
  <c r="L725" i="7"/>
  <c r="K725" i="7"/>
  <c r="J725" i="7"/>
  <c r="I725" i="7"/>
  <c r="H725" i="7"/>
  <c r="G725" i="7"/>
  <c r="F725" i="7"/>
  <c r="E725" i="7"/>
  <c r="D725" i="7"/>
  <c r="C725" i="7"/>
  <c r="B725" i="7"/>
  <c r="A725" i="7"/>
  <c r="S724" i="7"/>
  <c r="R724" i="7"/>
  <c r="P724" i="7"/>
  <c r="O724" i="7"/>
  <c r="N724" i="7"/>
  <c r="M724" i="7"/>
  <c r="L724" i="7"/>
  <c r="K724" i="7"/>
  <c r="J724" i="7"/>
  <c r="I724" i="7"/>
  <c r="H724" i="7"/>
  <c r="G724" i="7"/>
  <c r="F724" i="7"/>
  <c r="E724" i="7"/>
  <c r="D724" i="7"/>
  <c r="C724" i="7"/>
  <c r="B724" i="7"/>
  <c r="A724" i="7"/>
  <c r="S723" i="7"/>
  <c r="R723" i="7"/>
  <c r="P723" i="7"/>
  <c r="O723" i="7"/>
  <c r="N723" i="7"/>
  <c r="M723" i="7"/>
  <c r="L723" i="7"/>
  <c r="K723" i="7"/>
  <c r="J723" i="7"/>
  <c r="I723" i="7"/>
  <c r="H723" i="7"/>
  <c r="G723" i="7"/>
  <c r="F723" i="7"/>
  <c r="E723" i="7"/>
  <c r="D723" i="7"/>
  <c r="C723" i="7"/>
  <c r="B723" i="7"/>
  <c r="A723" i="7"/>
  <c r="S722" i="7"/>
  <c r="R722" i="7"/>
  <c r="P722" i="7"/>
  <c r="O722" i="7"/>
  <c r="N722" i="7"/>
  <c r="M722" i="7"/>
  <c r="L722" i="7"/>
  <c r="K722" i="7"/>
  <c r="J722" i="7"/>
  <c r="I722" i="7"/>
  <c r="H722" i="7"/>
  <c r="G722" i="7"/>
  <c r="F722" i="7"/>
  <c r="E722" i="7"/>
  <c r="D722" i="7"/>
  <c r="C722" i="7"/>
  <c r="B722" i="7"/>
  <c r="A722" i="7"/>
  <c r="S721" i="7"/>
  <c r="R721" i="7"/>
  <c r="P721" i="7"/>
  <c r="O721" i="7"/>
  <c r="N721" i="7"/>
  <c r="M721" i="7"/>
  <c r="L721" i="7"/>
  <c r="K721" i="7"/>
  <c r="J721" i="7"/>
  <c r="I721" i="7"/>
  <c r="H721" i="7"/>
  <c r="G721" i="7"/>
  <c r="F721" i="7"/>
  <c r="E721" i="7"/>
  <c r="D721" i="7"/>
  <c r="C721" i="7"/>
  <c r="B721" i="7"/>
  <c r="A721" i="7"/>
  <c r="S720" i="7"/>
  <c r="R720" i="7"/>
  <c r="P720" i="7"/>
  <c r="O720" i="7"/>
  <c r="N720" i="7"/>
  <c r="M720" i="7"/>
  <c r="L720" i="7"/>
  <c r="K720" i="7"/>
  <c r="J720" i="7"/>
  <c r="I720" i="7"/>
  <c r="H720" i="7"/>
  <c r="G720" i="7"/>
  <c r="F720" i="7"/>
  <c r="E720" i="7"/>
  <c r="D720" i="7"/>
  <c r="C720" i="7"/>
  <c r="B720" i="7"/>
  <c r="A720" i="7"/>
  <c r="S719" i="7"/>
  <c r="R719" i="7"/>
  <c r="P719" i="7"/>
  <c r="O719" i="7"/>
  <c r="N719" i="7"/>
  <c r="M719" i="7"/>
  <c r="L719" i="7"/>
  <c r="K719" i="7"/>
  <c r="J719" i="7"/>
  <c r="I719" i="7"/>
  <c r="H719" i="7"/>
  <c r="G719" i="7"/>
  <c r="F719" i="7"/>
  <c r="E719" i="7"/>
  <c r="D719" i="7"/>
  <c r="C719" i="7"/>
  <c r="B719" i="7"/>
  <c r="A719" i="7"/>
  <c r="S718" i="7"/>
  <c r="R718" i="7"/>
  <c r="P718" i="7"/>
  <c r="O718" i="7"/>
  <c r="N718" i="7"/>
  <c r="M718" i="7"/>
  <c r="L718" i="7"/>
  <c r="K718" i="7"/>
  <c r="J718" i="7"/>
  <c r="I718" i="7"/>
  <c r="H718" i="7"/>
  <c r="G718" i="7"/>
  <c r="F718" i="7"/>
  <c r="E718" i="7"/>
  <c r="D718" i="7"/>
  <c r="C718" i="7"/>
  <c r="B718" i="7"/>
  <c r="A718" i="7"/>
  <c r="S717" i="7"/>
  <c r="R717" i="7"/>
  <c r="P717" i="7"/>
  <c r="O717" i="7"/>
  <c r="N717" i="7"/>
  <c r="M717" i="7"/>
  <c r="L717" i="7"/>
  <c r="K717" i="7"/>
  <c r="J717" i="7"/>
  <c r="I717" i="7"/>
  <c r="H717" i="7"/>
  <c r="G717" i="7"/>
  <c r="F717" i="7"/>
  <c r="E717" i="7"/>
  <c r="D717" i="7"/>
  <c r="C717" i="7"/>
  <c r="B717" i="7"/>
  <c r="A717" i="7"/>
  <c r="S716" i="7"/>
  <c r="R716" i="7"/>
  <c r="Q716" i="7"/>
  <c r="P716" i="7"/>
  <c r="O716" i="7"/>
  <c r="N716" i="7"/>
  <c r="M716" i="7"/>
  <c r="L716" i="7"/>
  <c r="K716" i="7"/>
  <c r="J716" i="7"/>
  <c r="I716" i="7"/>
  <c r="H716" i="7"/>
  <c r="G716" i="7"/>
  <c r="F716" i="7"/>
  <c r="E716" i="7"/>
  <c r="D716" i="7"/>
  <c r="C716" i="7"/>
  <c r="B716" i="7"/>
  <c r="A716" i="7"/>
  <c r="S715" i="7"/>
  <c r="R715" i="7"/>
  <c r="Q715" i="7"/>
  <c r="P715" i="7"/>
  <c r="O715" i="7"/>
  <c r="N715" i="7"/>
  <c r="M715" i="7"/>
  <c r="L715" i="7"/>
  <c r="K715" i="7"/>
  <c r="J715" i="7"/>
  <c r="I715" i="7"/>
  <c r="H715" i="7"/>
  <c r="G715" i="7"/>
  <c r="F715" i="7"/>
  <c r="E715" i="7"/>
  <c r="D715" i="7"/>
  <c r="C715" i="7"/>
  <c r="B715" i="7"/>
  <c r="A715" i="7"/>
  <c r="S714" i="7"/>
  <c r="R714" i="7"/>
  <c r="P714" i="7"/>
  <c r="O714" i="7"/>
  <c r="N714" i="7"/>
  <c r="M714" i="7"/>
  <c r="L714" i="7"/>
  <c r="K714" i="7"/>
  <c r="J714" i="7"/>
  <c r="I714" i="7"/>
  <c r="H714" i="7"/>
  <c r="G714" i="7"/>
  <c r="F714" i="7"/>
  <c r="E714" i="7"/>
  <c r="D714" i="7"/>
  <c r="C714" i="7"/>
  <c r="B714" i="7"/>
  <c r="A714" i="7"/>
  <c r="S713" i="7"/>
  <c r="R713" i="7"/>
  <c r="Q713" i="7"/>
  <c r="P713" i="7"/>
  <c r="O713" i="7"/>
  <c r="N713" i="7"/>
  <c r="M713" i="7"/>
  <c r="L713" i="7"/>
  <c r="K713" i="7"/>
  <c r="J713" i="7"/>
  <c r="I713" i="7"/>
  <c r="H713" i="7"/>
  <c r="G713" i="7"/>
  <c r="F713" i="7"/>
  <c r="E713" i="7"/>
  <c r="D713" i="7"/>
  <c r="C713" i="7"/>
  <c r="B713" i="7"/>
  <c r="A713" i="7"/>
  <c r="S712" i="7"/>
  <c r="R712" i="7"/>
  <c r="P712" i="7"/>
  <c r="O712" i="7"/>
  <c r="N712" i="7"/>
  <c r="M712" i="7"/>
  <c r="L712" i="7"/>
  <c r="K712" i="7"/>
  <c r="J712" i="7"/>
  <c r="I712" i="7"/>
  <c r="H712" i="7"/>
  <c r="G712" i="7"/>
  <c r="F712" i="7"/>
  <c r="E712" i="7"/>
  <c r="D712" i="7"/>
  <c r="C712" i="7"/>
  <c r="B712" i="7"/>
  <c r="A712" i="7"/>
  <c r="S711" i="7"/>
  <c r="R711" i="7"/>
  <c r="P711" i="7"/>
  <c r="O711" i="7"/>
  <c r="N711" i="7"/>
  <c r="M711" i="7"/>
  <c r="L711" i="7"/>
  <c r="K711" i="7"/>
  <c r="J711" i="7"/>
  <c r="I711" i="7"/>
  <c r="H711" i="7"/>
  <c r="G711" i="7"/>
  <c r="F711" i="7"/>
  <c r="E711" i="7"/>
  <c r="D711" i="7"/>
  <c r="C711" i="7"/>
  <c r="B711" i="7"/>
  <c r="A711" i="7"/>
  <c r="S710" i="7"/>
  <c r="R710" i="7"/>
  <c r="P710" i="7"/>
  <c r="O710" i="7"/>
  <c r="N710" i="7"/>
  <c r="M710" i="7"/>
  <c r="L710" i="7"/>
  <c r="K710" i="7"/>
  <c r="J710" i="7"/>
  <c r="I710" i="7"/>
  <c r="H710" i="7"/>
  <c r="G710" i="7"/>
  <c r="F710" i="7"/>
  <c r="E710" i="7"/>
  <c r="D710" i="7"/>
  <c r="C710" i="7"/>
  <c r="B710" i="7"/>
  <c r="A710" i="7"/>
  <c r="S709" i="7"/>
  <c r="R709" i="7"/>
  <c r="P709" i="7"/>
  <c r="O709" i="7"/>
  <c r="N709" i="7"/>
  <c r="M709" i="7"/>
  <c r="L709" i="7"/>
  <c r="K709" i="7"/>
  <c r="J709" i="7"/>
  <c r="I709" i="7"/>
  <c r="H709" i="7"/>
  <c r="G709" i="7"/>
  <c r="F709" i="7"/>
  <c r="E709" i="7"/>
  <c r="D709" i="7"/>
  <c r="C709" i="7"/>
  <c r="B709" i="7"/>
  <c r="A709" i="7"/>
  <c r="S708" i="7"/>
  <c r="R708" i="7"/>
  <c r="P708" i="7"/>
  <c r="O708" i="7"/>
  <c r="N708" i="7"/>
  <c r="M708" i="7"/>
  <c r="L708" i="7"/>
  <c r="K708" i="7"/>
  <c r="J708" i="7"/>
  <c r="I708" i="7"/>
  <c r="H708" i="7"/>
  <c r="G708" i="7"/>
  <c r="F708" i="7"/>
  <c r="E708" i="7"/>
  <c r="D708" i="7"/>
  <c r="C708" i="7"/>
  <c r="B708" i="7"/>
  <c r="A708" i="7"/>
  <c r="S707" i="7"/>
  <c r="R707" i="7"/>
  <c r="Q707" i="7"/>
  <c r="P707" i="7"/>
  <c r="O707" i="7"/>
  <c r="N707" i="7"/>
  <c r="M707" i="7"/>
  <c r="L707" i="7"/>
  <c r="K707" i="7"/>
  <c r="J707" i="7"/>
  <c r="I707" i="7"/>
  <c r="H707" i="7"/>
  <c r="G707" i="7"/>
  <c r="F707" i="7"/>
  <c r="E707" i="7"/>
  <c r="D707" i="7"/>
  <c r="C707" i="7"/>
  <c r="B707" i="7"/>
  <c r="A707" i="7"/>
  <c r="S706" i="7"/>
  <c r="R706" i="7"/>
  <c r="P706" i="7"/>
  <c r="O706" i="7"/>
  <c r="N706" i="7"/>
  <c r="M706" i="7"/>
  <c r="L706" i="7"/>
  <c r="K706" i="7"/>
  <c r="J706" i="7"/>
  <c r="I706" i="7"/>
  <c r="H706" i="7"/>
  <c r="G706" i="7"/>
  <c r="F706" i="7"/>
  <c r="E706" i="7"/>
  <c r="D706" i="7"/>
  <c r="C706" i="7"/>
  <c r="B706" i="7"/>
  <c r="A706" i="7"/>
  <c r="S705" i="7"/>
  <c r="R705" i="7"/>
  <c r="Q705" i="7"/>
  <c r="P705" i="7"/>
  <c r="O705" i="7"/>
  <c r="N705" i="7"/>
  <c r="M705" i="7"/>
  <c r="L705" i="7"/>
  <c r="K705" i="7"/>
  <c r="J705" i="7"/>
  <c r="I705" i="7"/>
  <c r="H705" i="7"/>
  <c r="G705" i="7"/>
  <c r="F705" i="7"/>
  <c r="E705" i="7"/>
  <c r="D705" i="7"/>
  <c r="C705" i="7"/>
  <c r="B705" i="7"/>
  <c r="A705" i="7"/>
  <c r="S704" i="7"/>
  <c r="R704" i="7"/>
  <c r="P704" i="7"/>
  <c r="O704" i="7"/>
  <c r="N704" i="7"/>
  <c r="M704" i="7"/>
  <c r="L704" i="7"/>
  <c r="K704" i="7"/>
  <c r="J704" i="7"/>
  <c r="I704" i="7"/>
  <c r="H704" i="7"/>
  <c r="G704" i="7"/>
  <c r="F704" i="7"/>
  <c r="E704" i="7"/>
  <c r="D704" i="7"/>
  <c r="C704" i="7"/>
  <c r="B704" i="7"/>
  <c r="A704" i="7"/>
  <c r="S703" i="7"/>
  <c r="R703" i="7"/>
  <c r="Q703" i="7"/>
  <c r="P703" i="7"/>
  <c r="O703" i="7"/>
  <c r="N703" i="7"/>
  <c r="M703" i="7"/>
  <c r="L703" i="7"/>
  <c r="K703" i="7"/>
  <c r="J703" i="7"/>
  <c r="I703" i="7"/>
  <c r="H703" i="7"/>
  <c r="G703" i="7"/>
  <c r="F703" i="7"/>
  <c r="E703" i="7"/>
  <c r="D703" i="7"/>
  <c r="C703" i="7"/>
  <c r="B703" i="7"/>
  <c r="A703" i="7"/>
  <c r="S702" i="7"/>
  <c r="R702" i="7"/>
  <c r="P702" i="7"/>
  <c r="O702" i="7"/>
  <c r="N702" i="7"/>
  <c r="M702" i="7"/>
  <c r="L702" i="7"/>
  <c r="K702" i="7"/>
  <c r="J702" i="7"/>
  <c r="I702" i="7"/>
  <c r="H702" i="7"/>
  <c r="G702" i="7"/>
  <c r="F702" i="7"/>
  <c r="E702" i="7"/>
  <c r="D702" i="7"/>
  <c r="C702" i="7"/>
  <c r="B702" i="7"/>
  <c r="A702" i="7"/>
  <c r="S701" i="7"/>
  <c r="R701" i="7"/>
  <c r="Q701" i="7"/>
  <c r="P701" i="7"/>
  <c r="O701" i="7"/>
  <c r="N701" i="7"/>
  <c r="M701" i="7"/>
  <c r="L701" i="7"/>
  <c r="K701" i="7"/>
  <c r="J701" i="7"/>
  <c r="I701" i="7"/>
  <c r="H701" i="7"/>
  <c r="G701" i="7"/>
  <c r="F701" i="7"/>
  <c r="E701" i="7"/>
  <c r="D701" i="7"/>
  <c r="C701" i="7"/>
  <c r="B701" i="7"/>
  <c r="A701" i="7"/>
  <c r="S700" i="7"/>
  <c r="R700" i="7"/>
  <c r="P700" i="7"/>
  <c r="O700" i="7"/>
  <c r="N700" i="7"/>
  <c r="M700" i="7"/>
  <c r="L700" i="7"/>
  <c r="K700" i="7"/>
  <c r="J700" i="7"/>
  <c r="I700" i="7"/>
  <c r="H700" i="7"/>
  <c r="G700" i="7"/>
  <c r="F700" i="7"/>
  <c r="E700" i="7"/>
  <c r="D700" i="7"/>
  <c r="C700" i="7"/>
  <c r="B700" i="7"/>
  <c r="A700" i="7"/>
  <c r="S699" i="7"/>
  <c r="R699" i="7"/>
  <c r="P699" i="7"/>
  <c r="O699" i="7"/>
  <c r="N699" i="7"/>
  <c r="M699" i="7"/>
  <c r="L699" i="7"/>
  <c r="K699" i="7"/>
  <c r="J699" i="7"/>
  <c r="I699" i="7"/>
  <c r="H699" i="7"/>
  <c r="G699" i="7"/>
  <c r="F699" i="7"/>
  <c r="E699" i="7"/>
  <c r="D699" i="7"/>
  <c r="C699" i="7"/>
  <c r="B699" i="7"/>
  <c r="A699" i="7"/>
  <c r="S698" i="7"/>
  <c r="R698" i="7"/>
  <c r="P698" i="7"/>
  <c r="O698" i="7"/>
  <c r="N698" i="7"/>
  <c r="M698" i="7"/>
  <c r="L698" i="7"/>
  <c r="K698" i="7"/>
  <c r="J698" i="7"/>
  <c r="I698" i="7"/>
  <c r="H698" i="7"/>
  <c r="G698" i="7"/>
  <c r="F698" i="7"/>
  <c r="E698" i="7"/>
  <c r="D698" i="7"/>
  <c r="C698" i="7"/>
  <c r="B698" i="7"/>
  <c r="A698" i="7"/>
  <c r="S697" i="7"/>
  <c r="R697" i="7"/>
  <c r="P697" i="7"/>
  <c r="O697" i="7"/>
  <c r="N697" i="7"/>
  <c r="M697" i="7"/>
  <c r="L697" i="7"/>
  <c r="K697" i="7"/>
  <c r="J697" i="7"/>
  <c r="I697" i="7"/>
  <c r="H697" i="7"/>
  <c r="G697" i="7"/>
  <c r="F697" i="7"/>
  <c r="E697" i="7"/>
  <c r="D697" i="7"/>
  <c r="C697" i="7"/>
  <c r="B697" i="7"/>
  <c r="A697" i="7"/>
  <c r="S696" i="7"/>
  <c r="R696" i="7"/>
  <c r="Q696" i="7"/>
  <c r="P696" i="7"/>
  <c r="O696" i="7"/>
  <c r="N696" i="7"/>
  <c r="M696" i="7"/>
  <c r="L696" i="7"/>
  <c r="K696" i="7"/>
  <c r="J696" i="7"/>
  <c r="I696" i="7"/>
  <c r="H696" i="7"/>
  <c r="G696" i="7"/>
  <c r="F696" i="7"/>
  <c r="E696" i="7"/>
  <c r="D696" i="7"/>
  <c r="C696" i="7"/>
  <c r="B696" i="7"/>
  <c r="A696" i="7"/>
  <c r="S695" i="7"/>
  <c r="R695" i="7"/>
  <c r="P695" i="7"/>
  <c r="O695" i="7"/>
  <c r="N695" i="7"/>
  <c r="M695" i="7"/>
  <c r="L695" i="7"/>
  <c r="K695" i="7"/>
  <c r="J695" i="7"/>
  <c r="I695" i="7"/>
  <c r="H695" i="7"/>
  <c r="G695" i="7"/>
  <c r="F695" i="7"/>
  <c r="E695" i="7"/>
  <c r="D695" i="7"/>
  <c r="C695" i="7"/>
  <c r="B695" i="7"/>
  <c r="A695" i="7"/>
  <c r="S694" i="7"/>
  <c r="R694" i="7"/>
  <c r="Q694" i="7"/>
  <c r="P694" i="7"/>
  <c r="O694" i="7"/>
  <c r="N694" i="7"/>
  <c r="M694" i="7"/>
  <c r="L694" i="7"/>
  <c r="K694" i="7"/>
  <c r="J694" i="7"/>
  <c r="I694" i="7"/>
  <c r="H694" i="7"/>
  <c r="G694" i="7"/>
  <c r="F694" i="7"/>
  <c r="E694" i="7"/>
  <c r="D694" i="7"/>
  <c r="C694" i="7"/>
  <c r="B694" i="7"/>
  <c r="A694" i="7"/>
  <c r="S693" i="7"/>
  <c r="R693" i="7"/>
  <c r="Q693" i="7"/>
  <c r="P693" i="7"/>
  <c r="O693" i="7"/>
  <c r="N693" i="7"/>
  <c r="M693" i="7"/>
  <c r="L693" i="7"/>
  <c r="K693" i="7"/>
  <c r="J693" i="7"/>
  <c r="I693" i="7"/>
  <c r="H693" i="7"/>
  <c r="G693" i="7"/>
  <c r="F693" i="7"/>
  <c r="E693" i="7"/>
  <c r="D693" i="7"/>
  <c r="C693" i="7"/>
  <c r="B693" i="7"/>
  <c r="A693" i="7"/>
  <c r="S692" i="7"/>
  <c r="R692" i="7"/>
  <c r="P692" i="7"/>
  <c r="O692" i="7"/>
  <c r="N692" i="7"/>
  <c r="M692" i="7"/>
  <c r="L692" i="7"/>
  <c r="K692" i="7"/>
  <c r="J692" i="7"/>
  <c r="I692" i="7"/>
  <c r="H692" i="7"/>
  <c r="G692" i="7"/>
  <c r="F692" i="7"/>
  <c r="E692" i="7"/>
  <c r="D692" i="7"/>
  <c r="C692" i="7"/>
  <c r="B692" i="7"/>
  <c r="A692" i="7"/>
  <c r="S691" i="7"/>
  <c r="R691" i="7"/>
  <c r="P691" i="7"/>
  <c r="O691" i="7"/>
  <c r="N691" i="7"/>
  <c r="M691" i="7"/>
  <c r="L691" i="7"/>
  <c r="K691" i="7"/>
  <c r="J691" i="7"/>
  <c r="I691" i="7"/>
  <c r="H691" i="7"/>
  <c r="G691" i="7"/>
  <c r="F691" i="7"/>
  <c r="E691" i="7"/>
  <c r="D691" i="7"/>
  <c r="C691" i="7"/>
  <c r="B691" i="7"/>
  <c r="A691" i="7"/>
  <c r="S690" i="7"/>
  <c r="R690" i="7"/>
  <c r="P690" i="7"/>
  <c r="O690" i="7"/>
  <c r="N690" i="7"/>
  <c r="M690" i="7"/>
  <c r="L690" i="7"/>
  <c r="K690" i="7"/>
  <c r="J690" i="7"/>
  <c r="I690" i="7"/>
  <c r="H690" i="7"/>
  <c r="G690" i="7"/>
  <c r="F690" i="7"/>
  <c r="E690" i="7"/>
  <c r="D690" i="7"/>
  <c r="C690" i="7"/>
  <c r="B690" i="7"/>
  <c r="A690" i="7"/>
  <c r="S689" i="7"/>
  <c r="R689" i="7"/>
  <c r="Q689" i="7"/>
  <c r="P689" i="7"/>
  <c r="O689" i="7"/>
  <c r="N689" i="7"/>
  <c r="M689" i="7"/>
  <c r="L689" i="7"/>
  <c r="K689" i="7"/>
  <c r="J689" i="7"/>
  <c r="I689" i="7"/>
  <c r="H689" i="7"/>
  <c r="G689" i="7"/>
  <c r="F689" i="7"/>
  <c r="E689" i="7"/>
  <c r="D689" i="7"/>
  <c r="C689" i="7"/>
  <c r="B689" i="7"/>
  <c r="A689" i="7"/>
  <c r="S688" i="7"/>
  <c r="R688" i="7"/>
  <c r="Q688" i="7"/>
  <c r="P688" i="7"/>
  <c r="O688" i="7"/>
  <c r="N688" i="7"/>
  <c r="M688" i="7"/>
  <c r="L688" i="7"/>
  <c r="K688" i="7"/>
  <c r="J688" i="7"/>
  <c r="I688" i="7"/>
  <c r="H688" i="7"/>
  <c r="G688" i="7"/>
  <c r="F688" i="7"/>
  <c r="E688" i="7"/>
  <c r="D688" i="7"/>
  <c r="C688" i="7"/>
  <c r="B688" i="7"/>
  <c r="A688" i="7"/>
  <c r="S687" i="7"/>
  <c r="R687" i="7"/>
  <c r="Q687" i="7"/>
  <c r="P687" i="7"/>
  <c r="O687" i="7"/>
  <c r="N687" i="7"/>
  <c r="M687" i="7"/>
  <c r="L687" i="7"/>
  <c r="K687" i="7"/>
  <c r="J687" i="7"/>
  <c r="I687" i="7"/>
  <c r="H687" i="7"/>
  <c r="G687" i="7"/>
  <c r="F687" i="7"/>
  <c r="E687" i="7"/>
  <c r="D687" i="7"/>
  <c r="C687" i="7"/>
  <c r="B687" i="7"/>
  <c r="A687" i="7"/>
  <c r="S686" i="7"/>
  <c r="R686" i="7"/>
  <c r="Q686" i="7"/>
  <c r="P686" i="7"/>
  <c r="O686" i="7"/>
  <c r="N686" i="7"/>
  <c r="M686" i="7"/>
  <c r="L686" i="7"/>
  <c r="K686" i="7"/>
  <c r="J686" i="7"/>
  <c r="I686" i="7"/>
  <c r="H686" i="7"/>
  <c r="G686" i="7"/>
  <c r="F686" i="7"/>
  <c r="E686" i="7"/>
  <c r="D686" i="7"/>
  <c r="C686" i="7"/>
  <c r="B686" i="7"/>
  <c r="A686" i="7"/>
  <c r="S685" i="7"/>
  <c r="R685" i="7"/>
  <c r="P685" i="7"/>
  <c r="O685" i="7"/>
  <c r="N685" i="7"/>
  <c r="M685" i="7"/>
  <c r="L685" i="7"/>
  <c r="K685" i="7"/>
  <c r="J685" i="7"/>
  <c r="I685" i="7"/>
  <c r="H685" i="7"/>
  <c r="G685" i="7"/>
  <c r="F685" i="7"/>
  <c r="E685" i="7"/>
  <c r="D685" i="7"/>
  <c r="C685" i="7"/>
  <c r="B685" i="7"/>
  <c r="A685" i="7"/>
  <c r="S684" i="7"/>
  <c r="R684" i="7"/>
  <c r="P684" i="7"/>
  <c r="O684" i="7"/>
  <c r="N684" i="7"/>
  <c r="M684" i="7"/>
  <c r="L684" i="7"/>
  <c r="K684" i="7"/>
  <c r="J684" i="7"/>
  <c r="I684" i="7"/>
  <c r="H684" i="7"/>
  <c r="G684" i="7"/>
  <c r="F684" i="7"/>
  <c r="E684" i="7"/>
  <c r="D684" i="7"/>
  <c r="C684" i="7"/>
  <c r="B684" i="7"/>
  <c r="A684" i="7"/>
  <c r="S683" i="7"/>
  <c r="R683" i="7"/>
  <c r="P683" i="7"/>
  <c r="O683" i="7"/>
  <c r="N683" i="7"/>
  <c r="M683" i="7"/>
  <c r="L683" i="7"/>
  <c r="K683" i="7"/>
  <c r="J683" i="7"/>
  <c r="I683" i="7"/>
  <c r="H683" i="7"/>
  <c r="G683" i="7"/>
  <c r="F683" i="7"/>
  <c r="E683" i="7"/>
  <c r="D683" i="7"/>
  <c r="C683" i="7"/>
  <c r="B683" i="7"/>
  <c r="A683" i="7"/>
  <c r="S682" i="7"/>
  <c r="R682" i="7"/>
  <c r="P682" i="7"/>
  <c r="O682" i="7"/>
  <c r="N682" i="7"/>
  <c r="M682" i="7"/>
  <c r="L682" i="7"/>
  <c r="K682" i="7"/>
  <c r="J682" i="7"/>
  <c r="I682" i="7"/>
  <c r="H682" i="7"/>
  <c r="G682" i="7"/>
  <c r="F682" i="7"/>
  <c r="E682" i="7"/>
  <c r="D682" i="7"/>
  <c r="C682" i="7"/>
  <c r="B682" i="7"/>
  <c r="A682" i="7"/>
  <c r="S681" i="7"/>
  <c r="R681" i="7"/>
  <c r="P681" i="7"/>
  <c r="O681" i="7"/>
  <c r="N681" i="7"/>
  <c r="M681" i="7"/>
  <c r="L681" i="7"/>
  <c r="K681" i="7"/>
  <c r="J681" i="7"/>
  <c r="I681" i="7"/>
  <c r="H681" i="7"/>
  <c r="G681" i="7"/>
  <c r="F681" i="7"/>
  <c r="E681" i="7"/>
  <c r="D681" i="7"/>
  <c r="C681" i="7"/>
  <c r="B681" i="7"/>
  <c r="A681" i="7"/>
  <c r="S680" i="7"/>
  <c r="R680" i="7"/>
  <c r="Q680" i="7"/>
  <c r="P680" i="7"/>
  <c r="O680" i="7"/>
  <c r="N680" i="7"/>
  <c r="M680" i="7"/>
  <c r="L680" i="7"/>
  <c r="K680" i="7"/>
  <c r="J680" i="7"/>
  <c r="I680" i="7"/>
  <c r="H680" i="7"/>
  <c r="G680" i="7"/>
  <c r="F680" i="7"/>
  <c r="E680" i="7"/>
  <c r="D680" i="7"/>
  <c r="C680" i="7"/>
  <c r="B680" i="7"/>
  <c r="A680" i="7"/>
  <c r="S679" i="7"/>
  <c r="R679" i="7"/>
  <c r="Q679" i="7"/>
  <c r="P679" i="7"/>
  <c r="O679" i="7"/>
  <c r="N679" i="7"/>
  <c r="M679" i="7"/>
  <c r="L679" i="7"/>
  <c r="K679" i="7"/>
  <c r="J679" i="7"/>
  <c r="I679" i="7"/>
  <c r="H679" i="7"/>
  <c r="G679" i="7"/>
  <c r="F679" i="7"/>
  <c r="E679" i="7"/>
  <c r="D679" i="7"/>
  <c r="C679" i="7"/>
  <c r="B679" i="7"/>
  <c r="A679" i="7"/>
  <c r="S678" i="7"/>
  <c r="R678" i="7"/>
  <c r="Q678" i="7"/>
  <c r="P678" i="7"/>
  <c r="O678" i="7"/>
  <c r="N678" i="7"/>
  <c r="M678" i="7"/>
  <c r="L678" i="7"/>
  <c r="K678" i="7"/>
  <c r="J678" i="7"/>
  <c r="I678" i="7"/>
  <c r="H678" i="7"/>
  <c r="G678" i="7"/>
  <c r="F678" i="7"/>
  <c r="E678" i="7"/>
  <c r="D678" i="7"/>
  <c r="C678" i="7"/>
  <c r="B678" i="7"/>
  <c r="A678" i="7"/>
  <c r="S677" i="7"/>
  <c r="R677" i="7"/>
  <c r="P677" i="7"/>
  <c r="O677" i="7"/>
  <c r="N677" i="7"/>
  <c r="M677" i="7"/>
  <c r="L677" i="7"/>
  <c r="K677" i="7"/>
  <c r="J677" i="7"/>
  <c r="I677" i="7"/>
  <c r="H677" i="7"/>
  <c r="G677" i="7"/>
  <c r="F677" i="7"/>
  <c r="E677" i="7"/>
  <c r="D677" i="7"/>
  <c r="C677" i="7"/>
  <c r="B677" i="7"/>
  <c r="A677" i="7"/>
  <c r="S676" i="7"/>
  <c r="R676" i="7"/>
  <c r="Q676" i="7"/>
  <c r="P676" i="7"/>
  <c r="O676" i="7"/>
  <c r="N676" i="7"/>
  <c r="M676" i="7"/>
  <c r="L676" i="7"/>
  <c r="K676" i="7"/>
  <c r="J676" i="7"/>
  <c r="I676" i="7"/>
  <c r="H676" i="7"/>
  <c r="G676" i="7"/>
  <c r="F676" i="7"/>
  <c r="E676" i="7"/>
  <c r="D676" i="7"/>
  <c r="C676" i="7"/>
  <c r="B676" i="7"/>
  <c r="A676" i="7"/>
  <c r="S675" i="7"/>
  <c r="R675" i="7"/>
  <c r="P675" i="7"/>
  <c r="O675" i="7"/>
  <c r="N675" i="7"/>
  <c r="M675" i="7"/>
  <c r="L675" i="7"/>
  <c r="K675" i="7"/>
  <c r="J675" i="7"/>
  <c r="I675" i="7"/>
  <c r="H675" i="7"/>
  <c r="G675" i="7"/>
  <c r="F675" i="7"/>
  <c r="E675" i="7"/>
  <c r="D675" i="7"/>
  <c r="C675" i="7"/>
  <c r="B675" i="7"/>
  <c r="A675" i="7"/>
  <c r="S674" i="7"/>
  <c r="R674" i="7"/>
  <c r="P674" i="7"/>
  <c r="O674" i="7"/>
  <c r="N674" i="7"/>
  <c r="M674" i="7"/>
  <c r="L674" i="7"/>
  <c r="K674" i="7"/>
  <c r="J674" i="7"/>
  <c r="I674" i="7"/>
  <c r="H674" i="7"/>
  <c r="G674" i="7"/>
  <c r="F674" i="7"/>
  <c r="E674" i="7"/>
  <c r="D674" i="7"/>
  <c r="C674" i="7"/>
  <c r="B674" i="7"/>
  <c r="A674" i="7"/>
  <c r="S673" i="7"/>
  <c r="R673" i="7"/>
  <c r="P673" i="7"/>
  <c r="O673" i="7"/>
  <c r="N673" i="7"/>
  <c r="M673" i="7"/>
  <c r="L673" i="7"/>
  <c r="K673" i="7"/>
  <c r="J673" i="7"/>
  <c r="I673" i="7"/>
  <c r="H673" i="7"/>
  <c r="G673" i="7"/>
  <c r="F673" i="7"/>
  <c r="E673" i="7"/>
  <c r="D673" i="7"/>
  <c r="C673" i="7"/>
  <c r="B673" i="7"/>
  <c r="A673" i="7"/>
  <c r="S672" i="7"/>
  <c r="R672" i="7"/>
  <c r="P672" i="7"/>
  <c r="O672" i="7"/>
  <c r="N672" i="7"/>
  <c r="M672" i="7"/>
  <c r="L672" i="7"/>
  <c r="K672" i="7"/>
  <c r="J672" i="7"/>
  <c r="I672" i="7"/>
  <c r="H672" i="7"/>
  <c r="G672" i="7"/>
  <c r="F672" i="7"/>
  <c r="E672" i="7"/>
  <c r="D672" i="7"/>
  <c r="C672" i="7"/>
  <c r="B672" i="7"/>
  <c r="A672" i="7"/>
  <c r="S671" i="7"/>
  <c r="R671" i="7"/>
  <c r="Q671" i="7"/>
  <c r="P671" i="7"/>
  <c r="O671" i="7"/>
  <c r="N671" i="7"/>
  <c r="M671" i="7"/>
  <c r="L671" i="7"/>
  <c r="K671" i="7"/>
  <c r="J671" i="7"/>
  <c r="I671" i="7"/>
  <c r="H671" i="7"/>
  <c r="G671" i="7"/>
  <c r="F671" i="7"/>
  <c r="E671" i="7"/>
  <c r="D671" i="7"/>
  <c r="C671" i="7"/>
  <c r="B671" i="7"/>
  <c r="A671" i="7"/>
  <c r="S670" i="7"/>
  <c r="R670" i="7"/>
  <c r="P670" i="7"/>
  <c r="O670" i="7"/>
  <c r="N670" i="7"/>
  <c r="M670" i="7"/>
  <c r="L670" i="7"/>
  <c r="K670" i="7"/>
  <c r="J670" i="7"/>
  <c r="I670" i="7"/>
  <c r="H670" i="7"/>
  <c r="G670" i="7"/>
  <c r="F670" i="7"/>
  <c r="E670" i="7"/>
  <c r="D670" i="7"/>
  <c r="C670" i="7"/>
  <c r="B670" i="7"/>
  <c r="A670" i="7"/>
  <c r="S669" i="7"/>
  <c r="R669" i="7"/>
  <c r="P669" i="7"/>
  <c r="O669" i="7"/>
  <c r="N669" i="7"/>
  <c r="M669" i="7"/>
  <c r="L669" i="7"/>
  <c r="K669" i="7"/>
  <c r="J669" i="7"/>
  <c r="I669" i="7"/>
  <c r="H669" i="7"/>
  <c r="G669" i="7"/>
  <c r="F669" i="7"/>
  <c r="E669" i="7"/>
  <c r="D669" i="7"/>
  <c r="C669" i="7"/>
  <c r="B669" i="7"/>
  <c r="A669" i="7"/>
  <c r="S668" i="7"/>
  <c r="R668" i="7"/>
  <c r="Q668" i="7"/>
  <c r="P668" i="7"/>
  <c r="O668" i="7"/>
  <c r="N668" i="7"/>
  <c r="M668" i="7"/>
  <c r="L668" i="7"/>
  <c r="K668" i="7"/>
  <c r="J668" i="7"/>
  <c r="I668" i="7"/>
  <c r="H668" i="7"/>
  <c r="G668" i="7"/>
  <c r="F668" i="7"/>
  <c r="E668" i="7"/>
  <c r="D668" i="7"/>
  <c r="C668" i="7"/>
  <c r="B668" i="7"/>
  <c r="A668" i="7"/>
  <c r="S667" i="7"/>
  <c r="R667" i="7"/>
  <c r="P667" i="7"/>
  <c r="O667" i="7"/>
  <c r="N667" i="7"/>
  <c r="M667" i="7"/>
  <c r="L667" i="7"/>
  <c r="K667" i="7"/>
  <c r="J667" i="7"/>
  <c r="I667" i="7"/>
  <c r="H667" i="7"/>
  <c r="G667" i="7"/>
  <c r="F667" i="7"/>
  <c r="E667" i="7"/>
  <c r="D667" i="7"/>
  <c r="C667" i="7"/>
  <c r="B667" i="7"/>
  <c r="A667" i="7"/>
  <c r="S666" i="7"/>
  <c r="R666" i="7"/>
  <c r="P666" i="7"/>
  <c r="O666" i="7"/>
  <c r="N666" i="7"/>
  <c r="M666" i="7"/>
  <c r="L666" i="7"/>
  <c r="K666" i="7"/>
  <c r="J666" i="7"/>
  <c r="I666" i="7"/>
  <c r="H666" i="7"/>
  <c r="G666" i="7"/>
  <c r="F666" i="7"/>
  <c r="E666" i="7"/>
  <c r="D666" i="7"/>
  <c r="C666" i="7"/>
  <c r="B666" i="7"/>
  <c r="A666" i="7"/>
  <c r="S665" i="7"/>
  <c r="R665" i="7"/>
  <c r="Q665" i="7"/>
  <c r="P665" i="7"/>
  <c r="O665" i="7"/>
  <c r="N665" i="7"/>
  <c r="M665" i="7"/>
  <c r="L665" i="7"/>
  <c r="K665" i="7"/>
  <c r="J665" i="7"/>
  <c r="I665" i="7"/>
  <c r="H665" i="7"/>
  <c r="G665" i="7"/>
  <c r="F665" i="7"/>
  <c r="E665" i="7"/>
  <c r="D665" i="7"/>
  <c r="C665" i="7"/>
  <c r="B665" i="7"/>
  <c r="A665" i="7"/>
  <c r="S664" i="7"/>
  <c r="R664" i="7"/>
  <c r="P664" i="7"/>
  <c r="O664" i="7"/>
  <c r="N664" i="7"/>
  <c r="M664" i="7"/>
  <c r="L664" i="7"/>
  <c r="K664" i="7"/>
  <c r="J664" i="7"/>
  <c r="I664" i="7"/>
  <c r="H664" i="7"/>
  <c r="G664" i="7"/>
  <c r="F664" i="7"/>
  <c r="E664" i="7"/>
  <c r="D664" i="7"/>
  <c r="C664" i="7"/>
  <c r="B664" i="7"/>
  <c r="A664" i="7"/>
  <c r="S663" i="7"/>
  <c r="R663" i="7"/>
  <c r="Q663" i="7"/>
  <c r="P663" i="7"/>
  <c r="O663" i="7"/>
  <c r="N663" i="7"/>
  <c r="M663" i="7"/>
  <c r="L663" i="7"/>
  <c r="K663" i="7"/>
  <c r="J663" i="7"/>
  <c r="I663" i="7"/>
  <c r="H663" i="7"/>
  <c r="G663" i="7"/>
  <c r="F663" i="7"/>
  <c r="E663" i="7"/>
  <c r="D663" i="7"/>
  <c r="C663" i="7"/>
  <c r="B663" i="7"/>
  <c r="A663" i="7"/>
  <c r="S662" i="7"/>
  <c r="R662" i="7"/>
  <c r="P662" i="7"/>
  <c r="O662" i="7"/>
  <c r="N662" i="7"/>
  <c r="M662" i="7"/>
  <c r="L662" i="7"/>
  <c r="K662" i="7"/>
  <c r="J662" i="7"/>
  <c r="I662" i="7"/>
  <c r="H662" i="7"/>
  <c r="G662" i="7"/>
  <c r="F662" i="7"/>
  <c r="E662" i="7"/>
  <c r="D662" i="7"/>
  <c r="C662" i="7"/>
  <c r="B662" i="7"/>
  <c r="A662" i="7"/>
  <c r="S661" i="7"/>
  <c r="R661" i="7"/>
  <c r="P661" i="7"/>
  <c r="O661" i="7"/>
  <c r="N661" i="7"/>
  <c r="M661" i="7"/>
  <c r="L661" i="7"/>
  <c r="K661" i="7"/>
  <c r="J661" i="7"/>
  <c r="I661" i="7"/>
  <c r="H661" i="7"/>
  <c r="G661" i="7"/>
  <c r="F661" i="7"/>
  <c r="E661" i="7"/>
  <c r="D661" i="7"/>
  <c r="C661" i="7"/>
  <c r="B661" i="7"/>
  <c r="A661" i="7"/>
  <c r="S660" i="7"/>
  <c r="R660" i="7"/>
  <c r="P660" i="7"/>
  <c r="O660" i="7"/>
  <c r="N660" i="7"/>
  <c r="M660" i="7"/>
  <c r="L660" i="7"/>
  <c r="K660" i="7"/>
  <c r="J660" i="7"/>
  <c r="I660" i="7"/>
  <c r="H660" i="7"/>
  <c r="G660" i="7"/>
  <c r="F660" i="7"/>
  <c r="E660" i="7"/>
  <c r="D660" i="7"/>
  <c r="C660" i="7"/>
  <c r="B660" i="7"/>
  <c r="A660" i="7"/>
  <c r="S659" i="7"/>
  <c r="R659" i="7"/>
  <c r="Q659" i="7"/>
  <c r="P659" i="7"/>
  <c r="O659" i="7"/>
  <c r="N659" i="7"/>
  <c r="M659" i="7"/>
  <c r="L659" i="7"/>
  <c r="K659" i="7"/>
  <c r="J659" i="7"/>
  <c r="I659" i="7"/>
  <c r="H659" i="7"/>
  <c r="G659" i="7"/>
  <c r="F659" i="7"/>
  <c r="E659" i="7"/>
  <c r="D659" i="7"/>
  <c r="C659" i="7"/>
  <c r="B659" i="7"/>
  <c r="A659" i="7"/>
  <c r="S658" i="7"/>
  <c r="R658" i="7"/>
  <c r="P658" i="7"/>
  <c r="O658" i="7"/>
  <c r="N658" i="7"/>
  <c r="M658" i="7"/>
  <c r="L658" i="7"/>
  <c r="K658" i="7"/>
  <c r="J658" i="7"/>
  <c r="I658" i="7"/>
  <c r="H658" i="7"/>
  <c r="G658" i="7"/>
  <c r="F658" i="7"/>
  <c r="E658" i="7"/>
  <c r="C658" i="7"/>
  <c r="B658" i="7"/>
  <c r="A658" i="7"/>
  <c r="S657" i="7"/>
  <c r="R657" i="7"/>
  <c r="P657" i="7"/>
  <c r="O657" i="7"/>
  <c r="N657" i="7"/>
  <c r="M657" i="7"/>
  <c r="L657" i="7"/>
  <c r="K657" i="7"/>
  <c r="J657" i="7"/>
  <c r="I657" i="7"/>
  <c r="H657" i="7"/>
  <c r="G657" i="7"/>
  <c r="F657" i="7"/>
  <c r="E657" i="7"/>
  <c r="D657" i="7"/>
  <c r="C657" i="7"/>
  <c r="B657" i="7"/>
  <c r="A657" i="7"/>
  <c r="S656" i="7"/>
  <c r="R656" i="7"/>
  <c r="P656" i="7"/>
  <c r="O656" i="7"/>
  <c r="N656" i="7"/>
  <c r="M656" i="7"/>
  <c r="L656" i="7"/>
  <c r="K656" i="7"/>
  <c r="J656" i="7"/>
  <c r="I656" i="7"/>
  <c r="H656" i="7"/>
  <c r="G656" i="7"/>
  <c r="F656" i="7"/>
  <c r="E656" i="7"/>
  <c r="D656" i="7"/>
  <c r="C656" i="7"/>
  <c r="B656" i="7"/>
  <c r="A656" i="7"/>
  <c r="S655" i="7"/>
  <c r="R655" i="7"/>
  <c r="P655" i="7"/>
  <c r="O655" i="7"/>
  <c r="N655" i="7"/>
  <c r="M655" i="7"/>
  <c r="L655" i="7"/>
  <c r="K655" i="7"/>
  <c r="J655" i="7"/>
  <c r="I655" i="7"/>
  <c r="H655" i="7"/>
  <c r="G655" i="7"/>
  <c r="F655" i="7"/>
  <c r="E655" i="7"/>
  <c r="D655" i="7"/>
  <c r="C655" i="7"/>
  <c r="B655" i="7"/>
  <c r="A655" i="7"/>
  <c r="S654" i="7"/>
  <c r="R654" i="7"/>
  <c r="Q654" i="7"/>
  <c r="P654" i="7"/>
  <c r="O654" i="7"/>
  <c r="N654" i="7"/>
  <c r="M654" i="7"/>
  <c r="L654" i="7"/>
  <c r="K654" i="7"/>
  <c r="J654" i="7"/>
  <c r="I654" i="7"/>
  <c r="H654" i="7"/>
  <c r="G654" i="7"/>
  <c r="F654" i="7"/>
  <c r="E654" i="7"/>
  <c r="D654" i="7"/>
  <c r="C654" i="7"/>
  <c r="B654" i="7"/>
  <c r="A654" i="7"/>
  <c r="S653" i="7"/>
  <c r="R653" i="7"/>
  <c r="P653" i="7"/>
  <c r="O653" i="7"/>
  <c r="N653" i="7"/>
  <c r="M653" i="7"/>
  <c r="L653" i="7"/>
  <c r="K653" i="7"/>
  <c r="J653" i="7"/>
  <c r="I653" i="7"/>
  <c r="H653" i="7"/>
  <c r="G653" i="7"/>
  <c r="F653" i="7"/>
  <c r="E653" i="7"/>
  <c r="D653" i="7"/>
  <c r="C653" i="7"/>
  <c r="B653" i="7"/>
  <c r="A653" i="7"/>
  <c r="S652" i="7"/>
  <c r="R652" i="7"/>
  <c r="P652" i="7"/>
  <c r="O652" i="7"/>
  <c r="N652" i="7"/>
  <c r="M652" i="7"/>
  <c r="L652" i="7"/>
  <c r="K652" i="7"/>
  <c r="J652" i="7"/>
  <c r="I652" i="7"/>
  <c r="H652" i="7"/>
  <c r="G652" i="7"/>
  <c r="F652" i="7"/>
  <c r="E652" i="7"/>
  <c r="D652" i="7"/>
  <c r="C652" i="7"/>
  <c r="B652" i="7"/>
  <c r="A652" i="7"/>
  <c r="S651" i="7"/>
  <c r="R651" i="7"/>
  <c r="Q651" i="7"/>
  <c r="P651" i="7"/>
  <c r="O651" i="7"/>
  <c r="N651" i="7"/>
  <c r="M651" i="7"/>
  <c r="L651" i="7"/>
  <c r="K651" i="7"/>
  <c r="J651" i="7"/>
  <c r="I651" i="7"/>
  <c r="H651" i="7"/>
  <c r="G651" i="7"/>
  <c r="F651" i="7"/>
  <c r="E651" i="7"/>
  <c r="D651" i="7"/>
  <c r="C651" i="7"/>
  <c r="B651" i="7"/>
  <c r="A651" i="7"/>
  <c r="S650" i="7"/>
  <c r="R650" i="7"/>
  <c r="P650" i="7"/>
  <c r="O650" i="7"/>
  <c r="N650" i="7"/>
  <c r="M650" i="7"/>
  <c r="L650" i="7"/>
  <c r="K650" i="7"/>
  <c r="J650" i="7"/>
  <c r="I650" i="7"/>
  <c r="H650" i="7"/>
  <c r="G650" i="7"/>
  <c r="F650" i="7"/>
  <c r="E650" i="7"/>
  <c r="D650" i="7"/>
  <c r="C650" i="7"/>
  <c r="B650" i="7"/>
  <c r="A650" i="7"/>
  <c r="S649" i="7"/>
  <c r="R649" i="7"/>
  <c r="P649" i="7"/>
  <c r="O649" i="7"/>
  <c r="N649" i="7"/>
  <c r="M649" i="7"/>
  <c r="L649" i="7"/>
  <c r="K649" i="7"/>
  <c r="J649" i="7"/>
  <c r="I649" i="7"/>
  <c r="H649" i="7"/>
  <c r="G649" i="7"/>
  <c r="F649" i="7"/>
  <c r="E649" i="7"/>
  <c r="D649" i="7"/>
  <c r="C649" i="7"/>
  <c r="B649" i="7"/>
  <c r="A649" i="7"/>
  <c r="S648" i="7"/>
  <c r="R648" i="7"/>
  <c r="P648" i="7"/>
  <c r="O648" i="7"/>
  <c r="N648" i="7"/>
  <c r="M648" i="7"/>
  <c r="L648" i="7"/>
  <c r="K648" i="7"/>
  <c r="J648" i="7"/>
  <c r="I648" i="7"/>
  <c r="H648" i="7"/>
  <c r="G648" i="7"/>
  <c r="F648" i="7"/>
  <c r="E648" i="7"/>
  <c r="D648" i="7"/>
  <c r="C648" i="7"/>
  <c r="B648" i="7"/>
  <c r="A648" i="7"/>
  <c r="S647" i="7"/>
  <c r="R647" i="7"/>
  <c r="P647" i="7"/>
  <c r="O647" i="7"/>
  <c r="N647" i="7"/>
  <c r="M647" i="7"/>
  <c r="L647" i="7"/>
  <c r="K647" i="7"/>
  <c r="J647" i="7"/>
  <c r="I647" i="7"/>
  <c r="H647" i="7"/>
  <c r="G647" i="7"/>
  <c r="F647" i="7"/>
  <c r="E647" i="7"/>
  <c r="D647" i="7"/>
  <c r="C647" i="7"/>
  <c r="B647" i="7"/>
  <c r="A647" i="7"/>
  <c r="S646" i="7"/>
  <c r="R646" i="7"/>
  <c r="P646" i="7"/>
  <c r="O646" i="7"/>
  <c r="N646" i="7"/>
  <c r="M646" i="7"/>
  <c r="L646" i="7"/>
  <c r="K646" i="7"/>
  <c r="J646" i="7"/>
  <c r="I646" i="7"/>
  <c r="H646" i="7"/>
  <c r="G646" i="7"/>
  <c r="F646" i="7"/>
  <c r="E646" i="7"/>
  <c r="D646" i="7"/>
  <c r="C646" i="7"/>
  <c r="B646" i="7"/>
  <c r="A646" i="7"/>
  <c r="S645" i="7"/>
  <c r="R645" i="7"/>
  <c r="P645" i="7"/>
  <c r="O645" i="7"/>
  <c r="N645" i="7"/>
  <c r="M645" i="7"/>
  <c r="L645" i="7"/>
  <c r="K645" i="7"/>
  <c r="J645" i="7"/>
  <c r="I645" i="7"/>
  <c r="H645" i="7"/>
  <c r="G645" i="7"/>
  <c r="F645" i="7"/>
  <c r="E645" i="7"/>
  <c r="D645" i="7"/>
  <c r="C645" i="7"/>
  <c r="B645" i="7"/>
  <c r="A645" i="7"/>
  <c r="S644" i="7"/>
  <c r="R644" i="7"/>
  <c r="P644" i="7"/>
  <c r="O644" i="7"/>
  <c r="N644" i="7"/>
  <c r="M644" i="7"/>
  <c r="L644" i="7"/>
  <c r="K644" i="7"/>
  <c r="J644" i="7"/>
  <c r="I644" i="7"/>
  <c r="H644" i="7"/>
  <c r="G644" i="7"/>
  <c r="F644" i="7"/>
  <c r="E644" i="7"/>
  <c r="D644" i="7"/>
  <c r="C644" i="7"/>
  <c r="B644" i="7"/>
  <c r="A644" i="7"/>
  <c r="S643" i="7"/>
  <c r="R643" i="7"/>
  <c r="Q643" i="7"/>
  <c r="P643" i="7"/>
  <c r="O643" i="7"/>
  <c r="N643" i="7"/>
  <c r="M643" i="7"/>
  <c r="L643" i="7"/>
  <c r="K643" i="7"/>
  <c r="J643" i="7"/>
  <c r="I643" i="7"/>
  <c r="H643" i="7"/>
  <c r="G643" i="7"/>
  <c r="F643" i="7"/>
  <c r="E643" i="7"/>
  <c r="D643" i="7"/>
  <c r="C643" i="7"/>
  <c r="B643" i="7"/>
  <c r="A643" i="7"/>
  <c r="S642" i="7"/>
  <c r="R642" i="7"/>
  <c r="Q642" i="7"/>
  <c r="P642" i="7"/>
  <c r="O642" i="7"/>
  <c r="N642" i="7"/>
  <c r="M642" i="7"/>
  <c r="L642" i="7"/>
  <c r="K642" i="7"/>
  <c r="J642" i="7"/>
  <c r="I642" i="7"/>
  <c r="H642" i="7"/>
  <c r="G642" i="7"/>
  <c r="F642" i="7"/>
  <c r="E642" i="7"/>
  <c r="D642" i="7"/>
  <c r="C642" i="7"/>
  <c r="B642" i="7"/>
  <c r="A642" i="7"/>
  <c r="S641" i="7"/>
  <c r="R641" i="7"/>
  <c r="P641" i="7"/>
  <c r="O641" i="7"/>
  <c r="N641" i="7"/>
  <c r="M641" i="7"/>
  <c r="L641" i="7"/>
  <c r="K641" i="7"/>
  <c r="J641" i="7"/>
  <c r="I641" i="7"/>
  <c r="H641" i="7"/>
  <c r="G641" i="7"/>
  <c r="F641" i="7"/>
  <c r="E641" i="7"/>
  <c r="D641" i="7"/>
  <c r="C641" i="7"/>
  <c r="B641" i="7"/>
  <c r="A641" i="7"/>
  <c r="S640" i="7"/>
  <c r="R640" i="7"/>
  <c r="Q640" i="7"/>
  <c r="P640" i="7"/>
  <c r="O640" i="7"/>
  <c r="N640" i="7"/>
  <c r="M640" i="7"/>
  <c r="L640" i="7"/>
  <c r="K640" i="7"/>
  <c r="J640" i="7"/>
  <c r="I640" i="7"/>
  <c r="H640" i="7"/>
  <c r="G640" i="7"/>
  <c r="F640" i="7"/>
  <c r="E640" i="7"/>
  <c r="D640" i="7"/>
  <c r="C640" i="7"/>
  <c r="B640" i="7"/>
  <c r="A640" i="7"/>
  <c r="S639" i="7"/>
  <c r="R639" i="7"/>
  <c r="P639" i="7"/>
  <c r="O639" i="7"/>
  <c r="N639" i="7"/>
  <c r="M639" i="7"/>
  <c r="L639" i="7"/>
  <c r="K639" i="7"/>
  <c r="J639" i="7"/>
  <c r="I639" i="7"/>
  <c r="H639" i="7"/>
  <c r="G639" i="7"/>
  <c r="F639" i="7"/>
  <c r="E639" i="7"/>
  <c r="D639" i="7"/>
  <c r="C639" i="7"/>
  <c r="B639" i="7"/>
  <c r="A639" i="7"/>
  <c r="S638" i="7"/>
  <c r="R638" i="7"/>
  <c r="P638" i="7"/>
  <c r="O638" i="7"/>
  <c r="N638" i="7"/>
  <c r="M638" i="7"/>
  <c r="L638" i="7"/>
  <c r="K638" i="7"/>
  <c r="J638" i="7"/>
  <c r="I638" i="7"/>
  <c r="H638" i="7"/>
  <c r="G638" i="7"/>
  <c r="F638" i="7"/>
  <c r="E638" i="7"/>
  <c r="D638" i="7"/>
  <c r="C638" i="7"/>
  <c r="B638" i="7"/>
  <c r="A638" i="7"/>
  <c r="S637" i="7"/>
  <c r="R637" i="7"/>
  <c r="P637" i="7"/>
  <c r="O637" i="7"/>
  <c r="N637" i="7"/>
  <c r="M637" i="7"/>
  <c r="L637" i="7"/>
  <c r="K637" i="7"/>
  <c r="J637" i="7"/>
  <c r="I637" i="7"/>
  <c r="H637" i="7"/>
  <c r="G637" i="7"/>
  <c r="F637" i="7"/>
  <c r="E637" i="7"/>
  <c r="D637" i="7"/>
  <c r="C637" i="7"/>
  <c r="B637" i="7"/>
  <c r="A637" i="7"/>
  <c r="S636" i="7"/>
  <c r="R636" i="7"/>
  <c r="Q636" i="7"/>
  <c r="P636" i="7"/>
  <c r="O636" i="7"/>
  <c r="N636" i="7"/>
  <c r="M636" i="7"/>
  <c r="L636" i="7"/>
  <c r="K636" i="7"/>
  <c r="J636" i="7"/>
  <c r="I636" i="7"/>
  <c r="H636" i="7"/>
  <c r="G636" i="7"/>
  <c r="F636" i="7"/>
  <c r="E636" i="7"/>
  <c r="D636" i="7"/>
  <c r="C636" i="7"/>
  <c r="B636" i="7"/>
  <c r="A636" i="7"/>
  <c r="S635" i="7"/>
  <c r="R635" i="7"/>
  <c r="P635" i="7"/>
  <c r="O635" i="7"/>
  <c r="N635" i="7"/>
  <c r="M635" i="7"/>
  <c r="L635" i="7"/>
  <c r="K635" i="7"/>
  <c r="J635" i="7"/>
  <c r="I635" i="7"/>
  <c r="H635" i="7"/>
  <c r="G635" i="7"/>
  <c r="F635" i="7"/>
  <c r="E635" i="7"/>
  <c r="D635" i="7"/>
  <c r="C635" i="7"/>
  <c r="B635" i="7"/>
  <c r="A635" i="7"/>
  <c r="S634" i="7"/>
  <c r="R634" i="7"/>
  <c r="P634" i="7"/>
  <c r="O634" i="7"/>
  <c r="N634" i="7"/>
  <c r="M634" i="7"/>
  <c r="L634" i="7"/>
  <c r="K634" i="7"/>
  <c r="J634" i="7"/>
  <c r="I634" i="7"/>
  <c r="H634" i="7"/>
  <c r="G634" i="7"/>
  <c r="F634" i="7"/>
  <c r="E634" i="7"/>
  <c r="D634" i="7"/>
  <c r="C634" i="7"/>
  <c r="B634" i="7"/>
  <c r="A634" i="7"/>
  <c r="S633" i="7"/>
  <c r="R633" i="7"/>
  <c r="Q633" i="7"/>
  <c r="P633" i="7"/>
  <c r="O633" i="7"/>
  <c r="N633" i="7"/>
  <c r="M633" i="7"/>
  <c r="L633" i="7"/>
  <c r="K633" i="7"/>
  <c r="J633" i="7"/>
  <c r="I633" i="7"/>
  <c r="H633" i="7"/>
  <c r="G633" i="7"/>
  <c r="F633" i="7"/>
  <c r="E633" i="7"/>
  <c r="D633" i="7"/>
  <c r="C633" i="7"/>
  <c r="B633" i="7"/>
  <c r="A633" i="7"/>
  <c r="S632" i="7"/>
  <c r="R632" i="7"/>
  <c r="Q632" i="7"/>
  <c r="P632" i="7"/>
  <c r="O632" i="7"/>
  <c r="N632" i="7"/>
  <c r="M632" i="7"/>
  <c r="L632" i="7"/>
  <c r="K632" i="7"/>
  <c r="J632" i="7"/>
  <c r="I632" i="7"/>
  <c r="H632" i="7"/>
  <c r="G632" i="7"/>
  <c r="F632" i="7"/>
  <c r="E632" i="7"/>
  <c r="D632" i="7"/>
  <c r="C632" i="7"/>
  <c r="B632" i="7"/>
  <c r="A632" i="7"/>
  <c r="S631" i="7"/>
  <c r="R631" i="7"/>
  <c r="P631" i="7"/>
  <c r="O631" i="7"/>
  <c r="N631" i="7"/>
  <c r="M631" i="7"/>
  <c r="L631" i="7"/>
  <c r="K631" i="7"/>
  <c r="J631" i="7"/>
  <c r="I631" i="7"/>
  <c r="H631" i="7"/>
  <c r="G631" i="7"/>
  <c r="F631" i="7"/>
  <c r="E631" i="7"/>
  <c r="D631" i="7"/>
  <c r="C631" i="7"/>
  <c r="B631" i="7"/>
  <c r="A631" i="7"/>
  <c r="S630" i="7"/>
  <c r="R630" i="7"/>
  <c r="Q630" i="7"/>
  <c r="P630" i="7"/>
  <c r="O630" i="7"/>
  <c r="N630" i="7"/>
  <c r="M630" i="7"/>
  <c r="L630" i="7"/>
  <c r="K630" i="7"/>
  <c r="J630" i="7"/>
  <c r="I630" i="7"/>
  <c r="H630" i="7"/>
  <c r="G630" i="7"/>
  <c r="F630" i="7"/>
  <c r="E630" i="7"/>
  <c r="D630" i="7"/>
  <c r="C630" i="7"/>
  <c r="B630" i="7"/>
  <c r="A630" i="7"/>
  <c r="S629" i="7"/>
  <c r="R629" i="7"/>
  <c r="Q629" i="7"/>
  <c r="P629" i="7"/>
  <c r="O629" i="7"/>
  <c r="N629" i="7"/>
  <c r="M629" i="7"/>
  <c r="L629" i="7"/>
  <c r="K629" i="7"/>
  <c r="J629" i="7"/>
  <c r="I629" i="7"/>
  <c r="H629" i="7"/>
  <c r="G629" i="7"/>
  <c r="F629" i="7"/>
  <c r="E629" i="7"/>
  <c r="D629" i="7"/>
  <c r="C629" i="7"/>
  <c r="B629" i="7"/>
  <c r="A629" i="7"/>
  <c r="S628" i="7"/>
  <c r="R628" i="7"/>
  <c r="P628" i="7"/>
  <c r="O628" i="7"/>
  <c r="N628" i="7"/>
  <c r="M628" i="7"/>
  <c r="L628" i="7"/>
  <c r="K628" i="7"/>
  <c r="J628" i="7"/>
  <c r="I628" i="7"/>
  <c r="H628" i="7"/>
  <c r="G628" i="7"/>
  <c r="F628" i="7"/>
  <c r="E628" i="7"/>
  <c r="D628" i="7"/>
  <c r="C628" i="7"/>
  <c r="B628" i="7"/>
  <c r="A628" i="7"/>
  <c r="S627" i="7"/>
  <c r="R627" i="7"/>
  <c r="P627" i="7"/>
  <c r="O627" i="7"/>
  <c r="N627" i="7"/>
  <c r="M627" i="7"/>
  <c r="L627" i="7"/>
  <c r="K627" i="7"/>
  <c r="J627" i="7"/>
  <c r="I627" i="7"/>
  <c r="H627" i="7"/>
  <c r="G627" i="7"/>
  <c r="F627" i="7"/>
  <c r="E627" i="7"/>
  <c r="D627" i="7"/>
  <c r="C627" i="7"/>
  <c r="B627" i="7"/>
  <c r="A627" i="7"/>
  <c r="S626" i="7"/>
  <c r="R626" i="7"/>
  <c r="Q626" i="7"/>
  <c r="P626" i="7"/>
  <c r="O626" i="7"/>
  <c r="N626" i="7"/>
  <c r="M626" i="7"/>
  <c r="L626" i="7"/>
  <c r="K626" i="7"/>
  <c r="J626" i="7"/>
  <c r="I626" i="7"/>
  <c r="H626" i="7"/>
  <c r="G626" i="7"/>
  <c r="F626" i="7"/>
  <c r="E626" i="7"/>
  <c r="D626" i="7"/>
  <c r="C626" i="7"/>
  <c r="B626" i="7"/>
  <c r="A626" i="7"/>
  <c r="S625" i="7"/>
  <c r="R625" i="7"/>
  <c r="P625" i="7"/>
  <c r="O625" i="7"/>
  <c r="N625" i="7"/>
  <c r="M625" i="7"/>
  <c r="L625" i="7"/>
  <c r="K625" i="7"/>
  <c r="J625" i="7"/>
  <c r="I625" i="7"/>
  <c r="H625" i="7"/>
  <c r="G625" i="7"/>
  <c r="F625" i="7"/>
  <c r="E625" i="7"/>
  <c r="D625" i="7"/>
  <c r="C625" i="7"/>
  <c r="B625" i="7"/>
  <c r="A625" i="7"/>
  <c r="S624" i="7"/>
  <c r="R624" i="7"/>
  <c r="P624" i="7"/>
  <c r="O624" i="7"/>
  <c r="N624" i="7"/>
  <c r="M624" i="7"/>
  <c r="L624" i="7"/>
  <c r="K624" i="7"/>
  <c r="J624" i="7"/>
  <c r="I624" i="7"/>
  <c r="H624" i="7"/>
  <c r="G624" i="7"/>
  <c r="F624" i="7"/>
  <c r="E624" i="7"/>
  <c r="D624" i="7"/>
  <c r="C624" i="7"/>
  <c r="B624" i="7"/>
  <c r="A624" i="7"/>
  <c r="S623" i="7"/>
  <c r="R623" i="7"/>
  <c r="Q623" i="7"/>
  <c r="P623" i="7"/>
  <c r="O623" i="7"/>
  <c r="N623" i="7"/>
  <c r="M623" i="7"/>
  <c r="L623" i="7"/>
  <c r="K623" i="7"/>
  <c r="J623" i="7"/>
  <c r="I623" i="7"/>
  <c r="H623" i="7"/>
  <c r="G623" i="7"/>
  <c r="F623" i="7"/>
  <c r="E623" i="7"/>
  <c r="D623" i="7"/>
  <c r="C623" i="7"/>
  <c r="B623" i="7"/>
  <c r="A623" i="7"/>
  <c r="S622" i="7"/>
  <c r="R622" i="7"/>
  <c r="Q622" i="7"/>
  <c r="P622" i="7"/>
  <c r="O622" i="7"/>
  <c r="N622" i="7"/>
  <c r="M622" i="7"/>
  <c r="L622" i="7"/>
  <c r="K622" i="7"/>
  <c r="J622" i="7"/>
  <c r="I622" i="7"/>
  <c r="H622" i="7"/>
  <c r="G622" i="7"/>
  <c r="F622" i="7"/>
  <c r="E622" i="7"/>
  <c r="D622" i="7"/>
  <c r="C622" i="7"/>
  <c r="B622" i="7"/>
  <c r="A622" i="7"/>
  <c r="S621" i="7"/>
  <c r="R621" i="7"/>
  <c r="Q621" i="7"/>
  <c r="P621" i="7"/>
  <c r="O621" i="7"/>
  <c r="N621" i="7"/>
  <c r="M621" i="7"/>
  <c r="L621" i="7"/>
  <c r="K621" i="7"/>
  <c r="J621" i="7"/>
  <c r="I621" i="7"/>
  <c r="H621" i="7"/>
  <c r="G621" i="7"/>
  <c r="F621" i="7"/>
  <c r="E621" i="7"/>
  <c r="D621" i="7"/>
  <c r="C621" i="7"/>
  <c r="B621" i="7"/>
  <c r="A621" i="7"/>
  <c r="S620" i="7"/>
  <c r="R620" i="7"/>
  <c r="P620" i="7"/>
  <c r="O620" i="7"/>
  <c r="N620" i="7"/>
  <c r="M620" i="7"/>
  <c r="L620" i="7"/>
  <c r="K620" i="7"/>
  <c r="J620" i="7"/>
  <c r="I620" i="7"/>
  <c r="H620" i="7"/>
  <c r="G620" i="7"/>
  <c r="F620" i="7"/>
  <c r="E620" i="7"/>
  <c r="D620" i="7"/>
  <c r="C620" i="7"/>
  <c r="B620" i="7"/>
  <c r="A620" i="7"/>
  <c r="S619" i="7"/>
  <c r="R619" i="7"/>
  <c r="Q619" i="7"/>
  <c r="P619" i="7"/>
  <c r="O619" i="7"/>
  <c r="N619" i="7"/>
  <c r="M619" i="7"/>
  <c r="L619" i="7"/>
  <c r="K619" i="7"/>
  <c r="J619" i="7"/>
  <c r="I619" i="7"/>
  <c r="H619" i="7"/>
  <c r="G619" i="7"/>
  <c r="F619" i="7"/>
  <c r="E619" i="7"/>
  <c r="D619" i="7"/>
  <c r="C619" i="7"/>
  <c r="B619" i="7"/>
  <c r="A619" i="7"/>
  <c r="S618" i="7"/>
  <c r="R618" i="7"/>
  <c r="Q618" i="7"/>
  <c r="P618" i="7"/>
  <c r="O618" i="7"/>
  <c r="N618" i="7"/>
  <c r="M618" i="7"/>
  <c r="L618" i="7"/>
  <c r="K618" i="7"/>
  <c r="J618" i="7"/>
  <c r="I618" i="7"/>
  <c r="H618" i="7"/>
  <c r="G618" i="7"/>
  <c r="F618" i="7"/>
  <c r="E618" i="7"/>
  <c r="D618" i="7"/>
  <c r="C618" i="7"/>
  <c r="B618" i="7"/>
  <c r="A618" i="7"/>
  <c r="S617" i="7"/>
  <c r="R617" i="7"/>
  <c r="Q617" i="7"/>
  <c r="P617" i="7"/>
  <c r="O617" i="7"/>
  <c r="N617" i="7"/>
  <c r="M617" i="7"/>
  <c r="L617" i="7"/>
  <c r="K617" i="7"/>
  <c r="J617" i="7"/>
  <c r="I617" i="7"/>
  <c r="H617" i="7"/>
  <c r="G617" i="7"/>
  <c r="F617" i="7"/>
  <c r="E617" i="7"/>
  <c r="D617" i="7"/>
  <c r="C617" i="7"/>
  <c r="B617" i="7"/>
  <c r="A617" i="7"/>
  <c r="S616" i="7"/>
  <c r="R616" i="7"/>
  <c r="Q616" i="7"/>
  <c r="P616" i="7"/>
  <c r="O616" i="7"/>
  <c r="N616" i="7"/>
  <c r="M616" i="7"/>
  <c r="L616" i="7"/>
  <c r="K616" i="7"/>
  <c r="J616" i="7"/>
  <c r="I616" i="7"/>
  <c r="H616" i="7"/>
  <c r="G616" i="7"/>
  <c r="F616" i="7"/>
  <c r="E616" i="7"/>
  <c r="D616" i="7"/>
  <c r="C616" i="7"/>
  <c r="B616" i="7"/>
  <c r="A616" i="7"/>
  <c r="S615" i="7"/>
  <c r="R615" i="7"/>
  <c r="Q615" i="7"/>
  <c r="P615" i="7"/>
  <c r="O615" i="7"/>
  <c r="N615" i="7"/>
  <c r="M615" i="7"/>
  <c r="L615" i="7"/>
  <c r="K615" i="7"/>
  <c r="J615" i="7"/>
  <c r="I615" i="7"/>
  <c r="H615" i="7"/>
  <c r="G615" i="7"/>
  <c r="F615" i="7"/>
  <c r="E615" i="7"/>
  <c r="D615" i="7"/>
  <c r="C615" i="7"/>
  <c r="B615" i="7"/>
  <c r="A615" i="7"/>
  <c r="S614" i="7"/>
  <c r="R614" i="7"/>
  <c r="P614" i="7"/>
  <c r="O614" i="7"/>
  <c r="N614" i="7"/>
  <c r="M614" i="7"/>
  <c r="L614" i="7"/>
  <c r="K614" i="7"/>
  <c r="J614" i="7"/>
  <c r="I614" i="7"/>
  <c r="H614" i="7"/>
  <c r="G614" i="7"/>
  <c r="F614" i="7"/>
  <c r="E614" i="7"/>
  <c r="D614" i="7"/>
  <c r="C614" i="7"/>
  <c r="B614" i="7"/>
  <c r="A614" i="7"/>
  <c r="S613" i="7"/>
  <c r="R613" i="7"/>
  <c r="Q613" i="7"/>
  <c r="P613" i="7"/>
  <c r="O613" i="7"/>
  <c r="N613" i="7"/>
  <c r="M613" i="7"/>
  <c r="L613" i="7"/>
  <c r="K613" i="7"/>
  <c r="J613" i="7"/>
  <c r="I613" i="7"/>
  <c r="H613" i="7"/>
  <c r="G613" i="7"/>
  <c r="F613" i="7"/>
  <c r="E613" i="7"/>
  <c r="D613" i="7"/>
  <c r="C613" i="7"/>
  <c r="B613" i="7"/>
  <c r="A613" i="7"/>
  <c r="S612" i="7"/>
  <c r="M612" i="7"/>
  <c r="L612" i="7"/>
  <c r="K612" i="7"/>
  <c r="J612" i="7"/>
  <c r="I612" i="7"/>
  <c r="H612" i="7"/>
  <c r="G612" i="7"/>
  <c r="F612" i="7"/>
  <c r="E612" i="7"/>
  <c r="D612" i="7"/>
  <c r="C612" i="7"/>
  <c r="B612" i="7"/>
  <c r="A612" i="7"/>
  <c r="S611" i="7"/>
  <c r="R611" i="7"/>
  <c r="Q611" i="7"/>
  <c r="P611" i="7"/>
  <c r="O611" i="7"/>
  <c r="N611" i="7"/>
  <c r="M611" i="7"/>
  <c r="L611" i="7"/>
  <c r="K611" i="7"/>
  <c r="J611" i="7"/>
  <c r="I611" i="7"/>
  <c r="H611" i="7"/>
  <c r="G611" i="7"/>
  <c r="F611" i="7"/>
  <c r="E611" i="7"/>
  <c r="D611" i="7"/>
  <c r="C611" i="7"/>
  <c r="B611" i="7"/>
  <c r="A611" i="7"/>
  <c r="S610" i="7"/>
  <c r="R610" i="7"/>
  <c r="Q610" i="7"/>
  <c r="P610" i="7"/>
  <c r="O610" i="7"/>
  <c r="N610" i="7"/>
  <c r="M610" i="7"/>
  <c r="L610" i="7"/>
  <c r="K610" i="7"/>
  <c r="J610" i="7"/>
  <c r="I610" i="7"/>
  <c r="H610" i="7"/>
  <c r="G610" i="7"/>
  <c r="F610" i="7"/>
  <c r="E610" i="7"/>
  <c r="D610" i="7"/>
  <c r="C610" i="7"/>
  <c r="B610" i="7"/>
  <c r="A610" i="7"/>
  <c r="S609" i="7"/>
  <c r="R609" i="7"/>
  <c r="P609" i="7"/>
  <c r="O609" i="7"/>
  <c r="N609" i="7"/>
  <c r="M609" i="7"/>
  <c r="L609" i="7"/>
  <c r="K609" i="7"/>
  <c r="J609" i="7"/>
  <c r="I609" i="7"/>
  <c r="H609" i="7"/>
  <c r="G609" i="7"/>
  <c r="F609" i="7"/>
  <c r="E609" i="7"/>
  <c r="D609" i="7"/>
  <c r="C609" i="7"/>
  <c r="B609" i="7"/>
  <c r="A609" i="7"/>
  <c r="S608" i="7"/>
  <c r="R608" i="7"/>
  <c r="P608" i="7"/>
  <c r="O608" i="7"/>
  <c r="N608" i="7"/>
  <c r="M608" i="7"/>
  <c r="L608" i="7"/>
  <c r="K608" i="7"/>
  <c r="J608" i="7"/>
  <c r="I608" i="7"/>
  <c r="H608" i="7"/>
  <c r="G608" i="7"/>
  <c r="F608" i="7"/>
  <c r="E608" i="7"/>
  <c r="D608" i="7"/>
  <c r="C608" i="7"/>
  <c r="B608" i="7"/>
  <c r="A608" i="7"/>
  <c r="S607" i="7"/>
  <c r="R607" i="7"/>
  <c r="P607" i="7"/>
  <c r="O607" i="7"/>
  <c r="N607" i="7"/>
  <c r="M607" i="7"/>
  <c r="L607" i="7"/>
  <c r="K607" i="7"/>
  <c r="J607" i="7"/>
  <c r="I607" i="7"/>
  <c r="H607" i="7"/>
  <c r="G607" i="7"/>
  <c r="F607" i="7"/>
  <c r="E607" i="7"/>
  <c r="D607" i="7"/>
  <c r="C607" i="7"/>
  <c r="B607" i="7"/>
  <c r="A607" i="7"/>
  <c r="S606" i="7"/>
  <c r="R606" i="7"/>
  <c r="Q606" i="7"/>
  <c r="P606" i="7"/>
  <c r="O606" i="7"/>
  <c r="N606" i="7"/>
  <c r="M606" i="7"/>
  <c r="L606" i="7"/>
  <c r="K606" i="7"/>
  <c r="J606" i="7"/>
  <c r="I606" i="7"/>
  <c r="H606" i="7"/>
  <c r="G606" i="7"/>
  <c r="F606" i="7"/>
  <c r="E606" i="7"/>
  <c r="D606" i="7"/>
  <c r="C606" i="7"/>
  <c r="B606" i="7"/>
  <c r="A606" i="7"/>
  <c r="S605" i="7"/>
  <c r="R605" i="7"/>
  <c r="Q605" i="7"/>
  <c r="P605" i="7"/>
  <c r="O605" i="7"/>
  <c r="N605" i="7"/>
  <c r="M605" i="7"/>
  <c r="L605" i="7"/>
  <c r="K605" i="7"/>
  <c r="J605" i="7"/>
  <c r="I605" i="7"/>
  <c r="H605" i="7"/>
  <c r="G605" i="7"/>
  <c r="F605" i="7"/>
  <c r="E605" i="7"/>
  <c r="D605" i="7"/>
  <c r="C605" i="7"/>
  <c r="B605" i="7"/>
  <c r="A605" i="7"/>
  <c r="S604" i="7"/>
  <c r="R604" i="7"/>
  <c r="Q604" i="7"/>
  <c r="P604" i="7"/>
  <c r="O604" i="7"/>
  <c r="N604" i="7"/>
  <c r="M604" i="7"/>
  <c r="L604" i="7"/>
  <c r="K604" i="7"/>
  <c r="J604" i="7"/>
  <c r="I604" i="7"/>
  <c r="H604" i="7"/>
  <c r="G604" i="7"/>
  <c r="F604" i="7"/>
  <c r="E604" i="7"/>
  <c r="D604" i="7"/>
  <c r="C604" i="7"/>
  <c r="B604" i="7"/>
  <c r="A604" i="7"/>
  <c r="S603" i="7"/>
  <c r="R603" i="7"/>
  <c r="Q603" i="7"/>
  <c r="P603" i="7"/>
  <c r="O603" i="7"/>
  <c r="N603" i="7"/>
  <c r="M603" i="7"/>
  <c r="L603" i="7"/>
  <c r="K603" i="7"/>
  <c r="J603" i="7"/>
  <c r="I603" i="7"/>
  <c r="H603" i="7"/>
  <c r="G603" i="7"/>
  <c r="F603" i="7"/>
  <c r="E603" i="7"/>
  <c r="D603" i="7"/>
  <c r="C603" i="7"/>
  <c r="B603" i="7"/>
  <c r="A603" i="7"/>
  <c r="S602" i="7"/>
  <c r="R602" i="7"/>
  <c r="P602" i="7"/>
  <c r="O602" i="7"/>
  <c r="N602" i="7"/>
  <c r="M602" i="7"/>
  <c r="L602" i="7"/>
  <c r="K602" i="7"/>
  <c r="J602" i="7"/>
  <c r="I602" i="7"/>
  <c r="H602" i="7"/>
  <c r="G602" i="7"/>
  <c r="F602" i="7"/>
  <c r="E602" i="7"/>
  <c r="D602" i="7"/>
  <c r="C602" i="7"/>
  <c r="B602" i="7"/>
  <c r="A602" i="7"/>
  <c r="S601" i="7"/>
  <c r="R601" i="7"/>
  <c r="P601" i="7"/>
  <c r="O601" i="7"/>
  <c r="N601" i="7"/>
  <c r="M601" i="7"/>
  <c r="L601" i="7"/>
  <c r="K601" i="7"/>
  <c r="J601" i="7"/>
  <c r="I601" i="7"/>
  <c r="H601" i="7"/>
  <c r="G601" i="7"/>
  <c r="F601" i="7"/>
  <c r="E601" i="7"/>
  <c r="D601" i="7"/>
  <c r="C601" i="7"/>
  <c r="B601" i="7"/>
  <c r="A601" i="7"/>
  <c r="S600" i="7"/>
  <c r="R600" i="7"/>
  <c r="Q600" i="7"/>
  <c r="P600" i="7"/>
  <c r="O600" i="7"/>
  <c r="N600" i="7"/>
  <c r="M600" i="7"/>
  <c r="L600" i="7"/>
  <c r="K600" i="7"/>
  <c r="J600" i="7"/>
  <c r="I600" i="7"/>
  <c r="H600" i="7"/>
  <c r="G600" i="7"/>
  <c r="F600" i="7"/>
  <c r="E600" i="7"/>
  <c r="D600" i="7"/>
  <c r="C600" i="7"/>
  <c r="B600" i="7"/>
  <c r="A600" i="7"/>
  <c r="S599" i="7"/>
  <c r="R599" i="7"/>
  <c r="P599" i="7"/>
  <c r="O599" i="7"/>
  <c r="N599" i="7"/>
  <c r="M599" i="7"/>
  <c r="L599" i="7"/>
  <c r="K599" i="7"/>
  <c r="J599" i="7"/>
  <c r="I599" i="7"/>
  <c r="H599" i="7"/>
  <c r="G599" i="7"/>
  <c r="F599" i="7"/>
  <c r="E599" i="7"/>
  <c r="D599" i="7"/>
  <c r="C599" i="7"/>
  <c r="B599" i="7"/>
  <c r="A599" i="7"/>
  <c r="S598" i="7"/>
  <c r="R598" i="7"/>
  <c r="Q598" i="7"/>
  <c r="P598" i="7"/>
  <c r="O598" i="7"/>
  <c r="N598" i="7"/>
  <c r="M598" i="7"/>
  <c r="L598" i="7"/>
  <c r="K598" i="7"/>
  <c r="J598" i="7"/>
  <c r="I598" i="7"/>
  <c r="H598" i="7"/>
  <c r="G598" i="7"/>
  <c r="F598" i="7"/>
  <c r="E598" i="7"/>
  <c r="D598" i="7"/>
  <c r="C598" i="7"/>
  <c r="B598" i="7"/>
  <c r="A598" i="7"/>
  <c r="S597" i="7"/>
  <c r="R597" i="7"/>
  <c r="Q597" i="7"/>
  <c r="P597" i="7"/>
  <c r="O597" i="7"/>
  <c r="N597" i="7"/>
  <c r="M597" i="7"/>
  <c r="L597" i="7"/>
  <c r="K597" i="7"/>
  <c r="J597" i="7"/>
  <c r="I597" i="7"/>
  <c r="H597" i="7"/>
  <c r="G597" i="7"/>
  <c r="F597" i="7"/>
  <c r="E597" i="7"/>
  <c r="D597" i="7"/>
  <c r="C597" i="7"/>
  <c r="B597" i="7"/>
  <c r="A597" i="7"/>
  <c r="S596" i="7"/>
  <c r="R596" i="7"/>
  <c r="P596" i="7"/>
  <c r="O596" i="7"/>
  <c r="N596" i="7"/>
  <c r="M596" i="7"/>
  <c r="L596" i="7"/>
  <c r="K596" i="7"/>
  <c r="J596" i="7"/>
  <c r="I596" i="7"/>
  <c r="H596" i="7"/>
  <c r="G596" i="7"/>
  <c r="F596" i="7"/>
  <c r="E596" i="7"/>
  <c r="D596" i="7"/>
  <c r="C596" i="7"/>
  <c r="B596" i="7"/>
  <c r="A596" i="7"/>
  <c r="S595" i="7"/>
  <c r="R595" i="7"/>
  <c r="P595" i="7"/>
  <c r="O595" i="7"/>
  <c r="N595" i="7"/>
  <c r="M595" i="7"/>
  <c r="L595" i="7"/>
  <c r="K595" i="7"/>
  <c r="J595" i="7"/>
  <c r="I595" i="7"/>
  <c r="H595" i="7"/>
  <c r="G595" i="7"/>
  <c r="F595" i="7"/>
  <c r="E595" i="7"/>
  <c r="D595" i="7"/>
  <c r="C595" i="7"/>
  <c r="B595" i="7"/>
  <c r="A595" i="7"/>
  <c r="S594" i="7"/>
  <c r="R594" i="7"/>
  <c r="P594" i="7"/>
  <c r="O594" i="7"/>
  <c r="N594" i="7"/>
  <c r="M594" i="7"/>
  <c r="L594" i="7"/>
  <c r="K594" i="7"/>
  <c r="J594" i="7"/>
  <c r="I594" i="7"/>
  <c r="H594" i="7"/>
  <c r="G594" i="7"/>
  <c r="F594" i="7"/>
  <c r="E594" i="7"/>
  <c r="D594" i="7"/>
  <c r="C594" i="7"/>
  <c r="B594" i="7"/>
  <c r="A594" i="7"/>
  <c r="S593" i="7"/>
  <c r="R593" i="7"/>
  <c r="Q593" i="7"/>
  <c r="P593" i="7"/>
  <c r="O593" i="7"/>
  <c r="N593" i="7"/>
  <c r="M593" i="7"/>
  <c r="L593" i="7"/>
  <c r="K593" i="7"/>
  <c r="J593" i="7"/>
  <c r="I593" i="7"/>
  <c r="H593" i="7"/>
  <c r="G593" i="7"/>
  <c r="F593" i="7"/>
  <c r="E593" i="7"/>
  <c r="D593" i="7"/>
  <c r="C593" i="7"/>
  <c r="B593" i="7"/>
  <c r="A593" i="7"/>
  <c r="S592" i="7"/>
  <c r="R592" i="7"/>
  <c r="Q592" i="7"/>
  <c r="P592" i="7"/>
  <c r="O592" i="7"/>
  <c r="N592" i="7"/>
  <c r="M592" i="7"/>
  <c r="L592" i="7"/>
  <c r="K592" i="7"/>
  <c r="J592" i="7"/>
  <c r="I592" i="7"/>
  <c r="H592" i="7"/>
  <c r="G592" i="7"/>
  <c r="F592" i="7"/>
  <c r="E592" i="7"/>
  <c r="D592" i="7"/>
  <c r="C592" i="7"/>
  <c r="B592" i="7"/>
  <c r="A592" i="7"/>
  <c r="S591" i="7"/>
  <c r="R591" i="7"/>
  <c r="Q591" i="7"/>
  <c r="P591" i="7"/>
  <c r="O591" i="7"/>
  <c r="N591" i="7"/>
  <c r="M591" i="7"/>
  <c r="L591" i="7"/>
  <c r="K591" i="7"/>
  <c r="J591" i="7"/>
  <c r="I591" i="7"/>
  <c r="H591" i="7"/>
  <c r="G591" i="7"/>
  <c r="F591" i="7"/>
  <c r="E591" i="7"/>
  <c r="D591" i="7"/>
  <c r="C591" i="7"/>
  <c r="B591" i="7"/>
  <c r="A591" i="7"/>
  <c r="S590" i="7"/>
  <c r="R590" i="7"/>
  <c r="Q590" i="7"/>
  <c r="P590" i="7"/>
  <c r="O590" i="7"/>
  <c r="N590" i="7"/>
  <c r="M590" i="7"/>
  <c r="L590" i="7"/>
  <c r="K590" i="7"/>
  <c r="J590" i="7"/>
  <c r="I590" i="7"/>
  <c r="H590" i="7"/>
  <c r="G590" i="7"/>
  <c r="F590" i="7"/>
  <c r="E590" i="7"/>
  <c r="D590" i="7"/>
  <c r="C590" i="7"/>
  <c r="B590" i="7"/>
  <c r="A590" i="7"/>
  <c r="S589" i="7"/>
  <c r="R589" i="7"/>
  <c r="P589" i="7"/>
  <c r="O589" i="7"/>
  <c r="N589" i="7"/>
  <c r="M589" i="7"/>
  <c r="L589" i="7"/>
  <c r="K589" i="7"/>
  <c r="J589" i="7"/>
  <c r="I589" i="7"/>
  <c r="H589" i="7"/>
  <c r="G589" i="7"/>
  <c r="F589" i="7"/>
  <c r="E589" i="7"/>
  <c r="D589" i="7"/>
  <c r="C589" i="7"/>
  <c r="B589" i="7"/>
  <c r="A589" i="7"/>
  <c r="S588" i="7"/>
  <c r="R588" i="7"/>
  <c r="Q588" i="7"/>
  <c r="P588" i="7"/>
  <c r="O588" i="7"/>
  <c r="N588" i="7"/>
  <c r="M588" i="7"/>
  <c r="L588" i="7"/>
  <c r="K588" i="7"/>
  <c r="J588" i="7"/>
  <c r="I588" i="7"/>
  <c r="H588" i="7"/>
  <c r="G588" i="7"/>
  <c r="F588" i="7"/>
  <c r="E588" i="7"/>
  <c r="D588" i="7"/>
  <c r="C588" i="7"/>
  <c r="B588" i="7"/>
  <c r="A588" i="7"/>
  <c r="S587" i="7"/>
  <c r="R587" i="7"/>
  <c r="Q587" i="7"/>
  <c r="P587" i="7"/>
  <c r="O587" i="7"/>
  <c r="N587" i="7"/>
  <c r="M587" i="7"/>
  <c r="L587" i="7"/>
  <c r="K587" i="7"/>
  <c r="J587" i="7"/>
  <c r="I587" i="7"/>
  <c r="H587" i="7"/>
  <c r="G587" i="7"/>
  <c r="F587" i="7"/>
  <c r="E587" i="7"/>
  <c r="D587" i="7"/>
  <c r="C587" i="7"/>
  <c r="B587" i="7"/>
  <c r="A587" i="7"/>
  <c r="S586" i="7"/>
  <c r="R586" i="7"/>
  <c r="Q586" i="7"/>
  <c r="P586" i="7"/>
  <c r="O586" i="7"/>
  <c r="N586" i="7"/>
  <c r="M586" i="7"/>
  <c r="L586" i="7"/>
  <c r="K586" i="7"/>
  <c r="J586" i="7"/>
  <c r="I586" i="7"/>
  <c r="H586" i="7"/>
  <c r="G586" i="7"/>
  <c r="F586" i="7"/>
  <c r="E586" i="7"/>
  <c r="C586" i="7"/>
  <c r="B586" i="7"/>
  <c r="A586" i="7"/>
  <c r="S585" i="7"/>
  <c r="R585" i="7"/>
  <c r="Q585" i="7"/>
  <c r="P585" i="7"/>
  <c r="O585" i="7"/>
  <c r="N585" i="7"/>
  <c r="M585" i="7"/>
  <c r="L585" i="7"/>
  <c r="K585" i="7"/>
  <c r="J585" i="7"/>
  <c r="I585" i="7"/>
  <c r="H585" i="7"/>
  <c r="G585" i="7"/>
  <c r="F585" i="7"/>
  <c r="E585" i="7"/>
  <c r="D585" i="7"/>
  <c r="C585" i="7"/>
  <c r="B585" i="7"/>
  <c r="A585" i="7"/>
  <c r="S584" i="7"/>
  <c r="R584" i="7"/>
  <c r="Q584" i="7"/>
  <c r="P584" i="7"/>
  <c r="O584" i="7"/>
  <c r="N584" i="7"/>
  <c r="M584" i="7"/>
  <c r="L584" i="7"/>
  <c r="K584" i="7"/>
  <c r="J584" i="7"/>
  <c r="I584" i="7"/>
  <c r="H584" i="7"/>
  <c r="G584" i="7"/>
  <c r="F584" i="7"/>
  <c r="E584" i="7"/>
  <c r="D584" i="7"/>
  <c r="C584" i="7"/>
  <c r="B584" i="7"/>
  <c r="A584" i="7"/>
  <c r="S583" i="7"/>
  <c r="R583" i="7"/>
  <c r="Q583" i="7"/>
  <c r="P583" i="7"/>
  <c r="O583" i="7"/>
  <c r="N583" i="7"/>
  <c r="M583" i="7"/>
  <c r="L583" i="7"/>
  <c r="K583" i="7"/>
  <c r="J583" i="7"/>
  <c r="I583" i="7"/>
  <c r="H583" i="7"/>
  <c r="G583" i="7"/>
  <c r="F583" i="7"/>
  <c r="E583" i="7"/>
  <c r="D583" i="7"/>
  <c r="C583" i="7"/>
  <c r="B583" i="7"/>
  <c r="A583" i="7"/>
  <c r="S582" i="7"/>
  <c r="R582" i="7"/>
  <c r="Q582" i="7"/>
  <c r="P582" i="7"/>
  <c r="O582" i="7"/>
  <c r="N582" i="7"/>
  <c r="M582" i="7"/>
  <c r="L582" i="7"/>
  <c r="K582" i="7"/>
  <c r="J582" i="7"/>
  <c r="I582" i="7"/>
  <c r="H582" i="7"/>
  <c r="G582" i="7"/>
  <c r="F582" i="7"/>
  <c r="E582" i="7"/>
  <c r="D582" i="7"/>
  <c r="C582" i="7"/>
  <c r="B582" i="7"/>
  <c r="A582" i="7"/>
  <c r="S581" i="7"/>
  <c r="R581" i="7"/>
  <c r="Q581" i="7"/>
  <c r="P581" i="7"/>
  <c r="O581" i="7"/>
  <c r="N581" i="7"/>
  <c r="M581" i="7"/>
  <c r="L581" i="7"/>
  <c r="K581" i="7"/>
  <c r="J581" i="7"/>
  <c r="I581" i="7"/>
  <c r="H581" i="7"/>
  <c r="G581" i="7"/>
  <c r="F581" i="7"/>
  <c r="E581" i="7"/>
  <c r="D581" i="7"/>
  <c r="C581" i="7"/>
  <c r="B581" i="7"/>
  <c r="A581" i="7"/>
  <c r="S580" i="7"/>
  <c r="R580" i="7"/>
  <c r="Q580" i="7"/>
  <c r="P580" i="7"/>
  <c r="O580" i="7"/>
  <c r="N580" i="7"/>
  <c r="M580" i="7"/>
  <c r="L580" i="7"/>
  <c r="K580" i="7"/>
  <c r="J580" i="7"/>
  <c r="I580" i="7"/>
  <c r="H580" i="7"/>
  <c r="G580" i="7"/>
  <c r="F580" i="7"/>
  <c r="E580" i="7"/>
  <c r="D580" i="7"/>
  <c r="C580" i="7"/>
  <c r="B580" i="7"/>
  <c r="A580" i="7"/>
  <c r="S579" i="7"/>
  <c r="R579" i="7"/>
  <c r="Q579" i="7"/>
  <c r="P579" i="7"/>
  <c r="O579" i="7"/>
  <c r="N579" i="7"/>
  <c r="M579" i="7"/>
  <c r="L579" i="7"/>
  <c r="K579" i="7"/>
  <c r="J579" i="7"/>
  <c r="I579" i="7"/>
  <c r="H579" i="7"/>
  <c r="G579" i="7"/>
  <c r="F579" i="7"/>
  <c r="E579" i="7"/>
  <c r="D579" i="7"/>
  <c r="C579" i="7"/>
  <c r="B579" i="7"/>
  <c r="A579" i="7"/>
  <c r="S578" i="7"/>
  <c r="R578" i="7"/>
  <c r="Q578" i="7"/>
  <c r="P578" i="7"/>
  <c r="O578" i="7"/>
  <c r="N578" i="7"/>
  <c r="M578" i="7"/>
  <c r="L578" i="7"/>
  <c r="K578" i="7"/>
  <c r="J578" i="7"/>
  <c r="I578" i="7"/>
  <c r="H578" i="7"/>
  <c r="G578" i="7"/>
  <c r="F578" i="7"/>
  <c r="E578" i="7"/>
  <c r="D578" i="7"/>
  <c r="C578" i="7"/>
  <c r="B578" i="7"/>
  <c r="A578" i="7"/>
  <c r="S577" i="7"/>
  <c r="R577" i="7"/>
  <c r="Q577" i="7"/>
  <c r="P577" i="7"/>
  <c r="O577" i="7"/>
  <c r="N577" i="7"/>
  <c r="M577" i="7"/>
  <c r="L577" i="7"/>
  <c r="K577" i="7"/>
  <c r="J577" i="7"/>
  <c r="I577" i="7"/>
  <c r="H577" i="7"/>
  <c r="G577" i="7"/>
  <c r="F577" i="7"/>
  <c r="E577" i="7"/>
  <c r="D577" i="7"/>
  <c r="C577" i="7"/>
  <c r="B577" i="7"/>
  <c r="A577" i="7"/>
  <c r="S576" i="7"/>
  <c r="R576" i="7"/>
  <c r="P576" i="7"/>
  <c r="O576" i="7"/>
  <c r="N576" i="7"/>
  <c r="M576" i="7"/>
  <c r="L576" i="7"/>
  <c r="K576" i="7"/>
  <c r="J576" i="7"/>
  <c r="I576" i="7"/>
  <c r="H576" i="7"/>
  <c r="G576" i="7"/>
  <c r="F576" i="7"/>
  <c r="E576" i="7"/>
  <c r="D576" i="7"/>
  <c r="C576" i="7"/>
  <c r="B576" i="7"/>
  <c r="A576" i="7"/>
  <c r="S575" i="7"/>
  <c r="R575" i="7"/>
  <c r="Q575" i="7"/>
  <c r="P575" i="7"/>
  <c r="O575" i="7"/>
  <c r="N575" i="7"/>
  <c r="M575" i="7"/>
  <c r="L575" i="7"/>
  <c r="K575" i="7"/>
  <c r="J575" i="7"/>
  <c r="I575" i="7"/>
  <c r="H575" i="7"/>
  <c r="G575" i="7"/>
  <c r="F575" i="7"/>
  <c r="E575" i="7"/>
  <c r="D575" i="7"/>
  <c r="C575" i="7"/>
  <c r="B575" i="7"/>
  <c r="A575" i="7"/>
  <c r="S574" i="7"/>
  <c r="M574" i="7"/>
  <c r="L574" i="7"/>
  <c r="K574" i="7"/>
  <c r="J574" i="7"/>
  <c r="I574" i="7"/>
  <c r="H574" i="7"/>
  <c r="G574" i="7"/>
  <c r="F574" i="7"/>
  <c r="E574" i="7"/>
  <c r="D574" i="7"/>
  <c r="C574" i="7"/>
  <c r="B574" i="7"/>
  <c r="A574" i="7"/>
  <c r="S573" i="7"/>
  <c r="R573" i="7"/>
  <c r="P573" i="7"/>
  <c r="O573" i="7"/>
  <c r="N573" i="7"/>
  <c r="M573" i="7"/>
  <c r="L573" i="7"/>
  <c r="K573" i="7"/>
  <c r="J573" i="7"/>
  <c r="I573" i="7"/>
  <c r="H573" i="7"/>
  <c r="G573" i="7"/>
  <c r="F573" i="7"/>
  <c r="E573" i="7"/>
  <c r="D573" i="7"/>
  <c r="C573" i="7"/>
  <c r="B573" i="7"/>
  <c r="A573" i="7"/>
  <c r="S572" i="7"/>
  <c r="R572" i="7"/>
  <c r="P572" i="7"/>
  <c r="O572" i="7"/>
  <c r="N572" i="7"/>
  <c r="M572" i="7"/>
  <c r="L572" i="7"/>
  <c r="K572" i="7"/>
  <c r="J572" i="7"/>
  <c r="I572" i="7"/>
  <c r="H572" i="7"/>
  <c r="G572" i="7"/>
  <c r="F572" i="7"/>
  <c r="E572" i="7"/>
  <c r="D572" i="7"/>
  <c r="C572" i="7"/>
  <c r="B572" i="7"/>
  <c r="A572" i="7"/>
  <c r="S571" i="7"/>
  <c r="R571" i="7"/>
  <c r="Q571" i="7"/>
  <c r="P571" i="7"/>
  <c r="O571" i="7"/>
  <c r="N571" i="7"/>
  <c r="M571" i="7"/>
  <c r="L571" i="7"/>
  <c r="K571" i="7"/>
  <c r="J571" i="7"/>
  <c r="I571" i="7"/>
  <c r="H571" i="7"/>
  <c r="G571" i="7"/>
  <c r="F571" i="7"/>
  <c r="E571" i="7"/>
  <c r="D571" i="7"/>
  <c r="C571" i="7"/>
  <c r="B571" i="7"/>
  <c r="A571" i="7"/>
  <c r="S570" i="7"/>
  <c r="R570" i="7"/>
  <c r="P570" i="7"/>
  <c r="O570" i="7"/>
  <c r="N570" i="7"/>
  <c r="M570" i="7"/>
  <c r="L570" i="7"/>
  <c r="K570" i="7"/>
  <c r="J570" i="7"/>
  <c r="I570" i="7"/>
  <c r="H570" i="7"/>
  <c r="G570" i="7"/>
  <c r="F570" i="7"/>
  <c r="E570" i="7"/>
  <c r="D570" i="7"/>
  <c r="C570" i="7"/>
  <c r="B570" i="7"/>
  <c r="A570" i="7"/>
  <c r="S569" i="7"/>
  <c r="R569" i="7"/>
  <c r="P569" i="7"/>
  <c r="O569" i="7"/>
  <c r="N569" i="7"/>
  <c r="M569" i="7"/>
  <c r="L569" i="7"/>
  <c r="K569" i="7"/>
  <c r="J569" i="7"/>
  <c r="I569" i="7"/>
  <c r="H569" i="7"/>
  <c r="G569" i="7"/>
  <c r="F569" i="7"/>
  <c r="E569" i="7"/>
  <c r="D569" i="7"/>
  <c r="C569" i="7"/>
  <c r="B569" i="7"/>
  <c r="A569" i="7"/>
  <c r="S568" i="7"/>
  <c r="R568" i="7"/>
  <c r="P568" i="7"/>
  <c r="O568" i="7"/>
  <c r="N568" i="7"/>
  <c r="M568" i="7"/>
  <c r="L568" i="7"/>
  <c r="K568" i="7"/>
  <c r="J568" i="7"/>
  <c r="I568" i="7"/>
  <c r="H568" i="7"/>
  <c r="G568" i="7"/>
  <c r="F568" i="7"/>
  <c r="E568" i="7"/>
  <c r="D568" i="7"/>
  <c r="C568" i="7"/>
  <c r="B568" i="7"/>
  <c r="A568" i="7"/>
  <c r="S567" i="7"/>
  <c r="R567" i="7"/>
  <c r="Q567" i="7"/>
  <c r="P567" i="7"/>
  <c r="O567" i="7"/>
  <c r="N567" i="7"/>
  <c r="M567" i="7"/>
  <c r="L567" i="7"/>
  <c r="K567" i="7"/>
  <c r="J567" i="7"/>
  <c r="I567" i="7"/>
  <c r="H567" i="7"/>
  <c r="G567" i="7"/>
  <c r="F567" i="7"/>
  <c r="E567" i="7"/>
  <c r="D567" i="7"/>
  <c r="C567" i="7"/>
  <c r="B567" i="7"/>
  <c r="A567" i="7"/>
  <c r="S566" i="7"/>
  <c r="R566" i="7"/>
  <c r="Q566" i="7"/>
  <c r="P566" i="7"/>
  <c r="O566" i="7"/>
  <c r="N566" i="7"/>
  <c r="M566" i="7"/>
  <c r="L566" i="7"/>
  <c r="K566" i="7"/>
  <c r="J566" i="7"/>
  <c r="I566" i="7"/>
  <c r="H566" i="7"/>
  <c r="G566" i="7"/>
  <c r="F566" i="7"/>
  <c r="E566" i="7"/>
  <c r="D566" i="7"/>
  <c r="C566" i="7"/>
  <c r="B566" i="7"/>
  <c r="A566" i="7"/>
  <c r="S565" i="7"/>
  <c r="R565" i="7"/>
  <c r="P565" i="7"/>
  <c r="O565" i="7"/>
  <c r="N565" i="7"/>
  <c r="M565" i="7"/>
  <c r="L565" i="7"/>
  <c r="K565" i="7"/>
  <c r="J565" i="7"/>
  <c r="I565" i="7"/>
  <c r="H565" i="7"/>
  <c r="G565" i="7"/>
  <c r="F565" i="7"/>
  <c r="E565" i="7"/>
  <c r="D565" i="7"/>
  <c r="C565" i="7"/>
  <c r="B565" i="7"/>
  <c r="A565" i="7"/>
  <c r="S564" i="7"/>
  <c r="R564" i="7"/>
  <c r="P564" i="7"/>
  <c r="O564" i="7"/>
  <c r="N564" i="7"/>
  <c r="M564" i="7"/>
  <c r="L564" i="7"/>
  <c r="K564" i="7"/>
  <c r="J564" i="7"/>
  <c r="I564" i="7"/>
  <c r="H564" i="7"/>
  <c r="G564" i="7"/>
  <c r="F564" i="7"/>
  <c r="E564" i="7"/>
  <c r="D564" i="7"/>
  <c r="C564" i="7"/>
  <c r="B564" i="7"/>
  <c r="A564" i="7"/>
  <c r="S563" i="7"/>
  <c r="R563" i="7"/>
  <c r="Q563" i="7"/>
  <c r="P563" i="7"/>
  <c r="O563" i="7"/>
  <c r="N563" i="7"/>
  <c r="M563" i="7"/>
  <c r="L563" i="7"/>
  <c r="K563" i="7"/>
  <c r="J563" i="7"/>
  <c r="I563" i="7"/>
  <c r="H563" i="7"/>
  <c r="G563" i="7"/>
  <c r="F563" i="7"/>
  <c r="E563" i="7"/>
  <c r="D563" i="7"/>
  <c r="C563" i="7"/>
  <c r="B563" i="7"/>
  <c r="A563" i="7"/>
  <c r="S562" i="7"/>
  <c r="R562" i="7"/>
  <c r="Q562" i="7"/>
  <c r="P562" i="7"/>
  <c r="O562" i="7"/>
  <c r="N562" i="7"/>
  <c r="M562" i="7"/>
  <c r="L562" i="7"/>
  <c r="K562" i="7"/>
  <c r="J562" i="7"/>
  <c r="I562" i="7"/>
  <c r="H562" i="7"/>
  <c r="G562" i="7"/>
  <c r="F562" i="7"/>
  <c r="E562" i="7"/>
  <c r="D562" i="7"/>
  <c r="C562" i="7"/>
  <c r="B562" i="7"/>
  <c r="A562" i="7"/>
  <c r="S561" i="7"/>
  <c r="R561" i="7"/>
  <c r="Q561" i="7"/>
  <c r="P561" i="7"/>
  <c r="O561" i="7"/>
  <c r="N561" i="7"/>
  <c r="M561" i="7"/>
  <c r="L561" i="7"/>
  <c r="K561" i="7"/>
  <c r="J561" i="7"/>
  <c r="I561" i="7"/>
  <c r="H561" i="7"/>
  <c r="G561" i="7"/>
  <c r="F561" i="7"/>
  <c r="E561" i="7"/>
  <c r="D561" i="7"/>
  <c r="C561" i="7"/>
  <c r="B561" i="7"/>
  <c r="A561" i="7"/>
  <c r="S560" i="7"/>
  <c r="R560" i="7"/>
  <c r="P560" i="7"/>
  <c r="O560" i="7"/>
  <c r="N560" i="7"/>
  <c r="M560" i="7"/>
  <c r="L560" i="7"/>
  <c r="K560" i="7"/>
  <c r="J560" i="7"/>
  <c r="I560" i="7"/>
  <c r="H560" i="7"/>
  <c r="G560" i="7"/>
  <c r="F560" i="7"/>
  <c r="E560" i="7"/>
  <c r="D560" i="7"/>
  <c r="C560" i="7"/>
  <c r="B560" i="7"/>
  <c r="A560" i="7"/>
  <c r="S559" i="7"/>
  <c r="R559" i="7"/>
  <c r="Q559" i="7"/>
  <c r="P559" i="7"/>
  <c r="O559" i="7"/>
  <c r="N559" i="7"/>
  <c r="M559" i="7"/>
  <c r="L559" i="7"/>
  <c r="K559" i="7"/>
  <c r="J559" i="7"/>
  <c r="I559" i="7"/>
  <c r="H559" i="7"/>
  <c r="G559" i="7"/>
  <c r="F559" i="7"/>
  <c r="E559" i="7"/>
  <c r="D559" i="7"/>
  <c r="C559" i="7"/>
  <c r="B559" i="7"/>
  <c r="A559" i="7"/>
  <c r="S558" i="7"/>
  <c r="R558" i="7"/>
  <c r="Q558" i="7"/>
  <c r="P558" i="7"/>
  <c r="O558" i="7"/>
  <c r="N558" i="7"/>
  <c r="M558" i="7"/>
  <c r="L558" i="7"/>
  <c r="K558" i="7"/>
  <c r="J558" i="7"/>
  <c r="I558" i="7"/>
  <c r="H558" i="7"/>
  <c r="G558" i="7"/>
  <c r="F558" i="7"/>
  <c r="E558" i="7"/>
  <c r="D558" i="7"/>
  <c r="C558" i="7"/>
  <c r="B558" i="7"/>
  <c r="A558" i="7"/>
  <c r="S557" i="7"/>
  <c r="R557" i="7"/>
  <c r="P557" i="7"/>
  <c r="O557" i="7"/>
  <c r="N557" i="7"/>
  <c r="M557" i="7"/>
  <c r="L557" i="7"/>
  <c r="K557" i="7"/>
  <c r="J557" i="7"/>
  <c r="I557" i="7"/>
  <c r="H557" i="7"/>
  <c r="G557" i="7"/>
  <c r="F557" i="7"/>
  <c r="E557" i="7"/>
  <c r="D557" i="7"/>
  <c r="C557" i="7"/>
  <c r="B557" i="7"/>
  <c r="A557" i="7"/>
  <c r="S556" i="7"/>
  <c r="R556" i="7"/>
  <c r="P556" i="7"/>
  <c r="O556" i="7"/>
  <c r="N556" i="7"/>
  <c r="M556" i="7"/>
  <c r="L556" i="7"/>
  <c r="K556" i="7"/>
  <c r="J556" i="7"/>
  <c r="I556" i="7"/>
  <c r="H556" i="7"/>
  <c r="G556" i="7"/>
  <c r="F556" i="7"/>
  <c r="E556" i="7"/>
  <c r="D556" i="7"/>
  <c r="C556" i="7"/>
  <c r="B556" i="7"/>
  <c r="A556" i="7"/>
  <c r="S555" i="7"/>
  <c r="R555" i="7"/>
  <c r="Q555" i="7"/>
  <c r="P555" i="7"/>
  <c r="O555" i="7"/>
  <c r="N555" i="7"/>
  <c r="M555" i="7"/>
  <c r="L555" i="7"/>
  <c r="K555" i="7"/>
  <c r="J555" i="7"/>
  <c r="I555" i="7"/>
  <c r="H555" i="7"/>
  <c r="G555" i="7"/>
  <c r="F555" i="7"/>
  <c r="E555" i="7"/>
  <c r="D555" i="7"/>
  <c r="C555" i="7"/>
  <c r="B555" i="7"/>
  <c r="A555" i="7"/>
  <c r="S554" i="7"/>
  <c r="R554" i="7"/>
  <c r="P554" i="7"/>
  <c r="O554" i="7"/>
  <c r="N554" i="7"/>
  <c r="M554" i="7"/>
  <c r="L554" i="7"/>
  <c r="K554" i="7"/>
  <c r="J554" i="7"/>
  <c r="I554" i="7"/>
  <c r="H554" i="7"/>
  <c r="G554" i="7"/>
  <c r="F554" i="7"/>
  <c r="E554" i="7"/>
  <c r="D554" i="7"/>
  <c r="C554" i="7"/>
  <c r="B554" i="7"/>
  <c r="A554" i="7"/>
  <c r="S553" i="7"/>
  <c r="R553" i="7"/>
  <c r="Q553" i="7"/>
  <c r="P553" i="7"/>
  <c r="O553" i="7"/>
  <c r="N553" i="7"/>
  <c r="M553" i="7"/>
  <c r="L553" i="7"/>
  <c r="K553" i="7"/>
  <c r="J553" i="7"/>
  <c r="I553" i="7"/>
  <c r="H553" i="7"/>
  <c r="G553" i="7"/>
  <c r="F553" i="7"/>
  <c r="E553" i="7"/>
  <c r="D553" i="7"/>
  <c r="C553" i="7"/>
  <c r="B553" i="7"/>
  <c r="A553" i="7"/>
  <c r="S552" i="7"/>
  <c r="R552" i="7"/>
  <c r="P552" i="7"/>
  <c r="O552" i="7"/>
  <c r="N552" i="7"/>
  <c r="M552" i="7"/>
  <c r="L552" i="7"/>
  <c r="K552" i="7"/>
  <c r="J552" i="7"/>
  <c r="I552" i="7"/>
  <c r="H552" i="7"/>
  <c r="G552" i="7"/>
  <c r="F552" i="7"/>
  <c r="E552" i="7"/>
  <c r="D552" i="7"/>
  <c r="C552" i="7"/>
  <c r="B552" i="7"/>
  <c r="A552" i="7"/>
  <c r="S551" i="7"/>
  <c r="R551" i="7"/>
  <c r="P551" i="7"/>
  <c r="O551" i="7"/>
  <c r="N551" i="7"/>
  <c r="M551" i="7"/>
  <c r="L551" i="7"/>
  <c r="K551" i="7"/>
  <c r="J551" i="7"/>
  <c r="I551" i="7"/>
  <c r="H551" i="7"/>
  <c r="G551" i="7"/>
  <c r="F551" i="7"/>
  <c r="E551" i="7"/>
  <c r="D551" i="7"/>
  <c r="C551" i="7"/>
  <c r="B551" i="7"/>
  <c r="A551" i="7"/>
  <c r="S550" i="7"/>
  <c r="R550" i="7"/>
  <c r="Q550" i="7"/>
  <c r="P550" i="7"/>
  <c r="O550" i="7"/>
  <c r="N550" i="7"/>
  <c r="M550" i="7"/>
  <c r="L550" i="7"/>
  <c r="K550" i="7"/>
  <c r="J550" i="7"/>
  <c r="I550" i="7"/>
  <c r="H550" i="7"/>
  <c r="G550" i="7"/>
  <c r="F550" i="7"/>
  <c r="E550" i="7"/>
  <c r="D550" i="7"/>
  <c r="C550" i="7"/>
  <c r="B550" i="7"/>
  <c r="A550" i="7"/>
  <c r="S549" i="7"/>
  <c r="R549" i="7"/>
  <c r="Q549" i="7"/>
  <c r="P549" i="7"/>
  <c r="O549" i="7"/>
  <c r="N549" i="7"/>
  <c r="M549" i="7"/>
  <c r="L549" i="7"/>
  <c r="K549" i="7"/>
  <c r="J549" i="7"/>
  <c r="I549" i="7"/>
  <c r="H549" i="7"/>
  <c r="G549" i="7"/>
  <c r="F549" i="7"/>
  <c r="E549" i="7"/>
  <c r="D549" i="7"/>
  <c r="C549" i="7"/>
  <c r="B549" i="7"/>
  <c r="A549" i="7"/>
  <c r="S548" i="7"/>
  <c r="R548" i="7"/>
  <c r="Q548" i="7"/>
  <c r="P548" i="7"/>
  <c r="O548" i="7"/>
  <c r="N548" i="7"/>
  <c r="M548" i="7"/>
  <c r="L548" i="7"/>
  <c r="K548" i="7"/>
  <c r="J548" i="7"/>
  <c r="I548" i="7"/>
  <c r="H548" i="7"/>
  <c r="G548" i="7"/>
  <c r="F548" i="7"/>
  <c r="E548" i="7"/>
  <c r="D548" i="7"/>
  <c r="C548" i="7"/>
  <c r="B548" i="7"/>
  <c r="A548" i="7"/>
  <c r="S547" i="7"/>
  <c r="R547" i="7"/>
  <c r="Q547" i="7"/>
  <c r="P547" i="7"/>
  <c r="O547" i="7"/>
  <c r="N547" i="7"/>
  <c r="M547" i="7"/>
  <c r="L547" i="7"/>
  <c r="K547" i="7"/>
  <c r="J547" i="7"/>
  <c r="I547" i="7"/>
  <c r="H547" i="7"/>
  <c r="G547" i="7"/>
  <c r="F547" i="7"/>
  <c r="E547" i="7"/>
  <c r="D547" i="7"/>
  <c r="C547" i="7"/>
  <c r="B547" i="7"/>
  <c r="A547" i="7"/>
  <c r="S546" i="7"/>
  <c r="R546" i="7"/>
  <c r="Q546" i="7"/>
  <c r="P546" i="7"/>
  <c r="O546" i="7"/>
  <c r="N546" i="7"/>
  <c r="M546" i="7"/>
  <c r="L546" i="7"/>
  <c r="K546" i="7"/>
  <c r="J546" i="7"/>
  <c r="I546" i="7"/>
  <c r="H546" i="7"/>
  <c r="G546" i="7"/>
  <c r="F546" i="7"/>
  <c r="E546" i="7"/>
  <c r="D546" i="7"/>
  <c r="C546" i="7"/>
  <c r="B546" i="7"/>
  <c r="A546" i="7"/>
  <c r="S545" i="7"/>
  <c r="R545" i="7"/>
  <c r="Q545" i="7"/>
  <c r="P545" i="7"/>
  <c r="O545" i="7"/>
  <c r="N545" i="7"/>
  <c r="M545" i="7"/>
  <c r="L545" i="7"/>
  <c r="K545" i="7"/>
  <c r="J545" i="7"/>
  <c r="I545" i="7"/>
  <c r="H545" i="7"/>
  <c r="G545" i="7"/>
  <c r="F545" i="7"/>
  <c r="E545" i="7"/>
  <c r="D545" i="7"/>
  <c r="C545" i="7"/>
  <c r="B545" i="7"/>
  <c r="A545" i="7"/>
  <c r="S544" i="7"/>
  <c r="R544" i="7"/>
  <c r="P544" i="7"/>
  <c r="O544" i="7"/>
  <c r="N544" i="7"/>
  <c r="M544" i="7"/>
  <c r="L544" i="7"/>
  <c r="K544" i="7"/>
  <c r="J544" i="7"/>
  <c r="I544" i="7"/>
  <c r="H544" i="7"/>
  <c r="G544" i="7"/>
  <c r="F544" i="7"/>
  <c r="E544" i="7"/>
  <c r="C544" i="7"/>
  <c r="B544" i="7"/>
  <c r="A544" i="7"/>
  <c r="S543" i="7"/>
  <c r="R543" i="7"/>
  <c r="Q543" i="7"/>
  <c r="P543" i="7"/>
  <c r="O543" i="7"/>
  <c r="N543" i="7"/>
  <c r="M543" i="7"/>
  <c r="L543" i="7"/>
  <c r="K543" i="7"/>
  <c r="J543" i="7"/>
  <c r="I543" i="7"/>
  <c r="H543" i="7"/>
  <c r="G543" i="7"/>
  <c r="F543" i="7"/>
  <c r="E543" i="7"/>
  <c r="D543" i="7"/>
  <c r="C543" i="7"/>
  <c r="B543" i="7"/>
  <c r="A543" i="7"/>
  <c r="S542" i="7"/>
  <c r="R542" i="7"/>
  <c r="P542" i="7"/>
  <c r="O542" i="7"/>
  <c r="N542" i="7"/>
  <c r="M542" i="7"/>
  <c r="L542" i="7"/>
  <c r="K542" i="7"/>
  <c r="J542" i="7"/>
  <c r="I542" i="7"/>
  <c r="H542" i="7"/>
  <c r="G542" i="7"/>
  <c r="F542" i="7"/>
  <c r="E542" i="7"/>
  <c r="D542" i="7"/>
  <c r="C542" i="7"/>
  <c r="B542" i="7"/>
  <c r="A542" i="7"/>
  <c r="S541" i="7"/>
  <c r="R541" i="7"/>
  <c r="P541" i="7"/>
  <c r="O541" i="7"/>
  <c r="N541" i="7"/>
  <c r="M541" i="7"/>
  <c r="L541" i="7"/>
  <c r="K541" i="7"/>
  <c r="J541" i="7"/>
  <c r="I541" i="7"/>
  <c r="H541" i="7"/>
  <c r="G541" i="7"/>
  <c r="F541" i="7"/>
  <c r="E541" i="7"/>
  <c r="D541" i="7"/>
  <c r="C541" i="7"/>
  <c r="B541" i="7"/>
  <c r="A541" i="7"/>
  <c r="S540" i="7"/>
  <c r="R540" i="7"/>
  <c r="P540" i="7"/>
  <c r="O540" i="7"/>
  <c r="N540" i="7"/>
  <c r="M540" i="7"/>
  <c r="L540" i="7"/>
  <c r="K540" i="7"/>
  <c r="J540" i="7"/>
  <c r="I540" i="7"/>
  <c r="H540" i="7"/>
  <c r="G540" i="7"/>
  <c r="F540" i="7"/>
  <c r="E540" i="7"/>
  <c r="D540" i="7"/>
  <c r="C540" i="7"/>
  <c r="B540" i="7"/>
  <c r="A540" i="7"/>
  <c r="S539" i="7"/>
  <c r="R539" i="7"/>
  <c r="Q539" i="7"/>
  <c r="P539" i="7"/>
  <c r="O539" i="7"/>
  <c r="N539" i="7"/>
  <c r="M539" i="7"/>
  <c r="L539" i="7"/>
  <c r="K539" i="7"/>
  <c r="J539" i="7"/>
  <c r="I539" i="7"/>
  <c r="H539" i="7"/>
  <c r="G539" i="7"/>
  <c r="F539" i="7"/>
  <c r="E539" i="7"/>
  <c r="D539" i="7"/>
  <c r="C539" i="7"/>
  <c r="B539" i="7"/>
  <c r="A539" i="7"/>
  <c r="S538" i="7"/>
  <c r="R538" i="7"/>
  <c r="P538" i="7"/>
  <c r="O538" i="7"/>
  <c r="N538" i="7"/>
  <c r="M538" i="7"/>
  <c r="L538" i="7"/>
  <c r="K538" i="7"/>
  <c r="J538" i="7"/>
  <c r="I538" i="7"/>
  <c r="H538" i="7"/>
  <c r="G538" i="7"/>
  <c r="F538" i="7"/>
  <c r="E538" i="7"/>
  <c r="D538" i="7"/>
  <c r="C538" i="7"/>
  <c r="B538" i="7"/>
  <c r="A538" i="7"/>
  <c r="S537" i="7"/>
  <c r="R537" i="7"/>
  <c r="P537" i="7"/>
  <c r="O537" i="7"/>
  <c r="N537" i="7"/>
  <c r="M537" i="7"/>
  <c r="L537" i="7"/>
  <c r="K537" i="7"/>
  <c r="J537" i="7"/>
  <c r="I537" i="7"/>
  <c r="H537" i="7"/>
  <c r="G537" i="7"/>
  <c r="F537" i="7"/>
  <c r="E537" i="7"/>
  <c r="D537" i="7"/>
  <c r="C537" i="7"/>
  <c r="B537" i="7"/>
  <c r="A537" i="7"/>
  <c r="S536" i="7"/>
  <c r="R536" i="7"/>
  <c r="P536" i="7"/>
  <c r="O536" i="7"/>
  <c r="N536" i="7"/>
  <c r="M536" i="7"/>
  <c r="L536" i="7"/>
  <c r="K536" i="7"/>
  <c r="J536" i="7"/>
  <c r="I536" i="7"/>
  <c r="H536" i="7"/>
  <c r="G536" i="7"/>
  <c r="F536" i="7"/>
  <c r="E536" i="7"/>
  <c r="D536" i="7"/>
  <c r="C536" i="7"/>
  <c r="B536" i="7"/>
  <c r="A536" i="7"/>
  <c r="S535" i="7"/>
  <c r="R535" i="7"/>
  <c r="P535" i="7"/>
  <c r="O535" i="7"/>
  <c r="N535" i="7"/>
  <c r="M535" i="7"/>
  <c r="L535" i="7"/>
  <c r="K535" i="7"/>
  <c r="J535" i="7"/>
  <c r="I535" i="7"/>
  <c r="H535" i="7"/>
  <c r="G535" i="7"/>
  <c r="F535" i="7"/>
  <c r="E535" i="7"/>
  <c r="D535" i="7"/>
  <c r="C535" i="7"/>
  <c r="B535" i="7"/>
  <c r="A535" i="7"/>
  <c r="S534" i="7"/>
  <c r="R534" i="7"/>
  <c r="P534" i="7"/>
  <c r="O534" i="7"/>
  <c r="N534" i="7"/>
  <c r="M534" i="7"/>
  <c r="L534" i="7"/>
  <c r="K534" i="7"/>
  <c r="J534" i="7"/>
  <c r="I534" i="7"/>
  <c r="H534" i="7"/>
  <c r="G534" i="7"/>
  <c r="F534" i="7"/>
  <c r="E534" i="7"/>
  <c r="D534" i="7"/>
  <c r="C534" i="7"/>
  <c r="B534" i="7"/>
  <c r="A534" i="7"/>
  <c r="S533" i="7"/>
  <c r="R533" i="7"/>
  <c r="P533" i="7"/>
  <c r="O533" i="7"/>
  <c r="N533" i="7"/>
  <c r="M533" i="7"/>
  <c r="L533" i="7"/>
  <c r="K533" i="7"/>
  <c r="J533" i="7"/>
  <c r="I533" i="7"/>
  <c r="H533" i="7"/>
  <c r="G533" i="7"/>
  <c r="F533" i="7"/>
  <c r="E533" i="7"/>
  <c r="D533" i="7"/>
  <c r="C533" i="7"/>
  <c r="B533" i="7"/>
  <c r="A533" i="7"/>
  <c r="S532" i="7"/>
  <c r="R532" i="7"/>
  <c r="P532" i="7"/>
  <c r="O532" i="7"/>
  <c r="N532" i="7"/>
  <c r="M532" i="7"/>
  <c r="L532" i="7"/>
  <c r="K532" i="7"/>
  <c r="J532" i="7"/>
  <c r="I532" i="7"/>
  <c r="H532" i="7"/>
  <c r="G532" i="7"/>
  <c r="F532" i="7"/>
  <c r="E532" i="7"/>
  <c r="D532" i="7"/>
  <c r="C532" i="7"/>
  <c r="B532" i="7"/>
  <c r="A532" i="7"/>
  <c r="S531" i="7"/>
  <c r="R531" i="7"/>
  <c r="Q531" i="7"/>
  <c r="P531" i="7"/>
  <c r="O531" i="7"/>
  <c r="N531" i="7"/>
  <c r="M531" i="7"/>
  <c r="L531" i="7"/>
  <c r="K531" i="7"/>
  <c r="J531" i="7"/>
  <c r="I531" i="7"/>
  <c r="H531" i="7"/>
  <c r="G531" i="7"/>
  <c r="F531" i="7"/>
  <c r="E531" i="7"/>
  <c r="D531" i="7"/>
  <c r="C531" i="7"/>
  <c r="B531" i="7"/>
  <c r="A531" i="7"/>
  <c r="S530" i="7"/>
  <c r="R530" i="7"/>
  <c r="P530" i="7"/>
  <c r="O530" i="7"/>
  <c r="N530" i="7"/>
  <c r="M530" i="7"/>
  <c r="L530" i="7"/>
  <c r="K530" i="7"/>
  <c r="J530" i="7"/>
  <c r="I530" i="7"/>
  <c r="H530" i="7"/>
  <c r="G530" i="7"/>
  <c r="F530" i="7"/>
  <c r="E530" i="7"/>
  <c r="D530" i="7"/>
  <c r="C530" i="7"/>
  <c r="B530" i="7"/>
  <c r="A530" i="7"/>
  <c r="S529" i="7"/>
  <c r="R529" i="7"/>
  <c r="P529" i="7"/>
  <c r="O529" i="7"/>
  <c r="N529" i="7"/>
  <c r="M529" i="7"/>
  <c r="L529" i="7"/>
  <c r="K529" i="7"/>
  <c r="J529" i="7"/>
  <c r="I529" i="7"/>
  <c r="H529" i="7"/>
  <c r="G529" i="7"/>
  <c r="F529" i="7"/>
  <c r="E529" i="7"/>
  <c r="D529" i="7"/>
  <c r="C529" i="7"/>
  <c r="B529" i="7"/>
  <c r="A529" i="7"/>
  <c r="S528" i="7"/>
  <c r="R528" i="7"/>
  <c r="Q528" i="7"/>
  <c r="P528" i="7"/>
  <c r="O528" i="7"/>
  <c r="N528" i="7"/>
  <c r="M528" i="7"/>
  <c r="L528" i="7"/>
  <c r="K528" i="7"/>
  <c r="J528" i="7"/>
  <c r="I528" i="7"/>
  <c r="H528" i="7"/>
  <c r="G528" i="7"/>
  <c r="F528" i="7"/>
  <c r="E528" i="7"/>
  <c r="D528" i="7"/>
  <c r="C528" i="7"/>
  <c r="B528" i="7"/>
  <c r="A528" i="7"/>
  <c r="S527" i="7"/>
  <c r="R527" i="7"/>
  <c r="P527" i="7"/>
  <c r="O527" i="7"/>
  <c r="N527" i="7"/>
  <c r="M527" i="7"/>
  <c r="L527" i="7"/>
  <c r="K527" i="7"/>
  <c r="J527" i="7"/>
  <c r="I527" i="7"/>
  <c r="H527" i="7"/>
  <c r="G527" i="7"/>
  <c r="F527" i="7"/>
  <c r="E527" i="7"/>
  <c r="D527" i="7"/>
  <c r="C527" i="7"/>
  <c r="B527" i="7"/>
  <c r="A527" i="7"/>
  <c r="S526" i="7"/>
  <c r="R526" i="7"/>
  <c r="P526" i="7"/>
  <c r="O526" i="7"/>
  <c r="N526" i="7"/>
  <c r="M526" i="7"/>
  <c r="L526" i="7"/>
  <c r="K526" i="7"/>
  <c r="J526" i="7"/>
  <c r="I526" i="7"/>
  <c r="H526" i="7"/>
  <c r="G526" i="7"/>
  <c r="F526" i="7"/>
  <c r="E526" i="7"/>
  <c r="D526" i="7"/>
  <c r="C526" i="7"/>
  <c r="B526" i="7"/>
  <c r="A526" i="7"/>
  <c r="S525" i="7"/>
  <c r="R525" i="7"/>
  <c r="P525" i="7"/>
  <c r="O525" i="7"/>
  <c r="N525" i="7"/>
  <c r="M525" i="7"/>
  <c r="L525" i="7"/>
  <c r="K525" i="7"/>
  <c r="J525" i="7"/>
  <c r="I525" i="7"/>
  <c r="H525" i="7"/>
  <c r="G525" i="7"/>
  <c r="F525" i="7"/>
  <c r="E525" i="7"/>
  <c r="D525" i="7"/>
  <c r="C525" i="7"/>
  <c r="B525" i="7"/>
  <c r="A525" i="7"/>
  <c r="S524" i="7"/>
  <c r="R524" i="7"/>
  <c r="Q524" i="7"/>
  <c r="P524" i="7"/>
  <c r="O524" i="7"/>
  <c r="N524" i="7"/>
  <c r="M524" i="7"/>
  <c r="L524" i="7"/>
  <c r="K524" i="7"/>
  <c r="J524" i="7"/>
  <c r="I524" i="7"/>
  <c r="H524" i="7"/>
  <c r="G524" i="7"/>
  <c r="F524" i="7"/>
  <c r="E524" i="7"/>
  <c r="D524" i="7"/>
  <c r="C524" i="7"/>
  <c r="B524" i="7"/>
  <c r="A524" i="7"/>
  <c r="S523" i="7"/>
  <c r="R523" i="7"/>
  <c r="P523" i="7"/>
  <c r="O523" i="7"/>
  <c r="N523" i="7"/>
  <c r="M523" i="7"/>
  <c r="L523" i="7"/>
  <c r="K523" i="7"/>
  <c r="J523" i="7"/>
  <c r="I523" i="7"/>
  <c r="H523" i="7"/>
  <c r="G523" i="7"/>
  <c r="F523" i="7"/>
  <c r="E523" i="7"/>
  <c r="D523" i="7"/>
  <c r="C523" i="7"/>
  <c r="B523" i="7"/>
  <c r="A523" i="7"/>
  <c r="S522" i="7"/>
  <c r="R522" i="7"/>
  <c r="P522" i="7"/>
  <c r="O522" i="7"/>
  <c r="N522" i="7"/>
  <c r="M522" i="7"/>
  <c r="L522" i="7"/>
  <c r="K522" i="7"/>
  <c r="J522" i="7"/>
  <c r="I522" i="7"/>
  <c r="H522" i="7"/>
  <c r="G522" i="7"/>
  <c r="F522" i="7"/>
  <c r="E522" i="7"/>
  <c r="D522" i="7"/>
  <c r="C522" i="7"/>
  <c r="B522" i="7"/>
  <c r="A522" i="7"/>
  <c r="S521" i="7"/>
  <c r="R521" i="7"/>
  <c r="P521" i="7"/>
  <c r="O521" i="7"/>
  <c r="N521" i="7"/>
  <c r="M521" i="7"/>
  <c r="L521" i="7"/>
  <c r="K521" i="7"/>
  <c r="J521" i="7"/>
  <c r="I521" i="7"/>
  <c r="H521" i="7"/>
  <c r="G521" i="7"/>
  <c r="F521" i="7"/>
  <c r="E521" i="7"/>
  <c r="D521" i="7"/>
  <c r="C521" i="7"/>
  <c r="B521" i="7"/>
  <c r="A521" i="7"/>
  <c r="S520" i="7"/>
  <c r="R520" i="7"/>
  <c r="P520" i="7"/>
  <c r="O520" i="7"/>
  <c r="N520" i="7"/>
  <c r="M520" i="7"/>
  <c r="L520" i="7"/>
  <c r="K520" i="7"/>
  <c r="J520" i="7"/>
  <c r="I520" i="7"/>
  <c r="H520" i="7"/>
  <c r="G520" i="7"/>
  <c r="F520" i="7"/>
  <c r="E520" i="7"/>
  <c r="D520" i="7"/>
  <c r="C520" i="7"/>
  <c r="B520" i="7"/>
  <c r="A520" i="7"/>
  <c r="S519" i="7"/>
  <c r="R519" i="7"/>
  <c r="Q519" i="7"/>
  <c r="P519" i="7"/>
  <c r="O519" i="7"/>
  <c r="N519" i="7"/>
  <c r="M519" i="7"/>
  <c r="L519" i="7"/>
  <c r="K519" i="7"/>
  <c r="J519" i="7"/>
  <c r="I519" i="7"/>
  <c r="H519" i="7"/>
  <c r="G519" i="7"/>
  <c r="F519" i="7"/>
  <c r="E519" i="7"/>
  <c r="D519" i="7"/>
  <c r="C519" i="7"/>
  <c r="B519" i="7"/>
  <c r="A519" i="7"/>
  <c r="S518" i="7"/>
  <c r="R518" i="7"/>
  <c r="Q518" i="7"/>
  <c r="P518" i="7"/>
  <c r="O518" i="7"/>
  <c r="N518" i="7"/>
  <c r="M518" i="7"/>
  <c r="L518" i="7"/>
  <c r="K518" i="7"/>
  <c r="J518" i="7"/>
  <c r="I518" i="7"/>
  <c r="H518" i="7"/>
  <c r="G518" i="7"/>
  <c r="F518" i="7"/>
  <c r="E518" i="7"/>
  <c r="D518" i="7"/>
  <c r="C518" i="7"/>
  <c r="B518" i="7"/>
  <c r="A518" i="7"/>
  <c r="S517" i="7"/>
  <c r="R517" i="7"/>
  <c r="P517" i="7"/>
  <c r="O517" i="7"/>
  <c r="N517" i="7"/>
  <c r="M517" i="7"/>
  <c r="L517" i="7"/>
  <c r="K517" i="7"/>
  <c r="J517" i="7"/>
  <c r="I517" i="7"/>
  <c r="H517" i="7"/>
  <c r="G517" i="7"/>
  <c r="F517" i="7"/>
  <c r="E517" i="7"/>
  <c r="D517" i="7"/>
  <c r="C517" i="7"/>
  <c r="B517" i="7"/>
  <c r="A517" i="7"/>
  <c r="S516" i="7"/>
  <c r="R516" i="7"/>
  <c r="P516" i="7"/>
  <c r="O516" i="7"/>
  <c r="N516" i="7"/>
  <c r="M516" i="7"/>
  <c r="L516" i="7"/>
  <c r="K516" i="7"/>
  <c r="J516" i="7"/>
  <c r="I516" i="7"/>
  <c r="H516" i="7"/>
  <c r="G516" i="7"/>
  <c r="F516" i="7"/>
  <c r="E516" i="7"/>
  <c r="D516" i="7"/>
  <c r="C516" i="7"/>
  <c r="B516" i="7"/>
  <c r="A516" i="7"/>
  <c r="S515" i="7"/>
  <c r="R515" i="7"/>
  <c r="P515" i="7"/>
  <c r="O515" i="7"/>
  <c r="N515" i="7"/>
  <c r="M515" i="7"/>
  <c r="L515" i="7"/>
  <c r="K515" i="7"/>
  <c r="J515" i="7"/>
  <c r="I515" i="7"/>
  <c r="H515" i="7"/>
  <c r="G515" i="7"/>
  <c r="F515" i="7"/>
  <c r="E515" i="7"/>
  <c r="D515" i="7"/>
  <c r="C515" i="7"/>
  <c r="B515" i="7"/>
  <c r="A515" i="7"/>
  <c r="S514" i="7"/>
  <c r="M514" i="7"/>
  <c r="L514" i="7"/>
  <c r="K514" i="7"/>
  <c r="J514" i="7"/>
  <c r="I514" i="7"/>
  <c r="H514" i="7"/>
  <c r="G514" i="7"/>
  <c r="F514" i="7"/>
  <c r="E514" i="7"/>
  <c r="D514" i="7"/>
  <c r="C514" i="7"/>
  <c r="B514" i="7"/>
  <c r="A514" i="7"/>
  <c r="S513" i="7"/>
  <c r="R513" i="7"/>
  <c r="Q513" i="7"/>
  <c r="P513" i="7"/>
  <c r="O513" i="7"/>
  <c r="N513" i="7"/>
  <c r="M513" i="7"/>
  <c r="L513" i="7"/>
  <c r="K513" i="7"/>
  <c r="J513" i="7"/>
  <c r="I513" i="7"/>
  <c r="H513" i="7"/>
  <c r="G513" i="7"/>
  <c r="F513" i="7"/>
  <c r="E513" i="7"/>
  <c r="D513" i="7"/>
  <c r="C513" i="7"/>
  <c r="B513" i="7"/>
  <c r="A513" i="7"/>
  <c r="S512" i="7"/>
  <c r="R512" i="7"/>
  <c r="Q512" i="7"/>
  <c r="P512" i="7"/>
  <c r="O512" i="7"/>
  <c r="N512" i="7"/>
  <c r="M512" i="7"/>
  <c r="L512" i="7"/>
  <c r="K512" i="7"/>
  <c r="J512" i="7"/>
  <c r="I512" i="7"/>
  <c r="H512" i="7"/>
  <c r="G512" i="7"/>
  <c r="F512" i="7"/>
  <c r="E512" i="7"/>
  <c r="D512" i="7"/>
  <c r="C512" i="7"/>
  <c r="B512" i="7"/>
  <c r="A512" i="7"/>
  <c r="S511" i="7"/>
  <c r="R511" i="7"/>
  <c r="P511" i="7"/>
  <c r="O511" i="7"/>
  <c r="N511" i="7"/>
  <c r="M511" i="7"/>
  <c r="L511" i="7"/>
  <c r="K511" i="7"/>
  <c r="J511" i="7"/>
  <c r="I511" i="7"/>
  <c r="H511" i="7"/>
  <c r="G511" i="7"/>
  <c r="F511" i="7"/>
  <c r="E511" i="7"/>
  <c r="D511" i="7"/>
  <c r="C511" i="7"/>
  <c r="B511" i="7"/>
  <c r="A511" i="7"/>
  <c r="S510" i="7"/>
  <c r="R510" i="7"/>
  <c r="P510" i="7"/>
  <c r="O510" i="7"/>
  <c r="N510" i="7"/>
  <c r="M510" i="7"/>
  <c r="L510" i="7"/>
  <c r="K510" i="7"/>
  <c r="J510" i="7"/>
  <c r="I510" i="7"/>
  <c r="H510" i="7"/>
  <c r="G510" i="7"/>
  <c r="F510" i="7"/>
  <c r="E510" i="7"/>
  <c r="D510" i="7"/>
  <c r="C510" i="7"/>
  <c r="B510" i="7"/>
  <c r="A510" i="7"/>
  <c r="S509" i="7"/>
  <c r="R509" i="7"/>
  <c r="Q509" i="7"/>
  <c r="P509" i="7"/>
  <c r="O509" i="7"/>
  <c r="N509" i="7"/>
  <c r="M509" i="7"/>
  <c r="L509" i="7"/>
  <c r="K509" i="7"/>
  <c r="J509" i="7"/>
  <c r="I509" i="7"/>
  <c r="H509" i="7"/>
  <c r="G509" i="7"/>
  <c r="F509" i="7"/>
  <c r="E509" i="7"/>
  <c r="D509" i="7"/>
  <c r="C509" i="7"/>
  <c r="B509" i="7"/>
  <c r="A509" i="7"/>
  <c r="S508" i="7"/>
  <c r="R508" i="7"/>
  <c r="Q508" i="7"/>
  <c r="P508" i="7"/>
  <c r="O508" i="7"/>
  <c r="N508" i="7"/>
  <c r="M508" i="7"/>
  <c r="L508" i="7"/>
  <c r="K508" i="7"/>
  <c r="J508" i="7"/>
  <c r="I508" i="7"/>
  <c r="H508" i="7"/>
  <c r="G508" i="7"/>
  <c r="F508" i="7"/>
  <c r="E508" i="7"/>
  <c r="C508" i="7"/>
  <c r="B508" i="7"/>
  <c r="A508" i="7"/>
  <c r="S507" i="7"/>
  <c r="R507" i="7"/>
  <c r="Q507" i="7"/>
  <c r="P507" i="7"/>
  <c r="O507" i="7"/>
  <c r="N507" i="7"/>
  <c r="M507" i="7"/>
  <c r="L507" i="7"/>
  <c r="K507" i="7"/>
  <c r="J507" i="7"/>
  <c r="I507" i="7"/>
  <c r="H507" i="7"/>
  <c r="G507" i="7"/>
  <c r="F507" i="7"/>
  <c r="E507" i="7"/>
  <c r="D507" i="7"/>
  <c r="C507" i="7"/>
  <c r="B507" i="7"/>
  <c r="A507" i="7"/>
  <c r="S506" i="7"/>
  <c r="R506" i="7"/>
  <c r="Q506" i="7"/>
  <c r="P506" i="7"/>
  <c r="O506" i="7"/>
  <c r="N506" i="7"/>
  <c r="M506" i="7"/>
  <c r="L506" i="7"/>
  <c r="K506" i="7"/>
  <c r="J506" i="7"/>
  <c r="I506" i="7"/>
  <c r="H506" i="7"/>
  <c r="G506" i="7"/>
  <c r="F506" i="7"/>
  <c r="E506" i="7"/>
  <c r="D506" i="7"/>
  <c r="C506" i="7"/>
  <c r="B506" i="7"/>
  <c r="A506" i="7"/>
  <c r="S505" i="7"/>
  <c r="R505" i="7"/>
  <c r="Q505" i="7"/>
  <c r="P505" i="7"/>
  <c r="O505" i="7"/>
  <c r="N505" i="7"/>
  <c r="M505" i="7"/>
  <c r="L505" i="7"/>
  <c r="K505" i="7"/>
  <c r="J505" i="7"/>
  <c r="I505" i="7"/>
  <c r="H505" i="7"/>
  <c r="G505" i="7"/>
  <c r="F505" i="7"/>
  <c r="E505" i="7"/>
  <c r="D505" i="7"/>
  <c r="C505" i="7"/>
  <c r="B505" i="7"/>
  <c r="A505" i="7"/>
  <c r="S504" i="7"/>
  <c r="R504" i="7"/>
  <c r="P504" i="7"/>
  <c r="O504" i="7"/>
  <c r="N504" i="7"/>
  <c r="M504" i="7"/>
  <c r="L504" i="7"/>
  <c r="K504" i="7"/>
  <c r="J504" i="7"/>
  <c r="I504" i="7"/>
  <c r="H504" i="7"/>
  <c r="G504" i="7"/>
  <c r="F504" i="7"/>
  <c r="E504" i="7"/>
  <c r="D504" i="7"/>
  <c r="C504" i="7"/>
  <c r="B504" i="7"/>
  <c r="A504" i="7"/>
  <c r="S503" i="7"/>
  <c r="R503" i="7"/>
  <c r="P503" i="7"/>
  <c r="O503" i="7"/>
  <c r="N503" i="7"/>
  <c r="M503" i="7"/>
  <c r="L503" i="7"/>
  <c r="K503" i="7"/>
  <c r="J503" i="7"/>
  <c r="I503" i="7"/>
  <c r="H503" i="7"/>
  <c r="G503" i="7"/>
  <c r="F503" i="7"/>
  <c r="E503" i="7"/>
  <c r="D503" i="7"/>
  <c r="C503" i="7"/>
  <c r="B503" i="7"/>
  <c r="A503" i="7"/>
  <c r="S502" i="7"/>
  <c r="R502" i="7"/>
  <c r="P502" i="7"/>
  <c r="O502" i="7"/>
  <c r="N502" i="7"/>
  <c r="M502" i="7"/>
  <c r="L502" i="7"/>
  <c r="K502" i="7"/>
  <c r="J502" i="7"/>
  <c r="I502" i="7"/>
  <c r="H502" i="7"/>
  <c r="G502" i="7"/>
  <c r="F502" i="7"/>
  <c r="E502" i="7"/>
  <c r="D502" i="7"/>
  <c r="C502" i="7"/>
  <c r="B502" i="7"/>
  <c r="A502" i="7"/>
  <c r="S501" i="7"/>
  <c r="R501" i="7"/>
  <c r="Q501" i="7"/>
  <c r="P501" i="7"/>
  <c r="O501" i="7"/>
  <c r="N501" i="7"/>
  <c r="M501" i="7"/>
  <c r="L501" i="7"/>
  <c r="K501" i="7"/>
  <c r="J501" i="7"/>
  <c r="I501" i="7"/>
  <c r="H501" i="7"/>
  <c r="G501" i="7"/>
  <c r="F501" i="7"/>
  <c r="E501" i="7"/>
  <c r="D501" i="7"/>
  <c r="C501" i="7"/>
  <c r="B501" i="7"/>
  <c r="A501" i="7"/>
  <c r="S500" i="7"/>
  <c r="R500" i="7"/>
  <c r="Q500" i="7"/>
  <c r="P500" i="7"/>
  <c r="O500" i="7"/>
  <c r="N500" i="7"/>
  <c r="M500" i="7"/>
  <c r="L500" i="7"/>
  <c r="K500" i="7"/>
  <c r="J500" i="7"/>
  <c r="I500" i="7"/>
  <c r="H500" i="7"/>
  <c r="G500" i="7"/>
  <c r="F500" i="7"/>
  <c r="E500" i="7"/>
  <c r="D500" i="7"/>
  <c r="C500" i="7"/>
  <c r="B500" i="7"/>
  <c r="A500" i="7"/>
  <c r="S499" i="7"/>
  <c r="R499" i="7"/>
  <c r="P499" i="7"/>
  <c r="O499" i="7"/>
  <c r="N499" i="7"/>
  <c r="M499" i="7"/>
  <c r="L499" i="7"/>
  <c r="K499" i="7"/>
  <c r="J499" i="7"/>
  <c r="I499" i="7"/>
  <c r="H499" i="7"/>
  <c r="G499" i="7"/>
  <c r="F499" i="7"/>
  <c r="E499" i="7"/>
  <c r="D499" i="7"/>
  <c r="C499" i="7"/>
  <c r="B499" i="7"/>
  <c r="A499" i="7"/>
  <c r="S498" i="7"/>
  <c r="R498" i="7"/>
  <c r="P498" i="7"/>
  <c r="O498" i="7"/>
  <c r="N498" i="7"/>
  <c r="M498" i="7"/>
  <c r="L498" i="7"/>
  <c r="K498" i="7"/>
  <c r="J498" i="7"/>
  <c r="I498" i="7"/>
  <c r="H498" i="7"/>
  <c r="G498" i="7"/>
  <c r="F498" i="7"/>
  <c r="E498" i="7"/>
  <c r="D498" i="7"/>
  <c r="C498" i="7"/>
  <c r="B498" i="7"/>
  <c r="A498" i="7"/>
  <c r="S497" i="7"/>
  <c r="R497" i="7"/>
  <c r="Q497" i="7"/>
  <c r="P497" i="7"/>
  <c r="O497" i="7"/>
  <c r="N497" i="7"/>
  <c r="M497" i="7"/>
  <c r="L497" i="7"/>
  <c r="K497" i="7"/>
  <c r="J497" i="7"/>
  <c r="I497" i="7"/>
  <c r="H497" i="7"/>
  <c r="G497" i="7"/>
  <c r="F497" i="7"/>
  <c r="E497" i="7"/>
  <c r="D497" i="7"/>
  <c r="C497" i="7"/>
  <c r="B497" i="7"/>
  <c r="A497" i="7"/>
  <c r="S496" i="7"/>
  <c r="R496" i="7"/>
  <c r="Q496" i="7"/>
  <c r="P496" i="7"/>
  <c r="O496" i="7"/>
  <c r="N496" i="7"/>
  <c r="M496" i="7"/>
  <c r="L496" i="7"/>
  <c r="K496" i="7"/>
  <c r="J496" i="7"/>
  <c r="I496" i="7"/>
  <c r="H496" i="7"/>
  <c r="G496" i="7"/>
  <c r="F496" i="7"/>
  <c r="E496" i="7"/>
  <c r="D496" i="7"/>
  <c r="C496" i="7"/>
  <c r="B496" i="7"/>
  <c r="A496" i="7"/>
  <c r="S495" i="7"/>
  <c r="R495" i="7"/>
  <c r="Q495" i="7"/>
  <c r="P495" i="7"/>
  <c r="O495" i="7"/>
  <c r="N495" i="7"/>
  <c r="M495" i="7"/>
  <c r="L495" i="7"/>
  <c r="K495" i="7"/>
  <c r="J495" i="7"/>
  <c r="I495" i="7"/>
  <c r="H495" i="7"/>
  <c r="G495" i="7"/>
  <c r="F495" i="7"/>
  <c r="E495" i="7"/>
  <c r="D495" i="7"/>
  <c r="C495" i="7"/>
  <c r="B495" i="7"/>
  <c r="A495" i="7"/>
  <c r="S494" i="7"/>
  <c r="R494" i="7"/>
  <c r="Q494" i="7"/>
  <c r="P494" i="7"/>
  <c r="O494" i="7"/>
  <c r="N494" i="7"/>
  <c r="M494" i="7"/>
  <c r="L494" i="7"/>
  <c r="K494" i="7"/>
  <c r="J494" i="7"/>
  <c r="I494" i="7"/>
  <c r="H494" i="7"/>
  <c r="G494" i="7"/>
  <c r="F494" i="7"/>
  <c r="E494" i="7"/>
  <c r="D494" i="7"/>
  <c r="C494" i="7"/>
  <c r="B494" i="7"/>
  <c r="A494" i="7"/>
  <c r="S493" i="7"/>
  <c r="M493" i="7"/>
  <c r="L493" i="7"/>
  <c r="K493" i="7"/>
  <c r="J493" i="7"/>
  <c r="I493" i="7"/>
  <c r="H493" i="7"/>
  <c r="G493" i="7"/>
  <c r="F493" i="7"/>
  <c r="E493" i="7"/>
  <c r="D493" i="7"/>
  <c r="C493" i="7"/>
  <c r="B493" i="7"/>
  <c r="A493" i="7"/>
  <c r="S492" i="7"/>
  <c r="R492" i="7"/>
  <c r="P492" i="7"/>
  <c r="O492" i="7"/>
  <c r="N492" i="7"/>
  <c r="M492" i="7"/>
  <c r="L492" i="7"/>
  <c r="K492" i="7"/>
  <c r="J492" i="7"/>
  <c r="I492" i="7"/>
  <c r="H492" i="7"/>
  <c r="G492" i="7"/>
  <c r="F492" i="7"/>
  <c r="E492" i="7"/>
  <c r="D492" i="7"/>
  <c r="C492" i="7"/>
  <c r="B492" i="7"/>
  <c r="A492" i="7"/>
  <c r="S491" i="7"/>
  <c r="R491" i="7"/>
  <c r="P491" i="7"/>
  <c r="O491" i="7"/>
  <c r="N491" i="7"/>
  <c r="M491" i="7"/>
  <c r="L491" i="7"/>
  <c r="K491" i="7"/>
  <c r="J491" i="7"/>
  <c r="I491" i="7"/>
  <c r="H491" i="7"/>
  <c r="G491" i="7"/>
  <c r="F491" i="7"/>
  <c r="E491" i="7"/>
  <c r="D491" i="7"/>
  <c r="C491" i="7"/>
  <c r="B491" i="7"/>
  <c r="A491" i="7"/>
  <c r="S490" i="7"/>
  <c r="R490" i="7"/>
  <c r="P490" i="7"/>
  <c r="O490" i="7"/>
  <c r="N490" i="7"/>
  <c r="M490" i="7"/>
  <c r="L490" i="7"/>
  <c r="K490" i="7"/>
  <c r="J490" i="7"/>
  <c r="I490" i="7"/>
  <c r="H490" i="7"/>
  <c r="G490" i="7"/>
  <c r="F490" i="7"/>
  <c r="E490" i="7"/>
  <c r="D490" i="7"/>
  <c r="C490" i="7"/>
  <c r="B490" i="7"/>
  <c r="A490" i="7"/>
  <c r="S489" i="7"/>
  <c r="R489" i="7"/>
  <c r="P489" i="7"/>
  <c r="O489" i="7"/>
  <c r="N489" i="7"/>
  <c r="M489" i="7"/>
  <c r="L489" i="7"/>
  <c r="K489" i="7"/>
  <c r="J489" i="7"/>
  <c r="I489" i="7"/>
  <c r="H489" i="7"/>
  <c r="G489" i="7"/>
  <c r="F489" i="7"/>
  <c r="E489" i="7"/>
  <c r="D489" i="7"/>
  <c r="C489" i="7"/>
  <c r="B489" i="7"/>
  <c r="A489" i="7"/>
  <c r="S488" i="7"/>
  <c r="R488" i="7"/>
  <c r="P488" i="7"/>
  <c r="O488" i="7"/>
  <c r="N488" i="7"/>
  <c r="M488" i="7"/>
  <c r="L488" i="7"/>
  <c r="K488" i="7"/>
  <c r="J488" i="7"/>
  <c r="I488" i="7"/>
  <c r="H488" i="7"/>
  <c r="G488" i="7"/>
  <c r="F488" i="7"/>
  <c r="E488" i="7"/>
  <c r="D488" i="7"/>
  <c r="C488" i="7"/>
  <c r="B488" i="7"/>
  <c r="A488" i="7"/>
  <c r="S487" i="7"/>
  <c r="R487" i="7"/>
  <c r="P487" i="7"/>
  <c r="O487" i="7"/>
  <c r="N487" i="7"/>
  <c r="M487" i="7"/>
  <c r="L487" i="7"/>
  <c r="K487" i="7"/>
  <c r="J487" i="7"/>
  <c r="I487" i="7"/>
  <c r="H487" i="7"/>
  <c r="G487" i="7"/>
  <c r="F487" i="7"/>
  <c r="E487" i="7"/>
  <c r="D487" i="7"/>
  <c r="C487" i="7"/>
  <c r="B487" i="7"/>
  <c r="A487" i="7"/>
  <c r="S486" i="7"/>
  <c r="R486" i="7"/>
  <c r="P486" i="7"/>
  <c r="O486" i="7"/>
  <c r="N486" i="7"/>
  <c r="M486" i="7"/>
  <c r="L486" i="7"/>
  <c r="K486" i="7"/>
  <c r="J486" i="7"/>
  <c r="I486" i="7"/>
  <c r="H486" i="7"/>
  <c r="G486" i="7"/>
  <c r="F486" i="7"/>
  <c r="E486" i="7"/>
  <c r="D486" i="7"/>
  <c r="C486" i="7"/>
  <c r="B486" i="7"/>
  <c r="A486" i="7"/>
  <c r="S485" i="7"/>
  <c r="M485" i="7"/>
  <c r="L485" i="7"/>
  <c r="K485" i="7"/>
  <c r="J485" i="7"/>
  <c r="I485" i="7"/>
  <c r="H485" i="7"/>
  <c r="G485" i="7"/>
  <c r="F485" i="7"/>
  <c r="E485" i="7"/>
  <c r="D485" i="7"/>
  <c r="C485" i="7"/>
  <c r="B485" i="7"/>
  <c r="A485" i="7"/>
  <c r="S484" i="7"/>
  <c r="R484" i="7"/>
  <c r="P484" i="7"/>
  <c r="O484" i="7"/>
  <c r="N484" i="7"/>
  <c r="M484" i="7"/>
  <c r="L484" i="7"/>
  <c r="K484" i="7"/>
  <c r="J484" i="7"/>
  <c r="I484" i="7"/>
  <c r="H484" i="7"/>
  <c r="G484" i="7"/>
  <c r="F484" i="7"/>
  <c r="E484" i="7"/>
  <c r="D484" i="7"/>
  <c r="C484" i="7"/>
  <c r="B484" i="7"/>
  <c r="A484" i="7"/>
  <c r="S483" i="7"/>
  <c r="R483" i="7"/>
  <c r="P483" i="7"/>
  <c r="O483" i="7"/>
  <c r="N483" i="7"/>
  <c r="M483" i="7"/>
  <c r="L483" i="7"/>
  <c r="K483" i="7"/>
  <c r="J483" i="7"/>
  <c r="I483" i="7"/>
  <c r="H483" i="7"/>
  <c r="G483" i="7"/>
  <c r="F483" i="7"/>
  <c r="E483" i="7"/>
  <c r="D483" i="7"/>
  <c r="C483" i="7"/>
  <c r="B483" i="7"/>
  <c r="A483" i="7"/>
  <c r="S482" i="7"/>
  <c r="R482" i="7"/>
  <c r="P482" i="7"/>
  <c r="O482" i="7"/>
  <c r="N482" i="7"/>
  <c r="M482" i="7"/>
  <c r="L482" i="7"/>
  <c r="K482" i="7"/>
  <c r="J482" i="7"/>
  <c r="I482" i="7"/>
  <c r="H482" i="7"/>
  <c r="G482" i="7"/>
  <c r="F482" i="7"/>
  <c r="E482" i="7"/>
  <c r="D482" i="7"/>
  <c r="C482" i="7"/>
  <c r="B482" i="7"/>
  <c r="A482" i="7"/>
  <c r="S481" i="7"/>
  <c r="R481" i="7"/>
  <c r="P481" i="7"/>
  <c r="O481" i="7"/>
  <c r="N481" i="7"/>
  <c r="M481" i="7"/>
  <c r="L481" i="7"/>
  <c r="K481" i="7"/>
  <c r="J481" i="7"/>
  <c r="I481" i="7"/>
  <c r="H481" i="7"/>
  <c r="G481" i="7"/>
  <c r="F481" i="7"/>
  <c r="E481" i="7"/>
  <c r="D481" i="7"/>
  <c r="C481" i="7"/>
  <c r="B481" i="7"/>
  <c r="A481" i="7"/>
  <c r="S480" i="7"/>
  <c r="R480" i="7"/>
  <c r="P480" i="7"/>
  <c r="O480" i="7"/>
  <c r="N480" i="7"/>
  <c r="M480" i="7"/>
  <c r="L480" i="7"/>
  <c r="K480" i="7"/>
  <c r="J480" i="7"/>
  <c r="I480" i="7"/>
  <c r="H480" i="7"/>
  <c r="G480" i="7"/>
  <c r="F480" i="7"/>
  <c r="E480" i="7"/>
  <c r="D480" i="7"/>
  <c r="C480" i="7"/>
  <c r="B480" i="7"/>
  <c r="A480" i="7"/>
  <c r="S479" i="7"/>
  <c r="M479" i="7"/>
  <c r="L479" i="7"/>
  <c r="K479" i="7"/>
  <c r="J479" i="7"/>
  <c r="I479" i="7"/>
  <c r="H479" i="7"/>
  <c r="G479" i="7"/>
  <c r="F479" i="7"/>
  <c r="E479" i="7"/>
  <c r="D479" i="7"/>
  <c r="C479" i="7"/>
  <c r="B479" i="7"/>
  <c r="A479" i="7"/>
  <c r="S478" i="7"/>
  <c r="R478" i="7"/>
  <c r="P478" i="7"/>
  <c r="O478" i="7"/>
  <c r="N478" i="7"/>
  <c r="M478" i="7"/>
  <c r="L478" i="7"/>
  <c r="K478" i="7"/>
  <c r="J478" i="7"/>
  <c r="I478" i="7"/>
  <c r="H478" i="7"/>
  <c r="G478" i="7"/>
  <c r="F478" i="7"/>
  <c r="E478" i="7"/>
  <c r="D478" i="7"/>
  <c r="C478" i="7"/>
  <c r="B478" i="7"/>
  <c r="A478" i="7"/>
  <c r="S477" i="7"/>
  <c r="R477" i="7"/>
  <c r="P477" i="7"/>
  <c r="O477" i="7"/>
  <c r="N477" i="7"/>
  <c r="M477" i="7"/>
  <c r="L477" i="7"/>
  <c r="K477" i="7"/>
  <c r="J477" i="7"/>
  <c r="I477" i="7"/>
  <c r="H477" i="7"/>
  <c r="G477" i="7"/>
  <c r="F477" i="7"/>
  <c r="E477" i="7"/>
  <c r="D477" i="7"/>
  <c r="C477" i="7"/>
  <c r="B477" i="7"/>
  <c r="A477" i="7"/>
  <c r="S476" i="7"/>
  <c r="R476" i="7"/>
  <c r="P476" i="7"/>
  <c r="O476" i="7"/>
  <c r="N476" i="7"/>
  <c r="M476" i="7"/>
  <c r="L476" i="7"/>
  <c r="K476" i="7"/>
  <c r="J476" i="7"/>
  <c r="I476" i="7"/>
  <c r="H476" i="7"/>
  <c r="G476" i="7"/>
  <c r="F476" i="7"/>
  <c r="E476" i="7"/>
  <c r="D476" i="7"/>
  <c r="C476" i="7"/>
  <c r="B476" i="7"/>
  <c r="A476" i="7"/>
  <c r="S475" i="7"/>
  <c r="R475" i="7"/>
  <c r="P475" i="7"/>
  <c r="O475" i="7"/>
  <c r="N475" i="7"/>
  <c r="M475" i="7"/>
  <c r="L475" i="7"/>
  <c r="K475" i="7"/>
  <c r="J475" i="7"/>
  <c r="I475" i="7"/>
  <c r="H475" i="7"/>
  <c r="G475" i="7"/>
  <c r="F475" i="7"/>
  <c r="E475" i="7"/>
  <c r="D475" i="7"/>
  <c r="C475" i="7"/>
  <c r="B475" i="7"/>
  <c r="A475" i="7"/>
  <c r="S474" i="7"/>
  <c r="M474" i="7"/>
  <c r="L474" i="7"/>
  <c r="K474" i="7"/>
  <c r="J474" i="7"/>
  <c r="I474" i="7"/>
  <c r="H474" i="7"/>
  <c r="G474" i="7"/>
  <c r="F474" i="7"/>
  <c r="E474" i="7"/>
  <c r="D474" i="7"/>
  <c r="C474" i="7"/>
  <c r="B474" i="7"/>
  <c r="A474" i="7"/>
  <c r="S473" i="7"/>
  <c r="R473" i="7"/>
  <c r="P473" i="7"/>
  <c r="O473" i="7"/>
  <c r="N473" i="7"/>
  <c r="M473" i="7"/>
  <c r="L473" i="7"/>
  <c r="K473" i="7"/>
  <c r="J473" i="7"/>
  <c r="I473" i="7"/>
  <c r="H473" i="7"/>
  <c r="G473" i="7"/>
  <c r="F473" i="7"/>
  <c r="E473" i="7"/>
  <c r="D473" i="7"/>
  <c r="C473" i="7"/>
  <c r="B473" i="7"/>
  <c r="A473" i="7"/>
  <c r="S472" i="7"/>
  <c r="R472" i="7"/>
  <c r="P472" i="7"/>
  <c r="O472" i="7"/>
  <c r="N472" i="7"/>
  <c r="M472" i="7"/>
  <c r="L472" i="7"/>
  <c r="K472" i="7"/>
  <c r="J472" i="7"/>
  <c r="I472" i="7"/>
  <c r="H472" i="7"/>
  <c r="G472" i="7"/>
  <c r="F472" i="7"/>
  <c r="E472" i="7"/>
  <c r="D472" i="7"/>
  <c r="C472" i="7"/>
  <c r="B472" i="7"/>
  <c r="A472" i="7"/>
  <c r="S471" i="7"/>
  <c r="R471" i="7"/>
  <c r="P471" i="7"/>
  <c r="O471" i="7"/>
  <c r="N471" i="7"/>
  <c r="M471" i="7"/>
  <c r="L471" i="7"/>
  <c r="K471" i="7"/>
  <c r="J471" i="7"/>
  <c r="I471" i="7"/>
  <c r="H471" i="7"/>
  <c r="G471" i="7"/>
  <c r="F471" i="7"/>
  <c r="E471" i="7"/>
  <c r="D471" i="7"/>
  <c r="C471" i="7"/>
  <c r="B471" i="7"/>
  <c r="A471" i="7"/>
  <c r="S470" i="7"/>
  <c r="R470" i="7"/>
  <c r="P470" i="7"/>
  <c r="O470" i="7"/>
  <c r="N470" i="7"/>
  <c r="M470" i="7"/>
  <c r="L470" i="7"/>
  <c r="K470" i="7"/>
  <c r="J470" i="7"/>
  <c r="I470" i="7"/>
  <c r="H470" i="7"/>
  <c r="G470" i="7"/>
  <c r="F470" i="7"/>
  <c r="E470" i="7"/>
  <c r="D470" i="7"/>
  <c r="C470" i="7"/>
  <c r="B470" i="7"/>
  <c r="A470" i="7"/>
  <c r="S469" i="7"/>
  <c r="R469" i="7"/>
  <c r="P469" i="7"/>
  <c r="O469" i="7"/>
  <c r="N469" i="7"/>
  <c r="M469" i="7"/>
  <c r="L469" i="7"/>
  <c r="K469" i="7"/>
  <c r="J469" i="7"/>
  <c r="I469" i="7"/>
  <c r="H469" i="7"/>
  <c r="G469" i="7"/>
  <c r="F469" i="7"/>
  <c r="E469" i="7"/>
  <c r="D469" i="7"/>
  <c r="C469" i="7"/>
  <c r="B469" i="7"/>
  <c r="A469" i="7"/>
  <c r="S468" i="7"/>
  <c r="R468" i="7"/>
  <c r="P468" i="7"/>
  <c r="O468" i="7"/>
  <c r="N468" i="7"/>
  <c r="M468" i="7"/>
  <c r="L468" i="7"/>
  <c r="K468" i="7"/>
  <c r="J468" i="7"/>
  <c r="I468" i="7"/>
  <c r="H468" i="7"/>
  <c r="G468" i="7"/>
  <c r="F468" i="7"/>
  <c r="E468" i="7"/>
  <c r="D468" i="7"/>
  <c r="C468" i="7"/>
  <c r="B468" i="7"/>
  <c r="A468" i="7"/>
  <c r="S467" i="7"/>
  <c r="R467" i="7"/>
  <c r="P467" i="7"/>
  <c r="O467" i="7"/>
  <c r="N467" i="7"/>
  <c r="M467" i="7"/>
  <c r="L467" i="7"/>
  <c r="K467" i="7"/>
  <c r="J467" i="7"/>
  <c r="I467" i="7"/>
  <c r="H467" i="7"/>
  <c r="G467" i="7"/>
  <c r="F467" i="7"/>
  <c r="E467" i="7"/>
  <c r="D467" i="7"/>
  <c r="C467" i="7"/>
  <c r="B467" i="7"/>
  <c r="A467" i="7"/>
  <c r="S466" i="7"/>
  <c r="R466" i="7"/>
  <c r="P466" i="7"/>
  <c r="O466" i="7"/>
  <c r="N466" i="7"/>
  <c r="M466" i="7"/>
  <c r="L466" i="7"/>
  <c r="K466" i="7"/>
  <c r="J466" i="7"/>
  <c r="I466" i="7"/>
  <c r="H466" i="7"/>
  <c r="G466" i="7"/>
  <c r="F466" i="7"/>
  <c r="E466" i="7"/>
  <c r="D466" i="7"/>
  <c r="C466" i="7"/>
  <c r="B466" i="7"/>
  <c r="A466" i="7"/>
  <c r="S465" i="7"/>
  <c r="M465" i="7"/>
  <c r="L465" i="7"/>
  <c r="K465" i="7"/>
  <c r="J465" i="7"/>
  <c r="I465" i="7"/>
  <c r="H465" i="7"/>
  <c r="G465" i="7"/>
  <c r="F465" i="7"/>
  <c r="E465" i="7"/>
  <c r="D465" i="7"/>
  <c r="C465" i="7"/>
  <c r="B465" i="7"/>
  <c r="A465" i="7"/>
  <c r="S464" i="7"/>
  <c r="R464" i="7"/>
  <c r="P464" i="7"/>
  <c r="O464" i="7"/>
  <c r="N464" i="7"/>
  <c r="M464" i="7"/>
  <c r="L464" i="7"/>
  <c r="K464" i="7"/>
  <c r="J464" i="7"/>
  <c r="I464" i="7"/>
  <c r="H464" i="7"/>
  <c r="G464" i="7"/>
  <c r="F464" i="7"/>
  <c r="E464" i="7"/>
  <c r="D464" i="7"/>
  <c r="C464" i="7"/>
  <c r="B464" i="7"/>
  <c r="A464" i="7"/>
  <c r="S463" i="7"/>
  <c r="R463" i="7"/>
  <c r="P463" i="7"/>
  <c r="O463" i="7"/>
  <c r="N463" i="7"/>
  <c r="M463" i="7"/>
  <c r="L463" i="7"/>
  <c r="K463" i="7"/>
  <c r="J463" i="7"/>
  <c r="I463" i="7"/>
  <c r="H463" i="7"/>
  <c r="G463" i="7"/>
  <c r="F463" i="7"/>
  <c r="E463" i="7"/>
  <c r="D463" i="7"/>
  <c r="C463" i="7"/>
  <c r="B463" i="7"/>
  <c r="A463" i="7"/>
  <c r="S462" i="7"/>
  <c r="R462" i="7"/>
  <c r="P462" i="7"/>
  <c r="O462" i="7"/>
  <c r="N462" i="7"/>
  <c r="M462" i="7"/>
  <c r="L462" i="7"/>
  <c r="K462" i="7"/>
  <c r="J462" i="7"/>
  <c r="I462" i="7"/>
  <c r="H462" i="7"/>
  <c r="G462" i="7"/>
  <c r="F462" i="7"/>
  <c r="E462" i="7"/>
  <c r="D462" i="7"/>
  <c r="C462" i="7"/>
  <c r="B462" i="7"/>
  <c r="A462" i="7"/>
  <c r="S461" i="7"/>
  <c r="R461" i="7"/>
  <c r="P461" i="7"/>
  <c r="O461" i="7"/>
  <c r="N461" i="7"/>
  <c r="M461" i="7"/>
  <c r="L461" i="7"/>
  <c r="K461" i="7"/>
  <c r="J461" i="7"/>
  <c r="I461" i="7"/>
  <c r="H461" i="7"/>
  <c r="G461" i="7"/>
  <c r="F461" i="7"/>
  <c r="E461" i="7"/>
  <c r="D461" i="7"/>
  <c r="C461" i="7"/>
  <c r="B461" i="7"/>
  <c r="A461" i="7"/>
  <c r="S460" i="7"/>
  <c r="R460" i="7"/>
  <c r="P460" i="7"/>
  <c r="O460" i="7"/>
  <c r="N460" i="7"/>
  <c r="M460" i="7"/>
  <c r="L460" i="7"/>
  <c r="K460" i="7"/>
  <c r="J460" i="7"/>
  <c r="I460" i="7"/>
  <c r="H460" i="7"/>
  <c r="G460" i="7"/>
  <c r="F460" i="7"/>
  <c r="E460" i="7"/>
  <c r="D460" i="7"/>
  <c r="C460" i="7"/>
  <c r="B460" i="7"/>
  <c r="A460" i="7"/>
  <c r="S459" i="7"/>
  <c r="R459" i="7"/>
  <c r="P459" i="7"/>
  <c r="O459" i="7"/>
  <c r="N459" i="7"/>
  <c r="M459" i="7"/>
  <c r="L459" i="7"/>
  <c r="K459" i="7"/>
  <c r="J459" i="7"/>
  <c r="I459" i="7"/>
  <c r="H459" i="7"/>
  <c r="G459" i="7"/>
  <c r="F459" i="7"/>
  <c r="E459" i="7"/>
  <c r="D459" i="7"/>
  <c r="C459" i="7"/>
  <c r="B459" i="7"/>
  <c r="A459" i="7"/>
  <c r="S458" i="7"/>
  <c r="R458" i="7"/>
  <c r="P458" i="7"/>
  <c r="N458" i="7"/>
  <c r="M458" i="7"/>
  <c r="L458" i="7"/>
  <c r="K458" i="7"/>
  <c r="J458" i="7"/>
  <c r="I458" i="7"/>
  <c r="H458" i="7"/>
  <c r="G458" i="7"/>
  <c r="F458" i="7"/>
  <c r="E458" i="7"/>
  <c r="D458" i="7"/>
  <c r="C458" i="7"/>
  <c r="B458" i="7"/>
  <c r="A458" i="7"/>
  <c r="S457" i="7"/>
  <c r="R457" i="7"/>
  <c r="P457" i="7"/>
  <c r="O457" i="7"/>
  <c r="N457" i="7"/>
  <c r="M457" i="7"/>
  <c r="L457" i="7"/>
  <c r="K457" i="7"/>
  <c r="J457" i="7"/>
  <c r="I457" i="7"/>
  <c r="H457" i="7"/>
  <c r="G457" i="7"/>
  <c r="F457" i="7"/>
  <c r="E457" i="7"/>
  <c r="D457" i="7"/>
  <c r="C457" i="7"/>
  <c r="B457" i="7"/>
  <c r="A457" i="7"/>
  <c r="S456" i="7"/>
  <c r="R456" i="7"/>
  <c r="P456" i="7"/>
  <c r="O456" i="7"/>
  <c r="N456" i="7"/>
  <c r="M456" i="7"/>
  <c r="L456" i="7"/>
  <c r="K456" i="7"/>
  <c r="J456" i="7"/>
  <c r="I456" i="7"/>
  <c r="H456" i="7"/>
  <c r="G456" i="7"/>
  <c r="F456" i="7"/>
  <c r="E456" i="7"/>
  <c r="D456" i="7"/>
  <c r="C456" i="7"/>
  <c r="B456" i="7"/>
  <c r="A456" i="7"/>
  <c r="S455" i="7"/>
  <c r="R455" i="7"/>
  <c r="P455" i="7"/>
  <c r="O455" i="7"/>
  <c r="N455" i="7"/>
  <c r="M455" i="7"/>
  <c r="L455" i="7"/>
  <c r="K455" i="7"/>
  <c r="J455" i="7"/>
  <c r="I455" i="7"/>
  <c r="H455" i="7"/>
  <c r="G455" i="7"/>
  <c r="F455" i="7"/>
  <c r="E455" i="7"/>
  <c r="D455" i="7"/>
  <c r="C455" i="7"/>
  <c r="B455" i="7"/>
  <c r="A455" i="7"/>
  <c r="S454" i="7"/>
  <c r="P454" i="7"/>
  <c r="O454" i="7"/>
  <c r="N454" i="7"/>
  <c r="M454" i="7"/>
  <c r="L454" i="7"/>
  <c r="K454" i="7"/>
  <c r="J454" i="7"/>
  <c r="I454" i="7"/>
  <c r="H454" i="7"/>
  <c r="G454" i="7"/>
  <c r="F454" i="7"/>
  <c r="E454" i="7"/>
  <c r="D454" i="7"/>
  <c r="C454" i="7"/>
  <c r="B454" i="7"/>
  <c r="A454" i="7"/>
  <c r="S453" i="7"/>
  <c r="M453" i="7"/>
  <c r="L453" i="7"/>
  <c r="K453" i="7"/>
  <c r="J453" i="7"/>
  <c r="I453" i="7"/>
  <c r="H453" i="7"/>
  <c r="G453" i="7"/>
  <c r="F453" i="7"/>
  <c r="E453" i="7"/>
  <c r="D453" i="7"/>
  <c r="C453" i="7"/>
  <c r="B453" i="7"/>
  <c r="A453" i="7"/>
  <c r="S452" i="7"/>
  <c r="M452" i="7"/>
  <c r="L452" i="7"/>
  <c r="K452" i="7"/>
  <c r="J452" i="7"/>
  <c r="I452" i="7"/>
  <c r="H452" i="7"/>
  <c r="G452" i="7"/>
  <c r="F452" i="7"/>
  <c r="E452" i="7"/>
  <c r="D452" i="7"/>
  <c r="C452" i="7"/>
  <c r="B452" i="7"/>
  <c r="A452" i="7"/>
  <c r="S451" i="7"/>
  <c r="R451" i="7"/>
  <c r="P451" i="7"/>
  <c r="O451" i="7"/>
  <c r="N451" i="7"/>
  <c r="M451" i="7"/>
  <c r="L451" i="7"/>
  <c r="K451" i="7"/>
  <c r="J451" i="7"/>
  <c r="I451" i="7"/>
  <c r="H451" i="7"/>
  <c r="G451" i="7"/>
  <c r="F451" i="7"/>
  <c r="E451" i="7"/>
  <c r="D451" i="7"/>
  <c r="C451" i="7"/>
  <c r="B451" i="7"/>
  <c r="A451" i="7"/>
  <c r="S450" i="7"/>
  <c r="R450" i="7"/>
  <c r="P450" i="7"/>
  <c r="O450" i="7"/>
  <c r="N450" i="7"/>
  <c r="M450" i="7"/>
  <c r="L450" i="7"/>
  <c r="K450" i="7"/>
  <c r="J450" i="7"/>
  <c r="I450" i="7"/>
  <c r="H450" i="7"/>
  <c r="G450" i="7"/>
  <c r="F450" i="7"/>
  <c r="E450" i="7"/>
  <c r="D450" i="7"/>
  <c r="C450" i="7"/>
  <c r="B450" i="7"/>
  <c r="A450" i="7"/>
  <c r="S449" i="7"/>
  <c r="R449" i="7"/>
  <c r="Q449" i="7"/>
  <c r="P449" i="7"/>
  <c r="O449" i="7"/>
  <c r="N449" i="7"/>
  <c r="M449" i="7"/>
  <c r="L449" i="7"/>
  <c r="K449" i="7"/>
  <c r="J449" i="7"/>
  <c r="I449" i="7"/>
  <c r="H449" i="7"/>
  <c r="G449" i="7"/>
  <c r="F449" i="7"/>
  <c r="E449" i="7"/>
  <c r="D449" i="7"/>
  <c r="C449" i="7"/>
  <c r="B449" i="7"/>
  <c r="A449" i="7"/>
  <c r="S448" i="7"/>
  <c r="R448" i="7"/>
  <c r="P448" i="7"/>
  <c r="O448" i="7"/>
  <c r="N448" i="7"/>
  <c r="M448" i="7"/>
  <c r="L448" i="7"/>
  <c r="K448" i="7"/>
  <c r="J448" i="7"/>
  <c r="I448" i="7"/>
  <c r="H448" i="7"/>
  <c r="G448" i="7"/>
  <c r="F448" i="7"/>
  <c r="E448" i="7"/>
  <c r="D448" i="7"/>
  <c r="C448" i="7"/>
  <c r="B448" i="7"/>
  <c r="A448" i="7"/>
  <c r="S447" i="7"/>
  <c r="R447" i="7"/>
  <c r="P447" i="7"/>
  <c r="O447" i="7"/>
  <c r="N447" i="7"/>
  <c r="M447" i="7"/>
  <c r="L447" i="7"/>
  <c r="K447" i="7"/>
  <c r="J447" i="7"/>
  <c r="I447" i="7"/>
  <c r="H447" i="7"/>
  <c r="G447" i="7"/>
  <c r="F447" i="7"/>
  <c r="E447" i="7"/>
  <c r="D447" i="7"/>
  <c r="C447" i="7"/>
  <c r="B447" i="7"/>
  <c r="A447" i="7"/>
  <c r="S446" i="7"/>
  <c r="R446" i="7"/>
  <c r="P446" i="7"/>
  <c r="O446" i="7"/>
  <c r="N446" i="7"/>
  <c r="M446" i="7"/>
  <c r="L446" i="7"/>
  <c r="K446" i="7"/>
  <c r="J446" i="7"/>
  <c r="I446" i="7"/>
  <c r="H446" i="7"/>
  <c r="G446" i="7"/>
  <c r="F446" i="7"/>
  <c r="E446" i="7"/>
  <c r="D446" i="7"/>
  <c r="C446" i="7"/>
  <c r="B446" i="7"/>
  <c r="A446" i="7"/>
  <c r="S445" i="7"/>
  <c r="R445" i="7"/>
  <c r="Q445" i="7"/>
  <c r="P445" i="7"/>
  <c r="O445" i="7"/>
  <c r="N445" i="7"/>
  <c r="M445" i="7"/>
  <c r="L445" i="7"/>
  <c r="K445" i="7"/>
  <c r="J445" i="7"/>
  <c r="I445" i="7"/>
  <c r="H445" i="7"/>
  <c r="G445" i="7"/>
  <c r="F445" i="7"/>
  <c r="E445" i="7"/>
  <c r="D445" i="7"/>
  <c r="C445" i="7"/>
  <c r="B445" i="7"/>
  <c r="A445" i="7"/>
  <c r="S444" i="7"/>
  <c r="R444" i="7"/>
  <c r="P444" i="7"/>
  <c r="O444" i="7"/>
  <c r="N444" i="7"/>
  <c r="M444" i="7"/>
  <c r="L444" i="7"/>
  <c r="K444" i="7"/>
  <c r="J444" i="7"/>
  <c r="I444" i="7"/>
  <c r="H444" i="7"/>
  <c r="G444" i="7"/>
  <c r="F444" i="7"/>
  <c r="E444" i="7"/>
  <c r="D444" i="7"/>
  <c r="C444" i="7"/>
  <c r="B444" i="7"/>
  <c r="A444" i="7"/>
  <c r="S443" i="7"/>
  <c r="P443" i="7"/>
  <c r="O443" i="7"/>
  <c r="N443" i="7"/>
  <c r="M443" i="7"/>
  <c r="L443" i="7"/>
  <c r="K443" i="7"/>
  <c r="J443" i="7"/>
  <c r="I443" i="7"/>
  <c r="H443" i="7"/>
  <c r="G443" i="7"/>
  <c r="F443" i="7"/>
  <c r="E443" i="7"/>
  <c r="D443" i="7"/>
  <c r="C443" i="7"/>
  <c r="B443" i="7"/>
  <c r="A443" i="7"/>
  <c r="S442" i="7"/>
  <c r="R442" i="7"/>
  <c r="P442" i="7"/>
  <c r="O442" i="7"/>
  <c r="N442" i="7"/>
  <c r="M442" i="7"/>
  <c r="L442" i="7"/>
  <c r="K442" i="7"/>
  <c r="J442" i="7"/>
  <c r="I442" i="7"/>
  <c r="H442" i="7"/>
  <c r="G442" i="7"/>
  <c r="F442" i="7"/>
  <c r="E442" i="7"/>
  <c r="D442" i="7"/>
  <c r="C442" i="7"/>
  <c r="B442" i="7"/>
  <c r="A442" i="7"/>
  <c r="S441" i="7"/>
  <c r="P441" i="7"/>
  <c r="O441" i="7"/>
  <c r="N441" i="7"/>
  <c r="M441" i="7"/>
  <c r="L441" i="7"/>
  <c r="K441" i="7"/>
  <c r="J441" i="7"/>
  <c r="I441" i="7"/>
  <c r="H441" i="7"/>
  <c r="G441" i="7"/>
  <c r="F441" i="7"/>
  <c r="E441" i="7"/>
  <c r="D441" i="7"/>
  <c r="C441" i="7"/>
  <c r="B441" i="7"/>
  <c r="A441" i="7"/>
  <c r="S440" i="7"/>
  <c r="R440" i="7"/>
  <c r="P440" i="7"/>
  <c r="O440" i="7"/>
  <c r="N440" i="7"/>
  <c r="M440" i="7"/>
  <c r="L440" i="7"/>
  <c r="K440" i="7"/>
  <c r="J440" i="7"/>
  <c r="I440" i="7"/>
  <c r="H440" i="7"/>
  <c r="G440" i="7"/>
  <c r="F440" i="7"/>
  <c r="E440" i="7"/>
  <c r="D440" i="7"/>
  <c r="C440" i="7"/>
  <c r="B440" i="7"/>
  <c r="A440" i="7"/>
  <c r="S439" i="7"/>
  <c r="R439" i="7"/>
  <c r="P439" i="7"/>
  <c r="O439" i="7"/>
  <c r="N439" i="7"/>
  <c r="M439" i="7"/>
  <c r="L439" i="7"/>
  <c r="K439" i="7"/>
  <c r="J439" i="7"/>
  <c r="I439" i="7"/>
  <c r="H439" i="7"/>
  <c r="G439" i="7"/>
  <c r="F439" i="7"/>
  <c r="E439" i="7"/>
  <c r="D439" i="7"/>
  <c r="C439" i="7"/>
  <c r="B439" i="7"/>
  <c r="A439" i="7"/>
  <c r="S438" i="7"/>
  <c r="R438" i="7"/>
  <c r="P438" i="7"/>
  <c r="O438" i="7"/>
  <c r="N438" i="7"/>
  <c r="M438" i="7"/>
  <c r="L438" i="7"/>
  <c r="K438" i="7"/>
  <c r="J438" i="7"/>
  <c r="I438" i="7"/>
  <c r="H438" i="7"/>
  <c r="G438" i="7"/>
  <c r="F438" i="7"/>
  <c r="E438" i="7"/>
  <c r="D438" i="7"/>
  <c r="C438" i="7"/>
  <c r="B438" i="7"/>
  <c r="A438" i="7"/>
  <c r="S437" i="7"/>
  <c r="R437" i="7"/>
  <c r="P437" i="7"/>
  <c r="O437" i="7"/>
  <c r="N437" i="7"/>
  <c r="M437" i="7"/>
  <c r="L437" i="7"/>
  <c r="K437" i="7"/>
  <c r="J437" i="7"/>
  <c r="I437" i="7"/>
  <c r="H437" i="7"/>
  <c r="G437" i="7"/>
  <c r="F437" i="7"/>
  <c r="E437" i="7"/>
  <c r="D437" i="7"/>
  <c r="C437" i="7"/>
  <c r="B437" i="7"/>
  <c r="A437" i="7"/>
  <c r="S436" i="7"/>
  <c r="R436" i="7"/>
  <c r="Q436" i="7"/>
  <c r="P436" i="7"/>
  <c r="O436" i="7"/>
  <c r="N436" i="7"/>
  <c r="M436" i="7"/>
  <c r="L436" i="7"/>
  <c r="K436" i="7"/>
  <c r="J436" i="7"/>
  <c r="I436" i="7"/>
  <c r="H436" i="7"/>
  <c r="G436" i="7"/>
  <c r="F436" i="7"/>
  <c r="E436" i="7"/>
  <c r="D436" i="7"/>
  <c r="C436" i="7"/>
  <c r="B436" i="7"/>
  <c r="A436" i="7"/>
  <c r="S435" i="7"/>
  <c r="R435" i="7"/>
  <c r="P435" i="7"/>
  <c r="O435" i="7"/>
  <c r="N435" i="7"/>
  <c r="M435" i="7"/>
  <c r="L435" i="7"/>
  <c r="K435" i="7"/>
  <c r="J435" i="7"/>
  <c r="I435" i="7"/>
  <c r="H435" i="7"/>
  <c r="G435" i="7"/>
  <c r="F435" i="7"/>
  <c r="E435" i="7"/>
  <c r="D435" i="7"/>
  <c r="C435" i="7"/>
  <c r="B435" i="7"/>
  <c r="A435" i="7"/>
  <c r="S434" i="7"/>
  <c r="P434" i="7"/>
  <c r="O434" i="7"/>
  <c r="N434" i="7"/>
  <c r="M434" i="7"/>
  <c r="L434" i="7"/>
  <c r="K434" i="7"/>
  <c r="J434" i="7"/>
  <c r="I434" i="7"/>
  <c r="H434" i="7"/>
  <c r="G434" i="7"/>
  <c r="F434" i="7"/>
  <c r="E434" i="7"/>
  <c r="D434" i="7"/>
  <c r="C434" i="7"/>
  <c r="B434" i="7"/>
  <c r="A434" i="7"/>
  <c r="S433" i="7"/>
  <c r="R433" i="7"/>
  <c r="P433" i="7"/>
  <c r="O433" i="7"/>
  <c r="N433" i="7"/>
  <c r="M433" i="7"/>
  <c r="L433" i="7"/>
  <c r="K433" i="7"/>
  <c r="J433" i="7"/>
  <c r="I433" i="7"/>
  <c r="H433" i="7"/>
  <c r="G433" i="7"/>
  <c r="F433" i="7"/>
  <c r="E433" i="7"/>
  <c r="D433" i="7"/>
  <c r="C433" i="7"/>
  <c r="B433" i="7"/>
  <c r="A433" i="7"/>
  <c r="S432" i="7"/>
  <c r="R432" i="7"/>
  <c r="P432" i="7"/>
  <c r="O432" i="7"/>
  <c r="N432" i="7"/>
  <c r="M432" i="7"/>
  <c r="L432" i="7"/>
  <c r="K432" i="7"/>
  <c r="J432" i="7"/>
  <c r="I432" i="7"/>
  <c r="H432" i="7"/>
  <c r="G432" i="7"/>
  <c r="F432" i="7"/>
  <c r="E432" i="7"/>
  <c r="D432" i="7"/>
  <c r="C432" i="7"/>
  <c r="B432" i="7"/>
  <c r="A432" i="7"/>
  <c r="S431" i="7"/>
  <c r="R431" i="7"/>
  <c r="P431" i="7"/>
  <c r="O431" i="7"/>
  <c r="N431" i="7"/>
  <c r="M431" i="7"/>
  <c r="L431" i="7"/>
  <c r="K431" i="7"/>
  <c r="J431" i="7"/>
  <c r="I431" i="7"/>
  <c r="H431" i="7"/>
  <c r="G431" i="7"/>
  <c r="F431" i="7"/>
  <c r="E431" i="7"/>
  <c r="D431" i="7"/>
  <c r="C431" i="7"/>
  <c r="B431" i="7"/>
  <c r="A431" i="7"/>
  <c r="S430" i="7"/>
  <c r="R430" i="7"/>
  <c r="P430" i="7"/>
  <c r="O430" i="7"/>
  <c r="N430" i="7"/>
  <c r="M430" i="7"/>
  <c r="L430" i="7"/>
  <c r="K430" i="7"/>
  <c r="J430" i="7"/>
  <c r="I430" i="7"/>
  <c r="H430" i="7"/>
  <c r="G430" i="7"/>
  <c r="F430" i="7"/>
  <c r="E430" i="7"/>
  <c r="C430" i="7"/>
  <c r="B430" i="7"/>
  <c r="A430" i="7"/>
  <c r="S429" i="7"/>
  <c r="R429" i="7"/>
  <c r="P429" i="7"/>
  <c r="O429" i="7"/>
  <c r="N429" i="7"/>
  <c r="M429" i="7"/>
  <c r="L429" i="7"/>
  <c r="K429" i="7"/>
  <c r="J429" i="7"/>
  <c r="I429" i="7"/>
  <c r="H429" i="7"/>
  <c r="G429" i="7"/>
  <c r="F429" i="7"/>
  <c r="E429" i="7"/>
  <c r="D429" i="7"/>
  <c r="C429" i="7"/>
  <c r="B429" i="7"/>
  <c r="A429" i="7"/>
  <c r="S428" i="7"/>
  <c r="R428" i="7"/>
  <c r="P428" i="7"/>
  <c r="O428" i="7"/>
  <c r="N428" i="7"/>
  <c r="M428" i="7"/>
  <c r="L428" i="7"/>
  <c r="K428" i="7"/>
  <c r="J428" i="7"/>
  <c r="I428" i="7"/>
  <c r="H428" i="7"/>
  <c r="G428" i="7"/>
  <c r="F428" i="7"/>
  <c r="E428" i="7"/>
  <c r="D428" i="7"/>
  <c r="C428" i="7"/>
  <c r="B428" i="7"/>
  <c r="A428" i="7"/>
  <c r="S427" i="7"/>
  <c r="Q427" i="7"/>
  <c r="P427" i="7"/>
  <c r="O427" i="7"/>
  <c r="N427" i="7"/>
  <c r="M427" i="7"/>
  <c r="L427" i="7"/>
  <c r="K427" i="7"/>
  <c r="J427" i="7"/>
  <c r="I427" i="7"/>
  <c r="H427" i="7"/>
  <c r="G427" i="7"/>
  <c r="F427" i="7"/>
  <c r="E427" i="7"/>
  <c r="D427" i="7"/>
  <c r="C427" i="7"/>
  <c r="B427" i="7"/>
  <c r="A427" i="7"/>
  <c r="S426" i="7"/>
  <c r="R426" i="7"/>
  <c r="P426" i="7"/>
  <c r="O426" i="7"/>
  <c r="N426" i="7"/>
  <c r="M426" i="7"/>
  <c r="L426" i="7"/>
  <c r="K426" i="7"/>
  <c r="J426" i="7"/>
  <c r="I426" i="7"/>
  <c r="H426" i="7"/>
  <c r="G426" i="7"/>
  <c r="F426" i="7"/>
  <c r="E426" i="7"/>
  <c r="D426" i="7"/>
  <c r="C426" i="7"/>
  <c r="B426" i="7"/>
  <c r="A426" i="7"/>
  <c r="S425" i="7"/>
  <c r="R425" i="7"/>
  <c r="P425" i="7"/>
  <c r="O425" i="7"/>
  <c r="N425" i="7"/>
  <c r="M425" i="7"/>
  <c r="L425" i="7"/>
  <c r="K425" i="7"/>
  <c r="J425" i="7"/>
  <c r="I425" i="7"/>
  <c r="H425" i="7"/>
  <c r="G425" i="7"/>
  <c r="F425" i="7"/>
  <c r="E425" i="7"/>
  <c r="D425" i="7"/>
  <c r="C425" i="7"/>
  <c r="B425" i="7"/>
  <c r="A425" i="7"/>
  <c r="S424" i="7"/>
  <c r="R424" i="7"/>
  <c r="P424" i="7"/>
  <c r="O424" i="7"/>
  <c r="N424" i="7"/>
  <c r="M424" i="7"/>
  <c r="L424" i="7"/>
  <c r="K424" i="7"/>
  <c r="J424" i="7"/>
  <c r="I424" i="7"/>
  <c r="H424" i="7"/>
  <c r="G424" i="7"/>
  <c r="F424" i="7"/>
  <c r="E424" i="7"/>
  <c r="D424" i="7"/>
  <c r="C424" i="7"/>
  <c r="B424" i="7"/>
  <c r="A424" i="7"/>
  <c r="S423" i="7"/>
  <c r="R423" i="7"/>
  <c r="Q423" i="7"/>
  <c r="P423" i="7"/>
  <c r="O423" i="7"/>
  <c r="N423" i="7"/>
  <c r="M423" i="7"/>
  <c r="L423" i="7"/>
  <c r="K423" i="7"/>
  <c r="J423" i="7"/>
  <c r="I423" i="7"/>
  <c r="H423" i="7"/>
  <c r="G423" i="7"/>
  <c r="F423" i="7"/>
  <c r="E423" i="7"/>
  <c r="D423" i="7"/>
  <c r="C423" i="7"/>
  <c r="B423" i="7"/>
  <c r="A423" i="7"/>
  <c r="S422" i="7"/>
  <c r="R422" i="7"/>
  <c r="P422" i="7"/>
  <c r="O422" i="7"/>
  <c r="N422" i="7"/>
  <c r="M422" i="7"/>
  <c r="L422" i="7"/>
  <c r="K422" i="7"/>
  <c r="J422" i="7"/>
  <c r="I422" i="7"/>
  <c r="H422" i="7"/>
  <c r="G422" i="7"/>
  <c r="F422" i="7"/>
  <c r="E422" i="7"/>
  <c r="D422" i="7"/>
  <c r="C422" i="7"/>
  <c r="B422" i="7"/>
  <c r="A422" i="7"/>
  <c r="S421" i="7"/>
  <c r="R421" i="7"/>
  <c r="P421" i="7"/>
  <c r="O421" i="7"/>
  <c r="N421" i="7"/>
  <c r="M421" i="7"/>
  <c r="L421" i="7"/>
  <c r="K421" i="7"/>
  <c r="J421" i="7"/>
  <c r="I421" i="7"/>
  <c r="H421" i="7"/>
  <c r="G421" i="7"/>
  <c r="F421" i="7"/>
  <c r="E421" i="7"/>
  <c r="D421" i="7"/>
  <c r="C421" i="7"/>
  <c r="B421" i="7"/>
  <c r="A421" i="7"/>
  <c r="S420" i="7"/>
  <c r="R420" i="7"/>
  <c r="P420" i="7"/>
  <c r="O420" i="7"/>
  <c r="N420" i="7"/>
  <c r="M420" i="7"/>
  <c r="L420" i="7"/>
  <c r="K420" i="7"/>
  <c r="J420" i="7"/>
  <c r="I420" i="7"/>
  <c r="H420" i="7"/>
  <c r="G420" i="7"/>
  <c r="F420" i="7"/>
  <c r="E420" i="7"/>
  <c r="D420" i="7"/>
  <c r="C420" i="7"/>
  <c r="B420" i="7"/>
  <c r="A420" i="7"/>
  <c r="S419" i="7"/>
  <c r="P419" i="7"/>
  <c r="O419" i="7"/>
  <c r="N419" i="7"/>
  <c r="M419" i="7"/>
  <c r="L419" i="7"/>
  <c r="K419" i="7"/>
  <c r="J419" i="7"/>
  <c r="I419" i="7"/>
  <c r="H419" i="7"/>
  <c r="G419" i="7"/>
  <c r="F419" i="7"/>
  <c r="E419" i="7"/>
  <c r="D419" i="7"/>
  <c r="C419" i="7"/>
  <c r="B419" i="7"/>
  <c r="A419" i="7"/>
  <c r="S418" i="7"/>
  <c r="R418" i="7"/>
  <c r="P418" i="7"/>
  <c r="O418" i="7"/>
  <c r="N418" i="7"/>
  <c r="M418" i="7"/>
  <c r="L418" i="7"/>
  <c r="K418" i="7"/>
  <c r="J418" i="7"/>
  <c r="I418" i="7"/>
  <c r="H418" i="7"/>
  <c r="G418" i="7"/>
  <c r="F418" i="7"/>
  <c r="E418" i="7"/>
  <c r="D418" i="7"/>
  <c r="C418" i="7"/>
  <c r="B418" i="7"/>
  <c r="A418" i="7"/>
  <c r="S417" i="7"/>
  <c r="M417" i="7"/>
  <c r="L417" i="7"/>
  <c r="K417" i="7"/>
  <c r="J417" i="7"/>
  <c r="I417" i="7"/>
  <c r="H417" i="7"/>
  <c r="G417" i="7"/>
  <c r="F417" i="7"/>
  <c r="E417" i="7"/>
  <c r="D417" i="7"/>
  <c r="C417" i="7"/>
  <c r="B417" i="7"/>
  <c r="A417" i="7"/>
  <c r="S416" i="7"/>
  <c r="R416" i="7"/>
  <c r="P416" i="7"/>
  <c r="O416" i="7"/>
  <c r="N416" i="7"/>
  <c r="M416" i="7"/>
  <c r="L416" i="7"/>
  <c r="K416" i="7"/>
  <c r="J416" i="7"/>
  <c r="I416" i="7"/>
  <c r="H416" i="7"/>
  <c r="G416" i="7"/>
  <c r="F416" i="7"/>
  <c r="E416" i="7"/>
  <c r="D416" i="7"/>
  <c r="C416" i="7"/>
  <c r="B416" i="7"/>
  <c r="A416" i="7"/>
  <c r="S415" i="7"/>
  <c r="R415" i="7"/>
  <c r="P415" i="7"/>
  <c r="O415" i="7"/>
  <c r="N415" i="7"/>
  <c r="M415" i="7"/>
  <c r="L415" i="7"/>
  <c r="K415" i="7"/>
  <c r="J415" i="7"/>
  <c r="I415" i="7"/>
  <c r="H415" i="7"/>
  <c r="G415" i="7"/>
  <c r="F415" i="7"/>
  <c r="E415" i="7"/>
  <c r="D415" i="7"/>
  <c r="C415" i="7"/>
  <c r="B415" i="7"/>
  <c r="A415" i="7"/>
  <c r="S414" i="7"/>
  <c r="R414" i="7"/>
  <c r="P414" i="7"/>
  <c r="O414" i="7"/>
  <c r="N414" i="7"/>
  <c r="M414" i="7"/>
  <c r="L414" i="7"/>
  <c r="K414" i="7"/>
  <c r="J414" i="7"/>
  <c r="I414" i="7"/>
  <c r="H414" i="7"/>
  <c r="G414" i="7"/>
  <c r="F414" i="7"/>
  <c r="E414" i="7"/>
  <c r="D414" i="7"/>
  <c r="C414" i="7"/>
  <c r="B414" i="7"/>
  <c r="A414" i="7"/>
  <c r="S413" i="7"/>
  <c r="Q413" i="7"/>
  <c r="P413" i="7"/>
  <c r="O413" i="7"/>
  <c r="N413" i="7"/>
  <c r="M413" i="7"/>
  <c r="L413" i="7"/>
  <c r="K413" i="7"/>
  <c r="J413" i="7"/>
  <c r="I413" i="7"/>
  <c r="H413" i="7"/>
  <c r="G413" i="7"/>
  <c r="F413" i="7"/>
  <c r="E413" i="7"/>
  <c r="D413" i="7"/>
  <c r="C413" i="7"/>
  <c r="B413" i="7"/>
  <c r="A413" i="7"/>
  <c r="S412" i="7"/>
  <c r="P412" i="7"/>
  <c r="O412" i="7"/>
  <c r="N412" i="7"/>
  <c r="M412" i="7"/>
  <c r="L412" i="7"/>
  <c r="K412" i="7"/>
  <c r="J412" i="7"/>
  <c r="I412" i="7"/>
  <c r="H412" i="7"/>
  <c r="G412" i="7"/>
  <c r="F412" i="7"/>
  <c r="E412" i="7"/>
  <c r="D412" i="7"/>
  <c r="C412" i="7"/>
  <c r="B412" i="7"/>
  <c r="A412" i="7"/>
  <c r="S411" i="7"/>
  <c r="R411" i="7"/>
  <c r="Q411" i="7"/>
  <c r="P411" i="7"/>
  <c r="O411" i="7"/>
  <c r="N411" i="7"/>
  <c r="M411" i="7"/>
  <c r="L411" i="7"/>
  <c r="K411" i="7"/>
  <c r="J411" i="7"/>
  <c r="I411" i="7"/>
  <c r="H411" i="7"/>
  <c r="G411" i="7"/>
  <c r="F411" i="7"/>
  <c r="E411" i="7"/>
  <c r="D411" i="7"/>
  <c r="C411" i="7"/>
  <c r="B411" i="7"/>
  <c r="A411" i="7"/>
  <c r="S410" i="7"/>
  <c r="R410" i="7"/>
  <c r="Q410" i="7"/>
  <c r="P410" i="7"/>
  <c r="O410" i="7"/>
  <c r="N410" i="7"/>
  <c r="M410" i="7"/>
  <c r="L410" i="7"/>
  <c r="K410" i="7"/>
  <c r="J410" i="7"/>
  <c r="I410" i="7"/>
  <c r="H410" i="7"/>
  <c r="G410" i="7"/>
  <c r="F410" i="7"/>
  <c r="E410" i="7"/>
  <c r="D410" i="7"/>
  <c r="C410" i="7"/>
  <c r="B410" i="7"/>
  <c r="A410" i="7"/>
  <c r="S409" i="7"/>
  <c r="R409" i="7"/>
  <c r="P409" i="7"/>
  <c r="O409" i="7"/>
  <c r="N409" i="7"/>
  <c r="M409" i="7"/>
  <c r="L409" i="7"/>
  <c r="K409" i="7"/>
  <c r="J409" i="7"/>
  <c r="I409" i="7"/>
  <c r="H409" i="7"/>
  <c r="G409" i="7"/>
  <c r="F409" i="7"/>
  <c r="E409" i="7"/>
  <c r="D409" i="7"/>
  <c r="C409" i="7"/>
  <c r="B409" i="7"/>
  <c r="A409" i="7"/>
  <c r="S408" i="7"/>
  <c r="R408" i="7"/>
  <c r="P408" i="7"/>
  <c r="O408" i="7"/>
  <c r="N408" i="7"/>
  <c r="M408" i="7"/>
  <c r="L408" i="7"/>
  <c r="K408" i="7"/>
  <c r="J408" i="7"/>
  <c r="I408" i="7"/>
  <c r="H408" i="7"/>
  <c r="G408" i="7"/>
  <c r="F408" i="7"/>
  <c r="E408" i="7"/>
  <c r="D408" i="7"/>
  <c r="C408" i="7"/>
  <c r="B408" i="7"/>
  <c r="A408" i="7"/>
  <c r="S407" i="7"/>
  <c r="R407" i="7"/>
  <c r="Q407" i="7"/>
  <c r="P407" i="7"/>
  <c r="O407" i="7"/>
  <c r="N407" i="7"/>
  <c r="M407" i="7"/>
  <c r="L407" i="7"/>
  <c r="K407" i="7"/>
  <c r="J407" i="7"/>
  <c r="I407" i="7"/>
  <c r="H407" i="7"/>
  <c r="G407" i="7"/>
  <c r="F407" i="7"/>
  <c r="E407" i="7"/>
  <c r="D407" i="7"/>
  <c r="C407" i="7"/>
  <c r="B407" i="7"/>
  <c r="A407" i="7"/>
  <c r="S406" i="7"/>
  <c r="R406" i="7"/>
  <c r="P406" i="7"/>
  <c r="O406" i="7"/>
  <c r="N406" i="7"/>
  <c r="M406" i="7"/>
  <c r="L406" i="7"/>
  <c r="K406" i="7"/>
  <c r="J406" i="7"/>
  <c r="I406" i="7"/>
  <c r="H406" i="7"/>
  <c r="G406" i="7"/>
  <c r="F406" i="7"/>
  <c r="E406" i="7"/>
  <c r="D406" i="7"/>
  <c r="C406" i="7"/>
  <c r="B406" i="7"/>
  <c r="A406" i="7"/>
  <c r="S405" i="7"/>
  <c r="R405" i="7"/>
  <c r="P405" i="7"/>
  <c r="O405" i="7"/>
  <c r="N405" i="7"/>
  <c r="M405" i="7"/>
  <c r="L405" i="7"/>
  <c r="K405" i="7"/>
  <c r="J405" i="7"/>
  <c r="I405" i="7"/>
  <c r="H405" i="7"/>
  <c r="G405" i="7"/>
  <c r="F405" i="7"/>
  <c r="E405" i="7"/>
  <c r="D405" i="7"/>
  <c r="C405" i="7"/>
  <c r="B405" i="7"/>
  <c r="A405" i="7"/>
  <c r="S404" i="7"/>
  <c r="R404" i="7"/>
  <c r="P404" i="7"/>
  <c r="O404" i="7"/>
  <c r="N404" i="7"/>
  <c r="M404" i="7"/>
  <c r="L404" i="7"/>
  <c r="K404" i="7"/>
  <c r="J404" i="7"/>
  <c r="I404" i="7"/>
  <c r="H404" i="7"/>
  <c r="G404" i="7"/>
  <c r="F404" i="7"/>
  <c r="E404" i="7"/>
  <c r="D404" i="7"/>
  <c r="C404" i="7"/>
  <c r="B404" i="7"/>
  <c r="A404" i="7"/>
  <c r="S403" i="7"/>
  <c r="R403" i="7"/>
  <c r="Q403" i="7"/>
  <c r="P403" i="7"/>
  <c r="O403" i="7"/>
  <c r="N403" i="7"/>
  <c r="M403" i="7"/>
  <c r="L403" i="7"/>
  <c r="K403" i="7"/>
  <c r="J403" i="7"/>
  <c r="I403" i="7"/>
  <c r="H403" i="7"/>
  <c r="G403" i="7"/>
  <c r="F403" i="7"/>
  <c r="E403" i="7"/>
  <c r="D403" i="7"/>
  <c r="C403" i="7"/>
  <c r="B403" i="7"/>
  <c r="A403" i="7"/>
  <c r="S402" i="7"/>
  <c r="R402" i="7"/>
  <c r="P402" i="7"/>
  <c r="O402" i="7"/>
  <c r="N402" i="7"/>
  <c r="M402" i="7"/>
  <c r="L402" i="7"/>
  <c r="K402" i="7"/>
  <c r="J402" i="7"/>
  <c r="I402" i="7"/>
  <c r="H402" i="7"/>
  <c r="G402" i="7"/>
  <c r="F402" i="7"/>
  <c r="E402" i="7"/>
  <c r="D402" i="7"/>
  <c r="C402" i="7"/>
  <c r="B402" i="7"/>
  <c r="A402" i="7"/>
  <c r="S401" i="7"/>
  <c r="R401" i="7"/>
  <c r="P401" i="7"/>
  <c r="O401" i="7"/>
  <c r="N401" i="7"/>
  <c r="M401" i="7"/>
  <c r="L401" i="7"/>
  <c r="K401" i="7"/>
  <c r="J401" i="7"/>
  <c r="I401" i="7"/>
  <c r="H401" i="7"/>
  <c r="G401" i="7"/>
  <c r="F401" i="7"/>
  <c r="E401" i="7"/>
  <c r="D401" i="7"/>
  <c r="C401" i="7"/>
  <c r="B401" i="7"/>
  <c r="A401" i="7"/>
  <c r="S400" i="7"/>
  <c r="R400" i="7"/>
  <c r="P400" i="7"/>
  <c r="O400" i="7"/>
  <c r="N400" i="7"/>
  <c r="M400" i="7"/>
  <c r="L400" i="7"/>
  <c r="K400" i="7"/>
  <c r="J400" i="7"/>
  <c r="I400" i="7"/>
  <c r="H400" i="7"/>
  <c r="G400" i="7"/>
  <c r="F400" i="7"/>
  <c r="E400" i="7"/>
  <c r="D400" i="7"/>
  <c r="C400" i="7"/>
  <c r="B400" i="7"/>
  <c r="A400" i="7"/>
  <c r="S399" i="7"/>
  <c r="P399" i="7"/>
  <c r="O399" i="7"/>
  <c r="N399" i="7"/>
  <c r="M399" i="7"/>
  <c r="L399" i="7"/>
  <c r="K399" i="7"/>
  <c r="J399" i="7"/>
  <c r="I399" i="7"/>
  <c r="H399" i="7"/>
  <c r="G399" i="7"/>
  <c r="F399" i="7"/>
  <c r="E399" i="7"/>
  <c r="D399" i="7"/>
  <c r="C399" i="7"/>
  <c r="B399" i="7"/>
  <c r="A399" i="7"/>
  <c r="S398" i="7"/>
  <c r="R398" i="7"/>
  <c r="P398" i="7"/>
  <c r="O398" i="7"/>
  <c r="N398" i="7"/>
  <c r="M398" i="7"/>
  <c r="L398" i="7"/>
  <c r="K398" i="7"/>
  <c r="J398" i="7"/>
  <c r="I398" i="7"/>
  <c r="H398" i="7"/>
  <c r="G398" i="7"/>
  <c r="F398" i="7"/>
  <c r="E398" i="7"/>
  <c r="D398" i="7"/>
  <c r="C398" i="7"/>
  <c r="B398" i="7"/>
  <c r="A398" i="7"/>
  <c r="S397" i="7"/>
  <c r="P397" i="7"/>
  <c r="O397" i="7"/>
  <c r="N397" i="7"/>
  <c r="M397" i="7"/>
  <c r="L397" i="7"/>
  <c r="K397" i="7"/>
  <c r="J397" i="7"/>
  <c r="I397" i="7"/>
  <c r="H397" i="7"/>
  <c r="G397" i="7"/>
  <c r="F397" i="7"/>
  <c r="E397" i="7"/>
  <c r="D397" i="7"/>
  <c r="C397" i="7"/>
  <c r="B397" i="7"/>
  <c r="A397" i="7"/>
  <c r="S396" i="7"/>
  <c r="R396" i="7"/>
  <c r="Q396" i="7"/>
  <c r="P396" i="7"/>
  <c r="O396" i="7"/>
  <c r="N396" i="7"/>
  <c r="M396" i="7"/>
  <c r="L396" i="7"/>
  <c r="K396" i="7"/>
  <c r="J396" i="7"/>
  <c r="I396" i="7"/>
  <c r="H396" i="7"/>
  <c r="G396" i="7"/>
  <c r="F396" i="7"/>
  <c r="E396" i="7"/>
  <c r="D396" i="7"/>
  <c r="C396" i="7"/>
  <c r="B396" i="7"/>
  <c r="A396" i="7"/>
  <c r="S395" i="7"/>
  <c r="R395" i="7"/>
  <c r="Q395" i="7"/>
  <c r="P395" i="7"/>
  <c r="O395" i="7"/>
  <c r="N395" i="7"/>
  <c r="M395" i="7"/>
  <c r="L395" i="7"/>
  <c r="K395" i="7"/>
  <c r="J395" i="7"/>
  <c r="I395" i="7"/>
  <c r="H395" i="7"/>
  <c r="G395" i="7"/>
  <c r="F395" i="7"/>
  <c r="E395" i="7"/>
  <c r="D395" i="7"/>
  <c r="C395" i="7"/>
  <c r="B395" i="7"/>
  <c r="A395" i="7"/>
  <c r="S394" i="7"/>
  <c r="R394" i="7"/>
  <c r="P394" i="7"/>
  <c r="O394" i="7"/>
  <c r="N394" i="7"/>
  <c r="M394" i="7"/>
  <c r="L394" i="7"/>
  <c r="K394" i="7"/>
  <c r="J394" i="7"/>
  <c r="I394" i="7"/>
  <c r="H394" i="7"/>
  <c r="G394" i="7"/>
  <c r="F394" i="7"/>
  <c r="E394" i="7"/>
  <c r="D394" i="7"/>
  <c r="C394" i="7"/>
  <c r="B394" i="7"/>
  <c r="A394" i="7"/>
  <c r="S393" i="7"/>
  <c r="R393" i="7"/>
  <c r="P393" i="7"/>
  <c r="O393" i="7"/>
  <c r="N393" i="7"/>
  <c r="M393" i="7"/>
  <c r="L393" i="7"/>
  <c r="K393" i="7"/>
  <c r="J393" i="7"/>
  <c r="I393" i="7"/>
  <c r="H393" i="7"/>
  <c r="G393" i="7"/>
  <c r="F393" i="7"/>
  <c r="E393" i="7"/>
  <c r="D393" i="7"/>
  <c r="C393" i="7"/>
  <c r="B393" i="7"/>
  <c r="A393" i="7"/>
  <c r="S392" i="7"/>
  <c r="R392" i="7"/>
  <c r="P392" i="7"/>
  <c r="O392" i="7"/>
  <c r="N392" i="7"/>
  <c r="M392" i="7"/>
  <c r="L392" i="7"/>
  <c r="K392" i="7"/>
  <c r="J392" i="7"/>
  <c r="I392" i="7"/>
  <c r="H392" i="7"/>
  <c r="G392" i="7"/>
  <c r="F392" i="7"/>
  <c r="E392" i="7"/>
  <c r="D392" i="7"/>
  <c r="C392" i="7"/>
  <c r="B392" i="7"/>
  <c r="A392" i="7"/>
  <c r="S391" i="7"/>
  <c r="R391" i="7"/>
  <c r="P391" i="7"/>
  <c r="O391" i="7"/>
  <c r="N391" i="7"/>
  <c r="M391" i="7"/>
  <c r="L391" i="7"/>
  <c r="K391" i="7"/>
  <c r="J391" i="7"/>
  <c r="I391" i="7"/>
  <c r="H391" i="7"/>
  <c r="G391" i="7"/>
  <c r="F391" i="7"/>
  <c r="E391" i="7"/>
  <c r="D391" i="7"/>
  <c r="C391" i="7"/>
  <c r="B391" i="7"/>
  <c r="A391" i="7"/>
  <c r="S390" i="7"/>
  <c r="R390" i="7"/>
  <c r="P390" i="7"/>
  <c r="O390" i="7"/>
  <c r="N390" i="7"/>
  <c r="M390" i="7"/>
  <c r="L390" i="7"/>
  <c r="K390" i="7"/>
  <c r="J390" i="7"/>
  <c r="I390" i="7"/>
  <c r="H390" i="7"/>
  <c r="G390" i="7"/>
  <c r="F390" i="7"/>
  <c r="E390" i="7"/>
  <c r="D390" i="7"/>
  <c r="C390" i="7"/>
  <c r="B390" i="7"/>
  <c r="A390" i="7"/>
  <c r="S389" i="7"/>
  <c r="R389" i="7"/>
  <c r="P389" i="7"/>
  <c r="O389" i="7"/>
  <c r="N389" i="7"/>
  <c r="M389" i="7"/>
  <c r="L389" i="7"/>
  <c r="K389" i="7"/>
  <c r="J389" i="7"/>
  <c r="I389" i="7"/>
  <c r="H389" i="7"/>
  <c r="G389" i="7"/>
  <c r="F389" i="7"/>
  <c r="E389" i="7"/>
  <c r="C389" i="7"/>
  <c r="B389" i="7"/>
  <c r="A389" i="7"/>
  <c r="S388" i="7"/>
  <c r="R388" i="7"/>
  <c r="P388" i="7"/>
  <c r="O388" i="7"/>
  <c r="N388" i="7"/>
  <c r="M388" i="7"/>
  <c r="L388" i="7"/>
  <c r="K388" i="7"/>
  <c r="J388" i="7"/>
  <c r="I388" i="7"/>
  <c r="H388" i="7"/>
  <c r="G388" i="7"/>
  <c r="F388" i="7"/>
  <c r="E388" i="7"/>
  <c r="D388" i="7"/>
  <c r="C388" i="7"/>
  <c r="B388" i="7"/>
  <c r="A388" i="7"/>
  <c r="S387" i="7"/>
  <c r="R387" i="7"/>
  <c r="P387" i="7"/>
  <c r="O387" i="7"/>
  <c r="N387" i="7"/>
  <c r="M387" i="7"/>
  <c r="L387" i="7"/>
  <c r="K387" i="7"/>
  <c r="J387" i="7"/>
  <c r="I387" i="7"/>
  <c r="H387" i="7"/>
  <c r="G387" i="7"/>
  <c r="F387" i="7"/>
  <c r="E387" i="7"/>
  <c r="D387" i="7"/>
  <c r="C387" i="7"/>
  <c r="B387" i="7"/>
  <c r="A387" i="7"/>
  <c r="S386" i="7"/>
  <c r="R386" i="7"/>
  <c r="Q386" i="7"/>
  <c r="P386" i="7"/>
  <c r="O386" i="7"/>
  <c r="N386" i="7"/>
  <c r="M386" i="7"/>
  <c r="L386" i="7"/>
  <c r="K386" i="7"/>
  <c r="J386" i="7"/>
  <c r="I386" i="7"/>
  <c r="H386" i="7"/>
  <c r="G386" i="7"/>
  <c r="F386" i="7"/>
  <c r="E386" i="7"/>
  <c r="D386" i="7"/>
  <c r="C386" i="7"/>
  <c r="B386" i="7"/>
  <c r="A386" i="7"/>
  <c r="S385" i="7"/>
  <c r="R385" i="7"/>
  <c r="Q385" i="7"/>
  <c r="P385" i="7"/>
  <c r="O385" i="7"/>
  <c r="N385" i="7"/>
  <c r="M385" i="7"/>
  <c r="L385" i="7"/>
  <c r="K385" i="7"/>
  <c r="J385" i="7"/>
  <c r="I385" i="7"/>
  <c r="H385" i="7"/>
  <c r="G385" i="7"/>
  <c r="F385" i="7"/>
  <c r="E385" i="7"/>
  <c r="D385" i="7"/>
  <c r="C385" i="7"/>
  <c r="B385" i="7"/>
  <c r="A385" i="7"/>
  <c r="S384" i="7"/>
  <c r="R384" i="7"/>
  <c r="P384" i="7"/>
  <c r="O384" i="7"/>
  <c r="N384" i="7"/>
  <c r="M384" i="7"/>
  <c r="L384" i="7"/>
  <c r="K384" i="7"/>
  <c r="J384" i="7"/>
  <c r="I384" i="7"/>
  <c r="H384" i="7"/>
  <c r="G384" i="7"/>
  <c r="F384" i="7"/>
  <c r="E384" i="7"/>
  <c r="D384" i="7"/>
  <c r="C384" i="7"/>
  <c r="B384" i="7"/>
  <c r="A384" i="7"/>
  <c r="S383" i="7"/>
  <c r="R383" i="7"/>
  <c r="P383" i="7"/>
  <c r="O383" i="7"/>
  <c r="N383" i="7"/>
  <c r="M383" i="7"/>
  <c r="L383" i="7"/>
  <c r="K383" i="7"/>
  <c r="J383" i="7"/>
  <c r="I383" i="7"/>
  <c r="H383" i="7"/>
  <c r="G383" i="7"/>
  <c r="F383" i="7"/>
  <c r="E383" i="7"/>
  <c r="D383" i="7"/>
  <c r="C383" i="7"/>
  <c r="B383" i="7"/>
  <c r="A383" i="7"/>
  <c r="S382" i="7"/>
  <c r="R382" i="7"/>
  <c r="P382" i="7"/>
  <c r="O382" i="7"/>
  <c r="N382" i="7"/>
  <c r="M382" i="7"/>
  <c r="L382" i="7"/>
  <c r="K382" i="7"/>
  <c r="J382" i="7"/>
  <c r="I382" i="7"/>
  <c r="H382" i="7"/>
  <c r="G382" i="7"/>
  <c r="F382" i="7"/>
  <c r="E382" i="7"/>
  <c r="D382" i="7"/>
  <c r="C382" i="7"/>
  <c r="B382" i="7"/>
  <c r="A382" i="7"/>
  <c r="S381" i="7"/>
  <c r="R381" i="7"/>
  <c r="Q381" i="7"/>
  <c r="P381" i="7"/>
  <c r="O381" i="7"/>
  <c r="N381" i="7"/>
  <c r="M381" i="7"/>
  <c r="L381" i="7"/>
  <c r="K381" i="7"/>
  <c r="J381" i="7"/>
  <c r="I381" i="7"/>
  <c r="H381" i="7"/>
  <c r="G381" i="7"/>
  <c r="F381" i="7"/>
  <c r="E381" i="7"/>
  <c r="D381" i="7"/>
  <c r="C381" i="7"/>
  <c r="B381" i="7"/>
  <c r="A381" i="7"/>
  <c r="S380" i="7"/>
  <c r="R380" i="7"/>
  <c r="P380" i="7"/>
  <c r="O380" i="7"/>
  <c r="N380" i="7"/>
  <c r="M380" i="7"/>
  <c r="L380" i="7"/>
  <c r="K380" i="7"/>
  <c r="J380" i="7"/>
  <c r="I380" i="7"/>
  <c r="H380" i="7"/>
  <c r="G380" i="7"/>
  <c r="F380" i="7"/>
  <c r="E380" i="7"/>
  <c r="D380" i="7"/>
  <c r="C380" i="7"/>
  <c r="B380" i="7"/>
  <c r="A380" i="7"/>
  <c r="S379" i="7"/>
  <c r="R379" i="7"/>
  <c r="Q379" i="7"/>
  <c r="P379" i="7"/>
  <c r="O379" i="7"/>
  <c r="N379" i="7"/>
  <c r="M379" i="7"/>
  <c r="L379" i="7"/>
  <c r="K379" i="7"/>
  <c r="J379" i="7"/>
  <c r="I379" i="7"/>
  <c r="H379" i="7"/>
  <c r="G379" i="7"/>
  <c r="F379" i="7"/>
  <c r="E379" i="7"/>
  <c r="D379" i="7"/>
  <c r="C379" i="7"/>
  <c r="B379" i="7"/>
  <c r="A379" i="7"/>
  <c r="S378" i="7"/>
  <c r="R378" i="7"/>
  <c r="P378" i="7"/>
  <c r="O378" i="7"/>
  <c r="N378" i="7"/>
  <c r="M378" i="7"/>
  <c r="L378" i="7"/>
  <c r="K378" i="7"/>
  <c r="J378" i="7"/>
  <c r="I378" i="7"/>
  <c r="H378" i="7"/>
  <c r="G378" i="7"/>
  <c r="F378" i="7"/>
  <c r="E378" i="7"/>
  <c r="D378" i="7"/>
  <c r="C378" i="7"/>
  <c r="B378" i="7"/>
  <c r="A378" i="7"/>
  <c r="S377" i="7"/>
  <c r="R377" i="7"/>
  <c r="P377" i="7"/>
  <c r="O377" i="7"/>
  <c r="N377" i="7"/>
  <c r="M377" i="7"/>
  <c r="L377" i="7"/>
  <c r="K377" i="7"/>
  <c r="J377" i="7"/>
  <c r="I377" i="7"/>
  <c r="H377" i="7"/>
  <c r="G377" i="7"/>
  <c r="F377" i="7"/>
  <c r="E377" i="7"/>
  <c r="D377" i="7"/>
  <c r="C377" i="7"/>
  <c r="B377" i="7"/>
  <c r="A377" i="7"/>
  <c r="S376" i="7"/>
  <c r="P376" i="7"/>
  <c r="O376" i="7"/>
  <c r="N376" i="7"/>
  <c r="M376" i="7"/>
  <c r="L376" i="7"/>
  <c r="K376" i="7"/>
  <c r="J376" i="7"/>
  <c r="I376" i="7"/>
  <c r="H376" i="7"/>
  <c r="G376" i="7"/>
  <c r="F376" i="7"/>
  <c r="E376" i="7"/>
  <c r="D376" i="7"/>
  <c r="C376" i="7"/>
  <c r="B376" i="7"/>
  <c r="A376" i="7"/>
  <c r="S375" i="7"/>
  <c r="R375" i="7"/>
  <c r="Q375" i="7"/>
  <c r="P375" i="7"/>
  <c r="O375" i="7"/>
  <c r="N375" i="7"/>
  <c r="M375" i="7"/>
  <c r="L375" i="7"/>
  <c r="K375" i="7"/>
  <c r="J375" i="7"/>
  <c r="I375" i="7"/>
  <c r="H375" i="7"/>
  <c r="G375" i="7"/>
  <c r="F375" i="7"/>
  <c r="E375" i="7"/>
  <c r="D375" i="7"/>
  <c r="C375" i="7"/>
  <c r="B375" i="7"/>
  <c r="A375" i="7"/>
  <c r="S374" i="7"/>
  <c r="R374" i="7"/>
  <c r="Q374" i="7"/>
  <c r="P374" i="7"/>
  <c r="O374" i="7"/>
  <c r="N374" i="7"/>
  <c r="M374" i="7"/>
  <c r="L374" i="7"/>
  <c r="K374" i="7"/>
  <c r="J374" i="7"/>
  <c r="I374" i="7"/>
  <c r="H374" i="7"/>
  <c r="G374" i="7"/>
  <c r="F374" i="7"/>
  <c r="E374" i="7"/>
  <c r="D374" i="7"/>
  <c r="C374" i="7"/>
  <c r="B374" i="7"/>
  <c r="A374" i="7"/>
  <c r="S373" i="7"/>
  <c r="M373" i="7"/>
  <c r="L373" i="7"/>
  <c r="K373" i="7"/>
  <c r="J373" i="7"/>
  <c r="I373" i="7"/>
  <c r="H373" i="7"/>
  <c r="G373" i="7"/>
  <c r="F373" i="7"/>
  <c r="E373" i="7"/>
  <c r="D373" i="7"/>
  <c r="C373" i="7"/>
  <c r="B373" i="7"/>
  <c r="A373" i="7"/>
  <c r="S372" i="7"/>
  <c r="R372" i="7"/>
  <c r="Q372" i="7"/>
  <c r="P372" i="7"/>
  <c r="O372" i="7"/>
  <c r="N372" i="7"/>
  <c r="M372" i="7"/>
  <c r="L372" i="7"/>
  <c r="K372" i="7"/>
  <c r="J372" i="7"/>
  <c r="I372" i="7"/>
  <c r="H372" i="7"/>
  <c r="G372" i="7"/>
  <c r="F372" i="7"/>
  <c r="E372" i="7"/>
  <c r="D372" i="7"/>
  <c r="C372" i="7"/>
  <c r="B372" i="7"/>
  <c r="A372" i="7"/>
  <c r="S371" i="7"/>
  <c r="R371" i="7"/>
  <c r="P371" i="7"/>
  <c r="O371" i="7"/>
  <c r="N371" i="7"/>
  <c r="M371" i="7"/>
  <c r="L371" i="7"/>
  <c r="K371" i="7"/>
  <c r="J371" i="7"/>
  <c r="I371" i="7"/>
  <c r="H371" i="7"/>
  <c r="G371" i="7"/>
  <c r="F371" i="7"/>
  <c r="E371" i="7"/>
  <c r="D371" i="7"/>
  <c r="C371" i="7"/>
  <c r="B371" i="7"/>
  <c r="A371" i="7"/>
  <c r="S370" i="7"/>
  <c r="R370" i="7"/>
  <c r="P370" i="7"/>
  <c r="O370" i="7"/>
  <c r="N370" i="7"/>
  <c r="M370" i="7"/>
  <c r="L370" i="7"/>
  <c r="K370" i="7"/>
  <c r="J370" i="7"/>
  <c r="I370" i="7"/>
  <c r="H370" i="7"/>
  <c r="G370" i="7"/>
  <c r="F370" i="7"/>
  <c r="E370" i="7"/>
  <c r="D370" i="7"/>
  <c r="C370" i="7"/>
  <c r="B370" i="7"/>
  <c r="A370" i="7"/>
  <c r="S369" i="7"/>
  <c r="R369" i="7"/>
  <c r="P369" i="7"/>
  <c r="O369" i="7"/>
  <c r="N369" i="7"/>
  <c r="M369" i="7"/>
  <c r="L369" i="7"/>
  <c r="K369" i="7"/>
  <c r="J369" i="7"/>
  <c r="I369" i="7"/>
  <c r="H369" i="7"/>
  <c r="G369" i="7"/>
  <c r="F369" i="7"/>
  <c r="E369" i="7"/>
  <c r="D369" i="7"/>
  <c r="C369" i="7"/>
  <c r="B369" i="7"/>
  <c r="A369" i="7"/>
  <c r="S368" i="7"/>
  <c r="R368" i="7"/>
  <c r="P368" i="7"/>
  <c r="O368" i="7"/>
  <c r="N368" i="7"/>
  <c r="M368" i="7"/>
  <c r="L368" i="7"/>
  <c r="K368" i="7"/>
  <c r="J368" i="7"/>
  <c r="I368" i="7"/>
  <c r="H368" i="7"/>
  <c r="G368" i="7"/>
  <c r="F368" i="7"/>
  <c r="E368" i="7"/>
  <c r="D368" i="7"/>
  <c r="C368" i="7"/>
  <c r="B368" i="7"/>
  <c r="A368" i="7"/>
  <c r="S367" i="7"/>
  <c r="R367" i="7"/>
  <c r="P367" i="7"/>
  <c r="O367" i="7"/>
  <c r="N367" i="7"/>
  <c r="M367" i="7"/>
  <c r="L367" i="7"/>
  <c r="K367" i="7"/>
  <c r="J367" i="7"/>
  <c r="I367" i="7"/>
  <c r="H367" i="7"/>
  <c r="G367" i="7"/>
  <c r="F367" i="7"/>
  <c r="E367" i="7"/>
  <c r="D367" i="7"/>
  <c r="C367" i="7"/>
  <c r="B367" i="7"/>
  <c r="A367" i="7"/>
  <c r="S366" i="7"/>
  <c r="R366" i="7"/>
  <c r="Q366" i="7"/>
  <c r="P366" i="7"/>
  <c r="O366" i="7"/>
  <c r="N366" i="7"/>
  <c r="M366" i="7"/>
  <c r="L366" i="7"/>
  <c r="K366" i="7"/>
  <c r="J366" i="7"/>
  <c r="I366" i="7"/>
  <c r="H366" i="7"/>
  <c r="G366" i="7"/>
  <c r="F366" i="7"/>
  <c r="E366" i="7"/>
  <c r="D366" i="7"/>
  <c r="C366" i="7"/>
  <c r="B366" i="7"/>
  <c r="A366" i="7"/>
  <c r="S365" i="7"/>
  <c r="R365" i="7"/>
  <c r="P365" i="7"/>
  <c r="O365" i="7"/>
  <c r="N365" i="7"/>
  <c r="M365" i="7"/>
  <c r="L365" i="7"/>
  <c r="K365" i="7"/>
  <c r="J365" i="7"/>
  <c r="I365" i="7"/>
  <c r="H365" i="7"/>
  <c r="G365" i="7"/>
  <c r="F365" i="7"/>
  <c r="E365" i="7"/>
  <c r="D365" i="7"/>
  <c r="C365" i="7"/>
  <c r="B365" i="7"/>
  <c r="A365" i="7"/>
  <c r="S364" i="7"/>
  <c r="R364" i="7"/>
  <c r="P364" i="7"/>
  <c r="O364" i="7"/>
  <c r="N364" i="7"/>
  <c r="M364" i="7"/>
  <c r="L364" i="7"/>
  <c r="K364" i="7"/>
  <c r="J364" i="7"/>
  <c r="I364" i="7"/>
  <c r="H364" i="7"/>
  <c r="G364" i="7"/>
  <c r="F364" i="7"/>
  <c r="E364" i="7"/>
  <c r="D364" i="7"/>
  <c r="C364" i="7"/>
  <c r="B364" i="7"/>
  <c r="A364" i="7"/>
  <c r="S363" i="7"/>
  <c r="R363" i="7"/>
  <c r="P363" i="7"/>
  <c r="O363" i="7"/>
  <c r="N363" i="7"/>
  <c r="M363" i="7"/>
  <c r="L363" i="7"/>
  <c r="K363" i="7"/>
  <c r="J363" i="7"/>
  <c r="I363" i="7"/>
  <c r="H363" i="7"/>
  <c r="G363" i="7"/>
  <c r="F363" i="7"/>
  <c r="E363" i="7"/>
  <c r="D363" i="7"/>
  <c r="C363" i="7"/>
  <c r="B363" i="7"/>
  <c r="A363" i="7"/>
  <c r="S362" i="7"/>
  <c r="R362" i="7"/>
  <c r="P362" i="7"/>
  <c r="O362" i="7"/>
  <c r="N362" i="7"/>
  <c r="M362" i="7"/>
  <c r="L362" i="7"/>
  <c r="K362" i="7"/>
  <c r="J362" i="7"/>
  <c r="I362" i="7"/>
  <c r="H362" i="7"/>
  <c r="G362" i="7"/>
  <c r="F362" i="7"/>
  <c r="E362" i="7"/>
  <c r="D362" i="7"/>
  <c r="C362" i="7"/>
  <c r="B362" i="7"/>
  <c r="A362" i="7"/>
  <c r="S361" i="7"/>
  <c r="R361" i="7"/>
  <c r="P361" i="7"/>
  <c r="O361" i="7"/>
  <c r="N361" i="7"/>
  <c r="M361" i="7"/>
  <c r="L361" i="7"/>
  <c r="K361" i="7"/>
  <c r="J361" i="7"/>
  <c r="I361" i="7"/>
  <c r="H361" i="7"/>
  <c r="G361" i="7"/>
  <c r="F361" i="7"/>
  <c r="E361" i="7"/>
  <c r="D361" i="7"/>
  <c r="C361" i="7"/>
  <c r="B361" i="7"/>
  <c r="A361" i="7"/>
  <c r="S360" i="7"/>
  <c r="P360" i="7"/>
  <c r="O360" i="7"/>
  <c r="N360" i="7"/>
  <c r="M360" i="7"/>
  <c r="L360" i="7"/>
  <c r="K360" i="7"/>
  <c r="J360" i="7"/>
  <c r="I360" i="7"/>
  <c r="H360" i="7"/>
  <c r="G360" i="7"/>
  <c r="F360" i="7"/>
  <c r="E360" i="7"/>
  <c r="D360" i="7"/>
  <c r="C360" i="7"/>
  <c r="B360" i="7"/>
  <c r="A360" i="7"/>
  <c r="S359" i="7"/>
  <c r="R359" i="7"/>
  <c r="P359" i="7"/>
  <c r="O359" i="7"/>
  <c r="N359" i="7"/>
  <c r="M359" i="7"/>
  <c r="L359" i="7"/>
  <c r="K359" i="7"/>
  <c r="J359" i="7"/>
  <c r="I359" i="7"/>
  <c r="H359" i="7"/>
  <c r="G359" i="7"/>
  <c r="F359" i="7"/>
  <c r="E359" i="7"/>
  <c r="D359" i="7"/>
  <c r="C359" i="7"/>
  <c r="B359" i="7"/>
  <c r="A359" i="7"/>
  <c r="S358" i="7"/>
  <c r="M358" i="7"/>
  <c r="L358" i="7"/>
  <c r="K358" i="7"/>
  <c r="J358" i="7"/>
  <c r="I358" i="7"/>
  <c r="H358" i="7"/>
  <c r="G358" i="7"/>
  <c r="F358" i="7"/>
  <c r="E358" i="7"/>
  <c r="D358" i="7"/>
  <c r="C358" i="7"/>
  <c r="B358" i="7"/>
  <c r="A358" i="7"/>
  <c r="S357" i="7"/>
  <c r="M357" i="7"/>
  <c r="L357" i="7"/>
  <c r="K357" i="7"/>
  <c r="J357" i="7"/>
  <c r="I357" i="7"/>
  <c r="H357" i="7"/>
  <c r="G357" i="7"/>
  <c r="F357" i="7"/>
  <c r="E357" i="7"/>
  <c r="D357" i="7"/>
  <c r="C357" i="7"/>
  <c r="B357" i="7"/>
  <c r="A357" i="7"/>
  <c r="S356" i="7"/>
  <c r="R356" i="7"/>
  <c r="P356" i="7"/>
  <c r="O356" i="7"/>
  <c r="N356" i="7"/>
  <c r="M356" i="7"/>
  <c r="L356" i="7"/>
  <c r="K356" i="7"/>
  <c r="J356" i="7"/>
  <c r="I356" i="7"/>
  <c r="H356" i="7"/>
  <c r="G356" i="7"/>
  <c r="F356" i="7"/>
  <c r="E356" i="7"/>
  <c r="D356" i="7"/>
  <c r="C356" i="7"/>
  <c r="B356" i="7"/>
  <c r="A356" i="7"/>
  <c r="S355" i="7"/>
  <c r="R355" i="7"/>
  <c r="P355" i="7"/>
  <c r="O355" i="7"/>
  <c r="N355" i="7"/>
  <c r="M355" i="7"/>
  <c r="L355" i="7"/>
  <c r="K355" i="7"/>
  <c r="J355" i="7"/>
  <c r="I355" i="7"/>
  <c r="H355" i="7"/>
  <c r="G355" i="7"/>
  <c r="F355" i="7"/>
  <c r="E355" i="7"/>
  <c r="D355" i="7"/>
  <c r="C355" i="7"/>
  <c r="B355" i="7"/>
  <c r="A355" i="7"/>
  <c r="S354" i="7"/>
  <c r="R354" i="7"/>
  <c r="P354" i="7"/>
  <c r="O354" i="7"/>
  <c r="N354" i="7"/>
  <c r="M354" i="7"/>
  <c r="L354" i="7"/>
  <c r="K354" i="7"/>
  <c r="J354" i="7"/>
  <c r="I354" i="7"/>
  <c r="H354" i="7"/>
  <c r="G354" i="7"/>
  <c r="F354" i="7"/>
  <c r="E354" i="7"/>
  <c r="D354" i="7"/>
  <c r="C354" i="7"/>
  <c r="B354" i="7"/>
  <c r="A354" i="7"/>
  <c r="S353" i="7"/>
  <c r="R353" i="7"/>
  <c r="Q353" i="7"/>
  <c r="P353" i="7"/>
  <c r="O353" i="7"/>
  <c r="N353" i="7"/>
  <c r="M353" i="7"/>
  <c r="L353" i="7"/>
  <c r="K353" i="7"/>
  <c r="J353" i="7"/>
  <c r="I353" i="7"/>
  <c r="H353" i="7"/>
  <c r="G353" i="7"/>
  <c r="F353" i="7"/>
  <c r="E353" i="7"/>
  <c r="D353" i="7"/>
  <c r="C353" i="7"/>
  <c r="B353" i="7"/>
  <c r="A353" i="7"/>
  <c r="S352" i="7"/>
  <c r="R352" i="7"/>
  <c r="Q352" i="7"/>
  <c r="P352" i="7"/>
  <c r="O352" i="7"/>
  <c r="N352" i="7"/>
  <c r="M352" i="7"/>
  <c r="L352" i="7"/>
  <c r="K352" i="7"/>
  <c r="J352" i="7"/>
  <c r="I352" i="7"/>
  <c r="H352" i="7"/>
  <c r="G352" i="7"/>
  <c r="F352" i="7"/>
  <c r="E352" i="7"/>
  <c r="D352" i="7"/>
  <c r="C352" i="7"/>
  <c r="B352" i="7"/>
  <c r="A352" i="7"/>
  <c r="S351" i="7"/>
  <c r="R351" i="7"/>
  <c r="P351" i="7"/>
  <c r="O351" i="7"/>
  <c r="N351" i="7"/>
  <c r="M351" i="7"/>
  <c r="L351" i="7"/>
  <c r="K351" i="7"/>
  <c r="J351" i="7"/>
  <c r="I351" i="7"/>
  <c r="H351" i="7"/>
  <c r="G351" i="7"/>
  <c r="F351" i="7"/>
  <c r="E351" i="7"/>
  <c r="D351" i="7"/>
  <c r="C351" i="7"/>
  <c r="B351" i="7"/>
  <c r="A351" i="7"/>
  <c r="S350" i="7"/>
  <c r="R350" i="7"/>
  <c r="P350" i="7"/>
  <c r="O350" i="7"/>
  <c r="N350" i="7"/>
  <c r="M350" i="7"/>
  <c r="L350" i="7"/>
  <c r="K350" i="7"/>
  <c r="J350" i="7"/>
  <c r="I350" i="7"/>
  <c r="H350" i="7"/>
  <c r="G350" i="7"/>
  <c r="F350" i="7"/>
  <c r="E350" i="7"/>
  <c r="D350" i="7"/>
  <c r="C350" i="7"/>
  <c r="B350" i="7"/>
  <c r="A350" i="7"/>
  <c r="S349" i="7"/>
  <c r="R349" i="7"/>
  <c r="P349" i="7"/>
  <c r="O349" i="7"/>
  <c r="N349" i="7"/>
  <c r="M349" i="7"/>
  <c r="L349" i="7"/>
  <c r="K349" i="7"/>
  <c r="J349" i="7"/>
  <c r="I349" i="7"/>
  <c r="H349" i="7"/>
  <c r="G349" i="7"/>
  <c r="F349" i="7"/>
  <c r="E349" i="7"/>
  <c r="D349" i="7"/>
  <c r="C349" i="7"/>
  <c r="B349" i="7"/>
  <c r="A349" i="7"/>
  <c r="S348" i="7"/>
  <c r="R348" i="7"/>
  <c r="P348" i="7"/>
  <c r="O348" i="7"/>
  <c r="N348" i="7"/>
  <c r="M348" i="7"/>
  <c r="L348" i="7"/>
  <c r="K348" i="7"/>
  <c r="J348" i="7"/>
  <c r="I348" i="7"/>
  <c r="H348" i="7"/>
  <c r="G348" i="7"/>
  <c r="F348" i="7"/>
  <c r="E348" i="7"/>
  <c r="D348" i="7"/>
  <c r="C348" i="7"/>
  <c r="B348" i="7"/>
  <c r="A348" i="7"/>
  <c r="S347" i="7"/>
  <c r="R347" i="7"/>
  <c r="P347" i="7"/>
  <c r="O347" i="7"/>
  <c r="N347" i="7"/>
  <c r="M347" i="7"/>
  <c r="L347" i="7"/>
  <c r="K347" i="7"/>
  <c r="J347" i="7"/>
  <c r="I347" i="7"/>
  <c r="H347" i="7"/>
  <c r="G347" i="7"/>
  <c r="F347" i="7"/>
  <c r="E347" i="7"/>
  <c r="D347" i="7"/>
  <c r="C347" i="7"/>
  <c r="B347" i="7"/>
  <c r="A347" i="7"/>
  <c r="S346" i="7"/>
  <c r="R346" i="7"/>
  <c r="P346" i="7"/>
  <c r="O346" i="7"/>
  <c r="N346" i="7"/>
  <c r="M346" i="7"/>
  <c r="L346" i="7"/>
  <c r="K346" i="7"/>
  <c r="J346" i="7"/>
  <c r="I346" i="7"/>
  <c r="H346" i="7"/>
  <c r="G346" i="7"/>
  <c r="F346" i="7"/>
  <c r="E346" i="7"/>
  <c r="D346" i="7"/>
  <c r="C346" i="7"/>
  <c r="B346" i="7"/>
  <c r="A346" i="7"/>
  <c r="T345" i="7"/>
  <c r="S345" i="7"/>
  <c r="R345" i="7"/>
  <c r="Q345" i="7"/>
  <c r="P345" i="7"/>
  <c r="O345" i="7"/>
  <c r="N345" i="7"/>
  <c r="M345" i="7"/>
  <c r="L345" i="7"/>
  <c r="K345" i="7"/>
  <c r="J345" i="7"/>
  <c r="I345" i="7"/>
  <c r="H345" i="7"/>
  <c r="G345" i="7"/>
  <c r="F345" i="7"/>
  <c r="E345" i="7"/>
  <c r="D345" i="7"/>
  <c r="C345" i="7"/>
  <c r="B345" i="7"/>
  <c r="A345" i="7"/>
  <c r="S344" i="7"/>
  <c r="R344" i="7"/>
  <c r="P344" i="7"/>
  <c r="O344" i="7"/>
  <c r="N344" i="7"/>
  <c r="M344" i="7"/>
  <c r="L344" i="7"/>
  <c r="K344" i="7"/>
  <c r="J344" i="7"/>
  <c r="I344" i="7"/>
  <c r="H344" i="7"/>
  <c r="G344" i="7"/>
  <c r="F344" i="7"/>
  <c r="E344" i="7"/>
  <c r="D344" i="7"/>
  <c r="C344" i="7"/>
  <c r="B344" i="7"/>
  <c r="A344" i="7"/>
  <c r="T343" i="7"/>
  <c r="S343" i="7"/>
  <c r="R343" i="7"/>
  <c r="Q343" i="7"/>
  <c r="P343" i="7"/>
  <c r="O343" i="7"/>
  <c r="N343" i="7"/>
  <c r="M343" i="7"/>
  <c r="L343" i="7"/>
  <c r="K343" i="7"/>
  <c r="J343" i="7"/>
  <c r="I343" i="7"/>
  <c r="H343" i="7"/>
  <c r="G343" i="7"/>
  <c r="F343" i="7"/>
  <c r="E343" i="7"/>
  <c r="D343" i="7"/>
  <c r="C343" i="7"/>
  <c r="B343" i="7"/>
  <c r="A343" i="7"/>
  <c r="S342" i="7"/>
  <c r="R342" i="7"/>
  <c r="P342" i="7"/>
  <c r="O342" i="7"/>
  <c r="N342" i="7"/>
  <c r="M342" i="7"/>
  <c r="L342" i="7"/>
  <c r="K342" i="7"/>
  <c r="J342" i="7"/>
  <c r="I342" i="7"/>
  <c r="H342" i="7"/>
  <c r="G342" i="7"/>
  <c r="F342" i="7"/>
  <c r="E342" i="7"/>
  <c r="D342" i="7"/>
  <c r="C342" i="7"/>
  <c r="B342" i="7"/>
  <c r="A342" i="7"/>
  <c r="T341" i="7"/>
  <c r="S341" i="7"/>
  <c r="R341" i="7"/>
  <c r="Q341" i="7"/>
  <c r="P341" i="7"/>
  <c r="O341" i="7"/>
  <c r="N341" i="7"/>
  <c r="M341" i="7"/>
  <c r="L341" i="7"/>
  <c r="K341" i="7"/>
  <c r="J341" i="7"/>
  <c r="I341" i="7"/>
  <c r="H341" i="7"/>
  <c r="G341" i="7"/>
  <c r="F341" i="7"/>
  <c r="E341" i="7"/>
  <c r="D341" i="7"/>
  <c r="C341" i="7"/>
  <c r="B341" i="7"/>
  <c r="A341" i="7"/>
  <c r="S340" i="7"/>
  <c r="P340" i="7"/>
  <c r="O340" i="7"/>
  <c r="N340" i="7"/>
  <c r="M340" i="7"/>
  <c r="L340" i="7"/>
  <c r="K340" i="7"/>
  <c r="J340" i="7"/>
  <c r="I340" i="7"/>
  <c r="H340" i="7"/>
  <c r="G340" i="7"/>
  <c r="F340" i="7"/>
  <c r="E340" i="7"/>
  <c r="D340" i="7"/>
  <c r="C340" i="7"/>
  <c r="B340" i="7"/>
  <c r="A340" i="7"/>
  <c r="T339" i="7"/>
  <c r="S339" i="7"/>
  <c r="R339" i="7"/>
  <c r="Q339" i="7"/>
  <c r="P339" i="7"/>
  <c r="O339" i="7"/>
  <c r="N339" i="7"/>
  <c r="M339" i="7"/>
  <c r="L339" i="7"/>
  <c r="K339" i="7"/>
  <c r="J339" i="7"/>
  <c r="I339" i="7"/>
  <c r="H339" i="7"/>
  <c r="G339" i="7"/>
  <c r="F339" i="7"/>
  <c r="E339" i="7"/>
  <c r="D339" i="7"/>
  <c r="C339" i="7"/>
  <c r="B339" i="7"/>
  <c r="A339" i="7"/>
  <c r="T338" i="7"/>
  <c r="S338" i="7"/>
  <c r="R338" i="7"/>
  <c r="Q338" i="7"/>
  <c r="P338" i="7"/>
  <c r="O338" i="7"/>
  <c r="N338" i="7"/>
  <c r="M338" i="7"/>
  <c r="L338" i="7"/>
  <c r="K338" i="7"/>
  <c r="J338" i="7"/>
  <c r="I338" i="7"/>
  <c r="H338" i="7"/>
  <c r="G338" i="7"/>
  <c r="F338" i="7"/>
  <c r="E338" i="7"/>
  <c r="D338" i="7"/>
  <c r="C338" i="7"/>
  <c r="B338" i="7"/>
  <c r="A338" i="7"/>
  <c r="T337" i="7"/>
  <c r="S337" i="7"/>
  <c r="R337" i="7"/>
  <c r="Q337" i="7"/>
  <c r="P337" i="7"/>
  <c r="O337" i="7"/>
  <c r="N337" i="7"/>
  <c r="M337" i="7"/>
  <c r="L337" i="7"/>
  <c r="K337" i="7"/>
  <c r="J337" i="7"/>
  <c r="I337" i="7"/>
  <c r="H337" i="7"/>
  <c r="G337" i="7"/>
  <c r="F337" i="7"/>
  <c r="E337" i="7"/>
  <c r="D337" i="7"/>
  <c r="C337" i="7"/>
  <c r="B337" i="7"/>
  <c r="A337" i="7"/>
  <c r="S336" i="7"/>
  <c r="P336" i="7"/>
  <c r="O336" i="7"/>
  <c r="N336" i="7"/>
  <c r="M336" i="7"/>
  <c r="L336" i="7"/>
  <c r="K336" i="7"/>
  <c r="J336" i="7"/>
  <c r="I336" i="7"/>
  <c r="H336" i="7"/>
  <c r="G336" i="7"/>
  <c r="F336" i="7"/>
  <c r="E336" i="7"/>
  <c r="D336" i="7"/>
  <c r="C336" i="7"/>
  <c r="B336" i="7"/>
  <c r="A336" i="7"/>
  <c r="S335" i="7"/>
  <c r="R335" i="7"/>
  <c r="P335" i="7"/>
  <c r="O335" i="7"/>
  <c r="N335" i="7"/>
  <c r="M335" i="7"/>
  <c r="L335" i="7"/>
  <c r="K335" i="7"/>
  <c r="J335" i="7"/>
  <c r="I335" i="7"/>
  <c r="H335" i="7"/>
  <c r="G335" i="7"/>
  <c r="F335" i="7"/>
  <c r="E335" i="7"/>
  <c r="D335" i="7"/>
  <c r="C335" i="7"/>
  <c r="B335" i="7"/>
  <c r="A335" i="7"/>
  <c r="S334" i="7"/>
  <c r="P334" i="7"/>
  <c r="O334" i="7"/>
  <c r="N334" i="7"/>
  <c r="M334" i="7"/>
  <c r="L334" i="7"/>
  <c r="K334" i="7"/>
  <c r="J334" i="7"/>
  <c r="I334" i="7"/>
  <c r="H334" i="7"/>
  <c r="G334" i="7"/>
  <c r="F334" i="7"/>
  <c r="E334" i="7"/>
  <c r="D334" i="7"/>
  <c r="C334" i="7"/>
  <c r="B334" i="7"/>
  <c r="A334" i="7"/>
  <c r="S333" i="7"/>
  <c r="R333" i="7"/>
  <c r="P333" i="7"/>
  <c r="O333" i="7"/>
  <c r="N333" i="7"/>
  <c r="M333" i="7"/>
  <c r="L333" i="7"/>
  <c r="K333" i="7"/>
  <c r="J333" i="7"/>
  <c r="I333" i="7"/>
  <c r="H333" i="7"/>
  <c r="G333" i="7"/>
  <c r="F333" i="7"/>
  <c r="E333" i="7"/>
  <c r="D333" i="7"/>
  <c r="C333" i="7"/>
  <c r="B333" i="7"/>
  <c r="A333" i="7"/>
  <c r="S332" i="7"/>
  <c r="R332" i="7"/>
  <c r="P332" i="7"/>
  <c r="O332" i="7"/>
  <c r="N332" i="7"/>
  <c r="M332" i="7"/>
  <c r="L332" i="7"/>
  <c r="K332" i="7"/>
  <c r="J332" i="7"/>
  <c r="I332" i="7"/>
  <c r="H332" i="7"/>
  <c r="G332" i="7"/>
  <c r="F332" i="7"/>
  <c r="E332" i="7"/>
  <c r="D332" i="7"/>
  <c r="C332" i="7"/>
  <c r="B332" i="7"/>
  <c r="A332" i="7"/>
  <c r="T331" i="7"/>
  <c r="S331" i="7"/>
  <c r="R331" i="7"/>
  <c r="Q331" i="7"/>
  <c r="P331" i="7"/>
  <c r="O331" i="7"/>
  <c r="N331" i="7"/>
  <c r="M331" i="7"/>
  <c r="L331" i="7"/>
  <c r="K331" i="7"/>
  <c r="J331" i="7"/>
  <c r="I331" i="7"/>
  <c r="H331" i="7"/>
  <c r="G331" i="7"/>
  <c r="F331" i="7"/>
  <c r="E331" i="7"/>
  <c r="D331" i="7"/>
  <c r="C331" i="7"/>
  <c r="B331" i="7"/>
  <c r="A331" i="7"/>
  <c r="S330" i="7"/>
  <c r="P330" i="7"/>
  <c r="O330" i="7"/>
  <c r="N330" i="7"/>
  <c r="M330" i="7"/>
  <c r="L330" i="7"/>
  <c r="K330" i="7"/>
  <c r="J330" i="7"/>
  <c r="I330" i="7"/>
  <c r="H330" i="7"/>
  <c r="G330" i="7"/>
  <c r="F330" i="7"/>
  <c r="E330" i="7"/>
  <c r="D330" i="7"/>
  <c r="C330" i="7"/>
  <c r="B330" i="7"/>
  <c r="A330" i="7"/>
  <c r="S329" i="7"/>
  <c r="R329" i="7"/>
  <c r="P329" i="7"/>
  <c r="O329" i="7"/>
  <c r="N329" i="7"/>
  <c r="M329" i="7"/>
  <c r="L329" i="7"/>
  <c r="K329" i="7"/>
  <c r="J329" i="7"/>
  <c r="I329" i="7"/>
  <c r="H329" i="7"/>
  <c r="G329" i="7"/>
  <c r="F329" i="7"/>
  <c r="E329" i="7"/>
  <c r="D329" i="7"/>
  <c r="C329" i="7"/>
  <c r="B329" i="7"/>
  <c r="A329" i="7"/>
  <c r="T328" i="7"/>
  <c r="S328" i="7"/>
  <c r="R328" i="7"/>
  <c r="Q328" i="7"/>
  <c r="P328" i="7"/>
  <c r="O328" i="7"/>
  <c r="N328" i="7"/>
  <c r="M328" i="7"/>
  <c r="L328" i="7"/>
  <c r="K328" i="7"/>
  <c r="J328" i="7"/>
  <c r="I328" i="7"/>
  <c r="H328" i="7"/>
  <c r="G328" i="7"/>
  <c r="F328" i="7"/>
  <c r="E328" i="7"/>
  <c r="C328" i="7"/>
  <c r="B328" i="7"/>
  <c r="A328" i="7"/>
  <c r="S327" i="7"/>
  <c r="M327" i="7"/>
  <c r="L327" i="7"/>
  <c r="K327" i="7"/>
  <c r="J327" i="7"/>
  <c r="I327" i="7"/>
  <c r="H327" i="7"/>
  <c r="G327" i="7"/>
  <c r="F327" i="7"/>
  <c r="E327" i="7"/>
  <c r="D327" i="7"/>
  <c r="C327" i="7"/>
  <c r="B327" i="7"/>
  <c r="A327" i="7"/>
  <c r="S326" i="7"/>
  <c r="M326" i="7"/>
  <c r="L326" i="7"/>
  <c r="K326" i="7"/>
  <c r="J326" i="7"/>
  <c r="I326" i="7"/>
  <c r="H326" i="7"/>
  <c r="G326" i="7"/>
  <c r="F326" i="7"/>
  <c r="E326" i="7"/>
  <c r="D326" i="7"/>
  <c r="C326" i="7"/>
  <c r="B326" i="7"/>
  <c r="A326" i="7"/>
  <c r="S325" i="7"/>
  <c r="M325" i="7"/>
  <c r="L325" i="7"/>
  <c r="K325" i="7"/>
  <c r="J325" i="7"/>
  <c r="I325" i="7"/>
  <c r="H325" i="7"/>
  <c r="G325" i="7"/>
  <c r="F325" i="7"/>
  <c r="E325" i="7"/>
  <c r="D325" i="7"/>
  <c r="C325" i="7"/>
  <c r="B325" i="7"/>
  <c r="A325" i="7"/>
  <c r="T324" i="7"/>
  <c r="S324" i="7"/>
  <c r="R324" i="7"/>
  <c r="Q324" i="7"/>
  <c r="P324" i="7"/>
  <c r="O324" i="7"/>
  <c r="N324" i="7"/>
  <c r="M324" i="7"/>
  <c r="L324" i="7"/>
  <c r="K324" i="7"/>
  <c r="J324" i="7"/>
  <c r="I324" i="7"/>
  <c r="H324" i="7"/>
  <c r="G324" i="7"/>
  <c r="F324" i="7"/>
  <c r="E324" i="7"/>
  <c r="D324" i="7"/>
  <c r="C324" i="7"/>
  <c r="B324" i="7"/>
  <c r="A324" i="7"/>
  <c r="S323" i="7"/>
  <c r="M323" i="7"/>
  <c r="L323" i="7"/>
  <c r="K323" i="7"/>
  <c r="J323" i="7"/>
  <c r="I323" i="7"/>
  <c r="H323" i="7"/>
  <c r="G323" i="7"/>
  <c r="F323" i="7"/>
  <c r="E323" i="7"/>
  <c r="D323" i="7"/>
  <c r="C323" i="7"/>
  <c r="B323" i="7"/>
  <c r="A323" i="7"/>
  <c r="T322" i="7"/>
  <c r="S322" i="7"/>
  <c r="R322" i="7"/>
  <c r="Q322" i="7"/>
  <c r="P322" i="7"/>
  <c r="O322" i="7"/>
  <c r="N322" i="7"/>
  <c r="M322" i="7"/>
  <c r="L322" i="7"/>
  <c r="K322" i="7"/>
  <c r="J322" i="7"/>
  <c r="I322" i="7"/>
  <c r="H322" i="7"/>
  <c r="G322" i="7"/>
  <c r="F322" i="7"/>
  <c r="E322" i="7"/>
  <c r="C322" i="7"/>
  <c r="B322" i="7"/>
  <c r="A322" i="7"/>
  <c r="S321" i="7"/>
  <c r="R321" i="7"/>
  <c r="P321" i="7"/>
  <c r="O321" i="7"/>
  <c r="N321" i="7"/>
  <c r="M321" i="7"/>
  <c r="L321" i="7"/>
  <c r="K321" i="7"/>
  <c r="J321" i="7"/>
  <c r="I321" i="7"/>
  <c r="H321" i="7"/>
  <c r="G321" i="7"/>
  <c r="F321" i="7"/>
  <c r="E321" i="7"/>
  <c r="D321" i="7"/>
  <c r="C321" i="7"/>
  <c r="B321" i="7"/>
  <c r="A321" i="7"/>
  <c r="S320" i="7"/>
  <c r="P320" i="7"/>
  <c r="O320" i="7"/>
  <c r="N320" i="7"/>
  <c r="M320" i="7"/>
  <c r="L320" i="7"/>
  <c r="K320" i="7"/>
  <c r="J320" i="7"/>
  <c r="I320" i="7"/>
  <c r="H320" i="7"/>
  <c r="G320" i="7"/>
  <c r="F320" i="7"/>
  <c r="E320" i="7"/>
  <c r="D320" i="7"/>
  <c r="C320" i="7"/>
  <c r="B320" i="7"/>
  <c r="A320" i="7"/>
  <c r="S319" i="7"/>
  <c r="R319" i="7"/>
  <c r="P319" i="7"/>
  <c r="O319" i="7"/>
  <c r="N319" i="7"/>
  <c r="M319" i="7"/>
  <c r="L319" i="7"/>
  <c r="K319" i="7"/>
  <c r="J319" i="7"/>
  <c r="I319" i="7"/>
  <c r="H319" i="7"/>
  <c r="G319" i="7"/>
  <c r="F319" i="7"/>
  <c r="E319" i="7"/>
  <c r="D319" i="7"/>
  <c r="C319" i="7"/>
  <c r="B319" i="7"/>
  <c r="A319" i="7"/>
  <c r="T318" i="7"/>
  <c r="S318" i="7"/>
  <c r="R318" i="7"/>
  <c r="Q318" i="7"/>
  <c r="P318" i="7"/>
  <c r="O318" i="7"/>
  <c r="N318" i="7"/>
  <c r="M318" i="7"/>
  <c r="L318" i="7"/>
  <c r="K318" i="7"/>
  <c r="J318" i="7"/>
  <c r="I318" i="7"/>
  <c r="H318" i="7"/>
  <c r="G318" i="7"/>
  <c r="F318" i="7"/>
  <c r="E318" i="7"/>
  <c r="D318" i="7"/>
  <c r="C318" i="7"/>
  <c r="B318" i="7"/>
  <c r="A318" i="7"/>
  <c r="T317" i="7"/>
  <c r="S317" i="7"/>
  <c r="R317" i="7"/>
  <c r="Q317" i="7"/>
  <c r="P317" i="7"/>
  <c r="O317" i="7"/>
  <c r="N317" i="7"/>
  <c r="M317" i="7"/>
  <c r="L317" i="7"/>
  <c r="K317" i="7"/>
  <c r="J317" i="7"/>
  <c r="I317" i="7"/>
  <c r="H317" i="7"/>
  <c r="G317" i="7"/>
  <c r="F317" i="7"/>
  <c r="E317" i="7"/>
  <c r="D317" i="7"/>
  <c r="C317" i="7"/>
  <c r="B317" i="7"/>
  <c r="A317" i="7"/>
  <c r="S316" i="7"/>
  <c r="R316" i="7"/>
  <c r="P316" i="7"/>
  <c r="O316" i="7"/>
  <c r="N316" i="7"/>
  <c r="M316" i="7"/>
  <c r="L316" i="7"/>
  <c r="K316" i="7"/>
  <c r="J316" i="7"/>
  <c r="I316" i="7"/>
  <c r="H316" i="7"/>
  <c r="G316" i="7"/>
  <c r="F316" i="7"/>
  <c r="E316" i="7"/>
  <c r="D316" i="7"/>
  <c r="C316" i="7"/>
  <c r="B316" i="7"/>
  <c r="A316" i="7"/>
  <c r="T315" i="7"/>
  <c r="S315" i="7"/>
  <c r="R315" i="7"/>
  <c r="Q315" i="7"/>
  <c r="P315" i="7"/>
  <c r="O315" i="7"/>
  <c r="N315" i="7"/>
  <c r="M315" i="7"/>
  <c r="L315" i="7"/>
  <c r="K315" i="7"/>
  <c r="J315" i="7"/>
  <c r="I315" i="7"/>
  <c r="H315" i="7"/>
  <c r="G315" i="7"/>
  <c r="F315" i="7"/>
  <c r="E315" i="7"/>
  <c r="D315" i="7"/>
  <c r="C315" i="7"/>
  <c r="B315" i="7"/>
  <c r="A315" i="7"/>
  <c r="S314" i="7"/>
  <c r="R314" i="7"/>
  <c r="P314" i="7"/>
  <c r="O314" i="7"/>
  <c r="N314" i="7"/>
  <c r="M314" i="7"/>
  <c r="L314" i="7"/>
  <c r="K314" i="7"/>
  <c r="J314" i="7"/>
  <c r="I314" i="7"/>
  <c r="H314" i="7"/>
  <c r="G314" i="7"/>
  <c r="F314" i="7"/>
  <c r="E314" i="7"/>
  <c r="D314" i="7"/>
  <c r="C314" i="7"/>
  <c r="B314" i="7"/>
  <c r="A314" i="7"/>
  <c r="S313" i="7"/>
  <c r="R313" i="7"/>
  <c r="P313" i="7"/>
  <c r="O313" i="7"/>
  <c r="N313" i="7"/>
  <c r="M313" i="7"/>
  <c r="L313" i="7"/>
  <c r="K313" i="7"/>
  <c r="J313" i="7"/>
  <c r="I313" i="7"/>
  <c r="H313" i="7"/>
  <c r="G313" i="7"/>
  <c r="F313" i="7"/>
  <c r="E313" i="7"/>
  <c r="D313" i="7"/>
  <c r="C313" i="7"/>
  <c r="B313" i="7"/>
  <c r="A313" i="7"/>
  <c r="S312" i="7"/>
  <c r="M312" i="7"/>
  <c r="L312" i="7"/>
  <c r="K312" i="7"/>
  <c r="J312" i="7"/>
  <c r="I312" i="7"/>
  <c r="H312" i="7"/>
  <c r="G312" i="7"/>
  <c r="F312" i="7"/>
  <c r="E312" i="7"/>
  <c r="D312" i="7"/>
  <c r="C312" i="7"/>
  <c r="B312" i="7"/>
  <c r="A312" i="7"/>
  <c r="S311" i="7"/>
  <c r="P311" i="7"/>
  <c r="O311" i="7"/>
  <c r="N311" i="7"/>
  <c r="M311" i="7"/>
  <c r="L311" i="7"/>
  <c r="K311" i="7"/>
  <c r="J311" i="7"/>
  <c r="I311" i="7"/>
  <c r="H311" i="7"/>
  <c r="G311" i="7"/>
  <c r="F311" i="7"/>
  <c r="E311" i="7"/>
  <c r="D311" i="7"/>
  <c r="C311" i="7"/>
  <c r="B311" i="7"/>
  <c r="A311" i="7"/>
  <c r="S310" i="7"/>
  <c r="P310" i="7"/>
  <c r="O310" i="7"/>
  <c r="N310" i="7"/>
  <c r="M310" i="7"/>
  <c r="L310" i="7"/>
  <c r="K310" i="7"/>
  <c r="J310" i="7"/>
  <c r="I310" i="7"/>
  <c r="H310" i="7"/>
  <c r="G310" i="7"/>
  <c r="F310" i="7"/>
  <c r="E310" i="7"/>
  <c r="D310" i="7"/>
  <c r="C310" i="7"/>
  <c r="B310" i="7"/>
  <c r="A310" i="7"/>
  <c r="T309" i="7"/>
  <c r="S309" i="7"/>
  <c r="R309" i="7"/>
  <c r="Q309" i="7"/>
  <c r="P309" i="7"/>
  <c r="O309" i="7"/>
  <c r="N309" i="7"/>
  <c r="M309" i="7"/>
  <c r="L309" i="7"/>
  <c r="K309" i="7"/>
  <c r="J309" i="7"/>
  <c r="I309" i="7"/>
  <c r="H309" i="7"/>
  <c r="G309" i="7"/>
  <c r="F309" i="7"/>
  <c r="E309" i="7"/>
  <c r="D309" i="7"/>
  <c r="C309" i="7"/>
  <c r="B309" i="7"/>
  <c r="A309" i="7"/>
  <c r="T308" i="7"/>
  <c r="S308" i="7"/>
  <c r="R308" i="7"/>
  <c r="Q308" i="7"/>
  <c r="P308" i="7"/>
  <c r="O308" i="7"/>
  <c r="N308" i="7"/>
  <c r="M308" i="7"/>
  <c r="L308" i="7"/>
  <c r="K308" i="7"/>
  <c r="J308" i="7"/>
  <c r="I308" i="7"/>
  <c r="H308" i="7"/>
  <c r="G308" i="7"/>
  <c r="F308" i="7"/>
  <c r="E308" i="7"/>
  <c r="D308" i="7"/>
  <c r="C308" i="7"/>
  <c r="B308" i="7"/>
  <c r="A308" i="7"/>
  <c r="S307" i="7"/>
  <c r="R307" i="7"/>
  <c r="P307" i="7"/>
  <c r="O307" i="7"/>
  <c r="N307" i="7"/>
  <c r="M307" i="7"/>
  <c r="L307" i="7"/>
  <c r="K307" i="7"/>
  <c r="J307" i="7"/>
  <c r="I307" i="7"/>
  <c r="H307" i="7"/>
  <c r="G307" i="7"/>
  <c r="F307" i="7"/>
  <c r="E307" i="7"/>
  <c r="D307" i="7"/>
  <c r="C307" i="7"/>
  <c r="B307" i="7"/>
  <c r="A307" i="7"/>
  <c r="S306" i="7"/>
  <c r="R306" i="7"/>
  <c r="P306" i="7"/>
  <c r="O306" i="7"/>
  <c r="N306" i="7"/>
  <c r="M306" i="7"/>
  <c r="L306" i="7"/>
  <c r="K306" i="7"/>
  <c r="J306" i="7"/>
  <c r="I306" i="7"/>
  <c r="H306" i="7"/>
  <c r="G306" i="7"/>
  <c r="F306" i="7"/>
  <c r="E306" i="7"/>
  <c r="D306" i="7"/>
  <c r="C306" i="7"/>
  <c r="B306" i="7"/>
  <c r="A306" i="7"/>
  <c r="S305" i="7"/>
  <c r="R305" i="7"/>
  <c r="P305" i="7"/>
  <c r="O305" i="7"/>
  <c r="N305" i="7"/>
  <c r="M305" i="7"/>
  <c r="L305" i="7"/>
  <c r="K305" i="7"/>
  <c r="J305" i="7"/>
  <c r="I305" i="7"/>
  <c r="H305" i="7"/>
  <c r="G305" i="7"/>
  <c r="F305" i="7"/>
  <c r="E305" i="7"/>
  <c r="D305" i="7"/>
  <c r="C305" i="7"/>
  <c r="B305" i="7"/>
  <c r="A305" i="7"/>
  <c r="T304" i="7"/>
  <c r="S304" i="7"/>
  <c r="R304" i="7"/>
  <c r="Q304" i="7"/>
  <c r="P304" i="7"/>
  <c r="O304" i="7"/>
  <c r="N304" i="7"/>
  <c r="M304" i="7"/>
  <c r="L304" i="7"/>
  <c r="K304" i="7"/>
  <c r="J304" i="7"/>
  <c r="I304" i="7"/>
  <c r="H304" i="7"/>
  <c r="G304" i="7"/>
  <c r="F304" i="7"/>
  <c r="E304" i="7"/>
  <c r="D304" i="7"/>
  <c r="C304" i="7"/>
  <c r="B304" i="7"/>
  <c r="A304" i="7"/>
  <c r="S303" i="7"/>
  <c r="Q303" i="7"/>
  <c r="M303" i="7"/>
  <c r="L303" i="7"/>
  <c r="K303" i="7"/>
  <c r="J303" i="7"/>
  <c r="I303" i="7"/>
  <c r="H303" i="7"/>
  <c r="G303" i="7"/>
  <c r="F303" i="7"/>
  <c r="E303" i="7"/>
  <c r="D303" i="7"/>
  <c r="C303" i="7"/>
  <c r="B303" i="7"/>
  <c r="A303" i="7"/>
  <c r="S302" i="7"/>
  <c r="M302" i="7"/>
  <c r="L302" i="7"/>
  <c r="K302" i="7"/>
  <c r="J302" i="7"/>
  <c r="I302" i="7"/>
  <c r="H302" i="7"/>
  <c r="G302" i="7"/>
  <c r="F302" i="7"/>
  <c r="E302" i="7"/>
  <c r="D302" i="7"/>
  <c r="C302" i="7"/>
  <c r="B302" i="7"/>
  <c r="A302" i="7"/>
  <c r="S301" i="7"/>
  <c r="R301" i="7"/>
  <c r="P301" i="7"/>
  <c r="O301" i="7"/>
  <c r="N301" i="7"/>
  <c r="M301" i="7"/>
  <c r="L301" i="7"/>
  <c r="K301" i="7"/>
  <c r="J301" i="7"/>
  <c r="I301" i="7"/>
  <c r="H301" i="7"/>
  <c r="G301" i="7"/>
  <c r="F301" i="7"/>
  <c r="E301" i="7"/>
  <c r="D301" i="7"/>
  <c r="C301" i="7"/>
  <c r="B301" i="7"/>
  <c r="A301" i="7"/>
  <c r="S300" i="7"/>
  <c r="R300" i="7"/>
  <c r="P300" i="7"/>
  <c r="O300" i="7"/>
  <c r="N300" i="7"/>
  <c r="M300" i="7"/>
  <c r="L300" i="7"/>
  <c r="K300" i="7"/>
  <c r="J300" i="7"/>
  <c r="I300" i="7"/>
  <c r="H300" i="7"/>
  <c r="G300" i="7"/>
  <c r="F300" i="7"/>
  <c r="E300" i="7"/>
  <c r="D300" i="7"/>
  <c r="C300" i="7"/>
  <c r="B300" i="7"/>
  <c r="A300" i="7"/>
  <c r="S299" i="7"/>
  <c r="M299" i="7"/>
  <c r="L299" i="7"/>
  <c r="K299" i="7"/>
  <c r="J299" i="7"/>
  <c r="I299" i="7"/>
  <c r="H299" i="7"/>
  <c r="G299" i="7"/>
  <c r="F299" i="7"/>
  <c r="E299" i="7"/>
  <c r="D299" i="7"/>
  <c r="C299" i="7"/>
  <c r="B299" i="7"/>
  <c r="A299" i="7"/>
  <c r="S298" i="7"/>
  <c r="M298" i="7"/>
  <c r="L298" i="7"/>
  <c r="K298" i="7"/>
  <c r="J298" i="7"/>
  <c r="I298" i="7"/>
  <c r="H298" i="7"/>
  <c r="G298" i="7"/>
  <c r="F298" i="7"/>
  <c r="E298" i="7"/>
  <c r="D298" i="7"/>
  <c r="C298" i="7"/>
  <c r="B298" i="7"/>
  <c r="A298" i="7"/>
  <c r="S297" i="7"/>
  <c r="M297" i="7"/>
  <c r="L297" i="7"/>
  <c r="K297" i="7"/>
  <c r="J297" i="7"/>
  <c r="I297" i="7"/>
  <c r="H297" i="7"/>
  <c r="G297" i="7"/>
  <c r="F297" i="7"/>
  <c r="E297" i="7"/>
  <c r="D297" i="7"/>
  <c r="C297" i="7"/>
  <c r="B297" i="7"/>
  <c r="A297" i="7"/>
  <c r="S296" i="7"/>
  <c r="M296" i="7"/>
  <c r="L296" i="7"/>
  <c r="K296" i="7"/>
  <c r="J296" i="7"/>
  <c r="I296" i="7"/>
  <c r="H296" i="7"/>
  <c r="G296" i="7"/>
  <c r="F296" i="7"/>
  <c r="E296" i="7"/>
  <c r="D296" i="7"/>
  <c r="C296" i="7"/>
  <c r="B296" i="7"/>
  <c r="A296" i="7"/>
  <c r="S295" i="7"/>
  <c r="R295" i="7"/>
  <c r="P295" i="7"/>
  <c r="O295" i="7"/>
  <c r="N295" i="7"/>
  <c r="M295" i="7"/>
  <c r="L295" i="7"/>
  <c r="K295" i="7"/>
  <c r="J295" i="7"/>
  <c r="I295" i="7"/>
  <c r="H295" i="7"/>
  <c r="G295" i="7"/>
  <c r="F295" i="7"/>
  <c r="E295" i="7"/>
  <c r="D295" i="7"/>
  <c r="C295" i="7"/>
  <c r="B295" i="7"/>
  <c r="A295" i="7"/>
  <c r="S294" i="7"/>
  <c r="R294" i="7"/>
  <c r="P294" i="7"/>
  <c r="O294" i="7"/>
  <c r="N294" i="7"/>
  <c r="M294" i="7"/>
  <c r="L294" i="7"/>
  <c r="K294" i="7"/>
  <c r="J294" i="7"/>
  <c r="I294" i="7"/>
  <c r="H294" i="7"/>
  <c r="G294" i="7"/>
  <c r="F294" i="7"/>
  <c r="E294" i="7"/>
  <c r="D294" i="7"/>
  <c r="C294" i="7"/>
  <c r="B294" i="7"/>
  <c r="A294" i="7"/>
  <c r="S293" i="7"/>
  <c r="R293" i="7"/>
  <c r="P293" i="7"/>
  <c r="O293" i="7"/>
  <c r="N293" i="7"/>
  <c r="M293" i="7"/>
  <c r="L293" i="7"/>
  <c r="K293" i="7"/>
  <c r="J293" i="7"/>
  <c r="I293" i="7"/>
  <c r="H293" i="7"/>
  <c r="G293" i="7"/>
  <c r="F293" i="7"/>
  <c r="E293" i="7"/>
  <c r="D293" i="7"/>
  <c r="C293" i="7"/>
  <c r="B293" i="7"/>
  <c r="A293" i="7"/>
  <c r="S292" i="7"/>
  <c r="M292" i="7"/>
  <c r="L292" i="7"/>
  <c r="K292" i="7"/>
  <c r="J292" i="7"/>
  <c r="I292" i="7"/>
  <c r="H292" i="7"/>
  <c r="G292" i="7"/>
  <c r="F292" i="7"/>
  <c r="E292" i="7"/>
  <c r="D292" i="7"/>
  <c r="C292" i="7"/>
  <c r="B292" i="7"/>
  <c r="A292" i="7"/>
  <c r="S291" i="7"/>
  <c r="R291" i="7"/>
  <c r="P291" i="7"/>
  <c r="O291" i="7"/>
  <c r="N291" i="7"/>
  <c r="M291" i="7"/>
  <c r="L291" i="7"/>
  <c r="K291" i="7"/>
  <c r="J291" i="7"/>
  <c r="I291" i="7"/>
  <c r="H291" i="7"/>
  <c r="G291" i="7"/>
  <c r="F291" i="7"/>
  <c r="E291" i="7"/>
  <c r="D291" i="7"/>
  <c r="C291" i="7"/>
  <c r="B291" i="7"/>
  <c r="A291" i="7"/>
  <c r="S290" i="7"/>
  <c r="R290" i="7"/>
  <c r="P290" i="7"/>
  <c r="O290" i="7"/>
  <c r="N290" i="7"/>
  <c r="M290" i="7"/>
  <c r="L290" i="7"/>
  <c r="K290" i="7"/>
  <c r="J290" i="7"/>
  <c r="I290" i="7"/>
  <c r="H290" i="7"/>
  <c r="G290" i="7"/>
  <c r="F290" i="7"/>
  <c r="E290" i="7"/>
  <c r="D290" i="7"/>
  <c r="C290" i="7"/>
  <c r="B290" i="7"/>
  <c r="A290" i="7"/>
  <c r="S289" i="7"/>
  <c r="M289" i="7"/>
  <c r="L289" i="7"/>
  <c r="K289" i="7"/>
  <c r="J289" i="7"/>
  <c r="I289" i="7"/>
  <c r="H289" i="7"/>
  <c r="G289" i="7"/>
  <c r="F289" i="7"/>
  <c r="E289" i="7"/>
  <c r="D289" i="7"/>
  <c r="C289" i="7"/>
  <c r="B289" i="7"/>
  <c r="A289" i="7"/>
  <c r="S288" i="7"/>
  <c r="M288" i="7"/>
  <c r="L288" i="7"/>
  <c r="K288" i="7"/>
  <c r="J288" i="7"/>
  <c r="I288" i="7"/>
  <c r="H288" i="7"/>
  <c r="G288" i="7"/>
  <c r="F288" i="7"/>
  <c r="E288" i="7"/>
  <c r="D288" i="7"/>
  <c r="C288" i="7"/>
  <c r="B288" i="7"/>
  <c r="A288" i="7"/>
  <c r="S287" i="7"/>
  <c r="P287" i="7"/>
  <c r="O287" i="7"/>
  <c r="N287" i="7"/>
  <c r="L287" i="7"/>
  <c r="K287" i="7"/>
  <c r="J287" i="7"/>
  <c r="I287" i="7"/>
  <c r="H287" i="7"/>
  <c r="G287" i="7"/>
  <c r="F287" i="7"/>
  <c r="E287" i="7"/>
  <c r="D287" i="7"/>
  <c r="C287" i="7"/>
  <c r="B287" i="7"/>
  <c r="A287" i="7"/>
  <c r="S286" i="7"/>
  <c r="M286" i="7"/>
  <c r="L286" i="7"/>
  <c r="K286" i="7"/>
  <c r="J286" i="7"/>
  <c r="I286" i="7"/>
  <c r="H286" i="7"/>
  <c r="G286" i="7"/>
  <c r="F286" i="7"/>
  <c r="E286" i="7"/>
  <c r="D286" i="7"/>
  <c r="C286" i="7"/>
  <c r="B286" i="7"/>
  <c r="A286" i="7"/>
  <c r="S285" i="7"/>
  <c r="M285" i="7"/>
  <c r="L285" i="7"/>
  <c r="K285" i="7"/>
  <c r="J285" i="7"/>
  <c r="I285" i="7"/>
  <c r="H285" i="7"/>
  <c r="G285" i="7"/>
  <c r="F285" i="7"/>
  <c r="E285" i="7"/>
  <c r="D285" i="7"/>
  <c r="C285" i="7"/>
  <c r="B285" i="7"/>
  <c r="A285" i="7"/>
  <c r="S284" i="7"/>
  <c r="M284" i="7"/>
  <c r="L284" i="7"/>
  <c r="K284" i="7"/>
  <c r="J284" i="7"/>
  <c r="I284" i="7"/>
  <c r="H284" i="7"/>
  <c r="G284" i="7"/>
  <c r="F284" i="7"/>
  <c r="E284" i="7"/>
  <c r="D284" i="7"/>
  <c r="C284" i="7"/>
  <c r="B284" i="7"/>
  <c r="A284" i="7"/>
  <c r="S283" i="7"/>
  <c r="M283" i="7"/>
  <c r="L283" i="7"/>
  <c r="K283" i="7"/>
  <c r="J283" i="7"/>
  <c r="I283" i="7"/>
  <c r="H283" i="7"/>
  <c r="G283" i="7"/>
  <c r="F283" i="7"/>
  <c r="E283" i="7"/>
  <c r="D283" i="7"/>
  <c r="C283" i="7"/>
  <c r="B283" i="7"/>
  <c r="A283" i="7"/>
  <c r="S282" i="7"/>
  <c r="R282" i="7"/>
  <c r="P282" i="7"/>
  <c r="O282" i="7"/>
  <c r="N282" i="7"/>
  <c r="M282" i="7"/>
  <c r="L282" i="7"/>
  <c r="K282" i="7"/>
  <c r="J282" i="7"/>
  <c r="I282" i="7"/>
  <c r="H282" i="7"/>
  <c r="G282" i="7"/>
  <c r="F282" i="7"/>
  <c r="E282" i="7"/>
  <c r="D282" i="7"/>
  <c r="C282" i="7"/>
  <c r="B282" i="7"/>
  <c r="A282" i="7"/>
  <c r="T281" i="7"/>
  <c r="S281" i="7"/>
  <c r="R281" i="7"/>
  <c r="Q281" i="7"/>
  <c r="P281" i="7"/>
  <c r="O281" i="7"/>
  <c r="N281" i="7"/>
  <c r="M281" i="7"/>
  <c r="L281" i="7"/>
  <c r="K281" i="7"/>
  <c r="J281" i="7"/>
  <c r="I281" i="7"/>
  <c r="H281" i="7"/>
  <c r="G281" i="7"/>
  <c r="F281" i="7"/>
  <c r="E281" i="7"/>
  <c r="D281" i="7"/>
  <c r="C281" i="7"/>
  <c r="B281" i="7"/>
  <c r="A281" i="7"/>
  <c r="S280" i="7"/>
  <c r="M280" i="7"/>
  <c r="L280" i="7"/>
  <c r="K280" i="7"/>
  <c r="J280" i="7"/>
  <c r="I280" i="7"/>
  <c r="H280" i="7"/>
  <c r="G280" i="7"/>
  <c r="F280" i="7"/>
  <c r="E280" i="7"/>
  <c r="D280" i="7"/>
  <c r="C280" i="7"/>
  <c r="B280" i="7"/>
  <c r="A280" i="7"/>
  <c r="S279" i="7"/>
  <c r="R279" i="7"/>
  <c r="P279" i="7"/>
  <c r="O279" i="7"/>
  <c r="N279" i="7"/>
  <c r="M279" i="7"/>
  <c r="L279" i="7"/>
  <c r="K279" i="7"/>
  <c r="J279" i="7"/>
  <c r="I279" i="7"/>
  <c r="H279" i="7"/>
  <c r="G279" i="7"/>
  <c r="F279" i="7"/>
  <c r="E279" i="7"/>
  <c r="D279" i="7"/>
  <c r="C279" i="7"/>
  <c r="B279" i="7"/>
  <c r="A279" i="7"/>
  <c r="S278" i="7"/>
  <c r="Q278" i="7"/>
  <c r="M278" i="7"/>
  <c r="L278" i="7"/>
  <c r="K278" i="7"/>
  <c r="J278" i="7"/>
  <c r="I278" i="7"/>
  <c r="H278" i="7"/>
  <c r="G278" i="7"/>
  <c r="F278" i="7"/>
  <c r="E278" i="7"/>
  <c r="D278" i="7"/>
  <c r="C278" i="7"/>
  <c r="B278" i="7"/>
  <c r="A278" i="7"/>
  <c r="S277" i="7"/>
  <c r="M277" i="7"/>
  <c r="L277" i="7"/>
  <c r="K277" i="7"/>
  <c r="J277" i="7"/>
  <c r="I277" i="7"/>
  <c r="H277" i="7"/>
  <c r="G277" i="7"/>
  <c r="F277" i="7"/>
  <c r="E277" i="7"/>
  <c r="D277" i="7"/>
  <c r="C277" i="7"/>
  <c r="B277" i="7"/>
  <c r="A277" i="7"/>
  <c r="S276" i="7"/>
  <c r="R276" i="7"/>
  <c r="P276" i="7"/>
  <c r="O276" i="7"/>
  <c r="N276" i="7"/>
  <c r="M276" i="7"/>
  <c r="L276" i="7"/>
  <c r="K276" i="7"/>
  <c r="J276" i="7"/>
  <c r="I276" i="7"/>
  <c r="H276" i="7"/>
  <c r="G276" i="7"/>
  <c r="F276" i="7"/>
  <c r="E276" i="7"/>
  <c r="D276" i="7"/>
  <c r="C276" i="7"/>
  <c r="B276" i="7"/>
  <c r="A276" i="7"/>
  <c r="S275" i="7"/>
  <c r="P275" i="7"/>
  <c r="O275" i="7"/>
  <c r="N275" i="7"/>
  <c r="M275" i="7"/>
  <c r="L275" i="7"/>
  <c r="K275" i="7"/>
  <c r="J275" i="7"/>
  <c r="I275" i="7"/>
  <c r="H275" i="7"/>
  <c r="G275" i="7"/>
  <c r="F275" i="7"/>
  <c r="E275" i="7"/>
  <c r="D275" i="7"/>
  <c r="C275" i="7"/>
  <c r="B275" i="7"/>
  <c r="A275" i="7"/>
  <c r="S274" i="7"/>
  <c r="M274" i="7"/>
  <c r="L274" i="7"/>
  <c r="K274" i="7"/>
  <c r="J274" i="7"/>
  <c r="I274" i="7"/>
  <c r="H274" i="7"/>
  <c r="G274" i="7"/>
  <c r="F274" i="7"/>
  <c r="E274" i="7"/>
  <c r="D274" i="7"/>
  <c r="C274" i="7"/>
  <c r="B274" i="7"/>
  <c r="A274" i="7"/>
  <c r="S273" i="7"/>
  <c r="M273" i="7"/>
  <c r="L273" i="7"/>
  <c r="K273" i="7"/>
  <c r="J273" i="7"/>
  <c r="I273" i="7"/>
  <c r="H273" i="7"/>
  <c r="G273" i="7"/>
  <c r="F273" i="7"/>
  <c r="E273" i="7"/>
  <c r="D273" i="7"/>
  <c r="C273" i="7"/>
  <c r="B273" i="7"/>
  <c r="A273" i="7"/>
  <c r="S272" i="7"/>
  <c r="R272" i="7"/>
  <c r="P272" i="7"/>
  <c r="O272" i="7"/>
  <c r="N272" i="7"/>
  <c r="M272" i="7"/>
  <c r="L272" i="7"/>
  <c r="K272" i="7"/>
  <c r="J272" i="7"/>
  <c r="I272" i="7"/>
  <c r="H272" i="7"/>
  <c r="G272" i="7"/>
  <c r="F272" i="7"/>
  <c r="E272" i="7"/>
  <c r="D272" i="7"/>
  <c r="C272" i="7"/>
  <c r="B272" i="7"/>
  <c r="A272" i="7"/>
  <c r="S271" i="7"/>
  <c r="P271" i="7"/>
  <c r="O271" i="7"/>
  <c r="N271" i="7"/>
  <c r="M271" i="7"/>
  <c r="L271" i="7"/>
  <c r="K271" i="7"/>
  <c r="J271" i="7"/>
  <c r="I271" i="7"/>
  <c r="H271" i="7"/>
  <c r="G271" i="7"/>
  <c r="F271" i="7"/>
  <c r="E271" i="7"/>
  <c r="D271" i="7"/>
  <c r="C271" i="7"/>
  <c r="B271" i="7"/>
  <c r="A271" i="7"/>
  <c r="S270" i="7"/>
  <c r="R270" i="7"/>
  <c r="P270" i="7"/>
  <c r="O270" i="7"/>
  <c r="N270" i="7"/>
  <c r="M270" i="7"/>
  <c r="L270" i="7"/>
  <c r="K270" i="7"/>
  <c r="J270" i="7"/>
  <c r="I270" i="7"/>
  <c r="H270" i="7"/>
  <c r="G270" i="7"/>
  <c r="F270" i="7"/>
  <c r="E270" i="7"/>
  <c r="D270" i="7"/>
  <c r="C270" i="7"/>
  <c r="B270" i="7"/>
  <c r="A270" i="7"/>
  <c r="S269" i="7"/>
  <c r="R269" i="7"/>
  <c r="P269" i="7"/>
  <c r="O269" i="7"/>
  <c r="N269" i="7"/>
  <c r="M269" i="7"/>
  <c r="L269" i="7"/>
  <c r="K269" i="7"/>
  <c r="J269" i="7"/>
  <c r="I269" i="7"/>
  <c r="H269" i="7"/>
  <c r="G269" i="7"/>
  <c r="F269" i="7"/>
  <c r="E269" i="7"/>
  <c r="D269" i="7"/>
  <c r="C269" i="7"/>
  <c r="B269" i="7"/>
  <c r="A269" i="7"/>
  <c r="S268" i="7"/>
  <c r="Q268" i="7"/>
  <c r="M268" i="7"/>
  <c r="L268" i="7"/>
  <c r="K268" i="7"/>
  <c r="J268" i="7"/>
  <c r="I268" i="7"/>
  <c r="H268" i="7"/>
  <c r="G268" i="7"/>
  <c r="F268" i="7"/>
  <c r="E268" i="7"/>
  <c r="C268" i="7"/>
  <c r="B268" i="7"/>
  <c r="A268" i="7"/>
  <c r="S267" i="7"/>
  <c r="R267" i="7"/>
  <c r="P267" i="7"/>
  <c r="O267" i="7"/>
  <c r="N267" i="7"/>
  <c r="M267" i="7"/>
  <c r="L267" i="7"/>
  <c r="K267" i="7"/>
  <c r="J267" i="7"/>
  <c r="I267" i="7"/>
  <c r="H267" i="7"/>
  <c r="G267" i="7"/>
  <c r="F267" i="7"/>
  <c r="E267" i="7"/>
  <c r="D267" i="7"/>
  <c r="C267" i="7"/>
  <c r="B267" i="7"/>
  <c r="A267" i="7"/>
  <c r="S266" i="7"/>
  <c r="R266" i="7"/>
  <c r="P266" i="7"/>
  <c r="O266" i="7"/>
  <c r="N266" i="7"/>
  <c r="M266" i="7"/>
  <c r="L266" i="7"/>
  <c r="K266" i="7"/>
  <c r="J266" i="7"/>
  <c r="I266" i="7"/>
  <c r="H266" i="7"/>
  <c r="G266" i="7"/>
  <c r="F266" i="7"/>
  <c r="E266" i="7"/>
  <c r="D266" i="7"/>
  <c r="C266" i="7"/>
  <c r="B266" i="7"/>
  <c r="A266" i="7"/>
  <c r="S265" i="7"/>
  <c r="M265" i="7"/>
  <c r="L265" i="7"/>
  <c r="K265" i="7"/>
  <c r="J265" i="7"/>
  <c r="I265" i="7"/>
  <c r="H265" i="7"/>
  <c r="G265" i="7"/>
  <c r="F265" i="7"/>
  <c r="E265" i="7"/>
  <c r="D265" i="7"/>
  <c r="C265" i="7"/>
  <c r="B265" i="7"/>
  <c r="A265" i="7"/>
  <c r="T264" i="7"/>
  <c r="S264" i="7"/>
  <c r="R264" i="7"/>
  <c r="Q264" i="7"/>
  <c r="P264" i="7"/>
  <c r="O264" i="7"/>
  <c r="N264" i="7"/>
  <c r="M264" i="7"/>
  <c r="L264" i="7"/>
  <c r="K264" i="7"/>
  <c r="J264" i="7"/>
  <c r="I264" i="7"/>
  <c r="H264" i="7"/>
  <c r="G264" i="7"/>
  <c r="F264" i="7"/>
  <c r="E264" i="7"/>
  <c r="D264" i="7"/>
  <c r="C264" i="7"/>
  <c r="B264" i="7"/>
  <c r="A264" i="7"/>
  <c r="S263" i="7"/>
  <c r="R263" i="7"/>
  <c r="P263" i="7"/>
  <c r="O263" i="7"/>
  <c r="N263" i="7"/>
  <c r="M263" i="7"/>
  <c r="L263" i="7"/>
  <c r="K263" i="7"/>
  <c r="J263" i="7"/>
  <c r="I263" i="7"/>
  <c r="H263" i="7"/>
  <c r="G263" i="7"/>
  <c r="F263" i="7"/>
  <c r="E263" i="7"/>
  <c r="D263" i="7"/>
  <c r="C263" i="7"/>
  <c r="B263" i="7"/>
  <c r="A263" i="7"/>
  <c r="S262" i="7"/>
  <c r="M262" i="7"/>
  <c r="L262" i="7"/>
  <c r="K262" i="7"/>
  <c r="J262" i="7"/>
  <c r="I262" i="7"/>
  <c r="H262" i="7"/>
  <c r="G262" i="7"/>
  <c r="F262" i="7"/>
  <c r="E262" i="7"/>
  <c r="D262" i="7"/>
  <c r="C262" i="7"/>
  <c r="B262" i="7"/>
  <c r="A262" i="7"/>
  <c r="S261" i="7"/>
  <c r="R261" i="7"/>
  <c r="P261" i="7"/>
  <c r="O261" i="7"/>
  <c r="N261" i="7"/>
  <c r="M261" i="7"/>
  <c r="L261" i="7"/>
  <c r="K261" i="7"/>
  <c r="J261" i="7"/>
  <c r="I261" i="7"/>
  <c r="H261" i="7"/>
  <c r="G261" i="7"/>
  <c r="F261" i="7"/>
  <c r="E261" i="7"/>
  <c r="D261" i="7"/>
  <c r="C261" i="7"/>
  <c r="B261" i="7"/>
  <c r="A261" i="7"/>
  <c r="S260" i="7"/>
  <c r="M260" i="7"/>
  <c r="L260" i="7"/>
  <c r="K260" i="7"/>
  <c r="J260" i="7"/>
  <c r="I260" i="7"/>
  <c r="H260" i="7"/>
  <c r="G260" i="7"/>
  <c r="F260" i="7"/>
  <c r="E260" i="7"/>
  <c r="D260" i="7"/>
  <c r="C260" i="7"/>
  <c r="B260" i="7"/>
  <c r="A260" i="7"/>
  <c r="S259" i="7"/>
  <c r="R259" i="7"/>
  <c r="P259" i="7"/>
  <c r="O259" i="7"/>
  <c r="N259" i="7"/>
  <c r="M259" i="7"/>
  <c r="L259" i="7"/>
  <c r="K259" i="7"/>
  <c r="J259" i="7"/>
  <c r="I259" i="7"/>
  <c r="H259" i="7"/>
  <c r="G259" i="7"/>
  <c r="F259" i="7"/>
  <c r="E259" i="7"/>
  <c r="D259" i="7"/>
  <c r="C259" i="7"/>
  <c r="B259" i="7"/>
  <c r="A259" i="7"/>
  <c r="S258" i="7"/>
  <c r="M258" i="7"/>
  <c r="L258" i="7"/>
  <c r="K258" i="7"/>
  <c r="J258" i="7"/>
  <c r="I258" i="7"/>
  <c r="H258" i="7"/>
  <c r="G258" i="7"/>
  <c r="F258" i="7"/>
  <c r="E258" i="7"/>
  <c r="D258" i="7"/>
  <c r="C258" i="7"/>
  <c r="B258" i="7"/>
  <c r="A258" i="7"/>
  <c r="S257" i="7"/>
  <c r="R257" i="7"/>
  <c r="P257" i="7"/>
  <c r="O257" i="7"/>
  <c r="N257" i="7"/>
  <c r="M257" i="7"/>
  <c r="L257" i="7"/>
  <c r="K257" i="7"/>
  <c r="J257" i="7"/>
  <c r="I257" i="7"/>
  <c r="H257" i="7"/>
  <c r="G257" i="7"/>
  <c r="F257" i="7"/>
  <c r="E257" i="7"/>
  <c r="D257" i="7"/>
  <c r="C257" i="7"/>
  <c r="B257" i="7"/>
  <c r="A257" i="7"/>
  <c r="S256" i="7"/>
  <c r="M256" i="7"/>
  <c r="L256" i="7"/>
  <c r="K256" i="7"/>
  <c r="J256" i="7"/>
  <c r="I256" i="7"/>
  <c r="H256" i="7"/>
  <c r="G256" i="7"/>
  <c r="F256" i="7"/>
  <c r="E256" i="7"/>
  <c r="D256" i="7"/>
  <c r="C256" i="7"/>
  <c r="B256" i="7"/>
  <c r="A256" i="7"/>
  <c r="S255" i="7"/>
  <c r="M255" i="7"/>
  <c r="L255" i="7"/>
  <c r="K255" i="7"/>
  <c r="J255" i="7"/>
  <c r="I255" i="7"/>
  <c r="H255" i="7"/>
  <c r="G255" i="7"/>
  <c r="F255" i="7"/>
  <c r="E255" i="7"/>
  <c r="D255" i="7"/>
  <c r="C255" i="7"/>
  <c r="B255" i="7"/>
  <c r="A255" i="7"/>
  <c r="S254" i="7"/>
  <c r="M254" i="7"/>
  <c r="L254" i="7"/>
  <c r="K254" i="7"/>
  <c r="J254" i="7"/>
  <c r="I254" i="7"/>
  <c r="H254" i="7"/>
  <c r="G254" i="7"/>
  <c r="F254" i="7"/>
  <c r="E254" i="7"/>
  <c r="D254" i="7"/>
  <c r="C254" i="7"/>
  <c r="B254" i="7"/>
  <c r="A254" i="7"/>
  <c r="S253" i="7"/>
  <c r="M253" i="7"/>
  <c r="L253" i="7"/>
  <c r="K253" i="7"/>
  <c r="J253" i="7"/>
  <c r="I253" i="7"/>
  <c r="H253" i="7"/>
  <c r="G253" i="7"/>
  <c r="F253" i="7"/>
  <c r="E253" i="7"/>
  <c r="D253" i="7"/>
  <c r="C253" i="7"/>
  <c r="B253" i="7"/>
  <c r="A253" i="7"/>
  <c r="S252" i="7"/>
  <c r="R252" i="7"/>
  <c r="P252" i="7"/>
  <c r="O252" i="7"/>
  <c r="N252" i="7"/>
  <c r="M252" i="7"/>
  <c r="L252" i="7"/>
  <c r="K252" i="7"/>
  <c r="J252" i="7"/>
  <c r="I252" i="7"/>
  <c r="H252" i="7"/>
  <c r="G252" i="7"/>
  <c r="F252" i="7"/>
  <c r="E252" i="7"/>
  <c r="D252" i="7"/>
  <c r="C252" i="7"/>
  <c r="B252" i="7"/>
  <c r="A252" i="7"/>
  <c r="S251" i="7"/>
  <c r="M251" i="7"/>
  <c r="L251" i="7"/>
  <c r="K251" i="7"/>
  <c r="J251" i="7"/>
  <c r="I251" i="7"/>
  <c r="H251" i="7"/>
  <c r="G251" i="7"/>
  <c r="F251" i="7"/>
  <c r="E251" i="7"/>
  <c r="D251" i="7"/>
  <c r="C251" i="7"/>
  <c r="B251" i="7"/>
  <c r="A251" i="7"/>
  <c r="S250" i="7"/>
  <c r="R250" i="7"/>
  <c r="P250" i="7"/>
  <c r="O250" i="7"/>
  <c r="N250" i="7"/>
  <c r="M250" i="7"/>
  <c r="L250" i="7"/>
  <c r="K250" i="7"/>
  <c r="J250" i="7"/>
  <c r="I250" i="7"/>
  <c r="H250" i="7"/>
  <c r="G250" i="7"/>
  <c r="F250" i="7"/>
  <c r="E250" i="7"/>
  <c r="D250" i="7"/>
  <c r="C250" i="7"/>
  <c r="B250" i="7"/>
  <c r="A250" i="7"/>
  <c r="S249" i="7"/>
  <c r="L249" i="7"/>
  <c r="K249" i="7"/>
  <c r="J249" i="7"/>
  <c r="I249" i="7"/>
  <c r="H249" i="7"/>
  <c r="G249" i="7"/>
  <c r="F249" i="7"/>
  <c r="E249" i="7"/>
  <c r="D249" i="7"/>
  <c r="C249" i="7"/>
  <c r="B249" i="7"/>
  <c r="A249" i="7"/>
  <c r="S248" i="7"/>
  <c r="M248" i="7"/>
  <c r="L248" i="7"/>
  <c r="K248" i="7"/>
  <c r="J248" i="7"/>
  <c r="I248" i="7"/>
  <c r="H248" i="7"/>
  <c r="G248" i="7"/>
  <c r="F248" i="7"/>
  <c r="E248" i="7"/>
  <c r="D248" i="7"/>
  <c r="C248" i="7"/>
  <c r="B248" i="7"/>
  <c r="A248" i="7"/>
  <c r="S247" i="7"/>
  <c r="R247" i="7"/>
  <c r="P247" i="7"/>
  <c r="O247" i="7"/>
  <c r="N247" i="7"/>
  <c r="M247" i="7"/>
  <c r="L247" i="7"/>
  <c r="K247" i="7"/>
  <c r="J247" i="7"/>
  <c r="I247" i="7"/>
  <c r="H247" i="7"/>
  <c r="G247" i="7"/>
  <c r="F247" i="7"/>
  <c r="E247" i="7"/>
  <c r="D247" i="7"/>
  <c r="C247" i="7"/>
  <c r="B247" i="7"/>
  <c r="A247" i="7"/>
  <c r="S246" i="7"/>
  <c r="L246" i="7"/>
  <c r="K246" i="7"/>
  <c r="J246" i="7"/>
  <c r="I246" i="7"/>
  <c r="H246" i="7"/>
  <c r="G246" i="7"/>
  <c r="F246" i="7"/>
  <c r="E246" i="7"/>
  <c r="D246" i="7"/>
  <c r="C246" i="7"/>
  <c r="B246" i="7"/>
  <c r="A246" i="7"/>
  <c r="S245" i="7"/>
  <c r="M245" i="7"/>
  <c r="L245" i="7"/>
  <c r="K245" i="7"/>
  <c r="J245" i="7"/>
  <c r="I245" i="7"/>
  <c r="H245" i="7"/>
  <c r="G245" i="7"/>
  <c r="F245" i="7"/>
  <c r="E245" i="7"/>
  <c r="D245" i="7"/>
  <c r="C245" i="7"/>
  <c r="B245" i="7"/>
  <c r="A245" i="7"/>
  <c r="S244" i="7"/>
  <c r="R244" i="7"/>
  <c r="P244" i="7"/>
  <c r="O244" i="7"/>
  <c r="N244" i="7"/>
  <c r="M244" i="7"/>
  <c r="L244" i="7"/>
  <c r="K244" i="7"/>
  <c r="J244" i="7"/>
  <c r="I244" i="7"/>
  <c r="H244" i="7"/>
  <c r="G244" i="7"/>
  <c r="F244" i="7"/>
  <c r="E244" i="7"/>
  <c r="C244" i="7"/>
  <c r="B244" i="7"/>
  <c r="A244" i="7"/>
  <c r="S243" i="7"/>
  <c r="M243" i="7"/>
  <c r="L243" i="7"/>
  <c r="K243" i="7"/>
  <c r="J243" i="7"/>
  <c r="I243" i="7"/>
  <c r="H243" i="7"/>
  <c r="G243" i="7"/>
  <c r="F243" i="7"/>
  <c r="E243" i="7"/>
  <c r="D243" i="7"/>
  <c r="C243" i="7"/>
  <c r="B243" i="7"/>
  <c r="A243" i="7"/>
  <c r="S242" i="7"/>
  <c r="L242" i="7"/>
  <c r="K242" i="7"/>
  <c r="J242" i="7"/>
  <c r="I242" i="7"/>
  <c r="H242" i="7"/>
  <c r="G242" i="7"/>
  <c r="F242" i="7"/>
  <c r="E242" i="7"/>
  <c r="D242" i="7"/>
  <c r="C242" i="7"/>
  <c r="B242" i="7"/>
  <c r="A242" i="7"/>
  <c r="S241" i="7"/>
  <c r="R241" i="7"/>
  <c r="P241" i="7"/>
  <c r="O241" i="7"/>
  <c r="N241" i="7"/>
  <c r="M241" i="7"/>
  <c r="L241" i="7"/>
  <c r="K241" i="7"/>
  <c r="J241" i="7"/>
  <c r="I241" i="7"/>
  <c r="H241" i="7"/>
  <c r="G241" i="7"/>
  <c r="F241" i="7"/>
  <c r="E241" i="7"/>
  <c r="D241" i="7"/>
  <c r="C241" i="7"/>
  <c r="B241" i="7"/>
  <c r="A241" i="7"/>
  <c r="S240" i="7"/>
  <c r="M240" i="7"/>
  <c r="L240" i="7"/>
  <c r="K240" i="7"/>
  <c r="J240" i="7"/>
  <c r="I240" i="7"/>
  <c r="H240" i="7"/>
  <c r="G240" i="7"/>
  <c r="F240" i="7"/>
  <c r="E240" i="7"/>
  <c r="D240" i="7"/>
  <c r="C240" i="7"/>
  <c r="B240" i="7"/>
  <c r="A240" i="7"/>
  <c r="T239" i="7"/>
  <c r="S239" i="7"/>
  <c r="R239" i="7"/>
  <c r="Q239" i="7"/>
  <c r="P239" i="7"/>
  <c r="O239" i="7"/>
  <c r="N239" i="7"/>
  <c r="M239" i="7"/>
  <c r="L239" i="7"/>
  <c r="K239" i="7"/>
  <c r="J239" i="7"/>
  <c r="I239" i="7"/>
  <c r="H239" i="7"/>
  <c r="G239" i="7"/>
  <c r="F239" i="7"/>
  <c r="E239" i="7"/>
  <c r="D239" i="7"/>
  <c r="C239" i="7"/>
  <c r="B239" i="7"/>
  <c r="A239" i="7"/>
  <c r="S238" i="7"/>
  <c r="M238" i="7"/>
  <c r="L238" i="7"/>
  <c r="K238" i="7"/>
  <c r="J238" i="7"/>
  <c r="I238" i="7"/>
  <c r="H238" i="7"/>
  <c r="G238" i="7"/>
  <c r="F238" i="7"/>
  <c r="E238" i="7"/>
  <c r="D238" i="7"/>
  <c r="C238" i="7"/>
  <c r="B238" i="7"/>
  <c r="A238" i="7"/>
  <c r="S237" i="7"/>
  <c r="M237" i="7"/>
  <c r="L237" i="7"/>
  <c r="K237" i="7"/>
  <c r="J237" i="7"/>
  <c r="I237" i="7"/>
  <c r="H237" i="7"/>
  <c r="G237" i="7"/>
  <c r="F237" i="7"/>
  <c r="E237" i="7"/>
  <c r="D237" i="7"/>
  <c r="C237" i="7"/>
  <c r="B237" i="7"/>
  <c r="A237" i="7"/>
  <c r="S236" i="7"/>
  <c r="R236" i="7"/>
  <c r="P236" i="7"/>
  <c r="O236" i="7"/>
  <c r="N236" i="7"/>
  <c r="M236" i="7"/>
  <c r="L236" i="7"/>
  <c r="K236" i="7"/>
  <c r="J236" i="7"/>
  <c r="I236" i="7"/>
  <c r="H236" i="7"/>
  <c r="G236" i="7"/>
  <c r="F236" i="7"/>
  <c r="E236" i="7"/>
  <c r="D236" i="7"/>
  <c r="C236" i="7"/>
  <c r="B236" i="7"/>
  <c r="A236" i="7"/>
  <c r="S235" i="7"/>
  <c r="M235" i="7"/>
  <c r="L235" i="7"/>
  <c r="K235" i="7"/>
  <c r="J235" i="7"/>
  <c r="I235" i="7"/>
  <c r="H235" i="7"/>
  <c r="G235" i="7"/>
  <c r="F235" i="7"/>
  <c r="E235" i="7"/>
  <c r="D235" i="7"/>
  <c r="C235" i="7"/>
  <c r="B235" i="7"/>
  <c r="A235" i="7"/>
  <c r="S234" i="7"/>
  <c r="P234" i="7"/>
  <c r="O234" i="7"/>
  <c r="N234" i="7"/>
  <c r="M234" i="7"/>
  <c r="L234" i="7"/>
  <c r="K234" i="7"/>
  <c r="J234" i="7"/>
  <c r="I234" i="7"/>
  <c r="H234" i="7"/>
  <c r="G234" i="7"/>
  <c r="F234" i="7"/>
  <c r="E234" i="7"/>
  <c r="D234" i="7"/>
  <c r="C234" i="7"/>
  <c r="B234" i="7"/>
  <c r="A234" i="7"/>
  <c r="S233" i="7"/>
  <c r="M233" i="7"/>
  <c r="L233" i="7"/>
  <c r="K233" i="7"/>
  <c r="J233" i="7"/>
  <c r="I233" i="7"/>
  <c r="H233" i="7"/>
  <c r="G233" i="7"/>
  <c r="F233" i="7"/>
  <c r="E233" i="7"/>
  <c r="D233" i="7"/>
  <c r="C233" i="7"/>
  <c r="B233" i="7"/>
  <c r="A233" i="7"/>
  <c r="S232" i="7"/>
  <c r="Q232" i="7"/>
  <c r="M232" i="7"/>
  <c r="L232" i="7"/>
  <c r="K232" i="7"/>
  <c r="J232" i="7"/>
  <c r="I232" i="7"/>
  <c r="H232" i="7"/>
  <c r="G232" i="7"/>
  <c r="F232" i="7"/>
  <c r="E232" i="7"/>
  <c r="D232" i="7"/>
  <c r="C232" i="7"/>
  <c r="B232" i="7"/>
  <c r="A232" i="7"/>
  <c r="S231" i="7"/>
  <c r="R231" i="7"/>
  <c r="P231" i="7"/>
  <c r="O231" i="7"/>
  <c r="N231" i="7"/>
  <c r="M231" i="7"/>
  <c r="L231" i="7"/>
  <c r="K231" i="7"/>
  <c r="J231" i="7"/>
  <c r="I231" i="7"/>
  <c r="H231" i="7"/>
  <c r="G231" i="7"/>
  <c r="F231" i="7"/>
  <c r="E231" i="7"/>
  <c r="D231" i="7"/>
  <c r="C231" i="7"/>
  <c r="B231" i="7"/>
  <c r="A231" i="7"/>
  <c r="S230" i="7"/>
  <c r="R230" i="7"/>
  <c r="P230" i="7"/>
  <c r="O230" i="7"/>
  <c r="N230" i="7"/>
  <c r="M230" i="7"/>
  <c r="L230" i="7"/>
  <c r="K230" i="7"/>
  <c r="J230" i="7"/>
  <c r="I230" i="7"/>
  <c r="H230" i="7"/>
  <c r="G230" i="7"/>
  <c r="F230" i="7"/>
  <c r="E230" i="7"/>
  <c r="D230" i="7"/>
  <c r="C230" i="7"/>
  <c r="B230" i="7"/>
  <c r="A230" i="7"/>
  <c r="S229" i="7"/>
  <c r="Q229" i="7"/>
  <c r="M229" i="7"/>
  <c r="L229" i="7"/>
  <c r="K229" i="7"/>
  <c r="J229" i="7"/>
  <c r="I229" i="7"/>
  <c r="H229" i="7"/>
  <c r="G229" i="7"/>
  <c r="F229" i="7"/>
  <c r="E229" i="7"/>
  <c r="D229" i="7"/>
  <c r="C229" i="7"/>
  <c r="B229" i="7"/>
  <c r="A229" i="7"/>
  <c r="S228" i="7"/>
  <c r="R228" i="7"/>
  <c r="P228" i="7"/>
  <c r="O228" i="7"/>
  <c r="N228" i="7"/>
  <c r="M228" i="7"/>
  <c r="L228" i="7"/>
  <c r="K228" i="7"/>
  <c r="J228" i="7"/>
  <c r="I228" i="7"/>
  <c r="H228" i="7"/>
  <c r="G228" i="7"/>
  <c r="F228" i="7"/>
  <c r="E228" i="7"/>
  <c r="D228" i="7"/>
  <c r="C228" i="7"/>
  <c r="B228" i="7"/>
  <c r="A228" i="7"/>
  <c r="S227" i="7"/>
  <c r="R227" i="7"/>
  <c r="P227" i="7"/>
  <c r="O227" i="7"/>
  <c r="N227" i="7"/>
  <c r="M227" i="7"/>
  <c r="L227" i="7"/>
  <c r="K227" i="7"/>
  <c r="J227" i="7"/>
  <c r="I227" i="7"/>
  <c r="H227" i="7"/>
  <c r="G227" i="7"/>
  <c r="F227" i="7"/>
  <c r="E227" i="7"/>
  <c r="D227" i="7"/>
  <c r="C227" i="7"/>
  <c r="B227" i="7"/>
  <c r="A227" i="7"/>
  <c r="S226" i="7"/>
  <c r="L226" i="7"/>
  <c r="K226" i="7"/>
  <c r="J226" i="7"/>
  <c r="I226" i="7"/>
  <c r="H226" i="7"/>
  <c r="G226" i="7"/>
  <c r="F226" i="7"/>
  <c r="E226" i="7"/>
  <c r="D226" i="7"/>
  <c r="C226" i="7"/>
  <c r="B226" i="7"/>
  <c r="A226" i="7"/>
  <c r="S225" i="7"/>
  <c r="L225" i="7"/>
  <c r="K225" i="7"/>
  <c r="J225" i="7"/>
  <c r="I225" i="7"/>
  <c r="H225" i="7"/>
  <c r="G225" i="7"/>
  <c r="F225" i="7"/>
  <c r="E225" i="7"/>
  <c r="D225" i="7"/>
  <c r="C225" i="7"/>
  <c r="B225" i="7"/>
  <c r="A225" i="7"/>
  <c r="S224" i="7"/>
  <c r="R224" i="7"/>
  <c r="P224" i="7"/>
  <c r="O224" i="7"/>
  <c r="N224" i="7"/>
  <c r="M224" i="7"/>
  <c r="L224" i="7"/>
  <c r="K224" i="7"/>
  <c r="J224" i="7"/>
  <c r="I224" i="7"/>
  <c r="H224" i="7"/>
  <c r="G224" i="7"/>
  <c r="F224" i="7"/>
  <c r="E224" i="7"/>
  <c r="D224" i="7"/>
  <c r="C224" i="7"/>
  <c r="B224" i="7"/>
  <c r="A224" i="7"/>
  <c r="S223" i="7"/>
  <c r="Q223" i="7"/>
  <c r="M223" i="7"/>
  <c r="L223" i="7"/>
  <c r="K223" i="7"/>
  <c r="J223" i="7"/>
  <c r="I223" i="7"/>
  <c r="H223" i="7"/>
  <c r="G223" i="7"/>
  <c r="F223" i="7"/>
  <c r="E223" i="7"/>
  <c r="D223" i="7"/>
  <c r="C223" i="7"/>
  <c r="B223" i="7"/>
  <c r="A223" i="7"/>
  <c r="S222" i="7"/>
  <c r="R222" i="7"/>
  <c r="P222" i="7"/>
  <c r="O222" i="7"/>
  <c r="N222" i="7"/>
  <c r="M222" i="7"/>
  <c r="L222" i="7"/>
  <c r="K222" i="7"/>
  <c r="J222" i="7"/>
  <c r="I222" i="7"/>
  <c r="H222" i="7"/>
  <c r="G222" i="7"/>
  <c r="F222" i="7"/>
  <c r="E222" i="7"/>
  <c r="D222" i="7"/>
  <c r="C222" i="7"/>
  <c r="B222" i="7"/>
  <c r="A222" i="7"/>
  <c r="S221" i="7"/>
  <c r="L221" i="7"/>
  <c r="K221" i="7"/>
  <c r="J221" i="7"/>
  <c r="I221" i="7"/>
  <c r="H221" i="7"/>
  <c r="G221" i="7"/>
  <c r="F221" i="7"/>
  <c r="E221" i="7"/>
  <c r="D221" i="7"/>
  <c r="C221" i="7"/>
  <c r="B221" i="7"/>
  <c r="A221" i="7"/>
  <c r="S220" i="7"/>
  <c r="P220" i="7"/>
  <c r="O220" i="7"/>
  <c r="N220" i="7"/>
  <c r="M220" i="7"/>
  <c r="L220" i="7"/>
  <c r="K220" i="7"/>
  <c r="J220" i="7"/>
  <c r="I220" i="7"/>
  <c r="H220" i="7"/>
  <c r="G220" i="7"/>
  <c r="F220" i="7"/>
  <c r="E220" i="7"/>
  <c r="D220" i="7"/>
  <c r="C220" i="7"/>
  <c r="B220" i="7"/>
  <c r="A220" i="7"/>
  <c r="S219" i="7"/>
  <c r="M219" i="7"/>
  <c r="L219" i="7"/>
  <c r="K219" i="7"/>
  <c r="J219" i="7"/>
  <c r="I219" i="7"/>
  <c r="H219" i="7"/>
  <c r="G219" i="7"/>
  <c r="F219" i="7"/>
  <c r="E219" i="7"/>
  <c r="D219" i="7"/>
  <c r="C219" i="7"/>
  <c r="B219" i="7"/>
  <c r="A219" i="7"/>
  <c r="S218" i="7"/>
  <c r="R218" i="7"/>
  <c r="P218" i="7"/>
  <c r="O218" i="7"/>
  <c r="N218" i="7"/>
  <c r="M218" i="7"/>
  <c r="L218" i="7"/>
  <c r="K218" i="7"/>
  <c r="J218" i="7"/>
  <c r="I218" i="7"/>
  <c r="H218" i="7"/>
  <c r="G218" i="7"/>
  <c r="F218" i="7"/>
  <c r="E218" i="7"/>
  <c r="D218" i="7"/>
  <c r="C218" i="7"/>
  <c r="B218" i="7"/>
  <c r="A218" i="7"/>
  <c r="S217" i="7"/>
  <c r="R217" i="7"/>
  <c r="P217" i="7"/>
  <c r="O217" i="7"/>
  <c r="N217" i="7"/>
  <c r="M217" i="7"/>
  <c r="L217" i="7"/>
  <c r="K217" i="7"/>
  <c r="J217" i="7"/>
  <c r="I217" i="7"/>
  <c r="H217" i="7"/>
  <c r="G217" i="7"/>
  <c r="F217" i="7"/>
  <c r="E217" i="7"/>
  <c r="D217" i="7"/>
  <c r="C217" i="7"/>
  <c r="B217" i="7"/>
  <c r="A217" i="7"/>
  <c r="S216" i="7"/>
  <c r="M216" i="7"/>
  <c r="L216" i="7"/>
  <c r="K216" i="7"/>
  <c r="J216" i="7"/>
  <c r="I216" i="7"/>
  <c r="H216" i="7"/>
  <c r="G216" i="7"/>
  <c r="F216" i="7"/>
  <c r="E216" i="7"/>
  <c r="D216" i="7"/>
  <c r="C216" i="7"/>
  <c r="B216" i="7"/>
  <c r="A216" i="7"/>
  <c r="S215" i="7"/>
  <c r="M215" i="7"/>
  <c r="L215" i="7"/>
  <c r="K215" i="7"/>
  <c r="J215" i="7"/>
  <c r="I215" i="7"/>
  <c r="H215" i="7"/>
  <c r="G215" i="7"/>
  <c r="F215" i="7"/>
  <c r="E215" i="7"/>
  <c r="D215" i="7"/>
  <c r="C215" i="7"/>
  <c r="B215" i="7"/>
  <c r="A215" i="7"/>
  <c r="S214" i="7"/>
  <c r="M214" i="7"/>
  <c r="L214" i="7"/>
  <c r="K214" i="7"/>
  <c r="J214" i="7"/>
  <c r="I214" i="7"/>
  <c r="H214" i="7"/>
  <c r="G214" i="7"/>
  <c r="F214" i="7"/>
  <c r="E214" i="7"/>
  <c r="D214" i="7"/>
  <c r="C214" i="7"/>
  <c r="B214" i="7"/>
  <c r="A214" i="7"/>
  <c r="S213" i="7"/>
  <c r="R213" i="7"/>
  <c r="P213" i="7"/>
  <c r="O213" i="7"/>
  <c r="N213" i="7"/>
  <c r="M213" i="7"/>
  <c r="L213" i="7"/>
  <c r="K213" i="7"/>
  <c r="J213" i="7"/>
  <c r="I213" i="7"/>
  <c r="H213" i="7"/>
  <c r="G213" i="7"/>
  <c r="F213" i="7"/>
  <c r="E213" i="7"/>
  <c r="D213" i="7"/>
  <c r="C213" i="7"/>
  <c r="B213" i="7"/>
  <c r="A213" i="7"/>
  <c r="S212" i="7"/>
  <c r="M212" i="7"/>
  <c r="L212" i="7"/>
  <c r="K212" i="7"/>
  <c r="J212" i="7"/>
  <c r="I212" i="7"/>
  <c r="H212" i="7"/>
  <c r="G212" i="7"/>
  <c r="F212" i="7"/>
  <c r="E212" i="7"/>
  <c r="D212" i="7"/>
  <c r="C212" i="7"/>
  <c r="B212" i="7"/>
  <c r="A212" i="7"/>
  <c r="S211" i="7"/>
  <c r="R211" i="7"/>
  <c r="P211" i="7"/>
  <c r="O211" i="7"/>
  <c r="N211" i="7"/>
  <c r="M211" i="7"/>
  <c r="L211" i="7"/>
  <c r="K211" i="7"/>
  <c r="J211" i="7"/>
  <c r="I211" i="7"/>
  <c r="H211" i="7"/>
  <c r="G211" i="7"/>
  <c r="F211" i="7"/>
  <c r="E211" i="7"/>
  <c r="D211" i="7"/>
  <c r="C211" i="7"/>
  <c r="B211" i="7"/>
  <c r="A211" i="7"/>
  <c r="S210" i="7"/>
  <c r="Q210" i="7"/>
  <c r="M210" i="7"/>
  <c r="L210" i="7"/>
  <c r="K210" i="7"/>
  <c r="J210" i="7"/>
  <c r="I210" i="7"/>
  <c r="H210" i="7"/>
  <c r="G210" i="7"/>
  <c r="F210" i="7"/>
  <c r="E210" i="7"/>
  <c r="D210" i="7"/>
  <c r="C210" i="7"/>
  <c r="B210" i="7"/>
  <c r="A210" i="7"/>
  <c r="S209" i="7"/>
  <c r="Q209" i="7"/>
  <c r="M209" i="7"/>
  <c r="L209" i="7"/>
  <c r="K209" i="7"/>
  <c r="J209" i="7"/>
  <c r="I209" i="7"/>
  <c r="H209" i="7"/>
  <c r="G209" i="7"/>
  <c r="F209" i="7"/>
  <c r="E209" i="7"/>
  <c r="D209" i="7"/>
  <c r="C209" i="7"/>
  <c r="B209" i="7"/>
  <c r="A209" i="7"/>
  <c r="S208" i="7"/>
  <c r="Q208" i="7"/>
  <c r="M208" i="7"/>
  <c r="L208" i="7"/>
  <c r="K208" i="7"/>
  <c r="J208" i="7"/>
  <c r="I208" i="7"/>
  <c r="H208" i="7"/>
  <c r="G208" i="7"/>
  <c r="F208" i="7"/>
  <c r="E208" i="7"/>
  <c r="D208" i="7"/>
  <c r="C208" i="7"/>
  <c r="B208" i="7"/>
  <c r="A208" i="7"/>
  <c r="S207" i="7"/>
  <c r="R207" i="7"/>
  <c r="P207" i="7"/>
  <c r="O207" i="7"/>
  <c r="N207" i="7"/>
  <c r="M207" i="7"/>
  <c r="L207" i="7"/>
  <c r="K207" i="7"/>
  <c r="J207" i="7"/>
  <c r="I207" i="7"/>
  <c r="H207" i="7"/>
  <c r="G207" i="7"/>
  <c r="F207" i="7"/>
  <c r="E207" i="7"/>
  <c r="D207" i="7"/>
  <c r="C207" i="7"/>
  <c r="B207" i="7"/>
  <c r="A207" i="7"/>
  <c r="T206" i="7"/>
  <c r="S206" i="7"/>
  <c r="R206" i="7"/>
  <c r="Q206" i="7"/>
  <c r="P206" i="7"/>
  <c r="O206" i="7"/>
  <c r="N206" i="7"/>
  <c r="M206" i="7"/>
  <c r="L206" i="7"/>
  <c r="K206" i="7"/>
  <c r="J206" i="7"/>
  <c r="I206" i="7"/>
  <c r="H206" i="7"/>
  <c r="G206" i="7"/>
  <c r="F206" i="7"/>
  <c r="E206" i="7"/>
  <c r="D206" i="7"/>
  <c r="C206" i="7"/>
  <c r="B206" i="7"/>
  <c r="A206" i="7"/>
  <c r="T205" i="7"/>
  <c r="S205" i="7"/>
  <c r="R205" i="7"/>
  <c r="Q205" i="7"/>
  <c r="P205" i="7"/>
  <c r="O205" i="7"/>
  <c r="N205" i="7"/>
  <c r="L205" i="7"/>
  <c r="K205" i="7"/>
  <c r="J205" i="7"/>
  <c r="I205" i="7"/>
  <c r="H205" i="7"/>
  <c r="G205" i="7"/>
  <c r="F205" i="7"/>
  <c r="E205" i="7"/>
  <c r="D205" i="7"/>
  <c r="C205" i="7"/>
  <c r="B205" i="7"/>
  <c r="A205" i="7"/>
  <c r="S204" i="7"/>
  <c r="R204" i="7"/>
  <c r="P204" i="7"/>
  <c r="O204" i="7"/>
  <c r="N204" i="7"/>
  <c r="M204" i="7"/>
  <c r="L204" i="7"/>
  <c r="K204" i="7"/>
  <c r="J204" i="7"/>
  <c r="I204" i="7"/>
  <c r="H204" i="7"/>
  <c r="G204" i="7"/>
  <c r="F204" i="7"/>
  <c r="E204" i="7"/>
  <c r="D204" i="7"/>
  <c r="C204" i="7"/>
  <c r="B204" i="7"/>
  <c r="A204" i="7"/>
  <c r="S203" i="7"/>
  <c r="M203" i="7"/>
  <c r="L203" i="7"/>
  <c r="K203" i="7"/>
  <c r="J203" i="7"/>
  <c r="I203" i="7"/>
  <c r="H203" i="7"/>
  <c r="G203" i="7"/>
  <c r="F203" i="7"/>
  <c r="E203" i="7"/>
  <c r="D203" i="7"/>
  <c r="C203" i="7"/>
  <c r="B203" i="7"/>
  <c r="A203" i="7"/>
  <c r="S202" i="7"/>
  <c r="M202" i="7"/>
  <c r="L202" i="7"/>
  <c r="K202" i="7"/>
  <c r="J202" i="7"/>
  <c r="I202" i="7"/>
  <c r="H202" i="7"/>
  <c r="G202" i="7"/>
  <c r="F202" i="7"/>
  <c r="E202" i="7"/>
  <c r="D202" i="7"/>
  <c r="C202" i="7"/>
  <c r="B202" i="7"/>
  <c r="A202" i="7"/>
  <c r="S201" i="7"/>
  <c r="R201" i="7"/>
  <c r="P201" i="7"/>
  <c r="O201" i="7"/>
  <c r="N201" i="7"/>
  <c r="M201" i="7"/>
  <c r="L201" i="7"/>
  <c r="K201" i="7"/>
  <c r="J201" i="7"/>
  <c r="I201" i="7"/>
  <c r="H201" i="7"/>
  <c r="G201" i="7"/>
  <c r="F201" i="7"/>
  <c r="E201" i="7"/>
  <c r="D201" i="7"/>
  <c r="C201" i="7"/>
  <c r="B201" i="7"/>
  <c r="A201" i="7"/>
  <c r="S200" i="7"/>
  <c r="L200" i="7"/>
  <c r="K200" i="7"/>
  <c r="J200" i="7"/>
  <c r="I200" i="7"/>
  <c r="H200" i="7"/>
  <c r="G200" i="7"/>
  <c r="F200" i="7"/>
  <c r="E200" i="7"/>
  <c r="D200" i="7"/>
  <c r="C200" i="7"/>
  <c r="B200" i="7"/>
  <c r="A200" i="7"/>
  <c r="S199" i="7"/>
  <c r="L199" i="7"/>
  <c r="K199" i="7"/>
  <c r="J199" i="7"/>
  <c r="I199" i="7"/>
  <c r="H199" i="7"/>
  <c r="G199" i="7"/>
  <c r="F199" i="7"/>
  <c r="E199" i="7"/>
  <c r="D199" i="7"/>
  <c r="C199" i="7"/>
  <c r="B199" i="7"/>
  <c r="A199" i="7"/>
  <c r="S198" i="7"/>
  <c r="Q198" i="7"/>
  <c r="M198" i="7"/>
  <c r="L198" i="7"/>
  <c r="K198" i="7"/>
  <c r="J198" i="7"/>
  <c r="I198" i="7"/>
  <c r="H198" i="7"/>
  <c r="G198" i="7"/>
  <c r="F198" i="7"/>
  <c r="E198" i="7"/>
  <c r="D198" i="7"/>
  <c r="C198" i="7"/>
  <c r="B198" i="7"/>
  <c r="A198" i="7"/>
  <c r="S197" i="7"/>
  <c r="R197" i="7"/>
  <c r="P197" i="7"/>
  <c r="O197" i="7"/>
  <c r="N197" i="7"/>
  <c r="M197" i="7"/>
  <c r="L197" i="7"/>
  <c r="K197" i="7"/>
  <c r="J197" i="7"/>
  <c r="I197" i="7"/>
  <c r="H197" i="7"/>
  <c r="G197" i="7"/>
  <c r="F197" i="7"/>
  <c r="E197" i="7"/>
  <c r="D197" i="7"/>
  <c r="C197" i="7"/>
  <c r="B197" i="7"/>
  <c r="A197" i="7"/>
  <c r="T196" i="7"/>
  <c r="S196" i="7"/>
  <c r="R196" i="7"/>
  <c r="Q196" i="7"/>
  <c r="P196" i="7"/>
  <c r="O196" i="7"/>
  <c r="N196" i="7"/>
  <c r="M196" i="7"/>
  <c r="L196" i="7"/>
  <c r="K196" i="7"/>
  <c r="J196" i="7"/>
  <c r="I196" i="7"/>
  <c r="H196" i="7"/>
  <c r="G196" i="7"/>
  <c r="F196" i="7"/>
  <c r="E196" i="7"/>
  <c r="D196" i="7"/>
  <c r="C196" i="7"/>
  <c r="B196" i="7"/>
  <c r="A196" i="7"/>
  <c r="S195" i="7"/>
  <c r="R195" i="7"/>
  <c r="P195" i="7"/>
  <c r="O195" i="7"/>
  <c r="N195" i="7"/>
  <c r="M195" i="7"/>
  <c r="L195" i="7"/>
  <c r="K195" i="7"/>
  <c r="J195" i="7"/>
  <c r="I195" i="7"/>
  <c r="H195" i="7"/>
  <c r="G195" i="7"/>
  <c r="F195" i="7"/>
  <c r="E195" i="7"/>
  <c r="C195" i="7"/>
  <c r="B195" i="7"/>
  <c r="A195" i="7"/>
  <c r="S194" i="7"/>
  <c r="Q194" i="7"/>
  <c r="M194" i="7"/>
  <c r="L194" i="7"/>
  <c r="K194" i="7"/>
  <c r="J194" i="7"/>
  <c r="I194" i="7"/>
  <c r="H194" i="7"/>
  <c r="G194" i="7"/>
  <c r="F194" i="7"/>
  <c r="E194" i="7"/>
  <c r="D194" i="7"/>
  <c r="C194" i="7"/>
  <c r="B194" i="7"/>
  <c r="A194" i="7"/>
  <c r="S193" i="7"/>
  <c r="L193" i="7"/>
  <c r="K193" i="7"/>
  <c r="J193" i="7"/>
  <c r="I193" i="7"/>
  <c r="H193" i="7"/>
  <c r="G193" i="7"/>
  <c r="F193" i="7"/>
  <c r="E193" i="7"/>
  <c r="D193" i="7"/>
  <c r="C193" i="7"/>
  <c r="B193" i="7"/>
  <c r="A193" i="7"/>
  <c r="S192" i="7"/>
  <c r="L192" i="7"/>
  <c r="K192" i="7"/>
  <c r="J192" i="7"/>
  <c r="I192" i="7"/>
  <c r="H192" i="7"/>
  <c r="G192" i="7"/>
  <c r="F192" i="7"/>
  <c r="E192" i="7"/>
  <c r="D192" i="7"/>
  <c r="C192" i="7"/>
  <c r="B192" i="7"/>
  <c r="A192" i="7"/>
  <c r="S191" i="7"/>
  <c r="R191" i="7"/>
  <c r="P191" i="7"/>
  <c r="O191" i="7"/>
  <c r="N191" i="7"/>
  <c r="M191" i="7"/>
  <c r="L191" i="7"/>
  <c r="K191" i="7"/>
  <c r="J191" i="7"/>
  <c r="I191" i="7"/>
  <c r="H191" i="7"/>
  <c r="G191" i="7"/>
  <c r="F191" i="7"/>
  <c r="E191" i="7"/>
  <c r="C191" i="7"/>
  <c r="B191" i="7"/>
  <c r="A191" i="7"/>
  <c r="S190" i="7"/>
  <c r="M190" i="7"/>
  <c r="L190" i="7"/>
  <c r="K190" i="7"/>
  <c r="J190" i="7"/>
  <c r="I190" i="7"/>
  <c r="H190" i="7"/>
  <c r="G190" i="7"/>
  <c r="F190" i="7"/>
  <c r="E190" i="7"/>
  <c r="D190" i="7"/>
  <c r="C190" i="7"/>
  <c r="B190" i="7"/>
  <c r="A190" i="7"/>
  <c r="S189" i="7"/>
  <c r="R189" i="7"/>
  <c r="P189" i="7"/>
  <c r="O189" i="7"/>
  <c r="N189" i="7"/>
  <c r="M189" i="7"/>
  <c r="L189" i="7"/>
  <c r="K189" i="7"/>
  <c r="J189" i="7"/>
  <c r="I189" i="7"/>
  <c r="H189" i="7"/>
  <c r="G189" i="7"/>
  <c r="F189" i="7"/>
  <c r="E189" i="7"/>
  <c r="D189" i="7"/>
  <c r="C189" i="7"/>
  <c r="B189" i="7"/>
  <c r="A189" i="7"/>
  <c r="S188" i="7"/>
  <c r="Q188" i="7"/>
  <c r="M188" i="7"/>
  <c r="L188" i="7"/>
  <c r="K188" i="7"/>
  <c r="J188" i="7"/>
  <c r="I188" i="7"/>
  <c r="H188" i="7"/>
  <c r="G188" i="7"/>
  <c r="F188" i="7"/>
  <c r="E188" i="7"/>
  <c r="D188" i="7"/>
  <c r="C188" i="7"/>
  <c r="B188" i="7"/>
  <c r="A188" i="7"/>
  <c r="S187" i="7"/>
  <c r="R187" i="7"/>
  <c r="P187" i="7"/>
  <c r="O187" i="7"/>
  <c r="N187" i="7"/>
  <c r="M187" i="7"/>
  <c r="L187" i="7"/>
  <c r="K187" i="7"/>
  <c r="J187" i="7"/>
  <c r="I187" i="7"/>
  <c r="H187" i="7"/>
  <c r="G187" i="7"/>
  <c r="F187" i="7"/>
  <c r="E187" i="7"/>
  <c r="D187" i="7"/>
  <c r="C187" i="7"/>
  <c r="B187" i="7"/>
  <c r="A187" i="7"/>
  <c r="S186" i="7"/>
  <c r="M186" i="7"/>
  <c r="L186" i="7"/>
  <c r="K186" i="7"/>
  <c r="J186" i="7"/>
  <c r="I186" i="7"/>
  <c r="H186" i="7"/>
  <c r="G186" i="7"/>
  <c r="F186" i="7"/>
  <c r="E186" i="7"/>
  <c r="D186" i="7"/>
  <c r="C186" i="7"/>
  <c r="B186" i="7"/>
  <c r="A186" i="7"/>
  <c r="S185" i="7"/>
  <c r="R185" i="7"/>
  <c r="P185" i="7"/>
  <c r="O185" i="7"/>
  <c r="N185" i="7"/>
  <c r="M185" i="7"/>
  <c r="L185" i="7"/>
  <c r="K185" i="7"/>
  <c r="J185" i="7"/>
  <c r="I185" i="7"/>
  <c r="H185" i="7"/>
  <c r="G185" i="7"/>
  <c r="F185" i="7"/>
  <c r="E185" i="7"/>
  <c r="D185" i="7"/>
  <c r="C185" i="7"/>
  <c r="B185" i="7"/>
  <c r="A185" i="7"/>
  <c r="S184" i="7"/>
  <c r="R184" i="7"/>
  <c r="P184" i="7"/>
  <c r="O184" i="7"/>
  <c r="N184" i="7"/>
  <c r="M184" i="7"/>
  <c r="L184" i="7"/>
  <c r="K184" i="7"/>
  <c r="J184" i="7"/>
  <c r="I184" i="7"/>
  <c r="H184" i="7"/>
  <c r="G184" i="7"/>
  <c r="F184" i="7"/>
  <c r="E184" i="7"/>
  <c r="D184" i="7"/>
  <c r="C184" i="7"/>
  <c r="B184" i="7"/>
  <c r="A184" i="7"/>
  <c r="S183" i="7"/>
  <c r="R183" i="7"/>
  <c r="P183" i="7"/>
  <c r="O183" i="7"/>
  <c r="N183" i="7"/>
  <c r="M183" i="7"/>
  <c r="L183" i="7"/>
  <c r="K183" i="7"/>
  <c r="J183" i="7"/>
  <c r="I183" i="7"/>
  <c r="H183" i="7"/>
  <c r="G183" i="7"/>
  <c r="F183" i="7"/>
  <c r="E183" i="7"/>
  <c r="D183" i="7"/>
  <c r="C183" i="7"/>
  <c r="B183" i="7"/>
  <c r="A183" i="7"/>
  <c r="S182" i="7"/>
  <c r="M182" i="7"/>
  <c r="L182" i="7"/>
  <c r="K182" i="7"/>
  <c r="J182" i="7"/>
  <c r="I182" i="7"/>
  <c r="H182" i="7"/>
  <c r="G182" i="7"/>
  <c r="F182" i="7"/>
  <c r="E182" i="7"/>
  <c r="D182" i="7"/>
  <c r="C182" i="7"/>
  <c r="B182" i="7"/>
  <c r="A182" i="7"/>
  <c r="T181" i="7"/>
  <c r="S181" i="7"/>
  <c r="R181" i="7"/>
  <c r="Q181" i="7"/>
  <c r="P181" i="7"/>
  <c r="O181" i="7"/>
  <c r="N181" i="7"/>
  <c r="M181" i="7"/>
  <c r="L181" i="7"/>
  <c r="K181" i="7"/>
  <c r="J181" i="7"/>
  <c r="I181" i="7"/>
  <c r="H181" i="7"/>
  <c r="G181" i="7"/>
  <c r="F181" i="7"/>
  <c r="E181" i="7"/>
  <c r="D181" i="7"/>
  <c r="C181" i="7"/>
  <c r="B181" i="7"/>
  <c r="A181" i="7"/>
  <c r="S180" i="7"/>
  <c r="M180" i="7"/>
  <c r="L180" i="7"/>
  <c r="K180" i="7"/>
  <c r="J180" i="7"/>
  <c r="I180" i="7"/>
  <c r="H180" i="7"/>
  <c r="G180" i="7"/>
  <c r="F180" i="7"/>
  <c r="E180" i="7"/>
  <c r="D180" i="7"/>
  <c r="C180" i="7"/>
  <c r="B180" i="7"/>
  <c r="A180" i="7"/>
  <c r="S179" i="7"/>
  <c r="M179" i="7"/>
  <c r="L179" i="7"/>
  <c r="K179" i="7"/>
  <c r="J179" i="7"/>
  <c r="I179" i="7"/>
  <c r="H179" i="7"/>
  <c r="G179" i="7"/>
  <c r="F179" i="7"/>
  <c r="E179" i="7"/>
  <c r="D179" i="7"/>
  <c r="C179" i="7"/>
  <c r="B179" i="7"/>
  <c r="A179" i="7"/>
  <c r="S178" i="7"/>
  <c r="M178" i="7"/>
  <c r="L178" i="7"/>
  <c r="K178" i="7"/>
  <c r="J178" i="7"/>
  <c r="I178" i="7"/>
  <c r="H178" i="7"/>
  <c r="G178" i="7"/>
  <c r="F178" i="7"/>
  <c r="E178" i="7"/>
  <c r="D178" i="7"/>
  <c r="C178" i="7"/>
  <c r="B178" i="7"/>
  <c r="A178" i="7"/>
  <c r="S177" i="7"/>
  <c r="M177" i="7"/>
  <c r="L177" i="7"/>
  <c r="K177" i="7"/>
  <c r="J177" i="7"/>
  <c r="I177" i="7"/>
  <c r="H177" i="7"/>
  <c r="G177" i="7"/>
  <c r="F177" i="7"/>
  <c r="E177" i="7"/>
  <c r="D177" i="7"/>
  <c r="C177" i="7"/>
  <c r="B177" i="7"/>
  <c r="A177" i="7"/>
  <c r="S176" i="7"/>
  <c r="M176" i="7"/>
  <c r="L176" i="7"/>
  <c r="K176" i="7"/>
  <c r="J176" i="7"/>
  <c r="I176" i="7"/>
  <c r="H176" i="7"/>
  <c r="G176" i="7"/>
  <c r="F176" i="7"/>
  <c r="E176" i="7"/>
  <c r="D176" i="7"/>
  <c r="C176" i="7"/>
  <c r="B176" i="7"/>
  <c r="A176" i="7"/>
  <c r="S175" i="7"/>
  <c r="M175" i="7"/>
  <c r="L175" i="7"/>
  <c r="K175" i="7"/>
  <c r="J175" i="7"/>
  <c r="I175" i="7"/>
  <c r="H175" i="7"/>
  <c r="G175" i="7"/>
  <c r="F175" i="7"/>
  <c r="E175" i="7"/>
  <c r="D175" i="7"/>
  <c r="C175" i="7"/>
  <c r="B175" i="7"/>
  <c r="A175" i="7"/>
  <c r="S174" i="7"/>
  <c r="M174" i="7"/>
  <c r="L174" i="7"/>
  <c r="K174" i="7"/>
  <c r="J174" i="7"/>
  <c r="I174" i="7"/>
  <c r="H174" i="7"/>
  <c r="G174" i="7"/>
  <c r="F174" i="7"/>
  <c r="E174" i="7"/>
  <c r="D174" i="7"/>
  <c r="C174" i="7"/>
  <c r="B174" i="7"/>
  <c r="A174" i="7"/>
  <c r="S173" i="7"/>
  <c r="R173" i="7"/>
  <c r="P173" i="7"/>
  <c r="O173" i="7"/>
  <c r="N173" i="7"/>
  <c r="M173" i="7"/>
  <c r="L173" i="7"/>
  <c r="K173" i="7"/>
  <c r="J173" i="7"/>
  <c r="I173" i="7"/>
  <c r="H173" i="7"/>
  <c r="G173" i="7"/>
  <c r="F173" i="7"/>
  <c r="E173" i="7"/>
  <c r="D173" i="7"/>
  <c r="C173" i="7"/>
  <c r="B173" i="7"/>
  <c r="A173" i="7"/>
  <c r="S172" i="7"/>
  <c r="M172" i="7"/>
  <c r="L172" i="7"/>
  <c r="K172" i="7"/>
  <c r="J172" i="7"/>
  <c r="I172" i="7"/>
  <c r="H172" i="7"/>
  <c r="G172" i="7"/>
  <c r="F172" i="7"/>
  <c r="E172" i="7"/>
  <c r="D172" i="7"/>
  <c r="C172" i="7"/>
  <c r="B172" i="7"/>
  <c r="A172" i="7"/>
  <c r="S171" i="7"/>
  <c r="M171" i="7"/>
  <c r="L171" i="7"/>
  <c r="K171" i="7"/>
  <c r="J171" i="7"/>
  <c r="I171" i="7"/>
  <c r="H171" i="7"/>
  <c r="G171" i="7"/>
  <c r="F171" i="7"/>
  <c r="E171" i="7"/>
  <c r="D171" i="7"/>
  <c r="C171" i="7"/>
  <c r="B171" i="7"/>
  <c r="A171" i="7"/>
  <c r="S170" i="7"/>
  <c r="R170" i="7"/>
  <c r="P170" i="7"/>
  <c r="O170" i="7"/>
  <c r="N170" i="7"/>
  <c r="M170" i="7"/>
  <c r="L170" i="7"/>
  <c r="K170" i="7"/>
  <c r="J170" i="7"/>
  <c r="I170" i="7"/>
  <c r="H170" i="7"/>
  <c r="G170" i="7"/>
  <c r="F170" i="7"/>
  <c r="E170" i="7"/>
  <c r="D170" i="7"/>
  <c r="C170" i="7"/>
  <c r="B170" i="7"/>
  <c r="A170" i="7"/>
  <c r="S169" i="7"/>
  <c r="R169" i="7"/>
  <c r="P169" i="7"/>
  <c r="O169" i="7"/>
  <c r="N169" i="7"/>
  <c r="M169" i="7"/>
  <c r="L169" i="7"/>
  <c r="K169" i="7"/>
  <c r="J169" i="7"/>
  <c r="I169" i="7"/>
  <c r="H169" i="7"/>
  <c r="G169" i="7"/>
  <c r="F169" i="7"/>
  <c r="E169" i="7"/>
  <c r="D169" i="7"/>
  <c r="C169" i="7"/>
  <c r="B169" i="7"/>
  <c r="A169" i="7"/>
  <c r="S168" i="7"/>
  <c r="M168" i="7"/>
  <c r="L168" i="7"/>
  <c r="K168" i="7"/>
  <c r="J168" i="7"/>
  <c r="I168" i="7"/>
  <c r="H168" i="7"/>
  <c r="G168" i="7"/>
  <c r="F168" i="7"/>
  <c r="E168" i="7"/>
  <c r="D168" i="7"/>
  <c r="C168" i="7"/>
  <c r="B168" i="7"/>
  <c r="A168" i="7"/>
  <c r="S167" i="7"/>
  <c r="M167" i="7"/>
  <c r="L167" i="7"/>
  <c r="K167" i="7"/>
  <c r="J167" i="7"/>
  <c r="I167" i="7"/>
  <c r="H167" i="7"/>
  <c r="G167" i="7"/>
  <c r="F167" i="7"/>
  <c r="E167" i="7"/>
  <c r="D167" i="7"/>
  <c r="C167" i="7"/>
  <c r="B167" i="7"/>
  <c r="A167" i="7"/>
  <c r="S166" i="7"/>
  <c r="R166" i="7"/>
  <c r="P166" i="7"/>
  <c r="O166" i="7"/>
  <c r="N166" i="7"/>
  <c r="M166" i="7"/>
  <c r="L166" i="7"/>
  <c r="K166" i="7"/>
  <c r="J166" i="7"/>
  <c r="I166" i="7"/>
  <c r="H166" i="7"/>
  <c r="G166" i="7"/>
  <c r="F166" i="7"/>
  <c r="E166" i="7"/>
  <c r="D166" i="7"/>
  <c r="C166" i="7"/>
  <c r="B166" i="7"/>
  <c r="A166" i="7"/>
  <c r="S165" i="7"/>
  <c r="M165" i="7"/>
  <c r="L165" i="7"/>
  <c r="K165" i="7"/>
  <c r="J165" i="7"/>
  <c r="I165" i="7"/>
  <c r="H165" i="7"/>
  <c r="G165" i="7"/>
  <c r="F165" i="7"/>
  <c r="E165" i="7"/>
  <c r="D165" i="7"/>
  <c r="C165" i="7"/>
  <c r="B165" i="7"/>
  <c r="A165" i="7"/>
  <c r="S164" i="7"/>
  <c r="M164" i="7"/>
  <c r="L164" i="7"/>
  <c r="K164" i="7"/>
  <c r="J164" i="7"/>
  <c r="I164" i="7"/>
  <c r="H164" i="7"/>
  <c r="G164" i="7"/>
  <c r="F164" i="7"/>
  <c r="E164" i="7"/>
  <c r="D164" i="7"/>
  <c r="C164" i="7"/>
  <c r="B164" i="7"/>
  <c r="A164" i="7"/>
  <c r="T163" i="7"/>
  <c r="S163" i="7"/>
  <c r="R163" i="7"/>
  <c r="Q163" i="7"/>
  <c r="P163" i="7"/>
  <c r="O163" i="7"/>
  <c r="N163" i="7"/>
  <c r="M163" i="7"/>
  <c r="L163" i="7"/>
  <c r="K163" i="7"/>
  <c r="J163" i="7"/>
  <c r="I163" i="7"/>
  <c r="H163" i="7"/>
  <c r="G163" i="7"/>
  <c r="F163" i="7"/>
  <c r="E163" i="7"/>
  <c r="D163" i="7"/>
  <c r="C163" i="7"/>
  <c r="B163" i="7"/>
  <c r="A163" i="7"/>
  <c r="S162" i="7"/>
  <c r="R162" i="7"/>
  <c r="P162" i="7"/>
  <c r="O162" i="7"/>
  <c r="N162" i="7"/>
  <c r="M162" i="7"/>
  <c r="L162" i="7"/>
  <c r="K162" i="7"/>
  <c r="J162" i="7"/>
  <c r="I162" i="7"/>
  <c r="H162" i="7"/>
  <c r="G162" i="7"/>
  <c r="F162" i="7"/>
  <c r="E162" i="7"/>
  <c r="D162" i="7"/>
  <c r="C162" i="7"/>
  <c r="B162" i="7"/>
  <c r="A162" i="7"/>
  <c r="T161" i="7"/>
  <c r="S161" i="7"/>
  <c r="R161" i="7"/>
  <c r="Q161" i="7"/>
  <c r="P161" i="7"/>
  <c r="O161" i="7"/>
  <c r="N161" i="7"/>
  <c r="M161" i="7"/>
  <c r="L161" i="7"/>
  <c r="K161" i="7"/>
  <c r="J161" i="7"/>
  <c r="I161" i="7"/>
  <c r="H161" i="7"/>
  <c r="G161" i="7"/>
  <c r="F161" i="7"/>
  <c r="E161" i="7"/>
  <c r="D161" i="7"/>
  <c r="C161" i="7"/>
  <c r="B161" i="7"/>
  <c r="A161" i="7"/>
  <c r="S160" i="7"/>
  <c r="M160" i="7"/>
  <c r="L160" i="7"/>
  <c r="K160" i="7"/>
  <c r="J160" i="7"/>
  <c r="I160" i="7"/>
  <c r="H160" i="7"/>
  <c r="G160" i="7"/>
  <c r="F160" i="7"/>
  <c r="E160" i="7"/>
  <c r="D160" i="7"/>
  <c r="C160" i="7"/>
  <c r="B160" i="7"/>
  <c r="A160" i="7"/>
  <c r="S159" i="7"/>
  <c r="R159" i="7"/>
  <c r="P159" i="7"/>
  <c r="O159" i="7"/>
  <c r="N159" i="7"/>
  <c r="M159" i="7"/>
  <c r="L159" i="7"/>
  <c r="K159" i="7"/>
  <c r="J159" i="7"/>
  <c r="I159" i="7"/>
  <c r="H159" i="7"/>
  <c r="G159" i="7"/>
  <c r="F159" i="7"/>
  <c r="E159" i="7"/>
  <c r="D159" i="7"/>
  <c r="C159" i="7"/>
  <c r="B159" i="7"/>
  <c r="A159" i="7"/>
  <c r="S158" i="7"/>
  <c r="R158" i="7"/>
  <c r="P158" i="7"/>
  <c r="O158" i="7"/>
  <c r="N158" i="7"/>
  <c r="M158" i="7"/>
  <c r="L158" i="7"/>
  <c r="K158" i="7"/>
  <c r="J158" i="7"/>
  <c r="I158" i="7"/>
  <c r="H158" i="7"/>
  <c r="G158" i="7"/>
  <c r="F158" i="7"/>
  <c r="E158" i="7"/>
  <c r="C158" i="7"/>
  <c r="B158" i="7"/>
  <c r="A158" i="7"/>
  <c r="S157" i="7"/>
  <c r="R157" i="7"/>
  <c r="P157" i="7"/>
  <c r="O157" i="7"/>
  <c r="N157" i="7"/>
  <c r="M157" i="7"/>
  <c r="L157" i="7"/>
  <c r="K157" i="7"/>
  <c r="J157" i="7"/>
  <c r="I157" i="7"/>
  <c r="H157" i="7"/>
  <c r="G157" i="7"/>
  <c r="F157" i="7"/>
  <c r="E157" i="7"/>
  <c r="D157" i="7"/>
  <c r="C157" i="7"/>
  <c r="B157" i="7"/>
  <c r="A157" i="7"/>
  <c r="T156" i="7"/>
  <c r="S156" i="7"/>
  <c r="R156" i="7"/>
  <c r="P156" i="7"/>
  <c r="O156" i="7"/>
  <c r="N156" i="7"/>
  <c r="M156" i="7"/>
  <c r="L156" i="7"/>
  <c r="K156" i="7"/>
  <c r="J156" i="7"/>
  <c r="I156" i="7"/>
  <c r="H156" i="7"/>
  <c r="G156" i="7"/>
  <c r="F156" i="7"/>
  <c r="E156" i="7"/>
  <c r="D156" i="7"/>
  <c r="C156" i="7"/>
  <c r="B156" i="7"/>
  <c r="A156" i="7"/>
  <c r="S155" i="7"/>
  <c r="M155" i="7"/>
  <c r="L155" i="7"/>
  <c r="K155" i="7"/>
  <c r="J155" i="7"/>
  <c r="I155" i="7"/>
  <c r="H155" i="7"/>
  <c r="G155" i="7"/>
  <c r="F155" i="7"/>
  <c r="E155" i="7"/>
  <c r="D155" i="7"/>
  <c r="C155" i="7"/>
  <c r="B155" i="7"/>
  <c r="A155" i="7"/>
  <c r="S154" i="7"/>
  <c r="R154" i="7"/>
  <c r="P154" i="7"/>
  <c r="O154" i="7"/>
  <c r="N154" i="7"/>
  <c r="M154" i="7"/>
  <c r="L154" i="7"/>
  <c r="K154" i="7"/>
  <c r="J154" i="7"/>
  <c r="I154" i="7"/>
  <c r="H154" i="7"/>
  <c r="G154" i="7"/>
  <c r="F154" i="7"/>
  <c r="E154" i="7"/>
  <c r="D154" i="7"/>
  <c r="C154" i="7"/>
  <c r="B154" i="7"/>
  <c r="A154" i="7"/>
  <c r="S153" i="7"/>
  <c r="M153" i="7"/>
  <c r="L153" i="7"/>
  <c r="K153" i="7"/>
  <c r="J153" i="7"/>
  <c r="I153" i="7"/>
  <c r="H153" i="7"/>
  <c r="G153" i="7"/>
  <c r="F153" i="7"/>
  <c r="E153" i="7"/>
  <c r="D153" i="7"/>
  <c r="C153" i="7"/>
  <c r="B153" i="7"/>
  <c r="A153" i="7"/>
  <c r="T152" i="7"/>
  <c r="S152" i="7"/>
  <c r="R152" i="7"/>
  <c r="Q152" i="7"/>
  <c r="P152" i="7"/>
  <c r="O152" i="7"/>
  <c r="N152" i="7"/>
  <c r="M152" i="7"/>
  <c r="L152" i="7"/>
  <c r="K152" i="7"/>
  <c r="J152" i="7"/>
  <c r="I152" i="7"/>
  <c r="H152" i="7"/>
  <c r="G152" i="7"/>
  <c r="F152" i="7"/>
  <c r="E152" i="7"/>
  <c r="D152" i="7"/>
  <c r="C152" i="7"/>
  <c r="B152" i="7"/>
  <c r="A152" i="7"/>
  <c r="T151" i="7"/>
  <c r="S151" i="7"/>
  <c r="R151" i="7"/>
  <c r="Q151" i="7"/>
  <c r="P151" i="7"/>
  <c r="O151" i="7"/>
  <c r="N151" i="7"/>
  <c r="M151" i="7"/>
  <c r="L151" i="7"/>
  <c r="K151" i="7"/>
  <c r="J151" i="7"/>
  <c r="I151" i="7"/>
  <c r="H151" i="7"/>
  <c r="G151" i="7"/>
  <c r="F151" i="7"/>
  <c r="E151" i="7"/>
  <c r="D151" i="7"/>
  <c r="C151" i="7"/>
  <c r="B151" i="7"/>
  <c r="A151" i="7"/>
  <c r="S150" i="7"/>
  <c r="M150" i="7"/>
  <c r="L150" i="7"/>
  <c r="K150" i="7"/>
  <c r="J150" i="7"/>
  <c r="I150" i="7"/>
  <c r="H150" i="7"/>
  <c r="G150" i="7"/>
  <c r="F150" i="7"/>
  <c r="E150" i="7"/>
  <c r="D150" i="7"/>
  <c r="C150" i="7"/>
  <c r="B150" i="7"/>
  <c r="A150" i="7"/>
  <c r="T149" i="7"/>
  <c r="S149" i="7"/>
  <c r="R149" i="7"/>
  <c r="Q149" i="7"/>
  <c r="P149" i="7"/>
  <c r="O149" i="7"/>
  <c r="N149" i="7"/>
  <c r="M149" i="7"/>
  <c r="L149" i="7"/>
  <c r="K149" i="7"/>
  <c r="J149" i="7"/>
  <c r="I149" i="7"/>
  <c r="H149" i="7"/>
  <c r="G149" i="7"/>
  <c r="F149" i="7"/>
  <c r="E149" i="7"/>
  <c r="D149" i="7"/>
  <c r="C149" i="7"/>
  <c r="B149" i="7"/>
  <c r="A149" i="7"/>
  <c r="T148" i="7"/>
  <c r="S148" i="7"/>
  <c r="R148" i="7"/>
  <c r="Q148" i="7"/>
  <c r="P148" i="7"/>
  <c r="O148" i="7"/>
  <c r="N148" i="7"/>
  <c r="M148" i="7"/>
  <c r="L148" i="7"/>
  <c r="K148" i="7"/>
  <c r="J148" i="7"/>
  <c r="I148" i="7"/>
  <c r="H148" i="7"/>
  <c r="G148" i="7"/>
  <c r="F148" i="7"/>
  <c r="E148" i="7"/>
  <c r="D148" i="7"/>
  <c r="C148" i="7"/>
  <c r="B148" i="7"/>
  <c r="A148" i="7"/>
  <c r="S147" i="7"/>
  <c r="L147" i="7"/>
  <c r="K147" i="7"/>
  <c r="J147" i="7"/>
  <c r="I147" i="7"/>
  <c r="H147" i="7"/>
  <c r="F147" i="7"/>
  <c r="E147" i="7"/>
  <c r="D147" i="7"/>
  <c r="C147" i="7"/>
  <c r="B147" i="7"/>
  <c r="A147" i="7"/>
  <c r="S146" i="7"/>
  <c r="L146" i="7"/>
  <c r="K146" i="7"/>
  <c r="J146" i="7"/>
  <c r="I146" i="7"/>
  <c r="H146" i="7"/>
  <c r="F146" i="7"/>
  <c r="E146" i="7"/>
  <c r="D146" i="7"/>
  <c r="C146" i="7"/>
  <c r="B146" i="7"/>
  <c r="A146" i="7"/>
  <c r="S145" i="7"/>
  <c r="L145" i="7"/>
  <c r="K145" i="7"/>
  <c r="J145" i="7"/>
  <c r="I145" i="7"/>
  <c r="H145" i="7"/>
  <c r="F145" i="7"/>
  <c r="D145" i="7"/>
  <c r="C145" i="7"/>
  <c r="B145" i="7"/>
  <c r="A145" i="7"/>
  <c r="S144" i="7"/>
  <c r="R144" i="7"/>
  <c r="P144" i="7"/>
  <c r="O144" i="7"/>
  <c r="N144" i="7"/>
  <c r="M144" i="7"/>
  <c r="L144" i="7"/>
  <c r="K144" i="7"/>
  <c r="J144" i="7"/>
  <c r="I144" i="7"/>
  <c r="H144" i="7"/>
  <c r="G144" i="7"/>
  <c r="F144" i="7"/>
  <c r="E144" i="7"/>
  <c r="D144" i="7"/>
  <c r="C144" i="7"/>
  <c r="B144" i="7"/>
  <c r="A144" i="7"/>
  <c r="S143" i="7"/>
  <c r="L143" i="7"/>
  <c r="K143" i="7"/>
  <c r="J143" i="7"/>
  <c r="I143" i="7"/>
  <c r="H143" i="7"/>
  <c r="F143" i="7"/>
  <c r="D143" i="7"/>
  <c r="C143" i="7"/>
  <c r="B143" i="7"/>
  <c r="A143" i="7"/>
  <c r="S142" i="7"/>
  <c r="L142" i="7"/>
  <c r="K142" i="7"/>
  <c r="J142" i="7"/>
  <c r="I142" i="7"/>
  <c r="H142" i="7"/>
  <c r="F142" i="7"/>
  <c r="D142" i="7"/>
  <c r="C142" i="7"/>
  <c r="B142" i="7"/>
  <c r="A142" i="7"/>
  <c r="S141" i="7"/>
  <c r="R141" i="7"/>
  <c r="P141" i="7"/>
  <c r="O141" i="7"/>
  <c r="N141" i="7"/>
  <c r="M141" i="7"/>
  <c r="L141" i="7"/>
  <c r="K141" i="7"/>
  <c r="J141" i="7"/>
  <c r="I141" i="7"/>
  <c r="H141" i="7"/>
  <c r="G141" i="7"/>
  <c r="F141" i="7"/>
  <c r="E141" i="7"/>
  <c r="D141" i="7"/>
  <c r="C141" i="7"/>
  <c r="B141" i="7"/>
  <c r="A141" i="7"/>
  <c r="S140" i="7"/>
  <c r="L140" i="7"/>
  <c r="K140" i="7"/>
  <c r="J140" i="7"/>
  <c r="I140" i="7"/>
  <c r="H140" i="7"/>
  <c r="F140" i="7"/>
  <c r="E140" i="7"/>
  <c r="D140" i="7"/>
  <c r="C140" i="7"/>
  <c r="B140" i="7"/>
  <c r="A140" i="7"/>
  <c r="S139" i="7"/>
  <c r="L139" i="7"/>
  <c r="K139" i="7"/>
  <c r="J139" i="7"/>
  <c r="I139" i="7"/>
  <c r="H139" i="7"/>
  <c r="F139" i="7"/>
  <c r="E139" i="7"/>
  <c r="D139" i="7"/>
  <c r="C139" i="7"/>
  <c r="B139" i="7"/>
  <c r="A139" i="7"/>
  <c r="S138" i="7"/>
  <c r="L138" i="7"/>
  <c r="K138" i="7"/>
  <c r="J138" i="7"/>
  <c r="I138" i="7"/>
  <c r="H138" i="7"/>
  <c r="F138" i="7"/>
  <c r="D138" i="7"/>
  <c r="C138" i="7"/>
  <c r="B138" i="7"/>
  <c r="A138" i="7"/>
  <c r="S137" i="7"/>
  <c r="R137" i="7"/>
  <c r="P137" i="7"/>
  <c r="O137" i="7"/>
  <c r="N137" i="7"/>
  <c r="M137" i="7"/>
  <c r="L137" i="7"/>
  <c r="K137" i="7"/>
  <c r="J137" i="7"/>
  <c r="I137" i="7"/>
  <c r="H137" i="7"/>
  <c r="G137" i="7"/>
  <c r="F137" i="7"/>
  <c r="E137" i="7"/>
  <c r="D137" i="7"/>
  <c r="C137" i="7"/>
  <c r="B137" i="7"/>
  <c r="A137" i="7"/>
  <c r="S136" i="7"/>
  <c r="R136" i="7"/>
  <c r="P136" i="7"/>
  <c r="O136" i="7"/>
  <c r="N136" i="7"/>
  <c r="M136" i="7"/>
  <c r="L136" i="7"/>
  <c r="K136" i="7"/>
  <c r="J136" i="7"/>
  <c r="I136" i="7"/>
  <c r="H136" i="7"/>
  <c r="G136" i="7"/>
  <c r="F136" i="7"/>
  <c r="E136" i="7"/>
  <c r="D136" i="7"/>
  <c r="C136" i="7"/>
  <c r="B136" i="7"/>
  <c r="A136" i="7"/>
  <c r="S135" i="7"/>
  <c r="L135" i="7"/>
  <c r="K135" i="7"/>
  <c r="J135" i="7"/>
  <c r="I135" i="7"/>
  <c r="H135" i="7"/>
  <c r="F135" i="7"/>
  <c r="E135" i="7"/>
  <c r="D135" i="7"/>
  <c r="C135" i="7"/>
  <c r="B135" i="7"/>
  <c r="A135" i="7"/>
  <c r="S134" i="7"/>
  <c r="L134" i="7"/>
  <c r="K134" i="7"/>
  <c r="J134" i="7"/>
  <c r="I134" i="7"/>
  <c r="H134" i="7"/>
  <c r="F134" i="7"/>
  <c r="E134" i="7"/>
  <c r="D134" i="7"/>
  <c r="C134" i="7"/>
  <c r="B134" i="7"/>
  <c r="A134" i="7"/>
  <c r="S133" i="7"/>
  <c r="L133" i="7"/>
  <c r="K133" i="7"/>
  <c r="J133" i="7"/>
  <c r="I133" i="7"/>
  <c r="H133" i="7"/>
  <c r="G133" i="7"/>
  <c r="F133" i="7"/>
  <c r="E133" i="7"/>
  <c r="D133" i="7"/>
  <c r="C133" i="7"/>
  <c r="B133" i="7"/>
  <c r="A133" i="7"/>
  <c r="S132" i="7"/>
  <c r="L132" i="7"/>
  <c r="K132" i="7"/>
  <c r="J132" i="7"/>
  <c r="I132" i="7"/>
  <c r="H132" i="7"/>
  <c r="G132" i="7"/>
  <c r="F132" i="7"/>
  <c r="E132" i="7"/>
  <c r="D132" i="7"/>
  <c r="C132" i="7"/>
  <c r="B132" i="7"/>
  <c r="A132" i="7"/>
  <c r="S131" i="7"/>
  <c r="R131" i="7"/>
  <c r="P131" i="7"/>
  <c r="O131" i="7"/>
  <c r="N131" i="7"/>
  <c r="M131" i="7"/>
  <c r="L131" i="7"/>
  <c r="K131" i="7"/>
  <c r="J131" i="7"/>
  <c r="I131" i="7"/>
  <c r="H131" i="7"/>
  <c r="G131" i="7"/>
  <c r="F131" i="7"/>
  <c r="E131" i="7"/>
  <c r="D131" i="7"/>
  <c r="C131" i="7"/>
  <c r="B131" i="7"/>
  <c r="A131" i="7"/>
  <c r="S130" i="7"/>
  <c r="L130" i="7"/>
  <c r="K130" i="7"/>
  <c r="J130" i="7"/>
  <c r="I130" i="7"/>
  <c r="H130" i="7"/>
  <c r="G130" i="7"/>
  <c r="F130" i="7"/>
  <c r="D130" i="7"/>
  <c r="C130" i="7"/>
  <c r="B130" i="7"/>
  <c r="A130" i="7"/>
  <c r="S129" i="7"/>
  <c r="L129" i="7"/>
  <c r="K129" i="7"/>
  <c r="J129" i="7"/>
  <c r="I129" i="7"/>
  <c r="H129" i="7"/>
  <c r="G129" i="7"/>
  <c r="F129" i="7"/>
  <c r="E129" i="7"/>
  <c r="D129" i="7"/>
  <c r="C129" i="7"/>
  <c r="B129" i="7"/>
  <c r="A129" i="7"/>
  <c r="S128" i="7"/>
  <c r="L128" i="7"/>
  <c r="K128" i="7"/>
  <c r="J128" i="7"/>
  <c r="I128" i="7"/>
  <c r="H128" i="7"/>
  <c r="G128" i="7"/>
  <c r="F128" i="7"/>
  <c r="E128" i="7"/>
  <c r="D128" i="7"/>
  <c r="C128" i="7"/>
  <c r="B128" i="7"/>
  <c r="A128" i="7"/>
  <c r="S127" i="7"/>
  <c r="L127" i="7"/>
  <c r="K127" i="7"/>
  <c r="J127" i="7"/>
  <c r="I127" i="7"/>
  <c r="H127" i="7"/>
  <c r="G127" i="7"/>
  <c r="F127" i="7"/>
  <c r="D127" i="7"/>
  <c r="C127" i="7"/>
  <c r="B127" i="7"/>
  <c r="A127" i="7"/>
  <c r="S126" i="7"/>
  <c r="L126" i="7"/>
  <c r="K126" i="7"/>
  <c r="J126" i="7"/>
  <c r="I126" i="7"/>
  <c r="H126" i="7"/>
  <c r="G126" i="7"/>
  <c r="F126" i="7"/>
  <c r="E126" i="7"/>
  <c r="D126" i="7"/>
  <c r="C126" i="7"/>
  <c r="B126" i="7"/>
  <c r="A126" i="7"/>
  <c r="S125" i="7"/>
  <c r="L125" i="7"/>
  <c r="K125" i="7"/>
  <c r="J125" i="7"/>
  <c r="I125" i="7"/>
  <c r="H125" i="7"/>
  <c r="G125" i="7"/>
  <c r="F125" i="7"/>
  <c r="E125" i="7"/>
  <c r="D125" i="7"/>
  <c r="C125" i="7"/>
  <c r="B125" i="7"/>
  <c r="A125" i="7"/>
  <c r="S124" i="7"/>
  <c r="L124" i="7"/>
  <c r="K124" i="7"/>
  <c r="J124" i="7"/>
  <c r="I124" i="7"/>
  <c r="H124" i="7"/>
  <c r="G124" i="7"/>
  <c r="F124" i="7"/>
  <c r="E124" i="7"/>
  <c r="D124" i="7"/>
  <c r="C124" i="7"/>
  <c r="B124" i="7"/>
  <c r="A124" i="7"/>
  <c r="S123" i="7"/>
  <c r="L123" i="7"/>
  <c r="K123" i="7"/>
  <c r="J123" i="7"/>
  <c r="I123" i="7"/>
  <c r="H123" i="7"/>
  <c r="G123" i="7"/>
  <c r="F123" i="7"/>
  <c r="E123" i="7"/>
  <c r="D123" i="7"/>
  <c r="C123" i="7"/>
  <c r="B123" i="7"/>
  <c r="A123" i="7"/>
  <c r="S122" i="7"/>
  <c r="R122" i="7"/>
  <c r="P122" i="7"/>
  <c r="O122" i="7"/>
  <c r="N122" i="7"/>
  <c r="M122" i="7"/>
  <c r="L122" i="7"/>
  <c r="K122" i="7"/>
  <c r="J122" i="7"/>
  <c r="I122" i="7"/>
  <c r="H122" i="7"/>
  <c r="G122" i="7"/>
  <c r="F122" i="7"/>
  <c r="E122" i="7"/>
  <c r="D122" i="7"/>
  <c r="C122" i="7"/>
  <c r="B122" i="7"/>
  <c r="A122" i="7"/>
  <c r="S121" i="7"/>
  <c r="L121" i="7"/>
  <c r="K121" i="7"/>
  <c r="J121" i="7"/>
  <c r="I121" i="7"/>
  <c r="H121" i="7"/>
  <c r="G121" i="7"/>
  <c r="F121" i="7"/>
  <c r="E121" i="7"/>
  <c r="D121" i="7"/>
  <c r="C121" i="7"/>
  <c r="B121" i="7"/>
  <c r="A121" i="7"/>
  <c r="S120" i="7"/>
  <c r="R120" i="7"/>
  <c r="P120" i="7"/>
  <c r="O120" i="7"/>
  <c r="N120" i="7"/>
  <c r="M120" i="7"/>
  <c r="L120" i="7"/>
  <c r="K120" i="7"/>
  <c r="J120" i="7"/>
  <c r="I120" i="7"/>
  <c r="H120" i="7"/>
  <c r="G120" i="7"/>
  <c r="F120" i="7"/>
  <c r="E120" i="7"/>
  <c r="D120" i="7"/>
  <c r="C120" i="7"/>
  <c r="B120" i="7"/>
  <c r="A120" i="7"/>
  <c r="S119" i="7"/>
  <c r="L119" i="7"/>
  <c r="K119" i="7"/>
  <c r="J119" i="7"/>
  <c r="I119" i="7"/>
  <c r="H119" i="7"/>
  <c r="G119" i="7"/>
  <c r="F119" i="7"/>
  <c r="E119" i="7"/>
  <c r="D119" i="7"/>
  <c r="C119" i="7"/>
  <c r="B119" i="7"/>
  <c r="A119" i="7"/>
  <c r="S118" i="7"/>
  <c r="L118" i="7"/>
  <c r="K118" i="7"/>
  <c r="J118" i="7"/>
  <c r="I118" i="7"/>
  <c r="H118" i="7"/>
  <c r="G118" i="7"/>
  <c r="F118" i="7"/>
  <c r="E118" i="7"/>
  <c r="D118" i="7"/>
  <c r="C118" i="7"/>
  <c r="B118" i="7"/>
  <c r="A118" i="7"/>
  <c r="S117" i="7"/>
  <c r="L117" i="7"/>
  <c r="K117" i="7"/>
  <c r="J117" i="7"/>
  <c r="I117" i="7"/>
  <c r="H117" i="7"/>
  <c r="G117" i="7"/>
  <c r="F117" i="7"/>
  <c r="E117" i="7"/>
  <c r="D117" i="7"/>
  <c r="C117" i="7"/>
  <c r="B117" i="7"/>
  <c r="A117" i="7"/>
  <c r="S116" i="7"/>
  <c r="L116" i="7"/>
  <c r="K116" i="7"/>
  <c r="J116" i="7"/>
  <c r="I116" i="7"/>
  <c r="H116" i="7"/>
  <c r="G116" i="7"/>
  <c r="F116" i="7"/>
  <c r="D116" i="7"/>
  <c r="C116" i="7"/>
  <c r="B116" i="7"/>
  <c r="A116" i="7"/>
  <c r="S115" i="7"/>
  <c r="L115" i="7"/>
  <c r="K115" i="7"/>
  <c r="J115" i="7"/>
  <c r="I115" i="7"/>
  <c r="H115" i="7"/>
  <c r="G115" i="7"/>
  <c r="F115" i="7"/>
  <c r="E115" i="7"/>
  <c r="D115" i="7"/>
  <c r="C115" i="7"/>
  <c r="B115" i="7"/>
  <c r="A115" i="7"/>
  <c r="S114" i="7"/>
  <c r="L114" i="7"/>
  <c r="K114" i="7"/>
  <c r="J114" i="7"/>
  <c r="I114" i="7"/>
  <c r="H114" i="7"/>
  <c r="F114" i="7"/>
  <c r="E114" i="7"/>
  <c r="D114" i="7"/>
  <c r="C114" i="7"/>
  <c r="B114" i="7"/>
  <c r="A114" i="7"/>
  <c r="S113" i="7"/>
  <c r="M113" i="7"/>
  <c r="L113" i="7"/>
  <c r="K113" i="7"/>
  <c r="J113" i="7"/>
  <c r="I113" i="7"/>
  <c r="H113" i="7"/>
  <c r="G113" i="7"/>
  <c r="F113" i="7"/>
  <c r="E113" i="7"/>
  <c r="D113" i="7"/>
  <c r="C113" i="7"/>
  <c r="B113" i="7"/>
  <c r="A113" i="7"/>
  <c r="S112" i="7"/>
  <c r="R112" i="7"/>
  <c r="P112" i="7"/>
  <c r="O112" i="7"/>
  <c r="N112" i="7"/>
  <c r="M112" i="7"/>
  <c r="L112" i="7"/>
  <c r="K112" i="7"/>
  <c r="J112" i="7"/>
  <c r="I112" i="7"/>
  <c r="H112" i="7"/>
  <c r="G112" i="7"/>
  <c r="F112" i="7"/>
  <c r="E112" i="7"/>
  <c r="D112" i="7"/>
  <c r="C112" i="7"/>
  <c r="B112" i="7"/>
  <c r="A112" i="7"/>
  <c r="S111" i="7"/>
  <c r="R111" i="7"/>
  <c r="P111" i="7"/>
  <c r="O111" i="7"/>
  <c r="N111" i="7"/>
  <c r="M111" i="7"/>
  <c r="L111" i="7"/>
  <c r="K111" i="7"/>
  <c r="J111" i="7"/>
  <c r="I111" i="7"/>
  <c r="H111" i="7"/>
  <c r="G111" i="7"/>
  <c r="F111" i="7"/>
  <c r="E111" i="7"/>
  <c r="D111" i="7"/>
  <c r="C111" i="7"/>
  <c r="B111" i="7"/>
  <c r="A111" i="7"/>
  <c r="S110" i="7"/>
  <c r="Q110" i="7"/>
  <c r="L110" i="7"/>
  <c r="K110" i="7"/>
  <c r="J110" i="7"/>
  <c r="I110" i="7"/>
  <c r="H110" i="7"/>
  <c r="G110" i="7"/>
  <c r="F110" i="7"/>
  <c r="E110" i="7"/>
  <c r="D110" i="7"/>
  <c r="C110" i="7"/>
  <c r="B110" i="7"/>
  <c r="A110" i="7"/>
  <c r="S109" i="7"/>
  <c r="Q109" i="7"/>
  <c r="M109" i="7"/>
  <c r="L109" i="7"/>
  <c r="K109" i="7"/>
  <c r="J109" i="7"/>
  <c r="I109" i="7"/>
  <c r="H109" i="7"/>
  <c r="G109" i="7"/>
  <c r="F109" i="7"/>
  <c r="E109" i="7"/>
  <c r="D109" i="7"/>
  <c r="C109" i="7"/>
  <c r="B109" i="7"/>
  <c r="A109" i="7"/>
  <c r="S108" i="7"/>
  <c r="R108" i="7"/>
  <c r="P108" i="7"/>
  <c r="O108" i="7"/>
  <c r="N108" i="7"/>
  <c r="M108" i="7"/>
  <c r="L108" i="7"/>
  <c r="K108" i="7"/>
  <c r="J108" i="7"/>
  <c r="I108" i="7"/>
  <c r="H108" i="7"/>
  <c r="G108" i="7"/>
  <c r="F108" i="7"/>
  <c r="E108" i="7"/>
  <c r="D108" i="7"/>
  <c r="C108" i="7"/>
  <c r="B108" i="7"/>
  <c r="A108" i="7"/>
  <c r="S107" i="7"/>
  <c r="M107" i="7"/>
  <c r="L107" i="7"/>
  <c r="K107" i="7"/>
  <c r="J107" i="7"/>
  <c r="I107" i="7"/>
  <c r="H107" i="7"/>
  <c r="G107" i="7"/>
  <c r="F107" i="7"/>
  <c r="E107" i="7"/>
  <c r="D107" i="7"/>
  <c r="C107" i="7"/>
  <c r="B107" i="7"/>
  <c r="A107" i="7"/>
  <c r="S106" i="7"/>
  <c r="L106" i="7"/>
  <c r="K106" i="7"/>
  <c r="J106" i="7"/>
  <c r="I106" i="7"/>
  <c r="H106" i="7"/>
  <c r="G106" i="7"/>
  <c r="F106" i="7"/>
  <c r="E106" i="7"/>
  <c r="D106" i="7"/>
  <c r="C106" i="7"/>
  <c r="B106" i="7"/>
  <c r="A106" i="7"/>
  <c r="S105" i="7"/>
  <c r="L105" i="7"/>
  <c r="K105" i="7"/>
  <c r="J105" i="7"/>
  <c r="I105" i="7"/>
  <c r="H105" i="7"/>
  <c r="G105" i="7"/>
  <c r="F105" i="7"/>
  <c r="E105" i="7"/>
  <c r="D105" i="7"/>
  <c r="C105" i="7"/>
  <c r="B105" i="7"/>
  <c r="A105" i="7"/>
  <c r="S104" i="7"/>
  <c r="M104" i="7"/>
  <c r="L104" i="7"/>
  <c r="K104" i="7"/>
  <c r="J104" i="7"/>
  <c r="I104" i="7"/>
  <c r="H104" i="7"/>
  <c r="G104" i="7"/>
  <c r="F104" i="7"/>
  <c r="E104" i="7"/>
  <c r="D104" i="7"/>
  <c r="C104" i="7"/>
  <c r="B104" i="7"/>
  <c r="A104" i="7"/>
  <c r="S103" i="7"/>
  <c r="M103" i="7"/>
  <c r="L103" i="7"/>
  <c r="K103" i="7"/>
  <c r="J103" i="7"/>
  <c r="I103" i="7"/>
  <c r="H103" i="7"/>
  <c r="G103" i="7"/>
  <c r="F103" i="7"/>
  <c r="E103" i="7"/>
  <c r="D103" i="7"/>
  <c r="C103" i="7"/>
  <c r="B103" i="7"/>
  <c r="A103" i="7"/>
  <c r="T102" i="7"/>
  <c r="S102" i="7"/>
  <c r="R102" i="7"/>
  <c r="Q102" i="7"/>
  <c r="P102" i="7"/>
  <c r="O102" i="7"/>
  <c r="N102" i="7"/>
  <c r="M102" i="7"/>
  <c r="L102" i="7"/>
  <c r="K102" i="7"/>
  <c r="J102" i="7"/>
  <c r="I102" i="7"/>
  <c r="H102" i="7"/>
  <c r="G102" i="7"/>
  <c r="F102" i="7"/>
  <c r="E102" i="7"/>
  <c r="D102" i="7"/>
  <c r="C102" i="7"/>
  <c r="B102" i="7"/>
  <c r="A102" i="7"/>
  <c r="S101" i="7"/>
  <c r="M101" i="7"/>
  <c r="L101" i="7"/>
  <c r="K101" i="7"/>
  <c r="J101" i="7"/>
  <c r="H101" i="7"/>
  <c r="F101" i="7"/>
  <c r="D101" i="7"/>
  <c r="C101" i="7"/>
  <c r="B101" i="7"/>
  <c r="A101" i="7"/>
  <c r="S100" i="7"/>
  <c r="M100" i="7"/>
  <c r="L100" i="7"/>
  <c r="K100" i="7"/>
  <c r="J100" i="7"/>
  <c r="I100" i="7"/>
  <c r="H100" i="7"/>
  <c r="G100" i="7"/>
  <c r="F100" i="7"/>
  <c r="E100" i="7"/>
  <c r="D100" i="7"/>
  <c r="C100" i="7"/>
  <c r="B100" i="7"/>
  <c r="A100" i="7"/>
  <c r="S99" i="7"/>
  <c r="M99" i="7"/>
  <c r="L99" i="7"/>
  <c r="K99" i="7"/>
  <c r="J99" i="7"/>
  <c r="I99" i="7"/>
  <c r="H99" i="7"/>
  <c r="G99" i="7"/>
  <c r="F99" i="7"/>
  <c r="E99" i="7"/>
  <c r="D99" i="7"/>
  <c r="C99" i="7"/>
  <c r="B99" i="7"/>
  <c r="A99" i="7"/>
  <c r="S98" i="7"/>
  <c r="M98" i="7"/>
  <c r="L98" i="7"/>
  <c r="K98" i="7"/>
  <c r="J98" i="7"/>
  <c r="I98" i="7"/>
  <c r="H98" i="7"/>
  <c r="G98" i="7"/>
  <c r="F98" i="7"/>
  <c r="E98" i="7"/>
  <c r="D98" i="7"/>
  <c r="C98" i="7"/>
  <c r="B98" i="7"/>
  <c r="A98" i="7"/>
  <c r="S97" i="7"/>
  <c r="M97" i="7"/>
  <c r="L97" i="7"/>
  <c r="K97" i="7"/>
  <c r="J97" i="7"/>
  <c r="I97" i="7"/>
  <c r="H97" i="7"/>
  <c r="G97" i="7"/>
  <c r="F97" i="7"/>
  <c r="E97" i="7"/>
  <c r="D97" i="7"/>
  <c r="C97" i="7"/>
  <c r="B97" i="7"/>
  <c r="A97" i="7"/>
  <c r="S96" i="7"/>
  <c r="R96" i="7"/>
  <c r="P96" i="7"/>
  <c r="O96" i="7"/>
  <c r="N96" i="7"/>
  <c r="M96" i="7"/>
  <c r="L96" i="7"/>
  <c r="K96" i="7"/>
  <c r="J96" i="7"/>
  <c r="I96" i="7"/>
  <c r="H96" i="7"/>
  <c r="G96" i="7"/>
  <c r="F96" i="7"/>
  <c r="E96" i="7"/>
  <c r="D96" i="7"/>
  <c r="C96" i="7"/>
  <c r="B96" i="7"/>
  <c r="A96" i="7"/>
  <c r="S95" i="7"/>
  <c r="M95" i="7"/>
  <c r="L95" i="7"/>
  <c r="K95" i="7"/>
  <c r="J95" i="7"/>
  <c r="I95" i="7"/>
  <c r="H95" i="7"/>
  <c r="G95" i="7"/>
  <c r="F95" i="7"/>
  <c r="E95" i="7"/>
  <c r="D95" i="7"/>
  <c r="C95" i="7"/>
  <c r="B95" i="7"/>
  <c r="A95" i="7"/>
  <c r="S94" i="7"/>
  <c r="M94" i="7"/>
  <c r="L94" i="7"/>
  <c r="K94" i="7"/>
  <c r="J94" i="7"/>
  <c r="I94" i="7"/>
  <c r="H94" i="7"/>
  <c r="G94" i="7"/>
  <c r="F94" i="7"/>
  <c r="E94" i="7"/>
  <c r="D94" i="7"/>
  <c r="C94" i="7"/>
  <c r="B94" i="7"/>
  <c r="A94" i="7"/>
  <c r="S93" i="7"/>
  <c r="Q93" i="7"/>
  <c r="M93" i="7"/>
  <c r="L93" i="7"/>
  <c r="K93" i="7"/>
  <c r="J93" i="7"/>
  <c r="I93" i="7"/>
  <c r="H93" i="7"/>
  <c r="G93" i="7"/>
  <c r="F93" i="7"/>
  <c r="E93" i="7"/>
  <c r="D93" i="7"/>
  <c r="C93" i="7"/>
  <c r="B93" i="7"/>
  <c r="A93" i="7"/>
  <c r="S92" i="7"/>
  <c r="M92" i="7"/>
  <c r="L92" i="7"/>
  <c r="K92" i="7"/>
  <c r="J92" i="7"/>
  <c r="I92" i="7"/>
  <c r="H92" i="7"/>
  <c r="G92" i="7"/>
  <c r="F92" i="7"/>
  <c r="E92" i="7"/>
  <c r="D92" i="7"/>
  <c r="C92" i="7"/>
  <c r="B92" i="7"/>
  <c r="A92" i="7"/>
  <c r="S91" i="7"/>
  <c r="M91" i="7"/>
  <c r="L91" i="7"/>
  <c r="K91" i="7"/>
  <c r="J91" i="7"/>
  <c r="I91" i="7"/>
  <c r="H91" i="7"/>
  <c r="F91" i="7"/>
  <c r="E91" i="7"/>
  <c r="D91" i="7"/>
  <c r="C91" i="7"/>
  <c r="B91" i="7"/>
  <c r="A91" i="7"/>
  <c r="S90" i="7"/>
  <c r="R90" i="7"/>
  <c r="P90" i="7"/>
  <c r="O90" i="7"/>
  <c r="N90" i="7"/>
  <c r="M90" i="7"/>
  <c r="L90" i="7"/>
  <c r="K90" i="7"/>
  <c r="J90" i="7"/>
  <c r="I90" i="7"/>
  <c r="H90" i="7"/>
  <c r="G90" i="7"/>
  <c r="F90" i="7"/>
  <c r="E90" i="7"/>
  <c r="D90" i="7"/>
  <c r="C90" i="7"/>
  <c r="B90" i="7"/>
  <c r="A90" i="7"/>
  <c r="S89" i="7"/>
  <c r="M89" i="7"/>
  <c r="L89" i="7"/>
  <c r="K89" i="7"/>
  <c r="J89" i="7"/>
  <c r="I89" i="7"/>
  <c r="H89" i="7"/>
  <c r="G89" i="7"/>
  <c r="F89" i="7"/>
  <c r="E89" i="7"/>
  <c r="D89" i="7"/>
  <c r="C89" i="7"/>
  <c r="B89" i="7"/>
  <c r="A89" i="7"/>
  <c r="S88" i="7"/>
  <c r="M88" i="7"/>
  <c r="L88" i="7"/>
  <c r="K88" i="7"/>
  <c r="J88" i="7"/>
  <c r="I88" i="7"/>
  <c r="H88" i="7"/>
  <c r="G88" i="7"/>
  <c r="F88" i="7"/>
  <c r="E88" i="7"/>
  <c r="D88" i="7"/>
  <c r="C88" i="7"/>
  <c r="B88" i="7"/>
  <c r="A88" i="7"/>
  <c r="S87" i="7"/>
  <c r="M87" i="7"/>
  <c r="L87" i="7"/>
  <c r="K87" i="7"/>
  <c r="J87" i="7"/>
  <c r="I87" i="7"/>
  <c r="H87" i="7"/>
  <c r="G87" i="7"/>
  <c r="F87" i="7"/>
  <c r="E87" i="7"/>
  <c r="D87" i="7"/>
  <c r="C87" i="7"/>
  <c r="B87" i="7"/>
  <c r="A87" i="7"/>
  <c r="S86" i="7"/>
  <c r="M86" i="7"/>
  <c r="L86" i="7"/>
  <c r="K86" i="7"/>
  <c r="J86" i="7"/>
  <c r="I86" i="7"/>
  <c r="H86" i="7"/>
  <c r="G86" i="7"/>
  <c r="F86" i="7"/>
  <c r="E86" i="7"/>
  <c r="D86" i="7"/>
  <c r="C86" i="7"/>
  <c r="B86" i="7"/>
  <c r="A86" i="7"/>
  <c r="S85" i="7"/>
  <c r="Q85" i="7"/>
  <c r="M85" i="7"/>
  <c r="L85" i="7"/>
  <c r="K85" i="7"/>
  <c r="J85" i="7"/>
  <c r="I85" i="7"/>
  <c r="H85" i="7"/>
  <c r="G85" i="7"/>
  <c r="F85" i="7"/>
  <c r="E85" i="7"/>
  <c r="D85" i="7"/>
  <c r="C85" i="7"/>
  <c r="B85" i="7"/>
  <c r="A85" i="7"/>
  <c r="S84" i="7"/>
  <c r="Q84" i="7"/>
  <c r="M84" i="7"/>
  <c r="L84" i="7"/>
  <c r="K84" i="7"/>
  <c r="J84" i="7"/>
  <c r="I84" i="7"/>
  <c r="H84" i="7"/>
  <c r="G84" i="7"/>
  <c r="F84" i="7"/>
  <c r="E84" i="7"/>
  <c r="D84" i="7"/>
  <c r="C84" i="7"/>
  <c r="B84" i="7"/>
  <c r="A84" i="7"/>
  <c r="S83" i="7"/>
  <c r="Q83" i="7"/>
  <c r="M83" i="7"/>
  <c r="L83" i="7"/>
  <c r="K83" i="7"/>
  <c r="J83" i="7"/>
  <c r="I83" i="7"/>
  <c r="H83" i="7"/>
  <c r="G83" i="7"/>
  <c r="F83" i="7"/>
  <c r="E83" i="7"/>
  <c r="D83" i="7"/>
  <c r="C83" i="7"/>
  <c r="B83" i="7"/>
  <c r="A83" i="7"/>
  <c r="S82" i="7"/>
  <c r="R82" i="7"/>
  <c r="P82" i="7"/>
  <c r="O82" i="7"/>
  <c r="N82" i="7"/>
  <c r="M82" i="7"/>
  <c r="L82" i="7"/>
  <c r="K82" i="7"/>
  <c r="J82" i="7"/>
  <c r="I82" i="7"/>
  <c r="H82" i="7"/>
  <c r="G82" i="7"/>
  <c r="F82" i="7"/>
  <c r="E82" i="7"/>
  <c r="D82" i="7"/>
  <c r="C82" i="7"/>
  <c r="B82" i="7"/>
  <c r="A82" i="7"/>
  <c r="T81" i="7"/>
  <c r="S81" i="7"/>
  <c r="R81" i="7"/>
  <c r="Q81" i="7"/>
  <c r="P81" i="7"/>
  <c r="O81" i="7"/>
  <c r="M81" i="7"/>
  <c r="L81" i="7"/>
  <c r="K81" i="7"/>
  <c r="J81" i="7"/>
  <c r="I81" i="7"/>
  <c r="H81" i="7"/>
  <c r="G81" i="7"/>
  <c r="F81" i="7"/>
  <c r="E81" i="7"/>
  <c r="D81" i="7"/>
  <c r="C81" i="7"/>
  <c r="B81" i="7"/>
  <c r="A81" i="7"/>
  <c r="S80" i="7"/>
  <c r="L80" i="7"/>
  <c r="K80" i="7"/>
  <c r="J80" i="7"/>
  <c r="I80" i="7"/>
  <c r="H80" i="7"/>
  <c r="F80" i="7"/>
  <c r="E80" i="7"/>
  <c r="D80" i="7"/>
  <c r="C80" i="7"/>
  <c r="B80" i="7"/>
  <c r="A80" i="7"/>
  <c r="S79" i="7"/>
  <c r="M79" i="7"/>
  <c r="L79" i="7"/>
  <c r="K79" i="7"/>
  <c r="J79" i="7"/>
  <c r="I79" i="7"/>
  <c r="H79" i="7"/>
  <c r="G79" i="7"/>
  <c r="F79" i="7"/>
  <c r="E79" i="7"/>
  <c r="D79" i="7"/>
  <c r="C79" i="7"/>
  <c r="B79" i="7"/>
  <c r="A79" i="7"/>
  <c r="T78" i="7"/>
  <c r="S78" i="7"/>
  <c r="R78" i="7"/>
  <c r="Q78" i="7"/>
  <c r="P78" i="7"/>
  <c r="O78" i="7"/>
  <c r="M78" i="7"/>
  <c r="L78" i="7"/>
  <c r="K78" i="7"/>
  <c r="J78" i="7"/>
  <c r="I78" i="7"/>
  <c r="H78" i="7"/>
  <c r="G78" i="7"/>
  <c r="F78" i="7"/>
  <c r="E78" i="7"/>
  <c r="D78" i="7"/>
  <c r="C78" i="7"/>
  <c r="B78" i="7"/>
  <c r="A78" i="7"/>
  <c r="S77" i="7"/>
  <c r="Q77" i="7"/>
  <c r="M77" i="7"/>
  <c r="L77" i="7"/>
  <c r="K77" i="7"/>
  <c r="J77" i="7"/>
  <c r="I77" i="7"/>
  <c r="H77" i="7"/>
  <c r="G77" i="7"/>
  <c r="F77" i="7"/>
  <c r="E77" i="7"/>
  <c r="D77" i="7"/>
  <c r="C77" i="7"/>
  <c r="B77" i="7"/>
  <c r="A77" i="7"/>
  <c r="S76" i="7"/>
  <c r="P76" i="7"/>
  <c r="O76" i="7"/>
  <c r="M76" i="7"/>
  <c r="L76" i="7"/>
  <c r="K76" i="7"/>
  <c r="J76" i="7"/>
  <c r="I76" i="7"/>
  <c r="H76" i="7"/>
  <c r="G76" i="7"/>
  <c r="F76" i="7"/>
  <c r="E76" i="7"/>
  <c r="D76" i="7"/>
  <c r="C76" i="7"/>
  <c r="B76" i="7"/>
  <c r="A76" i="7"/>
  <c r="S75" i="7"/>
  <c r="P75" i="7"/>
  <c r="O75" i="7"/>
  <c r="M75" i="7"/>
  <c r="L75" i="7"/>
  <c r="K75" i="7"/>
  <c r="J75" i="7"/>
  <c r="I75" i="7"/>
  <c r="H75" i="7"/>
  <c r="G75" i="7"/>
  <c r="F75" i="7"/>
  <c r="E75" i="7"/>
  <c r="D75" i="7"/>
  <c r="C75" i="7"/>
  <c r="B75" i="7"/>
  <c r="A75" i="7"/>
  <c r="S74" i="7"/>
  <c r="R74" i="7"/>
  <c r="P74" i="7"/>
  <c r="O74" i="7"/>
  <c r="M74" i="7"/>
  <c r="L74" i="7"/>
  <c r="K74" i="7"/>
  <c r="J74" i="7"/>
  <c r="I74" i="7"/>
  <c r="H74" i="7"/>
  <c r="G74" i="7"/>
  <c r="F74" i="7"/>
  <c r="E74" i="7"/>
  <c r="D74" i="7"/>
  <c r="C74" i="7"/>
  <c r="B74" i="7"/>
  <c r="A74" i="7"/>
  <c r="S73" i="7"/>
  <c r="M73" i="7"/>
  <c r="L73" i="7"/>
  <c r="K73" i="7"/>
  <c r="J73" i="7"/>
  <c r="I73" i="7"/>
  <c r="H73" i="7"/>
  <c r="F73" i="7"/>
  <c r="E73" i="7"/>
  <c r="D73" i="7"/>
  <c r="C73" i="7"/>
  <c r="B73" i="7"/>
  <c r="A73" i="7"/>
  <c r="S72" i="7"/>
  <c r="M72" i="7"/>
  <c r="L72" i="7"/>
  <c r="K72" i="7"/>
  <c r="J72" i="7"/>
  <c r="I72" i="7"/>
  <c r="H72" i="7"/>
  <c r="G72" i="7"/>
  <c r="F72" i="7"/>
  <c r="E72" i="7"/>
  <c r="D72" i="7"/>
  <c r="C72" i="7"/>
  <c r="B72" i="7"/>
  <c r="A72" i="7"/>
  <c r="S71" i="7"/>
  <c r="R71" i="7"/>
  <c r="P71" i="7"/>
  <c r="O71" i="7"/>
  <c r="M71" i="7"/>
  <c r="L71" i="7"/>
  <c r="K71" i="7"/>
  <c r="J71" i="7"/>
  <c r="I71" i="7"/>
  <c r="H71" i="7"/>
  <c r="G71" i="7"/>
  <c r="F71" i="7"/>
  <c r="E71" i="7"/>
  <c r="D71" i="7"/>
  <c r="C71" i="7"/>
  <c r="B71" i="7"/>
  <c r="A71" i="7"/>
  <c r="S70" i="7"/>
  <c r="M70" i="7"/>
  <c r="L70" i="7"/>
  <c r="K70" i="7"/>
  <c r="J70" i="7"/>
  <c r="I70" i="7"/>
  <c r="H70" i="7"/>
  <c r="G70" i="7"/>
  <c r="F70" i="7"/>
  <c r="E70" i="7"/>
  <c r="D70" i="7"/>
  <c r="C70" i="7"/>
  <c r="B70" i="7"/>
  <c r="A70" i="7"/>
  <c r="S69" i="7"/>
  <c r="Q69" i="7"/>
  <c r="M69" i="7"/>
  <c r="L69" i="7"/>
  <c r="K69" i="7"/>
  <c r="J69" i="7"/>
  <c r="I69" i="7"/>
  <c r="H69" i="7"/>
  <c r="F69" i="7"/>
  <c r="E69" i="7"/>
  <c r="D69" i="7"/>
  <c r="C69" i="7"/>
  <c r="B69" i="7"/>
  <c r="A69" i="7"/>
  <c r="S68" i="7"/>
  <c r="R68" i="7"/>
  <c r="P68" i="7"/>
  <c r="O68" i="7"/>
  <c r="M68" i="7"/>
  <c r="L68" i="7"/>
  <c r="K68" i="7"/>
  <c r="J68" i="7"/>
  <c r="I68" i="7"/>
  <c r="H68" i="7"/>
  <c r="G68" i="7"/>
  <c r="F68" i="7"/>
  <c r="E68" i="7"/>
  <c r="D68" i="7"/>
  <c r="C68" i="7"/>
  <c r="B68" i="7"/>
  <c r="A68" i="7"/>
  <c r="S67" i="7"/>
  <c r="M67" i="7"/>
  <c r="L67" i="7"/>
  <c r="K67" i="7"/>
  <c r="J67" i="7"/>
  <c r="I67" i="7"/>
  <c r="H67" i="7"/>
  <c r="F67" i="7"/>
  <c r="E67" i="7"/>
  <c r="D67" i="7"/>
  <c r="C67" i="7"/>
  <c r="B67" i="7"/>
  <c r="A67" i="7"/>
  <c r="T66" i="7"/>
  <c r="S66" i="7"/>
  <c r="R66" i="7"/>
  <c r="Q66" i="7"/>
  <c r="P66" i="7"/>
  <c r="O66" i="7"/>
  <c r="M66" i="7"/>
  <c r="L66" i="7"/>
  <c r="K66" i="7"/>
  <c r="J66" i="7"/>
  <c r="I66" i="7"/>
  <c r="H66" i="7"/>
  <c r="G66" i="7"/>
  <c r="F66" i="7"/>
  <c r="E66" i="7"/>
  <c r="D66" i="7"/>
  <c r="C66" i="7"/>
  <c r="B66" i="7"/>
  <c r="A66" i="7"/>
  <c r="S65" i="7"/>
  <c r="M65" i="7"/>
  <c r="L65" i="7"/>
  <c r="K65" i="7"/>
  <c r="J65" i="7"/>
  <c r="I65" i="7"/>
  <c r="H65" i="7"/>
  <c r="G65" i="7"/>
  <c r="F65" i="7"/>
  <c r="E65" i="7"/>
  <c r="D65" i="7"/>
  <c r="C65" i="7"/>
  <c r="B65" i="7"/>
  <c r="A65" i="7"/>
  <c r="S64" i="7"/>
  <c r="M64" i="7"/>
  <c r="L64" i="7"/>
  <c r="K64" i="7"/>
  <c r="J64" i="7"/>
  <c r="I64" i="7"/>
  <c r="H64" i="7"/>
  <c r="G64" i="7"/>
  <c r="F64" i="7"/>
  <c r="E64" i="7"/>
  <c r="D64" i="7"/>
  <c r="C64" i="7"/>
  <c r="B64" i="7"/>
  <c r="A64" i="7"/>
  <c r="T63" i="7"/>
  <c r="S63" i="7"/>
  <c r="R63" i="7"/>
  <c r="Q63" i="7"/>
  <c r="P63" i="7"/>
  <c r="O63" i="7"/>
  <c r="M63" i="7"/>
  <c r="L63" i="7"/>
  <c r="K63" i="7"/>
  <c r="J63" i="7"/>
  <c r="I63" i="7"/>
  <c r="H63" i="7"/>
  <c r="G63" i="7"/>
  <c r="F63" i="7"/>
  <c r="E63" i="7"/>
  <c r="D63" i="7"/>
  <c r="C63" i="7"/>
  <c r="B63" i="7"/>
  <c r="A63" i="7"/>
  <c r="S62" i="7"/>
  <c r="Q62" i="7"/>
  <c r="M62" i="7"/>
  <c r="L62" i="7"/>
  <c r="K62" i="7"/>
  <c r="J62" i="7"/>
  <c r="I62" i="7"/>
  <c r="H62" i="7"/>
  <c r="G62" i="7"/>
  <c r="F62" i="7"/>
  <c r="E62" i="7"/>
  <c r="D62" i="7"/>
  <c r="C62" i="7"/>
  <c r="B62" i="7"/>
  <c r="A62" i="7"/>
  <c r="S61" i="7"/>
  <c r="R61" i="7"/>
  <c r="P61" i="7"/>
  <c r="O61" i="7"/>
  <c r="M61" i="7"/>
  <c r="L61" i="7"/>
  <c r="K61" i="7"/>
  <c r="J61" i="7"/>
  <c r="I61" i="7"/>
  <c r="H61" i="7"/>
  <c r="G61" i="7"/>
  <c r="F61" i="7"/>
  <c r="E61" i="7"/>
  <c r="D61" i="7"/>
  <c r="C61" i="7"/>
  <c r="B61" i="7"/>
  <c r="A61" i="7"/>
  <c r="S60" i="7"/>
  <c r="R60" i="7"/>
  <c r="P60" i="7"/>
  <c r="O60" i="7"/>
  <c r="M60" i="7"/>
  <c r="L60" i="7"/>
  <c r="K60" i="7"/>
  <c r="J60" i="7"/>
  <c r="I60" i="7"/>
  <c r="H60" i="7"/>
  <c r="G60" i="7"/>
  <c r="F60" i="7"/>
  <c r="E60" i="7"/>
  <c r="D60" i="7"/>
  <c r="C60" i="7"/>
  <c r="B60" i="7"/>
  <c r="A60" i="7"/>
  <c r="S59" i="7"/>
  <c r="M59" i="7"/>
  <c r="L59" i="7"/>
  <c r="K59" i="7"/>
  <c r="J59" i="7"/>
  <c r="I59" i="7"/>
  <c r="H59" i="7"/>
  <c r="G59" i="7"/>
  <c r="F59" i="7"/>
  <c r="E59" i="7"/>
  <c r="D59" i="7"/>
  <c r="C59" i="7"/>
  <c r="B59" i="7"/>
  <c r="A59" i="7"/>
  <c r="S58" i="7"/>
  <c r="Q58" i="7"/>
  <c r="L58" i="7"/>
  <c r="K58" i="7"/>
  <c r="J58" i="7"/>
  <c r="I58" i="7"/>
  <c r="H58" i="7"/>
  <c r="G58" i="7"/>
  <c r="F58" i="7"/>
  <c r="E58" i="7"/>
  <c r="D58" i="7"/>
  <c r="C58" i="7"/>
  <c r="B58" i="7"/>
  <c r="A58" i="7"/>
  <c r="S57" i="7"/>
  <c r="L57" i="7"/>
  <c r="K57" i="7"/>
  <c r="J57" i="7"/>
  <c r="H57" i="7"/>
  <c r="F57" i="7"/>
  <c r="B57" i="7"/>
  <c r="A57" i="7"/>
  <c r="S56" i="7"/>
  <c r="R56" i="7"/>
  <c r="P56" i="7"/>
  <c r="O56" i="7"/>
  <c r="M56" i="7"/>
  <c r="L56" i="7"/>
  <c r="K56" i="7"/>
  <c r="J56" i="7"/>
  <c r="I56" i="7"/>
  <c r="H56" i="7"/>
  <c r="G56" i="7"/>
  <c r="F56" i="7"/>
  <c r="E56" i="7"/>
  <c r="D56" i="7"/>
  <c r="C56" i="7"/>
  <c r="B56" i="7"/>
  <c r="A56" i="7"/>
  <c r="S55" i="7"/>
  <c r="R55" i="7"/>
  <c r="P55" i="7"/>
  <c r="O55" i="7"/>
  <c r="M55" i="7"/>
  <c r="L55" i="7"/>
  <c r="K55" i="7"/>
  <c r="J55" i="7"/>
  <c r="I55" i="7"/>
  <c r="H55" i="7"/>
  <c r="G55" i="7"/>
  <c r="F55" i="7"/>
  <c r="E55" i="7"/>
  <c r="D55" i="7"/>
  <c r="C55" i="7"/>
  <c r="B55" i="7"/>
  <c r="A55" i="7"/>
  <c r="S54" i="7"/>
  <c r="R54" i="7"/>
  <c r="P54" i="7"/>
  <c r="O54" i="7"/>
  <c r="M54" i="7"/>
  <c r="L54" i="7"/>
  <c r="K54" i="7"/>
  <c r="J54" i="7"/>
  <c r="I54" i="7"/>
  <c r="H54" i="7"/>
  <c r="G54" i="7"/>
  <c r="F54" i="7"/>
  <c r="E54" i="7"/>
  <c r="D54" i="7"/>
  <c r="C54" i="7"/>
  <c r="B54" i="7"/>
  <c r="A54" i="7"/>
  <c r="T53" i="7"/>
  <c r="S53" i="7"/>
  <c r="R53" i="7"/>
  <c r="Q53" i="7"/>
  <c r="P53" i="7"/>
  <c r="O53" i="7"/>
  <c r="M53" i="7"/>
  <c r="L53" i="7"/>
  <c r="K53" i="7"/>
  <c r="J53" i="7"/>
  <c r="I53" i="7"/>
  <c r="H53" i="7"/>
  <c r="G53" i="7"/>
  <c r="F53" i="7"/>
  <c r="E53" i="7"/>
  <c r="D53" i="7"/>
  <c r="C53" i="7"/>
  <c r="B53" i="7"/>
  <c r="A53" i="7"/>
  <c r="S52" i="7"/>
  <c r="R52" i="7"/>
  <c r="P52" i="7"/>
  <c r="O52" i="7"/>
  <c r="M52" i="7"/>
  <c r="L52" i="7"/>
  <c r="K52" i="7"/>
  <c r="J52" i="7"/>
  <c r="I52" i="7"/>
  <c r="H52" i="7"/>
  <c r="G52" i="7"/>
  <c r="F52" i="7"/>
  <c r="E52" i="7"/>
  <c r="D52" i="7"/>
  <c r="C52" i="7"/>
  <c r="B52" i="7"/>
  <c r="A52" i="7"/>
  <c r="S51" i="7"/>
  <c r="R51" i="7"/>
  <c r="P51" i="7"/>
  <c r="O51" i="7"/>
  <c r="M51" i="7"/>
  <c r="L51" i="7"/>
  <c r="K51" i="7"/>
  <c r="J51" i="7"/>
  <c r="I51" i="7"/>
  <c r="H51" i="7"/>
  <c r="G51" i="7"/>
  <c r="F51" i="7"/>
  <c r="E51" i="7"/>
  <c r="D51" i="7"/>
  <c r="C51" i="7"/>
  <c r="B51" i="7"/>
  <c r="A51" i="7"/>
  <c r="T50" i="7"/>
  <c r="S50" i="7"/>
  <c r="R50" i="7"/>
  <c r="P50" i="7"/>
  <c r="O50" i="7"/>
  <c r="M50" i="7"/>
  <c r="L50" i="7"/>
  <c r="K50" i="7"/>
  <c r="J50" i="7"/>
  <c r="I50" i="7"/>
  <c r="H50" i="7"/>
  <c r="G50" i="7"/>
  <c r="F50" i="7"/>
  <c r="E50" i="7"/>
  <c r="D50" i="7"/>
  <c r="C50" i="7"/>
  <c r="B50" i="7"/>
  <c r="A50" i="7"/>
  <c r="S49" i="7"/>
  <c r="R49" i="7"/>
  <c r="P49" i="7"/>
  <c r="O49" i="7"/>
  <c r="M49" i="7"/>
  <c r="L49" i="7"/>
  <c r="K49" i="7"/>
  <c r="J49" i="7"/>
  <c r="I49" i="7"/>
  <c r="H49" i="7"/>
  <c r="G49" i="7"/>
  <c r="F49" i="7"/>
  <c r="E49" i="7"/>
  <c r="D49" i="7"/>
  <c r="C49" i="7"/>
  <c r="B49" i="7"/>
  <c r="A49" i="7"/>
  <c r="S48" i="7"/>
  <c r="Q48" i="7"/>
  <c r="M48" i="7"/>
  <c r="L48" i="7"/>
  <c r="K48" i="7"/>
  <c r="J48" i="7"/>
  <c r="I48" i="7"/>
  <c r="H48" i="7"/>
  <c r="G48" i="7"/>
  <c r="F48" i="7"/>
  <c r="D48" i="7"/>
  <c r="C48" i="7"/>
  <c r="B48" i="7"/>
  <c r="A48" i="7"/>
  <c r="S47" i="7"/>
  <c r="Q47" i="7"/>
  <c r="M47" i="7"/>
  <c r="L47" i="7"/>
  <c r="K47" i="7"/>
  <c r="J47" i="7"/>
  <c r="I47" i="7"/>
  <c r="H47" i="7"/>
  <c r="G47" i="7"/>
  <c r="F47" i="7"/>
  <c r="E47" i="7"/>
  <c r="D47" i="7"/>
  <c r="C47" i="7"/>
  <c r="B47" i="7"/>
  <c r="A47" i="7"/>
  <c r="S46" i="7"/>
  <c r="L46" i="7"/>
  <c r="K46" i="7"/>
  <c r="J46" i="7"/>
  <c r="H46" i="7"/>
  <c r="F46" i="7"/>
  <c r="B46" i="7"/>
  <c r="A46" i="7"/>
  <c r="S45" i="7"/>
  <c r="L45" i="7"/>
  <c r="K45" i="7"/>
  <c r="J45" i="7"/>
  <c r="I45" i="7"/>
  <c r="H45" i="7"/>
  <c r="F45" i="7"/>
  <c r="D45" i="7"/>
  <c r="C45" i="7"/>
  <c r="B45" i="7"/>
  <c r="A45" i="7"/>
  <c r="S44" i="7"/>
  <c r="L44" i="7"/>
  <c r="K44" i="7"/>
  <c r="J44" i="7"/>
  <c r="H44" i="7"/>
  <c r="F44" i="7"/>
  <c r="D44" i="7"/>
  <c r="C44" i="7"/>
  <c r="B44" i="7"/>
  <c r="A44" i="7"/>
  <c r="S43" i="7"/>
  <c r="R43" i="7"/>
  <c r="P43" i="7"/>
  <c r="O43" i="7"/>
  <c r="M43" i="7"/>
  <c r="L43" i="7"/>
  <c r="K43" i="7"/>
  <c r="J43" i="7"/>
  <c r="I43" i="7"/>
  <c r="H43" i="7"/>
  <c r="G43" i="7"/>
  <c r="F43" i="7"/>
  <c r="E43" i="7"/>
  <c r="D43" i="7"/>
  <c r="C43" i="7"/>
  <c r="B43" i="7"/>
  <c r="A43" i="7"/>
  <c r="S42" i="7"/>
  <c r="R42" i="7"/>
  <c r="P42" i="7"/>
  <c r="O42" i="7"/>
  <c r="M42" i="7"/>
  <c r="L42" i="7"/>
  <c r="K42" i="7"/>
  <c r="J42" i="7"/>
  <c r="I42" i="7"/>
  <c r="H42" i="7"/>
  <c r="G42" i="7"/>
  <c r="F42" i="7"/>
  <c r="E42" i="7"/>
  <c r="D42" i="7"/>
  <c r="C42" i="7"/>
  <c r="B42" i="7"/>
  <c r="A42" i="7"/>
  <c r="S41" i="7"/>
  <c r="Q41" i="7"/>
  <c r="M41" i="7"/>
  <c r="L41" i="7"/>
  <c r="K41" i="7"/>
  <c r="J41" i="7"/>
  <c r="I41" i="7"/>
  <c r="H41" i="7"/>
  <c r="G41" i="7"/>
  <c r="F41" i="7"/>
  <c r="E41" i="7"/>
  <c r="D41" i="7"/>
  <c r="C41" i="7"/>
  <c r="B41" i="7"/>
  <c r="A41" i="7"/>
  <c r="S40" i="7"/>
  <c r="L40" i="7"/>
  <c r="K40" i="7"/>
  <c r="J40" i="7"/>
  <c r="I40" i="7"/>
  <c r="H40" i="7"/>
  <c r="F40" i="7"/>
  <c r="E40" i="7"/>
  <c r="D40" i="7"/>
  <c r="C40" i="7"/>
  <c r="B40" i="7"/>
  <c r="A40" i="7"/>
  <c r="S39" i="7"/>
  <c r="R39" i="7"/>
  <c r="P39" i="7"/>
  <c r="O39" i="7"/>
  <c r="M39" i="7"/>
  <c r="L39" i="7"/>
  <c r="K39" i="7"/>
  <c r="J39" i="7"/>
  <c r="I39" i="7"/>
  <c r="H39" i="7"/>
  <c r="G39" i="7"/>
  <c r="F39" i="7"/>
  <c r="E39" i="7"/>
  <c r="D39" i="7"/>
  <c r="C39" i="7"/>
  <c r="B39" i="7"/>
  <c r="A39" i="7"/>
  <c r="S38" i="7"/>
  <c r="R38" i="7"/>
  <c r="P38" i="7"/>
  <c r="O38" i="7"/>
  <c r="M38" i="7"/>
  <c r="L38" i="7"/>
  <c r="K38" i="7"/>
  <c r="J38" i="7"/>
  <c r="I38" i="7"/>
  <c r="H38" i="7"/>
  <c r="G38" i="7"/>
  <c r="F38" i="7"/>
  <c r="E38" i="7"/>
  <c r="D38" i="7"/>
  <c r="C38" i="7"/>
  <c r="B38" i="7"/>
  <c r="A38" i="7"/>
  <c r="S37" i="7"/>
  <c r="R37" i="7"/>
  <c r="P37" i="7"/>
  <c r="O37" i="7"/>
  <c r="M37" i="7"/>
  <c r="L37" i="7"/>
  <c r="K37" i="7"/>
  <c r="J37" i="7"/>
  <c r="I37" i="7"/>
  <c r="H37" i="7"/>
  <c r="G37" i="7"/>
  <c r="F37" i="7"/>
  <c r="E37" i="7"/>
  <c r="D37" i="7"/>
  <c r="C37" i="7"/>
  <c r="B37" i="7"/>
  <c r="A37" i="7"/>
  <c r="T36" i="7"/>
  <c r="S36" i="7"/>
  <c r="R36" i="7"/>
  <c r="Q36" i="7"/>
  <c r="P36" i="7"/>
  <c r="O36" i="7"/>
  <c r="M36" i="7"/>
  <c r="L36" i="7"/>
  <c r="K36" i="7"/>
  <c r="J36" i="7"/>
  <c r="I36" i="7"/>
  <c r="H36" i="7"/>
  <c r="G36" i="7"/>
  <c r="F36" i="7"/>
  <c r="E36" i="7"/>
  <c r="D36" i="7"/>
  <c r="C36" i="7"/>
  <c r="B36" i="7"/>
  <c r="A36" i="7"/>
  <c r="T35" i="7"/>
  <c r="S35" i="7"/>
  <c r="R35" i="7"/>
  <c r="Q35" i="7"/>
  <c r="P35" i="7"/>
  <c r="O35" i="7"/>
  <c r="M35" i="7"/>
  <c r="L35" i="7"/>
  <c r="K35" i="7"/>
  <c r="J35" i="7"/>
  <c r="I35" i="7"/>
  <c r="H35" i="7"/>
  <c r="G35" i="7"/>
  <c r="F35" i="7"/>
  <c r="E35" i="7"/>
  <c r="D35" i="7"/>
  <c r="C35" i="7"/>
  <c r="B35" i="7"/>
  <c r="A35" i="7"/>
  <c r="T34" i="7"/>
  <c r="S34" i="7"/>
  <c r="R34" i="7"/>
  <c r="Q34" i="7"/>
  <c r="P34" i="7"/>
  <c r="O34" i="7"/>
  <c r="M34" i="7"/>
  <c r="L34" i="7"/>
  <c r="K34" i="7"/>
  <c r="J34" i="7"/>
  <c r="I34" i="7"/>
  <c r="H34" i="7"/>
  <c r="G34" i="7"/>
  <c r="F34" i="7"/>
  <c r="E34" i="7"/>
  <c r="D34" i="7"/>
  <c r="C34" i="7"/>
  <c r="B34" i="7"/>
  <c r="A34" i="7"/>
  <c r="S33" i="7"/>
  <c r="R33" i="7"/>
  <c r="P33" i="7"/>
  <c r="O33" i="7"/>
  <c r="M33" i="7"/>
  <c r="L33" i="7"/>
  <c r="K33" i="7"/>
  <c r="J33" i="7"/>
  <c r="I33" i="7"/>
  <c r="H33" i="7"/>
  <c r="G33" i="7"/>
  <c r="F33" i="7"/>
  <c r="E33" i="7"/>
  <c r="D33" i="7"/>
  <c r="C33" i="7"/>
  <c r="B33" i="7"/>
  <c r="A33" i="7"/>
  <c r="S32" i="7"/>
  <c r="R32" i="7"/>
  <c r="P32" i="7"/>
  <c r="O32" i="7"/>
  <c r="M32" i="7"/>
  <c r="L32" i="7"/>
  <c r="K32" i="7"/>
  <c r="J32" i="7"/>
  <c r="I32" i="7"/>
  <c r="H32" i="7"/>
  <c r="G32" i="7"/>
  <c r="F32" i="7"/>
  <c r="E32" i="7"/>
  <c r="D32" i="7"/>
  <c r="C32" i="7"/>
  <c r="B32" i="7"/>
  <c r="A32" i="7"/>
  <c r="S31" i="7"/>
  <c r="R31" i="7"/>
  <c r="P31" i="7"/>
  <c r="O31" i="7"/>
  <c r="M31" i="7"/>
  <c r="L31" i="7"/>
  <c r="K31" i="7"/>
  <c r="J31" i="7"/>
  <c r="I31" i="7"/>
  <c r="H31" i="7"/>
  <c r="G31" i="7"/>
  <c r="F31" i="7"/>
  <c r="E31" i="7"/>
  <c r="D31" i="7"/>
  <c r="C31" i="7"/>
  <c r="B31" i="7"/>
  <c r="A31" i="7"/>
  <c r="S30" i="7"/>
  <c r="O30" i="7"/>
  <c r="M30" i="7"/>
  <c r="L30" i="7"/>
  <c r="K30" i="7"/>
  <c r="J30" i="7"/>
  <c r="I30" i="7"/>
  <c r="H30" i="7"/>
  <c r="G30" i="7"/>
  <c r="F30" i="7"/>
  <c r="D30" i="7"/>
  <c r="C30" i="7"/>
  <c r="B30" i="7"/>
  <c r="A30" i="7"/>
  <c r="S29" i="7"/>
  <c r="R29" i="7"/>
  <c r="P29" i="7"/>
  <c r="O29" i="7"/>
  <c r="L29" i="7"/>
  <c r="K29" i="7"/>
  <c r="J29" i="7"/>
  <c r="I29" i="7"/>
  <c r="H29" i="7"/>
  <c r="G29" i="7"/>
  <c r="F29" i="7"/>
  <c r="E29" i="7"/>
  <c r="D29" i="7"/>
  <c r="C29" i="7"/>
  <c r="B29" i="7"/>
  <c r="A29" i="7"/>
  <c r="S28" i="7"/>
  <c r="R28" i="7"/>
  <c r="P28" i="7"/>
  <c r="O28" i="7"/>
  <c r="M28" i="7"/>
  <c r="L28" i="7"/>
  <c r="K28" i="7"/>
  <c r="J28" i="7"/>
  <c r="I28" i="7"/>
  <c r="H28" i="7"/>
  <c r="G28" i="7"/>
  <c r="F28" i="7"/>
  <c r="E28" i="7"/>
  <c r="D28" i="7"/>
  <c r="C28" i="7"/>
  <c r="B28" i="7"/>
  <c r="A28" i="7"/>
  <c r="S27" i="7"/>
  <c r="M27" i="7"/>
  <c r="L27" i="7"/>
  <c r="K27" i="7"/>
  <c r="J27" i="7"/>
  <c r="I27" i="7"/>
  <c r="H27" i="7"/>
  <c r="F27" i="7"/>
  <c r="E27" i="7"/>
  <c r="D27" i="7"/>
  <c r="C27" i="7"/>
  <c r="B27" i="7"/>
  <c r="A27" i="7"/>
  <c r="T26" i="7"/>
  <c r="S26" i="7"/>
  <c r="R26" i="7"/>
  <c r="Q26" i="7"/>
  <c r="P26" i="7"/>
  <c r="O26" i="7"/>
  <c r="M26" i="7"/>
  <c r="L26" i="7"/>
  <c r="K26" i="7"/>
  <c r="J26" i="7"/>
  <c r="I26" i="7"/>
  <c r="H26" i="7"/>
  <c r="G26" i="7"/>
  <c r="F26" i="7"/>
  <c r="E26" i="7"/>
  <c r="D26" i="7"/>
  <c r="C26" i="7"/>
  <c r="B26" i="7"/>
  <c r="A26" i="7"/>
  <c r="T25" i="7"/>
  <c r="S25" i="7"/>
  <c r="R25" i="7"/>
  <c r="Q25" i="7"/>
  <c r="P25" i="7"/>
  <c r="O25" i="7"/>
  <c r="M25" i="7"/>
  <c r="L25" i="7"/>
  <c r="K25" i="7"/>
  <c r="J25" i="7"/>
  <c r="I25" i="7"/>
  <c r="H25" i="7"/>
  <c r="G25" i="7"/>
  <c r="F25" i="7"/>
  <c r="E25" i="7"/>
  <c r="D25" i="7"/>
  <c r="C25" i="7"/>
  <c r="B25" i="7"/>
  <c r="A25" i="7"/>
  <c r="S24" i="7"/>
  <c r="M24" i="7"/>
  <c r="L24" i="7"/>
  <c r="K24" i="7"/>
  <c r="J24" i="7"/>
  <c r="I24" i="7"/>
  <c r="H24" i="7"/>
  <c r="F24" i="7"/>
  <c r="E24" i="7"/>
  <c r="D24" i="7"/>
  <c r="C24" i="7"/>
  <c r="B24" i="7"/>
  <c r="A24" i="7"/>
  <c r="S23" i="7"/>
  <c r="R23" i="7"/>
  <c r="P23" i="7"/>
  <c r="O23" i="7"/>
  <c r="M23" i="7"/>
  <c r="L23" i="7"/>
  <c r="K23" i="7"/>
  <c r="J23" i="7"/>
  <c r="I23" i="7"/>
  <c r="H23" i="7"/>
  <c r="G23" i="7"/>
  <c r="F23" i="7"/>
  <c r="E23" i="7"/>
  <c r="D23" i="7"/>
  <c r="C23" i="7"/>
  <c r="B23" i="7"/>
  <c r="A23" i="7"/>
  <c r="S22" i="7"/>
  <c r="R22" i="7"/>
  <c r="P22" i="7"/>
  <c r="O22" i="7"/>
  <c r="M22" i="7"/>
  <c r="L22" i="7"/>
  <c r="K22" i="7"/>
  <c r="J22" i="7"/>
  <c r="I22" i="7"/>
  <c r="H22" i="7"/>
  <c r="G22" i="7"/>
  <c r="F22" i="7"/>
  <c r="E22" i="7"/>
  <c r="D22" i="7"/>
  <c r="C22" i="7"/>
  <c r="B22" i="7"/>
  <c r="A22" i="7"/>
  <c r="V21" i="7"/>
  <c r="S21" i="7"/>
  <c r="R21" i="7"/>
  <c r="P21" i="7"/>
  <c r="O21" i="7"/>
  <c r="M21" i="7"/>
  <c r="L21" i="7"/>
  <c r="K21" i="7"/>
  <c r="J21" i="7"/>
  <c r="I21" i="7"/>
  <c r="H21" i="7"/>
  <c r="G21" i="7"/>
  <c r="F21" i="7"/>
  <c r="E21" i="7"/>
  <c r="D21" i="7"/>
  <c r="C21" i="7"/>
  <c r="B21" i="7"/>
  <c r="A21" i="7"/>
  <c r="V20" i="7"/>
  <c r="S20" i="7"/>
  <c r="R20" i="7"/>
  <c r="P20" i="7"/>
  <c r="O20" i="7"/>
  <c r="M20" i="7"/>
  <c r="L20" i="7"/>
  <c r="K20" i="7"/>
  <c r="J20" i="7"/>
  <c r="I20" i="7"/>
  <c r="H20" i="7"/>
  <c r="G20" i="7"/>
  <c r="F20" i="7"/>
  <c r="E20" i="7"/>
  <c r="D20" i="7"/>
  <c r="C20" i="7"/>
  <c r="B20" i="7"/>
  <c r="A20" i="7"/>
  <c r="V19" i="7"/>
  <c r="S19" i="7"/>
  <c r="R19" i="7"/>
  <c r="P19" i="7"/>
  <c r="O19" i="7"/>
  <c r="M19" i="7"/>
  <c r="L19" i="7"/>
  <c r="K19" i="7"/>
  <c r="J19" i="7"/>
  <c r="I19" i="7"/>
  <c r="H19" i="7"/>
  <c r="G19" i="7"/>
  <c r="F19" i="7"/>
  <c r="E19" i="7"/>
  <c r="D19" i="7"/>
  <c r="C19" i="7"/>
  <c r="B19" i="7"/>
  <c r="A19" i="7"/>
  <c r="V18" i="7"/>
  <c r="S18" i="7"/>
  <c r="R18" i="7"/>
  <c r="P18" i="7"/>
  <c r="O18" i="7"/>
  <c r="M18" i="7"/>
  <c r="L18" i="7"/>
  <c r="K18" i="7"/>
  <c r="J18" i="7"/>
  <c r="I18" i="7"/>
  <c r="H18" i="7"/>
  <c r="G18" i="7"/>
  <c r="F18" i="7"/>
  <c r="E18" i="7"/>
  <c r="D18" i="7"/>
  <c r="C18" i="7"/>
  <c r="B18" i="7"/>
  <c r="A18" i="7"/>
  <c r="V17" i="7"/>
  <c r="S17" i="7"/>
  <c r="R17" i="7"/>
  <c r="P17" i="7"/>
  <c r="O17" i="7"/>
  <c r="L17" i="7"/>
  <c r="K17" i="7"/>
  <c r="J17" i="7"/>
  <c r="I17" i="7"/>
  <c r="H17" i="7"/>
  <c r="G17" i="7"/>
  <c r="F17" i="7"/>
  <c r="E17" i="7"/>
  <c r="D17" i="7"/>
  <c r="C17" i="7"/>
  <c r="B17" i="7"/>
  <c r="A17" i="7"/>
  <c r="V16" i="7"/>
  <c r="S16" i="7"/>
  <c r="R16" i="7"/>
  <c r="P16" i="7"/>
  <c r="O16" i="7"/>
  <c r="M16" i="7"/>
  <c r="L16" i="7"/>
  <c r="K16" i="7"/>
  <c r="J16" i="7"/>
  <c r="I16" i="7"/>
  <c r="H16" i="7"/>
  <c r="G16" i="7"/>
  <c r="F16" i="7"/>
  <c r="E16" i="7"/>
  <c r="D16" i="7"/>
  <c r="C16" i="7"/>
  <c r="B16" i="7"/>
  <c r="A16" i="7"/>
  <c r="V15" i="7"/>
  <c r="S15" i="7"/>
  <c r="R15" i="7"/>
  <c r="P15" i="7"/>
  <c r="O15" i="7"/>
  <c r="M15" i="7"/>
  <c r="L15" i="7"/>
  <c r="K15" i="7"/>
  <c r="J15" i="7"/>
  <c r="I15" i="7"/>
  <c r="H15" i="7"/>
  <c r="G15" i="7"/>
  <c r="F15" i="7"/>
  <c r="E15" i="7"/>
  <c r="C15" i="7"/>
  <c r="B15" i="7"/>
  <c r="A15" i="7"/>
  <c r="V14" i="7"/>
  <c r="S14" i="7"/>
  <c r="R14" i="7"/>
  <c r="P14" i="7"/>
  <c r="O14" i="7"/>
  <c r="M14" i="7"/>
  <c r="L14" i="7"/>
  <c r="K14" i="7"/>
  <c r="J14" i="7"/>
  <c r="I14" i="7"/>
  <c r="H14" i="7"/>
  <c r="G14" i="7"/>
  <c r="F14" i="7"/>
  <c r="E14" i="7"/>
  <c r="D14" i="7"/>
  <c r="C14" i="7"/>
  <c r="B14" i="7"/>
  <c r="A14" i="7"/>
  <c r="V13" i="7"/>
  <c r="T13" i="7"/>
  <c r="S13" i="7"/>
  <c r="R13" i="7"/>
  <c r="Q13" i="7"/>
  <c r="P13" i="7"/>
  <c r="O13" i="7"/>
  <c r="L13" i="7"/>
  <c r="K13" i="7"/>
  <c r="J13" i="7"/>
  <c r="I13" i="7"/>
  <c r="H13" i="7"/>
  <c r="G13" i="7"/>
  <c r="F13" i="7"/>
  <c r="E13" i="7"/>
  <c r="D13" i="7"/>
  <c r="C13" i="7"/>
  <c r="B13" i="7"/>
  <c r="A13" i="7"/>
  <c r="V12" i="7"/>
  <c r="T12" i="7"/>
  <c r="S12" i="7"/>
  <c r="R12" i="7"/>
  <c r="Q12" i="7"/>
  <c r="P12" i="7"/>
  <c r="O12" i="7"/>
  <c r="M12" i="7"/>
  <c r="L12" i="7"/>
  <c r="K12" i="7"/>
  <c r="J12" i="7"/>
  <c r="I12" i="7"/>
  <c r="H12" i="7"/>
  <c r="G12" i="7"/>
  <c r="F12" i="7"/>
  <c r="E12" i="7"/>
  <c r="D12" i="7"/>
  <c r="C12" i="7"/>
  <c r="B12" i="7"/>
  <c r="A12" i="7"/>
  <c r="V11" i="7"/>
  <c r="S11" i="7"/>
  <c r="R11" i="7"/>
  <c r="P11" i="7"/>
  <c r="O11" i="7"/>
  <c r="M11" i="7"/>
  <c r="L11" i="7"/>
  <c r="K11" i="7"/>
  <c r="J11" i="7"/>
  <c r="I11" i="7"/>
  <c r="H11" i="7"/>
  <c r="G11" i="7"/>
  <c r="F11" i="7"/>
  <c r="E11" i="7"/>
  <c r="D11" i="7"/>
  <c r="C11" i="7"/>
  <c r="B11" i="7"/>
  <c r="A11" i="7"/>
  <c r="V10" i="7"/>
  <c r="S10" i="7"/>
  <c r="R10" i="7"/>
  <c r="P10" i="7"/>
  <c r="O10" i="7"/>
  <c r="M10" i="7"/>
  <c r="L10" i="7"/>
  <c r="K10" i="7"/>
  <c r="J10" i="7"/>
  <c r="I10" i="7"/>
  <c r="H10" i="7"/>
  <c r="G10" i="7"/>
  <c r="F10" i="7"/>
  <c r="E10" i="7"/>
  <c r="D10" i="7"/>
  <c r="C10" i="7"/>
  <c r="B10" i="7"/>
  <c r="A10" i="7"/>
  <c r="T9" i="7"/>
  <c r="S9" i="7"/>
  <c r="R9" i="7"/>
  <c r="Q9" i="7"/>
  <c r="P9" i="7"/>
  <c r="O9" i="7"/>
  <c r="M9" i="7"/>
  <c r="L9" i="7"/>
  <c r="K9" i="7"/>
  <c r="J9" i="7"/>
  <c r="I9" i="7"/>
  <c r="H9" i="7"/>
  <c r="G9" i="7"/>
  <c r="F9" i="7"/>
  <c r="E9" i="7"/>
  <c r="D9" i="7"/>
  <c r="C9" i="7"/>
  <c r="B9" i="7"/>
  <c r="A9" i="7"/>
  <c r="S8" i="7"/>
  <c r="R8" i="7"/>
  <c r="P8" i="7"/>
  <c r="O8" i="7"/>
  <c r="M8" i="7"/>
  <c r="L8" i="7"/>
  <c r="K8" i="7"/>
  <c r="J8" i="7"/>
  <c r="I8" i="7"/>
  <c r="H8" i="7"/>
  <c r="G8" i="7"/>
  <c r="F8" i="7"/>
  <c r="E8" i="7"/>
  <c r="D8" i="7"/>
  <c r="C8" i="7"/>
  <c r="B8" i="7"/>
  <c r="A8" i="7"/>
  <c r="S7" i="7"/>
  <c r="R7" i="7"/>
  <c r="P7" i="7"/>
  <c r="O7" i="7"/>
  <c r="M7" i="7"/>
  <c r="L7" i="7"/>
  <c r="K7" i="7"/>
  <c r="J7" i="7"/>
  <c r="I7" i="7"/>
  <c r="H7" i="7"/>
  <c r="G7" i="7"/>
  <c r="F7" i="7"/>
  <c r="E7" i="7"/>
  <c r="D7" i="7"/>
  <c r="C7" i="7"/>
  <c r="B7" i="7"/>
  <c r="A7" i="7"/>
  <c r="S6" i="7"/>
  <c r="R6" i="7"/>
  <c r="P6" i="7"/>
  <c r="O6" i="7"/>
  <c r="M6" i="7"/>
  <c r="L6" i="7"/>
  <c r="K6" i="7"/>
  <c r="J6" i="7"/>
  <c r="I6" i="7"/>
  <c r="H6" i="7"/>
  <c r="G6" i="7"/>
  <c r="F6" i="7"/>
  <c r="E6" i="7"/>
  <c r="D6" i="7"/>
  <c r="C6" i="7"/>
  <c r="B6" i="7"/>
  <c r="A6" i="7"/>
  <c r="S5" i="7"/>
  <c r="R5" i="7"/>
  <c r="P5" i="7"/>
  <c r="O5" i="7"/>
  <c r="M5" i="7"/>
  <c r="L5" i="7"/>
  <c r="K5" i="7"/>
  <c r="J5" i="7"/>
  <c r="I5" i="7"/>
  <c r="H5" i="7"/>
  <c r="G5" i="7"/>
  <c r="F5" i="7"/>
  <c r="E5" i="7"/>
  <c r="D5" i="7"/>
  <c r="C5" i="7"/>
  <c r="B5" i="7"/>
  <c r="A5" i="7"/>
  <c r="W4" i="7"/>
  <c r="T4" i="7"/>
  <c r="S4" i="7"/>
  <c r="R4" i="7"/>
  <c r="Q4" i="7"/>
  <c r="P4" i="7"/>
  <c r="O4" i="7"/>
  <c r="M4" i="7"/>
  <c r="L4" i="7"/>
  <c r="K4" i="7"/>
  <c r="J4" i="7"/>
  <c r="I4" i="7"/>
  <c r="H4" i="7"/>
  <c r="G4" i="7"/>
  <c r="F4" i="7"/>
  <c r="E4" i="7"/>
  <c r="D4" i="7"/>
  <c r="C4" i="7"/>
  <c r="B4" i="7"/>
  <c r="A4" i="7"/>
  <c r="W3" i="7"/>
  <c r="S3" i="7"/>
  <c r="R3" i="7"/>
  <c r="M3" i="7"/>
  <c r="L3" i="7"/>
  <c r="K3" i="7"/>
  <c r="J3" i="7"/>
  <c r="I3" i="7"/>
  <c r="H3" i="7"/>
  <c r="G3" i="7"/>
  <c r="F3" i="7"/>
  <c r="E3" i="7"/>
  <c r="D3" i="7"/>
  <c r="C3" i="7"/>
  <c r="B3" i="7"/>
  <c r="A3" i="7"/>
  <c r="W2" i="7"/>
  <c r="S2" i="7"/>
  <c r="L2" i="7"/>
  <c r="J2" i="7"/>
  <c r="I2" i="7"/>
  <c r="H2" i="7"/>
  <c r="F2" i="7"/>
  <c r="E2" i="7"/>
  <c r="D2" i="7"/>
  <c r="C2" i="7"/>
  <c r="B2" i="7"/>
  <c r="A2" i="7"/>
  <c r="AL1" i="7"/>
  <c r="AK1" i="7"/>
  <c r="AJ1" i="7"/>
  <c r="AI1" i="7"/>
  <c r="AH1" i="7"/>
  <c r="AG1" i="7"/>
  <c r="AF1" i="7"/>
  <c r="AE1" i="7"/>
  <c r="AD1" i="7"/>
  <c r="AC1" i="7"/>
  <c r="AB1" i="7"/>
  <c r="AA1" i="7"/>
  <c r="Z1" i="7"/>
  <c r="Y1" i="7"/>
  <c r="X1" i="7"/>
  <c r="W1" i="7"/>
  <c r="V1" i="7"/>
  <c r="U1" i="7"/>
  <c r="T1" i="7"/>
  <c r="S1" i="7"/>
  <c r="R1" i="7"/>
  <c r="Q1" i="7"/>
  <c r="P1" i="7"/>
  <c r="O1" i="7"/>
  <c r="N1" i="7"/>
  <c r="M1" i="7"/>
  <c r="L1" i="7"/>
  <c r="K1" i="7"/>
  <c r="J1" i="7"/>
  <c r="I1" i="7"/>
  <c r="H1" i="7"/>
  <c r="G1" i="7"/>
  <c r="F1" i="7"/>
  <c r="E1" i="7"/>
  <c r="D1" i="7"/>
  <c r="C1" i="7"/>
  <c r="B1" i="7"/>
  <c r="A1" i="7"/>
  <c r="R1682" i="5"/>
  <c r="K1682" i="5"/>
  <c r="R1681" i="5"/>
  <c r="K1681" i="5"/>
  <c r="R1680" i="5"/>
  <c r="K1680" i="5"/>
  <c r="R1679" i="5"/>
  <c r="K1679" i="5"/>
  <c r="R1678" i="5"/>
  <c r="K1678" i="5"/>
  <c r="R1677" i="5"/>
  <c r="K1677" i="5"/>
  <c r="R1676" i="5"/>
  <c r="K1676" i="5"/>
  <c r="R1675" i="5"/>
  <c r="K1675" i="5"/>
  <c r="R1674" i="5"/>
  <c r="K1674" i="5"/>
  <c r="R1673" i="5"/>
  <c r="K1673" i="5"/>
  <c r="R1672" i="5"/>
  <c r="K1672" i="5"/>
  <c r="R1671" i="5"/>
  <c r="K1671" i="5"/>
  <c r="R1670" i="5"/>
  <c r="K1670" i="5"/>
  <c r="R1669" i="5"/>
  <c r="K1669" i="5"/>
  <c r="R1668" i="5"/>
  <c r="K1668" i="5"/>
  <c r="R1667" i="5"/>
  <c r="K1667" i="5"/>
  <c r="R1666" i="5"/>
  <c r="K1666" i="5"/>
  <c r="R1665" i="5"/>
  <c r="K1665" i="5"/>
  <c r="R1664" i="5"/>
  <c r="K1664" i="5"/>
  <c r="R1663" i="5"/>
  <c r="K1663" i="5"/>
  <c r="R1662" i="5"/>
  <c r="K1662" i="5"/>
  <c r="R1661" i="5"/>
  <c r="K1661" i="5"/>
  <c r="R1660" i="5"/>
  <c r="K1660" i="5"/>
  <c r="R1659" i="5"/>
  <c r="K1659" i="5"/>
  <c r="R1658" i="5"/>
  <c r="K1658" i="5"/>
  <c r="R1657" i="5"/>
  <c r="K1657" i="5"/>
  <c r="R1656" i="5"/>
  <c r="K1656" i="5"/>
  <c r="R1655" i="5"/>
  <c r="K1655" i="5"/>
  <c r="R1654" i="5"/>
  <c r="K1654" i="5"/>
  <c r="R1653" i="5"/>
  <c r="K1653" i="5"/>
  <c r="R1652" i="5"/>
  <c r="K1652" i="5"/>
  <c r="R1651" i="5"/>
  <c r="K1651" i="5"/>
  <c r="R1650" i="5"/>
  <c r="K1650" i="5"/>
  <c r="R1649" i="5"/>
  <c r="K1649" i="5"/>
  <c r="R1648" i="5"/>
  <c r="K1648" i="5"/>
  <c r="R1647" i="5"/>
  <c r="K1647" i="5"/>
  <c r="R1646" i="5"/>
  <c r="K1646" i="5"/>
  <c r="R1645" i="5"/>
  <c r="K1645" i="5"/>
  <c r="R1644" i="5"/>
  <c r="K1644" i="5"/>
  <c r="R1643" i="5"/>
  <c r="K1643" i="5"/>
  <c r="R1642" i="5"/>
  <c r="K1642" i="5"/>
  <c r="R1641" i="5"/>
  <c r="K1641" i="5"/>
  <c r="R1640" i="5"/>
  <c r="K1640" i="5"/>
  <c r="R1639" i="5"/>
  <c r="K1639" i="5"/>
  <c r="R1638" i="5"/>
  <c r="K1638" i="5"/>
  <c r="R1637" i="5"/>
  <c r="K1637" i="5"/>
  <c r="R1636" i="5"/>
  <c r="K1636" i="5"/>
  <c r="R1635" i="5"/>
  <c r="K1635" i="5"/>
  <c r="R1634" i="5"/>
  <c r="K1634" i="5"/>
  <c r="R1633" i="5"/>
  <c r="K1633" i="5"/>
  <c r="R1632" i="5"/>
  <c r="K1632" i="5"/>
  <c r="R1631" i="5"/>
  <c r="K1631" i="5"/>
  <c r="R1630" i="5"/>
  <c r="K1630" i="5"/>
  <c r="R1629" i="5"/>
  <c r="K1629" i="5"/>
  <c r="R1628" i="5"/>
  <c r="K1628" i="5"/>
  <c r="R1627" i="5"/>
  <c r="K1627" i="5"/>
  <c r="R1626" i="5"/>
  <c r="K1626" i="5"/>
  <c r="R1625" i="5"/>
  <c r="K1625" i="5"/>
  <c r="R1624" i="5"/>
  <c r="K1624" i="5"/>
  <c r="R1623" i="5"/>
  <c r="K1623" i="5"/>
  <c r="R1622" i="5"/>
  <c r="K1622" i="5"/>
  <c r="R1621" i="5"/>
  <c r="K1621" i="5"/>
  <c r="R1620" i="5"/>
  <c r="K1620" i="5"/>
  <c r="R1619" i="5"/>
  <c r="K1619" i="5"/>
  <c r="R1618" i="5"/>
  <c r="K1618" i="5"/>
  <c r="R1617" i="5"/>
  <c r="K1617" i="5"/>
  <c r="R1616" i="5"/>
  <c r="K1616" i="5"/>
  <c r="R1615" i="5"/>
  <c r="K1615" i="5"/>
  <c r="R1614" i="5"/>
  <c r="K1614" i="5"/>
  <c r="R1613" i="5"/>
  <c r="K1613" i="5"/>
  <c r="R1612" i="5"/>
  <c r="K1612" i="5"/>
  <c r="R1611" i="5"/>
  <c r="K1611" i="5"/>
  <c r="R1610" i="5"/>
  <c r="K1610" i="5"/>
  <c r="R1609" i="5"/>
  <c r="K1609" i="5"/>
  <c r="R1608" i="5"/>
  <c r="K1608" i="5"/>
  <c r="R1607" i="5"/>
  <c r="K1607" i="5"/>
  <c r="R1606" i="5"/>
  <c r="K1606" i="5"/>
  <c r="R1605" i="5"/>
  <c r="K1605" i="5"/>
  <c r="R1604" i="5"/>
  <c r="K1604" i="5"/>
  <c r="R1603" i="5"/>
  <c r="K1603" i="5"/>
  <c r="R1602" i="5"/>
  <c r="K1602" i="5"/>
  <c r="R1601" i="5"/>
  <c r="K1601" i="5"/>
  <c r="R1600" i="5"/>
  <c r="K1600" i="5"/>
  <c r="R1599" i="5"/>
  <c r="K1599" i="5"/>
  <c r="R1598" i="5"/>
  <c r="K1598" i="5"/>
  <c r="R1597" i="5"/>
  <c r="K1597" i="5"/>
  <c r="R1596" i="5"/>
  <c r="K1596" i="5"/>
  <c r="R1595" i="5"/>
  <c r="K1595" i="5"/>
  <c r="R1594" i="5"/>
  <c r="K1594" i="5"/>
  <c r="R1593" i="5"/>
  <c r="K1593" i="5"/>
  <c r="R1592" i="5"/>
  <c r="K1592" i="5"/>
  <c r="R1591" i="5"/>
  <c r="K1591" i="5"/>
  <c r="R1590" i="5"/>
  <c r="K1590" i="5"/>
  <c r="R1589" i="5"/>
  <c r="K1589" i="5"/>
  <c r="R1588" i="5"/>
  <c r="K1588" i="5"/>
  <c r="R1587" i="5"/>
  <c r="K1587" i="5"/>
  <c r="R1586" i="5"/>
  <c r="K1586" i="5"/>
  <c r="R1585" i="5"/>
  <c r="K1585" i="5"/>
  <c r="R1584" i="5"/>
  <c r="K1584" i="5"/>
  <c r="R1583" i="5"/>
  <c r="K1583" i="5"/>
  <c r="R1582" i="5"/>
  <c r="K1582" i="5"/>
  <c r="R1581" i="5"/>
  <c r="K1581" i="5"/>
  <c r="R1580" i="5"/>
  <c r="K1580" i="5"/>
  <c r="R1579" i="5"/>
  <c r="K1579" i="5"/>
  <c r="R1578" i="5"/>
  <c r="K1578" i="5"/>
  <c r="R1577" i="5"/>
  <c r="K1577" i="5"/>
  <c r="R1576" i="5"/>
  <c r="K1576" i="5"/>
  <c r="R1575" i="5"/>
  <c r="K1575" i="5"/>
  <c r="R1574" i="5"/>
  <c r="K1574" i="5"/>
  <c r="R1573" i="5"/>
  <c r="K1573" i="5"/>
  <c r="R1572" i="5"/>
  <c r="K1572" i="5"/>
  <c r="R1571" i="5"/>
  <c r="K1571" i="5"/>
  <c r="R1570" i="5"/>
  <c r="K1570" i="5"/>
  <c r="R1569" i="5"/>
  <c r="K1569" i="5"/>
  <c r="R1568" i="5"/>
  <c r="K1568" i="5"/>
  <c r="R1567" i="5"/>
  <c r="K1567" i="5"/>
  <c r="R1566" i="5"/>
  <c r="K1566" i="5"/>
  <c r="R1565" i="5"/>
  <c r="K1565" i="5"/>
  <c r="R1564" i="5"/>
  <c r="K1564" i="5"/>
  <c r="R1563" i="5"/>
  <c r="K1563" i="5"/>
  <c r="R1562" i="5"/>
  <c r="K1562" i="5"/>
  <c r="R1561" i="5"/>
  <c r="K1561" i="5"/>
  <c r="R1560" i="5"/>
  <c r="K1560" i="5"/>
  <c r="R1559" i="5"/>
  <c r="K1559" i="5"/>
  <c r="R1558" i="5"/>
  <c r="K1558" i="5"/>
  <c r="R1557" i="5"/>
  <c r="K1557" i="5"/>
  <c r="R1556" i="5"/>
  <c r="K1556" i="5"/>
  <c r="R1555" i="5"/>
  <c r="K1555" i="5"/>
  <c r="R1554" i="5"/>
  <c r="K1554" i="5"/>
  <c r="R1553" i="5"/>
  <c r="K1553" i="5"/>
  <c r="R1552" i="5"/>
  <c r="K1552" i="5"/>
  <c r="R1551" i="5"/>
  <c r="K1551" i="5"/>
  <c r="R1550" i="5"/>
  <c r="K1550" i="5"/>
  <c r="R1549" i="5"/>
  <c r="K1549" i="5"/>
  <c r="R1548" i="5"/>
  <c r="K1548" i="5"/>
  <c r="R1547" i="5"/>
  <c r="K1547" i="5"/>
  <c r="R1546" i="5"/>
  <c r="K1546" i="5"/>
  <c r="R1545" i="5"/>
  <c r="K1545" i="5"/>
  <c r="R1544" i="5"/>
  <c r="K1544" i="5"/>
  <c r="R1543" i="5"/>
  <c r="K1543" i="5"/>
  <c r="R1542" i="5"/>
  <c r="K1542" i="5"/>
  <c r="R1541" i="5"/>
  <c r="K1541" i="5"/>
  <c r="R1540" i="5"/>
  <c r="K1540" i="5"/>
  <c r="R1539" i="5"/>
  <c r="K1539" i="5"/>
  <c r="R1538" i="5"/>
  <c r="K1538" i="5"/>
  <c r="R1537" i="5"/>
  <c r="K1537" i="5"/>
  <c r="R1536" i="5"/>
  <c r="K1536" i="5"/>
  <c r="R1535" i="5"/>
  <c r="K1535" i="5"/>
  <c r="R1534" i="5"/>
  <c r="K1534" i="5"/>
  <c r="R1533" i="5"/>
  <c r="K1533" i="5"/>
  <c r="R1532" i="5"/>
  <c r="K1532" i="5"/>
  <c r="R1531" i="5"/>
  <c r="K1531" i="5"/>
  <c r="R1530" i="5"/>
  <c r="K1530" i="5"/>
  <c r="R1529" i="5"/>
  <c r="K1529" i="5"/>
  <c r="R1528" i="5"/>
  <c r="K1528" i="5"/>
  <c r="R1527" i="5"/>
  <c r="K1527" i="5"/>
  <c r="R1526" i="5"/>
  <c r="K1526" i="5"/>
  <c r="R1525" i="5"/>
  <c r="K1525" i="5"/>
  <c r="R1524" i="5"/>
  <c r="K1524" i="5"/>
  <c r="R1523" i="5"/>
  <c r="K1523" i="5"/>
  <c r="R1522" i="5"/>
  <c r="K1522" i="5"/>
  <c r="R1521" i="5"/>
  <c r="K1521" i="5"/>
  <c r="R1520" i="5"/>
  <c r="K1520" i="5"/>
  <c r="R1519" i="5"/>
  <c r="K1519" i="5"/>
  <c r="R1518" i="5"/>
  <c r="K1518" i="5"/>
  <c r="R1517" i="5"/>
  <c r="K1517" i="5"/>
  <c r="R1516" i="5"/>
  <c r="K1516" i="5"/>
  <c r="R1515" i="5"/>
  <c r="K1515" i="5"/>
  <c r="R1514" i="5"/>
  <c r="K1514" i="5"/>
  <c r="R1513" i="5"/>
  <c r="K1513" i="5"/>
  <c r="R1512" i="5"/>
  <c r="K1512" i="5"/>
  <c r="R1511" i="5"/>
  <c r="K1511" i="5"/>
  <c r="R1510" i="5"/>
  <c r="K1510" i="5"/>
  <c r="R1509" i="5"/>
  <c r="K1509" i="5"/>
  <c r="R1508" i="5"/>
  <c r="K1508" i="5"/>
  <c r="R1507" i="5"/>
  <c r="K1507" i="5"/>
  <c r="R1506" i="5"/>
  <c r="K1506" i="5"/>
  <c r="R1505" i="5"/>
  <c r="K1505" i="5"/>
  <c r="R1504" i="5"/>
  <c r="K1504" i="5"/>
  <c r="R1503" i="5"/>
  <c r="K1503" i="5"/>
  <c r="R1502" i="5"/>
  <c r="K1502" i="5"/>
  <c r="R1501" i="5"/>
  <c r="K1501" i="5"/>
  <c r="R1500" i="5"/>
  <c r="K1500" i="5"/>
  <c r="R1499" i="5"/>
  <c r="R1498" i="5"/>
  <c r="K1498" i="5"/>
  <c r="R1497" i="5"/>
  <c r="K1497" i="5"/>
  <c r="R1496" i="5"/>
  <c r="K1496" i="5"/>
  <c r="R1495" i="5"/>
  <c r="K1495" i="5"/>
  <c r="R1494" i="5"/>
  <c r="K1494" i="5"/>
  <c r="R1493" i="5"/>
  <c r="K1493" i="5"/>
  <c r="R1492" i="5"/>
  <c r="K1492" i="5"/>
  <c r="R1491" i="5"/>
  <c r="K1491" i="5"/>
  <c r="R1490" i="5"/>
  <c r="K1490" i="5"/>
  <c r="R1489" i="5"/>
  <c r="K1489" i="5"/>
  <c r="R1488" i="5"/>
  <c r="K1488" i="5"/>
  <c r="R1487" i="5"/>
  <c r="K1487" i="5"/>
  <c r="R1486" i="5"/>
  <c r="K1486" i="5"/>
  <c r="R1485" i="5"/>
  <c r="K1485" i="5"/>
  <c r="R1484" i="5"/>
  <c r="K1484" i="5"/>
  <c r="R1483" i="5"/>
  <c r="K1483" i="5"/>
  <c r="R1482" i="5"/>
  <c r="K1482" i="5"/>
  <c r="R1481" i="5"/>
  <c r="K1481" i="5"/>
  <c r="R1480" i="5"/>
  <c r="K1480" i="5"/>
  <c r="R1479" i="5"/>
  <c r="K1479" i="5"/>
  <c r="R1478" i="5"/>
  <c r="K1478" i="5"/>
  <c r="R1477" i="5"/>
  <c r="K1477" i="5"/>
  <c r="R1476" i="5"/>
  <c r="K1476" i="5"/>
  <c r="R1475" i="5"/>
  <c r="K1475" i="5"/>
  <c r="R1474" i="5"/>
  <c r="K1474" i="5"/>
  <c r="R1473" i="5"/>
  <c r="K1473" i="5"/>
  <c r="R1472" i="5"/>
  <c r="K1472" i="5"/>
  <c r="R1471" i="5"/>
  <c r="K1471" i="5"/>
  <c r="R1470" i="5"/>
  <c r="K1470" i="5"/>
  <c r="R1469" i="5"/>
  <c r="K1469" i="5"/>
  <c r="R1468" i="5"/>
  <c r="K1468" i="5"/>
  <c r="R1467" i="5"/>
  <c r="K1467" i="5"/>
  <c r="R1466" i="5"/>
  <c r="K1466" i="5"/>
  <c r="R1465" i="5"/>
  <c r="K1465" i="5"/>
  <c r="R1464" i="5"/>
  <c r="K1464" i="5"/>
  <c r="R1463" i="5"/>
  <c r="K1463" i="5"/>
  <c r="R1462" i="5"/>
  <c r="K1462" i="5"/>
  <c r="R1461" i="5"/>
  <c r="K1461" i="5"/>
  <c r="R1460" i="5"/>
  <c r="K1460" i="5"/>
  <c r="R1459" i="5"/>
  <c r="K1459" i="5"/>
  <c r="R1458" i="5"/>
  <c r="K1458" i="5"/>
  <c r="R1457" i="5"/>
  <c r="K1457" i="5"/>
  <c r="R1456" i="5"/>
  <c r="K1456" i="5"/>
  <c r="R1455" i="5"/>
  <c r="K1455" i="5"/>
  <c r="R1454" i="5"/>
  <c r="K1454" i="5"/>
  <c r="R1453" i="5"/>
  <c r="K1453" i="5"/>
  <c r="R1452" i="5"/>
  <c r="K1452" i="5"/>
  <c r="R1451" i="5"/>
  <c r="K1451" i="5"/>
  <c r="R1450" i="5"/>
  <c r="K1450" i="5"/>
  <c r="R1449" i="5"/>
  <c r="K1449" i="5"/>
  <c r="R1448" i="5"/>
  <c r="K1448" i="5"/>
  <c r="R1447" i="5"/>
  <c r="K1447" i="5"/>
  <c r="R1446" i="5"/>
  <c r="K1446" i="5"/>
  <c r="R1445" i="5"/>
  <c r="K1445" i="5"/>
  <c r="R1444" i="5"/>
  <c r="K1444" i="5"/>
  <c r="R1443" i="5"/>
  <c r="K1443" i="5"/>
  <c r="R1442" i="5"/>
  <c r="K1442" i="5"/>
  <c r="R1441" i="5"/>
  <c r="K1441" i="5"/>
  <c r="R1440" i="5"/>
  <c r="K1440" i="5"/>
  <c r="R1439" i="5"/>
  <c r="K1439" i="5"/>
  <c r="R1438" i="5"/>
  <c r="K1438" i="5"/>
  <c r="R1437" i="5"/>
  <c r="K1437" i="5"/>
  <c r="R1436" i="5"/>
  <c r="K1436" i="5"/>
  <c r="R1435" i="5"/>
  <c r="K1435" i="5"/>
  <c r="R1434" i="5"/>
  <c r="K1434" i="5"/>
  <c r="R1433" i="5"/>
  <c r="K1433" i="5"/>
  <c r="R1432" i="5"/>
  <c r="K1432" i="5"/>
  <c r="R1431" i="5"/>
  <c r="K1431" i="5"/>
  <c r="R1430" i="5"/>
  <c r="K1430" i="5"/>
  <c r="R1429" i="5"/>
  <c r="K1429" i="5"/>
  <c r="R1428" i="5"/>
  <c r="K1428" i="5"/>
  <c r="R1427" i="5"/>
  <c r="K1427" i="5"/>
  <c r="R1426" i="5"/>
  <c r="K1426" i="5"/>
  <c r="R1425" i="5"/>
  <c r="K1425" i="5"/>
  <c r="R1424" i="5"/>
  <c r="K1424" i="5"/>
  <c r="R1423" i="5"/>
  <c r="K1423" i="5"/>
  <c r="R1422" i="5"/>
  <c r="K1422" i="5"/>
  <c r="R1421" i="5"/>
  <c r="K1421" i="5"/>
  <c r="R1420" i="5"/>
  <c r="K1420" i="5"/>
  <c r="R1419" i="5"/>
  <c r="K1419" i="5"/>
  <c r="R1418" i="5"/>
  <c r="K1418" i="5"/>
  <c r="R1417" i="5"/>
  <c r="K1417" i="5"/>
  <c r="R1416" i="5"/>
  <c r="K1416" i="5"/>
  <c r="R1415" i="5"/>
  <c r="K1415" i="5"/>
  <c r="R1414" i="5"/>
  <c r="K1414" i="5"/>
  <c r="R1413" i="5"/>
  <c r="K1413" i="5"/>
  <c r="R1412" i="5"/>
  <c r="K1412" i="5"/>
  <c r="R1411" i="5"/>
  <c r="K1411" i="5"/>
  <c r="R1410" i="5"/>
  <c r="K1410" i="5"/>
  <c r="R1409" i="5"/>
  <c r="K1409" i="5"/>
  <c r="R1408" i="5"/>
  <c r="K1408" i="5"/>
  <c r="R1407" i="5"/>
  <c r="K1407" i="5"/>
  <c r="R1406" i="5"/>
  <c r="K1406" i="5"/>
  <c r="R1405" i="5"/>
  <c r="K1405" i="5"/>
  <c r="R1404" i="5"/>
  <c r="K1404" i="5"/>
  <c r="R1403" i="5"/>
  <c r="K1403" i="5"/>
  <c r="R1402" i="5"/>
  <c r="K1402" i="5"/>
  <c r="R1401" i="5"/>
  <c r="K1401" i="5"/>
  <c r="R1400" i="5"/>
  <c r="K1400" i="5"/>
  <c r="R1399" i="5"/>
  <c r="K1399" i="5"/>
  <c r="R1398" i="5"/>
  <c r="K1398" i="5"/>
  <c r="R1397" i="5"/>
  <c r="K1397" i="5"/>
  <c r="R1396" i="5"/>
  <c r="K1396" i="5"/>
  <c r="R1395" i="5"/>
  <c r="K1395" i="5"/>
  <c r="R1394" i="5"/>
  <c r="K1394" i="5"/>
  <c r="R1393" i="5"/>
  <c r="K1393" i="5"/>
  <c r="R1392" i="5"/>
  <c r="K1392" i="5"/>
  <c r="R1391" i="5"/>
  <c r="K1391" i="5"/>
  <c r="R1390" i="5"/>
  <c r="K1390" i="5"/>
  <c r="R1389" i="5"/>
  <c r="K1389" i="5"/>
  <c r="R1388" i="5"/>
  <c r="K1388" i="5"/>
  <c r="R1387" i="5"/>
  <c r="K1387" i="5"/>
  <c r="R1386" i="5"/>
  <c r="K1386" i="5"/>
  <c r="R1385" i="5"/>
  <c r="K1385" i="5"/>
  <c r="R1384" i="5"/>
  <c r="K1384" i="5"/>
  <c r="R1383" i="5"/>
  <c r="K1383" i="5"/>
  <c r="R1382" i="5"/>
  <c r="K1382" i="5"/>
  <c r="R1381" i="5"/>
  <c r="K1381" i="5"/>
  <c r="R1380" i="5"/>
  <c r="K1380" i="5"/>
  <c r="R1379" i="5"/>
  <c r="K1379" i="5"/>
  <c r="R1378" i="5"/>
  <c r="K1378" i="5"/>
  <c r="R1377" i="5"/>
  <c r="K1377" i="5"/>
  <c r="R1376" i="5"/>
  <c r="K1376" i="5"/>
  <c r="R1375" i="5"/>
  <c r="K1375" i="5"/>
  <c r="R1374" i="5"/>
  <c r="K1374" i="5"/>
  <c r="R1373" i="5"/>
  <c r="K1373" i="5"/>
  <c r="R1372" i="5"/>
  <c r="K1372" i="5"/>
  <c r="R1371" i="5"/>
  <c r="K1371" i="5"/>
  <c r="R1370" i="5"/>
  <c r="K1370" i="5"/>
  <c r="R1369" i="5"/>
  <c r="K1369" i="5"/>
  <c r="R1368" i="5"/>
  <c r="K1368" i="5"/>
  <c r="R1367" i="5"/>
  <c r="K1367" i="5"/>
  <c r="R1366" i="5"/>
  <c r="K1366" i="5"/>
  <c r="R1365" i="5"/>
  <c r="K1365" i="5"/>
  <c r="R1364" i="5"/>
  <c r="K1364" i="5"/>
  <c r="R1363" i="5"/>
  <c r="K1363" i="5"/>
  <c r="R1362" i="5"/>
  <c r="K1362" i="5"/>
  <c r="R1361" i="5"/>
  <c r="K1361" i="5"/>
  <c r="R1360" i="5"/>
  <c r="K1360" i="5"/>
  <c r="R1359" i="5"/>
  <c r="K1359" i="5"/>
  <c r="R1358" i="5"/>
  <c r="K1358" i="5"/>
  <c r="R1357" i="5"/>
  <c r="K1357" i="5"/>
  <c r="R1356" i="5"/>
  <c r="K1356" i="5"/>
  <c r="R1355" i="5"/>
  <c r="K1355" i="5"/>
  <c r="R1354" i="5"/>
  <c r="K1354" i="5"/>
  <c r="R1353" i="5"/>
  <c r="K1353" i="5"/>
  <c r="R1352" i="5"/>
  <c r="K1352" i="5"/>
  <c r="R1351" i="5"/>
  <c r="K1351" i="5"/>
  <c r="R1350" i="5"/>
  <c r="K1350" i="5"/>
  <c r="R1349" i="5"/>
  <c r="K1349" i="5"/>
  <c r="R1348" i="5"/>
  <c r="K1348" i="5"/>
  <c r="R1347" i="5"/>
  <c r="K1347" i="5"/>
  <c r="R1346" i="5"/>
  <c r="K1346" i="5"/>
  <c r="R1345" i="5"/>
  <c r="K1345" i="5"/>
  <c r="R1344" i="5"/>
  <c r="K1344" i="5"/>
  <c r="R1343" i="5"/>
  <c r="K1343" i="5"/>
  <c r="R1342" i="5"/>
  <c r="K1342" i="5"/>
  <c r="R1341" i="5"/>
  <c r="K1341" i="5"/>
  <c r="R1340" i="5"/>
  <c r="K1340" i="5"/>
  <c r="R1339" i="5"/>
  <c r="K1339" i="5"/>
  <c r="R1338" i="5"/>
  <c r="K1338" i="5"/>
  <c r="R1337" i="5"/>
  <c r="K1337" i="5"/>
  <c r="R1336" i="5"/>
  <c r="K1336" i="5"/>
  <c r="R1335" i="5"/>
  <c r="K1335" i="5"/>
  <c r="R1334" i="5"/>
  <c r="K1334" i="5"/>
  <c r="R1333" i="5"/>
  <c r="K1333" i="5"/>
  <c r="R1332" i="5"/>
  <c r="K1332" i="5"/>
  <c r="R1331" i="5"/>
  <c r="K1331" i="5"/>
  <c r="R1330" i="5"/>
  <c r="K1330" i="5"/>
  <c r="R1329" i="5"/>
  <c r="K1329" i="5"/>
  <c r="R1328" i="5"/>
  <c r="K1328" i="5"/>
  <c r="R1327" i="5"/>
  <c r="K1327" i="5"/>
  <c r="R1326" i="5"/>
  <c r="K1326" i="5"/>
  <c r="R1325" i="5"/>
  <c r="K1325" i="5"/>
  <c r="R1324" i="5"/>
  <c r="K1324" i="5"/>
  <c r="R1323" i="5"/>
  <c r="K1323" i="5"/>
  <c r="R1322" i="5"/>
  <c r="K1322" i="5"/>
  <c r="R1321" i="5"/>
  <c r="K1321" i="5"/>
  <c r="R1320" i="5"/>
  <c r="K1320" i="5"/>
  <c r="R1319" i="5"/>
  <c r="K1319" i="5"/>
  <c r="R1318" i="5"/>
  <c r="K1318" i="5"/>
  <c r="R1317" i="5"/>
  <c r="K1317" i="5"/>
  <c r="R1316" i="5"/>
  <c r="K1316" i="5"/>
  <c r="R1315" i="5"/>
  <c r="K1315" i="5"/>
  <c r="R1314" i="5"/>
  <c r="K1314" i="5"/>
  <c r="R1313" i="5"/>
  <c r="K1313" i="5"/>
  <c r="R1312" i="5"/>
  <c r="K1312" i="5"/>
  <c r="R1311" i="5"/>
  <c r="K1311" i="5"/>
  <c r="R1310" i="5"/>
  <c r="K1310" i="5"/>
  <c r="R1309" i="5"/>
  <c r="K1309" i="5"/>
  <c r="R1308" i="5"/>
  <c r="K1308" i="5"/>
  <c r="R1307" i="5"/>
  <c r="K1307" i="5"/>
  <c r="R1306" i="5"/>
  <c r="K1306" i="5"/>
  <c r="R1305" i="5"/>
  <c r="K1305" i="5"/>
  <c r="R1304" i="5"/>
  <c r="K1304" i="5"/>
  <c r="R1303" i="5"/>
  <c r="K1303" i="5"/>
  <c r="R1302" i="5"/>
  <c r="K1302" i="5"/>
  <c r="R1301" i="5"/>
  <c r="K1301" i="5"/>
  <c r="R1300" i="5"/>
  <c r="K1300" i="5"/>
  <c r="R1299" i="5"/>
  <c r="K1299" i="5"/>
  <c r="R1298" i="5"/>
  <c r="K1298" i="5"/>
  <c r="R1297" i="5"/>
  <c r="K1297" i="5"/>
  <c r="R1296" i="5"/>
  <c r="K1296" i="5"/>
  <c r="R1295" i="5"/>
  <c r="K1295" i="5"/>
  <c r="R1294" i="5"/>
  <c r="K1294" i="5"/>
  <c r="R1293" i="5"/>
  <c r="K1293" i="5"/>
  <c r="R1292" i="5"/>
  <c r="K1292" i="5"/>
  <c r="R1291" i="5"/>
  <c r="K1291" i="5"/>
  <c r="R1290" i="5"/>
  <c r="K1290" i="5"/>
  <c r="R1289" i="5"/>
  <c r="K1289" i="5"/>
  <c r="R1288" i="5"/>
  <c r="K1288" i="5"/>
  <c r="R1287" i="5"/>
  <c r="K1287" i="5"/>
  <c r="R1286" i="5"/>
  <c r="K1286" i="5"/>
  <c r="R1285" i="5"/>
  <c r="K1285" i="5"/>
  <c r="R1284" i="5"/>
  <c r="K1284" i="5"/>
  <c r="R1283" i="5"/>
  <c r="K1283" i="5"/>
  <c r="R1282" i="5"/>
  <c r="K1282" i="5"/>
  <c r="R1281" i="5"/>
  <c r="K1281" i="5"/>
  <c r="R1280" i="5"/>
  <c r="K1280" i="5"/>
  <c r="R1279" i="5"/>
  <c r="K1279" i="5"/>
  <c r="R1278" i="5"/>
  <c r="K1278" i="5"/>
  <c r="R1277" i="5"/>
  <c r="K1277" i="5"/>
  <c r="R1276" i="5"/>
  <c r="K1276" i="5"/>
  <c r="R1275" i="5"/>
  <c r="K1275" i="5"/>
  <c r="R1274" i="5"/>
  <c r="K1274" i="5"/>
  <c r="R1273" i="5"/>
  <c r="K1273" i="5"/>
  <c r="R1272" i="5"/>
  <c r="K1272" i="5"/>
  <c r="R1271" i="5"/>
  <c r="K1271" i="5"/>
  <c r="R1270" i="5"/>
  <c r="K1270" i="5"/>
  <c r="R1269" i="5"/>
  <c r="K1269" i="5"/>
  <c r="R1268" i="5"/>
  <c r="K1268" i="5"/>
  <c r="R1267" i="5"/>
  <c r="K1267" i="5"/>
  <c r="R1266" i="5"/>
  <c r="K1266" i="5"/>
  <c r="R1265" i="5"/>
  <c r="K1265" i="5"/>
  <c r="R1264" i="5"/>
  <c r="K1264" i="5"/>
  <c r="R1263" i="5"/>
  <c r="K1263" i="5"/>
  <c r="R1262" i="5"/>
  <c r="K1262" i="5"/>
  <c r="R1261" i="5"/>
  <c r="K1261" i="5"/>
  <c r="R1260" i="5"/>
  <c r="K1260" i="5"/>
  <c r="R1259" i="5"/>
  <c r="K1259" i="5"/>
  <c r="R1258" i="5"/>
  <c r="K1258" i="5"/>
  <c r="R1257" i="5"/>
  <c r="K1257" i="5"/>
  <c r="R1256" i="5"/>
  <c r="K1256" i="5"/>
  <c r="R1255" i="5"/>
  <c r="K1255" i="5"/>
  <c r="R1254" i="5"/>
  <c r="K1254" i="5"/>
  <c r="R1253" i="5"/>
  <c r="K1253" i="5"/>
  <c r="R1252" i="5"/>
  <c r="K1252" i="5"/>
  <c r="R1251" i="5"/>
  <c r="K1251" i="5"/>
  <c r="R1250" i="5"/>
  <c r="K1250" i="5"/>
  <c r="R1249" i="5"/>
  <c r="K1249" i="5"/>
  <c r="R1248" i="5"/>
  <c r="K1248" i="5"/>
  <c r="R1247" i="5"/>
  <c r="K1247" i="5"/>
  <c r="R1246" i="5"/>
  <c r="K1246" i="5"/>
  <c r="R1245" i="5"/>
  <c r="K1245" i="5"/>
  <c r="R1244" i="5"/>
  <c r="K1244" i="5"/>
  <c r="R1243" i="5"/>
  <c r="K1243" i="5"/>
  <c r="R1242" i="5"/>
  <c r="K1242" i="5"/>
  <c r="R1241" i="5"/>
  <c r="K1241" i="5"/>
  <c r="R1240" i="5"/>
  <c r="K1240" i="5"/>
  <c r="R1239" i="5"/>
  <c r="K1239" i="5"/>
  <c r="R1238" i="5"/>
  <c r="K1238" i="5"/>
  <c r="R1237" i="5"/>
  <c r="K1237" i="5"/>
  <c r="R1236" i="5"/>
  <c r="K1236" i="5"/>
  <c r="R1235" i="5"/>
  <c r="K1235" i="5"/>
  <c r="R1234" i="5"/>
  <c r="K1234" i="5"/>
  <c r="R1233" i="5"/>
  <c r="K1233" i="5"/>
  <c r="R1232" i="5"/>
  <c r="K1232" i="5"/>
  <c r="R1231" i="5"/>
  <c r="K1231" i="5"/>
  <c r="R1230" i="5"/>
  <c r="K1230" i="5"/>
  <c r="R1229" i="5"/>
  <c r="K1229" i="5"/>
  <c r="R1228" i="5"/>
  <c r="K1228" i="5"/>
  <c r="R1227" i="5"/>
  <c r="K1227" i="5"/>
  <c r="R1226" i="5"/>
  <c r="K1226" i="5"/>
  <c r="R1225" i="5"/>
  <c r="K1225" i="5"/>
  <c r="R1224" i="5"/>
  <c r="K1224" i="5"/>
  <c r="R1223" i="5"/>
  <c r="K1223" i="5"/>
  <c r="R1222" i="5"/>
  <c r="K1222" i="5"/>
  <c r="R1221" i="5"/>
  <c r="K1221" i="5"/>
  <c r="R1220" i="5"/>
  <c r="K1220" i="5"/>
  <c r="R1219" i="5"/>
  <c r="K1219" i="5"/>
  <c r="R1218" i="5"/>
  <c r="K1218" i="5"/>
  <c r="R1217" i="5"/>
  <c r="K1217" i="5"/>
  <c r="R1216" i="5"/>
  <c r="K1216" i="5"/>
  <c r="R1215" i="5"/>
  <c r="K1215" i="5"/>
  <c r="R1214" i="5"/>
  <c r="K1214" i="5"/>
  <c r="R1213" i="5"/>
  <c r="K1213" i="5"/>
  <c r="R1212" i="5"/>
  <c r="K1212" i="5"/>
  <c r="R1211" i="5"/>
  <c r="K1211" i="5"/>
  <c r="R1210" i="5"/>
  <c r="K1210" i="5"/>
  <c r="R1209" i="5"/>
  <c r="K1209" i="5"/>
  <c r="R1208" i="5"/>
  <c r="K1208" i="5"/>
  <c r="R1207" i="5"/>
  <c r="K1207" i="5"/>
  <c r="R1206" i="5"/>
  <c r="K1206" i="5"/>
  <c r="R1205" i="5"/>
  <c r="K1205" i="5"/>
  <c r="R1204" i="5"/>
  <c r="K1204" i="5"/>
  <c r="R1203" i="5"/>
  <c r="K1203" i="5"/>
  <c r="R1202" i="5"/>
  <c r="K1202" i="5"/>
  <c r="R1201" i="5"/>
  <c r="K1201" i="5"/>
  <c r="R1200" i="5"/>
  <c r="K1200" i="5"/>
  <c r="R1199" i="5"/>
  <c r="K1199" i="5"/>
  <c r="R1198" i="5"/>
  <c r="K1198" i="5"/>
  <c r="R1197" i="5"/>
  <c r="K1197" i="5"/>
  <c r="R1196" i="5"/>
  <c r="K1196" i="5"/>
  <c r="R1195" i="5"/>
  <c r="K1195" i="5"/>
  <c r="R1194" i="5"/>
  <c r="K1194" i="5"/>
  <c r="R1193" i="5"/>
  <c r="K1193" i="5"/>
  <c r="R1192" i="5"/>
  <c r="K1192" i="5"/>
  <c r="R1191" i="5"/>
  <c r="K1191" i="5"/>
  <c r="R1190" i="5"/>
  <c r="K1190" i="5"/>
  <c r="R1189" i="5"/>
  <c r="K1189" i="5"/>
  <c r="R1188" i="5"/>
  <c r="K1188" i="5"/>
  <c r="R1187" i="5"/>
  <c r="K1187" i="5"/>
  <c r="R1186" i="5"/>
  <c r="K1186" i="5"/>
  <c r="R1185" i="5"/>
  <c r="K1185" i="5"/>
  <c r="R1184" i="5"/>
  <c r="K1184" i="5"/>
  <c r="R1183" i="5"/>
  <c r="K1183" i="5"/>
  <c r="R1182" i="5"/>
  <c r="K1182" i="5"/>
  <c r="R1181" i="5"/>
  <c r="K1181" i="5"/>
  <c r="R1180" i="5"/>
  <c r="K1180" i="5"/>
  <c r="R1179" i="5"/>
  <c r="K1179" i="5"/>
  <c r="R1178" i="5"/>
  <c r="K1178" i="5"/>
  <c r="R1177" i="5"/>
  <c r="K1177" i="5"/>
  <c r="R1176" i="5"/>
  <c r="K1176" i="5"/>
  <c r="R1175" i="5"/>
  <c r="K1175" i="5"/>
  <c r="R1174" i="5"/>
  <c r="K1174" i="5"/>
  <c r="R1173" i="5"/>
  <c r="K1173" i="5"/>
  <c r="R1172" i="5"/>
  <c r="K1172" i="5"/>
  <c r="R1171" i="5"/>
  <c r="K1171" i="5"/>
  <c r="R1170" i="5"/>
  <c r="K1170" i="5"/>
  <c r="R1169" i="5"/>
  <c r="K1169" i="5"/>
  <c r="R1168" i="5"/>
  <c r="K1168" i="5"/>
  <c r="R1167" i="5"/>
  <c r="K1167" i="5"/>
  <c r="R1166" i="5"/>
  <c r="K1166" i="5"/>
  <c r="R1165" i="5"/>
  <c r="K1165" i="5"/>
  <c r="R1164" i="5"/>
  <c r="K1164" i="5"/>
  <c r="R1163" i="5"/>
  <c r="K1163" i="5"/>
  <c r="R1162" i="5"/>
  <c r="K1162" i="5"/>
  <c r="R1161" i="5"/>
  <c r="K1161" i="5"/>
  <c r="R1160" i="5"/>
  <c r="K1160" i="5"/>
  <c r="R1159" i="5"/>
  <c r="K1159" i="5"/>
  <c r="R1158" i="5"/>
  <c r="K1158" i="5"/>
  <c r="R1157" i="5"/>
  <c r="K1157" i="5"/>
  <c r="R1156" i="5"/>
  <c r="K1156" i="5"/>
  <c r="R1155" i="5"/>
  <c r="K1155" i="5"/>
  <c r="R1154" i="5"/>
  <c r="K1154" i="5"/>
  <c r="R1153" i="5"/>
  <c r="K1153" i="5"/>
  <c r="R1152" i="5"/>
  <c r="K1152" i="5"/>
  <c r="R1151" i="5"/>
  <c r="K1151" i="5"/>
  <c r="R1150" i="5"/>
  <c r="K1150" i="5"/>
  <c r="R1149" i="5"/>
  <c r="K1149" i="5"/>
  <c r="R1148" i="5"/>
  <c r="K1148" i="5"/>
  <c r="R1147" i="5"/>
  <c r="K1147" i="5"/>
  <c r="R1146" i="5"/>
  <c r="K1146" i="5"/>
  <c r="R1145" i="5"/>
  <c r="K1145" i="5"/>
  <c r="R1144" i="5"/>
  <c r="K1144" i="5"/>
  <c r="R1143" i="5"/>
  <c r="K1143" i="5"/>
  <c r="R1142" i="5"/>
  <c r="K1142" i="5"/>
  <c r="R1141" i="5"/>
  <c r="K1141" i="5"/>
  <c r="R1140" i="5"/>
  <c r="K1140" i="5"/>
  <c r="R1139" i="5"/>
  <c r="K1139" i="5"/>
  <c r="R1138" i="5"/>
  <c r="K1138" i="5"/>
  <c r="R1137" i="5"/>
  <c r="K1137" i="5"/>
  <c r="R1136" i="5"/>
  <c r="K1136" i="5"/>
  <c r="R1135" i="5"/>
  <c r="K1135" i="5"/>
  <c r="R1134" i="5"/>
  <c r="K1134" i="5"/>
  <c r="R1133" i="5"/>
  <c r="K1133" i="5"/>
  <c r="R1132" i="5"/>
  <c r="K1132" i="5"/>
  <c r="R1131" i="5"/>
  <c r="K1131" i="5"/>
  <c r="R1130" i="5"/>
  <c r="K1130" i="5"/>
  <c r="R1129" i="5"/>
  <c r="K1129" i="5"/>
  <c r="R1128" i="5"/>
  <c r="K1128" i="5"/>
  <c r="R1127" i="5"/>
  <c r="K1127" i="5"/>
  <c r="R1126" i="5"/>
  <c r="K1126" i="5"/>
  <c r="R1125" i="5"/>
  <c r="K1125" i="5"/>
  <c r="R1124" i="5"/>
  <c r="K1124" i="5"/>
  <c r="R1123" i="5"/>
  <c r="K1123" i="5"/>
  <c r="R1122" i="5"/>
  <c r="K1122" i="5"/>
  <c r="R1121" i="5"/>
  <c r="K1121" i="5"/>
  <c r="R1120" i="5"/>
  <c r="K1120" i="5"/>
  <c r="R1119" i="5"/>
  <c r="K1119" i="5"/>
  <c r="R1118" i="5"/>
  <c r="K1118" i="5"/>
  <c r="R1117" i="5"/>
  <c r="K1117" i="5"/>
  <c r="R1116" i="5"/>
  <c r="K1116" i="5"/>
  <c r="R1115" i="5"/>
  <c r="K1115" i="5"/>
  <c r="R1114" i="5"/>
  <c r="K1114" i="5"/>
  <c r="R1113" i="5"/>
  <c r="K1113" i="5"/>
  <c r="R1112" i="5"/>
  <c r="K1112" i="5"/>
  <c r="R1111" i="5"/>
  <c r="K1111" i="5"/>
  <c r="R1110" i="5"/>
  <c r="K1110" i="5"/>
  <c r="R1109" i="5"/>
  <c r="K1109" i="5"/>
  <c r="R1108" i="5"/>
  <c r="K1108" i="5"/>
  <c r="R1107" i="5"/>
  <c r="K1107" i="5"/>
  <c r="R1106" i="5"/>
  <c r="K1106" i="5"/>
  <c r="R1105" i="5"/>
  <c r="K1105" i="5"/>
  <c r="R1104" i="5"/>
  <c r="K1104" i="5"/>
  <c r="R1103" i="5"/>
  <c r="K1103" i="5"/>
  <c r="R1102" i="5"/>
  <c r="K1102" i="5"/>
  <c r="R1101" i="5"/>
  <c r="K1101" i="5"/>
  <c r="R1100" i="5"/>
  <c r="K1100" i="5"/>
  <c r="R1099" i="5"/>
  <c r="K1099" i="5"/>
  <c r="R1098" i="5"/>
  <c r="K1098" i="5"/>
  <c r="R1097" i="5"/>
  <c r="K1097" i="5"/>
  <c r="R1096" i="5"/>
  <c r="K1096" i="5"/>
  <c r="R1095" i="5"/>
  <c r="K1095" i="5"/>
  <c r="R1094" i="5"/>
  <c r="K1094" i="5"/>
  <c r="R1093" i="5"/>
  <c r="K1093" i="5"/>
  <c r="R1092" i="5"/>
  <c r="K1092" i="5"/>
  <c r="R1091" i="5"/>
  <c r="K1091" i="5"/>
  <c r="R1090" i="5"/>
  <c r="K1090" i="5"/>
  <c r="R1089" i="5"/>
  <c r="K1089" i="5"/>
  <c r="R1088" i="5"/>
  <c r="K1088" i="5"/>
  <c r="R1087" i="5"/>
  <c r="K1087" i="5"/>
  <c r="R1086" i="5"/>
  <c r="K1086" i="5"/>
  <c r="R1085" i="5"/>
  <c r="K1085" i="5"/>
  <c r="R1084" i="5"/>
  <c r="K1084" i="5"/>
  <c r="R1083" i="5"/>
  <c r="K1083" i="5"/>
  <c r="R1082" i="5"/>
  <c r="K1082" i="5"/>
  <c r="R1081" i="5"/>
  <c r="K1081" i="5"/>
  <c r="R1080" i="5"/>
  <c r="K1080" i="5"/>
  <c r="R1079" i="5"/>
  <c r="K1079" i="5"/>
  <c r="R1078" i="5"/>
  <c r="K1078" i="5"/>
  <c r="R1077" i="5"/>
  <c r="K1077" i="5"/>
  <c r="R1076" i="5"/>
  <c r="K1076" i="5"/>
  <c r="R1075" i="5"/>
  <c r="K1075" i="5"/>
  <c r="R1074" i="5"/>
  <c r="K1074" i="5"/>
  <c r="R1073" i="5"/>
  <c r="K1073" i="5"/>
  <c r="R1072" i="5"/>
  <c r="K1072" i="5"/>
  <c r="R1071" i="5"/>
  <c r="K1071" i="5"/>
  <c r="R1070" i="5"/>
  <c r="K1070" i="5"/>
  <c r="R1069" i="5"/>
  <c r="K1069" i="5"/>
  <c r="R1068" i="5"/>
  <c r="K1068" i="5"/>
  <c r="R1067" i="5"/>
  <c r="K1067" i="5"/>
  <c r="R1066" i="5"/>
  <c r="K1066" i="5"/>
  <c r="R1065" i="5"/>
  <c r="K1065" i="5"/>
  <c r="R1064" i="5"/>
  <c r="K1064" i="5"/>
  <c r="R1063" i="5"/>
  <c r="K1063" i="5"/>
  <c r="R1062" i="5"/>
  <c r="K1062" i="5"/>
  <c r="R1061" i="5"/>
  <c r="K1061" i="5"/>
  <c r="R1060" i="5"/>
  <c r="K1060" i="5"/>
  <c r="R1059" i="5"/>
  <c r="K1059" i="5"/>
  <c r="R1058" i="5"/>
  <c r="K1058" i="5"/>
  <c r="R1057" i="5"/>
  <c r="K1057" i="5"/>
  <c r="R1056" i="5"/>
  <c r="K1056" i="5"/>
  <c r="R1055" i="5"/>
  <c r="K1055" i="5"/>
  <c r="R1054" i="5"/>
  <c r="K1054" i="5"/>
  <c r="R1053" i="5"/>
  <c r="K1053" i="5"/>
  <c r="R1052" i="5"/>
  <c r="K1052" i="5"/>
  <c r="R1051" i="5"/>
  <c r="K1051" i="5"/>
  <c r="R1050" i="5"/>
  <c r="K1050" i="5"/>
  <c r="R1049" i="5"/>
  <c r="K1049" i="5"/>
  <c r="R1048" i="5"/>
  <c r="K1048" i="5"/>
  <c r="R1047" i="5"/>
  <c r="K1047" i="5"/>
  <c r="R1046" i="5"/>
  <c r="K1046" i="5"/>
  <c r="R1045" i="5"/>
  <c r="K1045" i="5"/>
  <c r="R1044" i="5"/>
  <c r="K1044" i="5"/>
  <c r="R1043" i="5"/>
  <c r="K1043" i="5"/>
  <c r="R1042" i="5"/>
  <c r="K1042" i="5"/>
  <c r="R1041" i="5"/>
  <c r="K1041" i="5"/>
  <c r="R1040" i="5"/>
  <c r="K1040" i="5"/>
  <c r="R1039" i="5"/>
  <c r="K1039" i="5"/>
  <c r="R1038" i="5"/>
  <c r="K1038" i="5"/>
  <c r="R1037" i="5"/>
  <c r="K1037" i="5"/>
  <c r="R1036" i="5"/>
  <c r="K1036" i="5"/>
  <c r="R1035" i="5"/>
  <c r="K1035" i="5"/>
  <c r="R1034" i="5"/>
  <c r="K1034" i="5"/>
  <c r="R1033" i="5"/>
  <c r="K1033" i="5"/>
  <c r="R1032" i="5"/>
  <c r="K1032" i="5"/>
  <c r="R1031" i="5"/>
  <c r="K1031" i="5"/>
  <c r="R1030" i="5"/>
  <c r="K1030" i="5"/>
  <c r="R1029" i="5"/>
  <c r="K1029" i="5"/>
  <c r="R1028" i="5"/>
  <c r="K1028" i="5"/>
  <c r="R1027" i="5"/>
  <c r="K1027" i="5"/>
  <c r="R1026" i="5"/>
  <c r="K1026" i="5"/>
  <c r="R1025" i="5"/>
  <c r="K1025" i="5"/>
  <c r="R1024" i="5"/>
  <c r="K1024" i="5"/>
  <c r="R1023" i="5"/>
  <c r="K1023" i="5"/>
  <c r="R1022" i="5"/>
  <c r="K1022" i="5"/>
  <c r="R1021" i="5"/>
  <c r="K1021" i="5"/>
  <c r="R1020" i="5"/>
  <c r="K1020" i="5"/>
  <c r="R1019" i="5"/>
  <c r="K1019" i="5"/>
  <c r="R1018" i="5"/>
  <c r="K1018" i="5"/>
  <c r="R1017" i="5"/>
  <c r="K1017" i="5"/>
  <c r="R1016" i="5"/>
  <c r="K1016" i="5"/>
  <c r="R1015" i="5"/>
  <c r="K1015" i="5"/>
  <c r="R1014" i="5"/>
  <c r="K1014" i="5"/>
  <c r="R1013" i="5"/>
  <c r="K1013" i="5"/>
  <c r="R1012" i="5"/>
  <c r="K1012" i="5"/>
  <c r="R1011" i="5"/>
  <c r="K1011" i="5"/>
  <c r="R1010" i="5"/>
  <c r="K1010" i="5"/>
  <c r="R1009" i="5"/>
  <c r="K1009" i="5"/>
  <c r="R1008" i="5"/>
  <c r="K1008" i="5"/>
  <c r="R1007" i="5"/>
  <c r="K1007" i="5"/>
  <c r="R1006" i="5"/>
  <c r="K1006" i="5"/>
  <c r="R1005" i="5"/>
  <c r="K1005" i="5"/>
  <c r="R1004" i="5"/>
  <c r="K1004" i="5"/>
  <c r="R1003" i="5"/>
  <c r="K1003" i="5"/>
  <c r="R1002" i="5"/>
  <c r="K1002" i="5"/>
  <c r="R1001" i="5"/>
  <c r="K1001" i="5"/>
  <c r="R1000" i="5"/>
  <c r="K1000" i="5"/>
  <c r="R999" i="5"/>
  <c r="K999" i="5"/>
  <c r="R998" i="5"/>
  <c r="K998" i="5"/>
  <c r="R997" i="5"/>
  <c r="K997" i="5"/>
  <c r="R996" i="5"/>
  <c r="K996" i="5"/>
  <c r="R995" i="5"/>
  <c r="K995" i="5"/>
  <c r="R994" i="5"/>
  <c r="K994" i="5"/>
  <c r="R993" i="5"/>
  <c r="K993" i="5"/>
  <c r="R992" i="5"/>
  <c r="K992" i="5"/>
  <c r="R991" i="5"/>
  <c r="K991" i="5"/>
  <c r="R990" i="5"/>
  <c r="K990" i="5"/>
  <c r="R989" i="5"/>
  <c r="K989" i="5"/>
  <c r="R988" i="5"/>
  <c r="K988" i="5"/>
  <c r="R987" i="5"/>
  <c r="K987" i="5"/>
  <c r="R986" i="5"/>
  <c r="K986" i="5"/>
  <c r="R985" i="5"/>
  <c r="K985" i="5"/>
  <c r="R984" i="5"/>
  <c r="K984" i="5"/>
  <c r="R983" i="5"/>
  <c r="K983" i="5"/>
  <c r="R982" i="5"/>
  <c r="K982" i="5"/>
  <c r="R981" i="5"/>
  <c r="K981" i="5"/>
  <c r="R980" i="5"/>
  <c r="K980" i="5"/>
  <c r="R979" i="5"/>
  <c r="K979" i="5"/>
  <c r="R978" i="5"/>
  <c r="K978" i="5"/>
  <c r="R977" i="5"/>
  <c r="K977" i="5"/>
  <c r="R976" i="5"/>
  <c r="K976" i="5"/>
  <c r="R975" i="5"/>
  <c r="K975" i="5"/>
  <c r="R974" i="5"/>
  <c r="K974" i="5"/>
  <c r="R973" i="5"/>
  <c r="K973" i="5"/>
  <c r="R972" i="5"/>
  <c r="K972" i="5"/>
  <c r="R971" i="5"/>
  <c r="K971" i="5"/>
  <c r="R970" i="5"/>
  <c r="K970" i="5"/>
  <c r="R969" i="5"/>
  <c r="K969" i="5"/>
  <c r="R968" i="5"/>
  <c r="K968" i="5"/>
  <c r="R967" i="5"/>
  <c r="K967" i="5"/>
  <c r="R966" i="5"/>
  <c r="K966" i="5"/>
  <c r="R965" i="5"/>
  <c r="K965" i="5"/>
  <c r="R964" i="5"/>
  <c r="K964" i="5"/>
  <c r="R963" i="5"/>
  <c r="K963" i="5"/>
  <c r="R962" i="5"/>
  <c r="K962" i="5"/>
  <c r="R961" i="5"/>
  <c r="K961" i="5"/>
  <c r="R960" i="5"/>
  <c r="K960" i="5"/>
  <c r="R959" i="5"/>
  <c r="K959" i="5"/>
  <c r="R958" i="5"/>
  <c r="K958" i="5"/>
  <c r="R957" i="5"/>
  <c r="K957" i="5"/>
  <c r="R956" i="5"/>
  <c r="K956" i="5"/>
  <c r="R955" i="5"/>
  <c r="R954" i="5"/>
  <c r="K954" i="5"/>
  <c r="R953" i="5"/>
  <c r="K953" i="5"/>
  <c r="R952" i="5"/>
  <c r="K952" i="5"/>
  <c r="R951" i="5"/>
  <c r="K951" i="5"/>
  <c r="R950" i="5"/>
  <c r="K950" i="5"/>
  <c r="R949" i="5"/>
  <c r="K949" i="5"/>
  <c r="R948" i="5"/>
  <c r="K948" i="5"/>
  <c r="R947" i="5"/>
  <c r="K947" i="5"/>
  <c r="R946" i="5"/>
  <c r="K946" i="5"/>
  <c r="R945" i="5"/>
  <c r="K945" i="5"/>
  <c r="R944" i="5"/>
  <c r="K944" i="5"/>
  <c r="R943" i="5"/>
  <c r="K943" i="5"/>
  <c r="R942" i="5"/>
  <c r="K942" i="5"/>
  <c r="R941" i="5"/>
  <c r="K941" i="5"/>
  <c r="R940" i="5"/>
  <c r="K940" i="5"/>
  <c r="R939" i="5"/>
  <c r="K939" i="5"/>
  <c r="R938" i="5"/>
  <c r="K938" i="5"/>
  <c r="R937" i="5"/>
  <c r="K937" i="5"/>
  <c r="R936" i="5"/>
  <c r="K936" i="5"/>
  <c r="R935" i="5"/>
  <c r="K935" i="5"/>
  <c r="R934" i="5"/>
  <c r="K934" i="5"/>
  <c r="R933" i="5"/>
  <c r="K933" i="5"/>
  <c r="R932" i="5"/>
  <c r="K932" i="5"/>
  <c r="R931" i="5"/>
  <c r="K931" i="5"/>
  <c r="R930" i="5"/>
  <c r="K930" i="5"/>
  <c r="R929" i="5"/>
  <c r="K929" i="5"/>
  <c r="R928" i="5"/>
  <c r="K928" i="5"/>
  <c r="R927" i="5"/>
  <c r="K927" i="5"/>
  <c r="R926" i="5"/>
  <c r="K926" i="5"/>
  <c r="R925" i="5"/>
  <c r="K925" i="5"/>
  <c r="R924" i="5"/>
  <c r="K924" i="5"/>
  <c r="R923" i="5"/>
  <c r="K923" i="5"/>
  <c r="R922" i="5"/>
  <c r="K922" i="5"/>
  <c r="R921" i="5"/>
  <c r="K921" i="5"/>
  <c r="R920" i="5"/>
  <c r="K920" i="5"/>
  <c r="R919" i="5"/>
  <c r="K919" i="5"/>
  <c r="R918" i="5"/>
  <c r="K918" i="5"/>
  <c r="R917" i="5"/>
  <c r="K917" i="5"/>
  <c r="R916" i="5"/>
  <c r="K916" i="5"/>
  <c r="R915" i="5"/>
  <c r="K915" i="5"/>
  <c r="R914" i="5"/>
  <c r="K914" i="5"/>
  <c r="R913" i="5"/>
  <c r="K913" i="5"/>
  <c r="R912" i="5"/>
  <c r="K912" i="5"/>
  <c r="R911" i="5"/>
  <c r="K911" i="5"/>
  <c r="R910" i="5"/>
  <c r="K910" i="5"/>
  <c r="R909" i="5"/>
  <c r="K909" i="5"/>
  <c r="R908" i="5"/>
  <c r="K908" i="5"/>
  <c r="R907" i="5"/>
  <c r="K907" i="5"/>
  <c r="R906" i="5"/>
  <c r="K906" i="5"/>
  <c r="R905" i="5"/>
  <c r="K905" i="5"/>
  <c r="R904" i="5"/>
  <c r="K904" i="5"/>
  <c r="R903" i="5"/>
  <c r="K903" i="5"/>
  <c r="R902" i="5"/>
  <c r="K902" i="5"/>
  <c r="R901" i="5"/>
  <c r="K901" i="5"/>
  <c r="R900" i="5"/>
  <c r="K900" i="5"/>
  <c r="R899" i="5"/>
  <c r="K899" i="5"/>
  <c r="R898" i="5"/>
  <c r="K898" i="5"/>
  <c r="R897" i="5"/>
  <c r="K897" i="5"/>
  <c r="R896" i="5"/>
  <c r="K896" i="5"/>
  <c r="R895" i="5"/>
  <c r="K895" i="5"/>
  <c r="R894" i="5"/>
  <c r="K894" i="5"/>
  <c r="R893" i="5"/>
  <c r="K893" i="5"/>
  <c r="R892" i="5"/>
  <c r="K892" i="5"/>
  <c r="R891" i="5"/>
  <c r="K891" i="5"/>
  <c r="R890" i="5"/>
  <c r="K890" i="5"/>
  <c r="R889" i="5"/>
  <c r="K889" i="5"/>
  <c r="R888" i="5"/>
  <c r="K888" i="5"/>
  <c r="R887" i="5"/>
  <c r="K887" i="5"/>
  <c r="R886" i="5"/>
  <c r="K886" i="5"/>
  <c r="R885" i="5"/>
  <c r="K885" i="5"/>
  <c r="R884" i="5"/>
  <c r="K884" i="5"/>
  <c r="R883" i="5"/>
  <c r="K883" i="5"/>
  <c r="R882" i="5"/>
  <c r="K882" i="5"/>
  <c r="R881" i="5"/>
  <c r="K881" i="5"/>
  <c r="R880" i="5"/>
  <c r="K880" i="5"/>
  <c r="R879" i="5"/>
  <c r="K879" i="5"/>
  <c r="R878" i="5"/>
  <c r="K878" i="5"/>
  <c r="R877" i="5"/>
  <c r="K877" i="5"/>
  <c r="R876" i="5"/>
  <c r="K876" i="5"/>
  <c r="R875" i="5"/>
  <c r="K875" i="5"/>
  <c r="R874" i="5"/>
  <c r="K874" i="5"/>
  <c r="R873" i="5"/>
  <c r="K873" i="5"/>
  <c r="R872" i="5"/>
  <c r="K872" i="5"/>
  <c r="R871" i="5"/>
  <c r="K871" i="5"/>
  <c r="R870" i="5"/>
  <c r="K870" i="5"/>
  <c r="R869" i="5"/>
  <c r="K869" i="5"/>
  <c r="R868" i="5"/>
  <c r="K868" i="5"/>
  <c r="R867" i="5"/>
  <c r="K867" i="5"/>
  <c r="R866" i="5"/>
  <c r="K866" i="5"/>
  <c r="R865" i="5"/>
  <c r="K865" i="5"/>
  <c r="R864" i="5"/>
  <c r="K864" i="5"/>
  <c r="R863" i="5"/>
  <c r="K863" i="5"/>
  <c r="R862" i="5"/>
  <c r="K862" i="5"/>
  <c r="R861" i="5"/>
  <c r="K861" i="5"/>
  <c r="R860" i="5"/>
  <c r="K860" i="5"/>
  <c r="R859" i="5"/>
  <c r="K859" i="5"/>
  <c r="R858" i="5"/>
  <c r="K858" i="5"/>
  <c r="R857" i="5"/>
  <c r="K857" i="5"/>
  <c r="R856" i="5"/>
  <c r="K856" i="5"/>
  <c r="R855" i="5"/>
  <c r="K855" i="5"/>
  <c r="R854" i="5"/>
  <c r="K854" i="5"/>
  <c r="R853" i="5"/>
  <c r="K853" i="5"/>
  <c r="R852" i="5"/>
  <c r="K852" i="5"/>
  <c r="R851" i="5"/>
  <c r="K851" i="5"/>
  <c r="R850" i="5"/>
  <c r="K850" i="5"/>
  <c r="R849" i="5"/>
  <c r="K849" i="5"/>
  <c r="R848" i="5"/>
  <c r="K848" i="5"/>
  <c r="R847" i="5"/>
  <c r="K847" i="5"/>
  <c r="R846" i="5"/>
  <c r="K846" i="5"/>
  <c r="R845" i="5"/>
  <c r="R844" i="5"/>
  <c r="K844" i="5"/>
  <c r="R843" i="5"/>
  <c r="K843" i="5"/>
  <c r="R842" i="5"/>
  <c r="K842" i="5"/>
  <c r="R841" i="5"/>
  <c r="K841" i="5"/>
  <c r="R840" i="5"/>
  <c r="K840" i="5"/>
  <c r="R839" i="5"/>
  <c r="K839" i="5"/>
  <c r="R838" i="5"/>
  <c r="K838" i="5"/>
  <c r="R837" i="5"/>
  <c r="K837" i="5"/>
  <c r="R836" i="5"/>
  <c r="K836" i="5"/>
  <c r="R835" i="5"/>
  <c r="K835" i="5"/>
  <c r="R834" i="5"/>
  <c r="K834" i="5"/>
  <c r="R833" i="5"/>
  <c r="K833" i="5"/>
  <c r="R832" i="5"/>
  <c r="K832" i="5"/>
  <c r="R831" i="5"/>
  <c r="K831" i="5"/>
  <c r="R830" i="5"/>
  <c r="K830" i="5"/>
  <c r="R829" i="5"/>
  <c r="K829" i="5"/>
  <c r="R828" i="5"/>
  <c r="K828" i="5"/>
  <c r="R827" i="5"/>
  <c r="K827" i="5"/>
  <c r="R826" i="5"/>
  <c r="K826" i="5"/>
  <c r="R825" i="5"/>
  <c r="K825" i="5"/>
  <c r="R824" i="5"/>
  <c r="K824" i="5"/>
  <c r="R823" i="5"/>
  <c r="K823" i="5"/>
  <c r="R822" i="5"/>
  <c r="K822" i="5"/>
  <c r="R821" i="5"/>
  <c r="K821" i="5"/>
  <c r="R820" i="5"/>
  <c r="K820" i="5"/>
  <c r="R819" i="5"/>
  <c r="K819" i="5"/>
  <c r="R818" i="5"/>
  <c r="K818" i="5"/>
  <c r="R817" i="5"/>
  <c r="K817" i="5"/>
  <c r="R816" i="5"/>
  <c r="K816" i="5"/>
  <c r="R815" i="5"/>
  <c r="K815" i="5"/>
  <c r="R814" i="5"/>
  <c r="K814" i="5"/>
  <c r="R813" i="5"/>
  <c r="K813" i="5"/>
  <c r="R812" i="5"/>
  <c r="K812" i="5"/>
  <c r="R811" i="5"/>
  <c r="K811" i="5"/>
  <c r="R810" i="5"/>
  <c r="K810" i="5"/>
  <c r="R809" i="5"/>
  <c r="K809" i="5"/>
  <c r="R808" i="5"/>
  <c r="K808" i="5"/>
  <c r="R807" i="5"/>
  <c r="K807" i="5"/>
  <c r="R806" i="5"/>
  <c r="K806" i="5"/>
  <c r="R805" i="5"/>
  <c r="K805" i="5"/>
  <c r="R804" i="5"/>
  <c r="K804" i="5"/>
  <c r="R803" i="5"/>
  <c r="K803" i="5"/>
  <c r="R802" i="5"/>
  <c r="K802" i="5"/>
  <c r="R801" i="5"/>
  <c r="K801" i="5"/>
  <c r="R800" i="5"/>
  <c r="K800" i="5"/>
  <c r="R799" i="5"/>
  <c r="K799" i="5"/>
  <c r="R798" i="5"/>
  <c r="K798" i="5"/>
  <c r="R797" i="5"/>
  <c r="K797" i="5"/>
  <c r="R796" i="5"/>
  <c r="K796" i="5"/>
  <c r="R795" i="5"/>
  <c r="K795" i="5"/>
  <c r="R794" i="5"/>
  <c r="K794" i="5"/>
  <c r="R793" i="5"/>
  <c r="K793" i="5"/>
  <c r="R792" i="5"/>
  <c r="K792" i="5"/>
  <c r="R791" i="5"/>
  <c r="K791" i="5"/>
  <c r="R790" i="5"/>
  <c r="K790" i="5"/>
  <c r="R789" i="5"/>
  <c r="K789" i="5"/>
  <c r="R788" i="5"/>
  <c r="K788" i="5"/>
  <c r="R787" i="5"/>
  <c r="K787" i="5"/>
  <c r="R786" i="5"/>
  <c r="K786" i="5"/>
  <c r="R785" i="5"/>
  <c r="K785" i="5"/>
  <c r="R784" i="5"/>
  <c r="K784" i="5"/>
  <c r="R783" i="5"/>
  <c r="K783" i="5"/>
  <c r="R782" i="5"/>
  <c r="K782" i="5"/>
  <c r="R781" i="5"/>
  <c r="K781" i="5"/>
  <c r="R780" i="5"/>
  <c r="K780" i="5"/>
  <c r="R779" i="5"/>
  <c r="K779" i="5"/>
  <c r="R778" i="5"/>
  <c r="K778" i="5"/>
  <c r="R777" i="5"/>
  <c r="K777" i="5"/>
  <c r="R776" i="5"/>
  <c r="K776" i="5"/>
  <c r="R775" i="5"/>
  <c r="K775" i="5"/>
  <c r="R774" i="5"/>
  <c r="K774" i="5"/>
  <c r="R773" i="5"/>
  <c r="K773" i="5"/>
  <c r="R772" i="5"/>
  <c r="K772" i="5"/>
  <c r="R771" i="5"/>
  <c r="K771" i="5"/>
  <c r="R770" i="5"/>
  <c r="K770" i="5"/>
  <c r="R769" i="5"/>
  <c r="K769" i="5"/>
  <c r="R768" i="5"/>
  <c r="K768" i="5"/>
  <c r="R767" i="5"/>
  <c r="K767" i="5"/>
  <c r="R766" i="5"/>
  <c r="K766" i="5"/>
  <c r="R765" i="5"/>
  <c r="K765" i="5"/>
  <c r="R764" i="5"/>
  <c r="K764" i="5"/>
  <c r="R763" i="5"/>
  <c r="K763" i="5"/>
  <c r="R762" i="5"/>
  <c r="K762" i="5"/>
  <c r="R761" i="5"/>
  <c r="K761" i="5"/>
  <c r="R760" i="5"/>
  <c r="K760" i="5"/>
  <c r="R759" i="5"/>
  <c r="K759" i="5"/>
  <c r="R758" i="5"/>
  <c r="K758" i="5"/>
  <c r="R757" i="5"/>
  <c r="K757" i="5"/>
  <c r="R756" i="5"/>
  <c r="K756" i="5"/>
  <c r="R755" i="5"/>
  <c r="K755" i="5"/>
  <c r="R754" i="5"/>
  <c r="K754" i="5"/>
  <c r="R753" i="5"/>
  <c r="K753" i="5"/>
  <c r="R752" i="5"/>
  <c r="K752" i="5"/>
  <c r="R751" i="5"/>
  <c r="K751" i="5"/>
  <c r="R750" i="5"/>
  <c r="K750" i="5"/>
  <c r="R749" i="5"/>
  <c r="K749" i="5"/>
  <c r="R748" i="5"/>
  <c r="K748" i="5"/>
  <c r="R747" i="5"/>
  <c r="K747" i="5"/>
  <c r="R746" i="5"/>
  <c r="K746" i="5"/>
  <c r="R745" i="5"/>
  <c r="K745" i="5"/>
  <c r="R744" i="5"/>
  <c r="K744" i="5"/>
  <c r="R743" i="5"/>
  <c r="K743" i="5"/>
  <c r="R742" i="5"/>
  <c r="K742" i="5"/>
  <c r="R741" i="5"/>
  <c r="K741" i="5"/>
  <c r="R740" i="5"/>
  <c r="K740" i="5"/>
  <c r="R739" i="5"/>
  <c r="K739" i="5"/>
  <c r="R738" i="5"/>
  <c r="K738" i="5"/>
  <c r="R737" i="5"/>
  <c r="K737" i="5"/>
  <c r="R736" i="5"/>
  <c r="K736" i="5"/>
  <c r="R735" i="5"/>
  <c r="K735" i="5"/>
  <c r="R734" i="5"/>
  <c r="K734" i="5"/>
  <c r="R733" i="5"/>
  <c r="K733" i="5"/>
  <c r="R732" i="5"/>
  <c r="K732" i="5"/>
  <c r="R731" i="5"/>
  <c r="K731" i="5"/>
  <c r="R730" i="5"/>
  <c r="K730" i="5"/>
  <c r="R729" i="5"/>
  <c r="K729" i="5"/>
  <c r="R728" i="5"/>
  <c r="K728" i="5"/>
  <c r="R727" i="5"/>
  <c r="K727" i="5"/>
  <c r="R726" i="5"/>
  <c r="K726" i="5"/>
  <c r="R725" i="5"/>
  <c r="K725" i="5"/>
  <c r="R724" i="5"/>
  <c r="K724" i="5"/>
  <c r="R723" i="5"/>
  <c r="K723" i="5"/>
  <c r="R722" i="5"/>
  <c r="K722" i="5"/>
  <c r="R721" i="5"/>
  <c r="K721" i="5"/>
  <c r="R720" i="5"/>
  <c r="K720" i="5"/>
  <c r="R719" i="5"/>
  <c r="K719" i="5"/>
  <c r="R718" i="5"/>
  <c r="K718" i="5"/>
  <c r="R717" i="5"/>
  <c r="K717" i="5"/>
  <c r="R716" i="5"/>
  <c r="K716" i="5"/>
  <c r="R715" i="5"/>
  <c r="K715" i="5"/>
  <c r="R714" i="5"/>
  <c r="K714" i="5"/>
  <c r="R713" i="5"/>
  <c r="K713" i="5"/>
  <c r="R712" i="5"/>
  <c r="K712" i="5"/>
  <c r="R711" i="5"/>
  <c r="K711" i="5"/>
  <c r="R710" i="5"/>
  <c r="K710" i="5"/>
  <c r="R709" i="5"/>
  <c r="K709" i="5"/>
  <c r="R708" i="5"/>
  <c r="K708" i="5"/>
  <c r="R707" i="5"/>
  <c r="K707" i="5"/>
  <c r="R706" i="5"/>
  <c r="K706" i="5"/>
  <c r="R705" i="5"/>
  <c r="K705" i="5"/>
  <c r="R704" i="5"/>
  <c r="K704" i="5"/>
  <c r="R703" i="5"/>
  <c r="K703" i="5"/>
  <c r="R702" i="5"/>
  <c r="K702" i="5"/>
  <c r="R701" i="5"/>
  <c r="K701" i="5"/>
  <c r="R700" i="5"/>
  <c r="K700" i="5"/>
  <c r="R699" i="5"/>
  <c r="K699" i="5"/>
  <c r="R698" i="5"/>
  <c r="K698" i="5"/>
  <c r="R697" i="5"/>
  <c r="K697" i="5"/>
  <c r="R696" i="5"/>
  <c r="K696" i="5"/>
  <c r="R695" i="5"/>
  <c r="K695" i="5"/>
  <c r="R694" i="5"/>
  <c r="K694" i="5"/>
  <c r="R693" i="5"/>
  <c r="K693" i="5"/>
  <c r="R692" i="5"/>
  <c r="K692" i="5"/>
  <c r="R691" i="5"/>
  <c r="K691" i="5"/>
  <c r="R690" i="5"/>
  <c r="K690" i="5"/>
  <c r="R689" i="5"/>
  <c r="K689" i="5"/>
  <c r="R688" i="5"/>
  <c r="K688" i="5"/>
  <c r="R687" i="5"/>
  <c r="K687" i="5"/>
  <c r="R686" i="5"/>
  <c r="K686" i="5"/>
  <c r="R685" i="5"/>
  <c r="K685" i="5"/>
  <c r="R684" i="5"/>
  <c r="K684" i="5"/>
  <c r="R683" i="5"/>
  <c r="K683" i="5"/>
  <c r="R682" i="5"/>
  <c r="K682" i="5"/>
  <c r="R681" i="5"/>
  <c r="K681" i="5"/>
  <c r="R680" i="5"/>
  <c r="K680" i="5"/>
  <c r="R679" i="5"/>
  <c r="K679" i="5"/>
  <c r="R678" i="5"/>
  <c r="K678" i="5"/>
  <c r="R677" i="5"/>
  <c r="K677" i="5"/>
  <c r="R676" i="5"/>
  <c r="K676" i="5"/>
  <c r="R675" i="5"/>
  <c r="K675" i="5"/>
  <c r="R674" i="5"/>
  <c r="K674" i="5"/>
  <c r="R673" i="5"/>
  <c r="K673" i="5"/>
  <c r="R672" i="5"/>
  <c r="K672" i="5"/>
  <c r="R671" i="5"/>
  <c r="K671" i="5"/>
  <c r="R670" i="5"/>
  <c r="K670" i="5"/>
  <c r="R669" i="5"/>
  <c r="K669" i="5"/>
  <c r="R668" i="5"/>
  <c r="K668" i="5"/>
  <c r="R667" i="5"/>
  <c r="K667" i="5"/>
  <c r="R666" i="5"/>
  <c r="K666" i="5"/>
  <c r="R665" i="5"/>
  <c r="K665" i="5"/>
  <c r="R664" i="5"/>
  <c r="K664" i="5"/>
  <c r="R663" i="5"/>
  <c r="K663" i="5"/>
  <c r="R662" i="5"/>
  <c r="K662" i="5"/>
  <c r="R661" i="5"/>
  <c r="K661" i="5"/>
  <c r="R660" i="5"/>
  <c r="K660" i="5"/>
  <c r="R659" i="5"/>
  <c r="K659" i="5"/>
  <c r="R658" i="5"/>
  <c r="K658" i="5"/>
  <c r="R657" i="5"/>
  <c r="K657" i="5"/>
  <c r="R656" i="5"/>
  <c r="K656" i="5"/>
  <c r="R655" i="5"/>
  <c r="K655" i="5"/>
  <c r="R654" i="5"/>
  <c r="K654" i="5"/>
  <c r="R653" i="5"/>
  <c r="K653" i="5"/>
  <c r="R652" i="5"/>
  <c r="K652" i="5"/>
  <c r="R651" i="5"/>
  <c r="K651" i="5"/>
  <c r="R650" i="5"/>
  <c r="K650" i="5"/>
  <c r="R649" i="5"/>
  <c r="K649" i="5"/>
  <c r="R648" i="5"/>
  <c r="K648" i="5"/>
  <c r="R647" i="5"/>
  <c r="K647" i="5"/>
  <c r="R646" i="5"/>
  <c r="K646" i="5"/>
  <c r="R645" i="5"/>
  <c r="K645" i="5"/>
  <c r="R644" i="5"/>
  <c r="K644" i="5"/>
  <c r="R643" i="5"/>
  <c r="K643" i="5"/>
  <c r="R642" i="5"/>
  <c r="K642" i="5"/>
  <c r="R641" i="5"/>
  <c r="K641" i="5"/>
  <c r="R640" i="5"/>
  <c r="K640" i="5"/>
  <c r="R639" i="5"/>
  <c r="K639" i="5"/>
  <c r="R638" i="5"/>
  <c r="K638" i="5"/>
  <c r="R637" i="5"/>
  <c r="K637" i="5"/>
  <c r="R636" i="5"/>
  <c r="K636" i="5"/>
  <c r="R635" i="5"/>
  <c r="K635" i="5"/>
  <c r="R634" i="5"/>
  <c r="K634" i="5"/>
  <c r="R633" i="5"/>
  <c r="K633" i="5"/>
  <c r="R632" i="5"/>
  <c r="K632" i="5"/>
  <c r="R631" i="5"/>
  <c r="K631" i="5"/>
  <c r="R630" i="5"/>
  <c r="K630" i="5"/>
  <c r="R629" i="5"/>
  <c r="K629" i="5"/>
  <c r="R628" i="5"/>
  <c r="K628" i="5"/>
  <c r="R627" i="5"/>
  <c r="K627" i="5"/>
  <c r="R626" i="5"/>
  <c r="K626" i="5"/>
  <c r="R625" i="5"/>
  <c r="K625" i="5"/>
  <c r="R624" i="5"/>
  <c r="K624" i="5"/>
  <c r="R623" i="5"/>
  <c r="K623" i="5"/>
  <c r="R622" i="5"/>
  <c r="K622" i="5"/>
  <c r="R621" i="5"/>
  <c r="K621" i="5"/>
  <c r="R620" i="5"/>
  <c r="K620" i="5"/>
  <c r="R619" i="5"/>
  <c r="K619" i="5"/>
  <c r="R618" i="5"/>
  <c r="K618" i="5"/>
  <c r="R617" i="5"/>
  <c r="K617" i="5"/>
  <c r="R616" i="5"/>
  <c r="K616" i="5"/>
  <c r="R615" i="5"/>
  <c r="K615" i="5"/>
  <c r="R614" i="5"/>
  <c r="K614" i="5"/>
  <c r="R613" i="5"/>
  <c r="K613" i="5"/>
  <c r="R612" i="5"/>
  <c r="K612" i="5"/>
  <c r="R611" i="5"/>
  <c r="K611" i="5"/>
  <c r="R610" i="5"/>
  <c r="K610" i="5"/>
  <c r="R609" i="5"/>
  <c r="K609" i="5"/>
  <c r="R608" i="5"/>
  <c r="K608" i="5"/>
  <c r="R607" i="5"/>
  <c r="K607" i="5"/>
  <c r="R606" i="5"/>
  <c r="K606" i="5"/>
  <c r="R605" i="5"/>
  <c r="K605" i="5"/>
  <c r="R604" i="5"/>
  <c r="K604" i="5"/>
  <c r="R603" i="5"/>
  <c r="K603" i="5"/>
  <c r="R602" i="5"/>
  <c r="K602" i="5"/>
  <c r="R601" i="5"/>
  <c r="K601" i="5"/>
  <c r="R600" i="5"/>
  <c r="K600" i="5"/>
  <c r="R599" i="5"/>
  <c r="K599" i="5"/>
  <c r="R598" i="5"/>
  <c r="K598" i="5"/>
  <c r="R597" i="5"/>
  <c r="K597" i="5"/>
  <c r="R596" i="5"/>
  <c r="K596" i="5"/>
  <c r="R595" i="5"/>
  <c r="K595" i="5"/>
  <c r="R594" i="5"/>
  <c r="K594" i="5"/>
  <c r="R593" i="5"/>
  <c r="K593" i="5"/>
  <c r="R592" i="5"/>
  <c r="K592" i="5"/>
  <c r="R591" i="5"/>
  <c r="K591" i="5"/>
  <c r="R590" i="5"/>
  <c r="K590" i="5"/>
  <c r="R589" i="5"/>
  <c r="K589" i="5"/>
  <c r="R588" i="5"/>
  <c r="K588" i="5"/>
  <c r="R587" i="5"/>
  <c r="K587" i="5"/>
  <c r="R586" i="5"/>
  <c r="K586" i="5"/>
  <c r="R585" i="5"/>
  <c r="K585" i="5"/>
  <c r="R584" i="5"/>
  <c r="K584" i="5"/>
  <c r="R583" i="5"/>
  <c r="K583" i="5"/>
  <c r="R582" i="5"/>
  <c r="K582" i="5"/>
  <c r="R581" i="5"/>
  <c r="K581" i="5"/>
  <c r="R580" i="5"/>
  <c r="K580" i="5"/>
  <c r="R579" i="5"/>
  <c r="K579" i="5"/>
  <c r="R578" i="5"/>
  <c r="K578" i="5"/>
  <c r="R577" i="5"/>
  <c r="K577" i="5"/>
  <c r="R576" i="5"/>
  <c r="K576" i="5"/>
  <c r="R575" i="5"/>
  <c r="K575" i="5"/>
  <c r="R574" i="5"/>
  <c r="K574" i="5"/>
  <c r="R573" i="5"/>
  <c r="K573" i="5"/>
  <c r="R572" i="5"/>
  <c r="K572" i="5"/>
  <c r="R571" i="5"/>
  <c r="K571" i="5"/>
  <c r="R570" i="5"/>
  <c r="K570" i="5"/>
  <c r="R569" i="5"/>
  <c r="K569" i="5"/>
  <c r="R568" i="5"/>
  <c r="K568" i="5"/>
  <c r="R567" i="5"/>
  <c r="K567" i="5"/>
  <c r="R566" i="5"/>
  <c r="K566" i="5"/>
  <c r="R565" i="5"/>
  <c r="K565" i="5"/>
  <c r="R564" i="5"/>
  <c r="K564" i="5"/>
  <c r="R563" i="5"/>
  <c r="K563" i="5"/>
  <c r="R562" i="5"/>
  <c r="K562" i="5"/>
  <c r="R561" i="5"/>
  <c r="K561" i="5"/>
  <c r="R560" i="5"/>
  <c r="K560" i="5"/>
  <c r="R559" i="5"/>
  <c r="K559" i="5"/>
  <c r="R558" i="5"/>
  <c r="K558" i="5"/>
  <c r="R557" i="5"/>
  <c r="K557" i="5"/>
  <c r="R556" i="5"/>
  <c r="K556" i="5"/>
  <c r="R555" i="5"/>
  <c r="K555" i="5"/>
  <c r="R554" i="5"/>
  <c r="K554" i="5"/>
  <c r="R553" i="5"/>
  <c r="K553" i="5"/>
  <c r="R552" i="5"/>
  <c r="K552" i="5"/>
  <c r="R551" i="5"/>
  <c r="K551" i="5"/>
  <c r="R550" i="5"/>
  <c r="K550" i="5"/>
  <c r="R549" i="5"/>
  <c r="K549" i="5"/>
  <c r="R548" i="5"/>
  <c r="K548" i="5"/>
  <c r="R547" i="5"/>
  <c r="K547" i="5"/>
  <c r="R546" i="5"/>
  <c r="K546" i="5"/>
  <c r="R545" i="5"/>
  <c r="K545" i="5"/>
  <c r="R544" i="5"/>
  <c r="K544" i="5"/>
  <c r="R543" i="5"/>
  <c r="K543" i="5"/>
  <c r="R542" i="5"/>
  <c r="K542" i="5"/>
  <c r="R541" i="5"/>
  <c r="K541" i="5"/>
  <c r="R540" i="5"/>
  <c r="K540" i="5"/>
  <c r="R539" i="5"/>
  <c r="K539" i="5"/>
  <c r="R538" i="5"/>
  <c r="K538" i="5"/>
  <c r="R537" i="5"/>
  <c r="K537" i="5"/>
  <c r="R536" i="5"/>
  <c r="K536" i="5"/>
  <c r="R535" i="5"/>
  <c r="K535" i="5"/>
  <c r="R534" i="5"/>
  <c r="K534" i="5"/>
  <c r="R533" i="5"/>
  <c r="K533" i="5"/>
  <c r="R532" i="5"/>
  <c r="K532" i="5"/>
  <c r="R531" i="5"/>
  <c r="K531" i="5"/>
  <c r="R530" i="5"/>
  <c r="K530" i="5"/>
  <c r="R529" i="5"/>
  <c r="K529" i="5"/>
  <c r="R528" i="5"/>
  <c r="K528" i="5"/>
  <c r="R527" i="5"/>
  <c r="K527" i="5"/>
  <c r="R526" i="5"/>
  <c r="K526" i="5"/>
  <c r="R525" i="5"/>
  <c r="K525" i="5"/>
  <c r="R524" i="5"/>
  <c r="K524" i="5"/>
  <c r="R523" i="5"/>
  <c r="K523" i="5"/>
  <c r="R522" i="5"/>
  <c r="K522" i="5"/>
  <c r="R521" i="5"/>
  <c r="K521" i="5"/>
  <c r="R520" i="5"/>
  <c r="K520" i="5"/>
  <c r="R519" i="5"/>
  <c r="K519" i="5"/>
  <c r="R518" i="5"/>
  <c r="K518" i="5"/>
  <c r="R517" i="5"/>
  <c r="K517" i="5"/>
  <c r="R516" i="5"/>
  <c r="K516" i="5"/>
  <c r="R515" i="5"/>
  <c r="K515" i="5"/>
  <c r="R514" i="5"/>
  <c r="K514" i="5"/>
  <c r="R513" i="5"/>
  <c r="K513" i="5"/>
  <c r="R512" i="5"/>
  <c r="K512" i="5"/>
  <c r="R511" i="5"/>
  <c r="K511" i="5"/>
  <c r="R510" i="5"/>
  <c r="K510" i="5"/>
  <c r="R509" i="5"/>
  <c r="K509" i="5"/>
  <c r="R508" i="5"/>
  <c r="K508" i="5"/>
  <c r="R507" i="5"/>
  <c r="K507" i="5"/>
  <c r="R506" i="5"/>
  <c r="K506" i="5"/>
  <c r="R505" i="5"/>
  <c r="K505" i="5"/>
  <c r="R504" i="5"/>
  <c r="K504" i="5"/>
  <c r="R503" i="5"/>
  <c r="K503" i="5"/>
  <c r="R502" i="5"/>
  <c r="K502" i="5"/>
  <c r="R501" i="5"/>
  <c r="K501" i="5"/>
  <c r="R500" i="5"/>
  <c r="K500" i="5"/>
  <c r="R499" i="5"/>
  <c r="K499" i="5"/>
  <c r="R498" i="5"/>
  <c r="K498" i="5"/>
  <c r="R497" i="5"/>
  <c r="K497" i="5"/>
  <c r="R496" i="5"/>
  <c r="K496" i="5"/>
  <c r="R495" i="5"/>
  <c r="K495" i="5"/>
  <c r="R494" i="5"/>
  <c r="K494" i="5"/>
  <c r="R493" i="5"/>
  <c r="K493" i="5"/>
  <c r="R492" i="5"/>
  <c r="K492" i="5"/>
  <c r="R491" i="5"/>
  <c r="K491" i="5"/>
  <c r="R490" i="5"/>
  <c r="K490" i="5"/>
  <c r="R489" i="5"/>
  <c r="K489" i="5"/>
  <c r="R488" i="5"/>
  <c r="K488" i="5"/>
  <c r="R487" i="5"/>
  <c r="K487" i="5"/>
  <c r="R486" i="5"/>
  <c r="K486" i="5"/>
  <c r="R485" i="5"/>
  <c r="K485" i="5"/>
  <c r="R484" i="5"/>
  <c r="K484" i="5"/>
  <c r="R483" i="5"/>
  <c r="K483" i="5"/>
  <c r="R482" i="5"/>
  <c r="K482" i="5"/>
  <c r="R481" i="5"/>
  <c r="K481" i="5"/>
  <c r="R480" i="5"/>
  <c r="K480" i="5"/>
  <c r="R479" i="5"/>
  <c r="K479" i="5"/>
  <c r="R478" i="5"/>
  <c r="K478" i="5"/>
  <c r="R477" i="5"/>
  <c r="K477" i="5"/>
  <c r="R476" i="5"/>
  <c r="K476" i="5"/>
  <c r="R475" i="5"/>
  <c r="K475" i="5"/>
  <c r="R474" i="5"/>
  <c r="K474" i="5"/>
  <c r="R473" i="5"/>
  <c r="K473" i="5"/>
  <c r="R472" i="5"/>
  <c r="K472" i="5"/>
  <c r="R471" i="5"/>
  <c r="K471" i="5"/>
  <c r="R470" i="5"/>
  <c r="K470" i="5"/>
  <c r="R469" i="5"/>
  <c r="K469" i="5"/>
  <c r="R468" i="5"/>
  <c r="K468" i="5"/>
  <c r="R467" i="5"/>
  <c r="K467" i="5"/>
  <c r="R466" i="5"/>
  <c r="K466" i="5"/>
  <c r="R465" i="5"/>
  <c r="K465" i="5"/>
  <c r="R464" i="5"/>
  <c r="K464" i="5"/>
  <c r="R463" i="5"/>
  <c r="K463" i="5"/>
  <c r="R462" i="5"/>
  <c r="K462" i="5"/>
  <c r="R461" i="5"/>
  <c r="K461" i="5"/>
  <c r="R460" i="5"/>
  <c r="K460" i="5"/>
  <c r="R459" i="5"/>
  <c r="K459" i="5"/>
  <c r="R458" i="5"/>
  <c r="K458" i="5"/>
  <c r="R457" i="5"/>
  <c r="K457" i="5"/>
  <c r="R456" i="5"/>
  <c r="K456" i="5"/>
  <c r="R455" i="5"/>
  <c r="K455" i="5"/>
  <c r="R454" i="5"/>
  <c r="K454" i="5"/>
  <c r="R453" i="5"/>
  <c r="K453" i="5"/>
  <c r="R452" i="5"/>
  <c r="K452" i="5"/>
  <c r="R451" i="5"/>
  <c r="K451" i="5"/>
  <c r="R450" i="5"/>
  <c r="K450" i="5"/>
  <c r="R449" i="5"/>
  <c r="K449" i="5"/>
  <c r="R448" i="5"/>
  <c r="K448" i="5"/>
  <c r="R447" i="5"/>
  <c r="K447" i="5"/>
  <c r="R446" i="5"/>
  <c r="K446" i="5"/>
  <c r="R445" i="5"/>
  <c r="K445" i="5"/>
  <c r="R444" i="5"/>
  <c r="K444" i="5"/>
  <c r="R443" i="5"/>
  <c r="K443" i="5"/>
  <c r="R442" i="5"/>
  <c r="K442" i="5"/>
  <c r="R441" i="5"/>
  <c r="K441" i="5"/>
  <c r="R440" i="5"/>
  <c r="K440" i="5"/>
  <c r="R439" i="5"/>
  <c r="K439" i="5"/>
  <c r="R438" i="5"/>
  <c r="K438" i="5"/>
  <c r="R437" i="5"/>
  <c r="K437" i="5"/>
  <c r="R436" i="5"/>
  <c r="K436" i="5"/>
  <c r="R435" i="5"/>
  <c r="K435" i="5"/>
  <c r="R434" i="5"/>
  <c r="K434" i="5"/>
  <c r="R433" i="5"/>
  <c r="K433" i="5"/>
  <c r="R432" i="5"/>
  <c r="K432" i="5"/>
  <c r="R431" i="5"/>
  <c r="K431" i="5"/>
  <c r="R430" i="5"/>
  <c r="K430" i="5"/>
  <c r="R429" i="5"/>
  <c r="K429" i="5"/>
  <c r="R428" i="5"/>
  <c r="K428" i="5"/>
  <c r="R427" i="5"/>
  <c r="K427" i="5"/>
  <c r="R426" i="5"/>
  <c r="K426" i="5"/>
  <c r="R425" i="5"/>
  <c r="K425" i="5"/>
  <c r="R424" i="5"/>
  <c r="K424" i="5"/>
  <c r="R423" i="5"/>
  <c r="K423" i="5"/>
  <c r="R422" i="5"/>
  <c r="K422" i="5"/>
  <c r="R421" i="5"/>
  <c r="K421" i="5"/>
  <c r="R420" i="5"/>
  <c r="K420" i="5"/>
  <c r="R419" i="5"/>
  <c r="K419" i="5"/>
  <c r="R418" i="5"/>
  <c r="K418" i="5"/>
  <c r="R417" i="5"/>
  <c r="K417" i="5"/>
  <c r="R416" i="5"/>
  <c r="K416" i="5"/>
  <c r="R415" i="5"/>
  <c r="K415" i="5"/>
  <c r="R414" i="5"/>
  <c r="K414" i="5"/>
  <c r="R413" i="5"/>
  <c r="K413" i="5"/>
  <c r="R412" i="5"/>
  <c r="K412" i="5"/>
  <c r="R411" i="5"/>
  <c r="K411" i="5"/>
  <c r="R410" i="5"/>
  <c r="K410" i="5"/>
  <c r="R409" i="5"/>
  <c r="K409" i="5"/>
  <c r="R408" i="5"/>
  <c r="K408" i="5"/>
  <c r="R407" i="5"/>
  <c r="K407" i="5"/>
  <c r="R406" i="5"/>
  <c r="K406" i="5"/>
  <c r="R405" i="5"/>
  <c r="K405" i="5"/>
  <c r="R404" i="5"/>
  <c r="K404" i="5"/>
  <c r="R403" i="5"/>
  <c r="K403" i="5"/>
  <c r="R402" i="5"/>
  <c r="K402" i="5"/>
  <c r="R401" i="5"/>
  <c r="K401" i="5"/>
  <c r="R400" i="5"/>
  <c r="K400" i="5"/>
  <c r="R399" i="5"/>
  <c r="K399" i="5"/>
  <c r="R398" i="5"/>
  <c r="K398" i="5"/>
  <c r="R397" i="5"/>
  <c r="K397" i="5"/>
  <c r="R396" i="5"/>
  <c r="K396" i="5"/>
  <c r="R395" i="5"/>
  <c r="K395" i="5"/>
  <c r="R394" i="5"/>
  <c r="K394" i="5"/>
  <c r="R393" i="5"/>
  <c r="K393" i="5"/>
  <c r="R392" i="5"/>
  <c r="K392" i="5"/>
  <c r="R391" i="5"/>
  <c r="K391" i="5"/>
  <c r="R390" i="5"/>
  <c r="K390" i="5"/>
  <c r="R389" i="5"/>
  <c r="K389" i="5"/>
  <c r="R388" i="5"/>
  <c r="K388" i="5"/>
  <c r="R387" i="5"/>
  <c r="K387" i="5"/>
  <c r="R386" i="5"/>
  <c r="K386" i="5"/>
  <c r="R385" i="5"/>
  <c r="K385" i="5"/>
  <c r="R384" i="5"/>
  <c r="K384" i="5"/>
  <c r="R383" i="5"/>
  <c r="K383" i="5"/>
  <c r="R382" i="5"/>
  <c r="K382" i="5"/>
  <c r="R381" i="5"/>
  <c r="K381" i="5"/>
  <c r="R380" i="5"/>
  <c r="K380" i="5"/>
  <c r="R379" i="5"/>
  <c r="K379" i="5"/>
  <c r="R378" i="5"/>
  <c r="K378" i="5"/>
  <c r="R377" i="5"/>
  <c r="K377" i="5"/>
  <c r="R376" i="5"/>
  <c r="K376" i="5"/>
  <c r="R375" i="5"/>
  <c r="K375" i="5"/>
  <c r="R374" i="5"/>
  <c r="K374" i="5"/>
  <c r="R373" i="5"/>
  <c r="K373" i="5"/>
  <c r="R372" i="5"/>
  <c r="K372" i="5"/>
  <c r="R371" i="5"/>
  <c r="K371" i="5"/>
  <c r="R370" i="5"/>
  <c r="K370" i="5"/>
  <c r="R369" i="5"/>
  <c r="K369" i="5"/>
  <c r="R368" i="5"/>
  <c r="K368" i="5"/>
  <c r="R367" i="5"/>
  <c r="K367" i="5"/>
  <c r="R366" i="5"/>
  <c r="K366" i="5"/>
  <c r="R365" i="5"/>
  <c r="K365" i="5"/>
  <c r="R364" i="5"/>
  <c r="K364" i="5"/>
  <c r="R363" i="5"/>
  <c r="K363" i="5"/>
  <c r="R362" i="5"/>
  <c r="K362" i="5"/>
  <c r="R361" i="5"/>
  <c r="K361" i="5"/>
  <c r="R360" i="5"/>
  <c r="K360" i="5"/>
  <c r="R359" i="5"/>
  <c r="K359" i="5"/>
  <c r="R358" i="5"/>
  <c r="K358" i="5"/>
  <c r="R357" i="5"/>
  <c r="K357" i="5"/>
  <c r="R356" i="5"/>
  <c r="K356" i="5"/>
  <c r="R355" i="5"/>
  <c r="K355" i="5"/>
  <c r="R354" i="5"/>
  <c r="K354" i="5"/>
  <c r="R353" i="5"/>
  <c r="K353" i="5"/>
  <c r="R352" i="5"/>
  <c r="K352" i="5"/>
  <c r="R351" i="5"/>
  <c r="K351" i="5"/>
  <c r="R350" i="5"/>
  <c r="K350" i="5"/>
  <c r="R349" i="5"/>
  <c r="K349" i="5"/>
  <c r="R348" i="5"/>
  <c r="K348" i="5"/>
  <c r="R347" i="5"/>
  <c r="K347" i="5"/>
  <c r="R346" i="5"/>
  <c r="K346" i="5"/>
  <c r="R345" i="5"/>
  <c r="K345" i="5"/>
  <c r="R344" i="5"/>
  <c r="K344" i="5"/>
  <c r="R343" i="5"/>
  <c r="K343" i="5"/>
  <c r="R342" i="5"/>
  <c r="K342" i="5"/>
  <c r="R341" i="5"/>
  <c r="K341" i="5"/>
  <c r="R340" i="5"/>
  <c r="K340" i="5"/>
  <c r="R339" i="5"/>
  <c r="K339" i="5"/>
  <c r="R338" i="5"/>
  <c r="K338" i="5"/>
  <c r="R337" i="5"/>
  <c r="K337" i="5"/>
  <c r="R336" i="5"/>
  <c r="K336" i="5"/>
  <c r="R335" i="5"/>
  <c r="K335" i="5"/>
  <c r="R334" i="5"/>
  <c r="K334" i="5"/>
  <c r="R333" i="5"/>
  <c r="K333" i="5"/>
  <c r="R332" i="5"/>
  <c r="K332" i="5"/>
  <c r="R331" i="5"/>
  <c r="K331" i="5"/>
  <c r="R330" i="5"/>
  <c r="K330" i="5"/>
  <c r="R329" i="5"/>
  <c r="K329" i="5"/>
  <c r="R328" i="5"/>
  <c r="K328" i="5"/>
  <c r="R327" i="5"/>
  <c r="K327" i="5"/>
  <c r="R326" i="5"/>
  <c r="K326" i="5"/>
  <c r="R325" i="5"/>
  <c r="K325" i="5"/>
  <c r="R324" i="5"/>
  <c r="K324" i="5"/>
  <c r="R323" i="5"/>
  <c r="K323" i="5"/>
  <c r="R322" i="5"/>
  <c r="K322" i="5"/>
  <c r="R321" i="5"/>
  <c r="K321" i="5"/>
  <c r="R320" i="5"/>
  <c r="K320" i="5"/>
  <c r="R319" i="5"/>
  <c r="K319" i="5"/>
  <c r="R318" i="5"/>
  <c r="K318" i="5"/>
  <c r="R317" i="5"/>
  <c r="K317" i="5"/>
  <c r="R316" i="5"/>
  <c r="K316" i="5"/>
  <c r="R315" i="5"/>
  <c r="K315" i="5"/>
  <c r="R314" i="5"/>
  <c r="K314" i="5"/>
  <c r="R313" i="5"/>
  <c r="K313" i="5"/>
  <c r="R312" i="5"/>
  <c r="K312" i="5"/>
  <c r="R311" i="5"/>
  <c r="K311" i="5"/>
  <c r="R310" i="5"/>
  <c r="K310" i="5"/>
  <c r="R309" i="5"/>
  <c r="K309" i="5"/>
  <c r="R308" i="5"/>
  <c r="K308" i="5"/>
  <c r="R307" i="5"/>
  <c r="K307" i="5"/>
  <c r="R306" i="5"/>
  <c r="K306" i="5"/>
  <c r="R305" i="5"/>
  <c r="K305" i="5"/>
  <c r="R304" i="5"/>
  <c r="K304" i="5"/>
  <c r="R303" i="5"/>
  <c r="K303" i="5"/>
  <c r="R302" i="5"/>
  <c r="K302" i="5"/>
  <c r="R301" i="5"/>
  <c r="K301" i="5"/>
  <c r="R300" i="5"/>
  <c r="K300" i="5"/>
  <c r="R299" i="5"/>
  <c r="K299" i="5"/>
  <c r="R298" i="5"/>
  <c r="K298" i="5"/>
  <c r="R297" i="5"/>
  <c r="K297" i="5"/>
  <c r="R296" i="5"/>
  <c r="K296" i="5"/>
  <c r="R295" i="5"/>
  <c r="K295" i="5"/>
  <c r="R294" i="5"/>
  <c r="K294" i="5"/>
  <c r="R293" i="5"/>
  <c r="K293" i="5"/>
  <c r="R292" i="5"/>
  <c r="K292" i="5"/>
  <c r="R291" i="5"/>
  <c r="K291" i="5"/>
  <c r="R290" i="5"/>
  <c r="K290" i="5"/>
  <c r="R289" i="5"/>
  <c r="K289" i="5"/>
  <c r="R288" i="5"/>
  <c r="K288" i="5"/>
  <c r="R287" i="5"/>
  <c r="K287" i="5"/>
  <c r="R286" i="5"/>
  <c r="K286" i="5"/>
  <c r="R285" i="5"/>
  <c r="K285" i="5"/>
  <c r="R284" i="5"/>
  <c r="K284" i="5"/>
  <c r="R283" i="5"/>
  <c r="K283" i="5"/>
  <c r="R282" i="5"/>
  <c r="K282" i="5"/>
  <c r="R281" i="5"/>
  <c r="K281" i="5"/>
  <c r="R280" i="5"/>
  <c r="K280" i="5"/>
  <c r="R279" i="5"/>
  <c r="K279" i="5"/>
  <c r="R278" i="5"/>
  <c r="K278" i="5"/>
  <c r="R277" i="5"/>
  <c r="K277" i="5"/>
  <c r="R276" i="5"/>
  <c r="K276" i="5"/>
  <c r="R275" i="5"/>
  <c r="K275" i="5"/>
  <c r="R274" i="5"/>
  <c r="K274" i="5"/>
  <c r="R273" i="5"/>
  <c r="K273" i="5"/>
  <c r="R272" i="5"/>
  <c r="K272" i="5"/>
  <c r="R271" i="5"/>
  <c r="K271" i="5"/>
  <c r="R270" i="5"/>
  <c r="K270" i="5"/>
  <c r="R269" i="5"/>
  <c r="K269" i="5"/>
  <c r="R268" i="5"/>
  <c r="K268" i="5"/>
  <c r="R267" i="5"/>
  <c r="K267" i="5"/>
  <c r="R266" i="5"/>
  <c r="K266" i="5"/>
  <c r="R265" i="5"/>
  <c r="K265" i="5"/>
  <c r="R264" i="5"/>
  <c r="K264" i="5"/>
  <c r="R263" i="5"/>
  <c r="K263" i="5"/>
  <c r="R262" i="5"/>
  <c r="K262" i="5"/>
  <c r="R261" i="5"/>
  <c r="K261" i="5"/>
  <c r="R260" i="5"/>
  <c r="K260" i="5"/>
  <c r="R259" i="5"/>
  <c r="K259" i="5"/>
  <c r="R258" i="5"/>
  <c r="K258" i="5"/>
  <c r="R257" i="5"/>
  <c r="K257" i="5"/>
  <c r="R256" i="5"/>
  <c r="K256" i="5"/>
  <c r="R255" i="5"/>
  <c r="K255" i="5"/>
  <c r="R254" i="5"/>
  <c r="K254" i="5"/>
  <c r="R253" i="5"/>
  <c r="K253" i="5"/>
  <c r="R252" i="5"/>
  <c r="K252" i="5"/>
  <c r="R251" i="5"/>
  <c r="K251" i="5"/>
  <c r="R250" i="5"/>
  <c r="K250" i="5"/>
  <c r="R249" i="5"/>
  <c r="K249" i="5"/>
  <c r="R248" i="5"/>
  <c r="K248" i="5"/>
  <c r="R247" i="5"/>
  <c r="K247" i="5"/>
  <c r="R246" i="5"/>
  <c r="K246" i="5"/>
  <c r="R245" i="5"/>
  <c r="K245" i="5"/>
  <c r="R244" i="5"/>
  <c r="K244" i="5"/>
  <c r="R243" i="5"/>
  <c r="K243" i="5"/>
  <c r="R242" i="5"/>
  <c r="K242" i="5"/>
  <c r="R241" i="5"/>
  <c r="K241" i="5"/>
  <c r="R240" i="5"/>
  <c r="K240" i="5"/>
  <c r="R239" i="5"/>
  <c r="K239" i="5"/>
  <c r="R238" i="5"/>
  <c r="K238" i="5"/>
  <c r="R237" i="5"/>
  <c r="K237" i="5"/>
  <c r="R236" i="5"/>
  <c r="K236" i="5"/>
  <c r="R235" i="5"/>
  <c r="K235" i="5"/>
  <c r="R234" i="5"/>
  <c r="K234" i="5"/>
  <c r="R233" i="5"/>
  <c r="K233" i="5"/>
  <c r="R232" i="5"/>
  <c r="K232" i="5"/>
  <c r="R231" i="5"/>
  <c r="K231" i="5"/>
  <c r="R230" i="5"/>
  <c r="K230" i="5"/>
  <c r="R229" i="5"/>
  <c r="K229" i="5"/>
  <c r="R228" i="5"/>
  <c r="K228" i="5"/>
  <c r="R227" i="5"/>
  <c r="K227" i="5"/>
  <c r="R226" i="5"/>
  <c r="K226" i="5"/>
  <c r="R225" i="5"/>
  <c r="K225" i="5"/>
  <c r="R224" i="5"/>
  <c r="K224" i="5"/>
  <c r="R223" i="5"/>
  <c r="K223" i="5"/>
  <c r="R222" i="5"/>
  <c r="K222" i="5"/>
  <c r="R221" i="5"/>
  <c r="K221" i="5"/>
  <c r="R220" i="5"/>
  <c r="K220" i="5"/>
  <c r="R219" i="5"/>
  <c r="K219" i="5"/>
  <c r="R218" i="5"/>
  <c r="K218" i="5"/>
  <c r="R217" i="5"/>
  <c r="K217" i="5"/>
  <c r="R216" i="5"/>
  <c r="K216" i="5"/>
  <c r="R215" i="5"/>
  <c r="K215" i="5"/>
  <c r="R214" i="5"/>
  <c r="K214" i="5"/>
  <c r="R213" i="5"/>
  <c r="K213" i="5"/>
  <c r="R212" i="5"/>
  <c r="K212" i="5"/>
  <c r="R211" i="5"/>
  <c r="K211" i="5"/>
  <c r="R210" i="5"/>
  <c r="K210" i="5"/>
  <c r="R209" i="5"/>
  <c r="K209" i="5"/>
  <c r="R208" i="5"/>
  <c r="K208" i="5"/>
  <c r="R207" i="5"/>
  <c r="K207" i="5"/>
  <c r="R206" i="5"/>
  <c r="K206" i="5"/>
  <c r="R205" i="5"/>
  <c r="K205" i="5"/>
  <c r="R204" i="5"/>
  <c r="K204" i="5"/>
  <c r="R203" i="5"/>
  <c r="K203" i="5"/>
  <c r="R202" i="5"/>
  <c r="K202" i="5"/>
  <c r="R201" i="5"/>
  <c r="K201" i="5"/>
  <c r="R200" i="5"/>
  <c r="K200" i="5"/>
  <c r="R199" i="5"/>
  <c r="K199" i="5"/>
  <c r="R198" i="5"/>
  <c r="K198" i="5"/>
  <c r="R197" i="5"/>
  <c r="K197" i="5"/>
  <c r="R196" i="5"/>
  <c r="K196" i="5"/>
  <c r="R195" i="5"/>
  <c r="K195" i="5"/>
  <c r="R194" i="5"/>
  <c r="K194" i="5"/>
  <c r="R193" i="5"/>
  <c r="K193" i="5"/>
  <c r="R192" i="5"/>
  <c r="K192" i="5"/>
  <c r="R191" i="5"/>
  <c r="K191" i="5"/>
  <c r="R190" i="5"/>
  <c r="K190" i="5"/>
  <c r="R189" i="5"/>
  <c r="K189" i="5"/>
  <c r="R188" i="5"/>
  <c r="K188" i="5"/>
  <c r="R187" i="5"/>
  <c r="K187" i="5"/>
  <c r="R186" i="5"/>
  <c r="K186" i="5"/>
  <c r="R185" i="5"/>
  <c r="K185" i="5"/>
  <c r="R184" i="5"/>
  <c r="K184" i="5"/>
  <c r="R183" i="5"/>
  <c r="K183" i="5"/>
  <c r="R182" i="5"/>
  <c r="K182" i="5"/>
  <c r="R181" i="5"/>
  <c r="K181" i="5"/>
  <c r="R180" i="5"/>
  <c r="K180" i="5"/>
  <c r="R179" i="5"/>
  <c r="K179" i="5"/>
  <c r="R178" i="5"/>
  <c r="K178" i="5"/>
  <c r="R177" i="5"/>
  <c r="K177" i="5"/>
  <c r="R176" i="5"/>
  <c r="K176" i="5"/>
  <c r="R175" i="5"/>
  <c r="K175" i="5"/>
  <c r="R174" i="5"/>
  <c r="K174" i="5"/>
  <c r="R173" i="5"/>
  <c r="K173" i="5"/>
  <c r="R172" i="5"/>
  <c r="K172" i="5"/>
  <c r="R171" i="5"/>
  <c r="K171" i="5"/>
  <c r="R170" i="5"/>
  <c r="K170" i="5"/>
  <c r="R169" i="5"/>
  <c r="K169" i="5"/>
  <c r="R168" i="5"/>
  <c r="K168" i="5"/>
  <c r="R167" i="5"/>
  <c r="K167" i="5"/>
  <c r="R166" i="5"/>
  <c r="K166" i="5"/>
  <c r="R165" i="5"/>
  <c r="K165" i="5"/>
  <c r="R164" i="5"/>
  <c r="K164" i="5"/>
  <c r="R163" i="5"/>
  <c r="K163" i="5"/>
  <c r="R162" i="5"/>
  <c r="K162" i="5"/>
  <c r="R161" i="5"/>
  <c r="K161" i="5"/>
  <c r="R160" i="5"/>
  <c r="K160" i="5"/>
  <c r="R159" i="5"/>
  <c r="K159" i="5"/>
  <c r="R158" i="5"/>
  <c r="K158" i="5"/>
  <c r="R157" i="5"/>
  <c r="K157" i="5"/>
  <c r="R156" i="5"/>
  <c r="K156" i="5"/>
  <c r="R155" i="5"/>
  <c r="K155" i="5"/>
  <c r="R154" i="5"/>
  <c r="K154" i="5"/>
  <c r="R153" i="5"/>
  <c r="K153" i="5"/>
  <c r="R152" i="5"/>
  <c r="K152" i="5"/>
  <c r="R151" i="5"/>
  <c r="K151" i="5"/>
  <c r="R150" i="5"/>
  <c r="K150" i="5"/>
  <c r="R149" i="5"/>
  <c r="K149" i="5"/>
  <c r="R148" i="5"/>
  <c r="K148" i="5"/>
  <c r="R147" i="5"/>
  <c r="K147" i="5"/>
  <c r="R146" i="5"/>
  <c r="K146" i="5"/>
  <c r="R145" i="5"/>
  <c r="K145" i="5"/>
  <c r="R144" i="5"/>
  <c r="K144" i="5"/>
  <c r="R143" i="5"/>
  <c r="K143" i="5"/>
  <c r="R142" i="5"/>
  <c r="K142" i="5"/>
  <c r="R141" i="5"/>
  <c r="K141" i="5"/>
  <c r="R140" i="5"/>
  <c r="K140" i="5"/>
  <c r="R139" i="5"/>
  <c r="K139" i="5"/>
  <c r="R138" i="5"/>
  <c r="K138" i="5"/>
  <c r="R137" i="5"/>
  <c r="K137" i="5"/>
  <c r="R136" i="5"/>
  <c r="K136" i="5"/>
  <c r="R135" i="5"/>
  <c r="K135" i="5"/>
  <c r="R134" i="5"/>
  <c r="K134" i="5"/>
  <c r="R133" i="5"/>
  <c r="K133" i="5"/>
  <c r="R132" i="5"/>
  <c r="K132" i="5"/>
  <c r="R131" i="5"/>
  <c r="K131" i="5"/>
  <c r="R130" i="5"/>
  <c r="K130" i="5"/>
  <c r="R129" i="5"/>
  <c r="K129" i="5"/>
  <c r="R128" i="5"/>
  <c r="K128" i="5"/>
  <c r="R127" i="5"/>
  <c r="K127" i="5"/>
  <c r="R126" i="5"/>
  <c r="K126" i="5"/>
  <c r="R125" i="5"/>
  <c r="K125" i="5"/>
  <c r="R124" i="5"/>
  <c r="K124" i="5"/>
  <c r="R123" i="5"/>
  <c r="K123" i="5"/>
  <c r="R122" i="5"/>
  <c r="K122" i="5"/>
  <c r="R121" i="5"/>
  <c r="K121" i="5"/>
  <c r="R120" i="5"/>
  <c r="K120" i="5"/>
  <c r="R119" i="5"/>
  <c r="K119" i="5"/>
  <c r="R118" i="5"/>
  <c r="K118" i="5"/>
  <c r="R117" i="5"/>
  <c r="K117" i="5"/>
  <c r="R116" i="5"/>
  <c r="K116" i="5"/>
  <c r="R115" i="5"/>
  <c r="K115" i="5"/>
  <c r="R114" i="5"/>
  <c r="K114" i="5"/>
  <c r="R113" i="5"/>
  <c r="K113" i="5"/>
  <c r="R112" i="5"/>
  <c r="K112" i="5"/>
  <c r="R111" i="5"/>
  <c r="K111" i="5"/>
  <c r="R110" i="5"/>
  <c r="K110" i="5"/>
  <c r="R109" i="5"/>
  <c r="K109" i="5"/>
  <c r="R108" i="5"/>
  <c r="K108" i="5"/>
  <c r="R107" i="5"/>
  <c r="K107" i="5"/>
  <c r="R106" i="5"/>
  <c r="K106" i="5"/>
  <c r="R105" i="5"/>
  <c r="K105" i="5"/>
  <c r="R104" i="5"/>
  <c r="K104" i="5"/>
  <c r="R103" i="5"/>
  <c r="K103" i="5"/>
  <c r="R102" i="5"/>
  <c r="K102" i="5"/>
  <c r="R101" i="5"/>
  <c r="K101" i="5"/>
  <c r="R100" i="5"/>
  <c r="K100" i="5"/>
  <c r="R99" i="5"/>
  <c r="K99" i="5"/>
  <c r="R98" i="5"/>
  <c r="K98" i="5"/>
  <c r="R97" i="5"/>
  <c r="K97" i="5"/>
  <c r="R96" i="5"/>
  <c r="K96" i="5"/>
  <c r="R95" i="5"/>
  <c r="K95" i="5"/>
  <c r="R94" i="5"/>
  <c r="K94" i="5"/>
  <c r="R93" i="5"/>
  <c r="K93" i="5"/>
  <c r="R92" i="5"/>
  <c r="K92" i="5"/>
  <c r="R91" i="5"/>
  <c r="K91" i="5"/>
  <c r="R90" i="5"/>
  <c r="K90" i="5"/>
  <c r="R89" i="5"/>
  <c r="K89" i="5"/>
  <c r="R88" i="5"/>
  <c r="K88" i="5"/>
  <c r="R87" i="5"/>
  <c r="K87" i="5"/>
  <c r="R86" i="5"/>
  <c r="K86" i="5"/>
  <c r="R85" i="5"/>
  <c r="K85" i="5"/>
  <c r="R84" i="5"/>
  <c r="K84" i="5"/>
  <c r="R83" i="5"/>
  <c r="K83" i="5"/>
  <c r="R82" i="5"/>
  <c r="K82" i="5"/>
  <c r="R81" i="5"/>
  <c r="K81" i="5"/>
  <c r="R80" i="5"/>
  <c r="K80" i="5"/>
  <c r="R79" i="5"/>
  <c r="K79" i="5"/>
  <c r="R78" i="5"/>
  <c r="K78" i="5"/>
  <c r="R77" i="5"/>
  <c r="K77" i="5"/>
  <c r="R76" i="5"/>
  <c r="K76" i="5"/>
  <c r="R75" i="5"/>
  <c r="K75" i="5"/>
  <c r="R74" i="5"/>
  <c r="K74" i="5"/>
  <c r="R73" i="5"/>
  <c r="K73" i="5"/>
  <c r="R72" i="5"/>
  <c r="K72" i="5"/>
  <c r="R71" i="5"/>
  <c r="K71" i="5"/>
  <c r="R70" i="5"/>
  <c r="K70" i="5"/>
  <c r="R69" i="5"/>
  <c r="K69" i="5"/>
  <c r="R68" i="5"/>
  <c r="K68" i="5"/>
  <c r="R67" i="5"/>
  <c r="K67" i="5"/>
  <c r="R66" i="5"/>
  <c r="K66" i="5"/>
  <c r="R65" i="5"/>
  <c r="K65" i="5"/>
  <c r="R64" i="5"/>
  <c r="K64" i="5"/>
  <c r="R63" i="5"/>
  <c r="K63" i="5"/>
  <c r="R62" i="5"/>
  <c r="K62" i="5"/>
  <c r="R61" i="5"/>
  <c r="K61" i="5"/>
  <c r="R60" i="5"/>
  <c r="K60" i="5"/>
  <c r="R59" i="5"/>
  <c r="K59" i="5"/>
  <c r="R58" i="5"/>
  <c r="K58" i="5"/>
  <c r="R57" i="5"/>
  <c r="K57" i="5"/>
  <c r="R56" i="5"/>
  <c r="K56" i="5"/>
  <c r="R55" i="5"/>
  <c r="K55" i="5"/>
  <c r="R54" i="5"/>
  <c r="K54" i="5"/>
  <c r="R53" i="5"/>
  <c r="K53" i="5"/>
  <c r="R52" i="5"/>
  <c r="K52" i="5"/>
  <c r="R51" i="5"/>
  <c r="K51" i="5"/>
  <c r="R50" i="5"/>
  <c r="K50" i="5"/>
  <c r="R49" i="5"/>
  <c r="K49" i="5"/>
  <c r="R48" i="5"/>
  <c r="K48" i="5"/>
  <c r="R47" i="5"/>
  <c r="K47" i="5"/>
  <c r="R46" i="5"/>
  <c r="K46" i="5"/>
  <c r="R45" i="5"/>
  <c r="K45" i="5"/>
  <c r="R44" i="5"/>
  <c r="K44" i="5"/>
  <c r="R43" i="5"/>
  <c r="K43" i="5"/>
  <c r="R42" i="5"/>
  <c r="K42" i="5"/>
  <c r="R41" i="5"/>
  <c r="K41" i="5"/>
  <c r="R40" i="5"/>
  <c r="K40" i="5"/>
  <c r="R39" i="5"/>
  <c r="K39" i="5"/>
  <c r="R38" i="5"/>
  <c r="K38" i="5"/>
  <c r="R37" i="5"/>
  <c r="K37" i="5"/>
  <c r="R36" i="5"/>
  <c r="K36" i="5"/>
  <c r="R35" i="5"/>
  <c r="K35" i="5"/>
  <c r="R34" i="5"/>
  <c r="K34" i="5"/>
  <c r="R33" i="5"/>
  <c r="K33" i="5"/>
  <c r="R32" i="5"/>
  <c r="K32" i="5"/>
  <c r="R31" i="5"/>
  <c r="K31" i="5"/>
  <c r="R30" i="5"/>
  <c r="K30" i="5"/>
  <c r="R29" i="5"/>
  <c r="K29" i="5"/>
  <c r="R28" i="5"/>
  <c r="K28" i="5"/>
  <c r="R27" i="5"/>
  <c r="K27" i="5"/>
  <c r="R26" i="5"/>
  <c r="K26" i="5"/>
  <c r="R25" i="5"/>
  <c r="K25" i="5"/>
  <c r="R24" i="5"/>
  <c r="K24" i="5"/>
  <c r="R23" i="5"/>
  <c r="K23" i="5"/>
  <c r="R22" i="5"/>
  <c r="K22" i="5"/>
  <c r="R21" i="5"/>
  <c r="K21" i="5"/>
  <c r="R20" i="5"/>
  <c r="K20" i="5"/>
  <c r="R19" i="5"/>
  <c r="K19" i="5"/>
  <c r="R18" i="5"/>
  <c r="K18" i="5"/>
  <c r="R17" i="5"/>
  <c r="K17" i="5"/>
  <c r="R16" i="5"/>
  <c r="K16" i="5"/>
  <c r="R15" i="5"/>
  <c r="K15" i="5"/>
  <c r="R14" i="5"/>
  <c r="K14" i="5"/>
  <c r="R13" i="5"/>
  <c r="K13" i="5"/>
  <c r="R12" i="5"/>
  <c r="K12" i="5"/>
  <c r="R11" i="5"/>
  <c r="K11" i="5"/>
  <c r="R10" i="5"/>
  <c r="K10" i="5"/>
  <c r="R9" i="5"/>
  <c r="K9" i="5"/>
  <c r="R8" i="5"/>
  <c r="K8" i="5"/>
  <c r="R7" i="5"/>
  <c r="K7" i="5"/>
  <c r="R6" i="5"/>
  <c r="K6" i="5"/>
  <c r="R5" i="5"/>
  <c r="K5" i="5"/>
  <c r="R4" i="5"/>
  <c r="K4" i="5"/>
  <c r="R3" i="5"/>
  <c r="K3" i="5"/>
  <c r="R2" i="5"/>
  <c r="K2" i="5"/>
  <c r="R104" i="4"/>
  <c r="R98" i="4"/>
  <c r="R97" i="4"/>
  <c r="R96" i="4"/>
  <c r="R95" i="4"/>
  <c r="R94" i="4"/>
  <c r="R93" i="4"/>
  <c r="R92" i="4"/>
  <c r="R88" i="4"/>
  <c r="R87" i="4"/>
  <c r="R86" i="4"/>
  <c r="R85" i="4"/>
  <c r="R84" i="4"/>
  <c r="R83" i="4"/>
  <c r="G83" i="4"/>
  <c r="E83" i="4"/>
  <c r="F83" i="4" s="1"/>
  <c r="C83" i="4"/>
  <c r="D83" i="4" s="1"/>
  <c r="R82" i="4"/>
  <c r="G82" i="4"/>
  <c r="E82" i="4"/>
  <c r="F82" i="4" s="1"/>
  <c r="C82" i="4"/>
  <c r="R81" i="4"/>
  <c r="G81" i="4"/>
  <c r="E81" i="4"/>
  <c r="F81" i="4" s="1"/>
  <c r="C81" i="4"/>
  <c r="D81" i="4" s="1"/>
  <c r="R80" i="4"/>
  <c r="G80" i="4"/>
  <c r="E80" i="4"/>
  <c r="F80" i="4" s="1"/>
  <c r="C80" i="4"/>
  <c r="D80" i="4" s="1"/>
  <c r="R79" i="4"/>
  <c r="G79" i="4"/>
  <c r="E79" i="4"/>
  <c r="F79" i="4" s="1"/>
  <c r="D79" i="4"/>
  <c r="C79" i="4"/>
  <c r="R78" i="4"/>
  <c r="G78" i="4"/>
  <c r="E78" i="4"/>
  <c r="F78" i="4" s="1"/>
  <c r="C78" i="4"/>
  <c r="R77" i="4"/>
  <c r="G77" i="4"/>
  <c r="E77" i="4"/>
  <c r="F77" i="4" s="1"/>
  <c r="C77" i="4"/>
  <c r="R76" i="4"/>
  <c r="G76" i="4"/>
  <c r="E76" i="4"/>
  <c r="F76" i="4" s="1"/>
  <c r="H76" i="4" s="1"/>
  <c r="D76" i="4"/>
  <c r="C76" i="4"/>
  <c r="G75" i="4"/>
  <c r="E75" i="4"/>
  <c r="F75" i="4" s="1"/>
  <c r="I75" i="4" s="1"/>
  <c r="C75" i="4"/>
  <c r="D75" i="4" s="1"/>
  <c r="G74" i="4"/>
  <c r="E74" i="4"/>
  <c r="F74" i="4" s="1"/>
  <c r="C74" i="4"/>
  <c r="D74" i="4" s="1"/>
  <c r="G73" i="4"/>
  <c r="E73" i="4"/>
  <c r="F73" i="4" s="1"/>
  <c r="H73" i="4" s="1"/>
  <c r="C73" i="4"/>
  <c r="D73" i="4" s="1"/>
  <c r="R72" i="4"/>
  <c r="G72" i="4"/>
  <c r="E72" i="4"/>
  <c r="F72" i="4" s="1"/>
  <c r="C72" i="4"/>
  <c r="D72" i="4" s="1"/>
  <c r="R71" i="4"/>
  <c r="G71" i="4"/>
  <c r="J71" i="4" s="1"/>
  <c r="E71" i="4"/>
  <c r="F71" i="4" s="1"/>
  <c r="D71" i="4"/>
  <c r="C71" i="4"/>
  <c r="G70" i="4"/>
  <c r="E70" i="4"/>
  <c r="F70" i="4" s="1"/>
  <c r="C70" i="4"/>
  <c r="D70" i="4" s="1"/>
  <c r="G69" i="4"/>
  <c r="E69" i="4"/>
  <c r="F69" i="4" s="1"/>
  <c r="C69" i="4"/>
  <c r="D69" i="4" s="1"/>
  <c r="G68" i="4"/>
  <c r="E68" i="4"/>
  <c r="F68" i="4" s="1"/>
  <c r="C68" i="4"/>
  <c r="D68" i="4" s="1"/>
  <c r="G67" i="4"/>
  <c r="E67" i="4"/>
  <c r="F67" i="4" s="1"/>
  <c r="C67" i="4"/>
  <c r="D67" i="4" s="1"/>
  <c r="G66" i="4"/>
  <c r="E66" i="4"/>
  <c r="F66" i="4" s="1"/>
  <c r="H66" i="4" s="1"/>
  <c r="C66" i="4"/>
  <c r="G65" i="4"/>
  <c r="E65" i="4"/>
  <c r="F65" i="4" s="1"/>
  <c r="C65" i="4"/>
  <c r="G64" i="4"/>
  <c r="E64" i="4"/>
  <c r="F64" i="4" s="1"/>
  <c r="H64" i="4" s="1"/>
  <c r="C64" i="4"/>
  <c r="G63" i="4"/>
  <c r="E63" i="4"/>
  <c r="F63" i="4" s="1"/>
  <c r="C63" i="4"/>
  <c r="D63" i="4" s="1"/>
  <c r="G62" i="4"/>
  <c r="E62" i="4"/>
  <c r="F62" i="4" s="1"/>
  <c r="D62" i="4"/>
  <c r="C62" i="4"/>
  <c r="G61" i="4"/>
  <c r="E61" i="4"/>
  <c r="F61" i="4" s="1"/>
  <c r="H61" i="4" s="1"/>
  <c r="C61" i="4"/>
  <c r="D61" i="4" s="1"/>
  <c r="G60" i="4"/>
  <c r="E60" i="4"/>
  <c r="F60" i="4" s="1"/>
  <c r="C60" i="4"/>
  <c r="D60" i="4" s="1"/>
  <c r="G59" i="4"/>
  <c r="E59" i="4"/>
  <c r="F59" i="4" s="1"/>
  <c r="C59" i="4"/>
  <c r="D59" i="4" s="1"/>
  <c r="G58" i="4"/>
  <c r="E58" i="4"/>
  <c r="F58" i="4" s="1"/>
  <c r="C58" i="4"/>
  <c r="G57" i="4"/>
  <c r="E57" i="4"/>
  <c r="F57" i="4" s="1"/>
  <c r="C57" i="4"/>
  <c r="G56" i="4"/>
  <c r="E56" i="4"/>
  <c r="F56" i="4" s="1"/>
  <c r="C56" i="4"/>
  <c r="G55" i="4"/>
  <c r="E55" i="4"/>
  <c r="F55" i="4" s="1"/>
  <c r="C55" i="4"/>
  <c r="D55" i="4" s="1"/>
  <c r="G54" i="4"/>
  <c r="E54" i="4"/>
  <c r="F54" i="4" s="1"/>
  <c r="C54" i="4"/>
  <c r="D54" i="4" s="1"/>
  <c r="G53" i="4"/>
  <c r="E53" i="4"/>
  <c r="F53" i="4" s="1"/>
  <c r="C53" i="4"/>
  <c r="D53" i="4" s="1"/>
  <c r="G52" i="4"/>
  <c r="E52" i="4"/>
  <c r="F52" i="4" s="1"/>
  <c r="C52" i="4"/>
  <c r="D52" i="4" s="1"/>
  <c r="G51" i="4"/>
  <c r="E51" i="4"/>
  <c r="F51" i="4" s="1"/>
  <c r="H51" i="4" s="1"/>
  <c r="C51" i="4"/>
  <c r="D51" i="4" s="1"/>
  <c r="G50" i="4"/>
  <c r="E50" i="4"/>
  <c r="F50" i="4" s="1"/>
  <c r="C50" i="4"/>
  <c r="G49" i="4"/>
  <c r="E49" i="4"/>
  <c r="F49" i="4" s="1"/>
  <c r="C49" i="4"/>
  <c r="G48" i="4"/>
  <c r="E48" i="4"/>
  <c r="F48" i="4" s="1"/>
  <c r="C48" i="4"/>
  <c r="G47" i="4"/>
  <c r="E47" i="4"/>
  <c r="F47" i="4" s="1"/>
  <c r="C47" i="4"/>
  <c r="D47" i="4" s="1"/>
  <c r="G46" i="4"/>
  <c r="E46" i="4"/>
  <c r="F46" i="4" s="1"/>
  <c r="D46" i="4"/>
  <c r="C46" i="4"/>
  <c r="G45" i="4"/>
  <c r="E45" i="4"/>
  <c r="F45" i="4" s="1"/>
  <c r="C45" i="4"/>
  <c r="D45" i="4" s="1"/>
  <c r="G44" i="4"/>
  <c r="E44" i="4"/>
  <c r="F44" i="4" s="1"/>
  <c r="C44" i="4"/>
  <c r="D44" i="4" s="1"/>
  <c r="G43" i="4"/>
  <c r="E43" i="4"/>
  <c r="F43" i="4" s="1"/>
  <c r="C43" i="4"/>
  <c r="D43" i="4" s="1"/>
  <c r="G42" i="4"/>
  <c r="E42" i="4"/>
  <c r="F42" i="4" s="1"/>
  <c r="C42" i="4"/>
  <c r="G41" i="4"/>
  <c r="E41" i="4"/>
  <c r="F41" i="4" s="1"/>
  <c r="C41" i="4"/>
  <c r="G40" i="4"/>
  <c r="E40" i="4"/>
  <c r="F40" i="4" s="1"/>
  <c r="C40" i="4"/>
  <c r="G39" i="4"/>
  <c r="E39" i="4"/>
  <c r="F39" i="4" s="1"/>
  <c r="D39" i="4"/>
  <c r="C39" i="4"/>
  <c r="G38" i="4"/>
  <c r="E38" i="4"/>
  <c r="F38" i="4" s="1"/>
  <c r="C38" i="4"/>
  <c r="D38" i="4" s="1"/>
  <c r="G37" i="4"/>
  <c r="E37" i="4"/>
  <c r="F37" i="4" s="1"/>
  <c r="C37" i="4"/>
  <c r="D37" i="4" s="1"/>
  <c r="G36" i="4"/>
  <c r="E36" i="4"/>
  <c r="F36" i="4" s="1"/>
  <c r="C36" i="4"/>
  <c r="D36" i="4" s="1"/>
  <c r="G35" i="4"/>
  <c r="E35" i="4"/>
  <c r="F35" i="4" s="1"/>
  <c r="C35" i="4"/>
  <c r="D35" i="4" s="1"/>
  <c r="G34" i="4"/>
  <c r="E34" i="4"/>
  <c r="F34" i="4" s="1"/>
  <c r="H34" i="4" s="1"/>
  <c r="C34" i="4"/>
  <c r="G33" i="4"/>
  <c r="E33" i="4"/>
  <c r="F33" i="4" s="1"/>
  <c r="C33" i="4"/>
  <c r="G32" i="4"/>
  <c r="E32" i="4"/>
  <c r="F32" i="4" s="1"/>
  <c r="H32" i="4" s="1"/>
  <c r="C32" i="4"/>
  <c r="G31" i="4"/>
  <c r="E31" i="4"/>
  <c r="F31" i="4" s="1"/>
  <c r="C31" i="4"/>
  <c r="D31" i="4" s="1"/>
  <c r="G30" i="4"/>
  <c r="E30" i="4"/>
  <c r="F30" i="4" s="1"/>
  <c r="D30" i="4"/>
  <c r="C30" i="4"/>
  <c r="G29" i="4"/>
  <c r="E29" i="4"/>
  <c r="F29" i="4" s="1"/>
  <c r="C29" i="4"/>
  <c r="D29" i="4" s="1"/>
  <c r="G28" i="4"/>
  <c r="E28" i="4"/>
  <c r="F28" i="4" s="1"/>
  <c r="C28" i="4"/>
  <c r="D28" i="4" s="1"/>
  <c r="G27" i="4"/>
  <c r="E27" i="4"/>
  <c r="F27" i="4" s="1"/>
  <c r="C27" i="4"/>
  <c r="D27" i="4" s="1"/>
  <c r="G26" i="4"/>
  <c r="E26" i="4"/>
  <c r="F26" i="4" s="1"/>
  <c r="C26" i="4"/>
  <c r="G25" i="4"/>
  <c r="E25" i="4"/>
  <c r="F25" i="4" s="1"/>
  <c r="C25" i="4"/>
  <c r="G24" i="4"/>
  <c r="E24" i="4"/>
  <c r="F24" i="4" s="1"/>
  <c r="C24" i="4"/>
  <c r="G23" i="4"/>
  <c r="E23" i="4"/>
  <c r="F23" i="4" s="1"/>
  <c r="C23" i="4"/>
  <c r="D23" i="4" s="1"/>
  <c r="G22" i="4"/>
  <c r="E22" i="4"/>
  <c r="F22" i="4" s="1"/>
  <c r="C22" i="4"/>
  <c r="D22" i="4" s="1"/>
  <c r="G21" i="4"/>
  <c r="E21" i="4"/>
  <c r="F21" i="4" s="1"/>
  <c r="C21" i="4"/>
  <c r="D21" i="4" s="1"/>
  <c r="G20" i="4"/>
  <c r="E20" i="4"/>
  <c r="F20" i="4" s="1"/>
  <c r="D20" i="4"/>
  <c r="C20" i="4"/>
  <c r="G19" i="4"/>
  <c r="E19" i="4"/>
  <c r="F19" i="4" s="1"/>
  <c r="C19" i="4"/>
  <c r="D19" i="4" s="1"/>
  <c r="G18" i="4"/>
  <c r="E18" i="4"/>
  <c r="F18" i="4" s="1"/>
  <c r="C18" i="4"/>
  <c r="G17" i="4"/>
  <c r="E17" i="4"/>
  <c r="F17" i="4" s="1"/>
  <c r="C17" i="4"/>
  <c r="G16" i="4"/>
  <c r="E16" i="4"/>
  <c r="F16" i="4" s="1"/>
  <c r="C16" i="4"/>
  <c r="G15" i="4"/>
  <c r="E15" i="4"/>
  <c r="F15" i="4" s="1"/>
  <c r="C15" i="4"/>
  <c r="D15" i="4" s="1"/>
  <c r="G14" i="4"/>
  <c r="E14" i="4"/>
  <c r="F14" i="4" s="1"/>
  <c r="G13" i="4"/>
  <c r="E13" i="4"/>
  <c r="F13" i="4" s="1"/>
  <c r="C13" i="4"/>
  <c r="D13" i="4" s="1"/>
  <c r="G12" i="4"/>
  <c r="E12" i="4"/>
  <c r="F12" i="4" s="1"/>
  <c r="C12" i="4"/>
  <c r="D12" i="4" s="1"/>
  <c r="G11" i="4"/>
  <c r="E11" i="4"/>
  <c r="F11" i="4" s="1"/>
  <c r="C11" i="4"/>
  <c r="D11" i="4" s="1"/>
  <c r="G10" i="4"/>
  <c r="E10" i="4"/>
  <c r="F10" i="4" s="1"/>
  <c r="C10" i="4"/>
  <c r="G9" i="4"/>
  <c r="E9" i="4"/>
  <c r="F9" i="4" s="1"/>
  <c r="G8" i="4"/>
  <c r="E8" i="4"/>
  <c r="F8" i="4" s="1"/>
  <c r="D8" i="4"/>
  <c r="C8" i="4"/>
  <c r="G7" i="4"/>
  <c r="E7" i="4"/>
  <c r="F7" i="4" s="1"/>
  <c r="D7" i="4"/>
  <c r="C7" i="4"/>
  <c r="G6" i="4"/>
  <c r="E6" i="4"/>
  <c r="F6" i="4" s="1"/>
  <c r="C6" i="4"/>
  <c r="D6" i="4" s="1"/>
  <c r="G5" i="4"/>
  <c r="E5" i="4"/>
  <c r="F5" i="4" s="1"/>
  <c r="G4" i="4"/>
  <c r="E4" i="4"/>
  <c r="F4" i="4" s="1"/>
  <c r="C4" i="4"/>
  <c r="D4" i="4" s="1"/>
  <c r="G3" i="4"/>
  <c r="E3" i="4"/>
  <c r="F3" i="4" s="1"/>
  <c r="D3" i="4"/>
  <c r="C3" i="4"/>
  <c r="G2" i="4"/>
  <c r="E2" i="4"/>
  <c r="F2" i="4" s="1"/>
  <c r="C2" i="4"/>
  <c r="F29" i="3"/>
  <c r="D29" i="3"/>
  <c r="E29" i="3" s="1"/>
  <c r="C29" i="3"/>
  <c r="F28" i="3"/>
  <c r="D28" i="3"/>
  <c r="E28" i="3" s="1"/>
  <c r="C28" i="3"/>
  <c r="F27" i="3"/>
  <c r="D27" i="3"/>
  <c r="E27" i="3" s="1"/>
  <c r="C27" i="3"/>
  <c r="F26" i="3"/>
  <c r="D26" i="3"/>
  <c r="E26" i="3" s="1"/>
  <c r="C26" i="3"/>
  <c r="F25" i="3"/>
  <c r="D25" i="3"/>
  <c r="E25" i="3" s="1"/>
  <c r="H25" i="3" s="1"/>
  <c r="C25" i="3"/>
  <c r="F24" i="3"/>
  <c r="D24" i="3"/>
  <c r="E24" i="3" s="1"/>
  <c r="C24" i="3"/>
  <c r="F23" i="3"/>
  <c r="D23" i="3"/>
  <c r="E23" i="3" s="1"/>
  <c r="C23" i="3"/>
  <c r="F22" i="3"/>
  <c r="D22" i="3"/>
  <c r="E22" i="3" s="1"/>
  <c r="C22" i="3"/>
  <c r="F21" i="3"/>
  <c r="D21" i="3"/>
  <c r="E21" i="3" s="1"/>
  <c r="C21" i="3"/>
  <c r="F20" i="3"/>
  <c r="D20" i="3"/>
  <c r="E20" i="3" s="1"/>
  <c r="G20" i="3" s="1"/>
  <c r="C20" i="3"/>
  <c r="F19" i="3"/>
  <c r="D19" i="3"/>
  <c r="E19" i="3" s="1"/>
  <c r="H19" i="3" s="1"/>
  <c r="C19" i="3"/>
  <c r="F18" i="3"/>
  <c r="D18" i="3"/>
  <c r="E18" i="3" s="1"/>
  <c r="H18" i="3" s="1"/>
  <c r="C18" i="3"/>
  <c r="F17" i="3"/>
  <c r="D17" i="3"/>
  <c r="E17" i="3" s="1"/>
  <c r="C17" i="3"/>
  <c r="F16" i="3"/>
  <c r="D16" i="3"/>
  <c r="E16" i="3" s="1"/>
  <c r="C16" i="3"/>
  <c r="F15" i="3"/>
  <c r="D15" i="3"/>
  <c r="E15" i="3" s="1"/>
  <c r="H15" i="3" s="1"/>
  <c r="C15" i="3"/>
  <c r="F14" i="3"/>
  <c r="D14" i="3"/>
  <c r="E14" i="3" s="1"/>
  <c r="H14" i="3" s="1"/>
  <c r="C14" i="3"/>
  <c r="F13" i="3"/>
  <c r="D13" i="3"/>
  <c r="E13" i="3" s="1"/>
  <c r="C13" i="3"/>
  <c r="F12" i="3"/>
  <c r="D12" i="3"/>
  <c r="E12" i="3" s="1"/>
  <c r="C12" i="3"/>
  <c r="F11" i="3"/>
  <c r="D11" i="3"/>
  <c r="E11" i="3" s="1"/>
  <c r="C11" i="3"/>
  <c r="F10" i="3"/>
  <c r="D10" i="3"/>
  <c r="E10" i="3" s="1"/>
  <c r="H10" i="3" s="1"/>
  <c r="C10" i="3"/>
  <c r="F9" i="3"/>
  <c r="D9" i="3"/>
  <c r="E9" i="3" s="1"/>
  <c r="C9" i="3"/>
  <c r="F8" i="3"/>
  <c r="D8" i="3"/>
  <c r="E8" i="3" s="1"/>
  <c r="C8" i="3"/>
  <c r="F7" i="3"/>
  <c r="D7" i="3"/>
  <c r="E7" i="3" s="1"/>
  <c r="C7" i="3"/>
  <c r="F6" i="3"/>
  <c r="D6" i="3"/>
  <c r="E6" i="3" s="1"/>
  <c r="C6" i="3"/>
  <c r="F5" i="3"/>
  <c r="D5" i="3"/>
  <c r="E5" i="3" s="1"/>
  <c r="H5" i="3" s="1"/>
  <c r="C5" i="3"/>
  <c r="F4" i="3"/>
  <c r="D4" i="3"/>
  <c r="E4" i="3" s="1"/>
  <c r="C4" i="3"/>
  <c r="F3" i="3"/>
  <c r="D3" i="3"/>
  <c r="E3" i="3" s="1"/>
  <c r="C3" i="3"/>
  <c r="F2" i="3"/>
  <c r="D2" i="3"/>
  <c r="E2" i="3" s="1"/>
  <c r="H2" i="3" s="1"/>
  <c r="C2" i="3"/>
  <c r="E50" i="2"/>
  <c r="E49" i="2"/>
  <c r="E48" i="2"/>
  <c r="E47" i="2"/>
  <c r="E46" i="2"/>
  <c r="E45" i="2"/>
  <c r="E44" i="2"/>
  <c r="E43" i="2"/>
  <c r="E42" i="2"/>
  <c r="E41" i="2"/>
  <c r="E40" i="2"/>
  <c r="E39" i="2"/>
  <c r="E38" i="2"/>
  <c r="E37" i="2"/>
  <c r="E36" i="2"/>
  <c r="E35" i="2"/>
  <c r="E34" i="2"/>
  <c r="E33" i="2"/>
  <c r="E32" i="2"/>
  <c r="E31" i="2"/>
  <c r="E30" i="2"/>
  <c r="E29" i="2"/>
  <c r="Y28" i="2"/>
  <c r="Y29" i="2" s="1"/>
  <c r="Y30" i="2" s="1"/>
  <c r="E28" i="2"/>
  <c r="E27" i="2"/>
  <c r="E26" i="2"/>
  <c r="E25" i="2"/>
  <c r="E24" i="2"/>
  <c r="E23" i="2"/>
  <c r="E22" i="2"/>
  <c r="E21" i="2"/>
  <c r="E20" i="2"/>
  <c r="E19" i="2"/>
  <c r="E18" i="2"/>
  <c r="E17" i="2"/>
  <c r="E16" i="2"/>
  <c r="E15" i="2"/>
  <c r="E14" i="2"/>
  <c r="E13" i="2"/>
  <c r="E12" i="2"/>
  <c r="E11" i="2"/>
  <c r="E10" i="2"/>
  <c r="E9" i="2"/>
  <c r="E8" i="2"/>
  <c r="G7" i="2"/>
  <c r="G8" i="2" s="1"/>
  <c r="G10" i="2" s="1"/>
  <c r="E7" i="2"/>
  <c r="E6" i="2"/>
  <c r="E5" i="2"/>
  <c r="G4" i="2"/>
  <c r="E4" i="2"/>
  <c r="E3" i="2"/>
  <c r="E2" i="2"/>
  <c r="H50" i="4" l="1"/>
  <c r="H72" i="4"/>
  <c r="I74" i="4"/>
  <c r="H45" i="4"/>
  <c r="H16" i="4"/>
  <c r="H26" i="4"/>
  <c r="H48" i="4"/>
  <c r="J55" i="4"/>
  <c r="H58" i="4"/>
  <c r="J72" i="4"/>
  <c r="J74" i="4"/>
  <c r="H2" i="4"/>
  <c r="H78" i="4"/>
  <c r="I4" i="3"/>
  <c r="H68" i="4"/>
  <c r="H18" i="4"/>
  <c r="H29" i="4"/>
  <c r="J8" i="4"/>
  <c r="H81" i="4"/>
  <c r="H42" i="4"/>
  <c r="J83" i="4"/>
  <c r="C5" i="4"/>
  <c r="H21" i="4"/>
  <c r="H37" i="4"/>
  <c r="H53" i="4"/>
  <c r="I62" i="4"/>
  <c r="H69" i="4"/>
  <c r="I71" i="4"/>
  <c r="H82" i="4"/>
  <c r="J4" i="4"/>
  <c r="H17" i="4"/>
  <c r="H33" i="4"/>
  <c r="J44" i="4"/>
  <c r="H49" i="4"/>
  <c r="J60" i="4"/>
  <c r="J73" i="4"/>
  <c r="L77" i="12"/>
  <c r="J28" i="4"/>
  <c r="H10" i="4"/>
  <c r="H24" i="4"/>
  <c r="H40" i="4"/>
  <c r="H56" i="4"/>
  <c r="J79" i="4"/>
  <c r="J12" i="4"/>
  <c r="I54" i="4"/>
  <c r="I70" i="4"/>
  <c r="J63" i="4"/>
  <c r="I2" i="3"/>
  <c r="H8" i="4"/>
  <c r="H13" i="4"/>
  <c r="J20" i="4"/>
  <c r="H25" i="4"/>
  <c r="J36" i="4"/>
  <c r="H41" i="4"/>
  <c r="J68" i="4"/>
  <c r="J76" i="4"/>
  <c r="J51" i="4"/>
  <c r="J6" i="4"/>
  <c r="I6" i="3"/>
  <c r="J27" i="4"/>
  <c r="J47" i="4"/>
  <c r="I76" i="4"/>
  <c r="J59" i="4"/>
  <c r="J75" i="4"/>
  <c r="G29" i="3"/>
  <c r="H29" i="3"/>
  <c r="J11" i="4"/>
  <c r="J22" i="4"/>
  <c r="I24" i="4"/>
  <c r="I33" i="4"/>
  <c r="J35" i="4"/>
  <c r="J53" i="4"/>
  <c r="J61" i="4"/>
  <c r="I73" i="4"/>
  <c r="J7" i="4"/>
  <c r="J39" i="4"/>
  <c r="I5" i="3"/>
  <c r="J3" i="4"/>
  <c r="J21" i="4"/>
  <c r="H75" i="4"/>
  <c r="J70" i="4"/>
  <c r="I22" i="4"/>
  <c r="I3" i="3"/>
  <c r="I8" i="4"/>
  <c r="J15" i="4"/>
  <c r="J23" i="4"/>
  <c r="I58" i="4"/>
  <c r="J81" i="4"/>
  <c r="I56" i="4"/>
  <c r="J31" i="3"/>
  <c r="H21" i="3"/>
  <c r="G21" i="3"/>
  <c r="H11" i="3"/>
  <c r="G11" i="3"/>
  <c r="J37" i="4"/>
  <c r="J62" i="4"/>
  <c r="H20" i="3"/>
  <c r="J31" i="4"/>
  <c r="I41" i="4"/>
  <c r="J43" i="4"/>
  <c r="J45" i="4"/>
  <c r="I16" i="4"/>
  <c r="I49" i="4"/>
  <c r="I64" i="4"/>
  <c r="G19" i="3"/>
  <c r="J30" i="4"/>
  <c r="I32" i="4"/>
  <c r="I34" i="4"/>
  <c r="I38" i="4"/>
  <c r="I57" i="4"/>
  <c r="I72" i="4"/>
  <c r="J38" i="4"/>
  <c r="I40" i="4"/>
  <c r="I46" i="4"/>
  <c r="I77" i="4"/>
  <c r="I30" i="4"/>
  <c r="G15" i="3"/>
  <c r="I17" i="4"/>
  <c r="J19" i="4"/>
  <c r="J46" i="4"/>
  <c r="I48" i="4"/>
  <c r="I50" i="4"/>
  <c r="J52" i="4"/>
  <c r="J54" i="4"/>
  <c r="I65" i="4"/>
  <c r="J67" i="4"/>
  <c r="J69" i="4"/>
  <c r="J80" i="4"/>
  <c r="J13" i="4"/>
  <c r="I25" i="4"/>
  <c r="J29" i="4"/>
  <c r="H9" i="3"/>
  <c r="G9" i="3"/>
  <c r="H23" i="3"/>
  <c r="G23" i="3"/>
  <c r="J33" i="3"/>
  <c r="H28" i="3"/>
  <c r="G28" i="3"/>
  <c r="D5" i="4"/>
  <c r="J5" i="4" s="1"/>
  <c r="I5" i="4"/>
  <c r="H12" i="4"/>
  <c r="I12" i="4"/>
  <c r="H28" i="4"/>
  <c r="I28" i="4"/>
  <c r="H47" i="4"/>
  <c r="I47" i="4"/>
  <c r="H4" i="4"/>
  <c r="I4" i="4"/>
  <c r="H36" i="4"/>
  <c r="I36" i="4"/>
  <c r="I42" i="4"/>
  <c r="H55" i="4"/>
  <c r="I55" i="4"/>
  <c r="H59" i="4"/>
  <c r="I59" i="4"/>
  <c r="H83" i="4"/>
  <c r="I83" i="4"/>
  <c r="G26" i="3"/>
  <c r="H26" i="3"/>
  <c r="H44" i="4"/>
  <c r="I44" i="4"/>
  <c r="I80" i="4"/>
  <c r="H80" i="4"/>
  <c r="H3" i="3"/>
  <c r="G3" i="3"/>
  <c r="H12" i="3"/>
  <c r="G12" i="3"/>
  <c r="H11" i="4"/>
  <c r="I11" i="4"/>
  <c r="H15" i="4"/>
  <c r="I15" i="4"/>
  <c r="H27" i="4"/>
  <c r="I27" i="4"/>
  <c r="H24" i="3"/>
  <c r="G24" i="3"/>
  <c r="H19" i="4"/>
  <c r="I19" i="4"/>
  <c r="H52" i="4"/>
  <c r="I52" i="4"/>
  <c r="H63" i="4"/>
  <c r="I63" i="4"/>
  <c r="H8" i="3"/>
  <c r="G8" i="3"/>
  <c r="J32" i="3"/>
  <c r="H22" i="3"/>
  <c r="G22" i="3"/>
  <c r="H27" i="3"/>
  <c r="G27" i="3"/>
  <c r="H3" i="4"/>
  <c r="I3" i="4"/>
  <c r="H7" i="4"/>
  <c r="I7" i="4"/>
  <c r="H23" i="4"/>
  <c r="I23" i="4"/>
  <c r="H35" i="4"/>
  <c r="I35" i="4"/>
  <c r="I51" i="4"/>
  <c r="H60" i="4"/>
  <c r="I60" i="4"/>
  <c r="H79" i="4"/>
  <c r="I79" i="4"/>
  <c r="G7" i="3"/>
  <c r="H7" i="3"/>
  <c r="H16" i="3"/>
  <c r="G16" i="3"/>
  <c r="H17" i="3"/>
  <c r="G17" i="3"/>
  <c r="I18" i="4"/>
  <c r="H31" i="4"/>
  <c r="I31" i="4"/>
  <c r="H43" i="4"/>
  <c r="I43" i="4"/>
  <c r="I66" i="4"/>
  <c r="H67" i="4"/>
  <c r="I67" i="4"/>
  <c r="H4" i="3"/>
  <c r="G4" i="3"/>
  <c r="H6" i="3"/>
  <c r="G6" i="3"/>
  <c r="H13" i="3"/>
  <c r="G13" i="3"/>
  <c r="I10" i="4"/>
  <c r="H20" i="4"/>
  <c r="I20" i="4"/>
  <c r="I26" i="4"/>
  <c r="H39" i="4"/>
  <c r="I39" i="4"/>
  <c r="D78" i="4"/>
  <c r="J78" i="4" s="1"/>
  <c r="I78" i="4"/>
  <c r="D2" i="4"/>
  <c r="J2" i="4" s="1"/>
  <c r="I6" i="4"/>
  <c r="C9" i="4"/>
  <c r="D10" i="4"/>
  <c r="J10" i="4" s="1"/>
  <c r="D18" i="4"/>
  <c r="J18" i="4" s="1"/>
  <c r="D26" i="4"/>
  <c r="J26" i="4" s="1"/>
  <c r="D34" i="4"/>
  <c r="J34" i="4" s="1"/>
  <c r="D42" i="4"/>
  <c r="J42" i="4" s="1"/>
  <c r="D50" i="4"/>
  <c r="J50" i="4" s="1"/>
  <c r="D58" i="4"/>
  <c r="J58" i="4" s="1"/>
  <c r="D66" i="4"/>
  <c r="J66" i="4" s="1"/>
  <c r="D77" i="4"/>
  <c r="J77" i="4" s="1"/>
  <c r="G5" i="3"/>
  <c r="G10" i="3"/>
  <c r="G14" i="3"/>
  <c r="G18" i="3"/>
  <c r="G25" i="3"/>
  <c r="I13" i="4"/>
  <c r="D17" i="4"/>
  <c r="J17" i="4" s="1"/>
  <c r="I21" i="4"/>
  <c r="D25" i="4"/>
  <c r="J25" i="4" s="1"/>
  <c r="I29" i="4"/>
  <c r="D33" i="4"/>
  <c r="J33" i="4" s="1"/>
  <c r="I37" i="4"/>
  <c r="D41" i="4"/>
  <c r="J41" i="4" s="1"/>
  <c r="I45" i="4"/>
  <c r="D49" i="4"/>
  <c r="J49" i="4" s="1"/>
  <c r="I53" i="4"/>
  <c r="D57" i="4"/>
  <c r="J57" i="4" s="1"/>
  <c r="I61" i="4"/>
  <c r="D65" i="4"/>
  <c r="J65" i="4" s="1"/>
  <c r="I69" i="4"/>
  <c r="H5" i="4"/>
  <c r="J29" i="3"/>
  <c r="D16" i="4"/>
  <c r="J16" i="4" s="1"/>
  <c r="D24" i="4"/>
  <c r="J24" i="4" s="1"/>
  <c r="D32" i="4"/>
  <c r="J32" i="4" s="1"/>
  <c r="D40" i="4"/>
  <c r="J40" i="4" s="1"/>
  <c r="D48" i="4"/>
  <c r="J48" i="4" s="1"/>
  <c r="D56" i="4"/>
  <c r="J56" i="4" s="1"/>
  <c r="D64" i="4"/>
  <c r="J64" i="4" s="1"/>
  <c r="I68" i="4"/>
  <c r="J30" i="3"/>
  <c r="H9" i="4"/>
  <c r="C14" i="4"/>
  <c r="H57" i="4"/>
  <c r="H65" i="4"/>
  <c r="G2" i="3"/>
  <c r="I2" i="4"/>
  <c r="H77" i="4"/>
  <c r="I82" i="4"/>
  <c r="H71" i="4"/>
  <c r="H74" i="4"/>
  <c r="D82" i="4"/>
  <c r="J82" i="4" s="1"/>
  <c r="H6" i="4"/>
  <c r="H14" i="4"/>
  <c r="H22" i="4"/>
  <c r="H30" i="4"/>
  <c r="H38" i="4"/>
  <c r="H46" i="4"/>
  <c r="H54" i="4"/>
  <c r="H62" i="4"/>
  <c r="H70" i="4"/>
  <c r="I81" i="4"/>
  <c r="D14" i="4" l="1"/>
  <c r="J14" i="4" s="1"/>
  <c r="I14" i="4"/>
  <c r="I9" i="4"/>
  <c r="D9" i="4"/>
  <c r="J9" i="4" s="1"/>
  <c r="J35" i="3"/>
</calcChain>
</file>

<file path=xl/sharedStrings.xml><?xml version="1.0" encoding="utf-8"?>
<sst xmlns="http://schemas.openxmlformats.org/spreadsheetml/2006/main" count="30829" uniqueCount="6643">
  <si>
    <t>Total</t>
  </si>
  <si>
    <t>rajesh.ramnarain@yahoo.co.in</t>
  </si>
  <si>
    <t>Divya</t>
  </si>
  <si>
    <t>Course</t>
  </si>
  <si>
    <t>Nisha Chugh</t>
  </si>
  <si>
    <t>Prabhu</t>
  </si>
  <si>
    <t>SAFe POPM</t>
  </si>
  <si>
    <t>SAFe SSM</t>
  </si>
  <si>
    <t>Name</t>
  </si>
  <si>
    <t>Email Id</t>
  </si>
  <si>
    <t>Status</t>
  </si>
  <si>
    <t>Comments</t>
  </si>
  <si>
    <t>Sagar Bhandari</t>
  </si>
  <si>
    <t>Lost</t>
  </si>
  <si>
    <t>ICP-ACC</t>
  </si>
  <si>
    <t>Suchita</t>
  </si>
  <si>
    <t>Won</t>
  </si>
  <si>
    <t>On Hold</t>
  </si>
  <si>
    <t>Manoj</t>
  </si>
  <si>
    <t>man_gosain@yahoo.co.in</t>
  </si>
  <si>
    <t>Category</t>
  </si>
  <si>
    <t>OSL</t>
  </si>
  <si>
    <t>PMI-ACP</t>
  </si>
  <si>
    <t>talk2ashish@hotmail.com</t>
  </si>
  <si>
    <t>CAPM</t>
  </si>
  <si>
    <t>SAFe Agile</t>
  </si>
  <si>
    <t>AC</t>
  </si>
  <si>
    <t>IC</t>
  </si>
  <si>
    <t>Opportunity</t>
  </si>
  <si>
    <t>My Ids</t>
  </si>
  <si>
    <t>https://www.scaledagile.com/blog/tips-to-pass-your-safe-exam-and-get-certified/</t>
  </si>
  <si>
    <t>https://www.scaledagile.com/wp-content/uploads/2017/06/SP4_Sample.pdf</t>
  </si>
  <si>
    <t>Talk2ashish</t>
  </si>
  <si>
    <t>CSTM_IPUVAPBKD2M</t>
  </si>
  <si>
    <t>Target</t>
  </si>
  <si>
    <t>Shobanaajay</t>
  </si>
  <si>
    <t>CSTM_4ODPEYNSOPJ</t>
  </si>
  <si>
    <t>Achieved</t>
  </si>
  <si>
    <t>11-12 Sep 2021</t>
  </si>
  <si>
    <t>Weekend</t>
  </si>
  <si>
    <t>Mr. Preeth Pandalay - SPC - https://in.linkedin.com/in/p2pandalay</t>
  </si>
  <si>
    <t/>
  </si>
  <si>
    <t>Fernandesjojy</t>
  </si>
  <si>
    <t>CSTM_3X7G664Q1GA</t>
  </si>
  <si>
    <t>CSTM_38VOYZOP4GJ</t>
  </si>
  <si>
    <t>Achieved %</t>
  </si>
  <si>
    <t>18-19 Sep 2021</t>
  </si>
  <si>
    <t>Mr. Satyajit Gantayat - SPC - https://in.linkedin.com/in/satyajitg</t>
  </si>
  <si>
    <t>2-3 Oct 2021</t>
  </si>
  <si>
    <t/>
  </si>
  <si>
    <t>Fserrao29</t>
  </si>
  <si>
    <t>CSTM_5S76QM1FSAR</t>
  </si>
  <si>
    <t>25-26 Sep 2021</t>
  </si>
  <si>
    <t>Thomastomgeorge</t>
  </si>
  <si>
    <t>CSTM_MFYC2OVW80</t>
  </si>
  <si>
    <t>Projection in days</t>
  </si>
  <si>
    <t>9-10 Oct 2021</t>
  </si>
  <si>
    <t>Jayachandra79</t>
  </si>
  <si>
    <t>Projection</t>
  </si>
  <si>
    <t>16-17 Oct 2021</t>
  </si>
  <si>
    <t>Sneghu</t>
  </si>
  <si>
    <t>CSTM_666QJ0GBSII</t>
  </si>
  <si>
    <t>Delta - P&amp;A</t>
  </si>
  <si>
    <t>23-24 Oct 2021</t>
  </si>
  <si>
    <t>Pathakneha84</t>
  </si>
  <si>
    <t>CSTM_5C2GUP3I0NQ</t>
  </si>
  <si>
    <t>Projection %</t>
  </si>
  <si>
    <t>Entity</t>
  </si>
  <si>
    <t>PMP - 1st Partial</t>
  </si>
  <si>
    <t>Anil.konda17</t>
  </si>
  <si>
    <t>CSTM_2PCLEYE5PPX</t>
  </si>
  <si>
    <t>DRR</t>
  </si>
  <si>
    <t>SAFe RTE</t>
  </si>
  <si>
    <t>Implementing SAFe</t>
  </si>
  <si>
    <t>SAFe Scrum Master</t>
  </si>
  <si>
    <t>Name of customer :</t>
  </si>
  <si>
    <t>John Rose</t>
  </si>
  <si>
    <t>Namratayadav6292</t>
  </si>
  <si>
    <t>CSTM_74SQZFGV4RS</t>
  </si>
  <si>
    <t>CSTM_3N3FEOE42GI</t>
  </si>
  <si>
    <t>4-6 Aug 2021</t>
  </si>
  <si>
    <t/>
  </si>
  <si>
    <t>14-15 Aug 2021</t>
  </si>
  <si>
    <t/>
  </si>
  <si>
    <t>Email id :</t>
  </si>
  <si>
    <t>johnrose.g@gmail.com</t>
  </si>
  <si>
    <t>Shefali.nigam7</t>
  </si>
  <si>
    <t>23-26 Sep 2021 - Mr. Preeth Pandalay - SPC - https://in.linkedin.com/in/p2pandalay</t>
  </si>
  <si>
    <t>4-5 Sep 2021</t>
  </si>
  <si>
    <t>Mode of Transfer : (Bank/PG)</t>
  </si>
  <si>
    <t>Net Banking</t>
  </si>
  <si>
    <t>Madhubagur</t>
  </si>
  <si>
    <t>CSTM_481Z1261F9Q</t>
  </si>
  <si>
    <t>CSTM_2511LZI1NQW</t>
  </si>
  <si>
    <t>Date of Transfer:</t>
  </si>
  <si>
    <t>Napra1987</t>
  </si>
  <si>
    <t>CSM</t>
  </si>
  <si>
    <t>CSPO</t>
  </si>
  <si>
    <t>Amount of Transfer</t>
  </si>
  <si>
    <t>Himajadave</t>
  </si>
  <si>
    <t>CSTM_3E7U5KIII9C</t>
  </si>
  <si>
    <t>CSTM_8X4LZ512LWZ</t>
  </si>
  <si>
    <t>1-2 June 2021</t>
  </si>
  <si>
    <t>Weekday</t>
  </si>
  <si>
    <t>11-12 Sep 2021 - Weekend</t>
  </si>
  <si>
    <t>Timings - 7:30 AM to 3:30 PM IST - Jaya Shrivastava - CST</t>
  </si>
  <si>
    <t>Transferred from which bank :</t>
  </si>
  <si>
    <t>HDFC</t>
  </si>
  <si>
    <t>Sampada.bhoj</t>
  </si>
  <si>
    <t>3-4 June 2021</t>
  </si>
  <si>
    <t>18-19 Sep 2021 - Weekend</t>
  </si>
  <si>
    <t>Timings - Not confirmed yet</t>
  </si>
  <si>
    <t>Transferred to which account number :</t>
  </si>
  <si>
    <t>Simplilearn - Custom Link</t>
  </si>
  <si>
    <t>Knhema81</t>
  </si>
  <si>
    <t>CSTM_FRVD524F0D</t>
  </si>
  <si>
    <t>CSTM_HVSJTWIALNZ</t>
  </si>
  <si>
    <t>9-10 June 2021</t>
  </si>
  <si>
    <t>25-26 Sep 2021 - Weekend</t>
  </si>
  <si>
    <t>Timings - 1:00 PM to 9:00 PM IST - Jim Jelly - CST</t>
  </si>
  <si>
    <t>21-22 Aug 2021</t>
  </si>
  <si>
    <t>If Payment Gateway, PG Name:</t>
  </si>
  <si>
    <t>Mail4sap13</t>
  </si>
  <si>
    <t>10-11 June 2021</t>
  </si>
  <si>
    <t>Order number:</t>
  </si>
  <si>
    <t>CSTM_PARTIAL_FIRST_EKEWNFCBDCM</t>
  </si>
  <si>
    <t>Viji0201</t>
  </si>
  <si>
    <t>CSTM_7R5YLXXDVHF</t>
  </si>
  <si>
    <t>CSTM_HUSOZWMWRH9</t>
  </si>
  <si>
    <t>14-15 June 2021</t>
  </si>
  <si>
    <t>Ravivr123</t>
  </si>
  <si>
    <t>CSTM_72W5KB29NE1</t>
  </si>
  <si>
    <t>Ganesh Shetty</t>
  </si>
  <si>
    <t>Enggrahulverma</t>
  </si>
  <si>
    <t>CSTM_A0HQ0881H66</t>
  </si>
  <si>
    <t>Email id</t>
  </si>
  <si>
    <t>ganesh.shetty@smithsdetection.com</t>
  </si>
  <si>
    <t>Wasimulla.khan</t>
  </si>
  <si>
    <t>CSTM_IA9N25U5BOW</t>
  </si>
  <si>
    <t>Phone number</t>
  </si>
  <si>
    <t>Rshalva81</t>
  </si>
  <si>
    <t>CSTM_8W0GUX0YGSP</t>
  </si>
  <si>
    <t>shvetar9@yahoo.com</t>
  </si>
  <si>
    <t>Company Name</t>
  </si>
  <si>
    <t>Smiths Detection</t>
  </si>
  <si>
    <t>Letusashutosh</t>
  </si>
  <si>
    <t>CSTM_GJ1X8N9BG9E</t>
  </si>
  <si>
    <t>Program Name and website link</t>
  </si>
  <si>
    <t>Lisnasalih</t>
  </si>
  <si>
    <t>CSTM_8TLY0SKMWIJ</t>
  </si>
  <si>
    <t>PSM</t>
  </si>
  <si>
    <t>PSPO</t>
  </si>
  <si>
    <t>Number of Participants</t>
  </si>
  <si>
    <t>Girijalakshmi.r</t>
  </si>
  <si>
    <t>CSTM_6T7Q34JZ41A</t>
  </si>
  <si>
    <t>CSTM_2M9IOYJ20B5</t>
  </si>
  <si>
    <t/>
  </si>
  <si>
    <t>Weekend - Mr. Sumeet Madan - PST - https://www.linkedin.com/in/sumeetmadan/</t>
  </si>
  <si>
    <t>Mode of training</t>
  </si>
  <si>
    <t>Online - Zoom</t>
  </si>
  <si>
    <t>Vaishu_cool_17</t>
  </si>
  <si>
    <t>CSTM_1Z4MVQF5TDY</t>
  </si>
  <si>
    <t>CSTM_4IBGA1T8FUF</t>
  </si>
  <si>
    <t>Weekend - Mr. Piyush Rahate - PST - https://in.linkedin.com/in/piyushrahate</t>
  </si>
  <si>
    <t>Website price( Per participant- Excluding GST)</t>
  </si>
  <si>
    <t>2,30,000</t>
  </si>
  <si>
    <t>Tenneti.himabindu</t>
  </si>
  <si>
    <t>Sumeet Madan - PST</t>
  </si>
  <si>
    <t>Amoutnt Sold (Per particiapnt- Excluding GST)</t>
  </si>
  <si>
    <t>Bhattacharya.aurko</t>
  </si>
  <si>
    <t>27-28 Sep 2021</t>
  </si>
  <si>
    <t/>
  </si>
  <si>
    <t>Discount percentage</t>
  </si>
  <si>
    <t>Krunalbhavsar</t>
  </si>
  <si>
    <t>CSTM_646MVVV5D92</t>
  </si>
  <si>
    <t>CSTM_FUQ61GVTJ4J</t>
  </si>
  <si>
    <t>GM % ( Important)</t>
  </si>
  <si>
    <t>Chitta.ganesh</t>
  </si>
  <si>
    <t>Payment Mode</t>
  </si>
  <si>
    <t>Wire Transfer - NEFT</t>
  </si>
  <si>
    <t>Conner.pearce</t>
  </si>
  <si>
    <t>CSTM_4IC8C9PJO74</t>
  </si>
  <si>
    <t>Payment Received -Yes/No ,If No- when( Date)</t>
  </si>
  <si>
    <t>No</t>
  </si>
  <si>
    <t>Sandeep.samal</t>
  </si>
  <si>
    <t>CSTM_2U1CSZGQ10M</t>
  </si>
  <si>
    <t>Rep - 00722452</t>
  </si>
  <si>
    <t>Invoice Address</t>
  </si>
  <si>
    <t>Smiths Detection GmBH</t>
  </si>
  <si>
    <t>Ronak.nadkarni</t>
  </si>
  <si>
    <t>CSTM_77DWEDKR1MZ</t>
  </si>
  <si>
    <t>Rep - 00781898</t>
  </si>
  <si>
    <t>GST Number</t>
  </si>
  <si>
    <t>Lipishree.jena</t>
  </si>
  <si>
    <t>CSTM_37647RNFW36</t>
  </si>
  <si>
    <t>ICP ACC</t>
  </si>
  <si>
    <t>REP-01033009</t>
  </si>
  <si>
    <t>SF Link</t>
  </si>
  <si>
    <t>https://simplilearn.lightning.force.com/lightning/r/Lead/00Q2x00000cw5SwEAI/view</t>
  </si>
  <si>
    <t>Amitvnasta</t>
  </si>
  <si>
    <t>CSTM_JJSWN6ZOC7D</t>
  </si>
  <si>
    <t>CSTM_6H2TMA237O5</t>
  </si>
  <si>
    <t>17,18,19 Sep 2021</t>
  </si>
  <si>
    <t>Leenaambedkar</t>
  </si>
  <si>
    <t>Lakshmijain.lj</t>
  </si>
  <si>
    <t>CSTM_AGDV9Q646YW</t>
  </si>
  <si>
    <t>CSTM_D83EWKD1G1I</t>
  </si>
  <si>
    <t>Adi200804</t>
  </si>
  <si>
    <t>CSTM_D83EWKD</t>
  </si>
  <si>
    <t>radhika.nps@gmail.com - 9535059694</t>
  </si>
  <si>
    <t>Madhavi Yadav</t>
  </si>
  <si>
    <t>Uvais</t>
  </si>
  <si>
    <t>madhavi.yadav@ubisoft.com</t>
  </si>
  <si>
    <t>1,34,520</t>
  </si>
  <si>
    <t>Thegidi</t>
  </si>
  <si>
    <t>Debojyoti - 9073772285</t>
  </si>
  <si>
    <t>Mersal</t>
  </si>
  <si>
    <t>Ubi Soft</t>
  </si>
  <si>
    <t>Idolle Ramayana</t>
  </si>
  <si>
    <t>PMP and Prince2 F&amp;P</t>
  </si>
  <si>
    <t>00061059_01</t>
  </si>
  <si>
    <t>Super</t>
  </si>
  <si>
    <t>20 - PMP and 5 Prince2 F&amp;P</t>
  </si>
  <si>
    <t>Upendra</t>
  </si>
  <si>
    <t>Online - LVC</t>
  </si>
  <si>
    <t>rahul071190@gmail.com</t>
  </si>
  <si>
    <t>A</t>
  </si>
  <si>
    <t>Not quoted yet</t>
  </si>
  <si>
    <t>amantat27@gmail.com</t>
  </si>
  <si>
    <t>Unnale Unnale</t>
  </si>
  <si>
    <t>Aayutha Ezhuthu</t>
  </si>
  <si>
    <t>The Mountain Between Us</t>
  </si>
  <si>
    <t>The Wire</t>
  </si>
  <si>
    <t>PO</t>
  </si>
  <si>
    <t>Mad Men</t>
  </si>
  <si>
    <t>https://simplilearn.lightning.force.com/lightning/r/Lead/00Q2x00000TJCFGEA5/view</t>
  </si>
  <si>
    <t>Month</t>
  </si>
  <si>
    <t>Total req. Payments</t>
  </si>
  <si>
    <t>Ach. Target</t>
  </si>
  <si>
    <t>Payments in $</t>
  </si>
  <si>
    <t>Payments</t>
  </si>
  <si>
    <t>MTD%</t>
  </si>
  <si>
    <t>Delta $</t>
  </si>
  <si>
    <t>Delta Payments</t>
  </si>
  <si>
    <t>$F2="CSM","Category",$F2="CSPO","Category", $F2="PSM","Category",$F2="PSPO","Category",$F2="SAFe Agile","SAFe",$F2="SAFe SSM","SAFe",$F2="SAFe POPM","SAFe",$F2="SASM","SAFe",$F2="PMI-ACP","Category",$F2="ICP-ACC","Category",$F2="SAFe RTE","SAFe","$F2="",""</t>
  </si>
  <si>
    <t>Weeks</t>
  </si>
  <si>
    <t>Week 1</t>
  </si>
  <si>
    <t>Week 2</t>
  </si>
  <si>
    <t>Week 3</t>
  </si>
  <si>
    <t>Week 4</t>
  </si>
  <si>
    <t>Week 5</t>
  </si>
  <si>
    <t>F10</t>
  </si>
  <si>
    <t>S10</t>
  </si>
  <si>
    <t>T10</t>
  </si>
  <si>
    <t>Ref. Created</t>
  </si>
  <si>
    <t>Ref. Converted</t>
  </si>
  <si>
    <t>Conversion%</t>
  </si>
  <si>
    <t>Created</t>
  </si>
  <si>
    <t>Converted</t>
  </si>
  <si>
    <t>Ref Created</t>
  </si>
  <si>
    <t>Ref Converted</t>
  </si>
  <si>
    <t>Date</t>
  </si>
  <si>
    <t>Email</t>
  </si>
  <si>
    <t>Batch</t>
  </si>
  <si>
    <t>Tickets</t>
  </si>
  <si>
    <t>Amount</t>
  </si>
  <si>
    <t>In $</t>
  </si>
  <si>
    <t>Payment expected Date</t>
  </si>
  <si>
    <t>Week</t>
  </si>
  <si>
    <t>Paid On</t>
  </si>
  <si>
    <t>Order No.</t>
  </si>
  <si>
    <t>Program Details</t>
  </si>
  <si>
    <t>Rashmi Lokhande</t>
  </si>
  <si>
    <t>rashmilokhande04@gmail.com</t>
  </si>
  <si>
    <t>Account Repeat</t>
  </si>
  <si>
    <t>17-18 April 2021</t>
  </si>
  <si>
    <t>Sheenu Gupta</t>
  </si>
  <si>
    <t>sheenugupta1@gmail.com</t>
  </si>
  <si>
    <t>Reference</t>
  </si>
  <si>
    <t>15-16 May 2021</t>
  </si>
  <si>
    <t>Done. Good feedback.</t>
  </si>
  <si>
    <t>Pranab Somaraj</t>
  </si>
  <si>
    <t>pranaabs@hotmail.com</t>
  </si>
  <si>
    <t>16-17 Nov 2020</t>
  </si>
  <si>
    <t>By Navya navyaannamraju@gmail.com</t>
  </si>
  <si>
    <t>Rajkumar</t>
  </si>
  <si>
    <t>rajchan912@yahoo.com</t>
  </si>
  <si>
    <t>chat_initiated</t>
  </si>
  <si>
    <t>21-22 Nov 2020</t>
  </si>
  <si>
    <t>MamtaSingh</t>
  </si>
  <si>
    <t>mamtasingh2k6@gmail.com</t>
  </si>
  <si>
    <t>course agenda</t>
  </si>
  <si>
    <t>5-6 Dec 2020</t>
  </si>
  <si>
    <t>Ravi</t>
  </si>
  <si>
    <t>ravi.speridian@gmail.com</t>
  </si>
  <si>
    <t>3-4 Dec 2020</t>
  </si>
  <si>
    <t>prabhuprakasam@gmail.com</t>
  </si>
  <si>
    <t>na-payment</t>
  </si>
  <si>
    <t>Santosh Jagannath</t>
  </si>
  <si>
    <t>santosh.jagannathan@gmail.com</t>
  </si>
  <si>
    <t>By Prabhu prabhuprakasam@gmail.com</t>
  </si>
  <si>
    <t>Somnath C</t>
  </si>
  <si>
    <t>somnath.chattopadhyay73@gmail.com</t>
  </si>
  <si>
    <t>Chat_triggered</t>
  </si>
  <si>
    <t>28-29 Nov 2020</t>
  </si>
  <si>
    <t>Rajesh Ram N</t>
  </si>
  <si>
    <t>Tollfree</t>
  </si>
  <si>
    <t>Done. Didn't give Fb.</t>
  </si>
  <si>
    <t>Jayesh Gangwani</t>
  </si>
  <si>
    <t>iniyanoona@gmail.com</t>
  </si>
  <si>
    <t>By Divya divyarajivryan@gmail.com</t>
  </si>
  <si>
    <t>Done</t>
  </si>
  <si>
    <t>Abhishek Arora</t>
  </si>
  <si>
    <t>abhi.aroraa30@gmail.com</t>
  </si>
  <si>
    <t>23-24 Nov 2020</t>
  </si>
  <si>
    <t>DK</t>
  </si>
  <si>
    <t>By Nidhi nidhi.arora31@gmail.com</t>
  </si>
  <si>
    <t>SaiRam Srinivas</t>
  </si>
  <si>
    <t>raghavapudi.ssd@gmail.com</t>
  </si>
  <si>
    <t>Query box</t>
  </si>
  <si>
    <t>SL-LVC</t>
  </si>
  <si>
    <t>Bikash Satpathy</t>
  </si>
  <si>
    <t>bikash.satpathy@yahoo.com</t>
  </si>
  <si>
    <t>Geeta Rajpali</t>
  </si>
  <si>
    <t>geeta.rajpali@gmail.com</t>
  </si>
  <si>
    <t>9-10 Jan 2021</t>
  </si>
  <si>
    <t>Anusha</t>
  </si>
  <si>
    <t>anushavemuri1@gmail.com</t>
  </si>
  <si>
    <t>Course agenda</t>
  </si>
  <si>
    <t>Malti</t>
  </si>
  <si>
    <t>malti1810@gmail.com</t>
  </si>
  <si>
    <t>Abhinav Banerjee</t>
  </si>
  <si>
    <t>abhinavbanerjee@gmail.com</t>
  </si>
  <si>
    <t>19-20 Dec 2020</t>
  </si>
  <si>
    <t>Vikram Reddy</t>
  </si>
  <si>
    <t>vikramqa@gmail.com</t>
  </si>
  <si>
    <t>Nancy Dhruv</t>
  </si>
  <si>
    <t>dhruvnancy@gmail.com</t>
  </si>
  <si>
    <t>Done. Asked for Fb.</t>
  </si>
  <si>
    <t>Ravi Subramanya</t>
  </si>
  <si>
    <t>rramasub@yahoo.com</t>
  </si>
  <si>
    <t>Vishwas</t>
  </si>
  <si>
    <t>thevishwas@gmail.com</t>
  </si>
  <si>
    <t>course preview</t>
  </si>
  <si>
    <t>Vaishali B</t>
  </si>
  <si>
    <t>vaishali.bl@gmail.com</t>
  </si>
  <si>
    <t>Swapnesh</t>
  </si>
  <si>
    <t>swapnesh300@gmail.com</t>
  </si>
  <si>
    <t>By Chetna chetna.bharekar@gmail.com</t>
  </si>
  <si>
    <t>Pranjali Pore</t>
  </si>
  <si>
    <t>pranjali.pore@gmail.com</t>
  </si>
  <si>
    <t>By Swapnesh swapnesh300@gmail.com</t>
  </si>
  <si>
    <t>Shailendra</t>
  </si>
  <si>
    <t>shail.rangari@gmail.com</t>
  </si>
  <si>
    <t>Surender Rana</t>
  </si>
  <si>
    <t>surender_rana2002@yahoo.com</t>
  </si>
  <si>
    <t>Pending</t>
  </si>
  <si>
    <t>Manisha</t>
  </si>
  <si>
    <t>manisha10singh@gmail.com</t>
  </si>
  <si>
    <t>12-13 Dec 2020</t>
  </si>
  <si>
    <t>Last week of Dec 2020</t>
  </si>
  <si>
    <t>Shivanee</t>
  </si>
  <si>
    <t>shivanee.salvi@neptune-ubi.com</t>
  </si>
  <si>
    <t>2nd week of Dec</t>
  </si>
  <si>
    <t>Ramneek</t>
  </si>
  <si>
    <t>ramneekbedi27@gmail.com</t>
  </si>
  <si>
    <t>Srikanta Jena</t>
  </si>
  <si>
    <t>srikantajena@gmail.com</t>
  </si>
  <si>
    <t>Parul Agarwal</t>
  </si>
  <si>
    <t>agarwalparul21@gmail.com</t>
  </si>
  <si>
    <t>26-27 Dec 2020</t>
  </si>
  <si>
    <t>Sugumar LR</t>
  </si>
  <si>
    <t>lrsugumar@gmail.com</t>
  </si>
  <si>
    <t>17-18 Dec 2020</t>
  </si>
  <si>
    <t>By Ramki Vasagan ramkii96@gmail.com</t>
  </si>
  <si>
    <t>Abhishek Singh</t>
  </si>
  <si>
    <t>abhishek.singh@neptune-ubi.com</t>
  </si>
  <si>
    <t>By Shivanee        shivanee.salvi@neptune-ubi.com</t>
  </si>
  <si>
    <t>Anmol Jain</t>
  </si>
  <si>
    <t>anmol.jain@neptune-ubi.com</t>
  </si>
  <si>
    <t>By Shivanee	shivanee.salvi@neptune-ubi.com</t>
  </si>
  <si>
    <t>Floyden Mascarenhas</t>
  </si>
  <si>
    <t>floydos16@gmail.com</t>
  </si>
  <si>
    <t>Anshul</t>
  </si>
  <si>
    <t>anshul.0807@gmail.com</t>
  </si>
  <si>
    <t>Self-generated</t>
  </si>
  <si>
    <t>Chitrabhanu</t>
  </si>
  <si>
    <t>chitrabhanu.s@outlook.com</t>
  </si>
  <si>
    <t>2-3 Jan 2021</t>
  </si>
  <si>
    <t>Arthika</t>
  </si>
  <si>
    <t>arthikaa1@gmail.com</t>
  </si>
  <si>
    <t>R&amp;E</t>
  </si>
  <si>
    <t>Prashant Joshi</t>
  </si>
  <si>
    <t>pkjoshi2007@gmail.com</t>
  </si>
  <si>
    <t>Pricing issue.</t>
  </si>
  <si>
    <t>Balaji V K</t>
  </si>
  <si>
    <t>vkbalaji@live.com</t>
  </si>
  <si>
    <t>Auto repeat lead</t>
  </si>
  <si>
    <t>Gireesh Raju</t>
  </si>
  <si>
    <t>gireeshraju.n@gmail.com</t>
  </si>
  <si>
    <t>Sanjay Chari</t>
  </si>
  <si>
    <t>sanjayschari@gmail.com</t>
  </si>
  <si>
    <t>ASM</t>
  </si>
  <si>
    <t>Abhishek Kapil</t>
  </si>
  <si>
    <t>itsabhishek2308@gmail.com</t>
  </si>
  <si>
    <t>CSM &amp; Tableu</t>
  </si>
  <si>
    <t>Krishna</t>
  </si>
  <si>
    <t>Dushyant Lodaya</t>
  </si>
  <si>
    <t>dushyant.lodaya@gmail.com</t>
  </si>
  <si>
    <t>He says, he has dropped the plan.</t>
  </si>
  <si>
    <t>Srinidhi</t>
  </si>
  <si>
    <t>srinidhiram@gmail.com</t>
  </si>
  <si>
    <t>Raja Rajan</t>
  </si>
  <si>
    <t>connectrajarajan@gmail.com</t>
  </si>
  <si>
    <t>Swati Gupta</t>
  </si>
  <si>
    <t>swatigupta.812@gmail.com</t>
  </si>
  <si>
    <t>Anmol Dhand</t>
  </si>
  <si>
    <t>anmollife26@gmail.com</t>
  </si>
  <si>
    <t>22-23 Dec 2020</t>
  </si>
  <si>
    <t>Yash</t>
  </si>
  <si>
    <t>yashjuly2@gmail.com</t>
  </si>
  <si>
    <t>course-agenda</t>
  </si>
  <si>
    <t>Kavita</t>
  </si>
  <si>
    <t>kavita2001@gmail.com</t>
  </si>
  <si>
    <t>By Nisha Chugh</t>
  </si>
  <si>
    <t>Amit Ghosh</t>
  </si>
  <si>
    <t>amit_gh@outlook.com</t>
  </si>
  <si>
    <t>16-17 Jan 2021</t>
  </si>
  <si>
    <t>Mathews Oomen</t>
  </si>
  <si>
    <t>mathews100@gmail.com</t>
  </si>
  <si>
    <t>Poornima Damaraju</t>
  </si>
  <si>
    <t>poornimadamaraju.kvnl@gmail.com</t>
  </si>
  <si>
    <t>SL - LVC</t>
  </si>
  <si>
    <t>Swati Subramanya</t>
  </si>
  <si>
    <t>swathisubramanya1611@gmail.com</t>
  </si>
  <si>
    <t>fpt-paper</t>
  </si>
  <si>
    <t>3rd week of Dec 2020</t>
  </si>
  <si>
    <t>Need at 13K.</t>
  </si>
  <si>
    <t>Sandeep Patel</t>
  </si>
  <si>
    <t>smindia1988@gmail.com</t>
  </si>
  <si>
    <t>Rajesh Mane</t>
  </si>
  <si>
    <t>rajesh.mane4072@gmail.com</t>
  </si>
  <si>
    <t>Firoz Sabaliya</t>
  </si>
  <si>
    <t>firoz.sabaliya@gmail.com</t>
  </si>
  <si>
    <t>28-29 Dec 2020</t>
  </si>
  <si>
    <t>Vinay Kadu</t>
  </si>
  <si>
    <t>vinaykadu16@yahoo.com</t>
  </si>
  <si>
    <t>No response to calls and messages.</t>
  </si>
  <si>
    <t>Apeksha Maheshwari</t>
  </si>
  <si>
    <t>apekshamaheshwari3@gmail.com</t>
  </si>
  <si>
    <t>By Firoz</t>
  </si>
  <si>
    <t>Bajinder Kaur</t>
  </si>
  <si>
    <t>bajinder.kaur@gmail.com</t>
  </si>
  <si>
    <t>Pradeep Kumar</t>
  </si>
  <si>
    <t>m_pradeepkumar7@yahoo.com</t>
  </si>
  <si>
    <t>Julyars Dadhaniya</t>
  </si>
  <si>
    <t>julyars.dadhaniya08@gmail.com</t>
  </si>
  <si>
    <t>Neerav Agarwal</t>
  </si>
  <si>
    <t>neer.nm@gmail.com</t>
  </si>
  <si>
    <t>B2C</t>
  </si>
  <si>
    <t>Praveen Nair</t>
  </si>
  <si>
    <t>praveen.nair86@gmail.com</t>
  </si>
  <si>
    <t>12-13 Jan 2021</t>
  </si>
  <si>
    <t>Anup Neve</t>
  </si>
  <si>
    <t>anup.neve123@gmail.com</t>
  </si>
  <si>
    <t>By Tejas Neve t.neve91@gmail.com</t>
  </si>
  <si>
    <t>Ramesh Kumar</t>
  </si>
  <si>
    <t>rameshkumar254528@gmail.com</t>
  </si>
  <si>
    <t>Amit Prasad</t>
  </si>
  <si>
    <t/>
  </si>
  <si>
    <t>Existing Account</t>
  </si>
  <si>
    <t>29-30 Dec 2020</t>
  </si>
  <si>
    <t>Rajiv Mutalik</t>
  </si>
  <si>
    <t>rajmutalik@yahoo.com</t>
  </si>
  <si>
    <t>Sridevi Dharani</t>
  </si>
  <si>
    <t>sridevidharani.ar@gmail.com</t>
  </si>
  <si>
    <t>Reshma Surjiani</t>
  </si>
  <si>
    <t>rrohra@gmail.com</t>
  </si>
  <si>
    <t>Tanu HS</t>
  </si>
  <si>
    <t>tanuhs@gmail.com</t>
  </si>
  <si>
    <t>LVC</t>
  </si>
  <si>
    <t>Arushi</t>
  </si>
  <si>
    <t>arushi2110@gmail.com</t>
  </si>
  <si>
    <t>DS with Python - OSL</t>
  </si>
  <si>
    <t>Sandeep Joglekar</t>
  </si>
  <si>
    <t>sandeep48@yahoo.com</t>
  </si>
  <si>
    <t>6-7 Feb 2021</t>
  </si>
  <si>
    <t>By Srikanta srikantajena@gmail.com.</t>
  </si>
  <si>
    <t>Shalini Akki</t>
  </si>
  <si>
    <t>shalini.akki02@gmail.com</t>
  </si>
  <si>
    <t>By Chitra Bhanu</t>
  </si>
  <si>
    <t>Aditya Gajula</t>
  </si>
  <si>
    <t>adityas.gajula@gmail.com</t>
  </si>
  <si>
    <t>Essakkiappan</t>
  </si>
  <si>
    <t>muthu_vsa@yahoo.co.in</t>
  </si>
  <si>
    <t>Request a call</t>
  </si>
  <si>
    <t>Arijit Kapoor</t>
  </si>
  <si>
    <t>arjit_04@yahoo.com</t>
  </si>
  <si>
    <t>Azure-204</t>
  </si>
  <si>
    <t>By Shivangi Arora</t>
  </si>
  <si>
    <t>Ganesh Rao</t>
  </si>
  <si>
    <t>ganeshugesh@gmail.com</t>
  </si>
  <si>
    <t>W1</t>
  </si>
  <si>
    <t>Pending.</t>
  </si>
  <si>
    <t>Dikshita</t>
  </si>
  <si>
    <t>dikshita7284@yahoo.co.in</t>
  </si>
  <si>
    <t>By Firoz firoz.sabaliya@gmail.com</t>
  </si>
  <si>
    <t>Lenin Kumar</t>
  </si>
  <si>
    <t>leniniitkgp14@gmail.com</t>
  </si>
  <si>
    <t>Prince 2</t>
  </si>
  <si>
    <t>By Vagdevi vagdevinagbhushan@gmail.com Batch date concerns</t>
  </si>
  <si>
    <t>Akshay Verma</t>
  </si>
  <si>
    <t>akshayverma485@yahoo.in</t>
  </si>
  <si>
    <t>Dropped the plan</t>
  </si>
  <si>
    <t>Dinesh Khel</t>
  </si>
  <si>
    <t>dinesh.khel18@gmail.com</t>
  </si>
  <si>
    <t>Kailash Kodag</t>
  </si>
  <si>
    <t>kailashkodag007@gmail.com</t>
  </si>
  <si>
    <t>Data Scientist Masters</t>
  </si>
  <si>
    <t>nisha.chugh@in.ey.com</t>
  </si>
  <si>
    <t>23-24 Jan 2021</t>
  </si>
  <si>
    <t>Call back on 19 Dec 2020 at 4 PM</t>
  </si>
  <si>
    <t>Hitesh Shrimali</t>
  </si>
  <si>
    <t>hitesh.shrimali@gmail.com</t>
  </si>
  <si>
    <t>Ravindra Purohit</t>
  </si>
  <si>
    <t>ravindra.purohit3@gmail.com</t>
  </si>
  <si>
    <t>Bhumika</t>
  </si>
  <si>
    <t>bhumikacs0032@gmail.com</t>
  </si>
  <si>
    <t>Vinod Shiva Kumar</t>
  </si>
  <si>
    <t>vinods1982@yahoo.com</t>
  </si>
  <si>
    <t>Santosh Dubey</t>
  </si>
  <si>
    <t>skdubey4u@gmail.com</t>
  </si>
  <si>
    <t>CBAP</t>
  </si>
  <si>
    <t>By Santosh Rongali santoshrongali@gmail.com</t>
  </si>
  <si>
    <t>Manoj Bhatia</t>
  </si>
  <si>
    <t>mmanojbhatia@gmail.com</t>
  </si>
  <si>
    <t>30-31 Jan 2021</t>
  </si>
  <si>
    <t>Rajkumar C</t>
  </si>
  <si>
    <t>PMP</t>
  </si>
  <si>
    <t>Dhanapal Angamuthu</t>
  </si>
  <si>
    <t>dhanapal.ang@gmail.com</t>
  </si>
  <si>
    <t>Ajit</t>
  </si>
  <si>
    <t>ajit4008@yahoo.com</t>
  </si>
  <si>
    <t>Vinod</t>
  </si>
  <si>
    <t>vin4642@gmail.com</t>
  </si>
  <si>
    <t>Ramya Thamarai</t>
  </si>
  <si>
    <t>ramyathamarai@gmail.com</t>
  </si>
  <si>
    <t>auto-repeat</t>
  </si>
  <si>
    <t>13-14 Feb 2021</t>
  </si>
  <si>
    <t>Onkar Agarwal</t>
  </si>
  <si>
    <t>agarwal.omkar@yahoo.in</t>
  </si>
  <si>
    <t>Deepti</t>
  </si>
  <si>
    <t>deepti1118@yahoo.com</t>
  </si>
  <si>
    <t>Garima Gupta</t>
  </si>
  <si>
    <t>garima.caprino01@gmail.com</t>
  </si>
  <si>
    <t>By Vagdevi N vagdevinagbhushan@gmail.com</t>
  </si>
  <si>
    <t>Rima Chavan</t>
  </si>
  <si>
    <t>rima.mchavan27@gmail.com</t>
  </si>
  <si>
    <t>Abhishek Mohanty</t>
  </si>
  <si>
    <t>abishek.mohanty@gmail.com</t>
  </si>
  <si>
    <t>Saraswathi K</t>
  </si>
  <si>
    <t>saraswathi_k@infosys.com</t>
  </si>
  <si>
    <t>Mandar T S</t>
  </si>
  <si>
    <t>ts.mandar@gmail.com</t>
  </si>
  <si>
    <t>Rohit Ranjan</t>
  </si>
  <si>
    <t>mr.rohit.ranjan@gmail.com</t>
  </si>
  <si>
    <t>Caht_triggered</t>
  </si>
  <si>
    <t>Sarath T S</t>
  </si>
  <si>
    <t>sarath.ts@outlook.com</t>
  </si>
  <si>
    <t>Hemant</t>
  </si>
  <si>
    <t>hemant.parashar@wirelessteleinfra.com</t>
  </si>
  <si>
    <t>Account</t>
  </si>
  <si>
    <t>Cx says, planning for PMP in Feb 2021.</t>
  </si>
  <si>
    <t>Amit Sharma</t>
  </si>
  <si>
    <t>toamitsharma@gmail.com</t>
  </si>
  <si>
    <t>Pricing.</t>
  </si>
  <si>
    <t>Keerthana S</t>
  </si>
  <si>
    <t>skeerthana2@gmail.com</t>
  </si>
  <si>
    <t>course-preview</t>
  </si>
  <si>
    <t>27-28 Feb 2021</t>
  </si>
  <si>
    <t>Sumantra Bhaumik</t>
  </si>
  <si>
    <t>sumantra.bhaumik@gmail.com</t>
  </si>
  <si>
    <t>Usha Rani</t>
  </si>
  <si>
    <t>usharani.desaboyina@gmail.com</t>
  </si>
  <si>
    <t>Rajesh</t>
  </si>
  <si>
    <t>raj2626esh@gmail.com</t>
  </si>
  <si>
    <t>Niha Rao</t>
  </si>
  <si>
    <t>niharao1709@gmail.com</t>
  </si>
  <si>
    <t>Anu Subhash</t>
  </si>
  <si>
    <t>anusubhash@gmail.com</t>
  </si>
  <si>
    <t>Rasleen Cheema</t>
  </si>
  <si>
    <t>rasleencheema@gmail.com</t>
  </si>
  <si>
    <t>Nidhi Nupur</t>
  </si>
  <si>
    <t>nidhinupur88@gmail.com</t>
  </si>
  <si>
    <t>Prabhu C</t>
  </si>
  <si>
    <t>cpirabhu@gmail.com</t>
  </si>
  <si>
    <t>Mayukh Bhattacharya</t>
  </si>
  <si>
    <t>mayukh.bhattacharya2017@gmail.com</t>
  </si>
  <si>
    <t>Midhlaj</t>
  </si>
  <si>
    <t>midhlaj@sensotica.in</t>
  </si>
  <si>
    <t>Kirubagaran</t>
  </si>
  <si>
    <t>kirubagaran.r@gmail.com</t>
  </si>
  <si>
    <t>Sundara Pandiyan</t>
  </si>
  <si>
    <t>sundarapandiyan.mohan@gmail.com</t>
  </si>
  <si>
    <t>Pragati Kaushik</t>
  </si>
  <si>
    <t>pragati.kaushik20@gmail.com</t>
  </si>
  <si>
    <t>Shivangi Arora</t>
  </si>
  <si>
    <t>shivangiarora01@yahoo.com</t>
  </si>
  <si>
    <t>Sampat Dubbakka</t>
  </si>
  <si>
    <t>samdubbaka@gmail.com</t>
  </si>
  <si>
    <t>Rahul Sharma</t>
  </si>
  <si>
    <t>sharma.rs0103@gmail.com</t>
  </si>
  <si>
    <t>Padmashree</t>
  </si>
  <si>
    <t>padmashree85@gmail.com</t>
  </si>
  <si>
    <t>Spurthi</t>
  </si>
  <si>
    <t>spuport@gmail.com</t>
  </si>
  <si>
    <t>Rupesh</t>
  </si>
  <si>
    <t>dukerupesh@gmail.com</t>
  </si>
  <si>
    <t>Dk</t>
  </si>
  <si>
    <t>Call back on 20 Dec 2020 noon.</t>
  </si>
  <si>
    <t>Vignesh</t>
  </si>
  <si>
    <t>vigneshmstm@gmail.com</t>
  </si>
  <si>
    <t>Diksha Singh</t>
  </si>
  <si>
    <t>singh.diksha636@gmail.com</t>
  </si>
  <si>
    <t>Gaurav Dudgikar</t>
  </si>
  <si>
    <t>gaurav.dudgikar@gmail.com</t>
  </si>
  <si>
    <t>Shiva</t>
  </si>
  <si>
    <t>shivamupasane@yahoo.com</t>
  </si>
  <si>
    <t>Kamal Thakur</t>
  </si>
  <si>
    <t>kamalthakur2305@gmail.com</t>
  </si>
  <si>
    <t>Ojas</t>
  </si>
  <si>
    <t>ojas54321@gmail.com</t>
  </si>
  <si>
    <t>Amit Shinde</t>
  </si>
  <si>
    <t>shindeamit01@gmail.com</t>
  </si>
  <si>
    <t>Ganpat Desai</t>
  </si>
  <si>
    <t>ganpat.desai@gmail.com</t>
  </si>
  <si>
    <t>Khushboo Tyagi</t>
  </si>
  <si>
    <t>tyagi.khushboo@gmail.com</t>
  </si>
  <si>
    <t>B2b_query_course_page</t>
  </si>
  <si>
    <t>Ashutosh Toshi</t>
  </si>
  <si>
    <t>ashutosh.toshi@gmail.com</t>
  </si>
  <si>
    <t>CSM/CSPO</t>
  </si>
  <si>
    <t>Apoorva Lakshman</t>
  </si>
  <si>
    <t>aps.lak@gmail.com</t>
  </si>
  <si>
    <t>rasharma@mobiquityinc.com</t>
  </si>
  <si>
    <t>Prince</t>
  </si>
  <si>
    <t>ritzyenigma24@gmail.com</t>
  </si>
  <si>
    <t>Uma Yegnya</t>
  </si>
  <si>
    <t>yegnyauma@gmail.com</t>
  </si>
  <si>
    <t>20-21 Feb 2021</t>
  </si>
  <si>
    <t>W2</t>
  </si>
  <si>
    <t>Rohan Kher</t>
  </si>
  <si>
    <t>rohankher27@gmail.com</t>
  </si>
  <si>
    <t>Shefali Verma</t>
  </si>
  <si>
    <t>agg.shefali@gmail.com</t>
  </si>
  <si>
    <t>Shalu Parshar</t>
  </si>
  <si>
    <t>shalu.parshar@gmail.com</t>
  </si>
  <si>
    <t>Aakansha Joglekar</t>
  </si>
  <si>
    <t>aakanshajoglekar@yahoo.co.in</t>
  </si>
  <si>
    <t>By Sandeep Joglekar sandeep48@yahoo.com</t>
  </si>
  <si>
    <t>Preethi Prasanna V</t>
  </si>
  <si>
    <t>preethipv1@gmail.com</t>
  </si>
  <si>
    <t>By Sunit R</t>
  </si>
  <si>
    <t>Anubha Vajpeyi</t>
  </si>
  <si>
    <t>anubha.vajpeyi@gmail.com</t>
  </si>
  <si>
    <t>Debidatta Sattapathy</t>
  </si>
  <si>
    <t>debidatta12@gmail.com</t>
  </si>
  <si>
    <t>Aakash Verma</t>
  </si>
  <si>
    <t>aakashverrma@gmail.com</t>
  </si>
  <si>
    <t>Faisal</t>
  </si>
  <si>
    <t>h.faisal009@gmail.com</t>
  </si>
  <si>
    <t>Sunit R</t>
  </si>
  <si>
    <t>sunitrad6@gmail.com</t>
  </si>
  <si>
    <t>Ankita</t>
  </si>
  <si>
    <t>257ankita@gmail.com</t>
  </si>
  <si>
    <t>Wasim</t>
  </si>
  <si>
    <t>wasimbuden@yahoo.com</t>
  </si>
  <si>
    <t>Gaurav Deol</t>
  </si>
  <si>
    <t>gaurav.842@gmail.com</t>
  </si>
  <si>
    <t>Mayank KL</t>
  </si>
  <si>
    <t>klsmayank@outlook.com</t>
  </si>
  <si>
    <t>Archana Ramane</t>
  </si>
  <si>
    <t>archana.ramane14@gmail.com</t>
  </si>
  <si>
    <t>Prem Kiran</t>
  </si>
  <si>
    <t>premkiranpk@gmail.com</t>
  </si>
  <si>
    <t>Arun Pai</t>
  </si>
  <si>
    <t>arun3.1416@gmail.com</t>
  </si>
  <si>
    <t>Reference by Aravind Devaraj - aravinddevaraj.mec@gmail.com</t>
  </si>
  <si>
    <t>Done.</t>
  </si>
  <si>
    <t>Abhiruchi SV</t>
  </si>
  <si>
    <t>abhiruchi.sv@gmail.com</t>
  </si>
  <si>
    <t>Chayan Giri</t>
  </si>
  <si>
    <t>chayan.giri@gmail.com</t>
  </si>
  <si>
    <t>By Keerti - Somnath C - Used it already on 9 Feb 2021</t>
  </si>
  <si>
    <t>Rupa Dutt</t>
  </si>
  <si>
    <t>rupadutt@gmail.com</t>
  </si>
  <si>
    <t>Babu Yarra</t>
  </si>
  <si>
    <t>yarra_b@yahoo.com</t>
  </si>
  <si>
    <t>Amarnath Ganesh</t>
  </si>
  <si>
    <t>amarganeshamar@gmail.com</t>
  </si>
  <si>
    <t>W3</t>
  </si>
  <si>
    <t>Vahini Meka</t>
  </si>
  <si>
    <t>vahiniva@gmail.com</t>
  </si>
  <si>
    <t>Shahin</t>
  </si>
  <si>
    <t/>
  </si>
  <si>
    <t>Account - Repeat</t>
  </si>
  <si>
    <t>KMP1</t>
  </si>
  <si>
    <t>Prabharan K</t>
  </si>
  <si>
    <t>kprabaaharan@gmail.com</t>
  </si>
  <si>
    <t>Sandeep</t>
  </si>
  <si>
    <t>sandeepsan9@gmail.com</t>
  </si>
  <si>
    <t>Nitin Post</t>
  </si>
  <si>
    <t>nitinpost@hotmail.com</t>
  </si>
  <si>
    <t>25-26 Jan 2021</t>
  </si>
  <si>
    <t>Farooq</t>
  </si>
  <si>
    <t>frq1890@gmail.com</t>
  </si>
  <si>
    <t>Python</t>
  </si>
  <si>
    <t>Riju Pappachan</t>
  </si>
  <si>
    <t>riju_pappachan@agilent.com</t>
  </si>
  <si>
    <t>Swarna Latha</t>
  </si>
  <si>
    <t>v.swarnalatha9@gmail.com</t>
  </si>
  <si>
    <t>Ankush Kukrety</t>
  </si>
  <si>
    <t>ankushkukrety@gmail.com</t>
  </si>
  <si>
    <t>Abhishek</t>
  </si>
  <si>
    <t>abhi7028@gmail.com</t>
  </si>
  <si>
    <t>Smruti Dash</t>
  </si>
  <si>
    <t>smruti.dash@pwc.com</t>
  </si>
  <si>
    <t>Nitin Gupta</t>
  </si>
  <si>
    <t>nitin1800@gmail.com</t>
  </si>
  <si>
    <t>Jobine</t>
  </si>
  <si>
    <t>hannah262022@gmail.com</t>
  </si>
  <si>
    <t>W4</t>
  </si>
  <si>
    <t>Reference by Praveen Nair</t>
  </si>
  <si>
    <t>Done. Good feedbak.</t>
  </si>
  <si>
    <t>Anand</t>
  </si>
  <si>
    <t>anand.mnhr@gmail.com</t>
  </si>
  <si>
    <t>Account - Repeat2</t>
  </si>
  <si>
    <t>27-28 Jan 2021</t>
  </si>
  <si>
    <t>divya.pnd@gmail.com</t>
  </si>
  <si>
    <t>Sheena Thakur</t>
  </si>
  <si>
    <t>sheenathakur93@gmail.com</t>
  </si>
  <si>
    <t>Kameshwaran Pandian</t>
  </si>
  <si>
    <t>kamesh82@gmail.com</t>
  </si>
  <si>
    <t>Parimala</t>
  </si>
  <si>
    <t>chatty.parimala@gmail.com</t>
  </si>
  <si>
    <t>6-7 March 2021</t>
  </si>
  <si>
    <t>Humesh Kumar</t>
  </si>
  <si>
    <t>ks_humessh_kumar@yahoo.in</t>
  </si>
  <si>
    <t>By Swetha mantlegal@gmail.com</t>
  </si>
  <si>
    <t>Pranay Sharma</t>
  </si>
  <si>
    <t>mr.pranay.sharma@gmail.com</t>
  </si>
  <si>
    <t>SMPL_6TXTNNAYY1D</t>
  </si>
  <si>
    <t>Balasankari</t>
  </si>
  <si>
    <t>balasankari@gmail.com</t>
  </si>
  <si>
    <t>Manjari Saxena</t>
  </si>
  <si>
    <t>saxena.manjari@gmail.com</t>
  </si>
  <si>
    <t>Suman</t>
  </si>
  <si>
    <t>suman.kiit999@gmail.com</t>
  </si>
  <si>
    <t>Swapnil Shrivastav</t>
  </si>
  <si>
    <t>swap.shrivast91@gmail.com</t>
  </si>
  <si>
    <t>Chirantana Dixit</t>
  </si>
  <si>
    <t>dixitchirantana3@gmail.com</t>
  </si>
  <si>
    <t>Needs only morning batch.</t>
  </si>
  <si>
    <t>Vinaya Karre</t>
  </si>
  <si>
    <t>vinayakarre@gmail.com</t>
  </si>
  <si>
    <t>By Manisha Singh</t>
  </si>
  <si>
    <t>Sneha Mukadam</t>
  </si>
  <si>
    <t>sneha.mukadam@gmail.com</t>
  </si>
  <si>
    <t>Santosh Iyer</t>
  </si>
  <si>
    <t>santoshvenkat26@gmail.com</t>
  </si>
  <si>
    <t>Indian trainer requirement.</t>
  </si>
  <si>
    <t>Anish Saini</t>
  </si>
  <si>
    <t>dr.anishsaini@yahoo.com</t>
  </si>
  <si>
    <t>Jaya Sinha</t>
  </si>
  <si>
    <t>jiasinha@yahoo.co.in</t>
  </si>
  <si>
    <t>Rama Devi</t>
  </si>
  <si>
    <t>rama.pulakandam@gmail.com</t>
  </si>
  <si>
    <t>Lokesh Sharma</t>
  </si>
  <si>
    <t>lokeshsharmac255@gmail.com</t>
  </si>
  <si>
    <t>chat_Initiated</t>
  </si>
  <si>
    <t>Manmay Mohanty</t>
  </si>
  <si>
    <t>mohanty.manmay@gmail.com</t>
  </si>
  <si>
    <t>Sandeep Asrani</t>
  </si>
  <si>
    <t>sandeepasrani5@gmail.com</t>
  </si>
  <si>
    <t>Jagadish S</t>
  </si>
  <si>
    <t>jagdish.suryawanshi@gmail.com</t>
  </si>
  <si>
    <t>Reference by Rathna</t>
  </si>
  <si>
    <t>Faizan Mohammad</t>
  </si>
  <si>
    <t>faizan025@gmail.com</t>
  </si>
  <si>
    <t>Aditya</t>
  </si>
  <si>
    <t>adi4group@gmail.com</t>
  </si>
  <si>
    <t>Revathy T</t>
  </si>
  <si>
    <t>revstraj88@gmail.com</t>
  </si>
  <si>
    <t>By Joby Daniel</t>
  </si>
  <si>
    <t>Shikha Garg</t>
  </si>
  <si>
    <t>shikha.garg4@gmail.com</t>
  </si>
  <si>
    <t>Revathi Harsha</t>
  </si>
  <si>
    <t>revathiharsha81@gmail.com</t>
  </si>
  <si>
    <t>Planning for L&amp;D.</t>
  </si>
  <si>
    <t>Prabhat Ranjan</t>
  </si>
  <si>
    <t>prabhatsp94@gmail.com</t>
  </si>
  <si>
    <t>Venu Madhav</t>
  </si>
  <si>
    <t>rupakulavenu@gmail.com</t>
  </si>
  <si>
    <t>Priyanka</t>
  </si>
  <si>
    <t>13thjan.priyanka@gmail.com</t>
  </si>
  <si>
    <t>Chetan Kumar</t>
  </si>
  <si>
    <t>chetankumarhk@gmail.com</t>
  </si>
  <si>
    <t>Suraj Thakur</t>
  </si>
  <si>
    <t>tunein2suraj@gmail.com</t>
  </si>
  <si>
    <t>Green Belt</t>
  </si>
  <si>
    <t>Sanskriti Bharadwaj</t>
  </si>
  <si>
    <t>sanskritibhardwaj@gmail.com</t>
  </si>
  <si>
    <t>Chat_initiated</t>
  </si>
  <si>
    <t>Subhratan Jena</t>
  </si>
  <si>
    <t>meetbapuni@yahoo.co.in</t>
  </si>
  <si>
    <t>Subbarathna</t>
  </si>
  <si>
    <t>g_subbarathna@yahoo.com</t>
  </si>
  <si>
    <t>Pallavi</t>
  </si>
  <si>
    <t>pallogs@gmail.com</t>
  </si>
  <si>
    <t>R Tiwari</t>
  </si>
  <si>
    <t>rdtiwari123@gmail.com</t>
  </si>
  <si>
    <t>PMP Exam Practice Test</t>
  </si>
  <si>
    <t>Practice Test</t>
  </si>
  <si>
    <t>SMPL_HPOQ0TUQ7JP</t>
  </si>
  <si>
    <t>Bhaumik Soni</t>
  </si>
  <si>
    <t>bhaumiknsoni@gmail.com</t>
  </si>
  <si>
    <t>Reference by Keerti keerti1895@gmail.com</t>
  </si>
  <si>
    <t>Mohan Krishna</t>
  </si>
  <si>
    <t>mohan.krishnar@gmail.com</t>
  </si>
  <si>
    <t>Harika</t>
  </si>
  <si>
    <t>g.haarikka@gmail.com</t>
  </si>
  <si>
    <t>Nishank Goel</t>
  </si>
  <si>
    <t>nishankgoel@yahoo.co.in</t>
  </si>
  <si>
    <t>Sourav Saw</t>
  </si>
  <si>
    <t>alanine121@gmail.com</t>
  </si>
  <si>
    <t>Varsha Naik</t>
  </si>
  <si>
    <t>varshanaik1991@gmail.com</t>
  </si>
  <si>
    <t>Praval Srivastava</t>
  </si>
  <si>
    <t>praval.srivastava@gmail.com</t>
  </si>
  <si>
    <t>Ambat Vipin</t>
  </si>
  <si>
    <t>ambat.vipu@gmail.com</t>
  </si>
  <si>
    <t>Account-Repeat</t>
  </si>
  <si>
    <t>P2 Practitioner</t>
  </si>
  <si>
    <t>Garvit Pahwa</t>
  </si>
  <si>
    <t>pahwa.garvit@gmail.com</t>
  </si>
  <si>
    <t>Reference by Abhishek Arora</t>
  </si>
  <si>
    <t>Naresh Para</t>
  </si>
  <si>
    <t>nareshpara23@gmail.com</t>
  </si>
  <si>
    <t>adi123tya@gmail.com</t>
  </si>
  <si>
    <t>PMP Plus</t>
  </si>
  <si>
    <t>SMPL_6NF767C5G5F</t>
  </si>
  <si>
    <t>Sukanya</t>
  </si>
  <si>
    <t>sukanya.luna@gmail.com</t>
  </si>
  <si>
    <t>sagarbhandari2011@yahoo.com</t>
  </si>
  <si>
    <t>Sanjay Gangurde</t>
  </si>
  <si>
    <t>sgangurde05@hotmail.com</t>
  </si>
  <si>
    <t>Shamini  Solomon</t>
  </si>
  <si>
    <t>shaminisolomon@gmail.com</t>
  </si>
  <si>
    <t>Nikhil Doshi</t>
  </si>
  <si>
    <t>nikhildoshi84@gmail.com</t>
  </si>
  <si>
    <t>B Suresh</t>
  </si>
  <si>
    <t>bsureshanalyst@gmail.com</t>
  </si>
  <si>
    <t>Suvashree</t>
  </si>
  <si>
    <t>suvashreec@gmail.com</t>
  </si>
  <si>
    <t>Mayank Sengar</t>
  </si>
  <si>
    <t>mayank.sengar@gmail.com</t>
  </si>
  <si>
    <t>Durga Baluswamy</t>
  </si>
  <si>
    <t>durga.baluswamy@gmail.com</t>
  </si>
  <si>
    <t>Saritha Gorla</t>
  </si>
  <si>
    <t>saritha.gorla@gmail.com</t>
  </si>
  <si>
    <t>SASM</t>
  </si>
  <si>
    <t>Shantha M</t>
  </si>
  <si>
    <t>shanthameenav@yahoo.com</t>
  </si>
  <si>
    <t>Suresh Nair</t>
  </si>
  <si>
    <t>sureshnair3697@gmail.com</t>
  </si>
  <si>
    <t>Ajit Halappanavar</t>
  </si>
  <si>
    <t>ajitch008@gmail.com</t>
  </si>
  <si>
    <t>Nikesh Kumar</t>
  </si>
  <si>
    <t>nik2007.rai@gmail.com</t>
  </si>
  <si>
    <t>Shankar Kumar</t>
  </si>
  <si>
    <t>shankarkumar21@gmail.com</t>
  </si>
  <si>
    <t>19 Feb 2021.</t>
  </si>
  <si>
    <t>Devi Das</t>
  </si>
  <si>
    <t>devidas17@gmail.com</t>
  </si>
  <si>
    <t>Bhavesh Wadhwani</t>
  </si>
  <si>
    <t>bhavesh.wadhwani@hotmail.com</t>
  </si>
  <si>
    <t>Mary Ceci</t>
  </si>
  <si>
    <t>ceci.mary@gmail.com</t>
  </si>
  <si>
    <t>Samsitha</t>
  </si>
  <si>
    <t>samsitha2014@gmail.com</t>
  </si>
  <si>
    <t>Kiran Patel</t>
  </si>
  <si>
    <t>kirankutch@gmail.com</t>
  </si>
  <si>
    <t>27-28 March 2021</t>
  </si>
  <si>
    <t>Sagar Sahasrabuddhe</t>
  </si>
  <si>
    <t>sagar.sahasrabuddhe@gmail.com</t>
  </si>
  <si>
    <t>Binoj Varghese</t>
  </si>
  <si>
    <t>binoj_varghese@ymail.com</t>
  </si>
  <si>
    <t>Kaushal Bhatt</t>
  </si>
  <si>
    <t>kaushal.bhatt@bt.com</t>
  </si>
  <si>
    <t>1-2 March 2021</t>
  </si>
  <si>
    <t>Prem Raj</t>
  </si>
  <si>
    <t>premsmailbox@yahoo.com</t>
  </si>
  <si>
    <t>Balaji Gopal</t>
  </si>
  <si>
    <t>balaji_gopal@yahoo.com</t>
  </si>
  <si>
    <t>refer and earn</t>
  </si>
  <si>
    <t>Kruthika</t>
  </si>
  <si>
    <t>er.kruthikan@gmail.com</t>
  </si>
  <si>
    <t>Sripriya</t>
  </si>
  <si>
    <t>sripriya15@gmail.com</t>
  </si>
  <si>
    <t>13-14 March 2021</t>
  </si>
  <si>
    <t>Arjun Gupta</t>
  </si>
  <si>
    <t>arjunmpgupta@gmail.com</t>
  </si>
  <si>
    <t>Shivam Nandi</t>
  </si>
  <si>
    <t>shivam.nandi15@nmims.edu.in</t>
  </si>
  <si>
    <t>Santosh More</t>
  </si>
  <si>
    <t>santoshnmore@gmail.com</t>
  </si>
  <si>
    <t>Reference by Jagdish Suryawanshi</t>
  </si>
  <si>
    <t>Nivedita G</t>
  </si>
  <si>
    <t>nivedita_g1006@yahoo.co.in</t>
  </si>
  <si>
    <t>Bishakha</t>
  </si>
  <si>
    <t>bishakhacool@gmail.com</t>
  </si>
  <si>
    <t>Kanika</t>
  </si>
  <si>
    <t>kanikagugnani01@gmail.com</t>
  </si>
  <si>
    <t>Appu Sindhe</t>
  </si>
  <si>
    <t>appu.sindhe@gmail.com</t>
  </si>
  <si>
    <t>Reference by Preeti Poojari</t>
  </si>
  <si>
    <t>Shrikant Zawar</t>
  </si>
  <si>
    <t>shrikant.zawar@cognizant.com</t>
  </si>
  <si>
    <t>Done. Avg. feedback.</t>
  </si>
  <si>
    <t>Shweta Ramesh</t>
  </si>
  <si>
    <t>Bundle Agenda</t>
  </si>
  <si>
    <t>Amber Nagpal</t>
  </si>
  <si>
    <t/>
  </si>
  <si>
    <t>20-21 March 2021</t>
  </si>
  <si>
    <t>Sakshi Gupta</t>
  </si>
  <si>
    <t>sakshi27gupta@gmail.com</t>
  </si>
  <si>
    <t>8-9 May 2021</t>
  </si>
  <si>
    <t>Sreejay K M</t>
  </si>
  <si>
    <t>s.kadampatta-mana@shell.com</t>
  </si>
  <si>
    <t>Onkar Nath</t>
  </si>
  <si>
    <t>onkar13890@gmail.com</t>
  </si>
  <si>
    <t>auto repeat lead</t>
  </si>
  <si>
    <t>Selenium 3.0</t>
  </si>
  <si>
    <t>Hitesh Mehra</t>
  </si>
  <si>
    <t>hiteshmehra.81.hm@gmail.com</t>
  </si>
  <si>
    <t>Koventhan</t>
  </si>
  <si>
    <t>koventhan123@gmail.com</t>
  </si>
  <si>
    <t>Anupama Ganga</t>
  </si>
  <si>
    <t>anupama.ganga@bt.com</t>
  </si>
  <si>
    <t>Reference by Kaushal Bhatt</t>
  </si>
  <si>
    <t>Ashish Sharma</t>
  </si>
  <si>
    <t>ashish.sharma2@gmail.com</t>
  </si>
  <si>
    <t>Chaitanya Vijay</t>
  </si>
  <si>
    <t>chaithanya_vijay@outlook.com</t>
  </si>
  <si>
    <t>Naveen Kumar</t>
  </si>
  <si>
    <t>navkum678@gmail.com</t>
  </si>
  <si>
    <t>Arghya</t>
  </si>
  <si>
    <t>arghyahere@gmail.com</t>
  </si>
  <si>
    <t>Athanu</t>
  </si>
  <si>
    <t>coolatanu2000@gmail.com</t>
  </si>
  <si>
    <t>Anuj</t>
  </si>
  <si>
    <t>anuj24delhi@gmail.com</t>
  </si>
  <si>
    <t>Alokendu Choudury</t>
  </si>
  <si>
    <t>alokendu.choudhury@gmail.com</t>
  </si>
  <si>
    <t>Mamatha</t>
  </si>
  <si>
    <t>mamathae18@gmail.com</t>
  </si>
  <si>
    <t>Nitin Chopra</t>
  </si>
  <si>
    <t>nitin.chopra1980@gmail.com</t>
  </si>
  <si>
    <t>Intro to Cyber Security</t>
  </si>
  <si>
    <t>Ashutosh</t>
  </si>
  <si>
    <t>letusashutosh@gmail.com</t>
  </si>
  <si>
    <t>Sundar Raman</t>
  </si>
  <si>
    <t>sundarraman2k@yahoo.co.in</t>
  </si>
  <si>
    <t>rajkumar_nov16@rediff.com</t>
  </si>
  <si>
    <t>Priyanka Kaushik</t>
  </si>
  <si>
    <t>priyankaushik25@gmail.com</t>
  </si>
  <si>
    <t>ITIL 4</t>
  </si>
  <si>
    <t>Priyanka Prabhu</t>
  </si>
  <si>
    <t>priyankaprabhu.p4@gmail.com</t>
  </si>
  <si>
    <t>Shivani Sethi</t>
  </si>
  <si>
    <t>shivanisethi2003@gmail.com</t>
  </si>
  <si>
    <t>Praveen Prabhakar</t>
  </si>
  <si>
    <t>praveenprabhakar85@gmail.com</t>
  </si>
  <si>
    <t>Soumya Chakraborty</t>
  </si>
  <si>
    <t>soumyamig21@gmail.com</t>
  </si>
  <si>
    <t>Nikhil</t>
  </si>
  <si>
    <t>unikhil@hotmail.com</t>
  </si>
  <si>
    <t>Sananda Chakraborty</t>
  </si>
  <si>
    <t>sananda18@gmail.com</t>
  </si>
  <si>
    <t>Kiran Chowdhary</t>
  </si>
  <si>
    <t>kiranchowdary1981@gmail.com</t>
  </si>
  <si>
    <t>Sujith</t>
  </si>
  <si>
    <t>sujith.hp@gmail.com</t>
  </si>
  <si>
    <t>Abhijeet Phatak</t>
  </si>
  <si>
    <t>phatakabhijeet@yahoo.com</t>
  </si>
  <si>
    <t>CISSP</t>
  </si>
  <si>
    <t>Gayathri</t>
  </si>
  <si>
    <t>g3jayakumar@gmail.com</t>
  </si>
  <si>
    <t>AWS Solutions Architect</t>
  </si>
  <si>
    <t>Shweta Patekar</t>
  </si>
  <si>
    <t>shwepatekar@gmail.com</t>
  </si>
  <si>
    <t>Sareishan</t>
  </si>
  <si>
    <t>pansareishan09@gmail.com</t>
  </si>
  <si>
    <t>Reference by Shweta Patekar shwepatekar@gmail.com</t>
  </si>
  <si>
    <t>Anup Mankar</t>
  </si>
  <si>
    <t>anuphmankar@gmail.com</t>
  </si>
  <si>
    <t>Reference by Rajesh Kori</t>
  </si>
  <si>
    <t>Arunima</t>
  </si>
  <si>
    <t>c.arunima.13@gmail.com</t>
  </si>
  <si>
    <t>Manik Mittal</t>
  </si>
  <si>
    <t>manikmittal85@gmail.com</t>
  </si>
  <si>
    <t>Laxmikant Ajgaonkar</t>
  </si>
  <si>
    <t>laxmikant_ajg@yahoo.com</t>
  </si>
  <si>
    <t>Preeti Poojari</t>
  </si>
  <si>
    <t>preetilpoojari@gmail.com</t>
  </si>
  <si>
    <t>10-11 April 2021</t>
  </si>
  <si>
    <t>Reference by Gaganpreet</t>
  </si>
  <si>
    <t>Sudipti Gupta</t>
  </si>
  <si>
    <t>gupta.sudipti@gmail.com</t>
  </si>
  <si>
    <t>Reference by Garima Gupta</t>
  </si>
  <si>
    <t>Done. Decent feedback.</t>
  </si>
  <si>
    <t>Bala</t>
  </si>
  <si>
    <t>bala.mymailbox@gmail.com</t>
  </si>
  <si>
    <t>Azure Cloud Architect</t>
  </si>
  <si>
    <t>Amrita Soni</t>
  </si>
  <si>
    <t>amritasoni27@gmail.com</t>
  </si>
  <si>
    <t>Divya K</t>
  </si>
  <si>
    <t>cool.div@gmail.com</t>
  </si>
  <si>
    <t>Shailesh Kendre</t>
  </si>
  <si>
    <t>shailesh.kendre19@gmail.com</t>
  </si>
  <si>
    <t>Anowarus Salam</t>
  </si>
  <si>
    <t>anowarus.salam@gmail.com</t>
  </si>
  <si>
    <t>Sonima</t>
  </si>
  <si>
    <t>sonimanambiar@gmail.com</t>
  </si>
  <si>
    <t>Reference by Hariharan</t>
  </si>
  <si>
    <t>Hariharan</t>
  </si>
  <si>
    <t>hariharanswamy@gmail.com</t>
  </si>
  <si>
    <t>Smita</t>
  </si>
  <si>
    <t>smita.career01@gmail.com</t>
  </si>
  <si>
    <t>Reference by Keerti Naik</t>
  </si>
  <si>
    <t>Jyoti Sonal</t>
  </si>
  <si>
    <t>sonaljyoti12@gmail.com</t>
  </si>
  <si>
    <t>Reference by Praveen SAFe</t>
  </si>
  <si>
    <t>Kaushik</t>
  </si>
  <si>
    <t>hatial.kaushik@gmail.com</t>
  </si>
  <si>
    <t>Ashish Agarwal</t>
  </si>
  <si>
    <t>ashishsagarwal17@gmail.com</t>
  </si>
  <si>
    <t>Nehal Barot</t>
  </si>
  <si>
    <t>nehalbarot10@gmail.com</t>
  </si>
  <si>
    <t>24-25 July 2021</t>
  </si>
  <si>
    <t>Priti Pawar</t>
  </si>
  <si>
    <t>pritipawar4987@gmail.com</t>
  </si>
  <si>
    <t>Gaurav Karhadkar</t>
  </si>
  <si>
    <t>gauravkarhadkar@gmail.com</t>
  </si>
  <si>
    <t>18-19 March 2021</t>
  </si>
  <si>
    <t>Chirag Kumar</t>
  </si>
  <si>
    <t>chiragkumar_barot@yahoo.com</t>
  </si>
  <si>
    <t>Reference by Nehal Barot</t>
  </si>
  <si>
    <t>Debarshi Roy</t>
  </si>
  <si>
    <t>debarshi_roy@hotmail.com</t>
  </si>
  <si>
    <t>Divya prakash</t>
  </si>
  <si>
    <t>divya75m@yahoo.com</t>
  </si>
  <si>
    <t>Arun Kumar</t>
  </si>
  <si>
    <t>ak.arunkumar2450@gmail.com</t>
  </si>
  <si>
    <t>Suman Mishra</t>
  </si>
  <si>
    <t>sumanmishra1@yahoo.com</t>
  </si>
  <si>
    <t>Priyesh</t>
  </si>
  <si>
    <t>ki.priyesh@gmail.com</t>
  </si>
  <si>
    <t>PMP Renewal Pack</t>
  </si>
  <si>
    <t>Deepthi Narayankutty</t>
  </si>
  <si>
    <t>deepthi.narayanankutty@gmail.com</t>
  </si>
  <si>
    <t>W5</t>
  </si>
  <si>
    <t>Rashmi Shrivastava</t>
  </si>
  <si>
    <t>rashmi.shrivastava16@gmail.com</t>
  </si>
  <si>
    <t>3-4 April 2021</t>
  </si>
  <si>
    <t>Shravya Rao</t>
  </si>
  <si>
    <t>shravyarao@gmail.com</t>
  </si>
  <si>
    <t>22-23 May 2021</t>
  </si>
  <si>
    <t>Neha Pathak</t>
  </si>
  <si>
    <t>pathakneha84@gmail.com</t>
  </si>
  <si>
    <t>Mohit Bhatla</t>
  </si>
  <si>
    <t>bhatlamohit@hotmail.com</t>
  </si>
  <si>
    <t>Sumit</t>
  </si>
  <si>
    <t>sumit162@gmail.com</t>
  </si>
  <si>
    <t>Ankur Jain</t>
  </si>
  <si>
    <t>ankur.jain83@gmail.com</t>
  </si>
  <si>
    <t>Reference by Keerit Naik</t>
  </si>
  <si>
    <t>ksureshnair@outlook.com</t>
  </si>
  <si>
    <t>Pramod Kumar</t>
  </si>
  <si>
    <t>pra.kumar@hotmail.com</t>
  </si>
  <si>
    <t>Vineet Dalal</t>
  </si>
  <si>
    <t>vineetdalal@hotmail.com</t>
  </si>
  <si>
    <t>Kapil Vermani</t>
  </si>
  <si>
    <t>vermanikapil@gmail.com</t>
  </si>
  <si>
    <t>Vivek</t>
  </si>
  <si>
    <t>victoriousvivek@yahoo.com</t>
  </si>
  <si>
    <t>Done. Godd feedback.</t>
  </si>
  <si>
    <t>Thulasi A</t>
  </si>
  <si>
    <t>thulasi.accot@gmail.com</t>
  </si>
  <si>
    <t>Reference by Priyesh</t>
  </si>
  <si>
    <t>Sumit Ghose</t>
  </si>
  <si>
    <t>ghosesumit@gmail.com</t>
  </si>
  <si>
    <t>email.ritesh25@gmail.com</t>
  </si>
  <si>
    <t>morvekar.ritesh@gmail.com</t>
  </si>
  <si>
    <t>Beulah G Joseph</t>
  </si>
  <si>
    <t>gjbeulah@gmail.com</t>
  </si>
  <si>
    <t>Anil S</t>
  </si>
  <si>
    <t>anils70@gmail.com</t>
  </si>
  <si>
    <t>Anshika Aggarwal</t>
  </si>
  <si>
    <t>anshika.aggarwal9@gmail.com</t>
  </si>
  <si>
    <t>Subramanian Iyer</t>
  </si>
  <si>
    <t>skiyer@outlook.com</t>
  </si>
  <si>
    <t>Griffin A</t>
  </si>
  <si>
    <t>griffinalexuis@gmail.com</t>
  </si>
  <si>
    <t>Rinali</t>
  </si>
  <si>
    <t>deshmukhrinali@gmail.com</t>
  </si>
  <si>
    <t>Reference by Rashmi Lokhande</t>
  </si>
  <si>
    <t>Vivek Ananth</t>
  </si>
  <si>
    <t>vivekananth@gmail.com</t>
  </si>
  <si>
    <t>Reference by Griffin</t>
  </si>
  <si>
    <t>Reference by Griffin - fpt-paper</t>
  </si>
  <si>
    <t>Karthik</t>
  </si>
  <si>
    <t>kartik3188@gmail.com</t>
  </si>
  <si>
    <t>15-16 April 2021</t>
  </si>
  <si>
    <t>Rajat Nagil</t>
  </si>
  <si>
    <t>rajat.nagil97@gmail.com</t>
  </si>
  <si>
    <t>Ravi Dutt</t>
  </si>
  <si>
    <t>ravi.dutt85@gmail.com</t>
  </si>
  <si>
    <t>Rajan Sarang</t>
  </si>
  <si>
    <t>rajansarangi@gmail.com</t>
  </si>
  <si>
    <t>24-25 April 2021</t>
  </si>
  <si>
    <t>Preeti Kamble</t>
  </si>
  <si>
    <t>preetikamble13@gmail.com</t>
  </si>
  <si>
    <t>Sapna Acharya</t>
  </si>
  <si>
    <t>mail4sap13@gmail.com</t>
  </si>
  <si>
    <t>Rittu</t>
  </si>
  <si>
    <t>rittumerin@gmail.com</t>
  </si>
  <si>
    <t>Lean Six Sigma Black Belt</t>
  </si>
  <si>
    <t>Hemaxi Shakkarpude</t>
  </si>
  <si>
    <t>himaxi.shakkarpude94@gmail.com</t>
  </si>
  <si>
    <t>Subho Bose</t>
  </si>
  <si>
    <t>boon0077@gmail.com</t>
  </si>
  <si>
    <t>Shivangi Shailesh</t>
  </si>
  <si>
    <t>shivangishailesh14@gmail.com</t>
  </si>
  <si>
    <t>Prashanth</t>
  </si>
  <si>
    <t>prashanth398@gmail.com</t>
  </si>
  <si>
    <t>Jemima Felix</t>
  </si>
  <si>
    <t>jemimarajkumar@gmail.com</t>
  </si>
  <si>
    <t>Debosmita Sarkar</t>
  </si>
  <si>
    <t>debosmitasarkar18@gmail.com</t>
  </si>
  <si>
    <t>Reference by Prashanth - prashanth398@gmail.com</t>
  </si>
  <si>
    <t>Pooja Sharma</t>
  </si>
  <si>
    <t>pooja.sharma18n@gmail.com</t>
  </si>
  <si>
    <t>Saroj Kumar</t>
  </si>
  <si>
    <t>sarojkumarjd@gmail.com</t>
  </si>
  <si>
    <t>Komal Tushar Nikam</t>
  </si>
  <si>
    <t>komalthorat1811@gmail.com</t>
  </si>
  <si>
    <t>19-20 June 2021</t>
  </si>
  <si>
    <t>Rohit Gangwani</t>
  </si>
  <si>
    <t>rgangwani881@gmail.com</t>
  </si>
  <si>
    <t>1-2 May 2021</t>
  </si>
  <si>
    <t>Raghav M</t>
  </si>
  <si>
    <t>raghumulmule@gmail.com</t>
  </si>
  <si>
    <t>Satyajeet Aparadh</t>
  </si>
  <si>
    <t>satyajeet.aparadh@gmail.com</t>
  </si>
  <si>
    <t>Reference by Raghav raghumulmule@gmail.com</t>
  </si>
  <si>
    <t>Anadi Mishra</t>
  </si>
  <si>
    <t>anadimishra03@gmail.com</t>
  </si>
  <si>
    <t>Kalyani Poharkar</t>
  </si>
  <si>
    <t>kalyani.poharkar0@gmail.com</t>
  </si>
  <si>
    <t>Chaitanya</t>
  </si>
  <si>
    <t>c.nevhal@gmail.com</t>
  </si>
  <si>
    <t>Reference by Kalyani</t>
  </si>
  <si>
    <t>Prince2 Practitioner</t>
  </si>
  <si>
    <t>Vaibhav Mahajan</t>
  </si>
  <si>
    <t>vaibhavmahajan0303@gmail.com</t>
  </si>
  <si>
    <t>Ameya</t>
  </si>
  <si>
    <t>apteameya@gmail.com</t>
  </si>
  <si>
    <t>Ram Mohan</t>
  </si>
  <si>
    <t>ramamohan.m@gmail.com</t>
  </si>
  <si>
    <t>Reference by Saroj Kumar - sarojkumarjd@gmail.com</t>
  </si>
  <si>
    <t>Manjusha Gathey</t>
  </si>
  <si>
    <t>manjusha.gathey@gmail.com</t>
  </si>
  <si>
    <t>Richa Sharma</t>
  </si>
  <si>
    <t>Data Analyst Masters</t>
  </si>
  <si>
    <t>Reference by ashish.sharma2@gmail.com</t>
  </si>
  <si>
    <t>Shobana Ajay</t>
  </si>
  <si>
    <t>shobanaajay@gmail.com</t>
  </si>
  <si>
    <t>Jaya Chandra</t>
  </si>
  <si>
    <t>jayachandra79@gmail.com</t>
  </si>
  <si>
    <t>Fernandes</t>
  </si>
  <si>
    <t>fernandesjojy@gmail.com</t>
  </si>
  <si>
    <t>29-30 May 2021</t>
  </si>
  <si>
    <t>Thomas George</t>
  </si>
  <si>
    <t>thomastomgeorge@gmail.com</t>
  </si>
  <si>
    <t>Reference by Fernandes</t>
  </si>
  <si>
    <t>Franklin Serrao</t>
  </si>
  <si>
    <t>fserrao29@gmail.com</t>
  </si>
  <si>
    <t>Sneha Jyothi Prakash</t>
  </si>
  <si>
    <t>sneghu@gmail.com</t>
  </si>
  <si>
    <t>Anil Konda</t>
  </si>
  <si>
    <t>anil.konda17@gmail.com</t>
  </si>
  <si>
    <t>26-27 June 2021</t>
  </si>
  <si>
    <t>Shefali Nigam</t>
  </si>
  <si>
    <t>shefali.nigam7@gmail.com</t>
  </si>
  <si>
    <t>Prabhu Sh</t>
  </si>
  <si>
    <t>prabhu.sh@gmail.com</t>
  </si>
  <si>
    <t>Namrata Yadav</t>
  </si>
  <si>
    <t>namratayadav6292@gmail.com</t>
  </si>
  <si>
    <t>Prasanna MS</t>
  </si>
  <si>
    <t>napra1987@yahoo.com</t>
  </si>
  <si>
    <t>madhubagur@gmail.com</t>
  </si>
  <si>
    <t>Sampada Bhoj</t>
  </si>
  <si>
    <t>sampada.bhoj@gmail.com</t>
  </si>
  <si>
    <t>Reference by Nikhil Oswal - nikhil.oswal87@gmail.com</t>
  </si>
  <si>
    <t>Hima J</t>
  </si>
  <si>
    <t>himajadave@gmail.com</t>
  </si>
  <si>
    <t>Madhu Bagur</t>
  </si>
  <si>
    <t>PGP Cloud</t>
  </si>
  <si>
    <t>Hema KN</t>
  </si>
  <si>
    <t>knhema81@gmail.com</t>
  </si>
  <si>
    <t>Viji V</t>
  </si>
  <si>
    <t>viji0201@gmail.com</t>
  </si>
  <si>
    <t>17-18 May 2021</t>
  </si>
  <si>
    <t>Ravi V R</t>
  </si>
  <si>
    <t>ravivr123@gmail.com</t>
  </si>
  <si>
    <t>12-13 June 2021</t>
  </si>
  <si>
    <t>Rahul Verma</t>
  </si>
  <si>
    <t>enggrahulverma@gmail.com</t>
  </si>
  <si>
    <t>Wasimulla Khan</t>
  </si>
  <si>
    <t>wasimulla.khan@capgemini.com</t>
  </si>
  <si>
    <t>Reference by Shivam Nandi - shivam.nandi15@nmims.edu.in</t>
  </si>
  <si>
    <t xml:space="preserve">Done. </t>
  </si>
  <si>
    <t>Raghavendra</t>
  </si>
  <si>
    <t>rshalva81@gmail.com</t>
  </si>
  <si>
    <t>Lisna</t>
  </si>
  <si>
    <t>lisnasalih@gmail.com</t>
  </si>
  <si>
    <t>5-6 June 2021</t>
  </si>
  <si>
    <t>Aurko Bhattacharjee</t>
  </si>
  <si>
    <t>bhattacharya.aurko@gmail.com</t>
  </si>
  <si>
    <t>Reference by Kritika - kritikatalwar92@gmail.com</t>
  </si>
  <si>
    <t>Hima Bindu</t>
  </si>
  <si>
    <t>tenneti.himabindu@gmail.com</t>
  </si>
  <si>
    <t>Girija Lakhsmi</t>
  </si>
  <si>
    <t>girijalakshmi.r@gmail.com</t>
  </si>
  <si>
    <t>Vaishnavi</t>
  </si>
  <si>
    <t>vaishu2006@gmail.com/ vaishu_cool_17@yahoo.co.in</t>
  </si>
  <si>
    <t>Reference by Lakshmi</t>
  </si>
  <si>
    <t>Chittaranjan Das</t>
  </si>
  <si>
    <t>chitta.ganesh@gmail.com</t>
  </si>
  <si>
    <t>Reference by Keerti</t>
  </si>
  <si>
    <t>Krunal Bhavsar</t>
  </si>
  <si>
    <t>krunalbhavsar@engineer.com</t>
  </si>
  <si>
    <t>AZ-303 &amp; 304</t>
  </si>
  <si>
    <t>Conner Pearce</t>
  </si>
  <si>
    <t>conner.pearce@gauri.com</t>
  </si>
  <si>
    <t>Reference by Hitesh - hiteshmehra.81.hm@gmail.com</t>
  </si>
  <si>
    <t>Sandeep Samal</t>
  </si>
  <si>
    <t>sandeep.samal@outlook.com</t>
  </si>
  <si>
    <t>Ronak</t>
  </si>
  <si>
    <t>ronak.nadkarni@gmail.com</t>
  </si>
  <si>
    <t>Lipishree</t>
  </si>
  <si>
    <t>lipishree.jena@gmail.com</t>
  </si>
  <si>
    <t>Vinay</t>
  </si>
  <si>
    <t>eddievinay@gmail.com</t>
  </si>
  <si>
    <t>Leena Kamat</t>
  </si>
  <si>
    <t>leenaambedkar@gmail.com</t>
  </si>
  <si>
    <t>Amit Nasta</t>
  </si>
  <si>
    <t>amitvnasta@gmail.com</t>
  </si>
  <si>
    <t>Aditi Jain</t>
  </si>
  <si>
    <t>adi200804@gmail.com</t>
  </si>
  <si>
    <t>Lakshmi Jain</t>
  </si>
  <si>
    <t>lakshmijain.lj@gmail.com</t>
  </si>
  <si>
    <t>Senthil Kumar VG</t>
  </si>
  <si>
    <t>senthilkumarvg@gmail.com</t>
  </si>
  <si>
    <t>Sarayu CV</t>
  </si>
  <si>
    <t>sarayu.cv@gmail.com</t>
  </si>
  <si>
    <t>Prince2 F&amp;P</t>
  </si>
  <si>
    <t>Keerti</t>
  </si>
  <si>
    <t>Manish JC</t>
  </si>
  <si>
    <t>manishjc@gmail.com</t>
  </si>
  <si>
    <t>Manish Singh</t>
  </si>
  <si>
    <t>manish.singh@itm.edu</t>
  </si>
  <si>
    <t>Roshini Joy</t>
  </si>
  <si>
    <t>roshinijoy@gmail.com</t>
  </si>
  <si>
    <t>Preetha</t>
  </si>
  <si>
    <t>preetha2803@gmail.com</t>
  </si>
  <si>
    <t>Ravi Veshala</t>
  </si>
  <si>
    <t>veshalaravi@gmail.com</t>
  </si>
  <si>
    <t>Guru Rajesh Naidu</t>
  </si>
  <si>
    <t>rajeshnaidu9951@gmail.com</t>
  </si>
  <si>
    <t>refer&amp;earn</t>
  </si>
  <si>
    <t>Johndeere</t>
  </si>
  <si>
    <t>dasaresantoshm@johndeere.com</t>
  </si>
  <si>
    <t>No contact</t>
  </si>
  <si>
    <t>B2B2C</t>
  </si>
  <si>
    <t>Bindhu Madhava</t>
  </si>
  <si>
    <t>s.b.madhava@gmail.com</t>
  </si>
  <si>
    <t>Madhumitha</t>
  </si>
  <si>
    <t>madhumithagg@gmail.com</t>
  </si>
  <si>
    <t>shsukanyaa@gmail.com</t>
  </si>
  <si>
    <t>Raheem Ullah</t>
  </si>
  <si>
    <t>raheem.ullah100@gmail.com</t>
  </si>
  <si>
    <t>Divyanshu Rohatgi</t>
  </si>
  <si>
    <t>divyanshurohatgi@gmail.com</t>
  </si>
  <si>
    <t>Abhilash Mangatt</t>
  </si>
  <si>
    <t>abhilash.mangatt@gmail.com</t>
  </si>
  <si>
    <t>Ashish Awandkar</t>
  </si>
  <si>
    <t>ashishawandkar@gmail.com</t>
  </si>
  <si>
    <t>Mitesh Solanki</t>
  </si>
  <si>
    <t>ma.solanki@yahoo.com</t>
  </si>
  <si>
    <t>Ankit Gupta</t>
  </si>
  <si>
    <t>ankitguptatester@gmail.com</t>
  </si>
  <si>
    <t>Chandrika Pulivarthi</t>
  </si>
  <si>
    <t>chandrikapulivarthi@gmail.com</t>
  </si>
  <si>
    <t>Pavithra Balaji</t>
  </si>
  <si>
    <t>pavithrabalaji0@gmail.com</t>
  </si>
  <si>
    <t>DevOps Engineer Masters</t>
  </si>
  <si>
    <t>Sarosh Husain</t>
  </si>
  <si>
    <t>saroshhusain24@gmail.com</t>
  </si>
  <si>
    <t>Rashmi Nair</t>
  </si>
  <si>
    <t>nair3.rashmi@gmail.com</t>
  </si>
  <si>
    <t>Snehal Bothare</t>
  </si>
  <si>
    <t>snehal.bothare@gmail.com</t>
  </si>
  <si>
    <t>Reference by Rashmi Nair</t>
  </si>
  <si>
    <t>Blessin</t>
  </si>
  <si>
    <t>contact.blessin@gmail.com</t>
  </si>
  <si>
    <t>Nidhi Walia</t>
  </si>
  <si>
    <t>nidhi.walia234@gmail.com</t>
  </si>
  <si>
    <t>Lingaraj</t>
  </si>
  <si>
    <t>ghanasyam15@yahoo.com</t>
  </si>
  <si>
    <t>Divya Jyoti</t>
  </si>
  <si>
    <t>divyajyoti25@gmail.com</t>
  </si>
  <si>
    <t>8-9 July 2021</t>
  </si>
  <si>
    <t>Reference by Arunima</t>
  </si>
  <si>
    <t>Sanchali</t>
  </si>
  <si>
    <t>sanchali210789@gmail.com</t>
  </si>
  <si>
    <t>Abhishek Goel</t>
  </si>
  <si>
    <t>abhi449@gmail.com</t>
  </si>
  <si>
    <t>Mujahid</t>
  </si>
  <si>
    <t>mujahid.2007@gmail.com</t>
  </si>
  <si>
    <t>Shephali Mishra</t>
  </si>
  <si>
    <t>shephali.opr@outlook.com</t>
  </si>
  <si>
    <t>Narasimha</t>
  </si>
  <si>
    <t>narasimhak021@gmail.com</t>
  </si>
  <si>
    <t>10-11 July 2021</t>
  </si>
  <si>
    <t/>
  </si>
  <si>
    <t>Arjun Madhusudan</t>
  </si>
  <si>
    <t>arjun.madhusudan88@gmail.com</t>
  </si>
  <si>
    <t>3-4 July 2021</t>
  </si>
  <si>
    <t>Pradipta</t>
  </si>
  <si>
    <t>pradipta.biswal@gmail.com</t>
  </si>
  <si>
    <t>Manisha Bist</t>
  </si>
  <si>
    <t>manishabist01@gmail.com</t>
  </si>
  <si>
    <t>23-24 June 2021</t>
  </si>
  <si>
    <t>Saurav Chutani</t>
  </si>
  <si>
    <t>sauravchutani@yahoo.com</t>
  </si>
  <si>
    <t>Swapnil Barhate</t>
  </si>
  <si>
    <t>swapnil.barhate@hotmail.com</t>
  </si>
  <si>
    <t>Prince 2 F&amp;P</t>
  </si>
  <si>
    <t>Savitha</t>
  </si>
  <si>
    <t>savithareddy_r@yahoo.co.in</t>
  </si>
  <si>
    <t>2-4 July 2021</t>
  </si>
  <si>
    <t xml:space="preserve">Amit </t>
  </si>
  <si>
    <t>innovative.amit87@gmail.com</t>
  </si>
  <si>
    <t>Dhruv Naik</t>
  </si>
  <si>
    <t>dhruvnaik2341@gmail.com</t>
  </si>
  <si>
    <t>25-26 June 2021</t>
  </si>
  <si>
    <t>Ganga</t>
  </si>
  <si>
    <t/>
  </si>
  <si>
    <t>Riju Bejoy</t>
  </si>
  <si>
    <t>bejoyriju2003@gmail.com</t>
  </si>
  <si>
    <t>Ankita Gupta</t>
  </si>
  <si>
    <t>ankita.gupta9992@gmail.com</t>
  </si>
  <si>
    <t>17-18 July 2021</t>
  </si>
  <si>
    <t>Deepak</t>
  </si>
  <si>
    <t>hansdeepak@gmail.com</t>
  </si>
  <si>
    <t>Rabik</t>
  </si>
  <si>
    <t>srabik83@gmail.com</t>
  </si>
  <si>
    <t>Jyoti Kumari</t>
  </si>
  <si>
    <t>jyotskumari@gmail.com</t>
  </si>
  <si>
    <t>Taruna Arora</t>
  </si>
  <si>
    <t>arorataruna9@gmail.com</t>
  </si>
  <si>
    <t>Chetan</t>
  </si>
  <si>
    <t>Mohit Grover</t>
  </si>
  <si>
    <t>mohitgrover.2795@gmail.com</t>
  </si>
  <si>
    <t>31-1 July/Aug 2021</t>
  </si>
  <si>
    <t>Brijesh</t>
  </si>
  <si>
    <t>brijtz@gmail.com</t>
  </si>
  <si>
    <t>Priyanka Bakshi</t>
  </si>
  <si>
    <t>priyankabakshi812@gmail.com</t>
  </si>
  <si>
    <t>Dheepanah</t>
  </si>
  <si>
    <t>dheepanah@gmail.com</t>
  </si>
  <si>
    <t>Satya Prakash</t>
  </si>
  <si>
    <t>satyaprakashchoudhury@gmail.com</t>
  </si>
  <si>
    <t>Harsha Heda</t>
  </si>
  <si>
    <t>harshaheda@gmail.com</t>
  </si>
  <si>
    <t>Mallika</t>
  </si>
  <si>
    <t>malli.vnkt@gmail.com</t>
  </si>
  <si>
    <t>Abhilash Thottathil</t>
  </si>
  <si>
    <t>abhilash.thottathil@gmail.com</t>
  </si>
  <si>
    <t>Tulika Mitra</t>
  </si>
  <si>
    <t>tulikamtr18@gmail.com</t>
  </si>
  <si>
    <t>Rahul Jha</t>
  </si>
  <si>
    <t>r1234_jha@yahoo.co.in</t>
  </si>
  <si>
    <t>Kishore Kenguva</t>
  </si>
  <si>
    <t>kkenguva@gmail.com</t>
  </si>
  <si>
    <t>Dilsha Raj</t>
  </si>
  <si>
    <t>dilsharaj13@gmail.com</t>
  </si>
  <si>
    <t>krishna16990@gmail.com</t>
  </si>
  <si>
    <t>7-8 Aug 2021</t>
  </si>
  <si>
    <t>Nirlipta Dash</t>
  </si>
  <si>
    <t>nirlipta.dash@gmail.com</t>
  </si>
  <si>
    <t>SMPL_4CRIP6ZK7OT</t>
  </si>
  <si>
    <t>Rashmi</t>
  </si>
  <si>
    <t>rashmint1991.rash@gmail.com</t>
  </si>
  <si>
    <t>Dhaneesh</t>
  </si>
  <si>
    <t>dhaneesh86@gmail.com</t>
  </si>
  <si>
    <t>Done. Ok feedback.</t>
  </si>
  <si>
    <t>gsrchaithu@gmail.com</t>
  </si>
  <si>
    <t>Gaurav Kawatra</t>
  </si>
  <si>
    <t>gaurav.kawatra.mba@gmail.com</t>
  </si>
  <si>
    <t>Shailaja P</t>
  </si>
  <si>
    <t>pshailaja5@gmail.com</t>
  </si>
  <si>
    <t>Neetu Gaur</t>
  </si>
  <si>
    <t>neetugaur.ac@gmail.com</t>
  </si>
  <si>
    <t>Bijay Kumar</t>
  </si>
  <si>
    <t>bijay.tripathy06@gmail.com</t>
  </si>
  <si>
    <t>28-29 Aug 2021</t>
  </si>
  <si>
    <t>Reference by Nirlipta</t>
  </si>
  <si>
    <t>Shankar</t>
  </si>
  <si>
    <t>selvaraj.shankar@schneider-electric.com/ shankar.shankar17@gmail.com</t>
  </si>
  <si>
    <t>Reference by Rashmint</t>
  </si>
  <si>
    <t>Goutham Devaraj</t>
  </si>
  <si>
    <t/>
  </si>
  <si>
    <t>Aurko - Goutham itself - alternative email id scene</t>
  </si>
  <si>
    <t>Suganya Kailasam</t>
  </si>
  <si>
    <t>suganya.kailasam@gmail.com</t>
  </si>
  <si>
    <t>Vinod AK</t>
  </si>
  <si>
    <t>vinodak@gmail.com</t>
  </si>
  <si>
    <t>16-18 July 2021</t>
  </si>
  <si>
    <t>Satish</t>
  </si>
  <si>
    <t>sateesh.a4u@gmail.com</t>
  </si>
  <si>
    <t>Payel</t>
  </si>
  <si>
    <t>payelaich03@gmail.com</t>
  </si>
  <si>
    <t>Sarish Nair</t>
  </si>
  <si>
    <t>sarish.nair@gmail.com</t>
  </si>
  <si>
    <t>26-28 July 2021</t>
  </si>
  <si>
    <t>Snigdha Das</t>
  </si>
  <si>
    <t>snigdhadas8111@gmail.com</t>
  </si>
  <si>
    <t>Archana Kashyap</t>
  </si>
  <si>
    <t>arch.kashyap17@gmail.com</t>
  </si>
  <si>
    <t>Ritesh Singh</t>
  </si>
  <si>
    <t>Priyanshi</t>
  </si>
  <si>
    <t>priyanshi291@gmail.com</t>
  </si>
  <si>
    <t>pushpendra_singh@icloud.com</t>
  </si>
  <si>
    <t>Fahad</t>
  </si>
  <si>
    <t>mohamedfahadm@maveric-systems.com</t>
  </si>
  <si>
    <t>Done. Good Feedback.</t>
  </si>
  <si>
    <t>Jane Miriam</t>
  </si>
  <si>
    <t>janemiriamj@maveric-systems.com</t>
  </si>
  <si>
    <t>Javeed</t>
  </si>
  <si>
    <t>javeedahmedpj@gmail.com</t>
  </si>
  <si>
    <t>Haftaan</t>
  </si>
  <si>
    <t>haftaan12345@gmail.com</t>
  </si>
  <si>
    <t>CEH</t>
  </si>
  <si>
    <t>Anup Mitra</t>
  </si>
  <si>
    <t>anupnvmitra@gmail.com</t>
  </si>
  <si>
    <t>Prince2 Foundation</t>
  </si>
  <si>
    <t>Vani Vijay</t>
  </si>
  <si>
    <t>vanivijay44@yahoo.com</t>
  </si>
  <si>
    <t>Amarnath</t>
  </si>
  <si>
    <t>shivaamar.ar@gmail.com</t>
  </si>
  <si>
    <t>Reference by Prasanna</t>
  </si>
  <si>
    <t>Nishanth Ram</t>
  </si>
  <si>
    <t>nishanth.ram@gmail.com</t>
  </si>
  <si>
    <t>Swathy</t>
  </si>
  <si>
    <t>swathytvd@gmail.com</t>
  </si>
  <si>
    <t>Aurko</t>
  </si>
  <si>
    <t>Sabari</t>
  </si>
  <si>
    <t>mbsabari17@gmail.com</t>
  </si>
  <si>
    <t>Koushik</t>
  </si>
  <si>
    <t>koushik13107743@gmail.com</t>
  </si>
  <si>
    <t>Shikha Chauhan</t>
  </si>
  <si>
    <t>shikhachauhan536@gmail.com</t>
  </si>
  <si>
    <t>Ashish Rahu</t>
  </si>
  <si>
    <t>ashishkrsahu2014@gmail.com</t>
  </si>
  <si>
    <t>Varsha</t>
  </si>
  <si>
    <t>varshas0602@gmail.com</t>
  </si>
  <si>
    <t>Balaji Sugumar</t>
  </si>
  <si>
    <t>sugumarbalaji@yahoo.co.in</t>
  </si>
  <si>
    <t>Sonam Shukla</t>
  </si>
  <si>
    <t>shukla.sonam@gmail.com</t>
  </si>
  <si>
    <t>Arnab</t>
  </si>
  <si>
    <t>arnabsayshi@hotmail.com</t>
  </si>
  <si>
    <t>Lakshmi Priya</t>
  </si>
  <si>
    <t>priyaa82@yahoo.com</t>
  </si>
  <si>
    <t>PSPO 2</t>
  </si>
  <si>
    <t>Bijit</t>
  </si>
  <si>
    <t>ishaan009@gmail.com</t>
  </si>
  <si>
    <t>Malti Sharma</t>
  </si>
  <si>
    <t>malti.sharma012@gmail.com</t>
  </si>
  <si>
    <t>Nabajyoti Acharya</t>
  </si>
  <si>
    <t>nabajyoti.acharya@gmail.com</t>
  </si>
  <si>
    <t>Ravi Tripathi</t>
  </si>
  <si>
    <t>21ravitripathi@gmail.com</t>
  </si>
  <si>
    <t>Mamatha E</t>
  </si>
  <si>
    <t>Nimisha</t>
  </si>
  <si>
    <t>nimisha_sinha2001@yahoo.com</t>
  </si>
  <si>
    <t>Sourabh Udapure</t>
  </si>
  <si>
    <t>sourabh.udapure@gmail.com</t>
  </si>
  <si>
    <t>Niraj Singh</t>
  </si>
  <si>
    <t>sinhavicky8@gmail.com</t>
  </si>
  <si>
    <t>Sumithra Devaraj</t>
  </si>
  <si>
    <t>devaraj.sumithra@gmail.com</t>
  </si>
  <si>
    <t>27-29 Aug 2021</t>
  </si>
  <si>
    <t>Sushil Pathak</t>
  </si>
  <si>
    <t>sushil.pathak@gmail.com</t>
  </si>
  <si>
    <t>Dhanya</t>
  </si>
  <si>
    <t>sdhanya21@gmail.com</t>
  </si>
  <si>
    <t>Rajasekar</t>
  </si>
  <si>
    <t>bs_rajasekar@yahoo.co.in</t>
  </si>
  <si>
    <t>Ashish</t>
  </si>
  <si>
    <t>a9953838914@gmail.com</t>
  </si>
  <si>
    <t>PSM 2</t>
  </si>
  <si>
    <t>Nagaraj Mamidi</t>
  </si>
  <si>
    <t>nagaraj.mamidi@gmail.com</t>
  </si>
  <si>
    <t>Reference by Devi Das</t>
  </si>
  <si>
    <t>jaianand30@gmail.com</t>
  </si>
  <si>
    <t>goutham.devaraj023@gmail.com</t>
  </si>
  <si>
    <t>Maha Fariz</t>
  </si>
  <si>
    <t>maha.fariz@bank-abc.com</t>
  </si>
  <si>
    <t>Sujit Chanak</t>
  </si>
  <si>
    <t>sujit.chanak@gmail.com</t>
  </si>
  <si>
    <t>Hemanth</t>
  </si>
  <si>
    <t>hemanthkumarg@maveric-systems.com</t>
  </si>
  <si>
    <t>Iliyas</t>
  </si>
  <si>
    <t>iliyaskalkan@gmail.com</t>
  </si>
  <si>
    <t>17-19 Sep 2021</t>
  </si>
  <si>
    <t>Swarupa</t>
  </si>
  <si>
    <t>swapsj@gmail.com</t>
  </si>
  <si>
    <t>Zoheb Momin</t>
  </si>
  <si>
    <t>zohebmomin@gmail.com</t>
  </si>
  <si>
    <t>Ashish Tripathi</t>
  </si>
  <si>
    <t>ashish.tripathi9@gmail.com</t>
  </si>
  <si>
    <t>ITIL</t>
  </si>
  <si>
    <t>Darsana</t>
  </si>
  <si>
    <t>darsanavenugopal.27@gmail.com</t>
  </si>
  <si>
    <t>25-26 Aug 2021</t>
  </si>
  <si>
    <t>Vijayashree</t>
  </si>
  <si>
    <t>vij609@yahoo.co.in</t>
  </si>
  <si>
    <t>Shyama Nair</t>
  </si>
  <si>
    <t>shaymasnair95@gmail.com</t>
  </si>
  <si>
    <t>Sampada Gaonkar</t>
  </si>
  <si>
    <t>gaonkarsampada8@gmail.com</t>
  </si>
  <si>
    <t>Sandhya</t>
  </si>
  <si>
    <t>sandhya.shines12@gmail.com</t>
  </si>
  <si>
    <t>Satiesh Gopalan</t>
  </si>
  <si>
    <t>ng.satiesh@yahoo.com</t>
  </si>
  <si>
    <t>Lakshmi Dangeti</t>
  </si>
  <si>
    <t>prasanna.dangeti@gmail.com</t>
  </si>
  <si>
    <t>4-6 Sep 2021</t>
  </si>
  <si>
    <t>SMPL_E153WXVXDX9</t>
  </si>
  <si>
    <t>SMPL_MIP1LL0IGF</t>
  </si>
  <si>
    <t>Aurko - Duplicate</t>
  </si>
  <si>
    <t>SMPL_25DJ382KFF1</t>
  </si>
  <si>
    <t>Raghuram</t>
  </si>
  <si>
    <t>raghu7090@gmail.com</t>
  </si>
  <si>
    <t>Imran Khan</t>
  </si>
  <si>
    <t>imranazizkhan83@gmail.com</t>
  </si>
  <si>
    <t>ITILv4</t>
  </si>
  <si>
    <t>varsha2811@gmail.com</t>
  </si>
  <si>
    <t>Yogita Banekar</t>
  </si>
  <si>
    <t>yogita.banekar@gmail.com</t>
  </si>
  <si>
    <t>Uthra Balaji</t>
  </si>
  <si>
    <t>uthraabalaji@gmail.com</t>
  </si>
  <si>
    <t>Srikanth GVS</t>
  </si>
  <si>
    <t>gvssrikanth01@gmail.com</t>
  </si>
  <si>
    <t>Dhanya S</t>
  </si>
  <si>
    <t>Anand Mohan</t>
  </si>
  <si>
    <t>gayathrianand05@yahoo.com/ anandbabumohan@gmail.com</t>
  </si>
  <si>
    <t>Hema</t>
  </si>
  <si>
    <t>PGP PM</t>
  </si>
  <si>
    <t>Vivek Garg</t>
  </si>
  <si>
    <t>callvivek.garg@gmail.com</t>
  </si>
  <si>
    <t>Sheldon</t>
  </si>
  <si>
    <t>sheldon8726@yahoo.com</t>
  </si>
  <si>
    <t>Suraj S</t>
  </si>
  <si>
    <t>surajsoffice@gmail.com</t>
  </si>
  <si>
    <t>epgpcic@iimidr.ac.in</t>
  </si>
  <si>
    <t>Vishu G</t>
  </si>
  <si>
    <t>e21vishug@iimidr.ac.in</t>
  </si>
  <si>
    <t>Arjun</t>
  </si>
  <si>
    <t>e21arjunb@iimidr.ac.in</t>
  </si>
  <si>
    <t>Datta Maske</t>
  </si>
  <si>
    <t>e21dattam@iimidr.ac.in</t>
  </si>
  <si>
    <t>Shubham Pal</t>
  </si>
  <si>
    <t>e21shubhamp@iimidr.ac.in</t>
  </si>
  <si>
    <t>Prafula Singh</t>
  </si>
  <si>
    <t>e21prafullas@iimidr.ac.in</t>
  </si>
  <si>
    <t>M.Vineeth Kumar</t>
  </si>
  <si>
    <t>e21vineethm@iimidr.ac.in</t>
  </si>
  <si>
    <t>Chaitanya Mahajan</t>
  </si>
  <si>
    <t>e21chaitanyam@iimidr.ac.in</t>
  </si>
  <si>
    <t>Shikhar Srivastava</t>
  </si>
  <si>
    <t>e21shikhars@iimidr.ac.in</t>
  </si>
  <si>
    <t>Vikram T</t>
  </si>
  <si>
    <t>e21vikramt@iimidr.ac.in</t>
  </si>
  <si>
    <t>e21suchita@iimidr.ac.in</t>
  </si>
  <si>
    <t>Amay Chourasia</t>
  </si>
  <si>
    <t>e21amayc@iimidr.ac.in</t>
  </si>
  <si>
    <t>Nilanjan Goswami</t>
  </si>
  <si>
    <t>e21nilanjang@iimidr.ac.in</t>
  </si>
  <si>
    <t>Shreyas Pattabhi</t>
  </si>
  <si>
    <t>gladiatorshreyas1@gmail.com</t>
  </si>
  <si>
    <t>Tejaswini Lalge</t>
  </si>
  <si>
    <t>tejaswini.lalge@cognizant.com</t>
  </si>
  <si>
    <t>sudharamamahi@gmail.com</t>
  </si>
  <si>
    <t>Sahishnu</t>
  </si>
  <si>
    <t>e21sahishnus@iimidr.ac.in</t>
  </si>
  <si>
    <t>Atul K</t>
  </si>
  <si>
    <t>e21atulk@iimidr.ac.in</t>
  </si>
  <si>
    <t>Mahesh Reddy</t>
  </si>
  <si>
    <t>1985maheshreddy@gmail.com</t>
  </si>
  <si>
    <t>16-17 Sep 2021</t>
  </si>
  <si>
    <t>Rushikesh</t>
  </si>
  <si>
    <t>ranade.rushi@gmail.com</t>
  </si>
  <si>
    <t>Sandeep Shastry</t>
  </si>
  <si>
    <t>sshastry.43@gmail.com</t>
  </si>
  <si>
    <t>Karan Sehgal</t>
  </si>
  <si>
    <t>e21karans@iimidr.ac.in</t>
  </si>
  <si>
    <t>Vivek Pant</t>
  </si>
  <si>
    <t>e21vivekp@iimidr.ac.in</t>
  </si>
  <si>
    <t>Neeraj Saxena</t>
  </si>
  <si>
    <t>neerajsaxena37@gmail.com</t>
  </si>
  <si>
    <t>Sumit Hirawat</t>
  </si>
  <si>
    <t>sumithirawat61@gmail.com</t>
  </si>
  <si>
    <t>Aakansha</t>
  </si>
  <si>
    <t>aakanksha22duggal@gmail.com</t>
  </si>
  <si>
    <t>Shweta Mulay</t>
  </si>
  <si>
    <t>shwetamulay28@gmail.com</t>
  </si>
  <si>
    <t>Shardul Pratap Singh</t>
  </si>
  <si>
    <t>e21sharduls@iimidr.ac.in</t>
  </si>
  <si>
    <t>Chandra Prabhahar C</t>
  </si>
  <si>
    <t>e21chandrac@iimidr.ac.in</t>
  </si>
  <si>
    <t>Aman Srivastava</t>
  </si>
  <si>
    <t>e21amans@iimidr.ac.in</t>
  </si>
  <si>
    <t>Kandala Chaitanya</t>
  </si>
  <si>
    <t>e21kandalac@iimidr.ac.in</t>
  </si>
  <si>
    <t>Palanivel</t>
  </si>
  <si>
    <t>palanivel.n@gmail.com</t>
  </si>
  <si>
    <t>PMP Exam + Membership</t>
  </si>
  <si>
    <t>Ankit Bhargava</t>
  </si>
  <si>
    <t>e21ankitb@iimidr.ac.in</t>
  </si>
  <si>
    <t>Sreejith S</t>
  </si>
  <si>
    <t>e21sreejiths@iimidr.ac.in</t>
  </si>
  <si>
    <t>Chandan Rathi</t>
  </si>
  <si>
    <t>e21chandanr@iimidr.ac.in</t>
  </si>
  <si>
    <t>Kaustav De</t>
  </si>
  <si>
    <t>e21kaustavd@iimidr.ac.in</t>
  </si>
  <si>
    <t>Udit Bhatia</t>
  </si>
  <si>
    <t>uditbhatia.iift1517@gmail.com</t>
  </si>
  <si>
    <t>Saurabh R</t>
  </si>
  <si>
    <t>e21saurabhr@iimidr.ac.in</t>
  </si>
  <si>
    <t>Ravi Kumar</t>
  </si>
  <si>
    <t>e21ravik@iimidr.ac.in</t>
  </si>
  <si>
    <t>Abhishek S</t>
  </si>
  <si>
    <t>e21abhisheks@iimidr.ac.in</t>
  </si>
  <si>
    <t>Mayank M</t>
  </si>
  <si>
    <t>e21mayankm@iimidr.ac.in</t>
  </si>
  <si>
    <t>Ram Lakhan Mishra</t>
  </si>
  <si>
    <t>e21ramlakhanm@iimidr.ac.in</t>
  </si>
  <si>
    <t>Ruchira Chatterjee</t>
  </si>
  <si>
    <t>ruchirasikdar@gmail.com</t>
  </si>
  <si>
    <t>Anand J</t>
  </si>
  <si>
    <t>e21anandj@iimidr.ac.in</t>
  </si>
  <si>
    <t>Deeep</t>
  </si>
  <si>
    <t>e21deepr@iimidr.ac.in</t>
  </si>
  <si>
    <t>Sivaranjani</t>
  </si>
  <si>
    <t>sivaranjani.m23@gmail.com</t>
  </si>
  <si>
    <t>Debaleena</t>
  </si>
  <si>
    <t>debaleena03@gmail.com</t>
  </si>
  <si>
    <t>Dipak Thakare</t>
  </si>
  <si>
    <t>i.dipakthakare@gmail.com</t>
  </si>
  <si>
    <t>Dabreo</t>
  </si>
  <si>
    <t>dabreoadler09@gmail.com</t>
  </si>
  <si>
    <t>Uday Gajewar</t>
  </si>
  <si>
    <t>uday.gajewar@yahoo.com</t>
  </si>
  <si>
    <t>Sangita Phansalkar</t>
  </si>
  <si>
    <t>sangita.phansalkar@yahoo.com</t>
  </si>
  <si>
    <t>Reference by Uday G</t>
  </si>
  <si>
    <t>Murali Kannan</t>
  </si>
  <si>
    <t>murali.kannan04@gmail.com</t>
  </si>
  <si>
    <t>Charan Sai</t>
  </si>
  <si>
    <t>charansai.1710@yahoo.com</t>
  </si>
  <si>
    <t>7-8 Oct 2021</t>
  </si>
  <si>
    <t>Charanya</t>
  </si>
  <si>
    <t>charanya20.v@gmail.com</t>
  </si>
  <si>
    <t>P2 F&amp;P</t>
  </si>
  <si>
    <t>Shekhar</t>
  </si>
  <si>
    <t>e21shekharp@iimidr.ac.in</t>
  </si>
  <si>
    <t>anandbabumohan@gmail.com</t>
  </si>
  <si>
    <t>Puneet Thakur</t>
  </si>
  <si>
    <t>mail.thakurp@gmail.com</t>
  </si>
  <si>
    <t>Shamal</t>
  </si>
  <si>
    <t>shamal.firake@gmail.com</t>
  </si>
  <si>
    <t>Jaffer</t>
  </si>
  <si>
    <t>jef.mentor@gmail.com</t>
  </si>
  <si>
    <t>Krishna Kumar</t>
  </si>
  <si>
    <t>kk15.sairam@gmail.com</t>
  </si>
  <si>
    <t>Vanitha GA</t>
  </si>
  <si>
    <t>vanitha.ga@gmail.com</t>
  </si>
  <si>
    <t>BA with Masters</t>
  </si>
  <si>
    <t>Abhilash Sathyapalan</t>
  </si>
  <si>
    <t>abhilash.sathyapalan@gmail.com</t>
  </si>
  <si>
    <t>ITIL v4</t>
  </si>
  <si>
    <t>Cobit</t>
  </si>
  <si>
    <t>Ranbir Singh</t>
  </si>
  <si>
    <t>rsingh.vit@gmail.com</t>
  </si>
  <si>
    <t>Neel Patel</t>
  </si>
  <si>
    <t>neel.patel@strausshealthcare.com</t>
  </si>
  <si>
    <t>monikastrauss27@gmail.com</t>
  </si>
  <si>
    <t>Debasis</t>
  </si>
  <si>
    <t>ursdeb@gmail.com</t>
  </si>
  <si>
    <t>Aastha Choubey</t>
  </si>
  <si>
    <t>aasthachoubey26@gmail.com</t>
  </si>
  <si>
    <t>Amit Arora</t>
  </si>
  <si>
    <t>a.arora0603@gmail.com</t>
  </si>
  <si>
    <t>4-5 Dec 2021</t>
  </si>
  <si>
    <t>Shahrita</t>
  </si>
  <si>
    <t>shahrita1@gmail.com</t>
  </si>
  <si>
    <t>fpt</t>
  </si>
  <si>
    <t>14-15 Oct 2021</t>
  </si>
  <si>
    <t>Giri Nirbhay</t>
  </si>
  <si>
    <t>girinirbhay@gmail.com</t>
  </si>
  <si>
    <t>Mohammed Sadiq</t>
  </si>
  <si>
    <t>mohammed.sadiq01@gmail.com</t>
  </si>
  <si>
    <t>Rousheen</t>
  </si>
  <si>
    <t>rousheenmzahif@gmail.com</t>
  </si>
  <si>
    <t>Sanghamitra</t>
  </si>
  <si>
    <t>dsanghamitra@hotmail.com</t>
  </si>
  <si>
    <t>P2 F</t>
  </si>
  <si>
    <t>Pooja Singh</t>
  </si>
  <si>
    <t>singhpoojar10@gmail.com</t>
  </si>
  <si>
    <t>13-14 Nov 2021</t>
  </si>
  <si>
    <t>rajeesh.a@gmail.com</t>
  </si>
  <si>
    <t>Moorchana</t>
  </si>
  <si>
    <t>moorchana.b@gmail.com</t>
  </si>
  <si>
    <t>just4bhaskar@gmail.com</t>
  </si>
  <si>
    <t>Moorthy</t>
  </si>
  <si>
    <t>k_guruparan@yahoo.com</t>
  </si>
  <si>
    <t>Meena</t>
  </si>
  <si>
    <t>mahameena1502@gmail.com</t>
  </si>
  <si>
    <t>Venkatesan</t>
  </si>
  <si>
    <t>kpvenkatesan84@gmail.com</t>
  </si>
  <si>
    <t>Karolina Zakrzacka</t>
  </si>
  <si>
    <t>karolina.zakrzacka@accenture.com</t>
  </si>
  <si>
    <t>SAFe for Government</t>
  </si>
  <si>
    <t>25-28 Oct 2021</t>
  </si>
  <si>
    <t>00062233_01</t>
  </si>
  <si>
    <t>Thirunavakarasu</t>
  </si>
  <si>
    <t>engineerthiru@gmail.com</t>
  </si>
  <si>
    <t>ACSM</t>
  </si>
  <si>
    <t>Sarabjeet Singh</t>
  </si>
  <si>
    <t>vizkey@gmail.com</t>
  </si>
  <si>
    <t>Sunil Manu</t>
  </si>
  <si>
    <t>sunilmanu9@gmail.com</t>
  </si>
  <si>
    <t>Anubhaw Ujjwal</t>
  </si>
  <si>
    <t>anubhaw.ujjwal@gmail.com</t>
  </si>
  <si>
    <t>Balaji Muralilal</t>
  </si>
  <si>
    <t>balaji.muralilal@gmail.com</t>
  </si>
  <si>
    <t>Karunesh Tiwari</t>
  </si>
  <si>
    <t>karantiwari17@gmail.com</t>
  </si>
  <si>
    <t>Thara</t>
  </si>
  <si>
    <t>thara45@yahoo.co.in</t>
  </si>
  <si>
    <t>30-31 Oct 2021</t>
  </si>
  <si>
    <t>Uma Vakkalanka</t>
  </si>
  <si>
    <t>uma.vakkalanka@gmail.com</t>
  </si>
  <si>
    <t>Pragya</t>
  </si>
  <si>
    <t>Prashant Daund</t>
  </si>
  <si>
    <t>prashantdaund@ymail.com</t>
  </si>
  <si>
    <t>6-7 Nov 2021</t>
  </si>
  <si>
    <t>Ankita Middha</t>
  </si>
  <si>
    <t>ankita.middha.am@gmail.com</t>
  </si>
  <si>
    <t>Avanija</t>
  </si>
  <si>
    <t>avanija.lm@gmail.com</t>
  </si>
  <si>
    <t>Reference by Mallika</t>
  </si>
  <si>
    <t>prsatish06@gmail.com</t>
  </si>
  <si>
    <t>28-29 Oct 2021</t>
  </si>
  <si>
    <t>Shivanee Salvi</t>
  </si>
  <si>
    <t xml:space="preserve">shivanee.salvi@neptune-ubi.com </t>
  </si>
  <si>
    <t>26-27 Oct 2021</t>
  </si>
  <si>
    <t>00062287_01</t>
  </si>
  <si>
    <t>2-3 Nov 2021</t>
  </si>
  <si>
    <t>Grishma Shana</t>
  </si>
  <si>
    <t>grishma.shaha@kohler.com</t>
  </si>
  <si>
    <t>Tanu Narayan</t>
  </si>
  <si>
    <t>tanu.narayan@gmail.com</t>
  </si>
  <si>
    <t>Reference by Tejaswini Lalge</t>
  </si>
  <si>
    <t>Niranjan</t>
  </si>
  <si>
    <t>niranjan600@yahoo.co.in</t>
  </si>
  <si>
    <t>17-18 Nov 2021</t>
  </si>
  <si>
    <t>sunilsnair777@gmail.com</t>
  </si>
  <si>
    <t>Shivangi Rohilla</t>
  </si>
  <si>
    <t>shivarohila2@gmail.com</t>
  </si>
  <si>
    <t>Veena</t>
  </si>
  <si>
    <t>veenavr21@gmail.com</t>
  </si>
  <si>
    <t>Dayalan Ramsey</t>
  </si>
  <si>
    <t>dayalanramsey@gmail.com</t>
  </si>
  <si>
    <t>Jayashree</t>
  </si>
  <si>
    <t>jay.jayashree@gmail.com</t>
  </si>
  <si>
    <t>11-12 Nov 2021</t>
  </si>
  <si>
    <t>Saleem Ahmed</t>
  </si>
  <si>
    <t>salimahmed70@gmail.com</t>
  </si>
  <si>
    <t>Kumaravelun</t>
  </si>
  <si>
    <t>kumaravelun@gmail.com</t>
  </si>
  <si>
    <t>10-11 Nov 2021</t>
  </si>
  <si>
    <t>Koushik Paul</t>
  </si>
  <si>
    <t>koushik1994paul@gmail.com</t>
  </si>
  <si>
    <t>Suresh Kumar</t>
  </si>
  <si>
    <t>asureshjuly@gmail.com</t>
  </si>
  <si>
    <t>Uday Shankar</t>
  </si>
  <si>
    <t>reply2uday@gmail.com</t>
  </si>
  <si>
    <t>Antony</t>
  </si>
  <si>
    <t>antonyrajm@gmail.com</t>
  </si>
  <si>
    <t>Nagalakshmi</t>
  </si>
  <si>
    <t>nagu.shivam@gmail.com</t>
  </si>
  <si>
    <t>Vasudha Sheganti</t>
  </si>
  <si>
    <t>vasudha.sheganti@gmail.com</t>
  </si>
  <si>
    <t>Apoorva Singh</t>
  </si>
  <si>
    <t>pmoapoorva@gmail.com</t>
  </si>
  <si>
    <t>27-28 Nov 2021</t>
  </si>
  <si>
    <t>Ganapathi Subramanian</t>
  </si>
  <si>
    <t>ngsmanian@gmail.com</t>
  </si>
  <si>
    <t>Reference by Tanu N</t>
  </si>
  <si>
    <t>Anuradha Krishna</t>
  </si>
  <si>
    <t>anuradhakrishna2016@gmail.com</t>
  </si>
  <si>
    <t>Nhanu Chavan</t>
  </si>
  <si>
    <t>nhanuchavan@rediffmail.com</t>
  </si>
  <si>
    <t>Reference by Ravi Dutt</t>
  </si>
  <si>
    <t>Kavita Vinod</t>
  </si>
  <si>
    <t>kavita.vinnu@gmail.com</t>
  </si>
  <si>
    <t>Query box_LP</t>
  </si>
  <si>
    <t>Manik Bohidar</t>
  </si>
  <si>
    <t>manik.bohidar@tcs.com</t>
  </si>
  <si>
    <t>Akhila Chandran</t>
  </si>
  <si>
    <t>akhila.b.chandran@gmail.com</t>
  </si>
  <si>
    <t>18-19 Dec 2021</t>
  </si>
  <si>
    <t>Swayang Dipta</t>
  </si>
  <si>
    <t>swayang.cse@gmail.com</t>
  </si>
  <si>
    <t>Sindhuja</t>
  </si>
  <si>
    <t>sindhuja.global@gmail.com</t>
  </si>
  <si>
    <t>20-21 Nov 2021</t>
  </si>
  <si>
    <t>shivareddy.slakshmi@gmail.com</t>
  </si>
  <si>
    <t>Tripta Porwal</t>
  </si>
  <si>
    <t>tripta.porwal@gmail.com</t>
  </si>
  <si>
    <t>tanu.narayan@yahoo.com</t>
  </si>
  <si>
    <t>govindkis@gmail.com</t>
  </si>
  <si>
    <t>Mousumi</t>
  </si>
  <si>
    <t>chandni.moss@gmail.com</t>
  </si>
  <si>
    <t>Vidya Ingle</t>
  </si>
  <si>
    <t>vidya.ingle@hotmail.com</t>
  </si>
  <si>
    <t>Reference by Shyama Nair</t>
  </si>
  <si>
    <t>Manish Vishal</t>
  </si>
  <si>
    <t>manish.vishal@gmail.com</t>
  </si>
  <si>
    <t>Bhavna Kapur</t>
  </si>
  <si>
    <t>bhavna.satija13@gmail.com</t>
  </si>
  <si>
    <t>Reference by Bhavna Kapur</t>
  </si>
  <si>
    <t>Suwarna</t>
  </si>
  <si>
    <t>suwarnadere@gmail.com</t>
  </si>
  <si>
    <t>Mrunal Joshi</t>
  </si>
  <si>
    <t>jmrunal@gmail.com</t>
  </si>
  <si>
    <t>19-21 Nov 2021</t>
  </si>
  <si>
    <t>Alka</t>
  </si>
  <si>
    <t>iteralka@gmail.com</t>
  </si>
  <si>
    <t>Lal Saheb</t>
  </si>
  <si>
    <t>lal@dazos.com</t>
  </si>
  <si>
    <t>Rahul</t>
  </si>
  <si>
    <t>rahul8927@gmail.com</t>
  </si>
  <si>
    <t>Preeti Gupta</t>
  </si>
  <si>
    <t>preeti.gupta@unilever.com</t>
  </si>
  <si>
    <t>11-12 Dec 2021</t>
  </si>
  <si>
    <t>Sudhanshu</t>
  </si>
  <si>
    <t>0205.sudhanshu@gmail.com</t>
  </si>
  <si>
    <t>P2 Agile F&amp;P</t>
  </si>
  <si>
    <t>Tanay Gunjikar</t>
  </si>
  <si>
    <t>drtanaygunjikar@gmail.com</t>
  </si>
  <si>
    <t>e21tanayg@iimidr.ac.in</t>
  </si>
  <si>
    <t>Salil Ahuja</t>
  </si>
  <si>
    <t>salilahuja1991@gmail.com</t>
  </si>
  <si>
    <t>Karan Mehta</t>
  </si>
  <si>
    <t>karan.mehta88@hotmail.com</t>
  </si>
  <si>
    <t xml:space="preserve">Bidyut </t>
  </si>
  <si>
    <t>bidyutvicky@gmail.com</t>
  </si>
  <si>
    <t>Daya Bhosale</t>
  </si>
  <si>
    <t>daya.bhosale@neptune-ubi.com</t>
  </si>
  <si>
    <t>13-14 Dec 2021</t>
  </si>
  <si>
    <t>00062616_01</t>
  </si>
  <si>
    <t>Dipandas</t>
  </si>
  <si>
    <t>dipandasroy@gmail.com</t>
  </si>
  <si>
    <t>Harish</t>
  </si>
  <si>
    <t>harishver85@gmail.com</t>
  </si>
  <si>
    <t>Hina Bhatia</t>
  </si>
  <si>
    <t>bhatiahina11@gmail.com</t>
  </si>
  <si>
    <t>Abhishek Ghosh</t>
  </si>
  <si>
    <t>abhishekmou@gmail.com</t>
  </si>
  <si>
    <t>Swapna Shivashankaran</t>
  </si>
  <si>
    <t>swapnashivan@gmail.com</t>
  </si>
  <si>
    <t>Chandrashekhar</t>
  </si>
  <si>
    <t>ws.chandu@gmail.com</t>
  </si>
  <si>
    <t>Arun Rangan</t>
  </si>
  <si>
    <t>arun_rangan_2001@yahoo.co.in</t>
  </si>
  <si>
    <t>Vivek Soni</t>
  </si>
  <si>
    <t>soniviky@gmail.com</t>
  </si>
  <si>
    <t>Reference by Ramakrishna</t>
  </si>
  <si>
    <t>Srishti Srivastava</t>
  </si>
  <si>
    <t>srishti.srivastava211@gmail.com</t>
  </si>
  <si>
    <t>Reference by Vivek Soni</t>
  </si>
  <si>
    <t>Mahesha Baswan</t>
  </si>
  <si>
    <t>mahesha.baswan@gmail.com</t>
  </si>
  <si>
    <t>Neeti Jain</t>
  </si>
  <si>
    <t>jain.neeti200@gmail.com</t>
  </si>
  <si>
    <t>6-7 Dec 2021</t>
  </si>
  <si>
    <t>Pragna Katuru</t>
  </si>
  <si>
    <t>pragna.katuru@gmail.com</t>
  </si>
  <si>
    <t xml:space="preserve">Varun </t>
  </si>
  <si>
    <t>varun.s3@cognizant.com</t>
  </si>
  <si>
    <t>Reference by Rahul - Cognizant</t>
  </si>
  <si>
    <t>Darshan</t>
  </si>
  <si>
    <t>darshan611987@yahoo.com</t>
  </si>
  <si>
    <t>Bijith C</t>
  </si>
  <si>
    <t>bijithc@gmail.com</t>
  </si>
  <si>
    <t>22-23 Jan 2021</t>
  </si>
  <si>
    <t>Srijini</t>
  </si>
  <si>
    <t>sinjini7@gmail.com</t>
  </si>
  <si>
    <t>Omkar Kulkarni</t>
  </si>
  <si>
    <t>omkarkulkarni.learning@gmail.com</t>
  </si>
  <si>
    <t>Karthik Sundar</t>
  </si>
  <si>
    <t>karthisudar@gmail.com</t>
  </si>
  <si>
    <t>Pragya K</t>
  </si>
  <si>
    <t>Shaileja</t>
  </si>
  <si>
    <t>pshaileja15@gmail.com</t>
  </si>
  <si>
    <t>Yogesh Patel</t>
  </si>
  <si>
    <t>drp.rdp@gmail.com</t>
  </si>
  <si>
    <t>25-26 Dec 2021</t>
  </si>
  <si>
    <t>Udgeet Patel</t>
  </si>
  <si>
    <t>udgeetspatel@gmail.com</t>
  </si>
  <si>
    <t>Reference by Yogesh Patel</t>
  </si>
  <si>
    <t>Dhiraj Bhatt</t>
  </si>
  <si>
    <t>bhatt_dhiraj@rediffmail.com</t>
  </si>
  <si>
    <t>Nidhita Shilpi</t>
  </si>
  <si>
    <t>nidhita.arc@gmail.com</t>
  </si>
  <si>
    <t>Vikram Goel</t>
  </si>
  <si>
    <t>vikram_goel1@yahoo.com</t>
  </si>
  <si>
    <t>Soumya Prakash</t>
  </si>
  <si>
    <t>prasoumya@gmail.com</t>
  </si>
  <si>
    <t>Shubham Mishra</t>
  </si>
  <si>
    <t>mishrasubham5@gmail.com</t>
  </si>
  <si>
    <t>Prakhar</t>
  </si>
  <si>
    <t>pksprakhar@gmail.com</t>
  </si>
  <si>
    <t>Gautam Sikka</t>
  </si>
  <si>
    <t>gautam.sikka@gmail.com</t>
  </si>
  <si>
    <t>Shiv Maikhuri</t>
  </si>
  <si>
    <t>shiv.maikhuri@gmail.com</t>
  </si>
  <si>
    <t>Rahul Hajela</t>
  </si>
  <si>
    <t>rahulhajela@gmail.com</t>
  </si>
  <si>
    <t>Anoop Sharma</t>
  </si>
  <si>
    <t>anoopsharma8@gmail.com</t>
  </si>
  <si>
    <t>Manish Upadhyay</t>
  </si>
  <si>
    <t>manish.upadhyay@velocis.in</t>
  </si>
  <si>
    <t>Deepa</t>
  </si>
  <si>
    <t>deepajomy530@gmail.com</t>
  </si>
  <si>
    <t>8-9 Jan 2022</t>
  </si>
  <si>
    <t>Nishant Shah</t>
  </si>
  <si>
    <t>shahnishant.it@gmail.com</t>
  </si>
  <si>
    <t>pateljigarb@gmail.com</t>
  </si>
  <si>
    <t>Raman Kakara</t>
  </si>
  <si>
    <t>raman.kakara@gmail.com</t>
  </si>
  <si>
    <t>Prachiti Raut</t>
  </si>
  <si>
    <t>prachiti.n.raut@gmail.com</t>
  </si>
  <si>
    <t>Meenal Gokhale</t>
  </si>
  <si>
    <t>meenal.gokhale@gmail.com</t>
  </si>
  <si>
    <t>Pushpraj Verma</t>
  </si>
  <si>
    <t>pushpraj.verma2015@gmail.com</t>
  </si>
  <si>
    <t>deeps.blaze@gmail.com</t>
  </si>
  <si>
    <t>15-16 Jan 2022</t>
  </si>
  <si>
    <t>Yogendran</t>
  </si>
  <si>
    <t>yogendran_j@yahoo.com</t>
  </si>
  <si>
    <t>Reference by Thirunavakarasu</t>
  </si>
  <si>
    <t>Aman Mishra</t>
  </si>
  <si>
    <t>amanmishra9696@gmail.com</t>
  </si>
  <si>
    <t>DevOps Engineer</t>
  </si>
  <si>
    <t>Reference by Jyoti Mishra</t>
  </si>
  <si>
    <t>Sree Charan Konda</t>
  </si>
  <si>
    <t>sreecharan.konda@gmail.com</t>
  </si>
  <si>
    <t>Nitin Vatsya</t>
  </si>
  <si>
    <t>nvatsya@gmail.com</t>
  </si>
  <si>
    <t>Priyanka Chaurasiya</t>
  </si>
  <si>
    <t>chaupriyanka2011@gmail.com</t>
  </si>
  <si>
    <t>dkgec.delhi@gmail.com</t>
  </si>
  <si>
    <t>ddkgec@gmail.com</t>
  </si>
  <si>
    <t>Dhiraj</t>
  </si>
  <si>
    <t>dhiraj1891@outlook.com</t>
  </si>
  <si>
    <t>Nikitha RB</t>
  </si>
  <si>
    <t>nikitha.rb@gmail.com</t>
  </si>
  <si>
    <t>Neelam Rajput</t>
  </si>
  <si>
    <t>neelamrajput06@gmail.com</t>
  </si>
  <si>
    <t>Noorjahan Shaik</t>
  </si>
  <si>
    <t>nshaik@spglobal.com</t>
  </si>
  <si>
    <t>22-23 Jan 2022</t>
  </si>
  <si>
    <t>Rajeshwari</t>
  </si>
  <si>
    <t>rajiraj9972@gmail.com</t>
  </si>
  <si>
    <t>29-30 Jan 2022</t>
  </si>
  <si>
    <t>Dhananjay Sandhan</t>
  </si>
  <si>
    <t>dhananjay_sandhan99@yahoo.com</t>
  </si>
  <si>
    <t>18-19 Jan 2022</t>
  </si>
  <si>
    <t>tej.lalge@gmail.com</t>
  </si>
  <si>
    <t>Pankaj Jain</t>
  </si>
  <si>
    <t>pjain5@dxc.com</t>
  </si>
  <si>
    <t>Prabhakaran</t>
  </si>
  <si>
    <t>prabhakaran61@gmail.com</t>
  </si>
  <si>
    <t>Reference by umasibm2008@gmail.com</t>
  </si>
  <si>
    <t>Pratik Sachdeva</t>
  </si>
  <si>
    <t>sachdevapratik@gmail.com</t>
  </si>
  <si>
    <t>Pramod Vakkalanka</t>
  </si>
  <si>
    <t>vakkalanka84@gmail.com</t>
  </si>
  <si>
    <t>Reference by Divya Ponugupai</t>
  </si>
  <si>
    <t>Meetu Chopra</t>
  </si>
  <si>
    <t>meetu.chopra06@gmail.com</t>
  </si>
  <si>
    <t>Anushree</t>
  </si>
  <si>
    <t>anu.anushree06@gmail.com</t>
  </si>
  <si>
    <t>Neenu Tom</t>
  </si>
  <si>
    <t>neenu1tom@gmail.com</t>
  </si>
  <si>
    <t>Monika Mehta</t>
  </si>
  <si>
    <t>monika.mehta@propellum.com</t>
  </si>
  <si>
    <t>Ganesh Rajshekar</t>
  </si>
  <si>
    <t>ganeshrajshekar28@gmail.com</t>
  </si>
  <si>
    <t>Sathish Kumar</t>
  </si>
  <si>
    <t>sathishr1982@icloud.com</t>
  </si>
  <si>
    <t>12-13 Jan 2022</t>
  </si>
  <si>
    <t>Chayan Jana</t>
  </si>
  <si>
    <t>chayanjana20@gmail.com</t>
  </si>
  <si>
    <t>amit.prasad@hp.com</t>
  </si>
  <si>
    <t xml:space="preserve">PMP </t>
  </si>
  <si>
    <t>Shruti Sharma</t>
  </si>
  <si>
    <t>sharmashrut@gmail.com</t>
  </si>
  <si>
    <t>Rajesh Kori</t>
  </si>
  <si>
    <t>kori.rajesh@gmail.com</t>
  </si>
  <si>
    <t>Naaz</t>
  </si>
  <si>
    <t>naaz1zeb@gmail.com</t>
  </si>
  <si>
    <t>Done. Good feedback</t>
  </si>
  <si>
    <t>Kshitij Kumar</t>
  </si>
  <si>
    <t>kshitij.kumar@hotmail.com</t>
  </si>
  <si>
    <t>5-6 Feb 2022</t>
  </si>
  <si>
    <t>Parvez</t>
  </si>
  <si>
    <t>soft.parvez@gmail.com</t>
  </si>
  <si>
    <t>Kamal Kaher</t>
  </si>
  <si>
    <t>kamalkaher@gmail.com</t>
  </si>
  <si>
    <t>Reference by Kamal Kaher</t>
  </si>
  <si>
    <t>Kaushal Tiwari</t>
  </si>
  <si>
    <t>rsktiwari@gmail.com</t>
  </si>
  <si>
    <t>Chandra</t>
  </si>
  <si>
    <t>Monilika Verma</t>
  </si>
  <si>
    <t>mv00798185@techmahindra.com</t>
  </si>
  <si>
    <t>Reference by Neeti Jain</t>
  </si>
  <si>
    <t>Theju</t>
  </si>
  <si>
    <t>theju.r5@gmail.com</t>
  </si>
  <si>
    <t>wisteria1727@gmail.com</t>
  </si>
  <si>
    <t>Sriram</t>
  </si>
  <si>
    <t>nagjaya1959@gmail.com</t>
  </si>
  <si>
    <t>Sneha Malik</t>
  </si>
  <si>
    <t>deansneha@gmail.com</t>
  </si>
  <si>
    <t>Vinita Kamra</t>
  </si>
  <si>
    <t>coolstudd.ip@gmail.com</t>
  </si>
  <si>
    <t>Reference by Vinita Kamra</t>
  </si>
  <si>
    <t>Neelima Kalyani</t>
  </si>
  <si>
    <t>neelimakalyani@yahoo.com</t>
  </si>
  <si>
    <t>Sayani</t>
  </si>
  <si>
    <t>sayanis.cse@gmail.com</t>
  </si>
  <si>
    <t>13-14 Jan 2022</t>
  </si>
  <si>
    <t>Debjani Paul</t>
  </si>
  <si>
    <t>debjanipaul.cg@gmail.com</t>
  </si>
  <si>
    <t>Peeyush</t>
  </si>
  <si>
    <t>peeyush.anand55@gmail.com</t>
  </si>
  <si>
    <t>Amit K</t>
  </si>
  <si>
    <t>amitkjt10@gmail.com</t>
  </si>
  <si>
    <t>Drashti P</t>
  </si>
  <si>
    <t>drashti.p@cloudifyops.com</t>
  </si>
  <si>
    <t>27-28 Jan 2022</t>
  </si>
  <si>
    <t>Aishwarya</t>
  </si>
  <si>
    <t>bdkavach@gmail.com</t>
  </si>
  <si>
    <t>Reference by Aishwarya</t>
  </si>
  <si>
    <t>sandeepnarang71@gmail.com</t>
  </si>
  <si>
    <t>Rajendra</t>
  </si>
  <si>
    <t>rsabres@gmail.com</t>
  </si>
  <si>
    <t>Shobhit</t>
  </si>
  <si>
    <t>shobhit413@gmail.com</t>
  </si>
  <si>
    <t>12-13 Feb 2022</t>
  </si>
  <si>
    <t>Reference by surabhi.92170@gmail.com</t>
  </si>
  <si>
    <t>Vinutha Hanji</t>
  </si>
  <si>
    <t>vinutha.hanji@outlook.com</t>
  </si>
  <si>
    <t>Keerti - Given to Vinutha</t>
  </si>
  <si>
    <t>Kshama Verma</t>
  </si>
  <si>
    <t>kshama.verma5@gmail.com</t>
  </si>
  <si>
    <t>19-20 Feb 2022</t>
  </si>
  <si>
    <t xml:space="preserve">Anurag </t>
  </si>
  <si>
    <t>anuragch02@yahoo.com</t>
  </si>
  <si>
    <t>Karan Relan</t>
  </si>
  <si>
    <t>karanrelan01@gmail.com</t>
  </si>
  <si>
    <t>28-30 Jan 2022</t>
  </si>
  <si>
    <t>Raghavendra Datta</t>
  </si>
  <si>
    <t>raghavendradatta.p@gmail.com</t>
  </si>
  <si>
    <t>26-27 March 2022</t>
  </si>
  <si>
    <t>Goutami</t>
  </si>
  <si>
    <t>goutami.c92@gmail.com</t>
  </si>
  <si>
    <t>Reference by Raghavendra Datta</t>
  </si>
  <si>
    <t xml:space="preserve">Kuntala </t>
  </si>
  <si>
    <t>kuntala.mnnit@gmail.com</t>
  </si>
  <si>
    <t>Sravanthi Mothi</t>
  </si>
  <si>
    <t>sravanthi.mothi@gmail.com</t>
  </si>
  <si>
    <t>Nilay Mishra</t>
  </si>
  <si>
    <t>nilaymishra12345@gmail.com</t>
  </si>
  <si>
    <t>Reference by shivaamar.ar@gmail.com</t>
  </si>
  <si>
    <t>Titian</t>
  </si>
  <si>
    <t>titi1605@gmail.com</t>
  </si>
  <si>
    <t>Ketki Sharma</t>
  </si>
  <si>
    <t>ketkisharma04@hotmail.com</t>
  </si>
  <si>
    <t>Aurko - Done</t>
  </si>
  <si>
    <t>Upma Bhatnagar</t>
  </si>
  <si>
    <t>upma.bhatnagar10@gmail.com</t>
  </si>
  <si>
    <t>Sreejesh</t>
  </si>
  <si>
    <t>sreejeshkiyer@gmail.com</t>
  </si>
  <si>
    <t>Naveen</t>
  </si>
  <si>
    <t>naveen931@gmail.com</t>
  </si>
  <si>
    <t>Subham</t>
  </si>
  <si>
    <t>subham.bandyopadhyay@tcs.com</t>
  </si>
  <si>
    <t>SMPL_HZ50HWXIQ8V</t>
  </si>
  <si>
    <t>Renjith Paul</t>
  </si>
  <si>
    <t>pault.renjith@gmail.com</t>
  </si>
  <si>
    <t>Nahush Dalvi</t>
  </si>
  <si>
    <t>nahushdalvi@gmail.com</t>
  </si>
  <si>
    <t>Trupti</t>
  </si>
  <si>
    <t>trups_kapadia@hotmail.com</t>
  </si>
  <si>
    <t xml:space="preserve">Vijay </t>
  </si>
  <si>
    <t>vijaay4victory@gmail.com</t>
  </si>
  <si>
    <t>Rajani</t>
  </si>
  <si>
    <t>rajaniagrawal2007@gmail.com</t>
  </si>
  <si>
    <t>Sayan Giri</t>
  </si>
  <si>
    <t>sayangiri19@gmail.com</t>
  </si>
  <si>
    <t>19-20 March 2022</t>
  </si>
  <si>
    <t>Reference by chayan.giri@gmail.com</t>
  </si>
  <si>
    <t>Meetu</t>
  </si>
  <si>
    <t>tell_meetu@yahoo.com</t>
  </si>
  <si>
    <t>Gaurav</t>
  </si>
  <si>
    <t>gaurav.desire@gmail.com</t>
  </si>
  <si>
    <t>5-6 March 2022</t>
  </si>
  <si>
    <t>Pragya K - Pending</t>
  </si>
  <si>
    <t>Jacquelin Isaac</t>
  </si>
  <si>
    <t>jacqlynisaac@gmail.com</t>
  </si>
  <si>
    <t>Vijaya Patil</t>
  </si>
  <si>
    <t>vijayaa.patils@gmail.com</t>
  </si>
  <si>
    <t>10-11 Feb 2022</t>
  </si>
  <si>
    <t>Reference by Ravindra</t>
  </si>
  <si>
    <t>Ritesh</t>
  </si>
  <si>
    <t>riteshdash@gmail.com</t>
  </si>
  <si>
    <t>shrirajeshwar@gmail.com</t>
  </si>
  <si>
    <t>Reference by samsasi.84@gmail.com</t>
  </si>
  <si>
    <t xml:space="preserve">Veena </t>
  </si>
  <si>
    <t>veena_mistry2003@yahoo.com</t>
  </si>
  <si>
    <t>Prasad</t>
  </si>
  <si>
    <t>rajakp123@gmail.com</t>
  </si>
  <si>
    <t>Meenakshi</t>
  </si>
  <si>
    <t>meenakshisahay81@gmail.com</t>
  </si>
  <si>
    <t>7-8 Feb 2022</t>
  </si>
  <si>
    <t>Reference by gaurav.mahajan2890@gmail.com</t>
  </si>
  <si>
    <t>Kranthi Kumar</t>
  </si>
  <si>
    <t>kranthi.panga@gmail.com</t>
  </si>
  <si>
    <t>divyajyothi_s@hotmail.com</t>
  </si>
  <si>
    <t>23-24 April 2022</t>
  </si>
  <si>
    <t>amarnath.s86@gmail.com</t>
  </si>
  <si>
    <t>26-27 Feb 2022</t>
  </si>
  <si>
    <t>Aruko - Done</t>
  </si>
  <si>
    <t>Pavan</t>
  </si>
  <si>
    <t>pavan0216@gmail.com</t>
  </si>
  <si>
    <t>Cloud Architect</t>
  </si>
  <si>
    <t>Rajalakshmi</t>
  </si>
  <si>
    <t>nrajalakshmi@outlook.com</t>
  </si>
  <si>
    <t>Meghana</t>
  </si>
  <si>
    <t>meghanamude@gmail.com</t>
  </si>
  <si>
    <t>Referency by Shyama - Pending</t>
  </si>
  <si>
    <t>Mubarak Noorullah</t>
  </si>
  <si>
    <t>mubaraknoorullah@gmail.com</t>
  </si>
  <si>
    <t>Indhumathi</t>
  </si>
  <si>
    <t>indhu22mathi94@gmail.com</t>
  </si>
  <si>
    <t>15-16 Feb 2022</t>
  </si>
  <si>
    <t>Shruti Buradesh</t>
  </si>
  <si>
    <t>buradeshruti@gmail.com</t>
  </si>
  <si>
    <t>Jagprit</t>
  </si>
  <si>
    <t>umeey.us@gmail.com</t>
  </si>
  <si>
    <t>Reference by rtiwariops@gmail.com</t>
  </si>
  <si>
    <t>Babita Upadhyay</t>
  </si>
  <si>
    <t>babitaupadhyay15@gmail.com</t>
  </si>
  <si>
    <t>Mahesh Balla</t>
  </si>
  <si>
    <t>mahesh.balla@gmail.com</t>
  </si>
  <si>
    <t>Suresh D</t>
  </si>
  <si>
    <t>sureshds86@gmail.com</t>
  </si>
  <si>
    <t>Mahesh Kumar</t>
  </si>
  <si>
    <t>maheshkumar83@gmail.com</t>
  </si>
  <si>
    <t>Vandana</t>
  </si>
  <si>
    <t>vrawat21993@gmail.com</t>
  </si>
  <si>
    <t>Keerti - Pending</t>
  </si>
  <si>
    <t>Zan Zubair</t>
  </si>
  <si>
    <t>zanzubair2@gmail.com</t>
  </si>
  <si>
    <t>Reference by indhu22mathi94@gmail.com</t>
  </si>
  <si>
    <t>Veenus Jinny</t>
  </si>
  <si>
    <t>veenus.jinny@gmail.com</t>
  </si>
  <si>
    <t>Deepah</t>
  </si>
  <si>
    <t>deepah18@gmail.com</t>
  </si>
  <si>
    <t>12-13 March 2022</t>
  </si>
  <si>
    <t>Arsheya Begum</t>
  </si>
  <si>
    <t>arsheyabegum.s@gmail.com</t>
  </si>
  <si>
    <t>Shivam Gupta</t>
  </si>
  <si>
    <t>shivamgupta61visit@gmail.com</t>
  </si>
  <si>
    <t>24-25 Feb 2022</t>
  </si>
  <si>
    <t>Aman</t>
  </si>
  <si>
    <t>amanjolly@yahoo.com</t>
  </si>
  <si>
    <t>12-13 march 2022</t>
  </si>
  <si>
    <t>Reference by shobhit413@gmail.com</t>
  </si>
  <si>
    <t>Sunitha Reddy</t>
  </si>
  <si>
    <t>mary.sunitha78@gmail.com</t>
  </si>
  <si>
    <t>Venkata Sudheendra</t>
  </si>
  <si>
    <t>sudheendra.satrasala@gmail.com</t>
  </si>
  <si>
    <t>Swati Jain</t>
  </si>
  <si>
    <t>swatijain6673@gmail.com</t>
  </si>
  <si>
    <t>Reference by her Husband Sujeet</t>
  </si>
  <si>
    <t>Shashank</t>
  </si>
  <si>
    <t>shashank15922@gmail.com</t>
  </si>
  <si>
    <t>Vasudha Katari</t>
  </si>
  <si>
    <t>vasudha.katari@gmail.com</t>
  </si>
  <si>
    <t>Abhishek Pal</t>
  </si>
  <si>
    <t>meabhishekpal@gmail.com</t>
  </si>
  <si>
    <t>Reference by toabhishekpal@gmail.com</t>
  </si>
  <si>
    <t>Kavitha</t>
  </si>
  <si>
    <t>k3kavitha@gmail.com</t>
  </si>
  <si>
    <t>Reference by malli.vnkt@gmail.com</t>
  </si>
  <si>
    <t>Anantha Ramaraju</t>
  </si>
  <si>
    <t>anantharamaraju.p@gmail.com</t>
  </si>
  <si>
    <t>Lakshmi</t>
  </si>
  <si>
    <t>lakshmi3.m@tcs.com</t>
  </si>
  <si>
    <t>Reference by sreejeshkiyer@gmail.com</t>
  </si>
  <si>
    <t>Gautam Manglik</t>
  </si>
  <si>
    <t>gmanglik3@dxc.com</t>
  </si>
  <si>
    <t>Somnath</t>
  </si>
  <si>
    <t>charzo.som@gmail.com</t>
  </si>
  <si>
    <t>10-11 March 2022</t>
  </si>
  <si>
    <t>Sundeep K</t>
  </si>
  <si>
    <t>sundeepk1985@gmail.com</t>
  </si>
  <si>
    <t>Neha Nagar</t>
  </si>
  <si>
    <t>nehanagar7@gmail.com</t>
  </si>
  <si>
    <t>Adi</t>
  </si>
  <si>
    <t>achirikonda@gmail.com</t>
  </si>
  <si>
    <t>Kunal</t>
  </si>
  <si>
    <t>4you.kunal@gmail.com</t>
  </si>
  <si>
    <t>Nishtha Ravesh</t>
  </si>
  <si>
    <t>nishtharavesh9@gmail.com</t>
  </si>
  <si>
    <t>Geetika</t>
  </si>
  <si>
    <t>geetika.s30@gmail.com</t>
  </si>
  <si>
    <t>iamabhisheksinha27@gmail.com</t>
  </si>
  <si>
    <t>Ruchi</t>
  </si>
  <si>
    <t>ruchi_biyani23@yahoo.co.in</t>
  </si>
  <si>
    <t>Reference by Abhishek</t>
  </si>
  <si>
    <t>chawlagaurav1983@gmail.com</t>
  </si>
  <si>
    <t>Sasi Dharala</t>
  </si>
  <si>
    <t>sasi.dharala@gmail.com</t>
  </si>
  <si>
    <t>m.rashmi876@gmail.com</t>
  </si>
  <si>
    <t>David Allignton</t>
  </si>
  <si>
    <t>allingtondavid@gmail.com</t>
  </si>
  <si>
    <t>Ritu</t>
  </si>
  <si>
    <t>sritu00@gmail.com</t>
  </si>
  <si>
    <t>Subu</t>
  </si>
  <si>
    <t>subumailme@gmail.com</t>
  </si>
  <si>
    <t>Reference by Ritu</t>
  </si>
  <si>
    <t>Vinoth Kumar</t>
  </si>
  <si>
    <t>vinothkumar1387@gmail.com</t>
  </si>
  <si>
    <t>Vaishali</t>
  </si>
  <si>
    <t>vaishalispatil211@gmail.com</t>
  </si>
  <si>
    <t>Abhishek Jindal</t>
  </si>
  <si>
    <t>jindalbhshk@gmail.com</t>
  </si>
  <si>
    <t>PMP with Exam</t>
  </si>
  <si>
    <t>Chandan</t>
  </si>
  <si>
    <t>csomayya@altimetrik.com</t>
  </si>
  <si>
    <t>Reference by Dhananjay</t>
  </si>
  <si>
    <t>Amit</t>
  </si>
  <si>
    <t>amitsap_2000@yahoo.com</t>
  </si>
  <si>
    <t>3-4 March 2022</t>
  </si>
  <si>
    <t>Vipin Deva</t>
  </si>
  <si>
    <t>vipindeva@gmail.com</t>
  </si>
  <si>
    <t>Prerana</t>
  </si>
  <si>
    <t>prerana117@gmail.com</t>
  </si>
  <si>
    <t>Chidambaram Ganesan</t>
  </si>
  <si>
    <t>gct54@yahoo.com</t>
  </si>
  <si>
    <t>Pradeep</t>
  </si>
  <si>
    <t>pradeep2u2@gmail.com</t>
  </si>
  <si>
    <t>Dheeraj Rathod</t>
  </si>
  <si>
    <t>dheeraj.rathod@gmail.com</t>
  </si>
  <si>
    <t>Senthil</t>
  </si>
  <si>
    <t>senthil.es@gmail.com</t>
  </si>
  <si>
    <t>Shivakumar</t>
  </si>
  <si>
    <t>shivamajage@gmail.com</t>
  </si>
  <si>
    <t>Amit Gupta</t>
  </si>
  <si>
    <t>axzon14@gmail.com</t>
  </si>
  <si>
    <t>Reference by rtiwari</t>
  </si>
  <si>
    <t>Shweta Dureja</t>
  </si>
  <si>
    <t>shwetadureja01@gmail.com</t>
  </si>
  <si>
    <t>Ajay Ahuja</t>
  </si>
  <si>
    <t>ajayahuja86@gmail.com</t>
  </si>
  <si>
    <t>Shiwali</t>
  </si>
  <si>
    <t>jshiwali@gmail.com</t>
  </si>
  <si>
    <t>Sashi Skl</t>
  </si>
  <si>
    <t>sashi.skl@gmail.com</t>
  </si>
  <si>
    <t>Sunil Dantal</t>
  </si>
  <si>
    <t>sunil.dantal@gmail.com</t>
  </si>
  <si>
    <t>Kedar</t>
  </si>
  <si>
    <t>kedartalegaonkar@gmail.com</t>
  </si>
  <si>
    <t>Avik</t>
  </si>
  <si>
    <t>avik12.0@gmail.com</t>
  </si>
  <si>
    <t>Pragya K - Order Amount less</t>
  </si>
  <si>
    <t>Ryhana</t>
  </si>
  <si>
    <t>bindushajudeen@gmail.com</t>
  </si>
  <si>
    <t>9-10 March 2022</t>
  </si>
  <si>
    <t>Tejaswini Kasina</t>
  </si>
  <si>
    <t>kasinatejaswini@gmail.com</t>
  </si>
  <si>
    <t>Reference by tej.lalge@gmail.com</t>
  </si>
  <si>
    <t>Krati Latoriya</t>
  </si>
  <si>
    <t>krati.latoriya@gmail.com</t>
  </si>
  <si>
    <t>Priyanka Engineer</t>
  </si>
  <si>
    <t>engineer.priyanka7@gmail.com</t>
  </si>
  <si>
    <t>Akhya</t>
  </si>
  <si>
    <t>akhya.timon@gmail.com</t>
  </si>
  <si>
    <t>4-5 April 2022</t>
  </si>
  <si>
    <t>Deepti Anbarasu</t>
  </si>
  <si>
    <t>deepti277@gmail.com</t>
  </si>
  <si>
    <t>Malar Priya</t>
  </si>
  <si>
    <t>malarpriya2792@gmail.com</t>
  </si>
  <si>
    <t>2-3 April 2022</t>
  </si>
  <si>
    <t>Sumit Bhatta</t>
  </si>
  <si>
    <t>sumit_bhatta2000@yahoo.com</t>
  </si>
  <si>
    <t>Pranav Gupta</t>
  </si>
  <si>
    <t>pranavgupta18@gmail.com</t>
  </si>
  <si>
    <t>9-10 April 2022</t>
  </si>
  <si>
    <t>Mayank Mishra</t>
  </si>
  <si>
    <t>er.mayankmishra@outlook.com</t>
  </si>
  <si>
    <t>Kamal  Boddapati</t>
  </si>
  <si>
    <t>kamal.boddapati@gmail.com</t>
  </si>
  <si>
    <t>Anjaneyulu Moram</t>
  </si>
  <si>
    <t>anjaneyulu.moram@tcs.com</t>
  </si>
  <si>
    <t>Reference by moram.anji@gmail.com</t>
  </si>
  <si>
    <t>Vanitha B S</t>
  </si>
  <si>
    <t>vanithabs.my3@gmail.com</t>
  </si>
  <si>
    <t>Gurumurti</t>
  </si>
  <si>
    <t>gurumurti.esumane@gmail.com</t>
  </si>
  <si>
    <t>Reference by ganeshrajshekar28@gmail.com</t>
  </si>
  <si>
    <t>Jeyasri JP</t>
  </si>
  <si>
    <t>jeyasri.jp@gmail.com</t>
  </si>
  <si>
    <t>Six Sigma Black Belt</t>
  </si>
  <si>
    <t>Neha Jain</t>
  </si>
  <si>
    <t>drnehajain.hmis@gmail.com</t>
  </si>
  <si>
    <t>dtdeepakroadie@gmail.com</t>
  </si>
  <si>
    <t>shashank.bharadwaj988@gmail.com</t>
  </si>
  <si>
    <t>Reference by vin24.kamra@gmail.com</t>
  </si>
  <si>
    <t>Neha Kakkar</t>
  </si>
  <si>
    <t>neha01.kakkar@gmail.com</t>
  </si>
  <si>
    <t>26-27 April 2022</t>
  </si>
  <si>
    <t>Narayana Surya</t>
  </si>
  <si>
    <t>narayanansurya433@gmail.com</t>
  </si>
  <si>
    <t>PGP Cyber Security</t>
  </si>
  <si>
    <t>Reference by sweetshivi2707@gmail.com</t>
  </si>
  <si>
    <t>Mruga Manoj Karulkar</t>
  </si>
  <si>
    <t>mrugamanoj.karulkar@in.bosch.com</t>
  </si>
  <si>
    <t>Arun Gaur</t>
  </si>
  <si>
    <t>arungaur10@gmail.com</t>
  </si>
  <si>
    <t>Yash Jain</t>
  </si>
  <si>
    <t>Swetha Bommidyala</t>
  </si>
  <si>
    <t>swethabommidyala@gmail.com</t>
  </si>
  <si>
    <t>Raja Balasubramaniyam</t>
  </si>
  <si>
    <t>raja.srm1@gmail.com</t>
  </si>
  <si>
    <t>Irfan Nagori</t>
  </si>
  <si>
    <t>irfan.nagori@cerner.com</t>
  </si>
  <si>
    <t>Reference by irfgar26@gmail.com</t>
  </si>
  <si>
    <t>Kishore Kumaran</t>
  </si>
  <si>
    <t>kishorekumaran.bk@gmail.com</t>
  </si>
  <si>
    <t>Saikanth</t>
  </si>
  <si>
    <t>saikanth1984@gmail.com</t>
  </si>
  <si>
    <t>anu.art.pulse@gmail.com</t>
  </si>
  <si>
    <t>Mihir Srivastava</t>
  </si>
  <si>
    <t>mihirshrivastava30@gmail.com</t>
  </si>
  <si>
    <t>Reference by erkushlendra19@gmail.com</t>
  </si>
  <si>
    <t>Neha Rampal</t>
  </si>
  <si>
    <t>neharampal284@gmail.com</t>
  </si>
  <si>
    <t>7-8 May 2022</t>
  </si>
  <si>
    <t>Shalaka Joshi</t>
  </si>
  <si>
    <t>svjoshi12@gmail.com</t>
  </si>
  <si>
    <t>Shubhangi Gupta</t>
  </si>
  <si>
    <t>shubhiguptaa95@gmail.com</t>
  </si>
  <si>
    <t>Pragyan</t>
  </si>
  <si>
    <t>iampragyan@gmail.com</t>
  </si>
  <si>
    <t>Utkarsh RV</t>
  </si>
  <si>
    <t>utkarshrv2008@gmail.com</t>
  </si>
  <si>
    <t>21-22 April 2022</t>
  </si>
  <si>
    <t>Sachin Doke</t>
  </si>
  <si>
    <t>sachin.doke@gmail.com</t>
  </si>
  <si>
    <t>Anil Vadhavane</t>
  </si>
  <si>
    <t>anil.vadhavane@gmail.com</t>
  </si>
  <si>
    <t>16-17 April 2022</t>
  </si>
  <si>
    <t>Arpit Bajhal</t>
  </si>
  <si>
    <t>arpitbajhal@gmail.com</t>
  </si>
  <si>
    <t>Prejisha</t>
  </si>
  <si>
    <t>ppjisha@gmail.com</t>
  </si>
  <si>
    <t>7-8 April 2022</t>
  </si>
  <si>
    <t>Nagaraj</t>
  </si>
  <si>
    <t>nngrjg@gmail.com</t>
  </si>
  <si>
    <t>Vaishali Patil</t>
  </si>
  <si>
    <t>Ankur</t>
  </si>
  <si>
    <t>ankur2008agarwal@gmail.com</t>
  </si>
  <si>
    <t>Shruti Kuppikar</t>
  </si>
  <si>
    <t>shruti.kuppikar@yahoo.com</t>
  </si>
  <si>
    <t>Reference by shruti.kuppikar9@gmail.com</t>
  </si>
  <si>
    <t xml:space="preserve">Ravi </t>
  </si>
  <si>
    <t>ravi.27oct@gmail.com</t>
  </si>
  <si>
    <t>12-13 April 2022</t>
  </si>
  <si>
    <t>Madhumitha Sampath</t>
  </si>
  <si>
    <t>email.mitha@gmail.com</t>
  </si>
  <si>
    <t>amit.ankit2@gmail.com</t>
  </si>
  <si>
    <t>14-15 May 2022</t>
  </si>
  <si>
    <t>Atul Talukder</t>
  </si>
  <si>
    <t>atul.talukder@gmail.com</t>
  </si>
  <si>
    <t>Rishin Mitra</t>
  </si>
  <si>
    <t>rishinmitra17@gmail.com</t>
  </si>
  <si>
    <t>Satish M S</t>
  </si>
  <si>
    <t>satishms70@gmail.com</t>
  </si>
  <si>
    <t>15-17 April 2022</t>
  </si>
  <si>
    <t>PMP 1st Installment</t>
  </si>
  <si>
    <t>Rathina Raj</t>
  </si>
  <si>
    <t>itsmerathanraj@gmail.com</t>
  </si>
  <si>
    <t>20-22 April 2022</t>
  </si>
  <si>
    <t>Akshay Tyagi</t>
  </si>
  <si>
    <t>atyagi1101@gmail.com</t>
  </si>
  <si>
    <t>Bhakti Koli</t>
  </si>
  <si>
    <t>bhaktikoli9@gmail.com</t>
  </si>
  <si>
    <t>Reference by jagdish.suryawanshi@gmail.com</t>
  </si>
  <si>
    <t>Jitendra Bastia</t>
  </si>
  <si>
    <t>humtumjeet@gmail.com</t>
  </si>
  <si>
    <t>30 April - 1 May 2022</t>
  </si>
  <si>
    <t>Tanmai Srivastava</t>
  </si>
  <si>
    <t>tanmaisrivastava1106@gmail.com</t>
  </si>
  <si>
    <t>bundle agenda</t>
  </si>
  <si>
    <t>PGP in BA</t>
  </si>
  <si>
    <t>Shikha Nagar</t>
  </si>
  <si>
    <t>nagar.shikha@gmail.com</t>
  </si>
  <si>
    <t>19-20 April 2022</t>
  </si>
  <si>
    <t>Ramanuj Kumar</t>
  </si>
  <si>
    <t>ramanuj.kumar84@gmail.com</t>
  </si>
  <si>
    <t>Sambhu Sankar</t>
  </si>
  <si>
    <t>sambhusankar.sahani@gmail.com</t>
  </si>
  <si>
    <t>Pramod Nalam</t>
  </si>
  <si>
    <t>pramodnalam@gmail.com</t>
  </si>
  <si>
    <t>Sameer Gulati</t>
  </si>
  <si>
    <t>sameer.gulati264@gmail.com</t>
  </si>
  <si>
    <t>Richard</t>
  </si>
  <si>
    <t>shabbyrichie@gmail.com</t>
  </si>
  <si>
    <t>Reference by Shyam's cx</t>
  </si>
  <si>
    <t>Ravikanth Subbisetty</t>
  </si>
  <si>
    <t>ravikanth.subbisetty@gmail.com</t>
  </si>
  <si>
    <t>thanx4castingsurvey@gmail.com</t>
  </si>
  <si>
    <t>Varun Mehta</t>
  </si>
  <si>
    <t>itsvarun.mehta29@gmail.com</t>
  </si>
  <si>
    <t>Prashant</t>
  </si>
  <si>
    <t>prash1406@gmail.com</t>
  </si>
  <si>
    <t>Vishwanath Iyer</t>
  </si>
  <si>
    <t>pcviyer@gmail.com</t>
  </si>
  <si>
    <t>Rajaraman</t>
  </si>
  <si>
    <t>nrraman.tnj@gmail.com</t>
  </si>
  <si>
    <t>Alok Jhavitian</t>
  </si>
  <si>
    <t>alokjhavitian@gmail.com</t>
  </si>
  <si>
    <t>Chetan Joshi</t>
  </si>
  <si>
    <t>joshichetan008@gmail.com</t>
  </si>
  <si>
    <t>Sathish Babu</t>
  </si>
  <si>
    <t>sathishbabu.harikrishnan@cognizant.com</t>
  </si>
  <si>
    <t>Sambit Bhattacharya</t>
  </si>
  <si>
    <t>sambit.bhattacharya1@gmail.com</t>
  </si>
  <si>
    <t>Priyanka Sharma</t>
  </si>
  <si>
    <t>priyanka19sharma@gmail.com</t>
  </si>
  <si>
    <t>Hemant Nagalkor</t>
  </si>
  <si>
    <t>pgp13033.hemant@iimrpralumni.ac.in</t>
  </si>
  <si>
    <t>Reference by rrohinibhagwat@gmail.com</t>
  </si>
  <si>
    <t>Gopal Krishna</t>
  </si>
  <si>
    <t>bgkshenoy@gmail.com</t>
  </si>
  <si>
    <t>21-22 May 2022</t>
  </si>
  <si>
    <t>Roopam Thakur</t>
  </si>
  <si>
    <t>roopam_thakur@yahoo.com</t>
  </si>
  <si>
    <t>Reference by jignesh.shah@capgemini.com</t>
  </si>
  <si>
    <t>Sweta Chhwani</t>
  </si>
  <si>
    <t>swetalachhwani@gmail.com</t>
  </si>
  <si>
    <t>Vidya Aadhav</t>
  </si>
  <si>
    <t>vidyaadhav77@gmail.com</t>
  </si>
  <si>
    <t>Laksh Razdan</t>
  </si>
  <si>
    <t>laksh_1988@yahoo.co.in</t>
  </si>
  <si>
    <t>Naveenram Gunasekaran</t>
  </si>
  <si>
    <t>naveenram.gunasekara@gmail.com</t>
  </si>
  <si>
    <t>rash.bnglr@gmail.com</t>
  </si>
  <si>
    <t>Sudhanshu Dabral</t>
  </si>
  <si>
    <t>sudhanshudabral1@gmail.com</t>
  </si>
  <si>
    <t>Shaina Prabhakaran</t>
  </si>
  <si>
    <t>shainamp@gmail.com</t>
  </si>
  <si>
    <t>28-29 May 2022</t>
  </si>
  <si>
    <t>Koushalya</t>
  </si>
  <si>
    <t>kousianbukumar@gmail.com</t>
  </si>
  <si>
    <t>Siva</t>
  </si>
  <si>
    <t>ttksiva@gmail.com</t>
  </si>
  <si>
    <t>Ishita Kaila</t>
  </si>
  <si>
    <t>1995ishitakalia@gmail.com</t>
  </si>
  <si>
    <t>Reference by Manjeet</t>
  </si>
  <si>
    <t>Jijo</t>
  </si>
  <si>
    <t>lijujijo@gmail.com</t>
  </si>
  <si>
    <t>Aishwarya P</t>
  </si>
  <si>
    <t>aishwaryap.1989@gmail.com</t>
  </si>
  <si>
    <t>Reference by Rathina Raj</t>
  </si>
  <si>
    <t>Rahul Pahurkar</t>
  </si>
  <si>
    <t>pahurkar.rahul@gmail.com</t>
  </si>
  <si>
    <t>Rahul Chiplunkar</t>
  </si>
  <si>
    <t>rahul.chiplunkar@gmail.com</t>
  </si>
  <si>
    <t>Reference by Rahul Pahurkar</t>
  </si>
  <si>
    <t>Rakesh</t>
  </si>
  <si>
    <t>dr.rajpurohit@gmail.com</t>
  </si>
  <si>
    <t>Nisha Shah</t>
  </si>
  <si>
    <t>nisha.shah@spglobal.com</t>
  </si>
  <si>
    <t>9-10 May 2022</t>
  </si>
  <si>
    <t xml:space="preserve">Naseeb </t>
  </si>
  <si>
    <t>naseeb@gmail.com</t>
  </si>
  <si>
    <t>20-22 May 2022</t>
  </si>
  <si>
    <t>Varthini Moorthy</t>
  </si>
  <si>
    <t>govarthinimoorthy@gmail.com</t>
  </si>
  <si>
    <t>Dinesh</t>
  </si>
  <si>
    <t>dineshrajuatcbe@gmail.com</t>
  </si>
  <si>
    <t>Hussain Asif</t>
  </si>
  <si>
    <t>asif97200312@gmail.com</t>
  </si>
  <si>
    <t>priyanka5sep@gmail.com</t>
  </si>
  <si>
    <t>Ajin Kumar</t>
  </si>
  <si>
    <t>ajinks4world@gmail.com</t>
  </si>
  <si>
    <t>Sreenu Vadapalli</t>
  </si>
  <si>
    <t>sreenuvadapalli@gmail.com</t>
  </si>
  <si>
    <t>abhishekpal.imi@gmail.com</t>
  </si>
  <si>
    <t>Srikanth</t>
  </si>
  <si>
    <t>psreddyeee@gmail.com</t>
  </si>
  <si>
    <t>Prasanth E</t>
  </si>
  <si>
    <t>e.prasanthh@gmail.com</t>
  </si>
  <si>
    <t>Ravi Chaudhary</t>
  </si>
  <si>
    <t>ravi.chaudhary0916@gmail.com</t>
  </si>
  <si>
    <t>Reference by Nitesh</t>
  </si>
  <si>
    <t>Chandan Krup</t>
  </si>
  <si>
    <t>chandankrup@gmail.com</t>
  </si>
  <si>
    <t>Varaprasad</t>
  </si>
  <si>
    <t>varaprasad.shetty@gmail.com</t>
  </si>
  <si>
    <t>16-17 May 2022</t>
  </si>
  <si>
    <t>Anand Sampath</t>
  </si>
  <si>
    <t>sampath_anand@hotmail.com</t>
  </si>
  <si>
    <t>Onkar Swamy</t>
  </si>
  <si>
    <t>swamyonkar@gmail.com</t>
  </si>
  <si>
    <t>Puneet</t>
  </si>
  <si>
    <t>puneet1518@gmail.com</t>
  </si>
  <si>
    <t>Leni Rose Jacob</t>
  </si>
  <si>
    <t>lenirosejacob@gmail.com</t>
  </si>
  <si>
    <t>PMP 2nd Installment</t>
  </si>
  <si>
    <t>Nagendra Singh</t>
  </si>
  <si>
    <t>singh.nagendra88@outlook.com</t>
  </si>
  <si>
    <t>4-5 June 2022</t>
  </si>
  <si>
    <t>Seemoni</t>
  </si>
  <si>
    <t>seemonisinha@gmail.com</t>
  </si>
  <si>
    <t>Sangeetha Babu</t>
  </si>
  <si>
    <t>baburajsangeetha@gmail.com</t>
  </si>
  <si>
    <t>11-12 June 2022</t>
  </si>
  <si>
    <t>Shamla Kannur</t>
  </si>
  <si>
    <t>shamla.kannur@gmail.com</t>
  </si>
  <si>
    <t>Kamini Panchal</t>
  </si>
  <si>
    <t>kamini.panchal@gmail.com</t>
  </si>
  <si>
    <t>Vijay Phani</t>
  </si>
  <si>
    <t>phanivijay555@gmail.com</t>
  </si>
  <si>
    <t>naveen.4241@gmail.com</t>
  </si>
  <si>
    <t>Sunitha Endabetla</t>
  </si>
  <si>
    <t>esunitha06@gmail.com</t>
  </si>
  <si>
    <t>Nivrutti Thorat</t>
  </si>
  <si>
    <t>nivruttithorat@gmail.com</t>
  </si>
  <si>
    <t>Reference by Sunitha</t>
  </si>
  <si>
    <t>Raja</t>
  </si>
  <si>
    <t>Asha Kalse</t>
  </si>
  <si>
    <t>ashakalse23@gmail.com</t>
  </si>
  <si>
    <t>Keerti - cx exists</t>
  </si>
  <si>
    <t>Utkarsh</t>
  </si>
  <si>
    <t>utkarsh0608@gmail.com</t>
  </si>
  <si>
    <t>Keerti - Done</t>
  </si>
  <si>
    <t>00063921_01</t>
  </si>
  <si>
    <t>Sudheendra Satrasala</t>
  </si>
  <si>
    <t>Shwetha Kamath</t>
  </si>
  <si>
    <t>shwethakamath.a@gmail.com</t>
  </si>
  <si>
    <t>Prajakta</t>
  </si>
  <si>
    <t>prajakta.hambire@eclerx.com</t>
  </si>
  <si>
    <t>Reference by amit.gmat1@gmail.com</t>
  </si>
  <si>
    <t>Somit Pandey</t>
  </si>
  <si>
    <t>somit.pandey12@gmail.com</t>
  </si>
  <si>
    <t>Pruthvi Raj</t>
  </si>
  <si>
    <t>pruthviraj9094@gmail.com</t>
  </si>
  <si>
    <t>Pallavi Gupta</t>
  </si>
  <si>
    <t>pallavi.gupta@eclerx.com</t>
  </si>
  <si>
    <t>18-19 June 2022</t>
  </si>
  <si>
    <t>Gayatri Karnik</t>
  </si>
  <si>
    <t>gayatrikarnik1809@gmail.com</t>
  </si>
  <si>
    <t>Rajesh Madhu</t>
  </si>
  <si>
    <t>rajesh.jmadhu2000@gmail.com</t>
  </si>
  <si>
    <t>Vikram Bans</t>
  </si>
  <si>
    <t>vkbans@gmail.com</t>
  </si>
  <si>
    <t>Sivaraman</t>
  </si>
  <si>
    <t>sara.lsivaraman@gmail.com</t>
  </si>
  <si>
    <t>6-8 June 2022</t>
  </si>
  <si>
    <t>Darsan Setty</t>
  </si>
  <si>
    <t>setty.3185@gmail.com</t>
  </si>
  <si>
    <t>Reference by prabhakaran61@gmail.com</t>
  </si>
  <si>
    <t>Aditi Tungare</t>
  </si>
  <si>
    <t>adititungare47@gmail.com</t>
  </si>
  <si>
    <t>Ritu Sharma</t>
  </si>
  <si>
    <t>Usha Raman</t>
  </si>
  <si>
    <t>usharamanamma@gmail.com</t>
  </si>
  <si>
    <t>Amit Purohit</t>
  </si>
  <si>
    <t>amit.gmat1@gmail.com</t>
  </si>
  <si>
    <t>25-26 June 2022</t>
  </si>
  <si>
    <t xml:space="preserve">Rahul </t>
  </si>
  <si>
    <t>rahul.alld@gmail.com</t>
  </si>
  <si>
    <t>Ruchi Ghiya</t>
  </si>
  <si>
    <t>ruchi.ghiya26@gmail.com</t>
  </si>
  <si>
    <t>Reference by Rahul Alld</t>
  </si>
  <si>
    <t>Rao Athota</t>
  </si>
  <si>
    <t>rao.athota@gmail.com</t>
  </si>
  <si>
    <t>Reference by Ganga</t>
  </si>
  <si>
    <t>Dushyant</t>
  </si>
  <si>
    <t>dushyant.infy@gmail.com</t>
  </si>
  <si>
    <t>Don't ask.</t>
  </si>
  <si>
    <t>Anurag Pingle</t>
  </si>
  <si>
    <t>anuragpingle@gmail.com</t>
  </si>
  <si>
    <t>Goraksha Jarkad</t>
  </si>
  <si>
    <t>goraksha.jarkad@gmail.com</t>
  </si>
  <si>
    <t>Chandran J</t>
  </si>
  <si>
    <t>jchandu2006@gmail.com</t>
  </si>
  <si>
    <t>Devesh</t>
  </si>
  <si>
    <t>deveshindian21@gmail.com</t>
  </si>
  <si>
    <t>CI/CD Jenkins</t>
  </si>
  <si>
    <t>Gaurav Gabhane</t>
  </si>
  <si>
    <t>grv.gabhane@gmail.com</t>
  </si>
  <si>
    <t>Abhi Shah</t>
  </si>
  <si>
    <t>abhishah3645@gmail.com</t>
  </si>
  <si>
    <t>16-17 June 2022</t>
  </si>
  <si>
    <t>Satish Kabade</t>
  </si>
  <si>
    <t>satish.kabade@gmail.com</t>
  </si>
  <si>
    <t>Gaurav Joshi</t>
  </si>
  <si>
    <t>gjoshi1122@gmail.com</t>
  </si>
  <si>
    <t>Poorani</t>
  </si>
  <si>
    <t>pooranimail@gmail.com</t>
  </si>
  <si>
    <t>Vishwanath Aladi</t>
  </si>
  <si>
    <t>vishwanath.aladi@infosys.com</t>
  </si>
  <si>
    <t>Reference by Sunita Endabatle</t>
  </si>
  <si>
    <t>Dwaraki Rao</t>
  </si>
  <si>
    <t>dwaraki_rao@yahoo.com</t>
  </si>
  <si>
    <t>ITILv MPT</t>
  </si>
  <si>
    <t>Srinath</t>
  </si>
  <si>
    <t>srinathmv.mv@gmail.com</t>
  </si>
  <si>
    <t>Satya Sakthivel</t>
  </si>
  <si>
    <t>satyasakthivel11@yahoo.in</t>
  </si>
  <si>
    <t>Manohar</t>
  </si>
  <si>
    <t>rvs_manohar@yahoo.com</t>
  </si>
  <si>
    <t>Amit Nankani</t>
  </si>
  <si>
    <t>amit.nankani@eclerx.com</t>
  </si>
  <si>
    <t>Reference by Amit Purohit</t>
  </si>
  <si>
    <t>Hima Alice</t>
  </si>
  <si>
    <t>himaalicejohn@gmail.com</t>
  </si>
  <si>
    <t>Sachin Sharma</t>
  </si>
  <si>
    <t>spsharma001@yahoo.com</t>
  </si>
  <si>
    <t>Togaf - 1st partial</t>
  </si>
  <si>
    <t>Priyanka Gandhi</t>
  </si>
  <si>
    <t>priyankagandhi10@gmail.com</t>
  </si>
  <si>
    <t>Ripander Saini</t>
  </si>
  <si>
    <t>ripandeep.saini@gmail.com</t>
  </si>
  <si>
    <t>23-24 July 2022</t>
  </si>
  <si>
    <t>Richa Kukyrani</t>
  </si>
  <si>
    <t>richakukyrani@gmail.com</t>
  </si>
  <si>
    <t>Kapil Garg</t>
  </si>
  <si>
    <t>kapil30sep@gmail.com</t>
  </si>
  <si>
    <t>16-17 July 2022</t>
  </si>
  <si>
    <t>Reference by rashmi123456789@gmail.com</t>
  </si>
  <si>
    <t>Nitin Uttamrao Salve</t>
  </si>
  <si>
    <t>nitsmind@gmail.com</t>
  </si>
  <si>
    <t>Srinivas PSR</t>
  </si>
  <si>
    <t>sri.psr@gmail.com</t>
  </si>
  <si>
    <t>Siddhesh Deshpande</t>
  </si>
  <si>
    <t>siddheshdeshpande67@gmail.com</t>
  </si>
  <si>
    <t>Deepak N</t>
  </si>
  <si>
    <t>deepak5853@gmail.com</t>
  </si>
  <si>
    <t>Vicky Kukreja</t>
  </si>
  <si>
    <t>vickykukreja9028@gmail.com</t>
  </si>
  <si>
    <t>Reference by neelamrajput06@gmail.com</t>
  </si>
  <si>
    <t>Deepanshu Dheer</t>
  </si>
  <si>
    <t>deepanshu.dheer92@gmail.com</t>
  </si>
  <si>
    <t>Chandra Reddy</t>
  </si>
  <si>
    <t>b4u.chandra@gmail.com</t>
  </si>
  <si>
    <t>Karthi Sudar</t>
  </si>
  <si>
    <t>Tripti Jadli</t>
  </si>
  <si>
    <t>triptijadli91@gmail.com</t>
  </si>
  <si>
    <t>Reena Verma</t>
  </si>
  <si>
    <t>vermareena@yahoo.com</t>
  </si>
  <si>
    <t>Navaneetham</t>
  </si>
  <si>
    <t>navaneetham.rk@hotmail.com</t>
  </si>
  <si>
    <t>Arunanshu Pandey</t>
  </si>
  <si>
    <t>arunanshu.pandey@zs.com</t>
  </si>
  <si>
    <t>4-5 July 2022</t>
  </si>
  <si>
    <t>Reference by Mayura P Joshi</t>
  </si>
  <si>
    <t>ritu.sharma@zs.com</t>
  </si>
  <si>
    <t>Aarish Gumber</t>
  </si>
  <si>
    <t>aarish.gumber@zs.com</t>
  </si>
  <si>
    <t>Moraish Kumar</t>
  </si>
  <si>
    <t>moraish.kapoor@zs.com</t>
  </si>
  <si>
    <t>Shubham Kumar</t>
  </si>
  <si>
    <t>shubham.s.kumar2@zs.com</t>
  </si>
  <si>
    <t>Sonal Singh</t>
  </si>
  <si>
    <t>sonal.s.singh@zs.com</t>
  </si>
  <si>
    <t>Riya Srivastava</t>
  </si>
  <si>
    <t>riya.srivastava@zs.com</t>
  </si>
  <si>
    <t>Anamika Chaumal</t>
  </si>
  <si>
    <t>anamika.chaumal@gmail.com</t>
  </si>
  <si>
    <t>Vivek Kumar</t>
  </si>
  <si>
    <t>vivek.kumar1@syf.com</t>
  </si>
  <si>
    <t>9-10 July 2022</t>
  </si>
  <si>
    <t>VijayKrishnan</t>
  </si>
  <si>
    <t>vijay.krishnans@hcl.com</t>
  </si>
  <si>
    <t>Tamil Mani</t>
  </si>
  <si>
    <t>tamilmani.t@hcl.com</t>
  </si>
  <si>
    <t>Reference by vijaykrishs@gmail.com</t>
  </si>
  <si>
    <t>Kartik VS</t>
  </si>
  <si>
    <t>kvs4uall@gmail.com</t>
  </si>
  <si>
    <t>Priya Bhatnagar</t>
  </si>
  <si>
    <t>mail2priyabhatnagar@gmail.com</t>
  </si>
  <si>
    <t>Ujjwal Dobhal</t>
  </si>
  <si>
    <t>udobhal@gmail.com</t>
  </si>
  <si>
    <t>ITIL MPT</t>
  </si>
  <si>
    <t>Prathit Vyas</t>
  </si>
  <si>
    <t>prathitnvyas@gmail.com</t>
  </si>
  <si>
    <t>30-31 July 2022</t>
  </si>
  <si>
    <t>Janani Krishnan</t>
  </si>
  <si>
    <t>k.jananikrishnan@gmail.com</t>
  </si>
  <si>
    <t>2-3 July 2022</t>
  </si>
  <si>
    <t>Saurabh Garg</t>
  </si>
  <si>
    <t>saurabh.garg83@gmail.com</t>
  </si>
  <si>
    <t>Sekar Jayabal</t>
  </si>
  <si>
    <t>sekar.jayabal@gmail.com</t>
  </si>
  <si>
    <t>Radhika Santosh</t>
  </si>
  <si>
    <t>radhikasantosh@gmail.com</t>
  </si>
  <si>
    <t>Kaushik S</t>
  </si>
  <si>
    <t>kaushik.s@eclerx.com</t>
  </si>
  <si>
    <t>Malcolm Lewis</t>
  </si>
  <si>
    <t>malcolmlewis74@gmail.com</t>
  </si>
  <si>
    <t>Ramakrishna Reddy</t>
  </si>
  <si>
    <t>ramakrishna.cingireddy215@gmail.com</t>
  </si>
  <si>
    <t>Chetan Malavade</t>
  </si>
  <si>
    <t>chetan.malavade@tcs.com</t>
  </si>
  <si>
    <t>frs_chat_initiated</t>
  </si>
  <si>
    <t>Anoop</t>
  </si>
  <si>
    <t>mydearanoop@gmail.com</t>
  </si>
  <si>
    <t>Bhavin Shah</t>
  </si>
  <si>
    <t>shah.bhavin.mba@gmail.com</t>
  </si>
  <si>
    <t>Mandeep</t>
  </si>
  <si>
    <t>contactmandy2010@gmail.com</t>
  </si>
  <si>
    <t>6-8 July 2022</t>
  </si>
  <si>
    <t>Shramana Kundu</t>
  </si>
  <si>
    <t>shramana.kundu@gmail.com</t>
  </si>
  <si>
    <t>Kiran</t>
  </si>
  <si>
    <t>yvnkiran@gmail.com</t>
  </si>
  <si>
    <t>Varun Gupta</t>
  </si>
  <si>
    <t>2006varun@gmail.com</t>
  </si>
  <si>
    <t>13-14 Aug 2022</t>
  </si>
  <si>
    <t>Venugopal</t>
  </si>
  <si>
    <t>venu13519@gmail.com</t>
  </si>
  <si>
    <t>Sudhir Valluri</t>
  </si>
  <si>
    <t>sudhirvalluri@gmail.com</t>
  </si>
  <si>
    <t>frs ebook hot</t>
  </si>
  <si>
    <t>Prabhu Jaganathan</t>
  </si>
  <si>
    <t>prabhujaganathan03@gmail.com</t>
  </si>
  <si>
    <t>Sumukh Haritasa</t>
  </si>
  <si>
    <t>sumukhaharitasa@gmail.com</t>
  </si>
  <si>
    <t>David Irwin</t>
  </si>
  <si>
    <t>david.irwin@se.com</t>
  </si>
  <si>
    <t>Sagar Rajwani</t>
  </si>
  <si>
    <t>saggyr80@gmail.com</t>
  </si>
  <si>
    <t>Sujata Halakarni</t>
  </si>
  <si>
    <t>halakarni.sujata@gmail.com</t>
  </si>
  <si>
    <t>SMPL_5JC1FO8Z0FX</t>
  </si>
  <si>
    <t>Renuka Prajapati</t>
  </si>
  <si>
    <t>prajapati.renuka@gmail.com</t>
  </si>
  <si>
    <t>13-14 July 2022</t>
  </si>
  <si>
    <t>Tanya Singla</t>
  </si>
  <si>
    <t>tanyasingla0905@gmail.com</t>
  </si>
  <si>
    <t>Rinku Kumari</t>
  </si>
  <si>
    <t>shrim24@gmail.com</t>
  </si>
  <si>
    <t>Arpit Shri</t>
  </si>
  <si>
    <t>ashri4937@gmail.com</t>
  </si>
  <si>
    <t>Santosh Rathnalu</t>
  </si>
  <si>
    <t>ratnalusantosh@gmail.com</t>
  </si>
  <si>
    <t>Radhika N</t>
  </si>
  <si>
    <t>radhikan1226@gmail.com</t>
  </si>
  <si>
    <t>Pragya Nagar</t>
  </si>
  <si>
    <t>pragya.nagar@softwebsolutions.com</t>
  </si>
  <si>
    <t>Sai Vinayak</t>
  </si>
  <si>
    <t>saivinayak18@gmail.com</t>
  </si>
  <si>
    <t>Sanjit Desai</t>
  </si>
  <si>
    <t>sanjit.desai@gmail.com</t>
  </si>
  <si>
    <t>mrunal.joshi@cognizant.com</t>
  </si>
  <si>
    <t>18-19 July 2022</t>
  </si>
  <si>
    <t>Prashant Mhetar</t>
  </si>
  <si>
    <t>prashantmhetar@gmail.com</t>
  </si>
  <si>
    <t>Narendra Nanna</t>
  </si>
  <si>
    <t>nanna.narendra@gmail.com</t>
  </si>
  <si>
    <t>6-7 Aug 2022</t>
  </si>
  <si>
    <t>Pranshu Khare</t>
  </si>
  <si>
    <t>pranshukhare@yahoo.com</t>
  </si>
  <si>
    <t>Omesh Jadia</t>
  </si>
  <si>
    <t>omeshjadia@gmail.com</t>
  </si>
  <si>
    <t>Anju TR</t>
  </si>
  <si>
    <t>anju_tr@yahoo.com</t>
  </si>
  <si>
    <t>Avinash Rangari</t>
  </si>
  <si>
    <t>avirangari@yahoo.com</t>
  </si>
  <si>
    <t>Kaustubh Varadkar</t>
  </si>
  <si>
    <t>kaustubh.varadkar@gmail.com</t>
  </si>
  <si>
    <t>20-22 July 2022</t>
  </si>
  <si>
    <t>Asha Devi H</t>
  </si>
  <si>
    <t>ashadevi.h@gmail.com</t>
  </si>
  <si>
    <t>Arup Mohanty</t>
  </si>
  <si>
    <t>arup.mohanty29j@gmail.com</t>
  </si>
  <si>
    <t>Sneha Guzraty</t>
  </si>
  <si>
    <t>snehaguzraty@gmail.com</t>
  </si>
  <si>
    <t>Arun GK</t>
  </si>
  <si>
    <t>contactarungk@gmail.com</t>
  </si>
  <si>
    <t>Aakash Bhadoria</t>
  </si>
  <si>
    <t>aakash.bhadoria@gmail.com</t>
  </si>
  <si>
    <t>Heena Rahurikar</t>
  </si>
  <si>
    <t>heena.rahurikar@gmail.com</t>
  </si>
  <si>
    <t>Reference by Akash Bhadoria</t>
  </si>
  <si>
    <t>Avinash Hingmire</t>
  </si>
  <si>
    <t>avinash.hingmire@gmail.com</t>
  </si>
  <si>
    <t>Sai Prasad</t>
  </si>
  <si>
    <t>glsaiprasad2018@gmail.com</t>
  </si>
  <si>
    <t>Lankesh Shekhar</t>
  </si>
  <si>
    <t>lan.myth@gmail.com</t>
  </si>
  <si>
    <t>Abhishek Jain</t>
  </si>
  <si>
    <t>abhishekjain181087@gmail.com</t>
  </si>
  <si>
    <t>Alok Tripathi</t>
  </si>
  <si>
    <t>tripathialok3@gmail.com</t>
  </si>
  <si>
    <t>Reference by tripathialok3@gmail.com</t>
  </si>
  <si>
    <t>Pratyush Shukla</t>
  </si>
  <si>
    <t>shukla.pratyush220@gmail.com</t>
  </si>
  <si>
    <t>Ranjitha Malatkar</t>
  </si>
  <si>
    <t>ranjithamalatkar@gmail.com</t>
  </si>
  <si>
    <t>Darshana Juvekar</t>
  </si>
  <si>
    <t>darshanajuvekar19@gmail.com</t>
  </si>
  <si>
    <t>PGP BA</t>
  </si>
  <si>
    <t>Reference by Mayura - ZS</t>
  </si>
  <si>
    <t>Rajiv Adepu</t>
  </si>
  <si>
    <t>rajiv.adepu@gmail.com</t>
  </si>
  <si>
    <t>Reference by Shashank</t>
  </si>
  <si>
    <t>Gaurav Sinha</t>
  </si>
  <si>
    <t>sinhagaurav2021@gmail.com</t>
  </si>
  <si>
    <t>Anurag</t>
  </si>
  <si>
    <t>anuragch02@gmail.com</t>
  </si>
  <si>
    <t>30-31 Aug 2022</t>
  </si>
  <si>
    <t>Ryan Pinto</t>
  </si>
  <si>
    <t>ryanpinto1806@gmail.com</t>
  </si>
  <si>
    <t>Anirban Sarkar</t>
  </si>
  <si>
    <t>anirban2.s@tcs.com</t>
  </si>
  <si>
    <t>27-28 Aug 2022</t>
  </si>
  <si>
    <t>Reference by ani.cbs@gmail.com</t>
  </si>
  <si>
    <t>Rabi Saha</t>
  </si>
  <si>
    <t>rabi.saha@tcs.com</t>
  </si>
  <si>
    <t>Kaushik Ray</t>
  </si>
  <si>
    <t>kaushik.ray@tcs.com</t>
  </si>
  <si>
    <t>Aritra Sinha</t>
  </si>
  <si>
    <t>aritrasinha.2410@gmail.com</t>
  </si>
  <si>
    <t>Rajdip Garai</t>
  </si>
  <si>
    <t>rajdip.garai@tcs.com</t>
  </si>
  <si>
    <t>Soumyadip C</t>
  </si>
  <si>
    <t>soumyadip.c@tcs.com</t>
  </si>
  <si>
    <t>Anjana K</t>
  </si>
  <si>
    <t>anjanak2000@gmail.com</t>
  </si>
  <si>
    <t>Indu Shukla</t>
  </si>
  <si>
    <t>isindushukla2490@gmail.com</t>
  </si>
  <si>
    <t>Reference by er.mayankmishra@outlook.com</t>
  </si>
  <si>
    <t>Arpit B Agarwal</t>
  </si>
  <si>
    <t>arpit.b.agarwal@gmail.com</t>
  </si>
  <si>
    <t>Sejal Muralidhar</t>
  </si>
  <si>
    <t>sejal.muralidhar@ellucian.com</t>
  </si>
  <si>
    <t>Viswanathan</t>
  </si>
  <si>
    <t>viswanathan.sampath@gmail.com</t>
  </si>
  <si>
    <t>Balaji Venkataraju</t>
  </si>
  <si>
    <t>balaji.venkataraju@gmail.com</t>
  </si>
  <si>
    <t>5-7 Aug 2022</t>
  </si>
  <si>
    <t>Shruthi Nov</t>
  </si>
  <si>
    <t>shruthinov017@gmail.com</t>
  </si>
  <si>
    <t>Rajat Doshi</t>
  </si>
  <si>
    <t>rajatdjoshi@gmail.com</t>
  </si>
  <si>
    <t>adhusush@gmail.com</t>
  </si>
  <si>
    <t>11-12 Aug 2022</t>
  </si>
  <si>
    <t>Ramanai Venkata</t>
  </si>
  <si>
    <t>vr.nagaruru@gmail.com</t>
  </si>
  <si>
    <t>20-21 Aug 2022</t>
  </si>
  <si>
    <t>Deepti Malukani</t>
  </si>
  <si>
    <t>malukanideepti@gmail.com</t>
  </si>
  <si>
    <t>Priya Khatavkar</t>
  </si>
  <si>
    <t>khatavkarpriya@tataelxsi.co.in</t>
  </si>
  <si>
    <t>Anil Khetmalis</t>
  </si>
  <si>
    <t>a.khetmalis@tcs.com</t>
  </si>
  <si>
    <t>10-11 Sep 2022</t>
  </si>
  <si>
    <t>Reference by Chetan</t>
  </si>
  <si>
    <t>Aditya Soti</t>
  </si>
  <si>
    <t>sotiaditya@gmail.com</t>
  </si>
  <si>
    <t>Sophia Reena</t>
  </si>
  <si>
    <t>sophia.reena@gmail.com</t>
  </si>
  <si>
    <t>26-27 Nov 2022</t>
  </si>
  <si>
    <t>Anamika Sharma</t>
  </si>
  <si>
    <t>anamika.sharma07@gmail.com</t>
  </si>
  <si>
    <t>Devanand Parathikkadu</t>
  </si>
  <si>
    <t>devanand.parathikkadu@kyndryl.com</t>
  </si>
  <si>
    <t>Sharika S</t>
  </si>
  <si>
    <t>sharikas2004@yahoo.co.in</t>
  </si>
  <si>
    <t>Reference by Vivek</t>
  </si>
  <si>
    <t>Shaiwal Mahajan</t>
  </si>
  <si>
    <t>shaiwal.mahajan@eclerx.com</t>
  </si>
  <si>
    <t>Arun Kadalayil</t>
  </si>
  <si>
    <t>arunkadalayil@gmail.com</t>
  </si>
  <si>
    <t>Chinna Gupta</t>
  </si>
  <si>
    <t>chinna.gupta28@gmail.com</t>
  </si>
  <si>
    <t>Eleeta Rodrigues</t>
  </si>
  <si>
    <t>eleetarodrigues@gmail.com</t>
  </si>
  <si>
    <t>Reference by Priti Kotian</t>
  </si>
  <si>
    <t>Akshata TL</t>
  </si>
  <si>
    <t>akshta.t.l@gmail.com</t>
  </si>
  <si>
    <t>Akhtar Waseem</t>
  </si>
  <si>
    <t>akhtar.waseem4@gmail.com</t>
  </si>
  <si>
    <t>Parul</t>
  </si>
  <si>
    <t>parul85@gmail.com</t>
  </si>
  <si>
    <t>sa_gaurav@live.in</t>
  </si>
  <si>
    <t>Ankita Mohanty</t>
  </si>
  <si>
    <t>ankitamohanty205@gmail.com</t>
  </si>
  <si>
    <t>3-4 Sep 2022</t>
  </si>
  <si>
    <t>Sreedhar Babu</t>
  </si>
  <si>
    <t>karimisreedharbabu@gmail.com</t>
  </si>
  <si>
    <t>17-18 Sep 2022</t>
  </si>
  <si>
    <t>Vivek Mouli</t>
  </si>
  <si>
    <t>mouli.p919@gmail.com</t>
  </si>
  <si>
    <t>1-2 Oct 2022</t>
  </si>
  <si>
    <t>Sathesh TK</t>
  </si>
  <si>
    <t>satheshtk@gmail.com</t>
  </si>
  <si>
    <t>Vaishnavi Shantaram</t>
  </si>
  <si>
    <t>vaishnavi.shantaram@gmail.com</t>
  </si>
  <si>
    <t>Snehal Mahajan</t>
  </si>
  <si>
    <t>snehal.d.mahajan@gmail.com</t>
  </si>
  <si>
    <t>Reference by aakash.bhadoria@gmail.com</t>
  </si>
  <si>
    <t>Ajit Patwardhan</t>
  </si>
  <si>
    <t>ajit.patwardhan@digitate.com</t>
  </si>
  <si>
    <t>Chandana Poojari</t>
  </si>
  <si>
    <t>chandanapoojari@gmail.com</t>
  </si>
  <si>
    <t>10-11 Aug 2022</t>
  </si>
  <si>
    <t>Tushar VP</t>
  </si>
  <si>
    <t>tusharvp1@gmail.com</t>
  </si>
  <si>
    <t>Reference by Chandana</t>
  </si>
  <si>
    <t>Abhishek Nagpal</t>
  </si>
  <si>
    <t>nagpalabhishek7@gmail.com</t>
  </si>
  <si>
    <t>Sanjiv</t>
  </si>
  <si>
    <t>sdash3110@gmail.com</t>
  </si>
  <si>
    <t>Tech MoM</t>
  </si>
  <si>
    <t>Akshay Kumar</t>
  </si>
  <si>
    <t>akshaykumar.ak@outlook.com</t>
  </si>
  <si>
    <t>Dhivya Arunachalarajan</t>
  </si>
  <si>
    <t>dhivya.arunachalarajan12@gmail.com</t>
  </si>
  <si>
    <t>Apurva Gawande</t>
  </si>
  <si>
    <t>apurvagawande1997@gmail.com</t>
  </si>
  <si>
    <t>Adnan Dabir</t>
  </si>
  <si>
    <t>adnan.dabir.ad@gmail.com</t>
  </si>
  <si>
    <t>Rashee Rana</t>
  </si>
  <si>
    <t>imrasheerana@gmail.com</t>
  </si>
  <si>
    <t>Ashrut Awasthi</t>
  </si>
  <si>
    <t>ashawasthi525@gmail.com</t>
  </si>
  <si>
    <t>Prashant Saduwale</t>
  </si>
  <si>
    <t>psaduwale@gmail.com</t>
  </si>
  <si>
    <t>Imay Bhishma</t>
  </si>
  <si>
    <t>imay.bhishma@gmail.com</t>
  </si>
  <si>
    <t>24-25 Sep 2022</t>
  </si>
  <si>
    <t>Reference by lan.myth@gmail.com</t>
  </si>
  <si>
    <t>Varun Dudani</t>
  </si>
  <si>
    <t>dudanivarun@gmail.com</t>
  </si>
  <si>
    <t>Preeti Smita</t>
  </si>
  <si>
    <t>preetismita076@gmail.com</t>
  </si>
  <si>
    <t>Reference by Pragya</t>
  </si>
  <si>
    <t>Subodh Chandran</t>
  </si>
  <si>
    <t>subodhchandran@gmail.com</t>
  </si>
  <si>
    <t>PMP Exam</t>
  </si>
  <si>
    <t>Divya S</t>
  </si>
  <si>
    <t>divyas04@gmail.com</t>
  </si>
  <si>
    <t>Padma Mesa</t>
  </si>
  <si>
    <t>padma.mesa@gmail.com</t>
  </si>
  <si>
    <t>Kishor Italiya</t>
  </si>
  <si>
    <t>kishor_italiya@yahoo.com</t>
  </si>
  <si>
    <t>Kavitha Purushotham</t>
  </si>
  <si>
    <t>kavi.purushoth@gmail.com</t>
  </si>
  <si>
    <t>15-16 Oct 2022</t>
  </si>
  <si>
    <t>Shweta Sengar</t>
  </si>
  <si>
    <t>shwetasengar.ss273@gmail.com</t>
  </si>
  <si>
    <t>Ratika Sharma</t>
  </si>
  <si>
    <t>ratika.sharma14@gmail.com</t>
  </si>
  <si>
    <t>Darshani Tripathy</t>
  </si>
  <si>
    <t>prakdarshani.tripathy@gmail.com</t>
  </si>
  <si>
    <t>Vinay Aggarwal</t>
  </si>
  <si>
    <t>vinay.aggarwal84@hotmail.com</t>
  </si>
  <si>
    <t>anuanooptv@gmail.com</t>
  </si>
  <si>
    <t>Namitha</t>
  </si>
  <si>
    <t>alishnami@gmail.com</t>
  </si>
  <si>
    <t>Reference by anuanooptv@gmail.com</t>
  </si>
  <si>
    <t>Sanaul Haq</t>
  </si>
  <si>
    <t>sanaulhaq2010@gmail.com</t>
  </si>
  <si>
    <t>Veena Avula</t>
  </si>
  <si>
    <t>k.premkishore@gmail.com</t>
  </si>
  <si>
    <t>Reference by vavula10@gmail.com</t>
  </si>
  <si>
    <t>Anant Gupta</t>
  </si>
  <si>
    <t>anantgupta.anant@gmail.com</t>
  </si>
  <si>
    <t>Deepak Sharma</t>
  </si>
  <si>
    <t>sharmadeepak14@gmail.com</t>
  </si>
  <si>
    <t>Latika</t>
  </si>
  <si>
    <t>latika08@gmail.com</t>
  </si>
  <si>
    <t>Reference by itsmerathanraj@gmail.com</t>
  </si>
  <si>
    <t>Abhijit Patil</t>
  </si>
  <si>
    <t>abhikpatil@gmail.com</t>
  </si>
  <si>
    <t>Vetri Kumar</t>
  </si>
  <si>
    <t>vetrikumar2409@gmail.com</t>
  </si>
  <si>
    <t>Krishnananda Bhatt</t>
  </si>
  <si>
    <t>krishnabhat009@gmail.com</t>
  </si>
  <si>
    <t>Referred by Amar</t>
  </si>
  <si>
    <t>Anubhav Bhatnagar</t>
  </si>
  <si>
    <t>anubhav.bhatnagar.it@gmail.com</t>
  </si>
  <si>
    <t>Referred by Mandeep</t>
  </si>
  <si>
    <t>Minal Golatkar</t>
  </si>
  <si>
    <t>minal.golatkar@gmail.com</t>
  </si>
  <si>
    <t>Kishore Battineni</t>
  </si>
  <si>
    <t>kishore.battineni@gmail.com</t>
  </si>
  <si>
    <t>Ravi Krishnan</t>
  </si>
  <si>
    <t>Richi Sancheti</t>
  </si>
  <si>
    <t>richi.sancheti242@gmail.com</t>
  </si>
  <si>
    <t>Sripunya Mishra</t>
  </si>
  <si>
    <t>sripunya.mishra@gmail.com</t>
  </si>
  <si>
    <t>Aditi Bistwork</t>
  </si>
  <si>
    <t>aditibistwork@gmail.com</t>
  </si>
  <si>
    <t>Asra Khan</t>
  </si>
  <si>
    <t>asranwarkhan@gmail.com</t>
  </si>
  <si>
    <t>Kaushal Kishor</t>
  </si>
  <si>
    <t>kaushal.kishor@gmail.com</t>
  </si>
  <si>
    <t>Reference by arpit.b.agarwal@gmail.com</t>
  </si>
  <si>
    <t>Pratibha Ruth Berister</t>
  </si>
  <si>
    <t>pratibharuthberister@gmail.com</t>
  </si>
  <si>
    <t>Pragya Shri</t>
  </si>
  <si>
    <t>pragyashri94@gmail.com</t>
  </si>
  <si>
    <t>Shashi Purohit</t>
  </si>
  <si>
    <t>shashipurohit9@gmail.com</t>
  </si>
  <si>
    <t>Veerasingam</t>
  </si>
  <si>
    <t>veeraav0502@gmail.com</t>
  </si>
  <si>
    <t>sribala_deva@yahoo.co.in</t>
  </si>
  <si>
    <t>Sheetal Salunke</t>
  </si>
  <si>
    <t>sheetalsalunke.cmpica@gmail.com</t>
  </si>
  <si>
    <t>Ashwini</t>
  </si>
  <si>
    <t>coolash01@gmail.com</t>
  </si>
  <si>
    <t>Bharathi Bandi</t>
  </si>
  <si>
    <t>bharathib2021@gmail.com</t>
  </si>
  <si>
    <t>Reference by glsaiprasad2018@gmail.com</t>
  </si>
  <si>
    <t>Pallavi Agrawal</t>
  </si>
  <si>
    <t>pallavi.agrawal@outlook.com</t>
  </si>
  <si>
    <t>8-9 Oct 2022</t>
  </si>
  <si>
    <t>pnvignesh@gmail.com</t>
  </si>
  <si>
    <t>Ajin R K</t>
  </si>
  <si>
    <t>ajinrk004@gmail.com</t>
  </si>
  <si>
    <t>17-18 Oct 2022</t>
  </si>
  <si>
    <t>Renuka Shinde</t>
  </si>
  <si>
    <t>renuka_d_shinde@yahoo.com</t>
  </si>
  <si>
    <t>12-13 Nov 2022</t>
  </si>
  <si>
    <t>5-6 Nov 2022</t>
  </si>
  <si>
    <t>Kunal S</t>
  </si>
  <si>
    <t>kunals82@gmail.com</t>
  </si>
  <si>
    <t>Reference by psaduwale@gmail.com</t>
  </si>
  <si>
    <t>Sasidhar</t>
  </si>
  <si>
    <t>Sujoy</t>
  </si>
  <si>
    <t>2006.sujoy@gmail.com</t>
  </si>
  <si>
    <t>7-9 Oct 2022</t>
  </si>
  <si>
    <t>Akanksha</t>
  </si>
  <si>
    <t>akanksha393@gmail.com</t>
  </si>
  <si>
    <t>15-17 Oct 2022</t>
  </si>
  <si>
    <t>Shamsu</t>
  </si>
  <si>
    <t>shamsuvkd@gmail.com</t>
  </si>
  <si>
    <t>Hymavathy Chokanath</t>
  </si>
  <si>
    <t>chymavathy@hotmail.com</t>
  </si>
  <si>
    <t>Saranya</t>
  </si>
  <si>
    <t>dhanya990@gmail.com</t>
  </si>
  <si>
    <t>Ranjitha</t>
  </si>
  <si>
    <t>ranjitha.3087@gmail.com</t>
  </si>
  <si>
    <t>Anuja</t>
  </si>
  <si>
    <t>shewaleanuja@ymail.com</t>
  </si>
  <si>
    <t>Gokul Kadium</t>
  </si>
  <si>
    <t>gokul.kadium@gmail.com</t>
  </si>
  <si>
    <t>Reference by shewaleanuja@ymail.com</t>
  </si>
  <si>
    <t>Satyam Kalekar</t>
  </si>
  <si>
    <t>satya.kalekar@gmail.com</t>
  </si>
  <si>
    <t>Reference by Adnan</t>
  </si>
  <si>
    <t>Anil Panama</t>
  </si>
  <si>
    <t>panamagd@gmail.com</t>
  </si>
  <si>
    <t>Prabhakar Jeewitesh</t>
  </si>
  <si>
    <t>prabhakarjkp@gmail.com</t>
  </si>
  <si>
    <t>Gopal Udayak</t>
  </si>
  <si>
    <t>gopaludayak@gmail.com</t>
  </si>
  <si>
    <t>21-22 Nov 2022</t>
  </si>
  <si>
    <t>Megha Satish</t>
  </si>
  <si>
    <t>meghasatish.14@gmail.com</t>
  </si>
  <si>
    <t>Livinstone Newton</t>
  </si>
  <si>
    <t>itzmelivi@gmail.com</t>
  </si>
  <si>
    <t>M Tejal</t>
  </si>
  <si>
    <t>mtejaal@gmail.com</t>
  </si>
  <si>
    <t>Reference by Anil Khetmalis</t>
  </si>
  <si>
    <t>Barathi Jayakumar</t>
  </si>
  <si>
    <t>barathi.jayakumar@gmail.com</t>
  </si>
  <si>
    <t>Ravi Sankart</t>
  </si>
  <si>
    <t>ravisankart.90@gmail.com</t>
  </si>
  <si>
    <t>Melanified Sebastian</t>
  </si>
  <si>
    <t>melanified@gmail.com</t>
  </si>
  <si>
    <t>Sandeep Dhruve</t>
  </si>
  <si>
    <t>sandeep_dhruve@hotmail.com</t>
  </si>
  <si>
    <t>Geetanjali Gupta</t>
  </si>
  <si>
    <t>gupta.geetanjali.2021@gmail.com</t>
  </si>
  <si>
    <t>19-20 Nov 2022</t>
  </si>
  <si>
    <t>Shreepurna Das</t>
  </si>
  <si>
    <t>dasshreepurna10@gmail.com</t>
  </si>
  <si>
    <t>BA Masters</t>
  </si>
  <si>
    <t>niranjan.ghmssb@gmail.com</t>
  </si>
  <si>
    <t>Sandeep Kumar Mangu</t>
  </si>
  <si>
    <t>sandeepkumar.mangu@gmail.com</t>
  </si>
  <si>
    <t>Praveen Mesa</t>
  </si>
  <si>
    <t>pravin8769@gmail.com</t>
  </si>
  <si>
    <t>Reference by Sandeep</t>
  </si>
  <si>
    <t>Kanchan Kumari</t>
  </si>
  <si>
    <t>mr.bkrishnareddy@gmail.com</t>
  </si>
  <si>
    <t>Abhipsa Behera</t>
  </si>
  <si>
    <t>abhipsabehera91@gmail.com</t>
  </si>
  <si>
    <t>Pratik Desai</t>
  </si>
  <si>
    <t>pgp22.pratik@spjimr.org</t>
  </si>
  <si>
    <t>29-30 Oct 2022</t>
  </si>
  <si>
    <t>Shalini Singh</t>
  </si>
  <si>
    <t>shalinisinghv86@gmail.com</t>
  </si>
  <si>
    <t>Piu Chatterjee</t>
  </si>
  <si>
    <t>hellopiuhere@gmail.com</t>
  </si>
  <si>
    <t>Pushkala B</t>
  </si>
  <si>
    <t>pushkalab@gmail.com</t>
  </si>
  <si>
    <t>TOGAF</t>
  </si>
  <si>
    <t>PMP 1st Partial</t>
  </si>
  <si>
    <t>Ashif Rahaman</t>
  </si>
  <si>
    <t>ashif.rahaman@tcs.com</t>
  </si>
  <si>
    <t>Anupreet</t>
  </si>
  <si>
    <t>apsw20@gmail.com</t>
  </si>
  <si>
    <t>Ravi Muragani</t>
  </si>
  <si>
    <t>ravimuragani38@gmail.com</t>
  </si>
  <si>
    <t>Reference by Ravi Murugani</t>
  </si>
  <si>
    <t>Sai Dinesh Narisetti</t>
  </si>
  <si>
    <t>saidinesh.narisetti@gmail.com</t>
  </si>
  <si>
    <t>Reference by Dinesh Narisetti</t>
  </si>
  <si>
    <t>Nitesh</t>
  </si>
  <si>
    <t>nixprophotography@gmail.com</t>
  </si>
  <si>
    <t>Nupur Jamthe</t>
  </si>
  <si>
    <t>nupurjamthe@gmail.com</t>
  </si>
  <si>
    <t>AWS Solution Architect</t>
  </si>
  <si>
    <t>web.anoop@gmail.com</t>
  </si>
  <si>
    <t>Nagesh</t>
  </si>
  <si>
    <t>gknageshin@gmail.com</t>
  </si>
  <si>
    <t>Angeline Diviya</t>
  </si>
  <si>
    <t>angeline.diviya@gmail.com</t>
  </si>
  <si>
    <t>10-11 Nov 2022</t>
  </si>
  <si>
    <t>Mithu Ghos</t>
  </si>
  <si>
    <t>mithughos@gmail.com</t>
  </si>
  <si>
    <t>Reference by Rinku</t>
  </si>
  <si>
    <t>Stuti Baliyan</t>
  </si>
  <si>
    <t>imstuti.net@gmail.com</t>
  </si>
  <si>
    <t>Shyam Mass</t>
  </si>
  <si>
    <t>svnmass@gmail.com</t>
  </si>
  <si>
    <t>Avneesh Kularia</t>
  </si>
  <si>
    <t>avneesh.kularia@gmail.com</t>
  </si>
  <si>
    <t>Divya Garg</t>
  </si>
  <si>
    <t>divyagarg14@gmail.com</t>
  </si>
  <si>
    <t>22-23 Dec 2022</t>
  </si>
  <si>
    <t>Aisha Bhanu</t>
  </si>
  <si>
    <t>aishamahek24@gmail.com</t>
  </si>
  <si>
    <t>Jui Kale</t>
  </si>
  <si>
    <t>juikale@live.com</t>
  </si>
  <si>
    <t>Nalini Kumari</t>
  </si>
  <si>
    <t>nalini.kumari@tcs.com</t>
  </si>
  <si>
    <t>Pawan Muthyala</t>
  </si>
  <si>
    <t>pawan.muthyala@gmail.com</t>
  </si>
  <si>
    <t>Shruthi Vijayendra Kumar</t>
  </si>
  <si>
    <t>shruthi.vijayendrakumar@gmail.com</t>
  </si>
  <si>
    <t>Reference by Amrapali Ashoka</t>
  </si>
  <si>
    <t>pajjuris@gmail.com</t>
  </si>
  <si>
    <t>10-11 Dec 2022</t>
  </si>
  <si>
    <t>Venisha Griffin</t>
  </si>
  <si>
    <t>venisha.griffin@gmail.com</t>
  </si>
  <si>
    <t>Pramod Mulhar</t>
  </si>
  <si>
    <t>mulharpramod@gmail.com</t>
  </si>
  <si>
    <t>Bharathi</t>
  </si>
  <si>
    <t>bbj2387@gmail.com</t>
  </si>
  <si>
    <t>24-25 Dec 2022</t>
  </si>
  <si>
    <t>Vani Priyanka</t>
  </si>
  <si>
    <t>vanipriyanka4@gmail.com</t>
  </si>
  <si>
    <t>Samir Dighe</t>
  </si>
  <si>
    <t>samir_nov122002@yahoo.co.in</t>
  </si>
  <si>
    <t>Aarti Shaw</t>
  </si>
  <si>
    <t>aartishaw2005@gmail.com</t>
  </si>
  <si>
    <t>Sailaja Kandula</t>
  </si>
  <si>
    <t>sailaja.kandula924@gmail.com</t>
  </si>
  <si>
    <t>Syed Shahid</t>
  </si>
  <si>
    <t>syedshahid4891@gmail.com</t>
  </si>
  <si>
    <t>Akshat C</t>
  </si>
  <si>
    <t>akshatc3@gmail.com</t>
  </si>
  <si>
    <t>Anitha Madhusudhan</t>
  </si>
  <si>
    <t>anitha.madhusudhan@gmail.com</t>
  </si>
  <si>
    <t>Swatranjan Lahiri</t>
  </si>
  <si>
    <t>swatranjan.lahiri@tcs.com</t>
  </si>
  <si>
    <t>17-18 Dec 2022</t>
  </si>
  <si>
    <t>Reference by Anirban</t>
  </si>
  <si>
    <t>Anindita De</t>
  </si>
  <si>
    <t>anindita.de@tcs.com</t>
  </si>
  <si>
    <t>Ramandeep Dhir</t>
  </si>
  <si>
    <t>raman.dhir1991@gmail.com</t>
  </si>
  <si>
    <t>Data Science with Python</t>
  </si>
  <si>
    <t>Vijay Baskar</t>
  </si>
  <si>
    <t>vijayabasker.vt@gmail.com</t>
  </si>
  <si>
    <t>Manasdhar</t>
  </si>
  <si>
    <t>manasdhara1@gmail.com</t>
  </si>
  <si>
    <t>Reference by Vijay Bhasker</t>
  </si>
  <si>
    <t>Rahul Vishwarupe</t>
  </si>
  <si>
    <t>rahul.vishwarupe@gmail.com</t>
  </si>
  <si>
    <t>Radhika</t>
  </si>
  <si>
    <t>sriradhika@gmail.com</t>
  </si>
  <si>
    <t>3-4 Dec 2022</t>
  </si>
  <si>
    <t>Reference by Prashant Saduwale</t>
  </si>
  <si>
    <t>Shailesh Kumar</t>
  </si>
  <si>
    <t>shaileshkumar902@gmail.com</t>
  </si>
  <si>
    <t>Reference by satya.kalekar@gmail.com</t>
  </si>
  <si>
    <t>Akhil</t>
  </si>
  <si>
    <t>akhilakl10@gmail.com</t>
  </si>
  <si>
    <t>Suma Namburi</t>
  </si>
  <si>
    <t>suma.namburi@advance-auto.com</t>
  </si>
  <si>
    <t>Navin Nair</t>
  </si>
  <si>
    <t>n3rules@gmail.com</t>
  </si>
  <si>
    <t>Jino Mathew</t>
  </si>
  <si>
    <t>jinokmathew@gmail.com</t>
  </si>
  <si>
    <t>Sanjyot Singh</t>
  </si>
  <si>
    <t>singh.sanjyot@gmail.com</t>
  </si>
  <si>
    <t>Subhadip Bhattacharya</t>
  </si>
  <si>
    <t>subhadip.bhattacharya@tcs.com</t>
  </si>
  <si>
    <t>Reference by rabi.saha@tcs.com</t>
  </si>
  <si>
    <t>Parul Kansal</t>
  </si>
  <si>
    <t>parulkansal_82@yahoo.com</t>
  </si>
  <si>
    <t>Karthikeyan Raj</t>
  </si>
  <si>
    <t>karthikeyan.raj@gmail.com</t>
  </si>
  <si>
    <t>Ranjith Kumar</t>
  </si>
  <si>
    <t>yamini.598@gmail.com</t>
  </si>
  <si>
    <t>Reference by kishore77in@yahoo.com</t>
  </si>
  <si>
    <t>Arun Kumar Jeyaseelan</t>
  </si>
  <si>
    <t>arunkumar.jeyaseelan@gmail.com</t>
  </si>
  <si>
    <t>Reference by apurvagawande1997@gmail.com</t>
  </si>
  <si>
    <t>Bala Maha G</t>
  </si>
  <si>
    <t>balamaha007@gmail.com</t>
  </si>
  <si>
    <t>Reference by Shyamanair</t>
  </si>
  <si>
    <t>Jyoti Rathore</t>
  </si>
  <si>
    <t>jyoti.rathore@capgemini.com</t>
  </si>
  <si>
    <t>Reference by balamaha007@gmail.com</t>
  </si>
  <si>
    <t>aks.rec05@gmail.com</t>
  </si>
  <si>
    <t>Reference by Anamika Sharma</t>
  </si>
  <si>
    <t>Kumarjit Hazra</t>
  </si>
  <si>
    <t>jit0407@gmail.com</t>
  </si>
  <si>
    <t>meenu2407@gmail.com</t>
  </si>
  <si>
    <t>Syed Rafi Ahmad</t>
  </si>
  <si>
    <t>nick_8990@yahoo.com</t>
  </si>
  <si>
    <t>Reference by Asra</t>
  </si>
  <si>
    <t>PMP 2nd Partial</t>
  </si>
  <si>
    <t>Salman Syed</t>
  </si>
  <si>
    <t>salmansyedd@gmail.com</t>
  </si>
  <si>
    <t>Mohit Pandey Kirtiya</t>
  </si>
  <si>
    <t>mohitpandeykirtiya@gmail.com</t>
  </si>
  <si>
    <t>Renu Solanki</t>
  </si>
  <si>
    <t>renusolanki12@gmail.com</t>
  </si>
  <si>
    <t>Anu Changi</t>
  </si>
  <si>
    <t>anu.ichangi@gmail.com</t>
  </si>
  <si>
    <t>Amrutha Rathod</t>
  </si>
  <si>
    <t>amruta.rathod@gmail.com</t>
  </si>
  <si>
    <t>Reference by tushargulati3007@gmail.com</t>
  </si>
  <si>
    <t>Arshad Ansari</t>
  </si>
  <si>
    <t>arshadansari.delhi@gmail.com</t>
  </si>
  <si>
    <t>Reference by ravindra2bisht@gmail.com</t>
  </si>
  <si>
    <t>Abhijeet Chakravorty</t>
  </si>
  <si>
    <t>abhijeetchakravorty03@gmail.com</t>
  </si>
  <si>
    <t>Vignesh Kumar Mani</t>
  </si>
  <si>
    <t>vigneshkumar.mani@in.bosch.com</t>
  </si>
  <si>
    <t>14-15 Dec 2022</t>
  </si>
  <si>
    <t>Smita Misal</t>
  </si>
  <si>
    <t>smita.misal@digitate.com</t>
  </si>
  <si>
    <t>Reference by chetan.malavade@tcs.com</t>
  </si>
  <si>
    <t>Priyanka Kevaliya</t>
  </si>
  <si>
    <t>priyanka.kevaliya@gmail.com</t>
  </si>
  <si>
    <t>Smita Dahiwase</t>
  </si>
  <si>
    <t>sandeepbhat77@gmail.com</t>
  </si>
  <si>
    <t>5-6 Dec 2022</t>
  </si>
  <si>
    <t>Md. Taheer</t>
  </si>
  <si>
    <t>t06adam25@gmail.com</t>
  </si>
  <si>
    <t>7-8 Jan 2022</t>
  </si>
  <si>
    <t>Kamlesh Sethi</t>
  </si>
  <si>
    <t>kamlesh.sethi@tcs.com</t>
  </si>
  <si>
    <t>Reference by swatranjan.lahiri@tcs.com</t>
  </si>
  <si>
    <t>Yukti Parmar</t>
  </si>
  <si>
    <t>yukti.parmar@gmail.com</t>
  </si>
  <si>
    <t>Reference by harshalrdc@gmail.com</t>
  </si>
  <si>
    <t>Banahansi Tayat</t>
  </si>
  <si>
    <t>banahansigantayat@gmail.com</t>
  </si>
  <si>
    <t>Reference by rakesh_bluemoon@yahoo.co.in</t>
  </si>
  <si>
    <t>Jojo George</t>
  </si>
  <si>
    <t>jojo.george@gmail.com</t>
  </si>
  <si>
    <t>Hari Priya</t>
  </si>
  <si>
    <t>haripriya.hpg@gmail.com</t>
  </si>
  <si>
    <t>21-22 Jan 2023</t>
  </si>
  <si>
    <t>Sunil Kumar</t>
  </si>
  <si>
    <t>ricardo.sunilkumar03@gmail.com</t>
  </si>
  <si>
    <t>Suchita Avsare</t>
  </si>
  <si>
    <t>suchita.avsare@tcs.com</t>
  </si>
  <si>
    <t>Reference by samir_nov122002@yahoo.co.in</t>
  </si>
  <si>
    <t>Rakesh Shah</t>
  </si>
  <si>
    <t>rakesh_bluemoon@yahoo.co.in</t>
  </si>
  <si>
    <t>Reference by priyanka5sep@gmail.com</t>
  </si>
  <si>
    <t>Banahansi Gantayat</t>
  </si>
  <si>
    <t>terdalravikumar@gmail.com</t>
  </si>
  <si>
    <t>Reference by manasdhara1@gmail.com</t>
  </si>
  <si>
    <t>Manoj Gandhi</t>
  </si>
  <si>
    <t>manojgandhi22@gmail.com</t>
  </si>
  <si>
    <t>Karthick Jayaraman</t>
  </si>
  <si>
    <t>karthick.jayaraman@gmail.com</t>
  </si>
  <si>
    <t>Reference by Ashoka Amrapali</t>
  </si>
  <si>
    <t>Sunil Sharma</t>
  </si>
  <si>
    <t>sunilsharma@eurofins.com</t>
  </si>
  <si>
    <t>7-8 Jan 2023</t>
  </si>
  <si>
    <t>Reference by sunnyagra@hotmail.com</t>
  </si>
  <si>
    <t>Anoop Singh</t>
  </si>
  <si>
    <t>anoop.ait@gmail.com</t>
  </si>
  <si>
    <t>Reference by amrapaliashoka@gmail.com</t>
  </si>
  <si>
    <t>Siddhika Mathur</t>
  </si>
  <si>
    <t>s.mathur0211@gmail.com</t>
  </si>
  <si>
    <t>PMP Plus with Exam 1st Partial</t>
  </si>
  <si>
    <t>Reference by amitsaha0908@gmail.com</t>
  </si>
  <si>
    <t>Raghul M</t>
  </si>
  <si>
    <t>raghul.m2020@gmail.com</t>
  </si>
  <si>
    <t>Reference by dhanushree.bj@gmail.com</t>
  </si>
  <si>
    <t>Misha Pious</t>
  </si>
  <si>
    <t>piousmisha@gmail.com</t>
  </si>
  <si>
    <t>Ravi Ameta</t>
  </si>
  <si>
    <t>raviametatech@gmail.com</t>
  </si>
  <si>
    <t>Reference by ravi.ameta01@gmail.com</t>
  </si>
  <si>
    <t>Sujith KG</t>
  </si>
  <si>
    <t>sujith.kg@advance-auto.com</t>
  </si>
  <si>
    <t>Kiranmayi Tumuluri</t>
  </si>
  <si>
    <t>kiranmayi.tumuluri@advance-auto.com</t>
  </si>
  <si>
    <t>Sandeep MSR</t>
  </si>
  <si>
    <t>sandymsr403@gmail.com</t>
  </si>
  <si>
    <t>Rajendiran Ramalingam</t>
  </si>
  <si>
    <t>rajendiran.ramalingam1@gmail.com</t>
  </si>
  <si>
    <t>Dhivya M</t>
  </si>
  <si>
    <t>mdhivya27@gmail.com</t>
  </si>
  <si>
    <t>Jayanta Anand</t>
  </si>
  <si>
    <t>jayantananda169@gmail.com</t>
  </si>
  <si>
    <t>Ankita Agrawal</t>
  </si>
  <si>
    <t>ankita.agrawal26@gmail.com</t>
  </si>
  <si>
    <t>29-30 Dec 2022</t>
  </si>
  <si>
    <t>Raj Kunwar</t>
  </si>
  <si>
    <t>rajkunwar@gmail.com</t>
  </si>
  <si>
    <t>Suprava Suta</t>
  </si>
  <si>
    <t>suprava.cutee@gmail.com</t>
  </si>
  <si>
    <t>Reference by Innovative Amit</t>
  </si>
  <si>
    <t>Nirmala Avula</t>
  </si>
  <si>
    <t>anirmalablore@gmail.com</t>
  </si>
  <si>
    <t>Reference by keerti1895@gmail.com</t>
  </si>
  <si>
    <t>Neha Chhabra</t>
  </si>
  <si>
    <t>nehchhabra@deloitte.com</t>
  </si>
  <si>
    <t>Prakash</t>
  </si>
  <si>
    <t>p6akash@gmail.com</t>
  </si>
  <si>
    <t>Reference by divyapriya0194@gmail.com</t>
  </si>
  <si>
    <t>Manjula Basavaraj</t>
  </si>
  <si>
    <t>manjulabasavaraj@yahoo.co.in</t>
  </si>
  <si>
    <t>Sheel Hegde</t>
  </si>
  <si>
    <t>sheela.hegde@gmail.com</t>
  </si>
  <si>
    <t>Ayushi Mohanty</t>
  </si>
  <si>
    <t>ayushimohanty14.10@gmail.com</t>
  </si>
  <si>
    <t>Reference by sriradhika@gmail.com</t>
  </si>
  <si>
    <t>Suresh Babu</t>
  </si>
  <si>
    <t>sureshbabu.chn@gmail.com</t>
  </si>
  <si>
    <t>Thillai</t>
  </si>
  <si>
    <t>vthillai89@gmail.com</t>
  </si>
  <si>
    <t>20-21 Dec 2022</t>
  </si>
  <si>
    <t>Ashok Poojary</t>
  </si>
  <si>
    <t>ashok.poojary@gmail.com</t>
  </si>
  <si>
    <t>Sharika</t>
  </si>
  <si>
    <t>Pallavi Daje</t>
  </si>
  <si>
    <t>pmuddaje36@gmail.com</t>
  </si>
  <si>
    <t>Reference by anamika.sharma07@gmail.com</t>
  </si>
  <si>
    <t>Vishal Ingle</t>
  </si>
  <si>
    <t>vishal.v.ingle@airbus.com</t>
  </si>
  <si>
    <t>Lipika Chakraborty</t>
  </si>
  <si>
    <t>lipika.chakraborty@gmail.com</t>
  </si>
  <si>
    <t>Abhishek M P</t>
  </si>
  <si>
    <t>mpabhishek07@gmail.com</t>
  </si>
  <si>
    <t>Akash Saxena</t>
  </si>
  <si>
    <t>akkisaxena37@gmail.com</t>
  </si>
  <si>
    <t>Shweta Shri</t>
  </si>
  <si>
    <t>shwetashri0812@gmail.com</t>
  </si>
  <si>
    <t>Sachin Yadav</t>
  </si>
  <si>
    <t>yadavsachin0402@gmail.com</t>
  </si>
  <si>
    <t>28-29 Jan 2022</t>
  </si>
  <si>
    <t>Darsh Savsani</t>
  </si>
  <si>
    <t>darshsavsani@gmail.com</t>
  </si>
  <si>
    <t>31 Dec 2022 - 1 Jan 2023</t>
  </si>
  <si>
    <t>Natesh Kumar</t>
  </si>
  <si>
    <t>nateshkumaras@gmail.com</t>
  </si>
  <si>
    <t>Reference by vtjanaranjani@gmail.com</t>
  </si>
  <si>
    <t>Anju T R</t>
  </si>
  <si>
    <t>Renuka Chitluri</t>
  </si>
  <si>
    <t>renukachitluri89@gmail.com</t>
  </si>
  <si>
    <t>Manu Vats</t>
  </si>
  <si>
    <t>manu.vats3@gmail.com</t>
  </si>
  <si>
    <t>Anjali Maurya</t>
  </si>
  <si>
    <t>anjalimaurya@gmail.com</t>
  </si>
  <si>
    <t>Riaz</t>
  </si>
  <si>
    <t>riazdude@gmail.com</t>
  </si>
  <si>
    <t>Vinay Modi</t>
  </si>
  <si>
    <t>vinaymodi014@gmail.com</t>
  </si>
  <si>
    <t>Priya Sathyanarayana</t>
  </si>
  <si>
    <t>s.priya9186@gmail.com</t>
  </si>
  <si>
    <t>Reena Thomas</t>
  </si>
  <si>
    <t>mailtoreenat89@gmail.com</t>
  </si>
  <si>
    <t>Shruti Das</t>
  </si>
  <si>
    <t>mitu218@gmail.com</t>
  </si>
  <si>
    <t>Himanshu Bhatia</t>
  </si>
  <si>
    <t>hbhatia1987@hotmail.com</t>
  </si>
  <si>
    <t>Masood</t>
  </si>
  <si>
    <t>masood1354@gmail.com</t>
  </si>
  <si>
    <t>Sweta Kashyap</t>
  </si>
  <si>
    <t>sweetkash31@gmail.com</t>
  </si>
  <si>
    <t>26-27 Dec 2022</t>
  </si>
  <si>
    <t>Brinda</t>
  </si>
  <si>
    <t>worktogether778@gmail.com</t>
  </si>
  <si>
    <t>28-29 Jan 2023</t>
  </si>
  <si>
    <t>Jayasree Narayana</t>
  </si>
  <si>
    <t>jayasree.narayana@gmail.com</t>
  </si>
  <si>
    <t>Kiran Yakkala</t>
  </si>
  <si>
    <t>yakkala84@gmail.com</t>
  </si>
  <si>
    <t>Reference by yakkalak@gmail.com</t>
  </si>
  <si>
    <t>Anjurana</t>
  </si>
  <si>
    <t>anjurana15@gmail.com</t>
  </si>
  <si>
    <t>Mohammad Rouff</t>
  </si>
  <si>
    <t>mohd.rouff@gmail.com</t>
  </si>
  <si>
    <t>14-15 Jan 2023</t>
  </si>
  <si>
    <t>Achyuth Raju</t>
  </si>
  <si>
    <t>achyuth2050@gmail.com</t>
  </si>
  <si>
    <t>Sneha Poduri</t>
  </si>
  <si>
    <t>poduri.sneha@gmail.com</t>
  </si>
  <si>
    <t>Mukesh Karod</t>
  </si>
  <si>
    <t>mukesh.karode1@gmail.com</t>
  </si>
  <si>
    <t>Reference by amrapaliashoka@gmail.com (Sanjit Desai)</t>
  </si>
  <si>
    <t>Bijayini Sahoo</t>
  </si>
  <si>
    <t>bijayini.sahoo89@gmail.com</t>
  </si>
  <si>
    <t>Himanshu Aggarwal</t>
  </si>
  <si>
    <t>himanshu.agg1988@gmail.com</t>
  </si>
  <si>
    <t>Poomica</t>
  </si>
  <si>
    <t>poomica1001@gmail.com</t>
  </si>
  <si>
    <t>18-19 Feb 2023</t>
  </si>
  <si>
    <t>Anish Bhandari</t>
  </si>
  <si>
    <t>anishbhandari88@gmail.com</t>
  </si>
  <si>
    <t>Reena Kotian</t>
  </si>
  <si>
    <t>reenaallenkotian@gmail.com</t>
  </si>
  <si>
    <t>Gaurav Helix</t>
  </si>
  <si>
    <t>gaurav.helix@gmail.com</t>
  </si>
  <si>
    <t>Ashwini Poonacha</t>
  </si>
  <si>
    <t>ashwinipoonacha@gmail.com</t>
  </si>
  <si>
    <t>App Quey box</t>
  </si>
  <si>
    <t>Prathap Suriaprakash</t>
  </si>
  <si>
    <t>prathap.suriaprakash@gmail.com</t>
  </si>
  <si>
    <t>Reference by Siddharth - Lalit</t>
  </si>
  <si>
    <t>Nidhi Jauhari</t>
  </si>
  <si>
    <t>nidhi.jauhari@gmail.com</t>
  </si>
  <si>
    <t>Reference by ashishawandkar@gmail.com</t>
  </si>
  <si>
    <t>Shantaram Dhumal</t>
  </si>
  <si>
    <t>shantaram.dhumal11@gmail.com</t>
  </si>
  <si>
    <t>Jyoti Jayprakash</t>
  </si>
  <si>
    <t>joti_p@rediffmail.com</t>
  </si>
  <si>
    <t>Reference by shantaram.dhumal11@gmail.com</t>
  </si>
  <si>
    <t>Lakshmi Priya Nataraj</t>
  </si>
  <si>
    <t>nataraj.priya@gmail.com</t>
  </si>
  <si>
    <t>Ashoka Amrapali</t>
  </si>
  <si>
    <t>Monica Garg</t>
  </si>
  <si>
    <t>monigarg@gmail.com</t>
  </si>
  <si>
    <t>Shriram Shrivastava</t>
  </si>
  <si>
    <t>shriram.datar@tcs.com</t>
  </si>
  <si>
    <t>Linsha Saulfeer</t>
  </si>
  <si>
    <t>linshasulfeer@gmail.com</t>
  </si>
  <si>
    <t>17-18 Jan 2023</t>
  </si>
  <si>
    <t>Aayush Mathur</t>
  </si>
  <si>
    <t>aayush.mathur4@gmail.com</t>
  </si>
  <si>
    <t>10-12 Jan 2023</t>
  </si>
  <si>
    <t>Mamata Kulk</t>
  </si>
  <si>
    <t>mam.kulk@gmail.com</t>
  </si>
  <si>
    <t>Neeraj Bhatt</t>
  </si>
  <si>
    <t>neeraj78bhatt190@gmail.com</t>
  </si>
  <si>
    <t>Komala Nijaguna</t>
  </si>
  <si>
    <t>komasterix@gmail.com</t>
  </si>
  <si>
    <t>Aman Jainer</t>
  </si>
  <si>
    <t>amanjainer@gmail.com</t>
  </si>
  <si>
    <t>Prasanna Sesh</t>
  </si>
  <si>
    <t>prasannasesh.2009@gmail.com</t>
  </si>
  <si>
    <t>4-5 Feb 2023</t>
  </si>
  <si>
    <t>Deepsikha Ghose</t>
  </si>
  <si>
    <t>deepsikhaghose1905@gmail.com</t>
  </si>
  <si>
    <t>Rajarshi Datta</t>
  </si>
  <si>
    <t>rajarshi.datta@bt.com</t>
  </si>
  <si>
    <t>11-12 Feb 2023</t>
  </si>
  <si>
    <t>Reference by swatranjan.lahiri@bt.com</t>
  </si>
  <si>
    <t>Reference by harshad.saluja@gmail.com</t>
  </si>
  <si>
    <t>Nisha Iyer</t>
  </si>
  <si>
    <t>nishpower@gmail.com</t>
  </si>
  <si>
    <t>Reference by sheela.hegde@gmail.com</t>
  </si>
  <si>
    <t>Kush Maheshwari</t>
  </si>
  <si>
    <t>kushmaheshwari01@gmail.com</t>
  </si>
  <si>
    <t>Rohan Erande</t>
  </si>
  <si>
    <t>rohan.erande@gmail.com</t>
  </si>
  <si>
    <t>Aparna Gupta</t>
  </si>
  <si>
    <t>aparna.ap@gmail.com</t>
  </si>
  <si>
    <t>Amey Tambe</t>
  </si>
  <si>
    <t>amey_iaf@yahoo.co.in</t>
  </si>
  <si>
    <t>PMP Plus with Exam 2nd Partial</t>
  </si>
  <si>
    <t>Sushil Nair</t>
  </si>
  <si>
    <t>nair.sushil54@gmail.com</t>
  </si>
  <si>
    <t>Rinisha</t>
  </si>
  <si>
    <t>rinisha_v@yahoo.co.in</t>
  </si>
  <si>
    <t>Atul Khare</t>
  </si>
  <si>
    <t>er.atulkhare@gmail.com</t>
  </si>
  <si>
    <t>Rajeev Jha</t>
  </si>
  <si>
    <t>static.virtue@gmail.com</t>
  </si>
  <si>
    <t>Sandeep Verma</t>
  </si>
  <si>
    <t>verma.sandeep01@yahoo.com</t>
  </si>
  <si>
    <t>Shaily Soni</t>
  </si>
  <si>
    <t>shailysoni00@gmail.com</t>
  </si>
  <si>
    <t>Moonmoon</t>
  </si>
  <si>
    <t>moonshinee6@gmail.com</t>
  </si>
  <si>
    <t>Nidhi Arora</t>
  </si>
  <si>
    <t>nidhiaroralp@gmail.com</t>
  </si>
  <si>
    <t>Nandhini PS</t>
  </si>
  <si>
    <t>psnandhinimay7@gmail.com</t>
  </si>
  <si>
    <t>Renu Sharma</t>
  </si>
  <si>
    <t>renu.sharma934@gmail.com</t>
  </si>
  <si>
    <t>Anu Apoorva</t>
  </si>
  <si>
    <t>anu.apoorva@gmail.com</t>
  </si>
  <si>
    <t>Deepti Mishra</t>
  </si>
  <si>
    <t>deeptimishra_84@yahoo.com</t>
  </si>
  <si>
    <t>Krupa Padmanaban</t>
  </si>
  <si>
    <t>krupa.padmanaban@gmail.com</t>
  </si>
  <si>
    <t>Lazarus Imanuel</t>
  </si>
  <si>
    <t>lazar2manuel@yahoo.co.in</t>
  </si>
  <si>
    <t>23-25 Jan 2023</t>
  </si>
  <si>
    <t>Reference by pragyak491@gmail.com</t>
  </si>
  <si>
    <t>Rakesh Anand</t>
  </si>
  <si>
    <t>anandanrakesh@gmail.com</t>
  </si>
  <si>
    <t>Ben Lawrence</t>
  </si>
  <si>
    <t>benlawrence4@gmail.com</t>
  </si>
  <si>
    <t>Dharmendra</t>
  </si>
  <si>
    <t>dharmendra.mca2006@gmail.com</t>
  </si>
  <si>
    <t>Madhavi</t>
  </si>
  <si>
    <t>madhavi.507@gmail.com</t>
  </si>
  <si>
    <t>Reference by suprava.cutee@gmail.com</t>
  </si>
  <si>
    <t>Subhashree Gururajan</t>
  </si>
  <si>
    <t>subhashreegururajan@gmail.com</t>
  </si>
  <si>
    <t>Manoj Gosain</t>
  </si>
  <si>
    <t>Pushpita K</t>
  </si>
  <si>
    <t>k.pushpita@gmail.com</t>
  </si>
  <si>
    <t>Lavanya Akkineni</t>
  </si>
  <si>
    <t>akkineni28@gmail.com</t>
  </si>
  <si>
    <t>akashmay37@gmail.com</t>
  </si>
  <si>
    <t>Devroop Moulik</t>
  </si>
  <si>
    <t>devroop.moulik@gmail.com</t>
  </si>
  <si>
    <t>Parth</t>
  </si>
  <si>
    <t>13202212@ksom.ac.in</t>
  </si>
  <si>
    <t>Krishanu</t>
  </si>
  <si>
    <t>krishanu.b@tcs.com</t>
  </si>
  <si>
    <t>Reference by 13202212@ksom.ac.in</t>
  </si>
  <si>
    <t>Trisha Sharma</t>
  </si>
  <si>
    <t>trisharma2011@gmail.com</t>
  </si>
  <si>
    <t>Nagaraj T D</t>
  </si>
  <si>
    <t>nagarajtd8118@gmail.com</t>
  </si>
  <si>
    <t>Reference by terdalravikumar@gmail.com</t>
  </si>
  <si>
    <t>Sukanya Misra</t>
  </si>
  <si>
    <t>sukanya.misra@outlook.com</t>
  </si>
  <si>
    <t>Reference by static.virtue@gmail.com</t>
  </si>
  <si>
    <t>23-26 Feb 2023</t>
  </si>
  <si>
    <t>64755/ 00064755_01</t>
  </si>
  <si>
    <t>Shashwat Kumar</t>
  </si>
  <si>
    <t>shashwatkumar@hotmail.com</t>
  </si>
  <si>
    <t>Sumi Paramesh</t>
  </si>
  <si>
    <t>sumiparamesh@gmail.com</t>
  </si>
  <si>
    <t>Vaibhav Bhatia</t>
  </si>
  <si>
    <t>vaibhavbhatia89@gmail.com</t>
  </si>
  <si>
    <t>Poornima</t>
  </si>
  <si>
    <t>poornima2910@gmail.com</t>
  </si>
  <si>
    <t>Sreelakshmi Pillai</t>
  </si>
  <si>
    <t>pillaisreelakshmi12@gmail.com</t>
  </si>
  <si>
    <t>10-12 Feb 2023</t>
  </si>
  <si>
    <t>Prem Ananth</t>
  </si>
  <si>
    <t>premananthc@gmail.com</t>
  </si>
  <si>
    <t>Vidhya Soma</t>
  </si>
  <si>
    <t>vidhya.soma@gmail.com</t>
  </si>
  <si>
    <t>Gaurav Vipani</t>
  </si>
  <si>
    <t>gauravvipani@gmail.com</t>
  </si>
  <si>
    <t>Praveen</t>
  </si>
  <si>
    <t>npraveen@msn.com</t>
  </si>
  <si>
    <t>P2 P</t>
  </si>
  <si>
    <t>Shivakumar Manju</t>
  </si>
  <si>
    <t>kumarmanju.shiva@yahoo.com</t>
  </si>
  <si>
    <t>Reference by amrapaliashoka@gmail.com - aks.rec05@gmail.com</t>
  </si>
  <si>
    <t>123akancha@gmail.com</t>
  </si>
  <si>
    <t>Pooja Subramanian</t>
  </si>
  <si>
    <t>poojasubramanian0526@gmail.com</t>
  </si>
  <si>
    <t>Reference by amrapaliashoka@gmail.com - divyapriya0194@gmail.com</t>
  </si>
  <si>
    <t>swatijain0788@gmail.com</t>
  </si>
  <si>
    <t>Imran Shak</t>
  </si>
  <si>
    <t>imrank.shaikh@tcs.com</t>
  </si>
  <si>
    <t>Abdul S K</t>
  </si>
  <si>
    <t>abdul.sk257@gmail.com</t>
  </si>
  <si>
    <t>Bibhu Mohan</t>
  </si>
  <si>
    <t>like2bibhu@gmail.com</t>
  </si>
  <si>
    <t>Reference by sahoo.subha1024@gmail.com</t>
  </si>
  <si>
    <t>Subhashree Sahoo</t>
  </si>
  <si>
    <t>sahoo.subha1024@gmail.com</t>
  </si>
  <si>
    <t>Reference by mail2bibhu@gmail.com</t>
  </si>
  <si>
    <t>Anindita Biswas</t>
  </si>
  <si>
    <t>anee.s.biswas@gmail.com</t>
  </si>
  <si>
    <t>Swarnendu Kundu</t>
  </si>
  <si>
    <t>kundu.swarnendu.87@gmail.com</t>
  </si>
  <si>
    <t>Spandana Gaddam</t>
  </si>
  <si>
    <t>gaddamspandana18@gmail.com</t>
  </si>
  <si>
    <t>27-28 Feb 2023</t>
  </si>
  <si>
    <t>Pratyusha Chakrabarti</t>
  </si>
  <si>
    <t>pratyusha.chakrabarti@gmail.com</t>
  </si>
  <si>
    <t>Shishir Shrivastava</t>
  </si>
  <si>
    <t>shrivastava.shishir10@gmail.com</t>
  </si>
  <si>
    <t>Reference by Mihir - keerti1895@gmail.com</t>
  </si>
  <si>
    <t>Arti Wagh</t>
  </si>
  <si>
    <t>arti.wagh@yahoo.com</t>
  </si>
  <si>
    <t>Shailesh Junghare</t>
  </si>
  <si>
    <t>shaileshjunghare@yahoo.com</t>
  </si>
  <si>
    <t>Reference by Shailesh - pragyak491@gmail.com</t>
  </si>
  <si>
    <t>Arun Kumar Arumughan</t>
  </si>
  <si>
    <t>athiaru18@gmail.com</t>
  </si>
  <si>
    <t>Reference by arunkumar.arumughan@gmail.com</t>
  </si>
  <si>
    <t>Vipin Tripathi</t>
  </si>
  <si>
    <t>vipin.tripathi@tcs.com</t>
  </si>
  <si>
    <t>25-26 Feb 2023</t>
  </si>
  <si>
    <t>Hari Krishna</t>
  </si>
  <si>
    <t>harikrishna1014@gmail.com</t>
  </si>
  <si>
    <t>Sachin Prasanna</t>
  </si>
  <si>
    <t>sachinprasanna@gmail.com</t>
  </si>
  <si>
    <t>Geetha</t>
  </si>
  <si>
    <t>geetha0806@gmail.com</t>
  </si>
  <si>
    <t>Balaji T K</t>
  </si>
  <si>
    <t>balajitk1983@gmail.com</t>
  </si>
  <si>
    <t>Reference by verma.sandeep01@yahoo.com</t>
  </si>
  <si>
    <t>Annal Metilda</t>
  </si>
  <si>
    <t>metil.david@gmail.com</t>
  </si>
  <si>
    <t>Vikram Sujith</t>
  </si>
  <si>
    <t>vikram.sujith@gmail.com</t>
  </si>
  <si>
    <t>sandeep180816@gmail.com</t>
  </si>
  <si>
    <t>Reference by pranavbarve15@gmail.com</t>
  </si>
  <si>
    <t>Abubakkar Sithick</t>
  </si>
  <si>
    <t>absithick@gmail.com</t>
  </si>
  <si>
    <t>4-5 March 2023</t>
  </si>
  <si>
    <t>Spandana Sidharth</t>
  </si>
  <si>
    <t>spandanasidharth@gmail.com</t>
  </si>
  <si>
    <t>Pooja Bhardwaj</t>
  </si>
  <si>
    <t>pooja.201246@homecredit.co.in</t>
  </si>
  <si>
    <t>Reference by krishnendu.97274@homecredit.co.in</t>
  </si>
  <si>
    <t>Vinayak Jaksan</t>
  </si>
  <si>
    <t>vinayak_j@hotmail.com</t>
  </si>
  <si>
    <t>Arnab Kumar</t>
  </si>
  <si>
    <t>arnabkumar0408@gmail.com</t>
  </si>
  <si>
    <t>Pubalee Kalita</t>
  </si>
  <si>
    <t>pubalee1.kalita@gmail.com</t>
  </si>
  <si>
    <t>Ayush Vyas</t>
  </si>
  <si>
    <t>ayush.y.vyas@gmail.com</t>
  </si>
  <si>
    <t>Vibha Yadav</t>
  </si>
  <si>
    <t>vibha_yadav2008@yahoo.com</t>
  </si>
  <si>
    <t>Reference by hbhatia1987@hotmail.com</t>
  </si>
  <si>
    <t>Kamaldeep Sharma</t>
  </si>
  <si>
    <t>kamalsharma14feb@gmail.com</t>
  </si>
  <si>
    <t>Sri Radhika</t>
  </si>
  <si>
    <t>Anand Chamy</t>
  </si>
  <si>
    <t>amarchamy@gmail.com</t>
  </si>
  <si>
    <t>11-12 March 2023</t>
  </si>
  <si>
    <t>Reference by nataraj.priya@gmail.com</t>
  </si>
  <si>
    <t>Shivani Jain</t>
  </si>
  <si>
    <t>shivanijain.1@gmail.com</t>
  </si>
  <si>
    <t>Kalyani Reddy</t>
  </si>
  <si>
    <t>kalyanireddyk@gmail.com</t>
  </si>
  <si>
    <t>Anjum Naziya</t>
  </si>
  <si>
    <t>anjumnaziya90@gmail.com</t>
  </si>
  <si>
    <t>Sherin Mohamed</t>
  </si>
  <si>
    <t>sherin.mohamed@hotmail.com</t>
  </si>
  <si>
    <t>Shivaram Shastry</t>
  </si>
  <si>
    <t>shivaram.shastry@gmail.com</t>
  </si>
  <si>
    <t>Reference by pubalee1.kalita@gmail.com</t>
  </si>
  <si>
    <t>Mrudula Menon</t>
  </si>
  <si>
    <t>mrudulamenon1988@gmail.com</t>
  </si>
  <si>
    <t>Saravanan</t>
  </si>
  <si>
    <t>saravanan.subbu@gmail.com</t>
  </si>
  <si>
    <t>Reference by anandanrakesh@gmail.com</t>
  </si>
  <si>
    <t>Manpreet Singh</t>
  </si>
  <si>
    <t>m4manpreet@gmail.com</t>
  </si>
  <si>
    <t>Shrinidhi</t>
  </si>
  <si>
    <t>coolshrinidhi8@gmail.com</t>
  </si>
  <si>
    <t>Ashish M</t>
  </si>
  <si>
    <t>aashish2k@gmail.com</t>
  </si>
  <si>
    <t>Reference by rakeshjiddewar@gmail.com</t>
  </si>
  <si>
    <t>Akshay Sasidharan</t>
  </si>
  <si>
    <t>akshaysasidharank@gmail.com</t>
  </si>
  <si>
    <t>Greeshma</t>
  </si>
  <si>
    <t>greeshmas272@gmail.com</t>
  </si>
  <si>
    <t>Kokila Sengottaian</t>
  </si>
  <si>
    <t>koki.sengottaian@gmail.com</t>
  </si>
  <si>
    <t>Referencey by vthillai89@gmail.com</t>
  </si>
  <si>
    <t>Sowbhagya Vallich</t>
  </si>
  <si>
    <t>sowbhagyavallich@gmail.com</t>
  </si>
  <si>
    <t>Niladri Sekhar</t>
  </si>
  <si>
    <t>niladrisekhar2005@gmail.com</t>
  </si>
  <si>
    <t>Reference by ashif.tcs@gmail.com</t>
  </si>
  <si>
    <t>Saranya Mathiyalagan</t>
  </si>
  <si>
    <t>saranya.mathiyalagan@gmail.com</t>
  </si>
  <si>
    <t>Sankar Balakrishnan</t>
  </si>
  <si>
    <t>snkr.ece@gmail.com</t>
  </si>
  <si>
    <t>Abhianaya</t>
  </si>
  <si>
    <t>abinayabio@gmail.com</t>
  </si>
  <si>
    <t>Reference by koki.sengottaian@gmail.com</t>
  </si>
  <si>
    <t>Sameer</t>
  </si>
  <si>
    <t>sameerthink@gmail.com</t>
  </si>
  <si>
    <t>Reference by kalyanireddyk@gmail.com</t>
  </si>
  <si>
    <t>Praveen Kumar</t>
  </si>
  <si>
    <t>kumarrai@gmail.com</t>
  </si>
  <si>
    <t>Subrat Kumar Pattnaik</t>
  </si>
  <si>
    <t>subrat454@gmail.com</t>
  </si>
  <si>
    <t>Amit Nair</t>
  </si>
  <si>
    <t>amitnairmailbox@gmail.com</t>
  </si>
  <si>
    <t>Vijay Raman</t>
  </si>
  <si>
    <t>vijayanandks@me.com</t>
  </si>
  <si>
    <t>Reference by Balaji - amrapaliashoka@gmail.com</t>
  </si>
  <si>
    <t>Shreedharan Nair</t>
  </si>
  <si>
    <t>shreedharan.nair@allianz.com</t>
  </si>
  <si>
    <t>3-5 March 2023</t>
  </si>
  <si>
    <t>Neha</t>
  </si>
  <si>
    <t>nehadreams1@gmail.com</t>
  </si>
  <si>
    <t>Astha Jain</t>
  </si>
  <si>
    <t>jainastha09@gmail.com</t>
  </si>
  <si>
    <t>Manish Dixit</t>
  </si>
  <si>
    <t>manish4984@gmail.com</t>
  </si>
  <si>
    <t>Reference by abinayabio@gmail.com</t>
  </si>
  <si>
    <t>Shilpa Dixit</t>
  </si>
  <si>
    <t>shilpa.m.dixit@gmail.com</t>
  </si>
  <si>
    <t>Reference by manish4984@gmail.com</t>
  </si>
  <si>
    <t>Supriya</t>
  </si>
  <si>
    <t>soupreeya@gmail.com</t>
  </si>
  <si>
    <t>18-19 March 2023</t>
  </si>
  <si>
    <t>Vijayanath Ramesh</t>
  </si>
  <si>
    <t>r_vijaynath@yahoo.co.in</t>
  </si>
  <si>
    <t>6-7 March 2023</t>
  </si>
  <si>
    <t>Nithin</t>
  </si>
  <si>
    <t>nithin265@gmail.com</t>
  </si>
  <si>
    <t>Rajkumar Rajarajan</t>
  </si>
  <si>
    <t>rrajkumar1984@gmail.com</t>
  </si>
  <si>
    <t>Reference by madhavi.507@gmail.com</t>
  </si>
  <si>
    <t>Debabrata Das</t>
  </si>
  <si>
    <t>debabrata.d@tcs.com</t>
  </si>
  <si>
    <t>Shikha Chugh</t>
  </si>
  <si>
    <t>shikhachugh89@gmail.com</t>
  </si>
  <si>
    <t>Reference by nehchhabra@deloitte.com</t>
  </si>
  <si>
    <t>Kalpana Palaniappan</t>
  </si>
  <si>
    <t>kalpana.palania@gmail.com</t>
  </si>
  <si>
    <t>Reference by lakshmi_das25@yahoo.com</t>
  </si>
  <si>
    <t>Lakshmi Das</t>
  </si>
  <si>
    <t>lakshmi_das25@yahoo.com</t>
  </si>
  <si>
    <t>Reference by kalpanappp@yahoo.co.in</t>
  </si>
  <si>
    <t>Zorawar Purohit</t>
  </si>
  <si>
    <t>zorawar.purohit@gmail.com</t>
  </si>
  <si>
    <t>Monika Sharma</t>
  </si>
  <si>
    <t>sharma.monika.1986@gmail.com</t>
  </si>
  <si>
    <t>Raghavender Annasarapu</t>
  </si>
  <si>
    <t>mailragannas@gmail.com</t>
  </si>
  <si>
    <t>Reference by balajitk1983@gmail.com</t>
  </si>
  <si>
    <t>Shashank Segu</t>
  </si>
  <si>
    <t>shashanksegu@gmail.com</t>
  </si>
  <si>
    <t>Reference by Taheer</t>
  </si>
  <si>
    <t>Nitin Jain</t>
  </si>
  <si>
    <t>nitin2402051@gmail.com</t>
  </si>
  <si>
    <t>25-26 March 2023</t>
  </si>
  <si>
    <t>Gaurav Patnaik</t>
  </si>
  <si>
    <t>gauravpatnaikcatoronto@gmail.com</t>
  </si>
  <si>
    <t>Reference by amrita.jena91@gmail.com</t>
  </si>
  <si>
    <t>Amrita Jena</t>
  </si>
  <si>
    <t>amrita.jena91@gmail.com</t>
  </si>
  <si>
    <t>Swati Chavan</t>
  </si>
  <si>
    <t>swat30@gmail.com</t>
  </si>
  <si>
    <t>Reference by amrapaliashoka@gmail.com - Someone else</t>
  </si>
  <si>
    <t>Snehal Kulkarni</t>
  </si>
  <si>
    <t>snehal.kpit@gmail.com</t>
  </si>
  <si>
    <t>Waseem Akhtar</t>
  </si>
  <si>
    <t>gg2408k@gmail.com</t>
  </si>
  <si>
    <t>Reference by t06adam25@gmail.com</t>
  </si>
  <si>
    <t>Sohrab Ahmad</t>
  </si>
  <si>
    <t>sohrab.ahmad81@gmail.com</t>
  </si>
  <si>
    <t>Snehal Tambe</t>
  </si>
  <si>
    <t>snehal.m.tambe@gmail.com</t>
  </si>
  <si>
    <t>Reference by nid.sharma255@gmail.com</t>
  </si>
  <si>
    <t>Mrunmayee Deshpande</t>
  </si>
  <si>
    <t>deshpande.mrunmayee@gmail.com</t>
  </si>
  <si>
    <t>Jatin K</t>
  </si>
  <si>
    <t>jatin.k.k@gmail.com</t>
  </si>
  <si>
    <t>MBA IU LSBU</t>
  </si>
  <si>
    <t>Reference by priverma205@gmail.com</t>
  </si>
  <si>
    <t>Priya Verma</t>
  </si>
  <si>
    <t>priverma205@gmail.com</t>
  </si>
  <si>
    <t>Data Scientist</t>
  </si>
  <si>
    <t>Reference by coolshrinidhi8@gmail.com</t>
  </si>
  <si>
    <t>Pavani G</t>
  </si>
  <si>
    <t>g.pavani@tcs.com</t>
  </si>
  <si>
    <t>Reference by lucky.pav@gmail.com</t>
  </si>
  <si>
    <t>Shinjhini Ghatak</t>
  </si>
  <si>
    <t>jinighatak@gmail.com</t>
  </si>
  <si>
    <t>1-2 April 2023</t>
  </si>
  <si>
    <t>Nileema Reddy</t>
  </si>
  <si>
    <t>nileema.reddy@gmail.com</t>
  </si>
  <si>
    <t>Arpana T G</t>
  </si>
  <si>
    <t>arpu_tg@yahoo.com</t>
  </si>
  <si>
    <t>Reference by kaushik.ray81@gmail.com</t>
  </si>
  <si>
    <t>Pooja Dey</t>
  </si>
  <si>
    <t>pooja.dey0087@gmail.com</t>
  </si>
  <si>
    <t>Reference by Suchita Avsare</t>
  </si>
  <si>
    <t>Retake OSL</t>
  </si>
  <si>
    <t>nehalapatil@gmail.com</t>
  </si>
  <si>
    <t>Reference by abhikpatil9641@gmail.com</t>
  </si>
  <si>
    <t>Dhanashree Deshpande</t>
  </si>
  <si>
    <t>dhanashree.deshpande@gmail.com</t>
  </si>
  <si>
    <t>Reference by aks.rec05@gmail.com</t>
  </si>
  <si>
    <t>Veveknath</t>
  </si>
  <si>
    <t>madrasi.vvk@gmail.com</t>
  </si>
  <si>
    <t>Sreekanth Putta</t>
  </si>
  <si>
    <t>puttasreekanth@gmail.com</t>
  </si>
  <si>
    <t>Poornima Tadankar</t>
  </si>
  <si>
    <t>p.tadankar@gmail.com</t>
  </si>
  <si>
    <t>Vanitha G A</t>
  </si>
  <si>
    <t>Jasaswini Rath</t>
  </si>
  <si>
    <t>jasaswinirath4@gmail.com</t>
  </si>
  <si>
    <t>Govind Talasu</t>
  </si>
  <si>
    <t>gtalasu87@yahoo.com</t>
  </si>
  <si>
    <t>Reference by alekhyad145@gmail.com</t>
  </si>
  <si>
    <t>Vaishnavi Rao</t>
  </si>
  <si>
    <t>vk09ahirrao@gmail.com</t>
  </si>
  <si>
    <t>15-16 April 2023</t>
  </si>
  <si>
    <t>Prerit Jain</t>
  </si>
  <si>
    <t>preritjain007@gmail.com</t>
  </si>
  <si>
    <t>Prerana P</t>
  </si>
  <si>
    <t>preranap86@gmail.com</t>
  </si>
  <si>
    <t>22-23 April 2023</t>
  </si>
  <si>
    <t>FH</t>
  </si>
  <si>
    <t>Saurabh Kumar</t>
  </si>
  <si>
    <t>saurabh9972931004@gmail.com</t>
  </si>
  <si>
    <t>avinash.rangari@ibm.com</t>
  </si>
  <si>
    <t>Sachin Malvadkar</t>
  </si>
  <si>
    <t>smalvadkar@gmail.com</t>
  </si>
  <si>
    <t>8-9 April 2023</t>
  </si>
  <si>
    <t>Reference by snehal.malvadkar@gmail.com</t>
  </si>
  <si>
    <t>Rajkumar Nadimuthu</t>
  </si>
  <si>
    <t>rajkumar.nadimuthu@gmail.com</t>
  </si>
  <si>
    <t>Manoj Jadhav Rao</t>
  </si>
  <si>
    <t>mujadhav@gmail.com</t>
  </si>
  <si>
    <t>29-30 April 2023</t>
  </si>
  <si>
    <t>Feedback done.</t>
  </si>
  <si>
    <t>Joy Palle</t>
  </si>
  <si>
    <t>joypalle@gmail.com</t>
  </si>
  <si>
    <t>13-14 May 2023</t>
  </si>
  <si>
    <t>Sushil</t>
  </si>
  <si>
    <t>sushil12111@gmail.com</t>
  </si>
  <si>
    <t>Poonam Mahajan</t>
  </si>
  <si>
    <t>ppmahajan.06@gmail.com</t>
  </si>
  <si>
    <t>27-28 May 2023</t>
  </si>
  <si>
    <t>Reference by amrapaliashoka@gmail.com - Ashish Awandkar</t>
  </si>
  <si>
    <t>Elesh Maurya</t>
  </si>
  <si>
    <t>eleshmaurya4333@gmail.com</t>
  </si>
  <si>
    <t>Suchita Khare</t>
  </si>
  <si>
    <t>skhareurs@gmail.com</t>
  </si>
  <si>
    <t>Purna Chandra M</t>
  </si>
  <si>
    <t>purnachandram@quinnox.com</t>
  </si>
  <si>
    <t>SH</t>
  </si>
  <si>
    <t>Jitendra Sananse</t>
  </si>
  <si>
    <t>jitendras@softwebsolutions.com</t>
  </si>
  <si>
    <t>4-5 May 2023</t>
  </si>
  <si>
    <t>Avinash Kale</t>
  </si>
  <si>
    <t>kale.avinash1317@gmail.com</t>
  </si>
  <si>
    <t>Reference by mahesh.mahajan13@gmail.com</t>
  </si>
  <si>
    <t>Vrinda Mohan</t>
  </si>
  <si>
    <t>vrivish06@gmail.com</t>
  </si>
  <si>
    <t>spj.7071@gmail.com</t>
  </si>
  <si>
    <t>Pankaj Agrawal</t>
  </si>
  <si>
    <t>pankajagrawal96@gmail.com</t>
  </si>
  <si>
    <t>6-7 May 2023</t>
  </si>
  <si>
    <t>Niteen Mahajan</t>
  </si>
  <si>
    <t>niteenmahajan20@gmail.com</t>
  </si>
  <si>
    <t>Shelly Sood</t>
  </si>
  <si>
    <t>shellysood72@gmail.com</t>
  </si>
  <si>
    <t>Prasun Nag</t>
  </si>
  <si>
    <t>prasun8463@gmail.com</t>
  </si>
  <si>
    <t>Shamshad Shaik</t>
  </si>
  <si>
    <t>shammushaik29@gmail.com</t>
  </si>
  <si>
    <t>Chethana</t>
  </si>
  <si>
    <t>chethana485@gmail.com</t>
  </si>
  <si>
    <t>Pooja Shinde</t>
  </si>
  <si>
    <t>poojammca@gmail.com</t>
  </si>
  <si>
    <t>Rahul Bidwe</t>
  </si>
  <si>
    <t>rahulslucky@yahoo.com</t>
  </si>
  <si>
    <t>Reference by mulharpramod@gmail.com</t>
  </si>
  <si>
    <t>Chandra Mouli</t>
  </si>
  <si>
    <t>chandra_109@yahoo.com</t>
  </si>
  <si>
    <t>Reference by ranganath79@yahoo.com</t>
  </si>
  <si>
    <t>Stella Chettiar</t>
  </si>
  <si>
    <t>stellarchettiar@gmail.com</t>
  </si>
  <si>
    <t>Mikelson</t>
  </si>
  <si>
    <t>nmuniy@gmail.com</t>
  </si>
  <si>
    <t>Reference by dmr.tech90@gmail.com</t>
  </si>
  <si>
    <t>Jay Kompella</t>
  </si>
  <si>
    <t>mrkompella@yahoo.com</t>
  </si>
  <si>
    <t>3-4 June 2023</t>
  </si>
  <si>
    <t>Mownaguru</t>
  </si>
  <si>
    <t>mownaguru@gmail.com</t>
  </si>
  <si>
    <t>Sumit Kamal</t>
  </si>
  <si>
    <t>skamal362@gmail.com</t>
  </si>
  <si>
    <t>Reference by nehadreams1@gmail.com</t>
  </si>
  <si>
    <t>Rohini Goverdhan</t>
  </si>
  <si>
    <t>rohini_goverdhan@infosys.com</t>
  </si>
  <si>
    <t>8-10 May 2023</t>
  </si>
  <si>
    <t>Reference by cindrella324@gmail.com</t>
  </si>
  <si>
    <t>Alekhya</t>
  </si>
  <si>
    <t>alekhyas145@gmail.com</t>
  </si>
  <si>
    <t>Manisha Chaubey</t>
  </si>
  <si>
    <t>chaubeymisha97@gmail.com</t>
  </si>
  <si>
    <t>Vasanta</t>
  </si>
  <si>
    <t>vasantaboddula@gmail.com</t>
  </si>
  <si>
    <t>20-21 May 2023</t>
  </si>
  <si>
    <t>rlakpriya02@gmail.com</t>
  </si>
  <si>
    <t>Srivatsan</t>
  </si>
  <si>
    <t>srivatsanm@gmail.com</t>
  </si>
  <si>
    <t>Priya Pandey</t>
  </si>
  <si>
    <t>ppriyapandey19@gmail.com</t>
  </si>
  <si>
    <t>Madan B A M</t>
  </si>
  <si>
    <t>bam.madan@gmail.com</t>
  </si>
  <si>
    <t>Togaf 10</t>
  </si>
  <si>
    <t>Saheli Guha</t>
  </si>
  <si>
    <t>bonny.saheli@gmail.com</t>
  </si>
  <si>
    <t>Aditya Jha</t>
  </si>
  <si>
    <t>aditya84jha@gmail.com</t>
  </si>
  <si>
    <t>Vibhu Mishra</t>
  </si>
  <si>
    <t>vibhumishra.17@gmail.com</t>
  </si>
  <si>
    <t>Megha Singhal</t>
  </si>
  <si>
    <t>megha.singhal2908@gmail.com</t>
  </si>
  <si>
    <t>Rupesh H T</t>
  </si>
  <si>
    <t>rupesht70@gmail.com</t>
  </si>
  <si>
    <t>Reference by dhiraj21hbti@gmail.com</t>
  </si>
  <si>
    <t>Santosh Kumar</t>
  </si>
  <si>
    <t>dindigallasantoshkumar@gmail.com</t>
  </si>
  <si>
    <t>International contact</t>
  </si>
  <si>
    <t>Invalid contact</t>
  </si>
  <si>
    <t>April 2021</t>
  </si>
  <si>
    <t>Feb 2021</t>
  </si>
  <si>
    <t>Jan 2021</t>
  </si>
  <si>
    <t>June 2021</t>
  </si>
  <si>
    <t>March 2021</t>
  </si>
  <si>
    <t>May 2021</t>
  </si>
  <si>
    <t>CBAP - Certified Business Analyst Professional</t>
  </si>
  <si>
    <t>BABOK - Business analysis body of knowledge</t>
  </si>
  <si>
    <t>What are the Prerequisites/Eligibility?</t>
  </si>
  <si>
    <t>The IIBA® CBAP Training Course is best suited for business analysis professionals with seven to ten years of experience, senior analysis professionals, and project managers.</t>
  </si>
  <si>
    <t>Complete a minimum of 7,500 hours of Business Analysis Work experience in the last 10 years.</t>
  </si>
  <si>
    <t>Within this experience, a minimum of 900 hours completed in 4 of the 6 BABOK® Guide Knowledge Areas, for a total of at least 3,600 of the required 7,500 total.</t>
  </si>
  <si>
    <t>Complete a minimum of 35 hours of Professional Development in the last 4 years.</t>
  </si>
  <si>
    <t>Provide two references.</t>
  </si>
  <si>
    <t>A Signed Code of Conduct.</t>
  </si>
  <si>
    <t>Agree to Terms and Conditions.</t>
  </si>
  <si>
    <t>Pass the exam.</t>
  </si>
  <si>
    <t>What is the course about?</t>
  </si>
  <si>
    <t xml:space="preserve">This CBAP training is designed to help professionals gain new skills and expertise in advanced documentation, effective planning, and the creation of business solutions. </t>
  </si>
  <si>
    <t xml:space="preserve">This CBAP exam preparation course aligns with the high standards set by IIBA® and will ensure continued success in the field of business analysis. </t>
  </si>
  <si>
    <t>Professionals with CBAP certification will be able to stay relevant to rapid changes in the IT industry and competencies in all aspects of business analysis.</t>
  </si>
  <si>
    <t>Skills</t>
  </si>
  <si>
    <t>Business analysis planning and monitoring</t>
  </si>
  <si>
    <t>Elicitation and collaboration</t>
  </si>
  <si>
    <t>Requirements life cycle management</t>
  </si>
  <si>
    <t>Strategy analysis</t>
  </si>
  <si>
    <t>Requirements analysis and design definition</t>
  </si>
  <si>
    <t>Business intelligence perspective</t>
  </si>
  <si>
    <t>Business architecture perspective</t>
  </si>
  <si>
    <t>Business process management perspective</t>
  </si>
  <si>
    <t>Job Roles &amp; Avg. Salaries</t>
  </si>
  <si>
    <t>Business Analyst - Avg. $68K</t>
  </si>
  <si>
    <t>Citi, Capgemini, Deutsche Bank, Accenture</t>
  </si>
  <si>
    <t>Sr. Business Analyst - Avg. $83K</t>
  </si>
  <si>
    <t>WellsFargo, EY, Oracle</t>
  </si>
  <si>
    <t>Governing body</t>
  </si>
  <si>
    <t>IIBA - International Institute of Business Analysis</t>
  </si>
  <si>
    <t>IIBA is a non-profit professional association serving the growing field of business analysis.</t>
  </si>
  <si>
    <t>As the global thought leader and voice of the business analysis community, IIBA actively supports the recognition of the profession, and works to maintain global standards for the ongoing development of the practice and certifications.</t>
  </si>
  <si>
    <t>Certifications &amp; Key Features</t>
  </si>
  <si>
    <t>Learning Path</t>
  </si>
  <si>
    <t>Online Self-Paced Learning</t>
  </si>
  <si>
    <t>Lifetime access</t>
  </si>
  <si>
    <t>11 Industry case studies on real business problems</t>
  </si>
  <si>
    <t>3 simulation test papers</t>
  </si>
  <si>
    <t>Live Virtual Classroom Training</t>
  </si>
  <si>
    <t>OSL benefits</t>
  </si>
  <si>
    <t>90 days of flexible access to online access</t>
  </si>
  <si>
    <t>Weekend - 4 hrs/session - 8 sessions = 32 hrs</t>
  </si>
  <si>
    <t>Weekday - 2 hrs/session - 16 sessions = 32 hrs</t>
  </si>
  <si>
    <t>Support System</t>
  </si>
  <si>
    <t>GTA - 90 days</t>
  </si>
  <si>
    <t>Student Success group - 180 days</t>
  </si>
  <si>
    <t>Community forum - lifetime</t>
  </si>
  <si>
    <t>Project Mentor - 180 days</t>
  </si>
  <si>
    <t>Technical Assistance - 180 days</t>
  </si>
  <si>
    <t>Course Advisor</t>
  </si>
  <si>
    <t>Jeff Allen</t>
  </si>
  <si>
    <t>Project Management and Agile Expert</t>
  </si>
  <si>
    <t>Jeff Allen is a highly regarded project management and Agile expert with more than 15 years of experience at large companies like Compaq and HP. As an Agile Coach, he has mentored over 5000 professionals globally.</t>
  </si>
  <si>
    <t>Tim Jerome</t>
  </si>
  <si>
    <t>Project Management Expert and Evangelist</t>
  </si>
  <si>
    <t>Tim Jerome is an international project management expert with over 15 years of experience at companies like Intel and Digital Network Services. A former president of the PMI Rio Grande Chapter, Tim is also a PMP instructor with over 10 years of experience in addition to his extensive project management consulting experience.</t>
  </si>
  <si>
    <t>Nadine Miller</t>
  </si>
  <si>
    <t>Nadine is an experienced business analyst known for successfully gathering critical data and requirements, then analyzing and processing it to generate actionable results. Nadine is certified in CBAP by IIBA.</t>
  </si>
  <si>
    <t xml:space="preserve">CBAP trainers are credentials holders with at least 15 years of experience training and working in the BA domain. </t>
  </si>
  <si>
    <t xml:space="preserve">Each of them has gone through a rigorous selection process that includes profile screening, technical evaluation, and a training demo before they are certified to train for us. </t>
  </si>
  <si>
    <t>We also ensure that only those trainers with a high alumni rating remain on our faculty.</t>
  </si>
  <si>
    <t>Key Features</t>
  </si>
  <si>
    <t>CBAP Exam Application Assistance</t>
  </si>
  <si>
    <t>56 hours of Applied learning</t>
  </si>
  <si>
    <t>11 case studies and 11 end-of-chapter quizzes</t>
  </si>
  <si>
    <t>Aligned to BABOK Guide Version 3</t>
  </si>
  <si>
    <t>Obtain 35 IIBA PDs/CDUs and 25 PMI PDUs</t>
  </si>
  <si>
    <t>3 simulation IIBA exams and 4 practice exams</t>
  </si>
  <si>
    <t>Certification Criteria</t>
  </si>
  <si>
    <t>IIBA® members receive a complimentary copy of the BABOK® Guide Version 3 PDF. If you are an IIBA® member, you can download BABOK® Version 3 for your individual reference from IIBA® website. Non-members can purchase a copy of the BABOK® Guide Version 3 PDF for $29.95</t>
  </si>
  <si>
    <t>Complete at least 85% of the CBAP course or attend one complete batch</t>
  </si>
  <si>
    <t>Pass any course simulation exams with a bare minimum score</t>
  </si>
  <si>
    <t>Submit a project and get it approved by our panel of Subject Matter Experts</t>
  </si>
  <si>
    <t>consult with our subject matter experts in the case of initial rejection to receive proper guidance on future project approval attempts.</t>
  </si>
  <si>
    <t>Obtain a formal CBAP training from an IIBA Endorsed Education Provider like Simplilearn.</t>
  </si>
  <si>
    <t>Acquire the IIBA membership and apply for the CBAP exam online for a total cost of $450.</t>
  </si>
  <si>
    <t>Upon passing the exam, you will be awarded the CBAP certification from IIBA</t>
  </si>
  <si>
    <t>CBAP Exam fee structure:</t>
  </si>
  <si>
    <t>The application fee is $125 and is non-refundable (i.e. regardless of whether your application is approved or declined).</t>
  </si>
  <si>
    <t>The CBAP exam fee is $325 for IIBA® members and $450 for non-members.</t>
  </si>
  <si>
    <t>Exam Pattern</t>
  </si>
  <si>
    <t>3.5 hours</t>
  </si>
  <si>
    <t>120 MCQs</t>
  </si>
  <si>
    <t>The questions are based on case studies (one to one and a half pages of information) with multiple questions about each case.</t>
  </si>
  <si>
    <t>The exam assesses the candidate’s practical applications of the defined competencies for this Level 3 certification in the IIBA® Certification framework.</t>
  </si>
  <si>
    <t>Renewal</t>
  </si>
  <si>
    <t xml:space="preserve">You do not need to retake an exam unless your certification has lapsed. </t>
  </si>
  <si>
    <t xml:space="preserve">However, CBAP® professionals are required to complete the IIBA® Continuing Certification Requirements (CCR) program. </t>
  </si>
  <si>
    <t>For this, CBAPs should have a minimum of 60 Continuing Development Units (CDUs) during a three year CCR cycle.</t>
  </si>
  <si>
    <t>Ask for Location?</t>
  </si>
  <si>
    <t>Ask for scheduled class dates - weekends/weekdays?</t>
  </si>
  <si>
    <t>Negotiation</t>
  </si>
  <si>
    <t>Why Simplilearn?</t>
  </si>
  <si>
    <t>We have over 1.2 M learners globally</t>
  </si>
  <si>
    <t>We are ranked 8th by LinkedIn on being the “Most Influential Training Provider”</t>
  </si>
  <si>
    <t>We have a global presence in over 150+ countries</t>
  </si>
  <si>
    <t>We train most of the Fortune 500 companies</t>
  </si>
  <si>
    <t>We have 2000+ trainers who train over 400+ courses</t>
  </si>
  <si>
    <t>We have world renowned course advisors like Ronald Van Loon, Jeff Allen etc</t>
  </si>
  <si>
    <t xml:space="preserve">Apart from training individuals, we also conduct training for corporate companies. Our highly knowledgeable instructor would train your staffs onsite. </t>
  </si>
  <si>
    <t>I am proud to say that we have trained companies like: Samsung, Nissan, Deloitte, Ford, KPMG, Barclays, EY, Accenture, Orange, VMWare &amp; many more</t>
  </si>
  <si>
    <t>Awards</t>
  </si>
  <si>
    <t>Stevie Gold Winner for Customer Service - 2018, 2020</t>
  </si>
  <si>
    <t>Top 20 Company Award for Online Learning Library Training Industry - 2019, 2020</t>
  </si>
  <si>
    <t>Aegis Graham Bell Awards for Innovations in Edtech - 2020</t>
  </si>
  <si>
    <t>NPS - 83 - 2020</t>
  </si>
  <si>
    <t>Close the deal</t>
  </si>
  <si>
    <t>CSM - Certified Scrum Master</t>
  </si>
  <si>
    <t>In Scrum Alliance Website</t>
  </si>
  <si>
    <t>CSM, PMI-ACP, ACSM, PSM, ETC</t>
  </si>
  <si>
    <t>https://www.scrumguides.org/docs/scrumguide/v2020/2020-Scrum-Guide-US.pdf</t>
  </si>
  <si>
    <t>if you see Scrumbay or Epic Agile batches,you can pitch for 19K</t>
  </si>
  <si>
    <t>https://www.scrumguides.org/scrum-guide.html</t>
  </si>
  <si>
    <t>Suitable for members of Scrum teams, Managers of Scrum teams, teams transitioning to Scrum</t>
  </si>
  <si>
    <t>Professionals interested in pursuing a career as a professional Scrum-Master</t>
  </si>
  <si>
    <t>Managers, Team Managers, Project Managers, Product Managers - basically anyone who is or wants to be part of Scrum team</t>
  </si>
  <si>
    <t>What is Agile Methodology?</t>
  </si>
  <si>
    <t>Agile is a process by which a team can manage a project by breaking it up into several stages and involving constant collaboration with stakeholders and continuous improvement and iteration at every stage.</t>
  </si>
  <si>
    <t>Why Agile?</t>
  </si>
  <si>
    <t>It is a customer centric process. It involves client continuously in every stage project development</t>
  </si>
  <si>
    <t>Agile teams are highly motivated, self-organized and cross-functional</t>
  </si>
  <si>
    <t>Agile methodology assures the quality of the development is maintained</t>
  </si>
  <si>
    <t>The process is completely based on the incremental progress. Therefore, the client and team know exactly what is complete and what is not. This reduces risk in the development process.</t>
  </si>
  <si>
    <t>Agile projects are 28% more successful than traditional projects - PwC</t>
  </si>
  <si>
    <t>Scrum Master is the most promising role in 2019</t>
  </si>
  <si>
    <t>Almost 71% of organizations mostly report using Agile approaches - PMI</t>
  </si>
  <si>
    <t>68% of employees agree that by 2025, the majority of the workforce will be employed in an Agile arrangement</t>
  </si>
  <si>
    <t>Scrum</t>
  </si>
  <si>
    <t>Kanban</t>
  </si>
  <si>
    <t>XP</t>
  </si>
  <si>
    <t>APF/APM</t>
  </si>
  <si>
    <t>Scrum is a framework for Agile Project Management methodology that focuses empirical processes in project scenarios where it is difficult to plan ahead</t>
  </si>
  <si>
    <t>Scrum relies on self-organizing, cross-functional teams without any need of team leaders for efficient project execution</t>
  </si>
  <si>
    <t>Scrum teams are supported by Scrum Master &amp; Product owner</t>
  </si>
  <si>
    <t>Scrum and Agile methodologies</t>
  </si>
  <si>
    <t>Importance of Agile</t>
  </si>
  <si>
    <t>Scrum terminologies</t>
  </si>
  <si>
    <t>Daily scrum and review</t>
  </si>
  <si>
    <t>Roles involved in Scrum</t>
  </si>
  <si>
    <t>Distributed Scrum</t>
  </si>
  <si>
    <t>Scrum Master - Avg. 1677K</t>
  </si>
  <si>
    <t>Project Manager - Avg. 1563K</t>
  </si>
  <si>
    <t>Project Manager Officer (PMO) - Avg. 674K</t>
  </si>
  <si>
    <t>Product Owner - Avg. 1990K</t>
  </si>
  <si>
    <t>The CSM accreditation body is Scrum Alliance - USA</t>
  </si>
  <si>
    <t>Scrum Alliance is a nonprofit organization that is guiding and inspiring individuals, leaders, and organizations with agile practices, principles, and values to help create workplaces that are joyful, prosperous and sustainable</t>
  </si>
  <si>
    <t>2 Days Online Live Virtual Class</t>
  </si>
  <si>
    <t>Both Weekdays &amp; Weekend Sessions available - 9hrs/day</t>
  </si>
  <si>
    <t>Certified Scrum Trainer (CST) with 20+ years of experience delivering classroom training</t>
  </si>
  <si>
    <t>Attend the 2 days CSM training course conducted by CST</t>
  </si>
  <si>
    <t>Pass the CSM online test conducted by Scrum Alliance</t>
  </si>
  <si>
    <t>To pass the test - Learner must score 74% or answer 37/50 questions within 60 mins time limit</t>
  </si>
  <si>
    <t>https://www.scrumguides.org/</t>
  </si>
  <si>
    <t>Once exam is passed, learner must submit a license agreement to the Scrum Alliance for acceptance &amp; a membership profile must be completed</t>
  </si>
  <si>
    <t xml:space="preserve">The CSM test has 50 multiple-choice questions with a passing score of 74%. You will have two attempts within 90 calendar days after you receive your initial welcome email to pass the test at no cost. </t>
  </si>
  <si>
    <t>After two attempts and/or 90 calendar days, you will be prompted to pay $25 USD for each additional attempt.</t>
  </si>
  <si>
    <t>CSM exam included - 2 attempts fee</t>
  </si>
  <si>
    <t>Free exam retake &amp; delivered by CST</t>
  </si>
  <si>
    <t>20 PDUs &amp; 16 SEUs</t>
  </si>
  <si>
    <t>2 year membership in Scrum Alliance</t>
  </si>
  <si>
    <t>Mock tests</t>
  </si>
  <si>
    <t>Complimentary access to 15 courses* worth INR 25,000</t>
  </si>
  <si>
    <t>Certification renewal after 2 years</t>
  </si>
  <si>
    <t>Certification Type</t>
  </si>
  <si>
    <t>Certification 
(2 years)</t>
  </si>
  <si>
    <t>SEUs Required</t>
  </si>
  <si>
    <t>Renewal Fee per Term</t>
  </si>
  <si>
    <t>Foundation</t>
  </si>
  <si>
    <t>How to earn SEUs?</t>
  </si>
  <si>
    <t>In order to maintain your certification for 2 more years, you need to submit an established number of Scrum Education Units - SEUs along with a renewal fee</t>
  </si>
  <si>
    <t>Scrum Alliance Scrum Gatherings</t>
  </si>
  <si>
    <t>Scrum Alliance Courses or Coaching</t>
  </si>
  <si>
    <t>Outside Events</t>
  </si>
  <si>
    <t>Volunteer Service</t>
  </si>
  <si>
    <t>Independent Learning</t>
  </si>
  <si>
    <t>Other collaborative Learning</t>
  </si>
  <si>
    <t>Complementary Courses***</t>
  </si>
  <si>
    <t>Agile Scrum Foundation</t>
  </si>
  <si>
    <t>CCBA Certification</t>
  </si>
  <si>
    <t>*</t>
  </si>
  <si>
    <t>What are PDUs?</t>
  </si>
  <si>
    <t xml:space="preserve">PDU - Professional Development Units are one-hour blocks of time that you spend learning, teaching others, or volunteering. </t>
  </si>
  <si>
    <t>By accumulating and tracking these over a three-year period you can maintain your certification status with PMI.</t>
  </si>
  <si>
    <t>CSPO - Certified Scrum Product Owner</t>
  </si>
  <si>
    <t>Best Price - 20K</t>
  </si>
  <si>
    <t>19K - Based on Vendors &amp; Trainers</t>
  </si>
  <si>
    <t>The CSPO training will help you learn how to improve product value by speeding the delivery of product features, lead scrum teams, effectively communicate what you want your product to do, and maximize project ROI.</t>
  </si>
  <si>
    <t>It is the ideal course package for every aspiring professional who wants to pursue a career in project management.</t>
  </si>
  <si>
    <t>Scrum and Agile Framework</t>
  </si>
  <si>
    <t>Release Management</t>
  </si>
  <si>
    <t>Leadership skills to manage agile teams</t>
  </si>
  <si>
    <t>Product Owner - Avg. 1995K</t>
  </si>
  <si>
    <t>Scrum Master - Avg. 1647K</t>
  </si>
  <si>
    <t>Project Manager - AVg. 1563K</t>
  </si>
  <si>
    <t>Project Management Officer (PMO) - Avg. 674K</t>
  </si>
  <si>
    <t>No exam for this program. Certificate of CSPO will be awarded after the 2 days training program</t>
  </si>
  <si>
    <t>2 days online virtual class</t>
  </si>
  <si>
    <t>Exercises &amp; games to get hands-on Scrum practices</t>
  </si>
  <si>
    <t>CSPO certification</t>
  </si>
  <si>
    <t>16 SEUs</t>
  </si>
  <si>
    <t>Complementary courses</t>
  </si>
  <si>
    <t>Scrum alliance Scrum Gatherings</t>
  </si>
  <si>
    <t>ASM - Agile Scrum Master</t>
  </si>
  <si>
    <t xml:space="preserve">The Agile Scrum Master certification course is best suited for Team leads, Project managers, Members of Scrum teams such as developers, Scrum Masters, </t>
  </si>
  <si>
    <t>and product owners, Managers of Scrum teams, Teams transitioning to Scrum, and Professionals intending to pursue the Agile Scrum Master certification.</t>
  </si>
  <si>
    <t>There are no prerequisites for this Scrum Master Certification Training Course. It is suited for any professional aspiring for a management role.</t>
  </si>
  <si>
    <t>Agile Scrum Methodologies</t>
  </si>
  <si>
    <t>Agile Scrum Applications</t>
  </si>
  <si>
    <t>Daily Scrum Synchronization</t>
  </si>
  <si>
    <t>Sprint Planning and Review</t>
  </si>
  <si>
    <t>Producing Scrum Artifacts</t>
  </si>
  <si>
    <t>Implementing Distributed Scrum</t>
  </si>
  <si>
    <t>JIRA Project Management</t>
  </si>
  <si>
    <t>Agile Scrum best practices</t>
  </si>
  <si>
    <t>Benefits</t>
  </si>
  <si>
    <t xml:space="preserve">This Agile Scrum Master online certification training enables you to deliver products in functional stages, improve collaborations, </t>
  </si>
  <si>
    <t>and create a flexible process where changes are less impactful on project quality, cost, and timing.</t>
  </si>
  <si>
    <t>Exin is the governing body for ASM certification. Located in Utrecht - Netherlands. Founded in 1984.</t>
  </si>
  <si>
    <t>2 Industry case studies on real business problems</t>
  </si>
  <si>
    <t>2 hands-on projects to perfect the skills</t>
  </si>
  <si>
    <t>5 simulation test papers for practice</t>
  </si>
  <si>
    <t>Ebook - Agile Practice Guide</t>
  </si>
  <si>
    <t>Projects</t>
  </si>
  <si>
    <t>Smart Weather BigBucks Cafeacute</t>
  </si>
  <si>
    <t>BigBucks Café wants you to use weather data to regulate and manage its daily operations. As a Scrum Master, resolve and create a prioritized product backlog for the scrum team.</t>
  </si>
  <si>
    <t>Smart Weather LeViva</t>
  </si>
  <si>
    <t>LeViva wants to launch an app using weather forecast to serve its customers. As a Scrum Master, you need to resolve and create a prioritized product backlog for the scrum team.</t>
  </si>
  <si>
    <t xml:space="preserve">Agile trainers are credentials holders with at least 15 years of experience training and working in the agile domain. </t>
  </si>
  <si>
    <t>Exam Booking</t>
  </si>
  <si>
    <t>https://www.simplilearn.com/ice9/about_course_images/Raise_exam_request_through_LMS.pdf</t>
  </si>
  <si>
    <t>Complete at least 85% of the course or attend one complete batch.</t>
  </si>
  <si>
    <t>Complete one project and one simulation test with a minimum score of 85%.</t>
  </si>
  <si>
    <t>Online Exam</t>
  </si>
  <si>
    <t>Exam Center - Paper based exam - Recommended.</t>
  </si>
  <si>
    <t>Blr, Hyd, Pune, Kol, Delhi</t>
  </si>
  <si>
    <t>Exam is included in the fee - $225 (INR 17,615)</t>
  </si>
  <si>
    <t>Duration: 1 hr 30 mins</t>
  </si>
  <si>
    <t>MCQ based questions - 27/40 requirement.</t>
  </si>
  <si>
    <t>https://www.exin.com/certifications/exin-agile-scrum-master-exam</t>
  </si>
  <si>
    <t>Only 1 attempt. Exam voucher valid for 1 year.</t>
  </si>
  <si>
    <t xml:space="preserve">Learner will get the certificate within 10 days. </t>
  </si>
  <si>
    <t>Certificate is lifetime valid.</t>
  </si>
  <si>
    <t>20 Hours of Instructor-led training</t>
  </si>
  <si>
    <t>16 hours of high-quality content</t>
  </si>
  <si>
    <t>2 live Scrum games/ 7 scenario based Scrum games</t>
  </si>
  <si>
    <t>One live project and case study</t>
  </si>
  <si>
    <t>19 PDUs in OSL &amp; 24 PDUs in LVC</t>
  </si>
  <si>
    <t>Exam fee included</t>
  </si>
  <si>
    <t>PMI - Agile Certified Practitioner</t>
  </si>
  <si>
    <t>Do the competitor analysis?</t>
  </si>
  <si>
    <t>Any complementary courses for PMI-ACP?</t>
  </si>
  <si>
    <t xml:space="preserve">PMI Agile certification is a professional requirement throughout the IT and tech industries for all project management roles globally. </t>
  </si>
  <si>
    <t>This PMI-ACP Certification course is best suited for project managers, agile team members, associate managers, team leads, managers, project executives, software developers,</t>
  </si>
  <si>
    <t>and any professionals aspiring to become project managers.</t>
  </si>
  <si>
    <t>A secondary degree or higher</t>
  </si>
  <si>
    <t>2000 hours of general project management experience in the last five years</t>
  </si>
  <si>
    <t>At least 1,500 hours of experience working on agile project teams during last three years</t>
  </si>
  <si>
    <t>Min. 1 year of Project Management Experience</t>
  </si>
  <si>
    <t xml:space="preserve">The PMI-ACP® (Agile Certified Practitioner) training empowers you to become a skilled agile professional with knowledge of a broad range of agile methodologies. </t>
  </si>
  <si>
    <t>ACP is PMI’s fastest-growing certification and recently the PMI-ACP exam has been updated with the addition of the Agile Practice Guide.</t>
  </si>
  <si>
    <t>The PMI-ACP spans many approaches to agile such as Scrum, Kanban, Lean, extreme programming (XP) and test-driven development (TDD.) So it will increase your versatility, wherever your projects may take you.</t>
  </si>
  <si>
    <t>Agile principles and Mindset</t>
  </si>
  <si>
    <t>Adaptive planning</t>
  </si>
  <si>
    <t>Working knowledge of Agile</t>
  </si>
  <si>
    <t>Multi-iterative models</t>
  </si>
  <si>
    <t>Delivering highvelocity stories</t>
  </si>
  <si>
    <t>Salary exceeding $100,000 compared to non-certified colleagues</t>
  </si>
  <si>
    <t>Technical Business Analyst - Avg. 1333K</t>
  </si>
  <si>
    <t>Project Manager - Avg. 1945K</t>
  </si>
  <si>
    <t>Business Analyst - Avg. 1040K</t>
  </si>
  <si>
    <t>Agile Project Manager - Avg. 839K</t>
  </si>
  <si>
    <t>The accredited body is PMI - Project Management Institute USA.</t>
  </si>
  <si>
    <t>PMI - Project Management Insitute is a globla non-profit organization for project management professionals. Founded in 1969.</t>
  </si>
  <si>
    <t>Price</t>
  </si>
  <si>
    <t xml:space="preserve">11940+18% </t>
  </si>
  <si>
    <t>13500+18%</t>
  </si>
  <si>
    <t>Ecommerce Website Functionality Creation</t>
  </si>
  <si>
    <t>You will learn how the three agile roles (Product Owner, Scrum Master, and Scrum Team) complement each other in a real-time project on Jira.</t>
  </si>
  <si>
    <t>Smart Weather</t>
  </si>
  <si>
    <t>You will complete two industry-based tasks for the product owner of a new technology division. The projects involve creating a portal to provide weather-based services.</t>
  </si>
  <si>
    <t>Bryan Campbell</t>
  </si>
  <si>
    <t xml:space="preserve">Bryan Campbell is a highly respected Agile Coach and Project Manager with more than 25 years of experience managing projects, programs and PMOs around the world. </t>
  </si>
  <si>
    <t>He specializes in agile transformation for enterprise, scale PMOs.</t>
  </si>
  <si>
    <t xml:space="preserve">PMI-ACP® credentials holders with at least 15 years of experience training and working in the agile domain. </t>
  </si>
  <si>
    <t>https://www.pmi.org/certifications/certification-resources/process</t>
  </si>
  <si>
    <t>Complete PMI-ACP Training</t>
  </si>
  <si>
    <t>Take up the exam from PMI - Exam Fee</t>
  </si>
  <si>
    <t>Member: US$435.00</t>
  </si>
  <si>
    <t>Member: 31,683.00</t>
  </si>
  <si>
    <t>Non-member: US$495.00</t>
  </si>
  <si>
    <t>Non-member: 38,229.00</t>
  </si>
  <si>
    <t>PMI-ACP or CSM or ASM</t>
  </si>
  <si>
    <t>Exam has 120 multiple-choice questions and you have 3 hours to complete it.</t>
  </si>
  <si>
    <t>Certification renewal after 3 years</t>
  </si>
  <si>
    <t>https://www.pmi.org/certifications/certification-resources/maintain</t>
  </si>
  <si>
    <t>Certification 
(3 years)</t>
  </si>
  <si>
    <t>PDUs Required</t>
  </si>
  <si>
    <t>28 hours of blended learning</t>
  </si>
  <si>
    <t>2 Industry case studies &amp; 61 real life examples</t>
  </si>
  <si>
    <t>49 end of chapter quizzes &amp; 5 simulation exams</t>
  </si>
  <si>
    <t>26 OSL PDUs</t>
  </si>
  <si>
    <t>28 LVC PDUs</t>
  </si>
  <si>
    <t>How to earn PDUs?</t>
  </si>
  <si>
    <t>https://www.pmi.org/certifications/certification-resources/faq</t>
  </si>
  <si>
    <t>Course or Training - OSL or LVC</t>
  </si>
  <si>
    <t>https://www.pmi.org/certifications/certification-resources/maintain/requirements</t>
  </si>
  <si>
    <t>Global Events</t>
  </si>
  <si>
    <t>https://www.pmi.org/certifications/certification-resources/maintain/earn-pdus/education</t>
  </si>
  <si>
    <t>Local Meetings by PMI chapters</t>
  </si>
  <si>
    <t>https://www.pmi.org/certifications/certification-resources/maintain/earn-pdus/contribute</t>
  </si>
  <si>
    <t>Work as a practitioner</t>
  </si>
  <si>
    <t>Create Content - Articles, blogs, videos, webinars etc</t>
  </si>
  <si>
    <t>Give presentation - in PMI chapters, conference etc</t>
  </si>
  <si>
    <t>Share knowledge</t>
  </si>
  <si>
    <t xml:space="preserve">9963366697 - </t>
  </si>
  <si>
    <t>Volunteering</t>
  </si>
  <si>
    <t>For admission to this Post Graduate Program in Agile, candidates should have:</t>
  </si>
  <si>
    <t>At least five years of experience</t>
  </si>
  <si>
    <t>A Bachelor’s degree in any discipline</t>
  </si>
  <si>
    <t>Prior experience in Project Management or Agile is not mandatory</t>
  </si>
  <si>
    <t xml:space="preserve">In this Post Graduate Program in Agile Development, you gain a profound understanding of agile methodologies and discover the thumb rules, success metrics, and pitfalls of real-world agile implementation. </t>
  </si>
  <si>
    <t>With this Agile certification program, deliver improved product offerings by integrating DevOps, Design Thinking with Agile Project Management philosophy.</t>
  </si>
  <si>
    <t>Build a solid foundation of agile development methodology. Going beyond theory, learn the leadership skills required to successfully deliver a project by implementing Agile- with the help of three phase-end projects</t>
  </si>
  <si>
    <t>and one capstone project culminating your learning experience.</t>
  </si>
  <si>
    <t>Agile Management</t>
  </si>
  <si>
    <t>Product Development</t>
  </si>
  <si>
    <t>Product Management</t>
  </si>
  <si>
    <t>Project Risk Management</t>
  </si>
  <si>
    <t>Scrum Practices</t>
  </si>
  <si>
    <t>Design Thinking</t>
  </si>
  <si>
    <t>DevOps Methodology</t>
  </si>
  <si>
    <t>DAD Disciplined Agile Delivery</t>
  </si>
  <si>
    <t>Scrum Scale Frameworks</t>
  </si>
  <si>
    <t>Tools Covered</t>
  </si>
  <si>
    <t>JIRA</t>
  </si>
  <si>
    <t>MS Excel</t>
  </si>
  <si>
    <t>Industry Job Trends</t>
  </si>
  <si>
    <t>University</t>
  </si>
  <si>
    <t>The Post Graduate Program in Agile, in partnership with the University of Massachusetts Amherst, leverages centuries of academic excellence and thought-leadership from UMass Amherst.</t>
  </si>
  <si>
    <t>PARTNERING WITH UMASS AMHERST:</t>
  </si>
  <si>
    <t xml:space="preserve">This Post Graduate Program in Agile is in partnership with UMass Amherst. The University of Massachusetts Amherst ranks among the Top 25 of USA’s premier public universities. </t>
  </si>
  <si>
    <t>It is committed to excellence and innovative thinking and aims to produce revolutionary ideas and impact on par with the world’s best universities.</t>
  </si>
  <si>
    <t>Upon completion of this program you will receive:</t>
  </si>
  <si>
    <t>Receive a joint UMass Amherst-Simplilearn certificate of completion</t>
  </si>
  <si>
    <t>Become a member of the UMass Amherst Alumni Association with access to alumni networks</t>
  </si>
  <si>
    <t>A-CSM (Advanced Certified Scrum Master)</t>
  </si>
  <si>
    <t>41K inclusive of taxes.</t>
  </si>
  <si>
    <t>Check with A-CSM &amp; A-CSPO</t>
  </si>
  <si>
    <t>To earn an Advanced CSM, you must have an active CSM certification with Scrum Alliance and demonstrate at least one year of work experience specific to the role of ScrumMaster.</t>
  </si>
  <si>
    <t>This A-CSM training course is suitable for product owners, Scrum Masters, Developers, Managers, Managers of teams shifting to Scrum, and Professionals who wish to learn and master Scrum principles and techniques.</t>
  </si>
  <si>
    <t xml:space="preserve">This Advanced Scrum Master Certification training course explains the value of Scrum and Agile processes to the required stakeholders. </t>
  </si>
  <si>
    <t>It helps you learn how to implement the Scrum framework for Agile and Lean project management, including Agile facilitation and coaching, service delivery, and setting up and managing the Scrum lifecycle.</t>
  </si>
  <si>
    <t>Resolve difficult situations</t>
  </si>
  <si>
    <t>Broaden the impact of Scrum</t>
  </si>
  <si>
    <t>Scrum and Agile principles</t>
  </si>
  <si>
    <t>Implement Agile and Scrum</t>
  </si>
  <si>
    <t>Support Agile values</t>
  </si>
  <si>
    <t>Attending this workshop and completing all of the learning objectives will help you gain the certification.</t>
  </si>
  <si>
    <t>Advanced</t>
  </si>
  <si>
    <t>Created Date</t>
  </si>
  <si>
    <t>Mob. No.</t>
  </si>
  <si>
    <t>Enrolled Course</t>
  </si>
  <si>
    <t>Payment Expected Date</t>
  </si>
  <si>
    <t>Wasim Memon</t>
  </si>
  <si>
    <t>wkm.memon@gmail.com</t>
  </si>
  <si>
    <t>Prabharaharan Kalirethinam</t>
  </si>
  <si>
    <t>Opportunity on Hold</t>
  </si>
  <si>
    <t>Cx is planning for ACSM not SAFe.</t>
  </si>
  <si>
    <t>Poornima K M</t>
  </si>
  <si>
    <t>poornikm@in.ibm.com</t>
  </si>
  <si>
    <t>Cx says, waiting for the approval.</t>
  </si>
  <si>
    <t>Chaitra S</t>
  </si>
  <si>
    <t>chaitra.s.86@gmail.com</t>
  </si>
  <si>
    <t>SAFe Agilist</t>
  </si>
  <si>
    <t>No contact details. No response to emails yet.</t>
  </si>
  <si>
    <t>Rita</t>
  </si>
  <si>
    <t>r_mahanto@rediffmail.com</t>
  </si>
  <si>
    <t>Pricing concerns. She wants at 25K.</t>
  </si>
  <si>
    <t>Udhay Kumar</t>
  </si>
  <si>
    <t>spuk19@gmail.com</t>
  </si>
  <si>
    <t>Senthil Kumar V G</t>
  </si>
  <si>
    <t>Cx says, waiting for manager's approval. Asked to call back in March 2021.</t>
  </si>
  <si>
    <t>Dilip Dhuri</t>
  </si>
  <si>
    <t>dilipddhuri@gmail.com</t>
  </si>
  <si>
    <t>Abhishek Kumar</t>
  </si>
  <si>
    <t>kumar.badshah@gmail.com</t>
  </si>
  <si>
    <t>No response to calls &amp; emails yet.</t>
  </si>
  <si>
    <t>Cx says, pushed the plan to April 2021. Call back in mid of April 2021.</t>
  </si>
  <si>
    <t>Shamini Solomon</t>
  </si>
  <si>
    <t>Opporutnity</t>
  </si>
  <si>
    <t>Cx asked to call back in the 1st week of March 2021.</t>
  </si>
  <si>
    <t>Tejshwini Kalburgi</t>
  </si>
  <si>
    <t>tejashwini.kalburgi@gmail.com</t>
  </si>
  <si>
    <t>Cx has pricing concerns. No response to follow ups.</t>
  </si>
  <si>
    <t>Subbarathna G</t>
  </si>
  <si>
    <t>Junk</t>
  </si>
  <si>
    <t>Was only trying not planning for the training.</t>
  </si>
  <si>
    <t>Pricing concerns. No response to calls &amp; emails.</t>
  </si>
  <si>
    <t>Shantha Meenav</t>
  </si>
  <si>
    <t>Darshan Jain</t>
  </si>
  <si>
    <t>No contact details. No response to emails.</t>
  </si>
  <si>
    <t>Cx says, will revert. But no response to calls &amp; emails.</t>
  </si>
  <si>
    <t>Gomathi</t>
  </si>
  <si>
    <t>laxmig21@gmail.com</t>
  </si>
  <si>
    <t>Mahendra S</t>
  </si>
  <si>
    <t>mssuyal25@gmail.com</t>
  </si>
  <si>
    <t>Wrong number. No response to emails.</t>
  </si>
  <si>
    <t>Asked to call back on 2 March 2021.</t>
  </si>
  <si>
    <t>Sathya Kumar</t>
  </si>
  <si>
    <t>sathyakumar8754@gmail.com</t>
  </si>
  <si>
    <t>Shankar K</t>
  </si>
  <si>
    <t>Says, he'll only reply to the email.
Offered 4 value added courses.</t>
  </si>
  <si>
    <t>Soumyendra</t>
  </si>
  <si>
    <t>soumyendra@gmail.com</t>
  </si>
  <si>
    <t>Invalid contact. No response to emails.</t>
  </si>
  <si>
    <t>Zameer H</t>
  </si>
  <si>
    <t>zameer.h@gmail.com</t>
  </si>
  <si>
    <t>44-755442259</t>
  </si>
  <si>
    <t>No respnose to emails &amp; msgs.</t>
  </si>
  <si>
    <t>Dinesh Dodeja</t>
  </si>
  <si>
    <t>dineshdoda03@gmail.com</t>
  </si>
  <si>
    <t>Renuka</t>
  </si>
  <si>
    <t>m.renuka3@gmail.com</t>
  </si>
  <si>
    <t>Cx says, will revert when interested. Particularly looking for Venkatesh Rajamani trainer.</t>
  </si>
  <si>
    <t>Pooja B</t>
  </si>
  <si>
    <t>poojab271@gmail.com</t>
  </si>
  <si>
    <t>Eligible for CSM not SAFe.</t>
  </si>
  <si>
    <t>Jatin Aggarwal</t>
  </si>
  <si>
    <t>jatinaggarwal445@gmail.com</t>
  </si>
  <si>
    <t>Pricing Concerns. Requires at 18K or 20K</t>
  </si>
  <si>
    <t>royalsakshi@gmail.com</t>
  </si>
  <si>
    <t>Will let me know on 26 Feb 2021.</t>
  </si>
  <si>
    <t>Mathan Babu</t>
  </si>
  <si>
    <t>mathan.babu@gmail.com</t>
  </si>
  <si>
    <t>Cx says, he'll only let me know if planned.</t>
  </si>
  <si>
    <t>Nivedita Gopinathan</t>
  </si>
  <si>
    <t>Sarina Salim</t>
  </si>
  <si>
    <t>sarisalim@gmail.com</t>
  </si>
  <si>
    <t>Cx asked to call back on 22 Feb 2021.</t>
  </si>
  <si>
    <t>Dinesh KP</t>
  </si>
  <si>
    <t>dineshkp2006@gmail.com</t>
  </si>
  <si>
    <t>Asked to call back on 22 Feb 2021.
Offered 4 value added courses.
Cx says, SL is not licensed so not taking from SL. Went with KH.</t>
  </si>
  <si>
    <t>Asked to call back on 20 Feb 2021. 
Offered 4 value added courses.</t>
  </si>
  <si>
    <t>Nidhi Chawla</t>
  </si>
  <si>
    <t>nidhi.chawla@accedo.tv</t>
  </si>
  <si>
    <t xml:space="preserve">Requires group training for 5. Budget constrains. </t>
  </si>
  <si>
    <t>Sudip P</t>
  </si>
  <si>
    <t>network4sudip652@gmail.com</t>
  </si>
  <si>
    <t>Requires only training - a comprehensive training not a typical 2 days training.</t>
  </si>
  <si>
    <t>Netra</t>
  </si>
  <si>
    <t>netra.aheblikar@gmail.com</t>
  </si>
  <si>
    <t>Call back on 20 Feb 2021.
Offered 4 value added courses.</t>
  </si>
  <si>
    <t>Asked to call back on 22 Feb 2021.</t>
  </si>
  <si>
    <t>Pooja Arora</t>
  </si>
  <si>
    <t>poojaarora.khr@gmail.com</t>
  </si>
  <si>
    <t>Requires only assistance for the exam.</t>
  </si>
  <si>
    <t>Call back on 20 Feb 2021 evening.</t>
  </si>
  <si>
    <t>Doesn't have pre-requisite for SAFe. Converting to CSM.</t>
  </si>
  <si>
    <t>Call back on 22 Feb 2021.</t>
  </si>
  <si>
    <t>Kavya</t>
  </si>
  <si>
    <t>dakhare.kavita@gmail.com</t>
  </si>
  <si>
    <t>Planning after 1-2 months. Looking for PSM.</t>
  </si>
  <si>
    <t>Aparna Rao</t>
  </si>
  <si>
    <t>rao.v.aparna@gmail.com</t>
  </si>
  <si>
    <t>Invalid contact details.</t>
  </si>
  <si>
    <t>Saurabh</t>
  </si>
  <si>
    <t>saurabh041982@gmail.com</t>
  </si>
  <si>
    <t>No contact details. Sent email. No response yet.</t>
  </si>
  <si>
    <t>anandmohan.k@gmail.com</t>
  </si>
  <si>
    <t>Asked to call back on 24 Feb 2021.</t>
  </si>
  <si>
    <t>Gagan Arora</t>
  </si>
  <si>
    <t>hi.gaganarora@gmail.com</t>
  </si>
  <si>
    <t>Kaushal Patel</t>
  </si>
  <si>
    <t>kaushalkpatel@hotmail.com</t>
  </si>
  <si>
    <t>Not Interested</t>
  </si>
  <si>
    <t>Genuinely not interested. Escalation.</t>
  </si>
  <si>
    <t>Gagan</t>
  </si>
  <si>
    <t>gagup@rediffmail.com</t>
  </si>
  <si>
    <t>Cx says, require 15 days to decide. Call back on 8 March 2021.</t>
  </si>
  <si>
    <t>Rajesh Appasamy</t>
  </si>
  <si>
    <t>rajeshappasamy@gmail.com</t>
  </si>
  <si>
    <t>Not eligible for SAFe. Suggested CSM.</t>
  </si>
  <si>
    <t>Will enroll on 23 Feb 2021.</t>
  </si>
  <si>
    <t>Nagu Krish</t>
  </si>
  <si>
    <t>nagu.krishh@gmail.com</t>
  </si>
  <si>
    <t>Manish</t>
  </si>
  <si>
    <t>manishsonise@gmail.com</t>
  </si>
  <si>
    <t>Divya Reddy</t>
  </si>
  <si>
    <t>divyareddy.kar@gmail.com</t>
  </si>
  <si>
    <t>Not eligible for SAFe. Suggested CSM/PSM. Calll back on 1 March 2021 for further updates.</t>
  </si>
  <si>
    <t>Tushar Sharma</t>
  </si>
  <si>
    <t>talktushar83@gmail.com</t>
  </si>
  <si>
    <t>T Komban</t>
  </si>
  <si>
    <t>tkomban@live.com</t>
  </si>
  <si>
    <t>Arjuna Lingam</t>
  </si>
  <si>
    <t>arjuna.lingampalli@yahoo.com</t>
  </si>
  <si>
    <t>Cx is interested. Call back on 27 Feb 2021.</t>
  </si>
  <si>
    <t>Hitesh Gupta</t>
  </si>
  <si>
    <t>hkgupta.10@gmail.com</t>
  </si>
  <si>
    <t>Cx is interested, but have to get approval from the company.</t>
  </si>
  <si>
    <t>Cx is interested. Asked to call back on 26 Feb 2021.</t>
  </si>
  <si>
    <t>email2ajaykarthi@gmail.com</t>
  </si>
  <si>
    <t>Ankush Gambhir</t>
  </si>
  <si>
    <t>ankush.gambhir@gmail.com</t>
  </si>
  <si>
    <t>deesai81@gmail.com</t>
  </si>
  <si>
    <t>Vinayak Pawar</t>
  </si>
  <si>
    <t>vinayak_jp@yahoo.com</t>
  </si>
  <si>
    <t>Cx is interested. Asked to call back on 27 Feb 2021.</t>
  </si>
  <si>
    <t>Cx says, interested. Asked to call back on 26 Feb 2021.</t>
  </si>
  <si>
    <t>Roma Vijwani</t>
  </si>
  <si>
    <t>roma.vijwani@gmail.com</t>
  </si>
  <si>
    <t>Atanu</t>
  </si>
  <si>
    <t>Sachin Tawar</t>
  </si>
  <si>
    <t>sachintawar1991@gmail.com</t>
  </si>
  <si>
    <t>Ramki</t>
  </si>
  <si>
    <t>ramkians@yahoo.com</t>
  </si>
  <si>
    <t>Brurs</t>
  </si>
  <si>
    <t>brurs2005@gmail.com</t>
  </si>
  <si>
    <t>Hari Veluchamy</t>
  </si>
  <si>
    <t>hariveluchamy@gmail.com</t>
  </si>
  <si>
    <t>Sowmya N</t>
  </si>
  <si>
    <t>naraharisowmya22@gmail.com</t>
  </si>
  <si>
    <t>Already have SAFe SSM. Was just checking for Interview prep.</t>
  </si>
  <si>
    <t>Arti Kashyap</t>
  </si>
  <si>
    <t>kashyaparti96@gmail.com</t>
  </si>
  <si>
    <t>Alokendu Choudhury</t>
  </si>
  <si>
    <t>8589039366/ 9791045570</t>
  </si>
  <si>
    <t>Dhawal</t>
  </si>
  <si>
    <t>dhawalsah1@gmail.com</t>
  </si>
  <si>
    <t>Pious Tiwari</t>
  </si>
  <si>
    <t>tiwaripious123@gmail.com</t>
  </si>
  <si>
    <t>Shubham Thawali</t>
  </si>
  <si>
    <t>shubhamthawalipatiil@gmail.com</t>
  </si>
  <si>
    <t>Brijesh Tiwari</t>
  </si>
  <si>
    <t>buk2009@gmail.com</t>
  </si>
  <si>
    <t>a2a</t>
  </si>
  <si>
    <t>a2a@a.com</t>
  </si>
  <si>
    <t>Sneha Sinha</t>
  </si>
  <si>
    <t>sinha.sneha96@gmail.com</t>
  </si>
  <si>
    <t>Manoj Kadam</t>
  </si>
  <si>
    <t>manoj_bkadam@yahoo.com</t>
  </si>
  <si>
    <t>Have to check with his management for reimbursement.</t>
  </si>
  <si>
    <t>Viral Shah</t>
  </si>
  <si>
    <t>viransh@gmail.com</t>
  </si>
  <si>
    <t>Cx is interested. Call back on 1 March 2021 evening.</t>
  </si>
  <si>
    <t>Tanuj Chhabra</t>
  </si>
  <si>
    <t>tanujchhabra0801@gmail.com</t>
  </si>
  <si>
    <t>Shipra Jain</t>
  </si>
  <si>
    <t>shiprajain_81@hotmail.com</t>
  </si>
  <si>
    <t>Waiting for next quarter approval.</t>
  </si>
  <si>
    <t>Waiting for the approval from HR. Call back in March 2021.</t>
  </si>
  <si>
    <t>Akshat Narkhi</t>
  </si>
  <si>
    <t>akshatnarkhi1993@gmail.com</t>
  </si>
  <si>
    <t>Not interested.</t>
  </si>
  <si>
    <t>Cx says, planning for March 2021. Call back in March 2021.</t>
  </si>
  <si>
    <t>Saurabh Ahuja</t>
  </si>
  <si>
    <t>saurabhahuja188@gmail.com</t>
  </si>
  <si>
    <t>Not interested in partial refunds.</t>
  </si>
  <si>
    <t>Ambadas</t>
  </si>
  <si>
    <t>ambadas.t@gmail.com</t>
  </si>
  <si>
    <t>Anand Sourabh</t>
  </si>
  <si>
    <t>foreversourabh@gmail.com</t>
  </si>
  <si>
    <t>Not eligibile for SAFe. Pitched CSPO. No response to calls &amp; emails.</t>
  </si>
  <si>
    <t>Prasad Deshpande</t>
  </si>
  <si>
    <t>prasadrdeshpande@gmail.com</t>
  </si>
  <si>
    <t>971-50718893</t>
  </si>
  <si>
    <t>No response to emails &amp; msgs.</t>
  </si>
  <si>
    <t>Soumya Bajpai</t>
  </si>
  <si>
    <t>soumya.bajpai15@gmail.com</t>
  </si>
  <si>
    <t>Aastha Gwalani</t>
  </si>
  <si>
    <t>aastha.gwalani@gmail.com</t>
  </si>
  <si>
    <t>Swetha</t>
  </si>
  <si>
    <t>mantlegal@gmail.com</t>
  </si>
  <si>
    <t xml:space="preserve">Not sure when to take up. </t>
  </si>
  <si>
    <t>Oppotunity on Hold</t>
  </si>
  <si>
    <t>Cx says, planning April/ May 2021. Call back on last week of April 2021.</t>
  </si>
  <si>
    <t>Pinky Soa</t>
  </si>
  <si>
    <t>pinky.soa@gmail.com</t>
  </si>
  <si>
    <t>Swarna</t>
  </si>
  <si>
    <t>Cx says, needs some more time to arrange the money. Call back on 27 Feb 2021.</t>
  </si>
  <si>
    <t>Aarti Ramdas</t>
  </si>
  <si>
    <t>aartivr@gmail.com</t>
  </si>
  <si>
    <t>Papri</t>
  </si>
  <si>
    <t>papri94322@gmail.com</t>
  </si>
  <si>
    <t>Cx replied to emails, saying not interested now. Training is very expensive.</t>
  </si>
  <si>
    <t>Cx says, only inquiring. Not interested.</t>
  </si>
  <si>
    <t>shefali.nigam@atos.net</t>
  </si>
  <si>
    <t>Cx says, waiting for the approval from the company.</t>
  </si>
  <si>
    <t>shahinapps@gmail.com</t>
  </si>
  <si>
    <t>Cx is interested, waiting for the approval. Sent the details. Call back on 6 March 2021.</t>
  </si>
  <si>
    <t>Tausif</t>
  </si>
  <si>
    <t>tperampa@gmail.com</t>
  </si>
  <si>
    <t>kn.sasidhar@gmail.com</t>
  </si>
  <si>
    <t>Cx has already completed SAFe Agilist elsewehere. Looking for other certification.</t>
  </si>
  <si>
    <t>Cx thinks 45K is way too expensive. Will let me know.</t>
  </si>
  <si>
    <t>nimishaoza@yahoo.co.in</t>
  </si>
  <si>
    <t>Nikhil Nath</t>
  </si>
  <si>
    <t>nikhilhnath@gmail.com</t>
  </si>
  <si>
    <t>Cx is already doing PMP now. Will plan for this later. Call back on 15 May 2021.</t>
  </si>
  <si>
    <t>Asdg</t>
  </si>
  <si>
    <t>asdsg@gamil.com</t>
  </si>
  <si>
    <t>Cx is interested. Call back on 4 March 2021.</t>
  </si>
  <si>
    <t>Chandresh Mehta</t>
  </si>
  <si>
    <t>chandresh.mehta@gmail.com</t>
  </si>
  <si>
    <t>Cx asked to call back on 2 March 2021.</t>
  </si>
  <si>
    <t>Sudheer</t>
  </si>
  <si>
    <t>sudheerbommi@gmail.com</t>
  </si>
  <si>
    <t>Shruti</t>
  </si>
  <si>
    <t>jagadshruti@gmail.com</t>
  </si>
  <si>
    <t>Cx asked to call back on 3rd week of March 2021.</t>
  </si>
  <si>
    <t>Manisha Mahajan</t>
  </si>
  <si>
    <t>manisha.mahajan@simplilearn.netm</t>
  </si>
  <si>
    <t>Manikandan</t>
  </si>
  <si>
    <t>ushh88@gmail.com</t>
  </si>
  <si>
    <t>Cx says, will get back once planned for the training.</t>
  </si>
  <si>
    <t>Cx is intereted. Asked to call back on 4 March 2021 at 4 PM.</t>
  </si>
  <si>
    <t>Cx is interested. Call back on 2 March 2021 evening.</t>
  </si>
  <si>
    <t>Subhash Sharma</t>
  </si>
  <si>
    <t>subhash.sharma.qa@gmail.com</t>
  </si>
  <si>
    <t>Sk4</t>
  </si>
  <si>
    <t>sk4290@gmail.com</t>
  </si>
  <si>
    <t>Nishant</t>
  </si>
  <si>
    <t>nishant8679@gmail.com</t>
  </si>
  <si>
    <t>Chetan Jyotsna</t>
  </si>
  <si>
    <t>chetan.jyotsna@gmail.com</t>
  </si>
  <si>
    <t>01-4168051611</t>
  </si>
  <si>
    <t>Lakshya</t>
  </si>
  <si>
    <t>lakshyg555@gmail.com</t>
  </si>
  <si>
    <t>Deepak Chawla</t>
  </si>
  <si>
    <t>deepak_chawla22@hotmail.com</t>
  </si>
  <si>
    <t>Rekha</t>
  </si>
  <si>
    <t>thendral1513@gmail.com</t>
  </si>
  <si>
    <t>Geetesh</t>
  </si>
  <si>
    <t>geeteshpuri@yahoo.co.in</t>
  </si>
  <si>
    <t>ashishvb1809@gmail.com</t>
  </si>
  <si>
    <t>Ssranj</t>
  </si>
  <si>
    <t>ssrsanj@gmail.co.com</t>
  </si>
  <si>
    <t>Nikhil Kushbou</t>
  </si>
  <si>
    <t>nikhilkushbou@yahoo.com</t>
  </si>
  <si>
    <t>Rs</t>
  </si>
  <si>
    <t>rs8877@yahoo.com</t>
  </si>
  <si>
    <t>Ramya R</t>
  </si>
  <si>
    <t>ramya.ramaswamy19@gmail.com</t>
  </si>
  <si>
    <t>Prashant Gupta</t>
  </si>
  <si>
    <t>prashant.pgupta@gmail.com</t>
  </si>
  <si>
    <t>Lakshmi Narasimha</t>
  </si>
  <si>
    <t>narasima_it@yahoo.com</t>
  </si>
  <si>
    <t>Subalakshmi</t>
  </si>
  <si>
    <t>sukrathik@gmail.com</t>
  </si>
  <si>
    <t>Shashwati Bandyopadhyay</t>
  </si>
  <si>
    <t>shashwatibandyopadhyay@yahoo.com</t>
  </si>
  <si>
    <t>Deep Gionee</t>
  </si>
  <si>
    <t>deepgionee@gmail.com</t>
  </si>
  <si>
    <t>Mukundan Govindarajan</t>
  </si>
  <si>
    <t>mukundan.govindarajan@gmail.com</t>
  </si>
  <si>
    <t>Nalini Biswal</t>
  </si>
  <si>
    <t>nalini.biswal@gmail.com</t>
  </si>
  <si>
    <t>Yeshu Punj</t>
  </si>
  <si>
    <t>yeshu.punj@gmail.com</t>
  </si>
  <si>
    <t>Subisha Rajavardhan</t>
  </si>
  <si>
    <t>subisharajavardhan@gmail.com</t>
  </si>
  <si>
    <t>Prasad Sajja</t>
  </si>
  <si>
    <t>svs.sajja@gmail.com</t>
  </si>
  <si>
    <t>Shalakha</t>
  </si>
  <si>
    <t>shalakha.bk@gmail.com</t>
  </si>
  <si>
    <t>Sumit Patil</t>
  </si>
  <si>
    <t>patilsumit231@gmail.com</t>
  </si>
  <si>
    <t>Teja</t>
  </si>
  <si>
    <t>thejovathir1@gmail.com</t>
  </si>
  <si>
    <t>Karthik Sondarajan</t>
  </si>
  <si>
    <t>karthik.soundararajan@gmail.com</t>
  </si>
  <si>
    <t>Bharath</t>
  </si>
  <si>
    <t>bharath.cbit@gmail.com</t>
  </si>
  <si>
    <t>Pricing concern.</t>
  </si>
  <si>
    <t>Venkata Puppala</t>
  </si>
  <si>
    <t>venkata.puppala@gmail.com</t>
  </si>
  <si>
    <t>1-4848687229</t>
  </si>
  <si>
    <t>a4abhi1993@gmail.com</t>
  </si>
  <si>
    <t>Kaju Singh</t>
  </si>
  <si>
    <t>kajusingh153@gmail.com</t>
  </si>
  <si>
    <t>Shradha Kapoor</t>
  </si>
  <si>
    <t>shradhakapoor9496@gmail.com</t>
  </si>
  <si>
    <t>Subes</t>
  </si>
  <si>
    <t>subhes.25@gmail.com</t>
  </si>
  <si>
    <t>kaushik.bpd@gmail.com</t>
  </si>
  <si>
    <t>Amit Kumar</t>
  </si>
  <si>
    <t>amit.kumar25@vodafone.com</t>
  </si>
  <si>
    <t>Shweta Ratnakar</t>
  </si>
  <si>
    <t>shwetaa.ratnakar@gmail.com</t>
  </si>
  <si>
    <t>Wants CSM at 15K.</t>
  </si>
  <si>
    <t>Smith Murali</t>
  </si>
  <si>
    <t>smithmurali@gmail.com</t>
  </si>
  <si>
    <t>Vasanth Dinesh</t>
  </si>
  <si>
    <t>vasanth_dinesh@yahoo.com</t>
  </si>
  <si>
    <t>Vijay Bharat</t>
  </si>
  <si>
    <t>svbharat@yahoo.co.in</t>
  </si>
  <si>
    <t>Deepak Panwar</t>
  </si>
  <si>
    <t>deepak3panwar@gmail.com</t>
  </si>
  <si>
    <t>Jerry</t>
  </si>
  <si>
    <t>mailtojerry1994@gmail.com</t>
  </si>
  <si>
    <t>Harshal</t>
  </si>
  <si>
    <t>harshal.sambhar05@gmail.com</t>
  </si>
  <si>
    <t>Manjunath</t>
  </si>
  <si>
    <t>kggmanjunath@gmail.com</t>
  </si>
  <si>
    <t>Shravya</t>
  </si>
  <si>
    <t>Karunakar</t>
  </si>
  <si>
    <t>kgade9@gmail.com</t>
  </si>
  <si>
    <t>Parul Varghese</t>
  </si>
  <si>
    <t>paulvarghesep125@gmail.com</t>
  </si>
  <si>
    <t>Shruti Unni</t>
  </si>
  <si>
    <t>shruti.unni@gmail.com</t>
  </si>
  <si>
    <t>Anandvel Rajavel</t>
  </si>
  <si>
    <t>contactvelu@gmail.com</t>
  </si>
  <si>
    <t>Shahid Sidiq</t>
  </si>
  <si>
    <t>shahidiqbals@gmail.com</t>
  </si>
  <si>
    <t>R Parupoodi</t>
  </si>
  <si>
    <t>rseptember1963@gmail.com</t>
  </si>
  <si>
    <t>Sudip Bhattacharya</t>
  </si>
  <si>
    <t>sudipb73@yahoo.com</t>
  </si>
  <si>
    <t>Rajesh N</t>
  </si>
  <si>
    <t>nrajeesh@gmail.com</t>
  </si>
  <si>
    <t>veenagkrishnan1993@gmail.com</t>
  </si>
  <si>
    <t>Gautam P</t>
  </si>
  <si>
    <t>gautam.p.1@gmail.com</t>
  </si>
  <si>
    <t>Avadhesh Thakarar</t>
  </si>
  <si>
    <t>avadhesh.thakarar@gmail.com</t>
  </si>
  <si>
    <t>Opportunity On Hold</t>
  </si>
  <si>
    <t>Chandargi</t>
  </si>
  <si>
    <t>schandargi@gmail.com</t>
  </si>
  <si>
    <t>sonimanambair@gmail.com</t>
  </si>
  <si>
    <t>Shibana</t>
  </si>
  <si>
    <t>sshibananda1984@gmail.com</t>
  </si>
  <si>
    <t>Sandeep Jain</t>
  </si>
  <si>
    <t>sandeep.jain@dxc.com</t>
  </si>
  <si>
    <t>Anup Kumar</t>
  </si>
  <si>
    <t>anupkumark@outlook.com</t>
  </si>
  <si>
    <t>Jaya Tiwari</t>
  </si>
  <si>
    <t>jinnnietiwari@gmail.com</t>
  </si>
  <si>
    <t>venu.madhav@simplilearn.com</t>
  </si>
  <si>
    <t>Saravana Kumar</t>
  </si>
  <si>
    <t>saravanakumar20.kannan@gmail.com</t>
  </si>
  <si>
    <t>Chaitra Patil</t>
  </si>
  <si>
    <t>chaitra.babanagar@gmail.com</t>
  </si>
  <si>
    <t>Viahal Kumar</t>
  </si>
  <si>
    <t>spcece@gmail.com</t>
  </si>
  <si>
    <t>Rupa Mistry</t>
  </si>
  <si>
    <t>rupamistry12@gmail.com</t>
  </si>
  <si>
    <t>Lakshmi Narayanan</t>
  </si>
  <si>
    <t>nanu31980@gmail.com</t>
  </si>
  <si>
    <t>Sarosh Hussain</t>
  </si>
  <si>
    <t>Oppportunity</t>
  </si>
  <si>
    <t>meenakshiskr@gmail.com</t>
  </si>
  <si>
    <t>Nisha Kumar</t>
  </si>
  <si>
    <t>gr8nish@gmail.com</t>
  </si>
  <si>
    <t>Ayushi Jalan</t>
  </si>
  <si>
    <t>ayushijalan10@gmail.com</t>
  </si>
  <si>
    <t>Surya</t>
  </si>
  <si>
    <t>1suryadoisaha@gmail.com</t>
  </si>
  <si>
    <t>Anju Dhawan</t>
  </si>
  <si>
    <t>anju.dhawan@mercer.com</t>
  </si>
  <si>
    <t>Brijesh Kumar</t>
  </si>
  <si>
    <t>Pritika Priya</t>
  </si>
  <si>
    <t>pritika.priya@gmail.com</t>
  </si>
  <si>
    <t>Gaurav Verma</t>
  </si>
  <si>
    <t>gauravverma00504@gmail.com</t>
  </si>
  <si>
    <t>Divya Prakash</t>
  </si>
  <si>
    <t>Arthi</t>
  </si>
  <si>
    <t>arthir24@gmail.com</t>
  </si>
  <si>
    <t>Prachi Mayekar</t>
  </si>
  <si>
    <t>mayekar.prachi31@gmail.com</t>
  </si>
  <si>
    <t>Suraj</t>
  </si>
  <si>
    <t>suraj.axn@gmail.com</t>
  </si>
  <si>
    <t>Omkar Prabhudesai</t>
  </si>
  <si>
    <t>omkar.prabhudesai@gmail.com</t>
  </si>
  <si>
    <t>Pushpendra Sengar</t>
  </si>
  <si>
    <t>puspendra_sengar@yahoo.com</t>
  </si>
  <si>
    <t>Thomas John</t>
  </si>
  <si>
    <t>thossse@gmail.com</t>
  </si>
  <si>
    <t>Anoop Sanu</t>
  </si>
  <si>
    <t>anoopsanu10@gmail.com</t>
  </si>
  <si>
    <t>Siby Abraham</t>
  </si>
  <si>
    <t>sibyabrahamk@yahoo.com</t>
  </si>
  <si>
    <t>Sathya KP</t>
  </si>
  <si>
    <t>sathya.kp17@gmail.com</t>
  </si>
  <si>
    <t>Vinay Kumar</t>
  </si>
  <si>
    <t>vinaykumarmd1984@gmail.com</t>
  </si>
  <si>
    <t>Rami Reddy</t>
  </si>
  <si>
    <t>ramireddy.csm@gmail.com</t>
  </si>
  <si>
    <t>Neetu</t>
  </si>
  <si>
    <t>neetuglides@gmail.com</t>
  </si>
  <si>
    <t>Nidhi Sindhwani</t>
  </si>
  <si>
    <t>sindhwani_nidhi@yahoo.co.in</t>
  </si>
  <si>
    <t>Sajith K</t>
  </si>
  <si>
    <t>ksajithu@gmail.com</t>
  </si>
  <si>
    <t>Tonmoy</t>
  </si>
  <si>
    <t>tonmoyjantu@gmail.com</t>
  </si>
  <si>
    <t>Tushar Nikam</t>
  </si>
  <si>
    <t>tusharnikam90@gmail.com</t>
  </si>
  <si>
    <t>Griffin alexuis</t>
  </si>
  <si>
    <t>Sirish</t>
  </si>
  <si>
    <t>sirishuj.98@gmail.com</t>
  </si>
  <si>
    <t>Hamja Manka</t>
  </si>
  <si>
    <t>hamjamanka@gmail.com</t>
  </si>
  <si>
    <t>Pawan Sharma</t>
  </si>
  <si>
    <t>sharmapawan306@gmail.com</t>
  </si>
  <si>
    <t>Aparna</t>
  </si>
  <si>
    <t>ascafe87@gmail.com</t>
  </si>
  <si>
    <t>Ashwini Ramaswamy</t>
  </si>
  <si>
    <t>ashwinirswmy@gmail.com</t>
  </si>
  <si>
    <t>Pauline Mathew</t>
  </si>
  <si>
    <t>paulinemathew@gmail.com</t>
  </si>
  <si>
    <t>Aditya Pathak</t>
  </si>
  <si>
    <t>aditya.pathak83@gmail.com</t>
  </si>
  <si>
    <t xml:space="preserve">Shikha </t>
  </si>
  <si>
    <t>shikhainfotech7@gmail.com</t>
  </si>
  <si>
    <t>Kalpana</t>
  </si>
  <si>
    <t>kollykelly@gmail.com</t>
  </si>
  <si>
    <t>Arul</t>
  </si>
  <si>
    <t>arul@magicstudios.net</t>
  </si>
  <si>
    <t>Piyush</t>
  </si>
  <si>
    <t>namchoudhary760@gmail.com</t>
  </si>
  <si>
    <t>Viral</t>
  </si>
  <si>
    <t>viral123viral2010@gmail.com</t>
  </si>
  <si>
    <t>Rajan Sarangi</t>
  </si>
  <si>
    <t>Ankita Sachan</t>
  </si>
  <si>
    <t>anksachan@outlook.com</t>
  </si>
  <si>
    <t>Pradipta Biswal</t>
  </si>
  <si>
    <t>Sudha Krishna</t>
  </si>
  <si>
    <t>sudha_krishna02@yahoo.com</t>
  </si>
  <si>
    <t>Dhivya</t>
  </si>
  <si>
    <t>ethayya.m@gmail.com</t>
  </si>
  <si>
    <t>Vidya Mane</t>
  </si>
  <si>
    <t>vidya.y.mane@gmail.com</t>
  </si>
  <si>
    <t>Arpit Jain</t>
  </si>
  <si>
    <t>arpitbajhal@gmaill.com</t>
  </si>
  <si>
    <t>Vinay Marje</t>
  </si>
  <si>
    <t>vinaymarje@gmail.com</t>
  </si>
  <si>
    <t>Ravi Komaraju</t>
  </si>
  <si>
    <t>sairavik@gmail.com</t>
  </si>
  <si>
    <t>Chetan Baburao</t>
  </si>
  <si>
    <t>abc@pqr.com</t>
  </si>
  <si>
    <t>Chetana</t>
  </si>
  <si>
    <t>chetsbneel@gmail.com</t>
  </si>
  <si>
    <t>Ruchika</t>
  </si>
  <si>
    <t>ruchika0929@gmail.com</t>
  </si>
  <si>
    <t>Maurya S</t>
  </si>
  <si>
    <t>mr.s.maurya@gmail.com</t>
  </si>
  <si>
    <t>Atishya</t>
  </si>
  <si>
    <t>atishyajn@gmail.com</t>
  </si>
  <si>
    <t>Works in Simplilearn itself. Used this as Business Mock call.</t>
  </si>
  <si>
    <t>Sajan Variar</t>
  </si>
  <si>
    <t>sajan.variar@gmail.com</t>
  </si>
  <si>
    <t>Suresh</t>
  </si>
  <si>
    <t>helosuresh@gmail.com</t>
  </si>
  <si>
    <t>Guruprasad</t>
  </si>
  <si>
    <t>krguruprasad@gmail.com</t>
  </si>
  <si>
    <t>Srivastav</t>
  </si>
  <si>
    <t>srivastav.17@gmail.com</t>
  </si>
  <si>
    <t>Rajat Kumar</t>
  </si>
  <si>
    <t>rajat291286@gmail.com</t>
  </si>
  <si>
    <t>prasadj175@gmail.com</t>
  </si>
  <si>
    <t>Suvam Chakraborty</t>
  </si>
  <si>
    <t>chakraborty_suvam@yahoo.com</t>
  </si>
  <si>
    <t>Krishnendu</t>
  </si>
  <si>
    <t>krishnenduban@rediff.com</t>
  </si>
  <si>
    <t>krmurari@gmail.com</t>
  </si>
  <si>
    <t>Bhavesh</t>
  </si>
  <si>
    <t>bhavesh55solanki@yahoo.com</t>
  </si>
  <si>
    <t>Bharti Bindal</t>
  </si>
  <si>
    <t>bhartibindal1975@gmail.com</t>
  </si>
  <si>
    <t>Raghavendra Rao</t>
  </si>
  <si>
    <t>raghavendrarao500@gmail.com</t>
  </si>
  <si>
    <t>Vishal D</t>
  </si>
  <si>
    <t>vishal.d.choudhary@gmail.com</t>
  </si>
  <si>
    <t>Abhijothi</t>
  </si>
  <si>
    <t>abhijothi2014@gmail.com</t>
  </si>
  <si>
    <t>Rupesh Kumar</t>
  </si>
  <si>
    <t>rupessah@gmail.com</t>
  </si>
  <si>
    <t>Jayachandra</t>
  </si>
  <si>
    <t>Deepika M</t>
  </si>
  <si>
    <t>deepika.m@simplilearn.com</t>
  </si>
  <si>
    <t>Aditya Rathnam</t>
  </si>
  <si>
    <t>adityarathnam61296@gmail.com</t>
  </si>
  <si>
    <t>Sirisha</t>
  </si>
  <si>
    <t>sirishabavirisetty@gmail.com</t>
  </si>
  <si>
    <t>Ruchita Sharma</t>
  </si>
  <si>
    <t>aquarianruchi@gmail.com</t>
  </si>
  <si>
    <t>Usha Bharadwaj</t>
  </si>
  <si>
    <t>ushabharadwaj29@gmail.com</t>
  </si>
  <si>
    <t>Himaxi</t>
  </si>
  <si>
    <t>Bhuvana Prasath</t>
  </si>
  <si>
    <t>prasathbhuvana89@gmail.com</t>
  </si>
  <si>
    <t>Pooja Roy</t>
  </si>
  <si>
    <t>pooja.roy2007@gmail.com</t>
  </si>
  <si>
    <t>Nidhi L</t>
  </si>
  <si>
    <t>jainnid@gmail.com</t>
  </si>
  <si>
    <t>Rajat C</t>
  </si>
  <si>
    <t>rajatchakr1@gmail.com</t>
  </si>
  <si>
    <t>Rahul Saha</t>
  </si>
  <si>
    <t>rahulsaha2110@gmail.com</t>
  </si>
  <si>
    <t>Vikas Goyal</t>
  </si>
  <si>
    <t>goyal27vikas@gmail.com</t>
  </si>
  <si>
    <t>Mythri J</t>
  </si>
  <si>
    <t>mythri.j@gmail.com</t>
  </si>
  <si>
    <t>Raghu Mul</t>
  </si>
  <si>
    <t>Swamini Ausarkar</t>
  </si>
  <si>
    <t>swamini.ausarkar@gmail.com</t>
  </si>
  <si>
    <t>Deepak Kapoor</t>
  </si>
  <si>
    <t>kapoordeepak123@gmail.com</t>
  </si>
  <si>
    <t>Arasu Sokkalingam</t>
  </si>
  <si>
    <t>arasu.sokkalingam@yahoo.com</t>
  </si>
  <si>
    <t>Softwaretheagile</t>
  </si>
  <si>
    <t>softwaretheagileway@outlook.com</t>
  </si>
  <si>
    <t>Jasmine Kaur</t>
  </si>
  <si>
    <t>jasmine.kaur@bt.com</t>
  </si>
  <si>
    <t>Piyali Das</t>
  </si>
  <si>
    <t>piyamondal08@gmail.com</t>
  </si>
  <si>
    <t>Mary Paul</t>
  </si>
  <si>
    <t>marypaul1603@gmail.com</t>
  </si>
  <si>
    <t>Rajni Pawaria</t>
  </si>
  <si>
    <t>rajni.pawaria5@gmail.com</t>
  </si>
  <si>
    <t>Test</t>
  </si>
  <si>
    <t>test@simplilearn.net</t>
  </si>
  <si>
    <t xml:space="preserve">Anadi </t>
  </si>
  <si>
    <t>anadi4u@gmail.com</t>
  </si>
  <si>
    <t>Vaidya</t>
  </si>
  <si>
    <t>sugvai@yahoo.com</t>
  </si>
  <si>
    <t>Surendar</t>
  </si>
  <si>
    <t>mksuren369@yahoo.com</t>
  </si>
  <si>
    <t>Arindam Bose</t>
  </si>
  <si>
    <t>arinarko2@yahoo.co.in</t>
  </si>
  <si>
    <t>Prashmita Das</t>
  </si>
  <si>
    <t>dasprashmita@gmail.com</t>
  </si>
  <si>
    <t>Amitabh Naik</t>
  </si>
  <si>
    <t>amitabh_itmw@yahoo.co.in</t>
  </si>
  <si>
    <t>Luxmi</t>
  </si>
  <si>
    <t>luxmi2005@gmail.com</t>
  </si>
  <si>
    <t>Ashish V</t>
  </si>
  <si>
    <t>ashishvankudre@yahoo.com</t>
  </si>
  <si>
    <t>Kunal Juneja</t>
  </si>
  <si>
    <t>junejakunal2010@gmail.com</t>
  </si>
  <si>
    <t>Sambit Panda</t>
  </si>
  <si>
    <t>psambitk@gmail.com</t>
  </si>
  <si>
    <t>Bhumika Mishra</t>
  </si>
  <si>
    <t>bhumikam29@gmail.com</t>
  </si>
  <si>
    <t>Deepak Misra</t>
  </si>
  <si>
    <t>d.misra86@gmail.com</t>
  </si>
  <si>
    <t>Aarthi V</t>
  </si>
  <si>
    <t>aarthivennila@gmail.com</t>
  </si>
  <si>
    <t>Pooja G</t>
  </si>
  <si>
    <t>pooja.gundecha@gmail.com</t>
  </si>
  <si>
    <t>Sabiya Namdar</t>
  </si>
  <si>
    <t>sabiyainamdar1997@gmail.com</t>
  </si>
  <si>
    <t>2205ash@gmail.com</t>
  </si>
  <si>
    <t>Amit Pande</t>
  </si>
  <si>
    <t>amitpande20@gmail.com</t>
  </si>
  <si>
    <t>Suresh Padamsale</t>
  </si>
  <si>
    <t>spadmasale2016@gmail.com</t>
  </si>
  <si>
    <t>Sumeet</t>
  </si>
  <si>
    <t>msdnsumeet@gmail.com</t>
  </si>
  <si>
    <t>Prabhu SH</t>
  </si>
  <si>
    <t>Naveena Vadlamudi</t>
  </si>
  <si>
    <t>navinav@yahoo.com</t>
  </si>
  <si>
    <t>Chandru Ranga</t>
  </si>
  <si>
    <t>chandru.ranga93@gmail.com</t>
  </si>
  <si>
    <t>Urmi Doshi</t>
  </si>
  <si>
    <t>urmi.doshi@hcl.com</t>
  </si>
  <si>
    <t>Savita Narang</t>
  </si>
  <si>
    <t>narangsavi16@gmail.com</t>
  </si>
  <si>
    <t>Navaneeth Narayanan</t>
  </si>
  <si>
    <t>navaneethsnavi2020@gmail.com</t>
  </si>
  <si>
    <t>Cavale</t>
  </si>
  <si>
    <t>kncavale@gmail.com</t>
  </si>
  <si>
    <t>Vijay Khanna</t>
  </si>
  <si>
    <t>vijay747@hotmail.com</t>
  </si>
  <si>
    <t>rahul126@gmail.com</t>
  </si>
  <si>
    <t>Abhipethia</t>
  </si>
  <si>
    <t>abhipethia@yahoo.com</t>
  </si>
  <si>
    <t>Srishti</t>
  </si>
  <si>
    <t>srishti@simplilearn.net</t>
  </si>
  <si>
    <t>Mandar Patankar</t>
  </si>
  <si>
    <t>mandar.patankar@gmail.com</t>
  </si>
  <si>
    <t>Mashook T</t>
  </si>
  <si>
    <t>mashookt7@gmail.com</t>
  </si>
  <si>
    <t>Vignesh Raj</t>
  </si>
  <si>
    <t>vignesh_raj@hotmail.com</t>
  </si>
  <si>
    <t>Devendra Rathore</t>
  </si>
  <si>
    <t>devrathore.aero@gmail.com</t>
  </si>
  <si>
    <t>Ranjuh</t>
  </si>
  <si>
    <t>ranjuh.04@gmail.com</t>
  </si>
  <si>
    <t>Uthraa Balaji</t>
  </si>
  <si>
    <t>Jayasree</t>
  </si>
  <si>
    <t>1100120@tcs.com</t>
  </si>
  <si>
    <t>Harshal Katiyar</t>
  </si>
  <si>
    <t>harshalkatiyar@gmail.com</t>
  </si>
  <si>
    <t xml:space="preserve">No contact </t>
  </si>
  <si>
    <t>Sharanveer Singh</t>
  </si>
  <si>
    <t>lucky_kohli21@yahoo.co.in</t>
  </si>
  <si>
    <t>Kishore Rao</t>
  </si>
  <si>
    <t>inraok83@gmail.com</t>
  </si>
  <si>
    <t>rishin.mitra@tcs.com</t>
  </si>
  <si>
    <t>Vijay</t>
  </si>
  <si>
    <t>visitvijay@rocketmail.com</t>
  </si>
  <si>
    <t>Manisha Dravida</t>
  </si>
  <si>
    <t>manisha.dravida@rediffmail.com</t>
  </si>
  <si>
    <t>Sachin Puranik</t>
  </si>
  <si>
    <t>puraniksachin@gmail.com</t>
  </si>
  <si>
    <t>Geeta Kadkol</t>
  </si>
  <si>
    <t>geeta_kadkol@hermanmiller.com</t>
  </si>
  <si>
    <t>Sumithra D</t>
  </si>
  <si>
    <t>sumithra.dv@gmail.com</t>
  </si>
  <si>
    <t>jhabhishekumar@gmail.com</t>
  </si>
  <si>
    <t>Ashwini Ramesh</t>
  </si>
  <si>
    <t>ashnaveen@gmail.com</t>
  </si>
  <si>
    <t>Vinoth Raj</t>
  </si>
  <si>
    <t>rajvinoth@live.com</t>
  </si>
  <si>
    <t>Jyoti Shankar</t>
  </si>
  <si>
    <t>jyotisilu86@gmail.com</t>
  </si>
  <si>
    <t>Rajshekar</t>
  </si>
  <si>
    <t>rajuybs@gmail.com</t>
  </si>
  <si>
    <t>Girija Lakshmi</t>
  </si>
  <si>
    <t>Nikhil Oswal</t>
  </si>
  <si>
    <t>nikhil.oswal87@gmail.com</t>
  </si>
  <si>
    <t>Kevin</t>
  </si>
  <si>
    <t>keviv2020.viv@gmail.com</t>
  </si>
  <si>
    <t>Santosh M</t>
  </si>
  <si>
    <t>santhosh.m11@gmail.com</t>
  </si>
  <si>
    <t>Sanad Ali</t>
  </si>
  <si>
    <t>sanad0767@gmail.com</t>
  </si>
  <si>
    <t>Mukund Subramanian</t>
  </si>
  <si>
    <t>mukund.subramaniam@gmail.com</t>
  </si>
  <si>
    <t>Valli</t>
  </si>
  <si>
    <t>valliammal.dp@gmail.com</t>
  </si>
  <si>
    <t xml:space="preserve">Krishna </t>
  </si>
  <si>
    <t>14.krishna@gmail.com</t>
  </si>
  <si>
    <t>Masumi</t>
  </si>
  <si>
    <t>a2@gmail.com</t>
  </si>
  <si>
    <t>Riya Saha</t>
  </si>
  <si>
    <t>riyasaha738@gmail.com</t>
  </si>
  <si>
    <t>Sangeetha Kumar</t>
  </si>
  <si>
    <t>sangeethakumar2007@gmail.com</t>
  </si>
  <si>
    <t>Charmy Grover</t>
  </si>
  <si>
    <t>grovercharmy@gmail.com</t>
  </si>
  <si>
    <t>Shaleen Jain</t>
  </si>
  <si>
    <t>shaleen.jain80@gmail.com</t>
  </si>
  <si>
    <t>Vishal Pratap</t>
  </si>
  <si>
    <t>vishalpratapwar@gmail.com</t>
  </si>
  <si>
    <t>Smartistic</t>
  </si>
  <si>
    <t>smartistic@gmail.com</t>
  </si>
  <si>
    <t>rramaswa@akamai.com</t>
  </si>
  <si>
    <t>Lauda Sur</t>
  </si>
  <si>
    <t>laudasur@gmail.com</t>
  </si>
  <si>
    <t>Ashish Sahu</t>
  </si>
  <si>
    <t>Bharti Kumari</t>
  </si>
  <si>
    <t>bhkumari22@gmail.com</t>
  </si>
  <si>
    <t>Amit Anand</t>
  </si>
  <si>
    <t>amitanand.ece@gmail.com</t>
  </si>
  <si>
    <t>Biswaranjan Sahoo</t>
  </si>
  <si>
    <t>biswaranjan123@gmail.com</t>
  </si>
  <si>
    <t>Prashant Kumar</t>
  </si>
  <si>
    <t>prashantkumar15@gmail.com</t>
  </si>
  <si>
    <t xml:space="preserve">Manish J </t>
  </si>
  <si>
    <t>kaushalbhatt_ictm@yahoo.co.in</t>
  </si>
  <si>
    <t>Duplicate</t>
  </si>
  <si>
    <t>Richa Shubham</t>
  </si>
  <si>
    <t>richas.shubham@gmail.com</t>
  </si>
  <si>
    <t>Himabindu Tenneti</t>
  </si>
  <si>
    <t>Nikhil Parashar</t>
  </si>
  <si>
    <t>nikhilparashar1@yahoo.com</t>
  </si>
  <si>
    <t>Jitesh F</t>
  </si>
  <si>
    <t>jiteshskb@gmail.com</t>
  </si>
  <si>
    <t>Sandeep Deo</t>
  </si>
  <si>
    <t>sandeep.deo07@gmail.com</t>
  </si>
  <si>
    <t xml:space="preserve">Lisna </t>
  </si>
  <si>
    <t>Laveena Chaudhary</t>
  </si>
  <si>
    <t>laveenachaudhary16@gmail.com</t>
  </si>
  <si>
    <t>Rohan Kanagil</t>
  </si>
  <si>
    <t>kanagil@gmail.com</t>
  </si>
  <si>
    <t>Ajit Dey</t>
  </si>
  <si>
    <t>ajiit05@yahoo.com</t>
  </si>
  <si>
    <t>AishuSona</t>
  </si>
  <si>
    <t>aishusona24@gmail.com</t>
  </si>
  <si>
    <t>aditi.jain@atcs.com</t>
  </si>
  <si>
    <t>sanad_ali93@yahoo.in</t>
  </si>
  <si>
    <t>onteru9@yahoo.com</t>
  </si>
  <si>
    <t>Raja Bharath</t>
  </si>
  <si>
    <t>rajabharathcdc@gmail.com</t>
  </si>
  <si>
    <t>KK Verma</t>
  </si>
  <si>
    <t>kkvermamca@gmail.com</t>
  </si>
  <si>
    <t>Dilip D K</t>
  </si>
  <si>
    <t>dilipdevkatte@gmail.com</t>
  </si>
  <si>
    <t>Lipishree Jena</t>
  </si>
  <si>
    <t>Sagar Vashisth</t>
  </si>
  <si>
    <t>vashisthsagar@gmail.com</t>
  </si>
  <si>
    <t>Saiprasad Konduru</t>
  </si>
  <si>
    <t>saiprasad.konduru@gmail.com</t>
  </si>
  <si>
    <t>prasadhgrg@gmail.com</t>
  </si>
  <si>
    <t>shashanksp@msn.com</t>
  </si>
  <si>
    <t>Afroze Akther</t>
  </si>
  <si>
    <t>affu22816@gmail.com</t>
  </si>
  <si>
    <t>Phani</t>
  </si>
  <si>
    <t>phanikrris@gmail.com</t>
  </si>
  <si>
    <t>Mohini Gupta</t>
  </si>
  <si>
    <t>gupta.rim@gmail.com</t>
  </si>
  <si>
    <t>Ganesh K</t>
  </si>
  <si>
    <t>kganesh158@gmail.com</t>
  </si>
  <si>
    <t>Prem Sandri</t>
  </si>
  <si>
    <t>pks.pmba@gmail.com</t>
  </si>
  <si>
    <t>Virat Jain</t>
  </si>
  <si>
    <t>simplythejain@gmail.com</t>
  </si>
  <si>
    <t>Biswa Bhushan</t>
  </si>
  <si>
    <t>biswabhushana.nist@gmail.com</t>
  </si>
  <si>
    <t>swati.gup1987@gmail.com</t>
  </si>
  <si>
    <t>Ronak C Nadkarni</t>
  </si>
  <si>
    <t>ronak.c.nadkarni@in.ibm.com</t>
  </si>
  <si>
    <t>Bavas</t>
  </si>
  <si>
    <t>bavas.sucess@gmail.com</t>
  </si>
  <si>
    <t>Jinto James</t>
  </si>
  <si>
    <t>jintojames@gmail.com</t>
  </si>
  <si>
    <t>Jeelan C</t>
  </si>
  <si>
    <t>jeelan.cheruvu@gmail.com</t>
  </si>
  <si>
    <t>Soumya Mukherjee</t>
  </si>
  <si>
    <t>soumyamukherjee2008@gmail.com</t>
  </si>
  <si>
    <t>Be</t>
  </si>
  <si>
    <t>be@gmail.com</t>
  </si>
  <si>
    <t>Shailja Grover</t>
  </si>
  <si>
    <t>sgrover2604@gmail.com</t>
  </si>
  <si>
    <t>Ankur Vijay</t>
  </si>
  <si>
    <t>ankurvijay123@gmail.com</t>
  </si>
  <si>
    <t>Ranjit William</t>
  </si>
  <si>
    <t>ranjitwilliam@gmail.com</t>
  </si>
  <si>
    <t>Dinesh Umesh</t>
  </si>
  <si>
    <t>dineshumesh9@gmail.com</t>
  </si>
  <si>
    <t>Shubham</t>
  </si>
  <si>
    <t>shubham.raizada@gmail.com</t>
  </si>
  <si>
    <t>Vinod R</t>
  </si>
  <si>
    <t>basis.vinugem@gmail.com</t>
  </si>
  <si>
    <t>Subh</t>
  </si>
  <si>
    <t>subh.25.198@gmail.com</t>
  </si>
  <si>
    <t>amit.k19x@fms.edu</t>
  </si>
  <si>
    <t>Rahul Gupta</t>
  </si>
  <si>
    <t>hi2rahulgupta@gmail.com</t>
  </si>
  <si>
    <t>Marinal Kantidas</t>
  </si>
  <si>
    <t>mrinalkantidas106l@gmail.com</t>
  </si>
  <si>
    <t>kandivs@gmail.com</t>
  </si>
  <si>
    <t>Shahbaz Khan</t>
  </si>
  <si>
    <t>shahbaz.khan03@yahoo.in</t>
  </si>
  <si>
    <t>asfs</t>
  </si>
  <si>
    <t>asfsdfsdfsdfsd@gmail.com</t>
  </si>
  <si>
    <t>Sankaranarayanan</t>
  </si>
  <si>
    <t>helloshankara@gmail.com</t>
  </si>
  <si>
    <t>Akash</t>
  </si>
  <si>
    <t>akash1406@gmail.com</t>
  </si>
  <si>
    <t>Shailesh T</t>
  </si>
  <si>
    <t>shailesh.t1980@gmail.com</t>
  </si>
  <si>
    <t>Atika Ferdouse</t>
  </si>
  <si>
    <t>atika.ferdouse2018@gmail.com</t>
  </si>
  <si>
    <t>Umesh GP</t>
  </si>
  <si>
    <t>gpumesh13@gmail.com</t>
  </si>
  <si>
    <t>Mohindar Yadav</t>
  </si>
  <si>
    <t>mohindaryadav@gmail.com</t>
  </si>
  <si>
    <t>Manmohan</t>
  </si>
  <si>
    <t>response.manmohan@yahoo.co.in</t>
  </si>
  <si>
    <t xml:space="preserve">Pravallika </t>
  </si>
  <si>
    <t>pravali.ram@gmail.com</t>
  </si>
  <si>
    <t>jakakla</t>
  </si>
  <si>
    <t>jakakla@gmail.com</t>
  </si>
  <si>
    <t>Nitin Mishra</t>
  </si>
  <si>
    <t>nimish142@hotmail.com</t>
  </si>
  <si>
    <t>Nitin John</t>
  </si>
  <si>
    <t>nitin.john@dreamorbit.com</t>
  </si>
  <si>
    <t>Masumi Bindal</t>
  </si>
  <si>
    <t>abc@simplilearn.com</t>
  </si>
  <si>
    <t>Mohit Singh</t>
  </si>
  <si>
    <t>mohit_singhal@hotmail.com</t>
  </si>
  <si>
    <t>971-562379287</t>
  </si>
  <si>
    <t>NA</t>
  </si>
  <si>
    <t>Done. Goodfeedback.</t>
  </si>
  <si>
    <t>Grand Total</t>
  </si>
  <si>
    <t>2020</t>
  </si>
  <si>
    <t>Nov</t>
  </si>
  <si>
    <t>Dec</t>
  </si>
  <si>
    <t>2021</t>
  </si>
  <si>
    <t>Jan</t>
  </si>
  <si>
    <t>Feb</t>
  </si>
  <si>
    <t>Mar</t>
  </si>
  <si>
    <t>Apr</t>
  </si>
  <si>
    <t>May</t>
  </si>
  <si>
    <t>Jun</t>
  </si>
  <si>
    <t>Jul</t>
  </si>
  <si>
    <t>Aug</t>
  </si>
  <si>
    <t>Sep</t>
  </si>
  <si>
    <t>Oct</t>
  </si>
  <si>
    <t>2022</t>
  </si>
  <si>
    <t>2023</t>
  </si>
  <si>
    <t>Sum of In $</t>
  </si>
  <si>
    <t>Years (Month)</t>
  </si>
  <si>
    <t>Months (Month)</t>
  </si>
  <si>
    <t>SAFe que</t>
  </si>
  <si>
    <t>NonCategory</t>
  </si>
  <si>
    <t>Montly Achievement</t>
  </si>
  <si>
    <t>Sales Trend</t>
  </si>
  <si>
    <t>Top 10 courses by revenue</t>
  </si>
  <si>
    <t>Category wise sales info</t>
  </si>
  <si>
    <t>Count of Course</t>
  </si>
  <si>
    <t>Total Sales in INR</t>
  </si>
  <si>
    <t>Total Sales in $</t>
  </si>
  <si>
    <t>Qtr1</t>
  </si>
  <si>
    <t>Qtr2</t>
  </si>
  <si>
    <t>Qtr3</t>
  </si>
  <si>
    <t>Qtr4</t>
  </si>
  <si>
    <t>Quarters (Date)</t>
  </si>
  <si>
    <t>Year</t>
  </si>
  <si>
    <t>P2 Foundation</t>
  </si>
  <si>
    <t>XYZ_ABC</t>
  </si>
  <si>
    <t>XYZ_XYZ</t>
  </si>
  <si>
    <t>XYZ_FXL1AKY107F</t>
  </si>
  <si>
    <t>XYZ_H8OF9AHEUE0</t>
  </si>
  <si>
    <t>XYZ_3ZITXTRYLI7</t>
  </si>
  <si>
    <t>XYZ_6VGDL1OEE95</t>
  </si>
  <si>
    <t>XYZ_AXKRAPSLGED</t>
  </si>
  <si>
    <t>XYZ_AI3F9BJA4DK</t>
  </si>
  <si>
    <t>XYZ_H8MV6TQ7WLD</t>
  </si>
  <si>
    <t>XYZ_ESM8TCLIM6J</t>
  </si>
  <si>
    <t>XYZ_EG2X5IFWQCU</t>
  </si>
  <si>
    <t>XYZ_ATXSY7EV0FF</t>
  </si>
  <si>
    <t>XYZ_6X2273O39NQ</t>
  </si>
  <si>
    <t>XYZ_2R59RD825OI</t>
  </si>
  <si>
    <t>XYZ_19WIAXN4QLP</t>
  </si>
  <si>
    <t>XYZ_18314OF2FZU</t>
  </si>
  <si>
    <t>XYZ_9IXJ8DASM4Q</t>
  </si>
  <si>
    <t>XYZ_81VSDV0H3A8</t>
  </si>
  <si>
    <t>XYZ_CLCXERDSEXI</t>
  </si>
  <si>
    <t>XYZ_FHHVN1MAZDZ</t>
  </si>
  <si>
    <t>XYZ_BFK4I6W65EN</t>
  </si>
  <si>
    <t>XYZ_7E00G52E4H7</t>
  </si>
  <si>
    <t>XYZ_DWHVHWLDHJ3</t>
  </si>
  <si>
    <t>XYZ_53IXUAX8TTX</t>
  </si>
  <si>
    <t>XYZ_I07JOKYPA5J</t>
  </si>
  <si>
    <t>XYZ_FDSL3VRURA6</t>
  </si>
  <si>
    <t>XYZ_4ZKAKJ5LZK7</t>
  </si>
  <si>
    <t>XYZ_6O0MJC6XLRY</t>
  </si>
  <si>
    <t>XYZ_IWZOXMQZHYG</t>
  </si>
  <si>
    <t>XYZ_DRZCPK3XRR5</t>
  </si>
  <si>
    <t>XYZ_J5Q7UAK69Z7</t>
  </si>
  <si>
    <t>XYZ_7O9HP4L44HY</t>
  </si>
  <si>
    <t>XYZ_1FZJPY3T142</t>
  </si>
  <si>
    <t>XYZ_4PVV3CLJ4CJ</t>
  </si>
  <si>
    <t>XYZ_1ENZYOXAVP4</t>
  </si>
  <si>
    <t>XYZ_E81CDPVEPZ0</t>
  </si>
  <si>
    <t>XYZ_3V0PAJEYKBI</t>
  </si>
  <si>
    <t>XYZ_4L9TZ26V3JP</t>
  </si>
  <si>
    <t>XYZ_HCALPI79ATP</t>
  </si>
  <si>
    <t>XYZ_7IYILVWDIWJ</t>
  </si>
  <si>
    <t>XYZ_7E5UYQUQKI5</t>
  </si>
  <si>
    <t>XYZ_CQEXUHG2BDT</t>
  </si>
  <si>
    <t>XYZ_CHT3D3D2NPN</t>
  </si>
  <si>
    <t>XYZ_JI95IZV75BI</t>
  </si>
  <si>
    <t>XYZ_8YJNENRLIXS</t>
  </si>
  <si>
    <t>XYZ_3BXZ318E8B2</t>
  </si>
  <si>
    <t>XYZ_9MVSMY3ZTVZ</t>
  </si>
  <si>
    <t>XYZ_EQQ1L90U0NO</t>
  </si>
  <si>
    <t>XYZ_9MDH6U8RY9Q</t>
  </si>
  <si>
    <t>XYZ_BJV8VDXFB64</t>
  </si>
  <si>
    <t>XYZ_DYOZUWS03CH</t>
  </si>
  <si>
    <t>XYZ_GHYXI3HMNJR</t>
  </si>
  <si>
    <t>XYZ_IGBHM85YLXE</t>
  </si>
  <si>
    <t>XYZ_AYGBYFX8JHP</t>
  </si>
  <si>
    <t>XYZ_G8XHSCYF8MI</t>
  </si>
  <si>
    <t>XYZ_92E0A9QO2PE</t>
  </si>
  <si>
    <t>XYZ_DZHG5T891CY</t>
  </si>
  <si>
    <t>XYZ_3NEPR34M89K</t>
  </si>
  <si>
    <t>XYZ_6LZQVYN57Y0</t>
  </si>
  <si>
    <t>XYZ_E52Y2ZT6NDX</t>
  </si>
  <si>
    <t>XYZ_JK6X3F74KIQ</t>
  </si>
  <si>
    <t>XYZ_IYCEY4MW0J6</t>
  </si>
  <si>
    <t>XYZ_9J3RXZUM8GA</t>
  </si>
  <si>
    <t>XYZ_BC1UOWE6THY</t>
  </si>
  <si>
    <t>XYZ_1T538XE9Q7N</t>
  </si>
  <si>
    <t>XYZ_EM6CPL0ZCJ6</t>
  </si>
  <si>
    <t>XYZ_D0T3IQZ3ETG</t>
  </si>
  <si>
    <t>XYZ_5JASVJVAK8W</t>
  </si>
  <si>
    <t>XYZ_9ERVMJ4RPDA</t>
  </si>
  <si>
    <t>XYZ_8KTGEUG6T5R</t>
  </si>
  <si>
    <t>XYZ_GIEWTIYGYWU</t>
  </si>
  <si>
    <t>XYZ_96KUB9QKBHK</t>
  </si>
  <si>
    <t>XYZ_JMPC8MZ8EHV</t>
  </si>
  <si>
    <t>XYZ_EW3CX4MD726</t>
  </si>
  <si>
    <t>XYZ_FI1DCEE4AJS</t>
  </si>
  <si>
    <t>XYZ_LLJDV4NSQ9</t>
  </si>
  <si>
    <t>XYZ_FKLQN5KWFIW</t>
  </si>
  <si>
    <t>XYZ_ATLC8LJ0Z3Z</t>
  </si>
  <si>
    <t>XYZ_8O17M3FTKE9</t>
  </si>
  <si>
    <t>XYZ_85AK90LOJLF</t>
  </si>
  <si>
    <t>XYZ_AG9YCXR00X1</t>
  </si>
  <si>
    <t>XYZ_96OCN839JEL</t>
  </si>
  <si>
    <t>XYZ_7YCCJ87F4VK</t>
  </si>
  <si>
    <t>XYZ_J6LEGX14RW7</t>
  </si>
  <si>
    <t>XYZ_3E011MZ40ZF</t>
  </si>
  <si>
    <t>XYZ_5U1FHBZYART</t>
  </si>
  <si>
    <t>XYZ_G3Y7QBRIKDJ</t>
  </si>
  <si>
    <t>XYZ_A7ZSST6VQG8</t>
  </si>
  <si>
    <t>XYZ_9HTSD5QALVS</t>
  </si>
  <si>
    <t>XYZ_3BGTW6G386G</t>
  </si>
  <si>
    <t>XYZ_4YXP23HIP3Q</t>
  </si>
  <si>
    <t>XYZ_DEF</t>
  </si>
  <si>
    <t>XYZ_97KB83WLBRG</t>
  </si>
  <si>
    <t>XYZ_56SNEZNYG8J</t>
  </si>
  <si>
    <t>XYZ_50V2JFVNXOV</t>
  </si>
  <si>
    <t>XYZ_8EPN5I99GFF</t>
  </si>
  <si>
    <t>XYZ_GGJ3KKH2UBG</t>
  </si>
  <si>
    <t>XYZ_JCEP28TM7RJ</t>
  </si>
  <si>
    <t>XYZ_1HOCQSW30AQ</t>
  </si>
  <si>
    <t>XYZ_BJPEKOMSJ8L</t>
  </si>
  <si>
    <t>XYZ_51WHHVI8J92</t>
  </si>
  <si>
    <t>XYZ_EIOUWJRA17I</t>
  </si>
  <si>
    <t>XYZ_3H3VXSSKYR0</t>
  </si>
  <si>
    <t>XYZ_3RVAJTF2K5D</t>
  </si>
  <si>
    <t>XYZ_ASS3ZFDK8LG</t>
  </si>
  <si>
    <t>XYZ_I5809QJM43B</t>
  </si>
  <si>
    <t>XYZ_5CNI2SA4IUU</t>
  </si>
  <si>
    <t>XYZ_HR27ZLIS3WV</t>
  </si>
  <si>
    <t>XYZ_43AV2KLX48R</t>
  </si>
  <si>
    <t>XYZ_6EJ7VZH4RSR</t>
  </si>
  <si>
    <t>XYZ_J6YNMK2O2LI</t>
  </si>
  <si>
    <t>XYZ_4FXP2CZHR0P</t>
  </si>
  <si>
    <t>XYZ_J5ZKUS2W9JV</t>
  </si>
  <si>
    <t>XYZ_9T34I4APXSY</t>
  </si>
  <si>
    <t>XYZ_IJYG6N1YN3Y</t>
  </si>
  <si>
    <t>XYZ_3E69PAJ9BDR</t>
  </si>
  <si>
    <t>XYZ_9LGQVL3GEN6</t>
  </si>
  <si>
    <t>XYZ_79LEAQ9J3FI</t>
  </si>
  <si>
    <t>XYZ_9U4XJMNZLUI</t>
  </si>
  <si>
    <t>XYZ_5WAI1UPF4M2</t>
  </si>
  <si>
    <t>XYZ_8HJRBXAR9ZJ</t>
  </si>
  <si>
    <t>XYZ_66VO64QJ1EC</t>
  </si>
  <si>
    <t>XYZ_9NQLCEOWLNU</t>
  </si>
  <si>
    <t>XYZ_79EDQRWXLY7</t>
  </si>
  <si>
    <t>XYZ_7SSEWEFNQ4Y</t>
  </si>
  <si>
    <t>XYZ_73QXO1T8Z6N</t>
  </si>
  <si>
    <t>XYZ_8YLLU2UZ019</t>
  </si>
  <si>
    <t>XYZ_CFBUN1VOX5K</t>
  </si>
  <si>
    <t>XYZ_HAFYRRP9HDD</t>
  </si>
  <si>
    <t>XYZ_CQ1P4MW7JPJ</t>
  </si>
  <si>
    <t>XYZ_KM2SVLAJ2Q</t>
  </si>
  <si>
    <t>XYZ_CGXX88U9OWZ</t>
  </si>
  <si>
    <t>XYZ_DBN8KFID854</t>
  </si>
  <si>
    <t>XYZ_7EVLDQB4JTK</t>
  </si>
  <si>
    <t>XYZ_6XTYLHETGN</t>
  </si>
  <si>
    <t>XYZ_7150ATZCP02</t>
  </si>
  <si>
    <t>XYZ_J70LW1ONM1H</t>
  </si>
  <si>
    <t>XYZ_I4BNTNYTS93</t>
  </si>
  <si>
    <t>XYZ_DP6T5CECCXP</t>
  </si>
  <si>
    <t>XYZ_4EUC2BV9R6M</t>
  </si>
  <si>
    <t>XYZ_2PGVHAC1YVA</t>
  </si>
  <si>
    <t>XYZ_6UR24PXLONP</t>
  </si>
  <si>
    <t>XYZ_JFJQ5OH0A4F</t>
  </si>
  <si>
    <t>XYZ_JO6CPAEAS3P</t>
  </si>
  <si>
    <t>XYZ_2DHFDZPH0RL</t>
  </si>
  <si>
    <t>XYZ_7YSQ1OPJ4W4</t>
  </si>
  <si>
    <t>XYZ_96HQC9UWNE8</t>
  </si>
  <si>
    <t>XYZ_68MT7PM0A3M</t>
  </si>
  <si>
    <t>XYZ_A4707K515ZY</t>
  </si>
  <si>
    <t>XYZ_9FG1T5521LP</t>
  </si>
  <si>
    <t>XYZ_37DIF10CE94</t>
  </si>
  <si>
    <t>XYZ_H04JH6KN46I</t>
  </si>
  <si>
    <t>XYZ_7UDBG8QLTYH</t>
  </si>
  <si>
    <t>XYZ_J0DAZBU14MC</t>
  </si>
  <si>
    <t>XYZ_9LYOCK9462V</t>
  </si>
  <si>
    <t>XYZ_C3AGI5JNWN6</t>
  </si>
  <si>
    <t>XYZ_J2QJDXAKIX</t>
  </si>
  <si>
    <t>XYZ_E3A9ASVLXJB</t>
  </si>
  <si>
    <t>XYZ_ES5I1F0VNLN</t>
  </si>
  <si>
    <t>XYZ_DZ9NVHM9MR4</t>
  </si>
  <si>
    <t>XYZ_9PBVZBUH6E0</t>
  </si>
  <si>
    <t>XYZ_4GIQW5BJRMU</t>
  </si>
  <si>
    <t>XYZ_DZV3KGUD7XA</t>
  </si>
  <si>
    <t>XYZ_6I84JYR52Q0</t>
  </si>
  <si>
    <t>XYZ_B0KCEF440CY</t>
  </si>
  <si>
    <t>XYZ_IO5ABKXT2QI</t>
  </si>
  <si>
    <t>XYZ_9J8GP48RUKH</t>
  </si>
  <si>
    <t>XYZ_87HOVW0WSQG</t>
  </si>
  <si>
    <t>XYZ_7DTBZXPD95</t>
  </si>
  <si>
    <t>XYZ_AAI89US03ER</t>
  </si>
  <si>
    <t>XYZ_C54BRHRGK3X</t>
  </si>
  <si>
    <t>XYZ_WIET7UVJBF</t>
  </si>
  <si>
    <t>XYZ_G82PSK8Q7RC</t>
  </si>
  <si>
    <t>XYZ_3TWKM3W0EHI</t>
  </si>
  <si>
    <t>XYZ_2WOU4PNCI14</t>
  </si>
  <si>
    <t>XYZ_CCOD9CDBFH1</t>
  </si>
  <si>
    <t>XYZ_DMMFYJ9I5MN</t>
  </si>
  <si>
    <t>XYZ_CJT7JYHM5FQ</t>
  </si>
  <si>
    <t>XYZ_F8UVM2B7Z6L</t>
  </si>
  <si>
    <t>XYZ_8L0A0RAQ6</t>
  </si>
  <si>
    <t>XYZ_DAOY0S7QLC8</t>
  </si>
  <si>
    <t>XYZ_48EDDNPX6Q</t>
  </si>
  <si>
    <t>XYZ_7CSRKTFKX68</t>
  </si>
  <si>
    <t>XYZ_H5A28UPEM9K</t>
  </si>
  <si>
    <t>XYZ_F7N85W9U6YE</t>
  </si>
  <si>
    <t>XYZ_ILRJJOH89J1</t>
  </si>
  <si>
    <t>XYZ_21YCP7GCIZG</t>
  </si>
  <si>
    <t>XYZ_90YKRNO75BV</t>
  </si>
  <si>
    <t>XYZ_5FWTOBRYTQJ</t>
  </si>
  <si>
    <t>XYZ_IQF4UDHTHQZ</t>
  </si>
  <si>
    <t>XYZ_SP80XU1BCO</t>
  </si>
  <si>
    <t>XYZ_4JHXGZ4O8EC</t>
  </si>
  <si>
    <t>XYZ_JJW0485U3M</t>
  </si>
  <si>
    <t>XYZ_CS3D62BRHRT</t>
  </si>
  <si>
    <t>XYZ_CFB2SQ5S5OT</t>
  </si>
  <si>
    <t>XYZ_40WCKA9VC9K</t>
  </si>
  <si>
    <t>XYZ_IN85RBM6ZWT</t>
  </si>
  <si>
    <t>XYZ_8VL9HRHFSJP</t>
  </si>
  <si>
    <t>XYZ_KBK6U2NHX8</t>
  </si>
  <si>
    <t>XYZ_22CDV3C3XFW</t>
  </si>
  <si>
    <t>XYZ_6RHR0XI65F4</t>
  </si>
  <si>
    <t>XYZ_BP161ZNHL1X</t>
  </si>
  <si>
    <t>XYZ_7Y5CF1XUMAB</t>
  </si>
  <si>
    <t>XYZ_JNI70FTMDZG</t>
  </si>
  <si>
    <t>XYZ_A1C4ARADNMQ</t>
  </si>
  <si>
    <t>XYZ_1HLMWUMT7Q0</t>
  </si>
  <si>
    <t>XYZ_14WGSDSHMPZ</t>
  </si>
  <si>
    <t>XYZ_GTEIKL59MJU</t>
  </si>
  <si>
    <t>XYZ_AA6XHNGZLGI</t>
  </si>
  <si>
    <t>XYZ_A9S4BIU8LRI</t>
  </si>
  <si>
    <t>XYZ_HFQK3RTR581</t>
  </si>
  <si>
    <t>XYZ_IPUVAPBKD2M</t>
  </si>
  <si>
    <t>XYZ_4ODPEYNSOPJ</t>
  </si>
  <si>
    <t>XYZ_38VOYZOP4GJ</t>
  </si>
  <si>
    <t>XYZ_3X7G664Q1GA</t>
  </si>
  <si>
    <t>XYZ_MFYC2OVW80</t>
  </si>
  <si>
    <t>XYZ_5S76QM1FSAR</t>
  </si>
  <si>
    <t>XYZ_666QJ0GBSII</t>
  </si>
  <si>
    <t>XYZ_5C2GUP3I0NQ</t>
  </si>
  <si>
    <t>XYZ_2PCLEYE5PPX</t>
  </si>
  <si>
    <t>XYZ_3N3FEOE42GI</t>
  </si>
  <si>
    <t>XYZ_I52KLU7FAX8</t>
  </si>
  <si>
    <t>XYZ_74SQZFGV4RS</t>
  </si>
  <si>
    <t>XYZ_2511LZI1NQW</t>
  </si>
  <si>
    <t>XYZ_481Z1261F9Q</t>
  </si>
  <si>
    <t>XYZ_8X4LZ512LWZ</t>
  </si>
  <si>
    <t>XYZ_3E7U5KIII9C</t>
  </si>
  <si>
    <t>XYZ_HVSJTWIALNZ</t>
  </si>
  <si>
    <t>XYZ_FRVD524F0D</t>
  </si>
  <si>
    <t>XYZ_HUSOZWMWRH9</t>
  </si>
  <si>
    <t>XYZ_7R5YLXXDVHF</t>
  </si>
  <si>
    <t>XYZ_72W5KB29NE1</t>
  </si>
  <si>
    <t>XYZ_A0HQ0881H66</t>
  </si>
  <si>
    <t>XYZ_IA9N25U5BOW</t>
  </si>
  <si>
    <t>XYZ_8W0GUX0YGSP</t>
  </si>
  <si>
    <t>XYZ_GJ1X8N9BG9E</t>
  </si>
  <si>
    <t>XYZ_8TLY0SKMWIJ</t>
  </si>
  <si>
    <t>XYZ_2M9IOYJ20B5</t>
  </si>
  <si>
    <t>XYZ_4IBGA1T8FUF</t>
  </si>
  <si>
    <t>XYZ_6T7Q34JZ41A</t>
  </si>
  <si>
    <t>XYZ_1Z4MVQF5TDY</t>
  </si>
  <si>
    <t>XYZ_FUQ61GVTJ4J</t>
  </si>
  <si>
    <t>XYZ_646MVVV5D92</t>
  </si>
  <si>
    <t>XYZ_4IC8C9PJO74</t>
  </si>
  <si>
    <t>XYZ_2U1CSZGQ10M</t>
  </si>
  <si>
    <t>XYZ_77DWEDKR1MZ</t>
  </si>
  <si>
    <t>XYZ_37647RNFW36</t>
  </si>
  <si>
    <t>XYZ_6H2TMA237O5</t>
  </si>
  <si>
    <t>XYZ_JJSWN6ZOC7D</t>
  </si>
  <si>
    <t>XYZ_D83EWKD1G1I</t>
  </si>
  <si>
    <t>XYZ_AGDV9Q646YW</t>
  </si>
  <si>
    <t>XYZ_H2X3T0XTS3L</t>
  </si>
  <si>
    <t>XYZ_7KGPNM8ZC0Q</t>
  </si>
  <si>
    <t>XYZ_IGP5EOOE4A3</t>
  </si>
  <si>
    <t>XYZ_HSR8EKUQ7U</t>
  </si>
  <si>
    <t>XYZ_6LXFEYS374P</t>
  </si>
  <si>
    <t>XYZ_2NRAZXFQ4YL</t>
  </si>
  <si>
    <t>XYZ_3GDSF8YHVMH</t>
  </si>
  <si>
    <t>XYZ_5L8Z2SOGFNN</t>
  </si>
  <si>
    <t>XYZ_20GKQ2OL8LG</t>
  </si>
  <si>
    <t>XYZ_FY2ZN4P5006</t>
  </si>
  <si>
    <t>XYZ_HEULQS64ALM</t>
  </si>
  <si>
    <t>XYZ_COOLOQ83735</t>
  </si>
  <si>
    <t>XYZ_GAMPC2U3FZY</t>
  </si>
  <si>
    <t>XYZ_G1V0E22PL6U</t>
  </si>
  <si>
    <t>XYZ_E61NHCUWREX</t>
  </si>
  <si>
    <t>XYZ_DQV8B04FAL5</t>
  </si>
  <si>
    <t>XYZ_1DMZT04GIJG</t>
  </si>
  <si>
    <t>XYZ_3KH42BUFBU5</t>
  </si>
  <si>
    <t>XYZ_GWWSROOBOKN</t>
  </si>
  <si>
    <t>XYZ_333FP0DSSL</t>
  </si>
  <si>
    <t>XYZ_GZVZ8KIQ0DK</t>
  </si>
  <si>
    <t>XYZ_3XSW12EELW9</t>
  </si>
  <si>
    <t>XYZ_B7UNGE4LZM9</t>
  </si>
  <si>
    <t>XYZ_7UA7N5HIMDR</t>
  </si>
  <si>
    <t>XYZ_9I35RFRTQDF</t>
  </si>
  <si>
    <t>XYZ_3T6UWRY5DMG</t>
  </si>
  <si>
    <t>XYZ_3BLIV6TS6PQ</t>
  </si>
  <si>
    <t>XYZ_5KEYREGIA99</t>
  </si>
  <si>
    <t>XYZ_6U58UF3E4HL</t>
  </si>
  <si>
    <t>XYZ_PARTIAL_FIRST_7JPFJZCDVAR</t>
  </si>
  <si>
    <t>XYZ_2I5F3M2BFY9</t>
  </si>
  <si>
    <t>XYZ_7VZEJ6UGMMC</t>
  </si>
  <si>
    <t>XYZ_FP9CLJE2LN6</t>
  </si>
  <si>
    <t>XYZ_6NFZS5L8X6X</t>
  </si>
  <si>
    <t>XYZ_2UAPPI8V0VD</t>
  </si>
  <si>
    <t>XYZ_3ORUEER5YWS</t>
  </si>
  <si>
    <t>XYZ_EL64M40C2PU</t>
  </si>
  <si>
    <t>XYZ_9EBX4PB9GXF</t>
  </si>
  <si>
    <t>XYZ_71VIVZ9X1XE</t>
  </si>
  <si>
    <t>XYZ_27T7OU1WKPP</t>
  </si>
  <si>
    <t>XYZ_9O5115PZINV</t>
  </si>
  <si>
    <t>XYZ_FQSP0XXHE7G</t>
  </si>
  <si>
    <t>XYZ_1585ZIERKEF</t>
  </si>
  <si>
    <t>XYZ_8OTOKOMU19T</t>
  </si>
  <si>
    <t>XYZ_H9DSAUN8ELR</t>
  </si>
  <si>
    <t>XYZ_G57U3NPARI5</t>
  </si>
  <si>
    <t>XYZ_6AKL9W26FVC</t>
  </si>
  <si>
    <t>XYZ_1LVZRK5CP9H</t>
  </si>
  <si>
    <t>XYZ_4R5HKN75EII</t>
  </si>
  <si>
    <t>XYZ_8WJKJ5YDB84</t>
  </si>
  <si>
    <t>XYZ_AH89S5DFTH2</t>
  </si>
  <si>
    <t>XYZ_330UL2I3KHP</t>
  </si>
  <si>
    <t>XYZ_7ONJQLBZ3UH</t>
  </si>
  <si>
    <t>XYZ_BGFPZIJN3JY</t>
  </si>
  <si>
    <t>XYZ_G37QAM1HE6S</t>
  </si>
  <si>
    <t>XYZ_2I6ZBZP0MT4</t>
  </si>
  <si>
    <t>XYZ_ILZPH7JQJL</t>
  </si>
  <si>
    <t>XYZ_IZBIJINSRNP</t>
  </si>
  <si>
    <t>XYZ_CSIKR46CCZ7</t>
  </si>
  <si>
    <t>XYZ_2BUL8C8FV1J</t>
  </si>
  <si>
    <t>XYZ_68K3HPI2S4Y</t>
  </si>
  <si>
    <t>XYZ_W9GJI4INOT</t>
  </si>
  <si>
    <t>XYZ_GOCWJSB9L9M</t>
  </si>
  <si>
    <t>XYZ_35WWT352283</t>
  </si>
  <si>
    <t>XYZ_2QTZWPN2EEJ</t>
  </si>
  <si>
    <t>XYZ_4UJ38IUTUQP</t>
  </si>
  <si>
    <t>XYZ_H9Z81SV0U1B</t>
  </si>
  <si>
    <t>XYZ_7TBJ0FLAOJ6</t>
  </si>
  <si>
    <t>XYZ_DZWO8MKG9O6</t>
  </si>
  <si>
    <t>XYZ_I1357VHQHMS</t>
  </si>
  <si>
    <t>XYZ_FJU3C0FEGDX</t>
  </si>
  <si>
    <t>XYZ_I4EEN4NKEPA</t>
  </si>
  <si>
    <t>XYZ_2GUNKHLV2A5</t>
  </si>
  <si>
    <t>XYZ_97ZJ6YZKLQB</t>
  </si>
  <si>
    <t>XYZ_F2RUSR2BWDE</t>
  </si>
  <si>
    <t>XYZ_G1O01ZPG9VQ</t>
  </si>
  <si>
    <t>XYZ_A1KBBUTFKZR</t>
  </si>
  <si>
    <t>XYZ_92AX0X7NZ7J</t>
  </si>
  <si>
    <t>XYZ_CICZX5PCJU6</t>
  </si>
  <si>
    <t>XYZ_A4Z33203SL3</t>
  </si>
  <si>
    <t>XYZ_B24HDSS0ASS</t>
  </si>
  <si>
    <t>XYZ_4DZYBJ0P6Z3</t>
  </si>
  <si>
    <t>XYZ_4MQH68295KU</t>
  </si>
  <si>
    <t>XYZ_4D37QEFCT05</t>
  </si>
  <si>
    <t>XYZ_BIN8DMN55HE</t>
  </si>
  <si>
    <t>XYZ_3QFH9YGJI0A</t>
  </si>
  <si>
    <t>XYZ_EPKDA5BLJG7</t>
  </si>
  <si>
    <t>XYZ_B66MXJVDC5G</t>
  </si>
  <si>
    <t>XYZ_6ZCPVKW5QVC</t>
  </si>
  <si>
    <t>XYZ_HF7H18C4OY4</t>
  </si>
  <si>
    <t>XYZ_NIXSRA0SVO</t>
  </si>
  <si>
    <t>XYZ_CA0497H7FG3</t>
  </si>
  <si>
    <t>XYZ_E03ATG9BDDG</t>
  </si>
  <si>
    <t>XYZ_AK90JE2242W</t>
  </si>
  <si>
    <t>XYZ_HANE2HE57J1</t>
  </si>
  <si>
    <t>XYZ_3J2UD6951IO</t>
  </si>
  <si>
    <t>XYZ_6896WJ61ALE</t>
  </si>
  <si>
    <t>XYZ_4QGJRLYCWDA</t>
  </si>
  <si>
    <t>XYZ_3DGKDRXJDGT</t>
  </si>
  <si>
    <t>XYZ_2QH502LNSSO</t>
  </si>
  <si>
    <t>XYZ_206U8837EZ1</t>
  </si>
  <si>
    <t>XYZ_EMFCCMYCU52</t>
  </si>
  <si>
    <t>XYZ_3QTIFU94QKV</t>
  </si>
  <si>
    <t>XYZ_EYJGV7DYNT8</t>
  </si>
  <si>
    <t>XYZ_CCK3IUNYQPP</t>
  </si>
  <si>
    <t>XYZ_F06BIM409JL</t>
  </si>
  <si>
    <t>XYZ_2F8Z4CNBDVV</t>
  </si>
  <si>
    <t>XYZ_JUTEW012VH</t>
  </si>
  <si>
    <t>XYZ_DP59QK47V8P</t>
  </si>
  <si>
    <t>XYZ_DDURM7U6MM7</t>
  </si>
  <si>
    <t>XYZ_H8VH2MRWKOA</t>
  </si>
  <si>
    <t>XYZ_3D2XCXX9DRU</t>
  </si>
  <si>
    <t>XYZ_5NS6M29MY87</t>
  </si>
  <si>
    <t>XYZ_ABK1V3OXUBH</t>
  </si>
  <si>
    <t>XYZ_G7HAPAJQ0A5</t>
  </si>
  <si>
    <t>XYZ_AB5MQ2ZDTO1</t>
  </si>
  <si>
    <t>XYZ_ISGF6JGAGCU</t>
  </si>
  <si>
    <t>XYZ_6LTJFPY0UIE</t>
  </si>
  <si>
    <t>XYZ_3PBC5QOKH61</t>
  </si>
  <si>
    <t>XYZ_5X2L1AYN3DD</t>
  </si>
  <si>
    <t>XYZ_CW7HF3BU7KW</t>
  </si>
  <si>
    <t>XYZ_C3YN4JJXYX3</t>
  </si>
  <si>
    <t>XYZ_9X978IS7F5N</t>
  </si>
  <si>
    <t>XYZ_7UXZUMBFO2A</t>
  </si>
  <si>
    <t>XYZ_V2LDFZC895</t>
  </si>
  <si>
    <t>XYZ_4Z5ILTBZ36F</t>
  </si>
  <si>
    <t>XYZ_520SRM15SCH</t>
  </si>
  <si>
    <t>XYZ_JOP2Y4K6QXV</t>
  </si>
  <si>
    <t>XYZ_16XD3FTBB94</t>
  </si>
  <si>
    <t>XYZ_1ECC8UECQ4U</t>
  </si>
  <si>
    <t>XYZ_1C7Y9IOKFL7</t>
  </si>
  <si>
    <t>XYZ_JGITR1V1ZOC</t>
  </si>
  <si>
    <t>XYZ_I8B3Z8YF97Z</t>
  </si>
  <si>
    <t>XYZ_5PBJ3FQZ49I</t>
  </si>
  <si>
    <t>XYZ_EDFUYCSJXZN</t>
  </si>
  <si>
    <t>XYZ_4KN9E646NIQ</t>
  </si>
  <si>
    <t>XYZ_3ZU67B4Q94B</t>
  </si>
  <si>
    <t>XYZ_GS45ICXTSIT</t>
  </si>
  <si>
    <t>XYZ_E9G1L9CM846</t>
  </si>
  <si>
    <t>XYZ_6RSAIJFXAXV</t>
  </si>
  <si>
    <t>XYZ_8YRV7DWG52A</t>
  </si>
  <si>
    <t>XYZ_4N62KHP6AMC</t>
  </si>
  <si>
    <t>XYZ_79FYQS14FKL</t>
  </si>
  <si>
    <t>XYZ_A9RQW48E57O</t>
  </si>
  <si>
    <t>XYZ_IZ07X88PWJ7</t>
  </si>
  <si>
    <t>XYZ_19N6VOOFP4F</t>
  </si>
  <si>
    <t>XYZ_7KYNIEH62CY</t>
  </si>
  <si>
    <t>XYZ_2TB98GK3PNN</t>
  </si>
  <si>
    <t>XYZ_9TLUWVIBME6</t>
  </si>
  <si>
    <t>XYZ_2213MM4V22P</t>
  </si>
  <si>
    <t>XYZ_5OCGBNR9C54</t>
  </si>
  <si>
    <t>XYZ_24WDSEU0RI1</t>
  </si>
  <si>
    <t>XYZ_6ZTVEA3Z46X</t>
  </si>
  <si>
    <t>XYZ_30R0E46DM9F</t>
  </si>
  <si>
    <t>XYZ_24CI7VCCQVX</t>
  </si>
  <si>
    <t>XYZ_6YGRIL6T48Q</t>
  </si>
  <si>
    <t>XYZ_BP9DCY2U1JU</t>
  </si>
  <si>
    <t>XYZ_1SHCGRQ7856</t>
  </si>
  <si>
    <t>XYZ_FS7DCWO3S3S</t>
  </si>
  <si>
    <t>XYZ_CKK4E3X6867</t>
  </si>
  <si>
    <t>XYZ_4JLGEMSC4DL</t>
  </si>
  <si>
    <t>XYZ_61A74ITEQDX</t>
  </si>
  <si>
    <t>XYZ_35PIJUSJB6E</t>
  </si>
  <si>
    <t>XYZ_C5026X53KRT</t>
  </si>
  <si>
    <t>XYZ_1TOLXSUZXLX</t>
  </si>
  <si>
    <t>XYZ_BKNCAMG6LN3</t>
  </si>
  <si>
    <t>XYZ_ARU8CGFOA8F</t>
  </si>
  <si>
    <t>XYZ_GY9J21ZBB10</t>
  </si>
  <si>
    <t>XYZ_2S19NLW5CMN</t>
  </si>
  <si>
    <t>XYZ_G3R89TRLZPC</t>
  </si>
  <si>
    <t>XYZ_I1XJW7TOATE</t>
  </si>
  <si>
    <t>XYZ_2B077O7W775</t>
  </si>
  <si>
    <t>XYZ_B5E6WIDIM0R</t>
  </si>
  <si>
    <t>XYZ_5ORNKVB02G4</t>
  </si>
  <si>
    <t>XYZ_6FBB3BPR12M</t>
  </si>
  <si>
    <t>XYZ_HU45NRC955W</t>
  </si>
  <si>
    <t>XYZ_4U5GHJZF684</t>
  </si>
  <si>
    <t>XYZ_5EMGQ1PTXHX</t>
  </si>
  <si>
    <t>XYZ_BLKUXYY70CK</t>
  </si>
  <si>
    <t>XYZ_EJI496O84R8</t>
  </si>
  <si>
    <t>XYZ_AY1Y0U0LW6A</t>
  </si>
  <si>
    <t>XYZ_IYDM6WCJRDG</t>
  </si>
  <si>
    <t>XYZ_7WYVPVYYGDI</t>
  </si>
  <si>
    <t>XYZ_805USY1R1BB</t>
  </si>
  <si>
    <t>XYZ_FWYGXL1P87Y</t>
  </si>
  <si>
    <t>XYZ_27PBTJ369BN</t>
  </si>
  <si>
    <t>XYZ_GVPJSEUN6PI</t>
  </si>
  <si>
    <t>XYZ_DMTVB84E6KD</t>
  </si>
  <si>
    <t>XYZ_4U3IC0ITTRD</t>
  </si>
  <si>
    <t>XYZ_ENOY68RGT8C</t>
  </si>
  <si>
    <t>XYZ_6VPDPUQVNKY</t>
  </si>
  <si>
    <t>XYZ_I73UM5Z28BM</t>
  </si>
  <si>
    <t>XYZ_Q3PCIJ4126</t>
  </si>
  <si>
    <t>XYZ_8CLO6T54STI</t>
  </si>
  <si>
    <t>XYZ_42PUG6Y7262</t>
  </si>
  <si>
    <t>XYZ_48NFDPKR4ZA</t>
  </si>
  <si>
    <t>XYZ_7M6B2ILZUZV</t>
  </si>
  <si>
    <t>XYZ_5Q0V7G4YHY4</t>
  </si>
  <si>
    <t>XYZ_JE5H47A7J6T</t>
  </si>
  <si>
    <t>XYZ_9EJQ6NVBZ9P</t>
  </si>
  <si>
    <t>XYZ_4OGUDH7F82Z</t>
  </si>
  <si>
    <t>XYZ_3RDS9DWS7XF</t>
  </si>
  <si>
    <t>XYZ_J2MEBGY2GOQ</t>
  </si>
  <si>
    <t>XYZ_CO9103Y34XI</t>
  </si>
  <si>
    <t>XYZ_B5BURU00SV0</t>
  </si>
  <si>
    <t>XYZ_GHZQTPAN5PF</t>
  </si>
  <si>
    <t>XYZ_9EHS14DGE3C</t>
  </si>
  <si>
    <t>XYZ_341HV3JIJM2</t>
  </si>
  <si>
    <t>XYZ_7PIQL3L2D81</t>
  </si>
  <si>
    <t>XYZ_9SGJRAYEFJL</t>
  </si>
  <si>
    <t>XYZ_I2OU3SUP0U2</t>
  </si>
  <si>
    <t>XYZ_AM4U65YWNFF</t>
  </si>
  <si>
    <t>XYZ_DESAHGJ6ERX</t>
  </si>
  <si>
    <t>XYZ_EIJFKHOUMBV</t>
  </si>
  <si>
    <t>XYZ_IC0SNH4CIP6</t>
  </si>
  <si>
    <t>XYZ_69C65BH721I</t>
  </si>
  <si>
    <t>XYZ_J2612VJVZHL</t>
  </si>
  <si>
    <t>XYZ_FXSHEWAX8JX</t>
  </si>
  <si>
    <t>XYZ_81V1QY9ZQJ0</t>
  </si>
  <si>
    <t>XYZ_J20YOGSB2DW</t>
  </si>
  <si>
    <t>XYZ_IGGLBZXSQM1</t>
  </si>
  <si>
    <t>XYZ_EMRFMUAY964</t>
  </si>
  <si>
    <t>XYZ_JFR5Q9BHHBQ</t>
  </si>
  <si>
    <t>XYZ_FO1BNZKMJL5</t>
  </si>
  <si>
    <t>XYZ_JEUT68MBBVF</t>
  </si>
  <si>
    <t>XYZ_5HBII1XAYX1</t>
  </si>
  <si>
    <t>XYZ_BF3ELTQNJW3</t>
  </si>
  <si>
    <t>XYZ_6J0LQFUMIGJ</t>
  </si>
  <si>
    <t>XYZ_EF8677LCZCR</t>
  </si>
  <si>
    <t>XYZ_D10XEBBBJUT</t>
  </si>
  <si>
    <t>XYZ_9YPTM386KUE</t>
  </si>
  <si>
    <t>XYZ_9E26WPSAJX0</t>
  </si>
  <si>
    <t>XYZ_1EMH9K8WMWT</t>
  </si>
  <si>
    <t>XYZ_G7AOIA2EBWQ</t>
  </si>
  <si>
    <t>XYZ_FJJYYYW4WJ1</t>
  </si>
  <si>
    <t>XYZ_HNPHO2Q5PS</t>
  </si>
  <si>
    <t>XYZ_DKZ87K6A801</t>
  </si>
  <si>
    <t>XYZ_1V7KG1N32EZ</t>
  </si>
  <si>
    <t>XYZ_4MT7RSQFZU1</t>
  </si>
  <si>
    <t>XYZ_3NV4D0KAAMW</t>
  </si>
  <si>
    <t>XYZ_7WD25Q0UHPM</t>
  </si>
  <si>
    <t>XYZ_2IESFX8HQAO</t>
  </si>
  <si>
    <t>XYZ_6MW4TBBIG72</t>
  </si>
  <si>
    <t>XYZ_4HZE1BYV6BO</t>
  </si>
  <si>
    <t>XYZ_733YY3P1OCR</t>
  </si>
  <si>
    <t>XYZ_3M4DGHMHIIJ</t>
  </si>
  <si>
    <t>XYZ_JFH11DJNLMB</t>
  </si>
  <si>
    <t>XYZ_2ODXHVM0HAS</t>
  </si>
  <si>
    <t>XYZ_4G7H1HA5FSY</t>
  </si>
  <si>
    <t>XYZ_2U2JNXIIJJJ</t>
  </si>
  <si>
    <t>XYZ_7X184FHF2RP</t>
  </si>
  <si>
    <t>XYZ_4ETZ4OH5EOI</t>
  </si>
  <si>
    <t>XYZ_61GTX8BOW2I</t>
  </si>
  <si>
    <t>XYZ_C3Y9F9WZF65</t>
  </si>
  <si>
    <t>XYZ_87IHXMI7CX7</t>
  </si>
  <si>
    <t>XYZ_341W24ITG53</t>
  </si>
  <si>
    <t>XYZ_DBGN70K5R75</t>
  </si>
  <si>
    <t>XYZ_EJVRJVSOKJB</t>
  </si>
  <si>
    <t>XYZ_FMTAANLZWVR</t>
  </si>
  <si>
    <t>XYZ_HOHLV046BX</t>
  </si>
  <si>
    <t>XYZ_JJBS02FCTY7</t>
  </si>
  <si>
    <t>XYZ_9VR1A9CFQDM</t>
  </si>
  <si>
    <t>XYZ_BJA8MTT95J4</t>
  </si>
  <si>
    <t>XYZ_BEUU1DS27AL</t>
  </si>
  <si>
    <t>XYZ_EOKWX1OGC02</t>
  </si>
  <si>
    <t>XYZ_9JP90B7UKH9</t>
  </si>
  <si>
    <t>XYZ_CW4RL54RVWG</t>
  </si>
  <si>
    <t>XYZ_3PHL1AIE7QG</t>
  </si>
  <si>
    <t>XYZ_46143C5R4HZ</t>
  </si>
  <si>
    <t>XYZ_34QG1XWT2C2</t>
  </si>
  <si>
    <t>XYZ_64KASA5UOC5</t>
  </si>
  <si>
    <t>XYZ_375CX6CHNAM</t>
  </si>
  <si>
    <t>XYZ_888M1VMXMAZ</t>
  </si>
  <si>
    <t>XYZ_A24ZICGH90P</t>
  </si>
  <si>
    <t>XYZ_8PWAA4AZKMY</t>
  </si>
  <si>
    <t>XYZ_5BSCXG13SEA</t>
  </si>
  <si>
    <t>XYZ_IY7DZ113VQ8</t>
  </si>
  <si>
    <t>XYZ_IL7AZING3KS</t>
  </si>
  <si>
    <t>XYZ_8F0ZEZIO889</t>
  </si>
  <si>
    <t>XYZ_AD8V5T40J7Y</t>
  </si>
  <si>
    <t>XYZ_C60PEZ1MLHS</t>
  </si>
  <si>
    <t>XYZ_D791BOPH90G</t>
  </si>
  <si>
    <t>XYZ_203QJ2Y926V</t>
  </si>
  <si>
    <t>XYZ_ATJFICUKG4S</t>
  </si>
  <si>
    <t>XYZ_GV8ERGTWCXG</t>
  </si>
  <si>
    <t>XYZ_HXD3875HGH1</t>
  </si>
  <si>
    <t>XYZ_3QXF8OQG3Q1</t>
  </si>
  <si>
    <t>XYZ_HNZYL77N7CB</t>
  </si>
  <si>
    <t>XYZ_AIWB8JB0XI3</t>
  </si>
  <si>
    <t>XYZ_EU6EY6644XV</t>
  </si>
  <si>
    <t>XYZ_1DQ4VGQV4WJ</t>
  </si>
  <si>
    <t>XYZ_GVFFBFAOGPY</t>
  </si>
  <si>
    <t>XYZ_DO9PQIKSLFZ</t>
  </si>
  <si>
    <t>XYZ_IF861I4GO8U</t>
  </si>
  <si>
    <t>XYZ_DO4NC3Q17DJ</t>
  </si>
  <si>
    <t>XYZ_8NW6MZJPFX9</t>
  </si>
  <si>
    <t>XYZ_4NRWOE19PPZ</t>
  </si>
  <si>
    <t>XYZ_D2Z35RKKLN6</t>
  </si>
  <si>
    <t>XYZ_39CH87ML441</t>
  </si>
  <si>
    <t>XYZ_5IYREGSEW10</t>
  </si>
  <si>
    <t>XYZ_HK7JT65C1MR</t>
  </si>
  <si>
    <t>XYZ_FSK8RB2KB3I</t>
  </si>
  <si>
    <t>XYZ_5W2QR13T1NV</t>
  </si>
  <si>
    <t>XYZ_OX8DH477XB</t>
  </si>
  <si>
    <t>XYZ_8Q6T7ZSYIFS</t>
  </si>
  <si>
    <t>XYZ_BXZ4L7G4Z3I</t>
  </si>
  <si>
    <t>XYZ_5AOZXEULHRE</t>
  </si>
  <si>
    <t>XYZ_ERNZUXL7YA0</t>
  </si>
  <si>
    <t>XYZ_8AWVRNXIZRX</t>
  </si>
  <si>
    <t>XYZ_55C2OMDFK54</t>
  </si>
  <si>
    <t>XYZ_CDWTX624DA8</t>
  </si>
  <si>
    <t>XYZ_35E81INBI45</t>
  </si>
  <si>
    <t>XYZ_1TZX7RMEN1B</t>
  </si>
  <si>
    <t>XYZ_77P882GCS42</t>
  </si>
  <si>
    <t>XYZ_2OQSODXKUD8</t>
  </si>
  <si>
    <t>XYZ_6LRZV0IUPFC</t>
  </si>
  <si>
    <t>XYZ_E3VC62Y255P</t>
  </si>
  <si>
    <t>XYZ_2GOTRJEWQYF</t>
  </si>
  <si>
    <t>XYZ_ABMSMLGV9IM</t>
  </si>
  <si>
    <t>XYZ_PARTIAL_FIRST_3O06ZBLN294</t>
  </si>
  <si>
    <t>XYZ_PARTIAL_SUBS_7J40OLTSQB2</t>
  </si>
  <si>
    <t>XYZ_83QHCMDDOBC</t>
  </si>
  <si>
    <t>XYZ_2LFJ94Y122W</t>
  </si>
  <si>
    <t>XYZ_ISJY27SZJGP</t>
  </si>
  <si>
    <t>XYZ_SSDF8RK1I5</t>
  </si>
  <si>
    <t>XYZ_F4NOVB1DTUJ</t>
  </si>
  <si>
    <t>XYZ_CT2V4DTZYOH</t>
  </si>
  <si>
    <t>XYZ_CBHJ2SPVICD</t>
  </si>
  <si>
    <t>XYZ_ER0M2DTVEFL</t>
  </si>
  <si>
    <t>XYZ_F7VU1OU6E0E</t>
  </si>
  <si>
    <t>XYZ_D6DGXTVPLRI</t>
  </si>
  <si>
    <t>XYZ_ECV7TCRT56T</t>
  </si>
  <si>
    <t>XYZ_5TCX2Q9392Z</t>
  </si>
  <si>
    <t>XYZ_GT22OKJDGHA</t>
  </si>
  <si>
    <t>XYZ_8462MXQ0R99</t>
  </si>
  <si>
    <t>XYZ_2YCI1QX4RGE</t>
  </si>
  <si>
    <t>XYZ_84HRK73TDPX</t>
  </si>
  <si>
    <t>XYZ_JI6UZJQ7XNB</t>
  </si>
  <si>
    <t>XYZ_6OFVHPY58JF</t>
  </si>
  <si>
    <t>XYZ_J29XPT10CIV</t>
  </si>
  <si>
    <t>XYZ_32ZP9DAK5H6</t>
  </si>
  <si>
    <t>XYZ_9H8S8JAF5BB</t>
  </si>
  <si>
    <t>XYZ_1TXL33ADRFN</t>
  </si>
  <si>
    <t>XYZ_929B97L8C6</t>
  </si>
  <si>
    <t>XYZ_285BKQN3AQ3</t>
  </si>
  <si>
    <t>XYZ_GT0IM3W9HVJ</t>
  </si>
  <si>
    <t>XYZ_HFI0KT9SXOU</t>
  </si>
  <si>
    <t>XYZ_ANVZLJTYT4V</t>
  </si>
  <si>
    <t>XYZ_442YTMYYCIC</t>
  </si>
  <si>
    <t>XYZ_6AO4DGQ65OU</t>
  </si>
  <si>
    <t>XYZ_FHJHKLIDHKK</t>
  </si>
  <si>
    <t>XYZ_CRDAB6TSNFT</t>
  </si>
  <si>
    <t>XYZ_7U5Y8I1CFB8</t>
  </si>
  <si>
    <t>XYZ_5SQBCEGXLIW</t>
  </si>
  <si>
    <t>XYZ_14Q9G2X7ASN</t>
  </si>
  <si>
    <t>XYZ_8B8KSVEH1Q2</t>
  </si>
  <si>
    <t>XYZ_GHV2W6KNAHX</t>
  </si>
  <si>
    <t>XYZ_1GQHLLFIO3M</t>
  </si>
  <si>
    <t>XYZ_54S6S2CYE9</t>
  </si>
  <si>
    <t>XYZ_3WRI06ITDJD</t>
  </si>
  <si>
    <t>XYZ_8XF5WJAX4RZ</t>
  </si>
  <si>
    <t>XYZ_14EKITMPSB3</t>
  </si>
  <si>
    <t>XYZ_8UZV07099K7</t>
  </si>
  <si>
    <t>XYZ_FRFPPX9ZVPR</t>
  </si>
  <si>
    <t>XYZ_4MNRO49OXHL</t>
  </si>
  <si>
    <t>XYZ_GWTP0GYHNN</t>
  </si>
  <si>
    <t>XYZ_EOIL09EXGE9</t>
  </si>
  <si>
    <t>XYZ_HWO5H4TPCXR</t>
  </si>
  <si>
    <t>XYZ_G2B0OZTFL3V</t>
  </si>
  <si>
    <t>XYZ_B4NPCUMQ5FV</t>
  </si>
  <si>
    <t>XYZ_9SNYU4F2O6J</t>
  </si>
  <si>
    <t>XYZ_A2UBS9UXT99</t>
  </si>
  <si>
    <t>XYZ_I14C4ST3D4Y</t>
  </si>
  <si>
    <t>XYZ_JJ2TMEMF6T0</t>
  </si>
  <si>
    <t>XYZ_J2RWPW9FDG</t>
  </si>
  <si>
    <t>XYZ_DMCDY7LBWS</t>
  </si>
  <si>
    <t>XYZ_6XXAKV1VW3M</t>
  </si>
  <si>
    <t>XYZ_D9P4I55OMSI</t>
  </si>
  <si>
    <t>XYZ_H1NX9WWA6RH</t>
  </si>
  <si>
    <t>XYZ_7W9K9K60YB4</t>
  </si>
  <si>
    <t>XYZ_EETRJXYR8TW</t>
  </si>
  <si>
    <t>XYZ_7AV1FOSSMH9</t>
  </si>
  <si>
    <t>XYZ_AQESVTDMXYU</t>
  </si>
  <si>
    <t>XYZ_5FBFAPE3DIK</t>
  </si>
  <si>
    <t>XYZ_7T9ZTJ973XH</t>
  </si>
  <si>
    <t>XYZ_CKG8QP1N9V5</t>
  </si>
  <si>
    <t>XYZ_CMHLX5YDWF</t>
  </si>
  <si>
    <t>XYZ_BJ9GYF3E1LE</t>
  </si>
  <si>
    <t>XYZ_F1510WTJASY</t>
  </si>
  <si>
    <t>XYZ_9DLG0TXOEE0</t>
  </si>
  <si>
    <t>XYZ_BFR6Z7NFL7I</t>
  </si>
  <si>
    <t>XYZ_ASG2O8YJSCU</t>
  </si>
  <si>
    <t>XYZ_FRNWH5FL10X</t>
  </si>
  <si>
    <t>XYZ_4DKRXW0OM6S</t>
  </si>
  <si>
    <t>XYZ_1N6S2B4JZ78</t>
  </si>
  <si>
    <t>XYZ_28PLACBSWNK</t>
  </si>
  <si>
    <t>XYZ_EZKIK5NGKRH</t>
  </si>
  <si>
    <t>XYZ_4ENR0R9ULQ3</t>
  </si>
  <si>
    <t>XYZ_4T424TW5U6Q</t>
  </si>
  <si>
    <t>XYZ_63R2SZ4MMEC</t>
  </si>
  <si>
    <t>XYZ_8YGL0VRD1LJ</t>
  </si>
  <si>
    <t>XYZ_IEFQ4ELJOUJ</t>
  </si>
  <si>
    <t>XYZ_5UH2GTAAL1I</t>
  </si>
  <si>
    <t>XYZ_5C76HDQ78CJ</t>
  </si>
  <si>
    <t>XYZ_92SHCCNY84D</t>
  </si>
  <si>
    <t>XYZ_7CTL2BYBPNO</t>
  </si>
  <si>
    <t>XYZ_1JF5EGN5LYP</t>
  </si>
  <si>
    <t>XYZ_FVZETHE26B9</t>
  </si>
  <si>
    <t>XYZ_G1XDQ51F1FH</t>
  </si>
  <si>
    <t>XYZ_J1H3NNKVZQ9</t>
  </si>
  <si>
    <t>XYZ_8XY9KS0B5GE</t>
  </si>
  <si>
    <t>XYZ_JIXDATV1WHA</t>
  </si>
  <si>
    <t>XYZ_2KCYH8PXOZZ</t>
  </si>
  <si>
    <t>XYZ_53TWODTSPRD</t>
  </si>
  <si>
    <t>XYZ_HAMMVU2AC7D</t>
  </si>
  <si>
    <t>XYZ_7O4V8W62XMB</t>
  </si>
  <si>
    <t>XYZ_3783IR1HAY0</t>
  </si>
  <si>
    <t>XYZ_7W07MWBZAFK</t>
  </si>
  <si>
    <t>XYZ_HB09YN143XR</t>
  </si>
  <si>
    <t>XYZ_5WEFY5V2TAF</t>
  </si>
  <si>
    <t>XYZ_EVHL05UTQR5</t>
  </si>
  <si>
    <t>XYZ_J4X1G7R70O3</t>
  </si>
  <si>
    <t>XYZ_20XIIGN9R3</t>
  </si>
  <si>
    <t>XYZ_FVZ0SDK8G9C</t>
  </si>
  <si>
    <t>XYZ_CWTBYRV8P25</t>
  </si>
  <si>
    <t>XYZ_AH9GWYXNBGU</t>
  </si>
  <si>
    <t>XYZ_BAV161B2PRU</t>
  </si>
  <si>
    <t>XYZ_C9NA46T3EFF</t>
  </si>
  <si>
    <t>XYZ_2DB8HGVG4D1</t>
  </si>
  <si>
    <t>XYZ_82YTHQN07LI</t>
  </si>
  <si>
    <t>XYZ_FWN6R2YEZBH</t>
  </si>
  <si>
    <t>XYZ_705L35VN36V</t>
  </si>
  <si>
    <t>XYZ_538A8GM8M6</t>
  </si>
  <si>
    <t>XYZ_86HVJ60509N</t>
  </si>
  <si>
    <t>XYZ_7ICQWT3TX0N</t>
  </si>
  <si>
    <t>XYZ_DWGDEHAWC7C</t>
  </si>
  <si>
    <t>XYZ_EGHEDIMZVIB</t>
  </si>
  <si>
    <t>XYZ_CEZTBVHLHEM</t>
  </si>
  <si>
    <t>XYZ_4QN77ZWTLCR</t>
  </si>
  <si>
    <t>XYZ_9JMJAB0ZK19</t>
  </si>
  <si>
    <t>XYZ_HHGKDDKVFNY</t>
  </si>
  <si>
    <t>XYZ_6XYGU3RWUM3</t>
  </si>
  <si>
    <t>XYZ_DQNUXCD7LEC</t>
  </si>
  <si>
    <t>XYZ_HFTPPYV4SR5</t>
  </si>
  <si>
    <t>XYZ_DNZLBI4JOX0</t>
  </si>
  <si>
    <t>XYZ_J8VORYJZZRP</t>
  </si>
  <si>
    <t>XYZ_J4HG9UAV6YH</t>
  </si>
  <si>
    <t>XYZ_9HF105220E6</t>
  </si>
  <si>
    <t>XYZ_FJ8OOIRTHHA</t>
  </si>
  <si>
    <t>XYZ_BAXRFRR2P3E</t>
  </si>
  <si>
    <t>XYZ_A6J8I7V8MEG</t>
  </si>
  <si>
    <t>XYZ_71VK1EU7JDO</t>
  </si>
  <si>
    <t>XYZ_6ULNCDXD8FG</t>
  </si>
  <si>
    <t>XYZ_9VZMIDIILOB</t>
  </si>
  <si>
    <t>XYZ_IC3JKVNX0X2</t>
  </si>
  <si>
    <t>XYZ_DI3YNGQJU4R</t>
  </si>
  <si>
    <t>XYZ_DWZUZVUBKVZ</t>
  </si>
  <si>
    <t>XYZ_6GZCLOKTF1U</t>
  </si>
  <si>
    <t>XYZ_3X3L8ETCVYH</t>
  </si>
  <si>
    <t>XYZ_IESL8XSPGYH</t>
  </si>
  <si>
    <t>XYZ_GDQ7EJ97NON</t>
  </si>
  <si>
    <t>XYZ_26L7EYK537K</t>
  </si>
  <si>
    <t>XYZ_7FR7IQ97GWU</t>
  </si>
  <si>
    <t>XYZ_2R1FL8IYBSU</t>
  </si>
  <si>
    <t>XYZ_D20SVZK4ALS</t>
  </si>
  <si>
    <t>XYZ_3L26ZKQZK3V</t>
  </si>
  <si>
    <t>XYZ_IJYVYVXCNZP</t>
  </si>
  <si>
    <t>XYZ_J4ATSYU6FAL</t>
  </si>
  <si>
    <t>XYZ_6SC6WOK1UFG</t>
  </si>
  <si>
    <t>XYZ_630KXH0EJNC</t>
  </si>
  <si>
    <t>XYZ_CO4DEFAS9JN</t>
  </si>
  <si>
    <t>XYZ_HTVZU2KVRUX</t>
  </si>
  <si>
    <t>XYZ_DUHFWN9ETTB</t>
  </si>
  <si>
    <t>XYZ_DZAHKW8881J</t>
  </si>
  <si>
    <t>XYZ_796MVQK34GH</t>
  </si>
  <si>
    <t>XYZ_J4OUYUI0UMK</t>
  </si>
  <si>
    <t>XYZ_55DN8U8ZROI</t>
  </si>
  <si>
    <t>XYZ_IWEBDLVNTA1</t>
  </si>
  <si>
    <t>XYZ_55OK3VVPXNC</t>
  </si>
  <si>
    <t>XYZ_B2KVPUTCHRF</t>
  </si>
  <si>
    <t>XYZ_1GAWP35WPF2</t>
  </si>
  <si>
    <t>XYZ_H1JN7KYNDT2</t>
  </si>
  <si>
    <t>XYZ_IV01GKFGZBR</t>
  </si>
  <si>
    <t>XYZ_61DQA2JCRJX</t>
  </si>
  <si>
    <t>XYZ_RXLFFYIRP0</t>
  </si>
  <si>
    <t>XYZ_484QQ39WTZP</t>
  </si>
  <si>
    <t>XYZ_9O3H4BSHH4</t>
  </si>
  <si>
    <t>XYZ_EPP2QWUB56X</t>
  </si>
  <si>
    <t>XYZ_66BGDL9J732</t>
  </si>
  <si>
    <t>XYZ_3LQR1D4SDVG</t>
  </si>
  <si>
    <t>XYZ_EC0FTK0AQRS</t>
  </si>
  <si>
    <t>XYZ_3CVJTD640O0</t>
  </si>
  <si>
    <t>XYZ_3R1C3I5T52R</t>
  </si>
  <si>
    <t>XYZ_HILVSTB0X3N</t>
  </si>
  <si>
    <t>XYZ_9KZ9AT4DPC3</t>
  </si>
  <si>
    <t>XYZ_6W6JY7BJDOP</t>
  </si>
  <si>
    <t>XYZ_II0CI5VHD7K</t>
  </si>
  <si>
    <t>XYZ_AP055K4FU6R</t>
  </si>
  <si>
    <t>XYZ_J9VXSZHIL0V</t>
  </si>
  <si>
    <t>XYZ_BDIIVL3NTYC</t>
  </si>
  <si>
    <t>XYZ_4E33NV49ZIG</t>
  </si>
  <si>
    <t>XYZ_78D0LGH7XC2</t>
  </si>
  <si>
    <t>XYZ_5XOFUUE6HR4</t>
  </si>
  <si>
    <t>XYZ_6EZN3LSU428</t>
  </si>
  <si>
    <t>XYZ_CPAUV7UE9J2</t>
  </si>
  <si>
    <t>XYZ_BD2XP7HKSY6</t>
  </si>
  <si>
    <t>XYZ_EY52TNBZKGO</t>
  </si>
  <si>
    <t>XYZ_BBKRF3QDUMG</t>
  </si>
  <si>
    <t>XYZ_PARTIAL_FIRST_ICZI9PMK4GY</t>
  </si>
  <si>
    <t>XYZ_4DNWILGKLOZ</t>
  </si>
  <si>
    <t>XYZ_B8SLI6CZFI8</t>
  </si>
  <si>
    <t>XYZ_DFG38NKJVG8</t>
  </si>
  <si>
    <t>XYZ_8L1P53ZIUPW</t>
  </si>
  <si>
    <t>XYZ_TCNINKVY3R</t>
  </si>
  <si>
    <t>XYZ_PARTIAL_FIRST_EWW9A5K5PW8</t>
  </si>
  <si>
    <t>XYZ_PARTIAL_SUBS_1TZJQE4B2JY</t>
  </si>
  <si>
    <t>XYZ_13317CMBEWC</t>
  </si>
  <si>
    <t>XYZ_CY1DPX1KFIB</t>
  </si>
  <si>
    <t>XYZ_CB9CXA1LAD0</t>
  </si>
  <si>
    <t>XYZ_63EM5C444U9</t>
  </si>
  <si>
    <t>XYZ_5FBTNNOL8FK</t>
  </si>
  <si>
    <t>XYZ_C7ZNMGMZRGI</t>
  </si>
  <si>
    <t>XYZ_6YOZ5E1MYEE</t>
  </si>
  <si>
    <t>XYZ_D7V9QK0XL6J</t>
  </si>
  <si>
    <t>XYZ_4QD2P18S1FL</t>
  </si>
  <si>
    <t>XYZ_BGYGS2ZQ53Y</t>
  </si>
  <si>
    <t>XYZ_8YZOV1O0PFP</t>
  </si>
  <si>
    <t>XYZ_AFSV34RF942</t>
  </si>
  <si>
    <t>XYZ_14S83DNTN36</t>
  </si>
  <si>
    <t>XYZ_5EX0JHVFT30</t>
  </si>
  <si>
    <t>XYZ_179H59M1OF5</t>
  </si>
  <si>
    <t>XYZ_D7JNLP5J3R</t>
  </si>
  <si>
    <t>XYZ_2GQEHOBK96U</t>
  </si>
  <si>
    <t>XYZ_8FMFRN34G3K</t>
  </si>
  <si>
    <t>XYZ_I09K4ZZSYMT</t>
  </si>
  <si>
    <t>XYZ_865ETK02N1Y</t>
  </si>
  <si>
    <t>XYZ_B6WS78P9P4J</t>
  </si>
  <si>
    <t>XYZ_8DTQNLOD88H</t>
  </si>
  <si>
    <t>XYZ_FQIZMJVVW92</t>
  </si>
  <si>
    <t>XYZ_GXDLINVCRB9</t>
  </si>
  <si>
    <t>XYZ_AKJ6JMHB1ZL</t>
  </si>
  <si>
    <t>XYZ_EMOQANH9BWK</t>
  </si>
  <si>
    <t>XYZ_GPHH2G0JCYI</t>
  </si>
  <si>
    <t>XYZ_3L97RFCPRT2</t>
  </si>
  <si>
    <t>XYZ_DF3MD4BI9SA</t>
  </si>
  <si>
    <t>XYZ_E810NHEHRCL</t>
  </si>
  <si>
    <t>XYZ_8NSP2NM66FJ</t>
  </si>
  <si>
    <t>XYZ_CCVTNIQAU6G</t>
  </si>
  <si>
    <t>XYZ_1C42ZX6IOW2</t>
  </si>
  <si>
    <t>XYZ_8NWZEUNXPCA</t>
  </si>
  <si>
    <t>XYZ_HZLSBCBB7Y5</t>
  </si>
  <si>
    <t>XYZ_ETTYOCC6Q1R</t>
  </si>
  <si>
    <t>XYZ_1NBUWI41AYM</t>
  </si>
  <si>
    <t>XYZ_J75Q7ILX5XS</t>
  </si>
  <si>
    <t>XYZ_HKNJS9RNWEL</t>
  </si>
  <si>
    <t>XYZ_VILSC2MLZS</t>
  </si>
  <si>
    <t>XYZ_9CHBAF9XO60</t>
  </si>
  <si>
    <t>XYZ_7C6LMQG9A3Y</t>
  </si>
  <si>
    <t>XYZ_6LERGZW82QV</t>
  </si>
  <si>
    <t>XYZ_IROE64FTW1Z</t>
  </si>
  <si>
    <t>XYZ_3EQ78VB7V6B</t>
  </si>
  <si>
    <t>XYZ_2XG63FNORXT</t>
  </si>
  <si>
    <t>XYZ_3F1I50S3BMQ</t>
  </si>
  <si>
    <t>XYZ_9TN23NXO395</t>
  </si>
  <si>
    <t>XYZ_GXT6SZEXYU3</t>
  </si>
  <si>
    <t>XYZ_FBDCKE20LAM</t>
  </si>
  <si>
    <t>XYZ_F5WJ0IHCEPK</t>
  </si>
  <si>
    <t>XYZ_G2N454LBPTT</t>
  </si>
  <si>
    <t>XYZ_IWATBIYPREC</t>
  </si>
  <si>
    <t>XYZ_PARTIAL_SUBS_PESF1R0W0W</t>
  </si>
  <si>
    <t>XYZ_JA3CLXRD42A</t>
  </si>
  <si>
    <t>XYZ_DDHXV0DRDS7</t>
  </si>
  <si>
    <t>XYZ_29RSSQUCX97</t>
  </si>
  <si>
    <t>XYZ_CMKN9R246QS</t>
  </si>
  <si>
    <t>XYZ_EUYHXM8TZIP</t>
  </si>
  <si>
    <t>XYZ_3Z0L0HGWKK8</t>
  </si>
  <si>
    <t>XYZ_JHXWXQ2Y3SS</t>
  </si>
  <si>
    <t>XYZ_BC4FQY00JV</t>
  </si>
  <si>
    <t>XYZ_8ZWTL8BLYG0</t>
  </si>
  <si>
    <t>XYZ_10OIJ544GVQ</t>
  </si>
  <si>
    <t>XYZ_H9SMY90ZF3O</t>
  </si>
  <si>
    <t>XYZ_B8BUCF81WWQ</t>
  </si>
  <si>
    <t>XYZ_155VA4SU3UI</t>
  </si>
  <si>
    <t>XYZ_M1YXC0B5A0</t>
  </si>
  <si>
    <t>XYZ_E8F1TDG9J8W</t>
  </si>
  <si>
    <t>XYZ_1K43T7EYCFO</t>
  </si>
  <si>
    <t>XYZ_H6WYRCJYM1D</t>
  </si>
  <si>
    <t>XYZ_5NWER05NQV</t>
  </si>
  <si>
    <t>XYZ_7QSRBDNEL7U</t>
  </si>
  <si>
    <t>XYZ_HDOK28EFFP0</t>
  </si>
  <si>
    <t>XYZ_D6KW8JNYV53</t>
  </si>
  <si>
    <t>XYZ_C6DL95P2XLH</t>
  </si>
  <si>
    <t>XYZ_H858U5660X</t>
  </si>
  <si>
    <t>XYZ_A8CQ2AEO4HR</t>
  </si>
  <si>
    <t>XYZ_CCVFQCXXAYN</t>
  </si>
  <si>
    <t>XYZ_1NJ9LIJPEW7</t>
  </si>
  <si>
    <t>XYZ_GIIHEDMX2ZA</t>
  </si>
  <si>
    <t>XYZ_42949Y93VUF</t>
  </si>
  <si>
    <t>XYZ_66KFCYGGKTD</t>
  </si>
  <si>
    <t>XYZ_F7W8SG986IQ</t>
  </si>
  <si>
    <t>XYZ_25F4H1AQS0L</t>
  </si>
  <si>
    <t>XYZ_6N0G50XOOKZ</t>
  </si>
  <si>
    <t>XYZ_BJGI23WM05T</t>
  </si>
  <si>
    <t>XYZ_17BTHU7YFZL</t>
  </si>
  <si>
    <t>XYZ_4ZIEVS94K9D</t>
  </si>
  <si>
    <t>XYZ_9CSUU7CGFD</t>
  </si>
  <si>
    <t>XYZ_BYHGSXYENYQ</t>
  </si>
  <si>
    <t>XYZ_YI6G8RLSF5</t>
  </si>
  <si>
    <t>XYZ_9LPRQ17SMB1</t>
  </si>
  <si>
    <t>XYZ_E33ARUKSFP6</t>
  </si>
  <si>
    <t>XYZ_J6DO5LZ3R8Q</t>
  </si>
  <si>
    <t>XYZ_7YTY7ZGGX20</t>
  </si>
  <si>
    <t>XYZ_9UGAKQA69SU</t>
  </si>
  <si>
    <t>XYZ_5KE8CDHHU2K</t>
  </si>
  <si>
    <t>XYZ_B8U5WH51POR</t>
  </si>
  <si>
    <t>XYZ_6X1QQQESMS0</t>
  </si>
  <si>
    <t>XYZ_9LH71N9U6AH</t>
  </si>
  <si>
    <t>XYZ_B6W0CX18TH7</t>
  </si>
  <si>
    <t>XYZ_35YWHVIVJKL</t>
  </si>
  <si>
    <t>XYZ_G9DJGMX70Z2</t>
  </si>
  <si>
    <t>XYZ_DQ03JH0WK44</t>
  </si>
  <si>
    <t>XYZ_B8OBFUIZN9M</t>
  </si>
  <si>
    <t>XYZ_CDI1KMYJXYD</t>
  </si>
  <si>
    <t>XYZ_4VFVCWAONSH</t>
  </si>
  <si>
    <t>XYZ_6XABF4JNQPG</t>
  </si>
  <si>
    <t>XYZ_2W6KNN17I66</t>
  </si>
  <si>
    <t>XYZ_2MIJ5LKK87S</t>
  </si>
  <si>
    <t>XYZ_5URZVLBQD7U</t>
  </si>
  <si>
    <t>XYZ_5X95D4Q3A6</t>
  </si>
  <si>
    <t>XYZ_9PFGCA2FCTJ</t>
  </si>
  <si>
    <t>XYZ_3S53MEBHJ67</t>
  </si>
  <si>
    <t>XYZ_3C5G4W6U21T</t>
  </si>
  <si>
    <t>XYZ_YD43SX7O48</t>
  </si>
  <si>
    <t>XYZ_4Q7MJDM5OH4</t>
  </si>
  <si>
    <t>XYZ_DNVBJ17SV8M</t>
  </si>
  <si>
    <t>XYZ_J42NNFQFYZB</t>
  </si>
  <si>
    <t>XYZ_5D2RKVZ287V</t>
  </si>
  <si>
    <t>XYZ_JLVSB74WUCQ</t>
  </si>
  <si>
    <t>XYZ_BQRKYEIMQFA</t>
  </si>
  <si>
    <t>XYZ_CMCUTHY3FEF</t>
  </si>
  <si>
    <t>XYZ_HPENIVASCJ9</t>
  </si>
  <si>
    <t>XYZ_I99G063CYOB</t>
  </si>
  <si>
    <t>XYZ_CEIAHPT5QYN</t>
  </si>
  <si>
    <t>XYZ_7JWHT3WC4F9</t>
  </si>
  <si>
    <t>XYZ_8592JEISID3</t>
  </si>
  <si>
    <t>XYZ_FMZ5SRWVDAO</t>
  </si>
  <si>
    <t>XYZ_8WYFCHJ0G7C</t>
  </si>
  <si>
    <t>XYZ_9JUQHBKPH6J</t>
  </si>
  <si>
    <t>XYZ_7JPVA9GD7ZH</t>
  </si>
  <si>
    <t>XYZ_7CNR7ES7B9P</t>
  </si>
  <si>
    <t>XYZ_HWETG6KPHLX</t>
  </si>
  <si>
    <t>XYZ_4PCU5RL3WSG</t>
  </si>
  <si>
    <t>XYZ_FPVM3V68G66</t>
  </si>
  <si>
    <t>XYZ_3Y4MPGQ1AIS</t>
  </si>
  <si>
    <t>XYZ_7FED1VD7H53</t>
  </si>
  <si>
    <t>XYZ_83DN9KMS4FE</t>
  </si>
  <si>
    <t>XYZ_A3B3VKHKNKE</t>
  </si>
  <si>
    <t>XYZ_5V3OSUNUYYX</t>
  </si>
  <si>
    <t>XYZ_7P4QQKEJ9CF</t>
  </si>
  <si>
    <t>XYZ_BG0KFGX8QQI</t>
  </si>
  <si>
    <t>XYZ_E6BG26JSSN1</t>
  </si>
  <si>
    <t>XYZ_AU0LUNN9CA4</t>
  </si>
  <si>
    <t>XYZ_9DQJ4W98XF3</t>
  </si>
  <si>
    <t>XYZ_EE4G9J83VEF</t>
  </si>
  <si>
    <t>XYZ_HKJNR1XE6LK</t>
  </si>
  <si>
    <t>XYZ_EAY98P1SGOL</t>
  </si>
  <si>
    <t>XYZ_AVBRKT1M5P0</t>
  </si>
  <si>
    <t>XYZ_DVG552X452O</t>
  </si>
  <si>
    <t>XYZ_448G2REEDM2</t>
  </si>
  <si>
    <t>XYZ_60GM5L9HE4E</t>
  </si>
  <si>
    <t>XYZ_41YLLXV6Q3B</t>
  </si>
  <si>
    <t>XYZ_64HZP3AATJA</t>
  </si>
  <si>
    <t>XYZ_5O4P2TFRVYC</t>
  </si>
  <si>
    <t>XYZ_GLANJ721PCU</t>
  </si>
  <si>
    <t>XYZ_FMEI9YG2977</t>
  </si>
  <si>
    <t>XYZ_33IFO4HU4OW</t>
  </si>
  <si>
    <t>XYZ_6NJ5U4T4T1W</t>
  </si>
  <si>
    <t>XYZ_2E8DRDTSVQE</t>
  </si>
  <si>
    <t>XYZ_F4DZ14ULHTA</t>
  </si>
  <si>
    <t>XYZ_JLUMBTIUDN3</t>
  </si>
  <si>
    <t>XYZ_C24TEGBMQ6F</t>
  </si>
  <si>
    <t>XYZ_E5FHL8SGMOX</t>
  </si>
  <si>
    <t>XYZ_EZCCOHVBQDQ</t>
  </si>
  <si>
    <t>XYZ_285CGBAER78</t>
  </si>
  <si>
    <t>XYZ_BRK1BAACPF1</t>
  </si>
  <si>
    <t>XYZ_9Z3VZDRHVH2</t>
  </si>
  <si>
    <t>XYZ_C7R3DUSTLYK</t>
  </si>
  <si>
    <t>XYZ_GLTD0F2E6XU</t>
  </si>
  <si>
    <t>XYZ_7G6FBOAFBFS</t>
  </si>
  <si>
    <t>XYZ_PARTIAL_FIRST_BYA2HQJYERR</t>
  </si>
  <si>
    <t>XYZ_PARTIAL_SUBS_1HMV35J7C25</t>
  </si>
  <si>
    <t>XYZ_ZVAJTT1Z0H</t>
  </si>
  <si>
    <t>XYZ_JD7LT2MLX8S</t>
  </si>
  <si>
    <t>XYZ_19K4434PJ4Y</t>
  </si>
  <si>
    <t>XYZ_33MQ2AK4NZ3</t>
  </si>
  <si>
    <t>XYZ_95AJ82RIQIC</t>
  </si>
  <si>
    <t>XYZ_DTDBC5P4VSG</t>
  </si>
  <si>
    <t>XYZ_2T9CK6RQDDK</t>
  </si>
  <si>
    <t>XYZ_GR01TFSL81Z</t>
  </si>
  <si>
    <t>XYZ_6JN8U3HJ1QN</t>
  </si>
  <si>
    <t>XYZ_5P8GBUDZ4JN</t>
  </si>
  <si>
    <t>XYZ_DLSHS38XLTK</t>
  </si>
  <si>
    <t>XYZ_FYSDK8YCS8Y</t>
  </si>
  <si>
    <t>XYZ_B28TD6TUG7F</t>
  </si>
  <si>
    <t>XYZ_6O4LL307M1N</t>
  </si>
  <si>
    <t>XYZ_EBWK2794E1X</t>
  </si>
  <si>
    <t>XYZ_JH9DBPWJ6LA</t>
  </si>
  <si>
    <t>XYZ_1P3EB143HH2</t>
  </si>
  <si>
    <t>XYZ_6GLQ6K5HV7B</t>
  </si>
  <si>
    <t>XYZ_IC4QBVXQ8TT</t>
  </si>
  <si>
    <t>XYZ_D8671DZUGMD</t>
  </si>
  <si>
    <t>XYZ_8GN33N4MPXD</t>
  </si>
  <si>
    <t>XYZ_RLJ2S8JJ7H</t>
  </si>
  <si>
    <t>XYZ_HRK7VDVA4Q2</t>
  </si>
  <si>
    <t>XYZ_FJEXVWSI1XB</t>
  </si>
  <si>
    <t>XYZ_2IYBAPGLB0I</t>
  </si>
  <si>
    <t>XYZ_IFX55W133XJ</t>
  </si>
  <si>
    <t>XYZ_5IUA7B6JCI</t>
  </si>
  <si>
    <t>XYZ_B916QAMR5L9</t>
  </si>
  <si>
    <t>XYZ_FYGANUOJY1S</t>
  </si>
  <si>
    <t>XYZ_1VTTILC67LT</t>
  </si>
  <si>
    <t>XYZ_5PJR9YTMBNQ</t>
  </si>
  <si>
    <t>XYZ_3VFZ8FT80VQ</t>
  </si>
  <si>
    <t>XYZ_88OMIQRIMMM</t>
  </si>
  <si>
    <t>XYZ_365XBP4JMXJ</t>
  </si>
  <si>
    <t>XYZ_7WJPZXCOHEO</t>
  </si>
  <si>
    <t>XYZ_GN8F5LLL1N0</t>
  </si>
  <si>
    <t>XYZ_3Q84E29FF77</t>
  </si>
  <si>
    <t>XYZ_GEAHRT11K2S</t>
  </si>
  <si>
    <t>XYZ_6M6U6KQ57O7</t>
  </si>
  <si>
    <t>XYZ_1GC3I261T7N</t>
  </si>
  <si>
    <t>XYZ_BLCBSTR0864</t>
  </si>
  <si>
    <t>XYZ_GEIADZD2LWN</t>
  </si>
  <si>
    <t>XYZ_JBZKFQOTZVB</t>
  </si>
  <si>
    <t>XYZ_JG589GYTST5</t>
  </si>
  <si>
    <t>XYZ_8IRH8W059AR</t>
  </si>
  <si>
    <t>XYZ_BM37XBS70VJ</t>
  </si>
  <si>
    <t>XYZ_2ZOGXKV271T</t>
  </si>
  <si>
    <t>XYZ_GU1YM18IVNL</t>
  </si>
  <si>
    <t>XYZ_37LRH4I5YZM</t>
  </si>
  <si>
    <t>XYZ_YV1SOA8TRD</t>
  </si>
  <si>
    <t>XYZ_1SSP03YSRMD</t>
  </si>
  <si>
    <t>XYZ_88738SMCXI2</t>
  </si>
  <si>
    <t>XYZ_80W0GFZR2RX</t>
  </si>
  <si>
    <t>XYZ_AEELPTI5XVI</t>
  </si>
  <si>
    <t>XYZ_8BSVHZEQJEN</t>
  </si>
  <si>
    <t>XYZ_C6UR1Q3KE9O</t>
  </si>
  <si>
    <t>XYZ_BREL3NLV17A</t>
  </si>
  <si>
    <t>XYZ_4J8904OBHS9</t>
  </si>
  <si>
    <t>XYZ_CXFYOM70LG8</t>
  </si>
  <si>
    <t>XYZ_2DNCBETR8GG</t>
  </si>
  <si>
    <t>XYZ_AZSCJFZCMWU</t>
  </si>
  <si>
    <t>XYZ_93M4M5OEJMM</t>
  </si>
  <si>
    <t>XYZ_8N2LM2T2K7G</t>
  </si>
  <si>
    <t>XYZ_4I1DO57JZGH</t>
  </si>
  <si>
    <t>XYZ_EQQIGYRNVMF</t>
  </si>
  <si>
    <t>XYZ_8X343LHVQEK</t>
  </si>
  <si>
    <t>XYZ_IELLKJUBOV7</t>
  </si>
  <si>
    <t>XYZ_9MTJAWINX7T</t>
  </si>
  <si>
    <t>XYZ_EDKL0TQOZB3</t>
  </si>
  <si>
    <t>XYZ_CFM20LXXQL4</t>
  </si>
  <si>
    <t>XYZ_H7L57T8RB3K</t>
  </si>
  <si>
    <t>XYZ_AN6APTB04GA</t>
  </si>
  <si>
    <t>XYZ_1O7U1496MTR</t>
  </si>
  <si>
    <t>XYZ_FGME3SMPSQO</t>
  </si>
  <si>
    <t>XYZ_CT2IAOP0ICG</t>
  </si>
  <si>
    <t>XYZ_7A123T8D5V1</t>
  </si>
  <si>
    <t>XYZ_CZ89TIPFUC1</t>
  </si>
  <si>
    <t>XYZ_9WWDZ2RTVUO</t>
  </si>
  <si>
    <t>XYZ_BONZD4VVY9M</t>
  </si>
  <si>
    <t>XYZ_6ZHU52TYTVG</t>
  </si>
  <si>
    <t>XYZ_2Q885NMBRDL</t>
  </si>
  <si>
    <t>XYZ_H7DQMR07TQE</t>
  </si>
  <si>
    <t>XYZ_GWREF59OHXD</t>
  </si>
  <si>
    <t>XYZ_9CKU63UUN0U</t>
  </si>
  <si>
    <t>XYZ_884R44CQOQS</t>
  </si>
  <si>
    <t>XYZ_ELTKHMX1ZOM</t>
  </si>
  <si>
    <t>XYZ_9M83LXJKGAK</t>
  </si>
  <si>
    <t>XYZ_HIDPX5Q6QTY</t>
  </si>
  <si>
    <t>XYZ_GFFF463N0I5</t>
  </si>
  <si>
    <t>XYZ_6G9NG32TTWX</t>
  </si>
  <si>
    <t>XYZ_K502SPW77U</t>
  </si>
  <si>
    <t>XYZ_GUNSI1AB0HA</t>
  </si>
  <si>
    <t>XYZ_13VI7WGDUQO</t>
  </si>
  <si>
    <t>XYZ_3X0HX31JB2C</t>
  </si>
  <si>
    <t>XYZ_DMUB1HVR50N</t>
  </si>
  <si>
    <t>XYZ_23HRJF8O761</t>
  </si>
  <si>
    <t>XYZ_3BW3U2NHFEV</t>
  </si>
  <si>
    <t>XYZ_E2A2YGJD3WG</t>
  </si>
  <si>
    <t>XYZ_H6V17I6VD72</t>
  </si>
  <si>
    <t>XYZ_2Z0B6RCOSNQ</t>
  </si>
  <si>
    <t>XYZ_8633CJXNTXN</t>
  </si>
  <si>
    <t>XYZ_C6GQ1RDP0EQ</t>
  </si>
  <si>
    <t>XYZ_AZYZ68HTY5D</t>
  </si>
  <si>
    <t>XYZ_3GKH50QJNXH</t>
  </si>
  <si>
    <t>XYZ_BE38YRUU7V</t>
  </si>
  <si>
    <t>XYZ_54W4QIT5QQM</t>
  </si>
  <si>
    <t>XYZ_5W6ODH7KK32</t>
  </si>
  <si>
    <t>XYZ_32LBDQBFUXG</t>
  </si>
  <si>
    <t>XYZ_4JDBIHO88L9</t>
  </si>
  <si>
    <t>XYZ_H3BL4Z2XJF9</t>
  </si>
  <si>
    <t>XYZ_G98VN26SP8P</t>
  </si>
  <si>
    <t>XYZ_3V2QGLUJ2XK</t>
  </si>
  <si>
    <t>XYZ_6OT5URKT63K</t>
  </si>
  <si>
    <t>XYZ_FHYC03ULTI3</t>
  </si>
  <si>
    <t>XYZ_4DK113QOZ43</t>
  </si>
  <si>
    <t>XYZ_4ARV46CS43P</t>
  </si>
  <si>
    <t>XYZ_PARTIAL_FIRST_CWEJW3O0DRE</t>
  </si>
  <si>
    <t>XYZ_PARTIAL_SUBS_367VR3S22SE</t>
  </si>
  <si>
    <t>XYZ_47UMSU587EP</t>
  </si>
  <si>
    <t>XYZ_EEU6QHMCUB8</t>
  </si>
  <si>
    <t>XYZ_E9EXB1O6CLO</t>
  </si>
  <si>
    <t>XYZ_68D52P51UPW</t>
  </si>
  <si>
    <t>XYZ_12JYIME401S</t>
  </si>
  <si>
    <t>XYZ_AWD6Z0UTK8Y</t>
  </si>
  <si>
    <t>XYZ_1TXMEG1UAPC</t>
  </si>
  <si>
    <t>XYZ_JD785RXNV0B</t>
  </si>
  <si>
    <t>XYZ_AUFTJNEX96Z</t>
  </si>
  <si>
    <t>XYZ_PARTIAL_FIRST_EKEWNFCBDCM</t>
  </si>
  <si>
    <t>XYZ_ATFYPNIZWQ3</t>
  </si>
  <si>
    <t>XYZ_787L3H4S40I</t>
  </si>
  <si>
    <t>XYZ_152RQWV61CY</t>
  </si>
  <si>
    <t>XYZ_4GEJ6NQG7V9</t>
  </si>
  <si>
    <t>XYZ_GWV0D53GNI</t>
  </si>
  <si>
    <t>XYZ_8A59095DS7K</t>
  </si>
  <si>
    <t>XYZ_BEHMKWQFJVM</t>
  </si>
  <si>
    <t>XYZ_1U2ATQ1IVKZ</t>
  </si>
  <si>
    <t>XYZ_IS7WH6KHBT0</t>
  </si>
  <si>
    <t>XYZ_CSNPCG241YL</t>
  </si>
  <si>
    <t>XYZ_7M9V5LTSKFK</t>
  </si>
  <si>
    <t>XYZ_E0OEKALG14M</t>
  </si>
  <si>
    <t>XYZ_DA738HNOO35</t>
  </si>
  <si>
    <t>XYZ_6ZNASHM8KZJ</t>
  </si>
  <si>
    <t>XYZ_D2DP0156EL5</t>
  </si>
  <si>
    <t>XYZ_EZR6CDQ8BLQ</t>
  </si>
  <si>
    <t>XYZ_JC331K37F82</t>
  </si>
  <si>
    <t>XYZ_4PBOM6B32E8</t>
  </si>
  <si>
    <t>XYZ_GQ4HRF91TJA</t>
  </si>
  <si>
    <t>XYZ_GSB7ZDHQZIS</t>
  </si>
  <si>
    <t>XYZ_103HMWCXQUN</t>
  </si>
  <si>
    <t>XYZ_H98E484PC7T</t>
  </si>
  <si>
    <t>XYZ_4KKZ4KWXRUC</t>
  </si>
  <si>
    <t>XYZ_JN5EIMD4RG1</t>
  </si>
  <si>
    <t>XYZ_77CEORAGT83</t>
  </si>
  <si>
    <t>XYZ_EIKNIW8ZNQB</t>
  </si>
  <si>
    <t>XYZ_NOGB9B1CMR</t>
  </si>
  <si>
    <t>XYZ_8C83122T1B5</t>
  </si>
  <si>
    <t>XYZ_IIXI5VTX7TK</t>
  </si>
  <si>
    <t>XYZ_19Y5PR8HDUN</t>
  </si>
  <si>
    <t>XYZ_FNSERLIKYJL</t>
  </si>
  <si>
    <t>XYZ_CH9AYZPOHFL</t>
  </si>
  <si>
    <t>XYZ_J82VPBMEUQK</t>
  </si>
  <si>
    <t>XYZ_5K6UGYL4ZXU</t>
  </si>
  <si>
    <t>XYZ_DIA8AN1AGZD</t>
  </si>
  <si>
    <t>XYZ_2N6BQVI2447</t>
  </si>
  <si>
    <t>XYZ_BW4WVZB6KVQ</t>
  </si>
  <si>
    <t>XYZ_HW9DOC0W7OP</t>
  </si>
  <si>
    <t>XYZ_2P61EVBU37E</t>
  </si>
  <si>
    <t>XYZ_257CMHHH1BS</t>
  </si>
  <si>
    <t>XYZ_GQ0ZJF1R7EO</t>
  </si>
  <si>
    <t>XYZ_6AM7N8058FO</t>
  </si>
  <si>
    <t>XYZ_CQ3Q4RZ4RPC</t>
  </si>
  <si>
    <t>XYZ_AMI52Y0C1TV</t>
  </si>
  <si>
    <t>XYZ_D1PJ59S1YRQ</t>
  </si>
  <si>
    <t>XYZ_EM0LBGH1MG0</t>
  </si>
  <si>
    <t>XYZ_7E92E270K8I</t>
  </si>
  <si>
    <t>XYZ_6M0M2NIFWT2</t>
  </si>
  <si>
    <t>XYZ_75D33UDRSOG</t>
  </si>
  <si>
    <t>XYZ_6ZW9JYSAH8P</t>
  </si>
  <si>
    <t>XYZ_B4ES0OMH4QR</t>
  </si>
  <si>
    <t>XYZ_IPQ9I4TJ0P6</t>
  </si>
  <si>
    <t>XYZ_V1VC8FN6L9</t>
  </si>
  <si>
    <t>XYZ_A2JGAK7WV2D</t>
  </si>
  <si>
    <t>XYZ_PARTIAL_SUBS_JFV3UGL4LJS</t>
  </si>
  <si>
    <t>XYZ_C4LK8X8ODE</t>
  </si>
  <si>
    <t>XYZ_8CKY3M72UHH</t>
  </si>
  <si>
    <t>XYZ_7PTBC36FOXL</t>
  </si>
  <si>
    <t>XYZ_13T6B46OB0Q</t>
  </si>
  <si>
    <t>XYZ_CD68N2ALTO</t>
  </si>
  <si>
    <t>XYZ_7KSH1O0WMRJ</t>
  </si>
  <si>
    <t>XYZ_38GYDLK51F3</t>
  </si>
  <si>
    <t>XYZ_CKA1MA98QKT</t>
  </si>
  <si>
    <t>XYZ_2ORMBTMPMPY</t>
  </si>
  <si>
    <t>XYZ_BKJHYKJ7OO7</t>
  </si>
  <si>
    <t>XYZ_5QEK7B7NHER</t>
  </si>
  <si>
    <t>XYZ_AC5JP11Y8RT</t>
  </si>
  <si>
    <t>XYZ_3WWLVV6ANQU</t>
  </si>
  <si>
    <t>XYZ_AR3S83MNH2Q</t>
  </si>
  <si>
    <t>XYZ_CBMN0GKT5AL</t>
  </si>
  <si>
    <t>XYZ_FYS02VFJ6PG</t>
  </si>
  <si>
    <t>XYZ_4B9EPYLRA7O</t>
  </si>
  <si>
    <t>XYZ_8W9I36IBSXI</t>
  </si>
  <si>
    <t>XYZ_852GQ7DSW0D</t>
  </si>
  <si>
    <t>XYZ_8HZFITEIQF1</t>
  </si>
  <si>
    <t>XYZ_QRJ769W8WZ</t>
  </si>
  <si>
    <t>XYZ_FAOFIZ87R59</t>
  </si>
  <si>
    <t>XYZ_B82WIHUL942</t>
  </si>
  <si>
    <t>XYZ_1MJTM84MJ1I</t>
  </si>
  <si>
    <t>XYZ_F4TKV6ST5ME</t>
  </si>
  <si>
    <t>XYZ_PARTIAL_FIRST_AJ9LXFEBY8E</t>
  </si>
  <si>
    <t>XYZ_4SEDGZIC5XO</t>
  </si>
  <si>
    <t>XYZ_AF2S0DFH0CA</t>
  </si>
  <si>
    <t>XYZ_965C9D3IQBJ</t>
  </si>
  <si>
    <t>XYZ_ESU4TUXK3HJ</t>
  </si>
  <si>
    <t>XYZ_9RK96B6KZE5</t>
  </si>
  <si>
    <t>XYZ_4L7L2SRZR7L</t>
  </si>
  <si>
    <t>XYZ_87HROINY7HN</t>
  </si>
  <si>
    <t>XYZ_HMX17HZE16F</t>
  </si>
  <si>
    <t>XYZ_H1VRDCTPOZ8</t>
  </si>
  <si>
    <t>XYZ_6U79GR1JA5J</t>
  </si>
  <si>
    <t>XYZ_4DTS2ORMW0P</t>
  </si>
  <si>
    <t>XYZ_AT5U4PY3RKI</t>
  </si>
  <si>
    <t>XYZ_4N8UV89YD21</t>
  </si>
  <si>
    <t>XYZ_F6A72TV60DP</t>
  </si>
  <si>
    <t>XYZ_86UDTZZHHMJ</t>
  </si>
  <si>
    <t>XYZ_5VT1MIDUGOA</t>
  </si>
  <si>
    <t>XYZ_1GE25D3Z04Q</t>
  </si>
  <si>
    <t>XYZ_4JRQZCIOBXT</t>
  </si>
  <si>
    <t>XYZ_4OD01F8LEFB</t>
  </si>
  <si>
    <t>XYZ_IK0HCP8GTP8</t>
  </si>
  <si>
    <t>XYZ_XH6CIQ27IX</t>
  </si>
  <si>
    <t>XYZ_10QVNC64H61</t>
  </si>
  <si>
    <t>XYZ_15RBWNGRTLB</t>
  </si>
  <si>
    <t>XYZ_5CIIQV3DBWO</t>
  </si>
  <si>
    <t>XYZ_3CCVHL4KHRA</t>
  </si>
  <si>
    <t>XYZ_2LLTE2E7BRE</t>
  </si>
  <si>
    <t>XYZ_9PBYTXI2CG5</t>
  </si>
  <si>
    <t>XYZ_GO4S9CKSZNU</t>
  </si>
  <si>
    <t>XYZ_A1VOIVL407F</t>
  </si>
  <si>
    <t>XYZ_2KZLMVGD1PK</t>
  </si>
  <si>
    <t>XYZ_446IOU0AFX0</t>
  </si>
  <si>
    <t>XYZ_2PQP7JNVNWX</t>
  </si>
  <si>
    <t>XYZ_1FR2DX71L0Z</t>
  </si>
  <si>
    <t>XYZ_7G8S7YX4Z8O</t>
  </si>
  <si>
    <t>XYZ_5K9YVQXUSYF</t>
  </si>
  <si>
    <t>XYZ_EF2DPLUMQRK</t>
  </si>
  <si>
    <t>XYZ_ITHICR8CUBE</t>
  </si>
  <si>
    <t>XYZ_967AGVS3NKB</t>
  </si>
  <si>
    <t>XYZ_3XYEZCOC3EY</t>
  </si>
  <si>
    <t>XYZ_J2UMZR9M1RI</t>
  </si>
  <si>
    <t>XYZ_6EMF7CLKADB</t>
  </si>
  <si>
    <t>XYZ_DI92D8GT5XG</t>
  </si>
  <si>
    <t>XYZ_6G5DJO7G4D8</t>
  </si>
  <si>
    <t>XYZ_1ITR4SD2F6H</t>
  </si>
  <si>
    <t>XYZ_88MP2UF8XRT</t>
  </si>
  <si>
    <t>XYZ_3H9FHSCK3YD</t>
  </si>
  <si>
    <t>XYZ_GJH72LF5YEI</t>
  </si>
  <si>
    <t>XYZ_GYDHI3AVWUJ</t>
  </si>
  <si>
    <t>XYZ_A6WWYCLTCIN</t>
  </si>
  <si>
    <t>XYZ_G29I5S484PO</t>
  </si>
  <si>
    <t>XYZ_FRTEFWYIH7N</t>
  </si>
  <si>
    <t>XYZ_6PQAUTBK2ZR</t>
  </si>
  <si>
    <t>XYZ_E4RQH8IMB13</t>
  </si>
  <si>
    <t>XYZ_B30I9JX5FY6</t>
  </si>
  <si>
    <t>XYZ_4TL90US4JBE</t>
  </si>
  <si>
    <t>XYZ_DJH3WHJDSIR</t>
  </si>
  <si>
    <t>XYZ_1JR9U3SWTBF</t>
  </si>
  <si>
    <t>XYZ_71IQE5N4BUR</t>
  </si>
  <si>
    <t>XYZ_ED8IK7UGJMX</t>
  </si>
  <si>
    <t>XYZ_7DWZNL126U2</t>
  </si>
  <si>
    <t>XYZ_DI03PPKBI3Y</t>
  </si>
  <si>
    <t>XYZ_C4ZRA4MK59</t>
  </si>
  <si>
    <t>XYZ_3O26W05TWAG</t>
  </si>
  <si>
    <t>XYZ_ALY9QAMSH7I</t>
  </si>
  <si>
    <t>XYZ_3KIQTGXLEFW</t>
  </si>
  <si>
    <t>XYZ_DMXTR9HOGBT</t>
  </si>
  <si>
    <t>XYZ_U36TGD8QDR</t>
  </si>
  <si>
    <t>XYZ_FM3N5XFB5O</t>
  </si>
  <si>
    <t>XYZ_HDJWOG8FPCP</t>
  </si>
  <si>
    <t>XYZ_7PZ5YN4PEG5</t>
  </si>
  <si>
    <t>XYZ_FNWBAKZ8TK1</t>
  </si>
  <si>
    <t>XYZ_4TTFO539SZ5</t>
  </si>
  <si>
    <t>XYZ_DAU3DQM2I4I</t>
  </si>
  <si>
    <t>XYZ_46347WLR14J</t>
  </si>
  <si>
    <t>XYZ_97IUC31FPQS</t>
  </si>
  <si>
    <t>XYZ_H5NE937UWNR</t>
  </si>
  <si>
    <t>XYZ_PARTIAL_SUBS_HSIJ8MKYSXG</t>
  </si>
  <si>
    <t>XYZ_DZROB07H9QB</t>
  </si>
  <si>
    <t>XYZ_2DLSSODXL6C</t>
  </si>
  <si>
    <t>XYZ_CSLRIQS350X</t>
  </si>
  <si>
    <t>XYZ_6735VNT6BF7</t>
  </si>
  <si>
    <t>XYZ_JE0UVUJJB5L</t>
  </si>
  <si>
    <t>XYZ_ER3E1ABRI3P</t>
  </si>
  <si>
    <t>XYZ_7GVE480GA4Y</t>
  </si>
  <si>
    <t>XYZ_6GQFBHJ1DYA</t>
  </si>
  <si>
    <t>XYZ_HQTCGJHCU7K</t>
  </si>
  <si>
    <t>XYZ_HLW0G3HMIFL</t>
  </si>
  <si>
    <t>XYZ_DL9T2I1A85S</t>
  </si>
  <si>
    <t>XYZ_AKC772R9CVB</t>
  </si>
  <si>
    <t>XYZ_5UC1LNH6WVM</t>
  </si>
  <si>
    <t>XYZ_CBUTVMX6IMY</t>
  </si>
  <si>
    <t>XYZ_AGLQKL50B4N</t>
  </si>
  <si>
    <t>XYZ_H83V8RI9PVC</t>
  </si>
  <si>
    <t>XYZ_5Y9IS3MMWY9</t>
  </si>
  <si>
    <t>XYZ_8AFE6W313KW</t>
  </si>
  <si>
    <t>XYZ_IYEUJ49M1NR</t>
  </si>
  <si>
    <t>XYZ_5SYJQTHLTOG</t>
  </si>
  <si>
    <t>XYZ_CBS3PUDGRM4</t>
  </si>
  <si>
    <t>XYZ_J559OPMCONE</t>
  </si>
  <si>
    <t>XYZ_8Z0W7R500QA</t>
  </si>
  <si>
    <t>XYZ_6IGE9QGVL2T</t>
  </si>
  <si>
    <t>XYZ_DN58G9Q0IWL</t>
  </si>
  <si>
    <t>XYZ_5TN3OO3TBRF</t>
  </si>
  <si>
    <t>XYZ_C9S00QR9ALN</t>
  </si>
  <si>
    <t>XYZ_AJCQG5QW7QH</t>
  </si>
  <si>
    <t>XYZ_BCSU7QLME8D</t>
  </si>
  <si>
    <t>XYZ_GGV9TBO3LFY</t>
  </si>
  <si>
    <t>XYZ_4LE7TJHQM5X</t>
  </si>
  <si>
    <t>XYZ_1WCXSJKVYKF</t>
  </si>
  <si>
    <t>XYZ_8OLKK3Y3JQV</t>
  </si>
  <si>
    <t>XYZ_787ZKDCUBJ3</t>
  </si>
  <si>
    <t>XYZ_ENIRXEFZH1Z</t>
  </si>
  <si>
    <t>XYZ_3H7HI5WZJFG</t>
  </si>
  <si>
    <t>XYZ_11PYOZ984OX</t>
  </si>
  <si>
    <t>XYZ_B094KRDNJSP</t>
  </si>
  <si>
    <t>XYZ_DOGS9HZ148C</t>
  </si>
  <si>
    <t>XYZ_IH8BPMUQOGY</t>
  </si>
  <si>
    <t>XYZ_4DAOU84GXT0</t>
  </si>
  <si>
    <t>XYZ_9329R9CEMO6</t>
  </si>
  <si>
    <t>XYZ_I676BWGDK2Z</t>
  </si>
  <si>
    <t>XYZ_D5GE6OEVRKT</t>
  </si>
  <si>
    <t>XYZ_9KSO79C6952</t>
  </si>
  <si>
    <t>XYZ_22TM8DZ3OAY</t>
  </si>
  <si>
    <t>XYZ_ISQ8F1HYTH9</t>
  </si>
  <si>
    <t>XYZ_15WEKXDSTV4</t>
  </si>
  <si>
    <t>XYZ_6T8Z11UQUEM</t>
  </si>
  <si>
    <t>XYZ_6KYFFT7K3A7</t>
  </si>
  <si>
    <t>XYZ_FRK8LN8N2Y</t>
  </si>
  <si>
    <t>XYZ_7EOO07T0745</t>
  </si>
  <si>
    <t>XYZ_FSDO7HJFE5A</t>
  </si>
  <si>
    <t>XYZ_9XT57VRKBZ3</t>
  </si>
  <si>
    <t>XYZ_74XI9B2IVBW</t>
  </si>
  <si>
    <t>XYZ_8XDNL7N6IT2</t>
  </si>
  <si>
    <t>XYZ_87816O3BMCZ</t>
  </si>
  <si>
    <t>XYZ_FJJ91PG3HDS</t>
  </si>
  <si>
    <t>XYZ_6ZUPTCBYN1A</t>
  </si>
  <si>
    <t>XYZ_7DU9LQRWN8K</t>
  </si>
  <si>
    <t>XYZ_3TA8MVC0Y2</t>
  </si>
  <si>
    <t>XYZ_950FATPXWQE</t>
  </si>
  <si>
    <t>XYZ_8ETMSYF168X</t>
  </si>
  <si>
    <t>XYZ_H2DP2820YI5</t>
  </si>
  <si>
    <t>XYZ_CJIDRETX5F4</t>
  </si>
  <si>
    <t>XYZ_38COD8W8NPT</t>
  </si>
  <si>
    <t>XYZ_5UDZV55W78G</t>
  </si>
  <si>
    <t>XYZ_3QVJ459O5CS</t>
  </si>
  <si>
    <t>XYZ_5A9UP7CNYHS</t>
  </si>
  <si>
    <t>XYZ_HV0YLQ8TLBD</t>
  </si>
  <si>
    <t>XYZ_6NFOJO2OUAH</t>
  </si>
  <si>
    <t>XYZ_HC6EZJBT4G3</t>
  </si>
  <si>
    <t>XYZ_A3N7VFAIL6Z</t>
  </si>
  <si>
    <t>XYZ_X35KFYRVWQ</t>
  </si>
  <si>
    <t>XYZ_FUJMF6X4U3L</t>
  </si>
  <si>
    <t>XYZ_GS8I9DC3407</t>
  </si>
  <si>
    <t>XYZ_52PT7CQRDXD</t>
  </si>
  <si>
    <t>XYZ_ASX9S60SV57</t>
  </si>
  <si>
    <t>XYZ_5A0HYLIEWUI</t>
  </si>
  <si>
    <t>XYZ_2ANEJXHDUJ9</t>
  </si>
  <si>
    <t>XYZ_563SUD9OZIU</t>
  </si>
  <si>
    <t>XYZ_9F76C1W8CCR</t>
  </si>
  <si>
    <t>XYZ_CGVOBZ4Q9AD</t>
  </si>
  <si>
    <t>XYZ_75Y57HTELQV</t>
  </si>
  <si>
    <t>XYZ_8CEPZP0Z0W5</t>
  </si>
  <si>
    <t>XYZ_2ISVQRDUEGY</t>
  </si>
  <si>
    <t>XYZ_78XBODPCUEW</t>
  </si>
  <si>
    <t>XYZ_7WXRZEP2SPM</t>
  </si>
  <si>
    <t>XYZ_PM8BGT9CBS</t>
  </si>
  <si>
    <t>XYZ_EG6J5O4RS9N</t>
  </si>
  <si>
    <t>XYZ_2D7RUORW0U8</t>
  </si>
  <si>
    <t>XYZ_2UG8VOSOETC</t>
  </si>
  <si>
    <t>XYZ_7GDGV58Y24O</t>
  </si>
  <si>
    <t>XYZ_EKS68USFOOO</t>
  </si>
  <si>
    <t>XYZ_47N8THA3F4X</t>
  </si>
  <si>
    <t>XYZ_5P8VAHYEOZJ</t>
  </si>
  <si>
    <t>XYZ_DNMDX043TQD</t>
  </si>
  <si>
    <t>XYZ_F3ZKXLKX61Q</t>
  </si>
  <si>
    <t>XYZ_6HNY6PX3EOM</t>
  </si>
  <si>
    <t>XYZ_4IIJSJS0B6S</t>
  </si>
  <si>
    <t>XYZ_4D4GGFKD6E5</t>
  </si>
  <si>
    <t>XYZ_BOMQKS333L</t>
  </si>
  <si>
    <t>XYZ_36NHN4IV8OC</t>
  </si>
  <si>
    <t>XYZ_CCAFBVBRJ8G</t>
  </si>
  <si>
    <t>XYZ_1OGFH4OUWCP</t>
  </si>
  <si>
    <t>XYZ_5PYZEQV8C6B</t>
  </si>
  <si>
    <t>XYZ_B5UMLW02DYC</t>
  </si>
  <si>
    <t>XYZ_FRQOI0P52S2</t>
  </si>
  <si>
    <t>XYZ_4CGOKSZ765S</t>
  </si>
  <si>
    <t>XYZ_B7V4C3QMFY3</t>
  </si>
  <si>
    <t>XYZ_31ID0IEH6WP</t>
  </si>
  <si>
    <t>XYZ_D7FPXIHTIQB</t>
  </si>
  <si>
    <t>XYZ_I56JJMWQK7Q</t>
  </si>
  <si>
    <t>XYZ_BE0HTTUX03M</t>
  </si>
  <si>
    <t>XYZ_7FD820D6RIF</t>
  </si>
  <si>
    <t>XYZ_5V9YHZX3MQV</t>
  </si>
  <si>
    <t>XYZ_GDWHJGVAZGZ</t>
  </si>
  <si>
    <t>XYZ_JH35THUYSO4</t>
  </si>
  <si>
    <t>XYZ_15WEOVMGMQZ</t>
  </si>
  <si>
    <t>XYZ_7WDWIT0B867</t>
  </si>
  <si>
    <t>XYZ_NLQP6ZXIG2</t>
  </si>
  <si>
    <t>XYZ_FOACQBQY13F</t>
  </si>
  <si>
    <t>XYZ_4GPUQHFXH6K</t>
  </si>
  <si>
    <t>XYZ_6K4F8D19AIM</t>
  </si>
  <si>
    <t>XYZ_BL98HHXG2A3</t>
  </si>
  <si>
    <t>XYZ_F6DBRHBB6GO</t>
  </si>
  <si>
    <t>XYZ_33XNYTNE9TX</t>
  </si>
  <si>
    <t>XYZ_62ZUIG538UZ</t>
  </si>
  <si>
    <t>XYZ_VEQWJNHHVO</t>
  </si>
  <si>
    <t>XYZ_FLLB29PRXCW</t>
  </si>
  <si>
    <t>XYZ_GMJI65MVXL2</t>
  </si>
  <si>
    <t>XYZ_4SIA9TQKHDO</t>
  </si>
  <si>
    <t>XYZ_JHA6FF7RPOO</t>
  </si>
  <si>
    <t>XYZ_E3ZOL928S0H</t>
  </si>
  <si>
    <t>XYZ_6D67GLKRT1K</t>
  </si>
  <si>
    <t>XYZ_82NKCQ8O0YM</t>
  </si>
  <si>
    <t>XYZ_FDFFUC3KJC9</t>
  </si>
  <si>
    <t>XYZ_JJBG7UR6PY2</t>
  </si>
  <si>
    <t>XYZ_7HSVI0FVCM</t>
  </si>
  <si>
    <t>XYZ_7JU6TV3RYGI</t>
  </si>
  <si>
    <t>XYZ_1YPIP0M3GXC</t>
  </si>
  <si>
    <t>XYZ_KMY9FBH3WS</t>
  </si>
  <si>
    <t>XYZ_DDGF5VIYUWQ</t>
  </si>
  <si>
    <t>XYZ_Z93W3I4C2I</t>
  </si>
  <si>
    <t>XYZ_3RKVA4OOFF0</t>
  </si>
  <si>
    <t>XYZ_BDJCKZOY8QM</t>
  </si>
  <si>
    <t>XYZ_9KPY7E4SKFP</t>
  </si>
  <si>
    <t>XYZ_IRFGXW8BDFL</t>
  </si>
  <si>
    <t>XYZ_HJV50M1RZ5B</t>
  </si>
  <si>
    <t>XYZ_H571AD97C7N</t>
  </si>
  <si>
    <t>XYZ_2KEYHVCEERR</t>
  </si>
  <si>
    <t>XYZ_8QARO1ACPU0</t>
  </si>
  <si>
    <t>XYZ_GF97HZYASGL</t>
  </si>
  <si>
    <t>XYZ_7XY10FNF03D</t>
  </si>
  <si>
    <t>XYZ_DPSC8NLYA0F</t>
  </si>
  <si>
    <t>XYZ_2VFBTE0HOVD</t>
  </si>
  <si>
    <t>XYZ_4V1HL74S4I6</t>
  </si>
  <si>
    <t>XYZ_1TE5OLQ3YLI</t>
  </si>
  <si>
    <t>XYZ_15NG5AJU04R</t>
  </si>
  <si>
    <t>XYZ_4EZHX1NYW9R</t>
  </si>
  <si>
    <t>XYZ_87FG1LJK4FT</t>
  </si>
  <si>
    <t>XYZ_91SOFEZ93D7</t>
  </si>
  <si>
    <t>XYZ_9VKV5D3WURW</t>
  </si>
  <si>
    <t>XYZ_DESD07YSBIP</t>
  </si>
  <si>
    <t>XYZ_DABSDEZO334</t>
  </si>
  <si>
    <t>XYZ_4539TOXW4ND</t>
  </si>
  <si>
    <t>XYZ_ESR16P07OYC</t>
  </si>
  <si>
    <t>XYZ_3P089TOLVZ</t>
  </si>
  <si>
    <t>XYZ_GTR2UG85RLN</t>
  </si>
  <si>
    <t>XYZ_4XA60O55O1V</t>
  </si>
  <si>
    <t>XYZ_82JO7KCD65F</t>
  </si>
  <si>
    <t>XYZ_2WQHNHFMRUX</t>
  </si>
  <si>
    <t>XYZ_7C1KVID2AWG</t>
  </si>
  <si>
    <t>XYZ_4LD25ZTF1PD</t>
  </si>
  <si>
    <t>XYZ_516H5RDFMI5</t>
  </si>
  <si>
    <t>XYZ_4FZCUZJG5QW</t>
  </si>
  <si>
    <t>XYZ_87BXVKALPBG</t>
  </si>
  <si>
    <t>XYZ_C258QWW8KZR</t>
  </si>
  <si>
    <t>XYZ_4P1KMXZFZYY</t>
  </si>
  <si>
    <t>XYZ_BPS5KTC79TC</t>
  </si>
  <si>
    <t>XYZ_99Y5Q6ORVBN</t>
  </si>
  <si>
    <t>XYZ_G8RR7TORBWL</t>
  </si>
  <si>
    <t>XYZ_FFGBTJSKZN7</t>
  </si>
  <si>
    <t>XYZ_6LVYGYZUCDE</t>
  </si>
  <si>
    <t>XYZ_HJ85D4GFCIL</t>
  </si>
  <si>
    <t>XYZ_4Y28AGWPQ00</t>
  </si>
  <si>
    <t>XYZ_5VODYUS9IAY</t>
  </si>
  <si>
    <t>XYZ_H1EMQ82SYR1</t>
  </si>
  <si>
    <t>XYZ_TR4GSBWUYE</t>
  </si>
  <si>
    <t>XYZ_17U6J60Y3VT</t>
  </si>
  <si>
    <t>XYZ_B4CUOQJ147P</t>
  </si>
  <si>
    <t>XYZ_1S3S6LH05S6</t>
  </si>
  <si>
    <t>XYZ_EE07CN1MZSF</t>
  </si>
  <si>
    <t>XYZ_SBOGEULAP4</t>
  </si>
  <si>
    <t>XYZ_BRPX77KYG77</t>
  </si>
  <si>
    <t>XYZ_275J1M1A92G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</si>
</sst>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164" formatCode="0.0%"/>
    <numFmt numFmtId="165" formatCode="0.0"/>
    <numFmt numFmtId="166" formatCode="&quot;$&quot;#,##0"/>
    <numFmt numFmtId="167" formatCode="d\ mmm\ yyyy"/>
    <numFmt numFmtId="168" formatCode="mmm\ yyyy"/>
    <numFmt numFmtId="169" formatCode="mmmm\ yyyy"/>
    <numFmt numFmtId="170" formatCode="mmm&quot; &quot;yyyy"/>
    <numFmt numFmtId="171" formatCode="d\ mmmm\ yyyy"/>
    <numFmt numFmtId="172" formatCode="d&quot;-&quot;mmm&quot;-&quot;yyyy"/>
    <numFmt numFmtId="173" formatCode="mmmm&quot; &quot;yyyy"/>
    <numFmt numFmtId="174" formatCode="dd\ mmm\ yyyy"/>
    <numFmt numFmtId="175" formatCode="[$₹-4009]\ #,##0"/>
    <numFmt numFmtId="176" formatCode="[$$-409]#,##0"/>
    <numFmt numFmtId="177" formatCode="_-[$$-409]* #,##0.00_ ;_-[$$-409]* \-#,##0.00\ ;_-[$$-409]* &quot;-&quot;??_ ;_-@_ "/>
    <numFmt numFmtId="178" formatCode="_ [$₹-4009]\ * #,##0.00_ ;_ [$₹-4009]\ * \-#,##0.00_ ;_ [$₹-4009]\ * &quot;-&quot;??_ ;_ @_ "/>
    <numFmt numFmtId="179" formatCode="_-[$$-409]* #,##0_ ;_-[$$-409]* \-#,##0\ ;_-[$$-409]* &quot;-&quot;??_ ;_-@_ "/>
  </numFmts>
  <fonts count="79">
    <font>
      <sz val="10"/>
      <color rgb="FF000000"/>
      <name val="Calibri"/>
      <scheme val="minor"/>
    </font>
    <font>
      <b/>
      <sz val="10"/>
      <color theme="1"/>
      <name val="Calibri"/>
      <family val="2"/>
      <scheme val="minor"/>
    </font>
    <font>
      <sz val="10"/>
      <color theme="1"/>
      <name val="Calibri"/>
      <family val="2"/>
      <scheme val="minor"/>
    </font>
    <font>
      <sz val="10"/>
      <color theme="1"/>
      <name val="Arial"/>
      <family val="2"/>
    </font>
    <font>
      <sz val="10"/>
      <color rgb="FF222222"/>
      <name val="Roboto"/>
    </font>
    <font>
      <sz val="11"/>
      <color theme="1"/>
      <name val="&quot;Salesforce Sans&quot;"/>
    </font>
    <font>
      <sz val="10"/>
      <color rgb="FF226CAB"/>
      <name val="Calibri"/>
      <family val="2"/>
    </font>
    <font>
      <sz val="10"/>
      <color rgb="FF263238"/>
      <name val="Roboto"/>
    </font>
    <font>
      <b/>
      <sz val="10"/>
      <color rgb="FF000000"/>
      <name val="Roboto"/>
    </font>
    <font>
      <sz val="10"/>
      <color rgb="FF000000"/>
      <name val="Roboto"/>
    </font>
    <font>
      <u/>
      <sz val="11"/>
      <color rgb="FF0000FF"/>
      <name val="&quot;Salesforce Sans&quot;"/>
    </font>
    <font>
      <sz val="10"/>
      <color rgb="FF000000"/>
      <name val="Arial"/>
      <family val="2"/>
    </font>
    <font>
      <u/>
      <sz val="10"/>
      <color rgb="FF0000FF"/>
      <name val="Calibri"/>
      <family val="2"/>
    </font>
    <font>
      <sz val="10"/>
      <color rgb="FF000000"/>
      <name val="Calibri"/>
      <family val="2"/>
    </font>
    <font>
      <u/>
      <sz val="10"/>
      <color rgb="FF0000FF"/>
      <name val="Calibri"/>
      <family val="2"/>
    </font>
    <font>
      <sz val="10"/>
      <color rgb="FF1155CC"/>
      <name val="Arial"/>
      <family val="2"/>
    </font>
    <font>
      <u/>
      <sz val="10"/>
      <color rgb="FF0000FF"/>
      <name val="Calibri"/>
      <family val="2"/>
    </font>
    <font>
      <sz val="10"/>
      <color rgb="FF222222"/>
      <name val="Verdana"/>
      <family val="2"/>
    </font>
    <font>
      <b/>
      <sz val="12"/>
      <color rgb="FF222222"/>
      <name val="&quot;Times New Roman&quot;"/>
    </font>
    <font>
      <u/>
      <sz val="11"/>
      <color rgb="FF0000FF"/>
      <name val="-apple-system"/>
    </font>
    <font>
      <u/>
      <sz val="10"/>
      <color rgb="FF0000FF"/>
      <name val="Calibri"/>
      <family val="2"/>
    </font>
    <font>
      <sz val="10"/>
      <color rgb="FF222222"/>
      <name val="Arial"/>
      <family val="2"/>
    </font>
    <font>
      <u/>
      <sz val="11"/>
      <color rgb="FF0000FF"/>
      <name val="-apple-system"/>
    </font>
    <font>
      <sz val="10"/>
      <color rgb="FF1155CC"/>
      <name val="Calibri"/>
      <family val="2"/>
    </font>
    <font>
      <sz val="11"/>
      <color rgb="FF080707"/>
      <name val="-apple-system"/>
    </font>
    <font>
      <u/>
      <sz val="10"/>
      <color rgb="FF1155CC"/>
      <name val="Roboto"/>
    </font>
    <font>
      <u/>
      <sz val="10"/>
      <color rgb="FF263238"/>
      <name val="Roboto"/>
    </font>
    <font>
      <u/>
      <sz val="11"/>
      <color rgb="FF0000FF"/>
      <name val="-apple-system"/>
    </font>
    <font>
      <u/>
      <sz val="10"/>
      <color theme="1"/>
      <name val="Calibri"/>
      <family val="2"/>
      <scheme val="minor"/>
    </font>
    <font>
      <sz val="10"/>
      <color rgb="FF0E101A"/>
      <name val="Calibri"/>
      <family val="2"/>
    </font>
    <font>
      <u/>
      <sz val="10"/>
      <color rgb="FF1155CC"/>
      <name val="Roboto"/>
    </font>
    <font>
      <sz val="11"/>
      <color theme="1"/>
      <name val="-apple-system"/>
    </font>
    <font>
      <u/>
      <sz val="10"/>
      <color rgb="FF1155CC"/>
      <name val="Roboto"/>
    </font>
    <font>
      <sz val="12"/>
      <color theme="1"/>
      <name val="Calibri"/>
      <family val="2"/>
      <scheme val="minor"/>
    </font>
    <font>
      <sz val="11"/>
      <color rgb="FF008000"/>
      <name val="Inconsolata"/>
    </font>
    <font>
      <b/>
      <sz val="10"/>
      <color rgb="FF222222"/>
      <name val="Roboto"/>
    </font>
    <font>
      <b/>
      <sz val="10"/>
      <color rgb="FF222222"/>
      <name val="Arial"/>
      <family val="2"/>
    </font>
    <font>
      <b/>
      <sz val="10"/>
      <color theme="1"/>
      <name val="Arial"/>
      <family val="2"/>
    </font>
    <font>
      <u/>
      <sz val="10"/>
      <color rgb="FF0000FF"/>
      <name val="&quot;Salesforce Sans&quot;"/>
    </font>
    <font>
      <sz val="11"/>
      <color rgb="FF226CAB"/>
      <name val="Calibri"/>
      <family val="2"/>
    </font>
    <font>
      <sz val="11"/>
      <color rgb="FF428BCA"/>
      <name val="Calibri"/>
      <family val="2"/>
    </font>
    <font>
      <sz val="10"/>
      <color rgb="FF4D4D4D"/>
      <name val="Calibri"/>
      <family val="2"/>
    </font>
    <font>
      <sz val="11"/>
      <color rgb="FF5C5C5C"/>
      <name val="Calibri"/>
      <family val="2"/>
    </font>
    <font>
      <u/>
      <sz val="10"/>
      <color rgb="FF263238"/>
      <name val="Roboto"/>
    </font>
    <font>
      <u/>
      <sz val="11"/>
      <color rgb="FF428BCA"/>
      <name val="Calibri"/>
      <family val="2"/>
    </font>
    <font>
      <sz val="11"/>
      <color rgb="FF080707"/>
      <name val="&quot;Salesforce Sans&quot;"/>
    </font>
    <font>
      <u/>
      <sz val="10"/>
      <color rgb="FF080707"/>
      <name val="Arial"/>
      <family val="2"/>
    </font>
    <font>
      <u/>
      <sz val="10"/>
      <color rgb="FF0000FF"/>
      <name val="&quot;Salesforce Sans&quot;"/>
    </font>
    <font>
      <u/>
      <sz val="10"/>
      <color rgb="FF1155CC"/>
      <name val="Arial"/>
      <family val="2"/>
    </font>
    <font>
      <u/>
      <sz val="10"/>
      <color rgb="FF263238"/>
      <name val="Roboto"/>
    </font>
    <font>
      <u/>
      <sz val="10"/>
      <color rgb="FF0000FF"/>
      <name val="&quot;Salesforce Sans&quot;"/>
    </font>
    <font>
      <u/>
      <sz val="10"/>
      <color rgb="FF1155CC"/>
      <name val="Calibri"/>
      <family val="2"/>
    </font>
    <font>
      <sz val="10"/>
      <color theme="1"/>
      <name val="&quot;Salesforce Sans&quot;"/>
    </font>
    <font>
      <u/>
      <sz val="11"/>
      <color rgb="FF1155CC"/>
      <name val="&quot;Salesforce Sans&quot;"/>
    </font>
    <font>
      <sz val="10"/>
      <color rgb="FF080707"/>
      <name val="&quot;Salesforce Sans&quot;"/>
    </font>
    <font>
      <u/>
      <sz val="10"/>
      <color rgb="FF1155CC"/>
      <name val="Calibri"/>
      <family val="2"/>
    </font>
    <font>
      <b/>
      <u/>
      <sz val="10"/>
      <color rgb="FF080707"/>
      <name val="&quot;Salesforce Sans&quot;"/>
    </font>
    <font>
      <u/>
      <sz val="11"/>
      <color rgb="FF1155CC"/>
      <name val="&quot;Salesforce Sans&quot;"/>
    </font>
    <font>
      <u/>
      <sz val="10"/>
      <color rgb="FF0000FF"/>
      <name val="Calibri"/>
      <family val="2"/>
    </font>
    <font>
      <sz val="9"/>
      <color rgb="FF000000"/>
      <name val="Arial"/>
      <family val="2"/>
    </font>
    <font>
      <u/>
      <sz val="10"/>
      <color rgb="FF0000FF"/>
      <name val="-apple-system"/>
    </font>
    <font>
      <sz val="11"/>
      <color rgb="FF181818"/>
      <name val="-apple-system"/>
    </font>
    <font>
      <u/>
      <sz val="10"/>
      <color rgb="FF1155CC"/>
      <name val="Arial"/>
      <family val="2"/>
    </font>
    <font>
      <u/>
      <sz val="10"/>
      <color rgb="FF0000FF"/>
      <name val="Calibri"/>
      <family val="2"/>
    </font>
    <font>
      <sz val="10"/>
      <color rgb="FF0000FF"/>
      <name val="Calibri"/>
      <family val="2"/>
    </font>
    <font>
      <u/>
      <sz val="10"/>
      <color rgb="FF1155CC"/>
      <name val="-apple-system"/>
    </font>
    <font>
      <u/>
      <sz val="10"/>
      <color rgb="FF1155CC"/>
      <name val="Arial"/>
      <family val="2"/>
    </font>
    <font>
      <b/>
      <sz val="24"/>
      <color theme="1"/>
      <name val="Calibri"/>
      <family val="2"/>
      <scheme val="minor"/>
    </font>
    <font>
      <u/>
      <sz val="10"/>
      <color rgb="FF0000FF"/>
      <name val="Calibri"/>
      <family val="2"/>
    </font>
    <font>
      <u/>
      <sz val="10"/>
      <color rgb="FF1155CC"/>
      <name val="&quot;Salesforce Sans&quot;"/>
    </font>
    <font>
      <u/>
      <sz val="10"/>
      <color rgb="FF080707"/>
      <name val="&quot;Salesforce Sans&quot;"/>
    </font>
    <font>
      <u/>
      <sz val="10"/>
      <color rgb="FF1155CC"/>
      <name val="&quot;Salesforce Sans&quot;"/>
    </font>
    <font>
      <u/>
      <sz val="11"/>
      <color rgb="FF1155CC"/>
      <name val="&quot;Salesforce Sans&quot;"/>
    </font>
    <font>
      <u/>
      <sz val="11"/>
      <color theme="1"/>
      <name val="&quot;Salesforce Sans&quot;"/>
    </font>
    <font>
      <u/>
      <sz val="11"/>
      <color rgb="FF1155CC"/>
      <name val="&quot;Salesforce Sans&quot;"/>
    </font>
    <font>
      <u/>
      <sz val="11"/>
      <color rgb="FF0000FF"/>
      <name val="&quot;Salesforce Sans&quot;"/>
    </font>
    <font>
      <sz val="10"/>
      <color rgb="FF000000"/>
      <name val="Calibri"/>
      <family val="2"/>
      <scheme val="minor"/>
    </font>
    <font>
      <b/>
      <sz val="11"/>
      <color theme="1"/>
      <name val="&quot;Salesforce Sans&quot;"/>
    </font>
    <font>
      <b/>
      <sz val="18"/>
      <color theme="0"/>
      <name val="Calibri"/>
      <family val="2"/>
      <scheme val="minor"/>
    </font>
  </fonts>
  <fills count="12">
    <fill>
      <patternFill patternType="none"/>
    </fill>
    <fill>
      <patternFill patternType="gray125"/>
    </fill>
    <fill>
      <patternFill patternType="solid">
        <fgColor rgb="FFFF9900"/>
        <bgColor rgb="FFFF9900"/>
      </patternFill>
    </fill>
    <fill>
      <patternFill patternType="solid">
        <fgColor rgb="FF4A86E8"/>
        <bgColor rgb="FF4A86E8"/>
      </patternFill>
    </fill>
    <fill>
      <patternFill patternType="solid">
        <fgColor rgb="FFFFFFFF"/>
        <bgColor rgb="FFFFFFFF"/>
      </patternFill>
    </fill>
    <fill>
      <patternFill patternType="solid">
        <fgColor theme="0"/>
        <bgColor theme="0"/>
      </patternFill>
    </fill>
    <fill>
      <patternFill patternType="solid">
        <fgColor rgb="FF00FF00"/>
        <bgColor rgb="FF00FF00"/>
      </patternFill>
    </fill>
    <fill>
      <patternFill patternType="solid">
        <fgColor rgb="FFF3F2F2"/>
        <bgColor rgb="FFF3F2F2"/>
      </patternFill>
    </fill>
    <fill>
      <patternFill patternType="solid">
        <fgColor rgb="FFFFFF00"/>
        <bgColor rgb="FFFFFF00"/>
      </patternFill>
    </fill>
    <fill>
      <patternFill patternType="solid">
        <fgColor theme="4" tint="0.79998168889431442"/>
        <bgColor theme="4" tint="0.79998168889431442"/>
      </patternFill>
    </fill>
    <fill>
      <patternFill patternType="solid">
        <fgColor theme="8" tint="-0.499984740745262"/>
        <bgColor indexed="64"/>
      </patternFill>
    </fill>
    <fill>
      <patternFill patternType="solid">
        <fgColor theme="8" tint="0.39997558519241921"/>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right/>
      <top/>
      <bottom style="thin">
        <color rgb="FF000000"/>
      </bottom>
      <diagonal/>
    </border>
    <border>
      <left/>
      <right style="thin">
        <color rgb="FF000000"/>
      </right>
      <top/>
      <bottom style="thin">
        <color rgb="FF000000"/>
      </bottom>
      <diagonal/>
    </border>
    <border>
      <left/>
      <right/>
      <top/>
      <bottom style="thin">
        <color theme="4" tint="0.3999755851924192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196">
    <xf numFmtId="0" fontId="0" fillId="0" borderId="0" xfId="0"/>
    <xf numFmtId="0" fontId="1" fillId="2" borderId="0" xfId="0" applyFont="1" applyFill="1" applyAlignment="1">
      <alignment horizontal="center"/>
    </xf>
    <xf numFmtId="0" fontId="3" fillId="0" borderId="0" xfId="0" applyFont="1"/>
    <xf numFmtId="0" fontId="3" fillId="0" borderId="1" xfId="0" applyFont="1" applyBorder="1"/>
    <xf numFmtId="0" fontId="4" fillId="4" borderId="0" xfId="0" applyFont="1" applyFill="1"/>
    <xf numFmtId="0" fontId="4" fillId="4" borderId="1" xfId="0" applyFont="1" applyFill="1" applyBorder="1"/>
    <xf numFmtId="0" fontId="2" fillId="0" borderId="0" xfId="0" applyFont="1"/>
    <xf numFmtId="1" fontId="2" fillId="0" borderId="0" xfId="0" applyNumberFormat="1" applyFont="1"/>
    <xf numFmtId="3" fontId="2" fillId="0" borderId="0" xfId="0" applyNumberFormat="1" applyFont="1"/>
    <xf numFmtId="165" fontId="2" fillId="0" borderId="0" xfId="0" applyNumberFormat="1" applyFont="1"/>
    <xf numFmtId="0" fontId="5" fillId="4" borderId="0" xfId="0" applyFont="1" applyFill="1"/>
    <xf numFmtId="0" fontId="1" fillId="0" borderId="0" xfId="0" applyFont="1" applyAlignment="1">
      <alignment horizontal="center"/>
    </xf>
    <xf numFmtId="9" fontId="2" fillId="0" borderId="0" xfId="0" applyNumberFormat="1" applyFont="1"/>
    <xf numFmtId="0" fontId="6" fillId="4" borderId="0" xfId="0" applyFont="1" applyFill="1" applyAlignment="1">
      <alignment horizontal="center"/>
    </xf>
    <xf numFmtId="0" fontId="7" fillId="0" borderId="0" xfId="0" applyFont="1" applyAlignment="1">
      <alignment horizontal="left"/>
    </xf>
    <xf numFmtId="0" fontId="4" fillId="4" borderId="1" xfId="0" applyFont="1" applyFill="1" applyBorder="1" applyAlignment="1">
      <alignment horizontal="right"/>
    </xf>
    <xf numFmtId="0" fontId="9" fillId="4" borderId="1" xfId="0" applyFont="1" applyFill="1" applyBorder="1"/>
    <xf numFmtId="0" fontId="10" fillId="4" borderId="0" xfId="0" applyFont="1" applyFill="1"/>
    <xf numFmtId="0" fontId="12" fillId="0" borderId="0" xfId="0" applyFont="1"/>
    <xf numFmtId="0" fontId="2" fillId="0" borderId="0" xfId="0" applyFont="1" applyAlignment="1">
      <alignment horizontal="left"/>
    </xf>
    <xf numFmtId="0" fontId="2" fillId="0" borderId="0" xfId="0" applyFont="1" applyAlignment="1">
      <alignment horizontal="center"/>
    </xf>
    <xf numFmtId="0" fontId="13" fillId="4" borderId="0" xfId="0" applyFont="1" applyFill="1"/>
    <xf numFmtId="0" fontId="14" fillId="0" borderId="0" xfId="0" applyFont="1" applyAlignment="1">
      <alignment horizontal="center"/>
    </xf>
    <xf numFmtId="0" fontId="15" fillId="4" borderId="0" xfId="0" applyFont="1" applyFill="1" applyAlignment="1">
      <alignment horizontal="center"/>
    </xf>
    <xf numFmtId="0" fontId="16" fillId="0" borderId="0" xfId="0" applyFont="1"/>
    <xf numFmtId="10" fontId="13" fillId="4" borderId="0" xfId="0" applyNumberFormat="1" applyFont="1" applyFill="1"/>
    <xf numFmtId="0" fontId="17" fillId="4" borderId="0" xfId="0" applyFont="1" applyFill="1"/>
    <xf numFmtId="0" fontId="18" fillId="4" borderId="1" xfId="0" applyFont="1" applyFill="1" applyBorder="1"/>
    <xf numFmtId="0" fontId="19" fillId="4" borderId="1" xfId="0" applyFont="1" applyFill="1" applyBorder="1"/>
    <xf numFmtId="3" fontId="4" fillId="4" borderId="1" xfId="0" applyNumberFormat="1" applyFont="1" applyFill="1" applyBorder="1"/>
    <xf numFmtId="167" fontId="4" fillId="4" borderId="1" xfId="0" applyNumberFormat="1" applyFont="1" applyFill="1" applyBorder="1"/>
    <xf numFmtId="0" fontId="20" fillId="0" borderId="1" xfId="0" applyFont="1" applyBorder="1"/>
    <xf numFmtId="0" fontId="21" fillId="4" borderId="0" xfId="0" applyFont="1" applyFill="1"/>
    <xf numFmtId="0" fontId="22" fillId="4" borderId="1" xfId="0" applyFont="1" applyFill="1" applyBorder="1"/>
    <xf numFmtId="0" fontId="23" fillId="4" borderId="0" xfId="0" applyFont="1" applyFill="1"/>
    <xf numFmtId="0" fontId="8" fillId="4" borderId="1" xfId="0" applyFont="1" applyFill="1" applyBorder="1"/>
    <xf numFmtId="4" fontId="9" fillId="4" borderId="1" xfId="0" applyNumberFormat="1" applyFont="1" applyFill="1" applyBorder="1" applyAlignment="1">
      <alignment horizontal="right"/>
    </xf>
    <xf numFmtId="4" fontId="9" fillId="4" borderId="1" xfId="0" applyNumberFormat="1" applyFont="1" applyFill="1" applyBorder="1"/>
    <xf numFmtId="10" fontId="9" fillId="4" borderId="1" xfId="0" applyNumberFormat="1" applyFont="1" applyFill="1" applyBorder="1"/>
    <xf numFmtId="0" fontId="24" fillId="4" borderId="0" xfId="0" applyFont="1" applyFill="1"/>
    <xf numFmtId="0" fontId="25" fillId="4" borderId="1" xfId="0" applyFont="1" applyFill="1" applyBorder="1"/>
    <xf numFmtId="0" fontId="26" fillId="0" borderId="0" xfId="0" applyFont="1" applyAlignment="1">
      <alignment horizontal="left"/>
    </xf>
    <xf numFmtId="0" fontId="9" fillId="4" borderId="2" xfId="0" applyFont="1" applyFill="1" applyBorder="1"/>
    <xf numFmtId="0" fontId="9" fillId="4" borderId="3" xfId="0" applyFont="1" applyFill="1" applyBorder="1"/>
    <xf numFmtId="0" fontId="27" fillId="4" borderId="0" xfId="0" applyFont="1" applyFill="1"/>
    <xf numFmtId="0" fontId="4" fillId="4" borderId="4" xfId="0" applyFont="1" applyFill="1" applyBorder="1"/>
    <xf numFmtId="0" fontId="4" fillId="4" borderId="5" xfId="0" applyFont="1" applyFill="1" applyBorder="1"/>
    <xf numFmtId="0" fontId="28" fillId="0" borderId="0" xfId="0" applyFont="1"/>
    <xf numFmtId="0" fontId="9" fillId="4" borderId="5" xfId="0" applyFont="1" applyFill="1" applyBorder="1"/>
    <xf numFmtId="3" fontId="4" fillId="4" borderId="4" xfId="0" applyNumberFormat="1" applyFont="1" applyFill="1" applyBorder="1"/>
    <xf numFmtId="167" fontId="4" fillId="4" borderId="4" xfId="0" applyNumberFormat="1" applyFont="1" applyFill="1" applyBorder="1"/>
    <xf numFmtId="0" fontId="8" fillId="4" borderId="3" xfId="0" applyFont="1" applyFill="1" applyBorder="1"/>
    <xf numFmtId="3" fontId="9" fillId="4" borderId="5" xfId="0" applyNumberFormat="1" applyFont="1" applyFill="1" applyBorder="1"/>
    <xf numFmtId="10" fontId="9" fillId="4" borderId="5" xfId="0" applyNumberFormat="1" applyFont="1" applyFill="1" applyBorder="1" applyAlignment="1">
      <alignment horizontal="right"/>
    </xf>
    <xf numFmtId="0" fontId="7" fillId="0" borderId="0" xfId="0" applyFont="1" applyAlignment="1">
      <alignment horizontal="center"/>
    </xf>
    <xf numFmtId="10" fontId="9" fillId="4" borderId="5" xfId="0" applyNumberFormat="1" applyFont="1" applyFill="1" applyBorder="1"/>
    <xf numFmtId="0" fontId="4" fillId="4" borderId="5" xfId="0" applyFont="1" applyFill="1" applyBorder="1" applyAlignment="1">
      <alignment horizontal="right"/>
    </xf>
    <xf numFmtId="0" fontId="29" fillId="4" borderId="4" xfId="0" applyFont="1" applyFill="1" applyBorder="1"/>
    <xf numFmtId="0" fontId="9" fillId="4" borderId="6" xfId="0" applyFont="1" applyFill="1" applyBorder="1"/>
    <xf numFmtId="0" fontId="4" fillId="4" borderId="6" xfId="0" applyFont="1" applyFill="1" applyBorder="1"/>
    <xf numFmtId="0" fontId="30" fillId="4" borderId="6" xfId="0" applyFont="1" applyFill="1" applyBorder="1"/>
    <xf numFmtId="0" fontId="31" fillId="4" borderId="1" xfId="0" applyFont="1" applyFill="1" applyBorder="1"/>
    <xf numFmtId="0" fontId="2" fillId="0" borderId="1" xfId="0" applyFont="1" applyBorder="1"/>
    <xf numFmtId="0" fontId="8" fillId="4" borderId="0" xfId="0" applyFont="1" applyFill="1"/>
    <xf numFmtId="10" fontId="9" fillId="4" borderId="0" xfId="0" applyNumberFormat="1" applyFont="1" applyFill="1" applyAlignment="1">
      <alignment horizontal="right"/>
    </xf>
    <xf numFmtId="10" fontId="9" fillId="4" borderId="0" xfId="0" applyNumberFormat="1" applyFont="1" applyFill="1"/>
    <xf numFmtId="0" fontId="9" fillId="4" borderId="0" xfId="0" applyFont="1" applyFill="1"/>
    <xf numFmtId="0" fontId="4" fillId="4" borderId="0" xfId="0" applyFont="1" applyFill="1" applyAlignment="1">
      <alignment horizontal="right"/>
    </xf>
    <xf numFmtId="0" fontId="32" fillId="4" borderId="0" xfId="0" applyFont="1" applyFill="1"/>
    <xf numFmtId="168" fontId="2" fillId="0" borderId="0" xfId="0" applyNumberFormat="1" applyFont="1" applyAlignment="1">
      <alignment horizontal="center"/>
    </xf>
    <xf numFmtId="3" fontId="2" fillId="0" borderId="0" xfId="0" applyNumberFormat="1" applyFont="1" applyAlignment="1">
      <alignment horizontal="center"/>
    </xf>
    <xf numFmtId="1" fontId="2" fillId="0" borderId="0" xfId="0" applyNumberFormat="1" applyFont="1" applyAlignment="1">
      <alignment horizontal="center"/>
    </xf>
    <xf numFmtId="9" fontId="2" fillId="0" borderId="0" xfId="0" applyNumberFormat="1" applyFont="1" applyAlignment="1">
      <alignment horizontal="center"/>
    </xf>
    <xf numFmtId="169" fontId="2" fillId="0" borderId="0" xfId="0" applyNumberFormat="1" applyFont="1" applyAlignment="1">
      <alignment horizontal="center"/>
    </xf>
    <xf numFmtId="164" fontId="2" fillId="0" borderId="0" xfId="0" applyNumberFormat="1" applyFont="1" applyAlignment="1">
      <alignment horizontal="center"/>
    </xf>
    <xf numFmtId="170" fontId="2" fillId="0" borderId="0" xfId="0" applyNumberFormat="1" applyFont="1" applyAlignment="1">
      <alignment horizontal="center"/>
    </xf>
    <xf numFmtId="0" fontId="33" fillId="0" borderId="0" xfId="0" applyFont="1"/>
    <xf numFmtId="4" fontId="2" fillId="0" borderId="0" xfId="0" applyNumberFormat="1" applyFont="1"/>
    <xf numFmtId="0" fontId="34" fillId="4" borderId="0" xfId="0" applyFont="1" applyFill="1"/>
    <xf numFmtId="168" fontId="2" fillId="0" borderId="0" xfId="0" applyNumberFormat="1" applyFont="1"/>
    <xf numFmtId="169" fontId="2" fillId="0" borderId="0" xfId="0" applyNumberFormat="1" applyFont="1"/>
    <xf numFmtId="170" fontId="2" fillId="0" borderId="0" xfId="0" applyNumberFormat="1" applyFont="1"/>
    <xf numFmtId="0" fontId="1" fillId="6" borderId="1" xfId="0" applyFont="1" applyFill="1" applyBorder="1" applyAlignment="1">
      <alignment horizontal="center"/>
    </xf>
    <xf numFmtId="0" fontId="35" fillId="4" borderId="1" xfId="0" applyFont="1" applyFill="1" applyBorder="1" applyAlignment="1">
      <alignment horizontal="center"/>
    </xf>
    <xf numFmtId="169" fontId="36" fillId="4" borderId="1" xfId="0" applyNumberFormat="1" applyFont="1" applyFill="1" applyBorder="1" applyAlignment="1">
      <alignment horizontal="center"/>
    </xf>
    <xf numFmtId="0" fontId="2" fillId="0" borderId="1" xfId="0" applyFont="1" applyBorder="1" applyAlignment="1">
      <alignment horizontal="center"/>
    </xf>
    <xf numFmtId="9" fontId="2" fillId="0" borderId="1" xfId="0" applyNumberFormat="1" applyFont="1" applyBorder="1" applyAlignment="1">
      <alignment horizontal="center"/>
    </xf>
    <xf numFmtId="169" fontId="4" fillId="4" borderId="1" xfId="0" applyNumberFormat="1" applyFont="1" applyFill="1" applyBorder="1" applyAlignment="1">
      <alignment horizontal="center"/>
    </xf>
    <xf numFmtId="0" fontId="4" fillId="4" borderId="1" xfId="0" applyFont="1" applyFill="1" applyBorder="1" applyAlignment="1">
      <alignment horizontal="center"/>
    </xf>
    <xf numFmtId="0" fontId="21" fillId="4" borderId="1" xfId="0" applyFont="1" applyFill="1" applyBorder="1" applyAlignment="1">
      <alignment horizontal="center"/>
    </xf>
    <xf numFmtId="9" fontId="3" fillId="0" borderId="1" xfId="0" applyNumberFormat="1" applyFont="1" applyBorder="1" applyAlignment="1">
      <alignment horizontal="center"/>
    </xf>
    <xf numFmtId="0" fontId="36" fillId="4" borderId="1" xfId="0" applyFont="1" applyFill="1" applyBorder="1" applyAlignment="1">
      <alignment horizontal="center"/>
    </xf>
    <xf numFmtId="9" fontId="37" fillId="0" borderId="1" xfId="0" applyNumberFormat="1" applyFont="1" applyBorder="1" applyAlignment="1">
      <alignment horizontal="center"/>
    </xf>
    <xf numFmtId="169" fontId="35" fillId="4" borderId="1" xfId="0" applyNumberFormat="1" applyFont="1" applyFill="1" applyBorder="1" applyAlignment="1">
      <alignment horizontal="center"/>
    </xf>
    <xf numFmtId="0" fontId="1" fillId="0" borderId="0" xfId="0" applyFont="1"/>
    <xf numFmtId="3" fontId="1" fillId="0" borderId="0" xfId="0" applyNumberFormat="1" applyFont="1"/>
    <xf numFmtId="171" fontId="2" fillId="0" borderId="0" xfId="0" applyNumberFormat="1" applyFont="1"/>
    <xf numFmtId="167" fontId="2" fillId="0" borderId="0" xfId="0" applyNumberFormat="1" applyFont="1"/>
    <xf numFmtId="0" fontId="38" fillId="4" borderId="0" xfId="0" applyFont="1" applyFill="1" applyAlignment="1">
      <alignment horizontal="left" vertical="top"/>
    </xf>
    <xf numFmtId="0" fontId="39" fillId="4" borderId="0" xfId="0" applyFont="1" applyFill="1" applyAlignment="1">
      <alignment horizontal="center"/>
    </xf>
    <xf numFmtId="0" fontId="40" fillId="4" borderId="0" xfId="0" applyFont="1" applyFill="1" applyAlignment="1">
      <alignment horizontal="center"/>
    </xf>
    <xf numFmtId="0" fontId="41" fillId="0" borderId="0" xfId="0" applyFont="1" applyAlignment="1">
      <alignment horizontal="center"/>
    </xf>
    <xf numFmtId="0" fontId="42" fillId="0" borderId="0" xfId="0" applyFont="1" applyAlignment="1">
      <alignment horizontal="center"/>
    </xf>
    <xf numFmtId="0" fontId="43" fillId="0" borderId="0" xfId="0" applyFont="1" applyAlignment="1">
      <alignment horizontal="center"/>
    </xf>
    <xf numFmtId="0" fontId="44" fillId="4" borderId="0" xfId="0" applyFont="1" applyFill="1" applyAlignment="1">
      <alignment horizontal="center" vertical="center"/>
    </xf>
    <xf numFmtId="0" fontId="45" fillId="4" borderId="0" xfId="0" applyFont="1" applyFill="1"/>
    <xf numFmtId="0" fontId="46" fillId="0" borderId="0" xfId="0" applyFont="1" applyAlignment="1">
      <alignment horizontal="center" vertical="top"/>
    </xf>
    <xf numFmtId="0" fontId="47" fillId="4" borderId="0" xfId="0" applyFont="1" applyFill="1" applyAlignment="1">
      <alignment horizontal="center" vertical="top"/>
    </xf>
    <xf numFmtId="0" fontId="48" fillId="4" borderId="0" xfId="0" applyFont="1" applyFill="1" applyAlignment="1">
      <alignment horizontal="center"/>
    </xf>
    <xf numFmtId="0" fontId="49" fillId="4" borderId="0" xfId="0" applyFont="1" applyFill="1" applyAlignment="1">
      <alignment horizontal="center"/>
    </xf>
    <xf numFmtId="0" fontId="45" fillId="4" borderId="0" xfId="0" applyFont="1" applyFill="1" applyAlignment="1">
      <alignment horizontal="center"/>
    </xf>
    <xf numFmtId="0" fontId="50" fillId="7" borderId="0" xfId="0" applyFont="1" applyFill="1" applyAlignment="1">
      <alignment horizontal="center" vertical="top"/>
    </xf>
    <xf numFmtId="0" fontId="51" fillId="0" borderId="0" xfId="0" applyFont="1" applyAlignment="1">
      <alignment horizontal="center"/>
    </xf>
    <xf numFmtId="172" fontId="3" fillId="0" borderId="0" xfId="0" applyNumberFormat="1" applyFont="1" applyAlignment="1">
      <alignment horizontal="right"/>
    </xf>
    <xf numFmtId="0" fontId="5" fillId="4" borderId="0" xfId="0" applyFont="1" applyFill="1" applyAlignment="1">
      <alignment horizontal="right"/>
    </xf>
    <xf numFmtId="0" fontId="21" fillId="4" borderId="0" xfId="0" applyFont="1" applyFill="1" applyAlignment="1">
      <alignment horizontal="center"/>
    </xf>
    <xf numFmtId="0" fontId="52" fillId="4" borderId="0" xfId="0" applyFont="1" applyFill="1" applyAlignment="1">
      <alignment horizontal="center" vertical="top"/>
    </xf>
    <xf numFmtId="0" fontId="13" fillId="4" borderId="0" xfId="0" applyFont="1" applyFill="1" applyAlignment="1">
      <alignment horizontal="center"/>
    </xf>
    <xf numFmtId="0" fontId="53" fillId="4" borderId="0" xfId="0" applyFont="1" applyFill="1"/>
    <xf numFmtId="0" fontId="54" fillId="0" borderId="0" xfId="0" applyFont="1" applyAlignment="1">
      <alignment horizontal="center" vertical="top"/>
    </xf>
    <xf numFmtId="0" fontId="56" fillId="0" borderId="0" xfId="0" applyFont="1" applyAlignment="1">
      <alignment horizontal="center" wrapText="1"/>
    </xf>
    <xf numFmtId="0" fontId="54" fillId="0" borderId="0" xfId="0" applyFont="1" applyAlignment="1">
      <alignment horizontal="center"/>
    </xf>
    <xf numFmtId="0" fontId="57" fillId="4" borderId="0" xfId="0" applyFont="1" applyFill="1"/>
    <xf numFmtId="168" fontId="3" fillId="0" borderId="0" xfId="0" applyNumberFormat="1" applyFont="1" applyAlignment="1">
      <alignment horizontal="right"/>
    </xf>
    <xf numFmtId="0" fontId="58" fillId="0" borderId="0" xfId="0" applyFont="1" applyAlignment="1">
      <alignment horizontal="right"/>
    </xf>
    <xf numFmtId="171" fontId="3" fillId="0" borderId="0" xfId="0" applyNumberFormat="1" applyFont="1" applyAlignment="1">
      <alignment horizontal="right"/>
    </xf>
    <xf numFmtId="0" fontId="3" fillId="0" borderId="0" xfId="0" applyFont="1" applyAlignment="1">
      <alignment horizontal="right"/>
    </xf>
    <xf numFmtId="167" fontId="3" fillId="0" borderId="0" xfId="0" applyNumberFormat="1" applyFont="1" applyAlignment="1">
      <alignment horizontal="right"/>
    </xf>
    <xf numFmtId="0" fontId="59" fillId="4" borderId="0" xfId="0" applyFont="1" applyFill="1" applyAlignment="1">
      <alignment horizontal="center"/>
    </xf>
    <xf numFmtId="0" fontId="60" fillId="5" borderId="0" xfId="0" applyFont="1" applyFill="1" applyAlignment="1">
      <alignment horizontal="center"/>
    </xf>
    <xf numFmtId="0" fontId="61" fillId="4" borderId="0" xfId="0" applyFont="1" applyFill="1" applyAlignment="1">
      <alignment horizontal="center"/>
    </xf>
    <xf numFmtId="173" fontId="2" fillId="0" borderId="0" xfId="0" applyNumberFormat="1" applyFont="1"/>
    <xf numFmtId="173" fontId="3" fillId="0" borderId="0" xfId="0" applyNumberFormat="1" applyFont="1" applyAlignment="1">
      <alignment horizontal="right"/>
    </xf>
    <xf numFmtId="3" fontId="3" fillId="0" borderId="0" xfId="0" applyNumberFormat="1" applyFont="1" applyAlignment="1">
      <alignment horizontal="right"/>
    </xf>
    <xf numFmtId="0" fontId="62" fillId="0" borderId="0" xfId="0" applyFont="1" applyAlignment="1">
      <alignment horizontal="center"/>
    </xf>
    <xf numFmtId="0" fontId="2" fillId="5" borderId="0" xfId="0" applyFont="1" applyFill="1"/>
    <xf numFmtId="0" fontId="63" fillId="0" borderId="0" xfId="0" applyFont="1" applyAlignment="1">
      <alignment horizontal="center"/>
    </xf>
    <xf numFmtId="0" fontId="64" fillId="0" borderId="0" xfId="0" applyFont="1" applyAlignment="1">
      <alignment horizontal="center"/>
    </xf>
    <xf numFmtId="0" fontId="65" fillId="4" borderId="0" xfId="0" applyFont="1" applyFill="1" applyAlignment="1">
      <alignment horizontal="center"/>
    </xf>
    <xf numFmtId="169" fontId="3" fillId="0" borderId="0" xfId="0" applyNumberFormat="1" applyFont="1" applyAlignment="1">
      <alignment horizontal="right"/>
    </xf>
    <xf numFmtId="0" fontId="66" fillId="0" borderId="0" xfId="0" applyFont="1" applyAlignment="1">
      <alignment horizontal="center"/>
    </xf>
    <xf numFmtId="0" fontId="68" fillId="0" borderId="0" xfId="0" applyFont="1"/>
    <xf numFmtId="0" fontId="67" fillId="0" borderId="0" xfId="0" applyFont="1" applyAlignment="1">
      <alignment horizontal="center"/>
    </xf>
    <xf numFmtId="0" fontId="11" fillId="4" borderId="0" xfId="0" applyFont="1" applyFill="1" applyAlignment="1">
      <alignment horizontal="left"/>
    </xf>
    <xf numFmtId="0" fontId="2" fillId="2" borderId="0" xfId="0" applyFont="1" applyFill="1" applyAlignment="1">
      <alignment horizontal="center"/>
    </xf>
    <xf numFmtId="0" fontId="2" fillId="3" borderId="0" xfId="0" applyFont="1" applyFill="1"/>
    <xf numFmtId="0" fontId="67" fillId="0" borderId="0" xfId="0" applyFont="1" applyAlignment="1">
      <alignment horizontal="center" vertical="center"/>
    </xf>
    <xf numFmtId="0" fontId="2" fillId="2" borderId="1" xfId="0" applyFont="1" applyFill="1" applyBorder="1" applyAlignment="1">
      <alignment wrapText="1"/>
    </xf>
    <xf numFmtId="0" fontId="1" fillId="5" borderId="0" xfId="0" applyFont="1" applyFill="1" applyAlignment="1">
      <alignment horizontal="center"/>
    </xf>
    <xf numFmtId="0" fontId="2" fillId="2" borderId="0" xfId="0" applyFont="1" applyFill="1"/>
    <xf numFmtId="0" fontId="2" fillId="8" borderId="0" xfId="0" applyFont="1" applyFill="1"/>
    <xf numFmtId="166" fontId="2" fillId="0" borderId="1" xfId="0" applyNumberFormat="1" applyFont="1" applyBorder="1"/>
    <xf numFmtId="0" fontId="1" fillId="8" borderId="0" xfId="0" applyFont="1" applyFill="1"/>
    <xf numFmtId="0" fontId="37" fillId="0" borderId="0" xfId="0" applyFont="1"/>
    <xf numFmtId="49" fontId="3" fillId="0" borderId="0" xfId="0" applyNumberFormat="1" applyFont="1" applyAlignment="1">
      <alignment horizontal="center"/>
    </xf>
    <xf numFmtId="0" fontId="69" fillId="4" borderId="0" xfId="0" applyFont="1" applyFill="1"/>
    <xf numFmtId="0" fontId="70" fillId="0" borderId="0" xfId="0" applyFont="1"/>
    <xf numFmtId="0" fontId="71" fillId="4" borderId="0" xfId="0" applyFont="1" applyFill="1"/>
    <xf numFmtId="0" fontId="72" fillId="4" borderId="0" xfId="0" applyFont="1" applyFill="1" applyAlignment="1">
      <alignment horizontal="right"/>
    </xf>
    <xf numFmtId="0" fontId="73" fillId="4" borderId="0" xfId="0" applyFont="1" applyFill="1" applyAlignment="1">
      <alignment horizontal="right"/>
    </xf>
    <xf numFmtId="0" fontId="74" fillId="4" borderId="1" xfId="0" applyFont="1" applyFill="1" applyBorder="1"/>
    <xf numFmtId="0" fontId="75" fillId="4" borderId="0" xfId="0" applyFont="1" applyFill="1" applyAlignment="1">
      <alignment horizontal="right"/>
    </xf>
    <xf numFmtId="174" fontId="2" fillId="0" borderId="0" xfId="0" applyNumberFormat="1" applyFont="1"/>
    <xf numFmtId="174" fontId="3" fillId="0" borderId="0" xfId="0" applyNumberFormat="1" applyFont="1" applyAlignment="1">
      <alignment horizontal="right"/>
    </xf>
    <xf numFmtId="49" fontId="2" fillId="0" borderId="0" xfId="0" applyNumberFormat="1" applyFont="1"/>
    <xf numFmtId="49" fontId="3" fillId="0" borderId="0" xfId="0" applyNumberFormat="1" applyFont="1"/>
    <xf numFmtId="49" fontId="55" fillId="0" borderId="0" xfId="0" applyNumberFormat="1" applyFont="1"/>
    <xf numFmtId="49" fontId="2" fillId="5" borderId="0" xfId="0" applyNumberFormat="1" applyFont="1" applyFill="1"/>
    <xf numFmtId="49" fontId="7" fillId="0" borderId="0" xfId="0" applyNumberFormat="1" applyFont="1" applyAlignment="1">
      <alignment horizontal="left"/>
    </xf>
    <xf numFmtId="0" fontId="76" fillId="0" borderId="0" xfId="0" applyFont="1"/>
    <xf numFmtId="175" fontId="2" fillId="0" borderId="0" xfId="0" applyNumberFormat="1" applyFont="1"/>
    <xf numFmtId="175" fontId="3" fillId="0" borderId="0" xfId="0" applyNumberFormat="1" applyFont="1" applyAlignment="1">
      <alignment horizontal="right"/>
    </xf>
    <xf numFmtId="176" fontId="2" fillId="0" borderId="0" xfId="0" applyNumberFormat="1" applyFont="1"/>
    <xf numFmtId="176" fontId="3" fillId="0" borderId="0" xfId="0" applyNumberFormat="1" applyFont="1" applyAlignment="1">
      <alignment horizontal="right"/>
    </xf>
    <xf numFmtId="174" fontId="0" fillId="0" borderId="0" xfId="0" applyNumberFormat="1"/>
    <xf numFmtId="49" fontId="76" fillId="0" borderId="0" xfId="0" applyNumberFormat="1" applyFont="1" applyAlignment="1">
      <alignment horizontal="center" vertical="center"/>
    </xf>
    <xf numFmtId="49" fontId="0" fillId="0" borderId="0" xfId="0" applyNumberFormat="1"/>
    <xf numFmtId="0" fontId="77" fillId="4" borderId="0" xfId="0" applyFont="1" applyFill="1"/>
    <xf numFmtId="49" fontId="1" fillId="0" borderId="0" xfId="0" applyNumberFormat="1" applyFont="1"/>
    <xf numFmtId="0" fontId="0" fillId="0" borderId="0" xfId="0" pivotButton="1"/>
    <xf numFmtId="0" fontId="1" fillId="9" borderId="7" xfId="0" applyFont="1" applyFill="1" applyBorder="1"/>
    <xf numFmtId="0" fontId="1" fillId="0" borderId="7" xfId="0" applyFont="1" applyBorder="1"/>
    <xf numFmtId="176" fontId="0" fillId="0" borderId="0" xfId="0" applyNumberFormat="1"/>
    <xf numFmtId="3" fontId="0" fillId="0" borderId="0" xfId="0" applyNumberFormat="1"/>
    <xf numFmtId="177" fontId="0" fillId="0" borderId="0" xfId="0" applyNumberFormat="1"/>
    <xf numFmtId="176" fontId="1" fillId="0" borderId="7" xfId="0" applyNumberFormat="1" applyFont="1" applyBorder="1"/>
    <xf numFmtId="3" fontId="76" fillId="0" borderId="0" xfId="0" applyNumberFormat="1" applyFont="1"/>
    <xf numFmtId="168" fontId="0" fillId="0" borderId="0" xfId="0" applyNumberFormat="1"/>
    <xf numFmtId="179" fontId="0" fillId="0" borderId="0" xfId="0" applyNumberFormat="1"/>
    <xf numFmtId="1" fontId="0" fillId="0" borderId="0" xfId="0" applyNumberFormat="1"/>
    <xf numFmtId="0" fontId="78" fillId="10" borderId="8" xfId="0" applyFont="1" applyFill="1" applyBorder="1" applyAlignment="1">
      <alignment horizontal="center" vertical="center"/>
    </xf>
    <xf numFmtId="0" fontId="78" fillId="10" borderId="9" xfId="0" applyFont="1" applyFill="1" applyBorder="1" applyAlignment="1">
      <alignment horizontal="center" vertical="center"/>
    </xf>
    <xf numFmtId="0" fontId="78" fillId="10" borderId="10" xfId="0" applyFont="1" applyFill="1" applyBorder="1" applyAlignment="1">
      <alignment horizontal="center" vertical="center"/>
    </xf>
    <xf numFmtId="178" fontId="78" fillId="11" borderId="11" xfId="0" applyNumberFormat="1" applyFont="1" applyFill="1" applyBorder="1" applyAlignment="1">
      <alignment horizontal="center" vertical="center"/>
    </xf>
    <xf numFmtId="178" fontId="78" fillId="11" borderId="12" xfId="0" applyNumberFormat="1" applyFont="1" applyFill="1" applyBorder="1" applyAlignment="1">
      <alignment horizontal="center" vertical="center"/>
    </xf>
    <xf numFmtId="178" fontId="78" fillId="11" borderId="13" xfId="0" applyNumberFormat="1" applyFont="1" applyFill="1" applyBorder="1" applyAlignment="1">
      <alignment horizontal="center" vertical="center"/>
    </xf>
  </cellXfs>
  <cellStyles count="1">
    <cellStyle name="Normal" xfId="0" builtinId="0"/>
  </cellStyles>
  <dxfs count="47">
    <dxf>
      <numFmt numFmtId="179" formatCode="_-[$$-409]* #,##0_ ;_-[$$-409]* \-#,##0\ ;_-[$$-409]* &quot;-&quot;??_ ;_-@_ "/>
    </dxf>
    <dxf>
      <numFmt numFmtId="177" formatCode="_-[$$-409]* #,##0.00_ ;_-[$$-409]* \-#,##0.00\ ;_-[$$-409]* &quot;-&quot;??_ ;_-@_ "/>
    </dxf>
    <dxf>
      <numFmt numFmtId="177" formatCode="_-[$$-409]* #,##0.00_ ;_-[$$-409]* \-#,##0.00\ ;_-[$$-409]* &quot;-&quot;??_ ;_-@_ "/>
    </dxf>
    <dxf>
      <numFmt numFmtId="1" formatCode="0"/>
    </dxf>
    <dxf>
      <numFmt numFmtId="179" formatCode="_-[$$-409]* #,##0_ ;_-[$$-409]* \-#,##0\ ;_-[$$-409]* &quot;-&quot;??_ ;_-@_ "/>
    </dxf>
    <dxf>
      <numFmt numFmtId="179" formatCode="_-[$$-409]* #,##0_ ;_-[$$-409]* \-#,##0\ ;_-[$$-409]* &quot;-&quot;??_ ;_-@_ "/>
    </dxf>
    <dxf>
      <numFmt numFmtId="179" formatCode="_-[$$-409]* #,##0_ ;_-[$$-409]* \-#,##0\ ;_-[$$-409]* &quot;-&quot;??_ ;_-@_ "/>
    </dxf>
    <dxf>
      <numFmt numFmtId="177" formatCode="_-[$$-409]* #,##0.00_ ;_-[$$-409]* \-#,##0.00\ ;_-[$$-409]* &quot;-&quot;??_ ;_-@_ "/>
    </dxf>
    <dxf>
      <numFmt numFmtId="177" formatCode="_-[$$-409]* #,##0.00_ ;_-[$$-409]* \-#,##0.00\ ;_-[$$-409]* &quot;-&quot;??_ ;_-@_ "/>
    </dxf>
    <dxf>
      <numFmt numFmtId="1" formatCode="0"/>
    </dxf>
    <dxf>
      <numFmt numFmtId="179" formatCode="_-[$$-409]* #,##0_ ;_-[$$-409]* \-#,##0\ ;_-[$$-409]* &quot;-&quot;??_ ;_-@_ "/>
    </dxf>
    <dxf>
      <numFmt numFmtId="179" formatCode="_-[$$-409]* #,##0_ ;_-[$$-409]* \-#,##0\ ;_-[$$-409]* &quot;-&quot;??_ ;_-@_ "/>
    </dxf>
    <dxf>
      <numFmt numFmtId="179" formatCode="_-[$$-409]* #,##0_ ;_-[$$-409]* \-#,##0\ ;_-[$$-409]* &quot;-&quot;??_ ;_-@_ "/>
    </dxf>
    <dxf>
      <numFmt numFmtId="177" formatCode="_-[$$-409]* #,##0.00_ ;_-[$$-409]* \-#,##0.00\ ;_-[$$-409]* &quot;-&quot;??_ ;_-@_ "/>
    </dxf>
    <dxf>
      <numFmt numFmtId="177" formatCode="_-[$$-409]* #,##0.00_ ;_-[$$-409]* \-#,##0.00\ ;_-[$$-409]* &quot;-&quot;??_ ;_-@_ "/>
    </dxf>
    <dxf>
      <numFmt numFmtId="1" formatCode="0"/>
    </dxf>
    <dxf>
      <numFmt numFmtId="179" formatCode="_-[$$-409]* #,##0_ ;_-[$$-409]* \-#,##0\ ;_-[$$-409]* &quot;-&quot;??_ ;_-@_ "/>
    </dxf>
    <dxf>
      <numFmt numFmtId="179" formatCode="_-[$$-409]* #,##0_ ;_-[$$-409]* \-#,##0\ ;_-[$$-409]* &quot;-&quot;??_ ;_-@_ "/>
    </dxf>
    <dxf>
      <numFmt numFmtId="177" formatCode="_-[$$-409]* #,##0.00_ ;_-[$$-409]* \-#,##0.00\ ;_-[$$-409]* &quot;-&quot;??_ ;_-@_ "/>
    </dxf>
    <dxf>
      <numFmt numFmtId="177" formatCode="_-[$$-409]* #,##0.00_ ;_-[$$-409]* \-#,##0.00\ ;_-[$$-409]* &quot;-&quot;??_ ;_-@_ "/>
    </dxf>
    <dxf>
      <numFmt numFmtId="179" formatCode="_-[$$-409]* #,##0_ ;_-[$$-409]* \-#,##0\ ;_-[$$-409]* &quot;-&quot;??_ ;_-@_ "/>
    </dxf>
    <dxf>
      <numFmt numFmtId="1" formatCode="0"/>
    </dxf>
    <dxf>
      <numFmt numFmtId="179" formatCode="_-[$$-409]* #,##0_ ;_-[$$-409]* \-#,##0\ ;_-[$$-409]* &quot;-&quot;??_ ;_-@_ "/>
    </dxf>
    <dxf>
      <numFmt numFmtId="179" formatCode="_-[$$-409]* #,##0_ ;_-[$$-409]* \-#,##0\ ;_-[$$-409]* &quot;-&quot;??_ ;_-@_ "/>
    </dxf>
    <dxf>
      <numFmt numFmtId="179" formatCode="_-[$$-409]* #,##0_ ;_-[$$-409]* \-#,##0\ ;_-[$$-409]* &quot;-&quot;??_ ;_-@_ "/>
    </dxf>
    <dxf>
      <numFmt numFmtId="177" formatCode="_-[$$-409]* #,##0.00_ ;_-[$$-409]* \-#,##0.00\ ;_-[$$-409]* &quot;-&quot;??_ ;_-@_ "/>
    </dxf>
    <dxf>
      <numFmt numFmtId="176" formatCode="[$$-409]#,##0"/>
    </dxf>
    <dxf>
      <numFmt numFmtId="0" formatCode="General"/>
    </dxf>
    <dxf>
      <font>
        <b val="0"/>
        <i val="0"/>
        <strike val="0"/>
        <condense val="0"/>
        <extend val="0"/>
        <outline val="0"/>
        <shadow val="0"/>
        <u val="none"/>
        <vertAlign val="baseline"/>
        <sz val="10"/>
        <color theme="1"/>
        <name val="Calibri"/>
        <family val="2"/>
        <scheme val="minor"/>
      </font>
      <numFmt numFmtId="0" formatCode="Genera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rgb="FF000000"/>
        <name val="Calibri"/>
        <family val="2"/>
        <scheme val="minor"/>
      </font>
      <numFmt numFmtId="30" formatCode="@"/>
      <alignment horizontal="center" vertical="center"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4" formatCode="dd\ mmm\ yyyy"/>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74" formatCode="dd\ mmm\ yyyy"/>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6" formatCode="[$$-409]#,##0"/>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175" formatCode="[$₹-4009]\ #,##0"/>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numFmt numFmtId="168" formatCode="mmm\ yyyy"/>
      <alignment horizontal="right" vertical="bottom" textRotation="0" wrapText="0" indent="0" justifyLastLine="0" shrinkToFit="0" readingOrder="0"/>
    </dxf>
    <dxf>
      <font>
        <b val="0"/>
        <i val="0"/>
        <strike val="0"/>
        <condense val="0"/>
        <extend val="0"/>
        <outline val="0"/>
        <shadow val="0"/>
        <u val="none"/>
        <vertAlign val="baseline"/>
        <sz val="10"/>
        <color theme="1"/>
        <name val="Arial"/>
        <family val="2"/>
        <scheme val="none"/>
      </font>
      <numFmt numFmtId="30" formatCode="@"/>
    </dxf>
    <dxf>
      <font>
        <b val="0"/>
        <i val="0"/>
        <strike val="0"/>
        <condense val="0"/>
        <extend val="0"/>
        <outline val="0"/>
        <shadow val="0"/>
        <u val="none"/>
        <vertAlign val="baseline"/>
        <sz val="10"/>
        <color theme="1"/>
        <name val="Arial"/>
        <family val="2"/>
        <scheme val="none"/>
      </font>
      <numFmt numFmtId="30" formatCode="@"/>
    </dxf>
    <dxf>
      <font>
        <b val="0"/>
        <i val="0"/>
        <strike val="0"/>
        <condense val="0"/>
        <extend val="0"/>
        <outline val="0"/>
        <shadow val="0"/>
        <u val="none"/>
        <vertAlign val="baseline"/>
        <sz val="10"/>
        <color theme="1"/>
        <name val="Arial"/>
        <family val="2"/>
        <scheme val="none"/>
      </font>
      <numFmt numFmtId="30" formatCode="@"/>
    </dxf>
    <dxf>
      <font>
        <b val="0"/>
        <i val="0"/>
        <strike val="0"/>
        <condense val="0"/>
        <extend val="0"/>
        <outline val="0"/>
        <shadow val="0"/>
        <u val="none"/>
        <vertAlign val="baseline"/>
        <sz val="10"/>
        <color theme="1"/>
        <name val="Arial"/>
        <family val="2"/>
        <scheme val="none"/>
      </font>
      <numFmt numFmtId="174" formatCode="dd\ mmm\ yyyy"/>
      <alignment horizontal="right" vertical="bottom" textRotation="0" wrapText="0" indent="0" justifyLastLine="0" shrinkToFit="0" readingOrder="0"/>
    </dxf>
    <dxf>
      <font>
        <b/>
        <i val="0"/>
        <strike val="0"/>
        <condense val="0"/>
        <extend val="0"/>
        <outline val="0"/>
        <shadow val="0"/>
        <u val="none"/>
        <vertAlign val="baseline"/>
        <sz val="10"/>
        <color theme="1"/>
        <name val="Calibri"/>
        <family val="2"/>
        <scheme val="minor"/>
      </font>
    </dxf>
    <dxf>
      <font>
        <b/>
        <i val="0"/>
        <color theme="0"/>
        <name val="Calibri Light"/>
        <family val="2"/>
        <scheme val="major"/>
      </font>
      <fill>
        <patternFill patternType="solid">
          <bgColor theme="1" tint="0.34998626667073579"/>
        </patternFill>
      </fill>
    </dxf>
    <dxf>
      <fill>
        <patternFill>
          <bgColor theme="1" tint="0.34998626667073579"/>
        </patternFill>
      </fill>
    </dxf>
  </dxfs>
  <tableStyles count="2" defaultTableStyle="TableStyleMedium2" defaultPivotStyle="PivotStyleLight16">
    <tableStyle name="Invisible" pivot="0" table="0" count="0" xr9:uid="{82B90C17-EA80-4903-B82F-D8D77367946B}"/>
    <tableStyle name="Modified_style_1" pivot="0" table="0" count="8" xr9:uid="{939ECD72-E572-4585-BB37-0AFA25B2A991}">
      <tableStyleElement type="wholeTable" dxfId="46"/>
      <tableStyleElement type="headerRow" dxfId="45"/>
    </tableStyle>
  </tableStyles>
  <extLst>
    <ext xmlns:x14="http://schemas.microsoft.com/office/spreadsheetml/2009/9/main" uri="{46F421CA-312F-682f-3DD2-61675219B42D}">
      <x14:dxfs count="6">
        <dxf>
          <fill>
            <patternFill>
              <bgColor theme="4"/>
            </patternFill>
          </fill>
        </dxf>
        <dxf>
          <fill>
            <patternFill>
              <bgColor theme="4"/>
            </patternFill>
          </fill>
        </dxf>
        <dxf>
          <fill>
            <patternFill>
              <bgColor theme="4"/>
            </patternFill>
          </fill>
        </dxf>
        <dxf>
          <fill>
            <patternFill>
              <bgColor theme="0"/>
            </patternFill>
          </fill>
        </dxf>
        <dxf>
          <fill>
            <patternFill>
              <bgColor theme="4"/>
            </patternFill>
          </fill>
        </dxf>
        <dxf>
          <fill>
            <patternFill>
              <bgColor theme="0"/>
            </patternFill>
          </fill>
        </dxf>
      </x14:dxfs>
    </ext>
    <ext xmlns:x14="http://schemas.microsoft.com/office/spreadsheetml/2009/9/main" uri="{EB79DEF2-80B8-43e5-95BD-54CBDDF9020C}">
      <x14:slicerStyles defaultSlicerStyle="SlicerStyleLight1">
        <x14:slicerStyle name="Modified_style_1">
          <x14:slicerStyleElements>
            <x14:slicerStyleElement type="unselectedItemWithData" dxfId="5"/>
            <x14:slicerStyleElement type="selectedItemWithData" dxfId="4"/>
            <x14:slicerStyleElement type="selectedItemWithNo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1.xml"/><Relationship Id="rId30" Type="http://schemas.microsoft.com/office/2007/relationships/slicerCache" Target="slicerCaches/slicerCache3.xml"/><Relationship Id="rId35"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10 Courses!AgileSales</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Courses &gt;$1K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Courses'!$B$3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Courses'!$A$4:$A$26</c:f>
              <c:strCache>
                <c:ptCount val="22"/>
                <c:pt idx="0">
                  <c:v>PGP Cyber Security</c:v>
                </c:pt>
                <c:pt idx="1">
                  <c:v>P2 Foundation</c:v>
                </c:pt>
                <c:pt idx="2">
                  <c:v>PGP BA</c:v>
                </c:pt>
                <c:pt idx="3">
                  <c:v>PGP PM</c:v>
                </c:pt>
                <c:pt idx="4">
                  <c:v>SAFe for Government</c:v>
                </c:pt>
                <c:pt idx="5">
                  <c:v>ICP-ACC</c:v>
                </c:pt>
                <c:pt idx="6">
                  <c:v>PGP Cloud</c:v>
                </c:pt>
                <c:pt idx="7">
                  <c:v>MBA IU LSBU</c:v>
                </c:pt>
                <c:pt idx="8">
                  <c:v>P2 F&amp;P</c:v>
                </c:pt>
                <c:pt idx="9">
                  <c:v>SAFe RTE</c:v>
                </c:pt>
                <c:pt idx="10">
                  <c:v>ITIL 4</c:v>
                </c:pt>
                <c:pt idx="11">
                  <c:v>PSPO 2</c:v>
                </c:pt>
                <c:pt idx="12">
                  <c:v>PMP</c:v>
                </c:pt>
                <c:pt idx="13">
                  <c:v>Implementing SAFe</c:v>
                </c:pt>
                <c:pt idx="14">
                  <c:v>SAFe SSM</c:v>
                </c:pt>
                <c:pt idx="15">
                  <c:v>CSPO</c:v>
                </c:pt>
                <c:pt idx="16">
                  <c:v>SAFe POPM</c:v>
                </c:pt>
                <c:pt idx="17">
                  <c:v>PSPO</c:v>
                </c:pt>
                <c:pt idx="18">
                  <c:v>PSM 2</c:v>
                </c:pt>
                <c:pt idx="19">
                  <c:v>CSM</c:v>
                </c:pt>
                <c:pt idx="20">
                  <c:v>PSM</c:v>
                </c:pt>
                <c:pt idx="21">
                  <c:v>SAFe Agile</c:v>
                </c:pt>
              </c:strCache>
            </c:strRef>
          </c:cat>
          <c:val>
            <c:numRef>
              <c:f>'Top 10 Courses'!$B$4:$B$26</c:f>
              <c:numCache>
                <c:formatCode>_-[$$-409]* #,##0_ ;_-[$$-409]* \-#,##0\ ;_-[$$-409]* "-"??_ ;_-@_ </c:formatCode>
                <c:ptCount val="22"/>
                <c:pt idx="0">
                  <c:v>1022.1026110856619</c:v>
                </c:pt>
                <c:pt idx="1">
                  <c:v>1073.2249198350894</c:v>
                </c:pt>
                <c:pt idx="2">
                  <c:v>1145.2130096197893</c:v>
                </c:pt>
                <c:pt idx="3">
                  <c:v>1351.3513513513512</c:v>
                </c:pt>
                <c:pt idx="4">
                  <c:v>3401.2826385707745</c:v>
                </c:pt>
                <c:pt idx="5">
                  <c:v>3515.8039395327532</c:v>
                </c:pt>
                <c:pt idx="6">
                  <c:v>3950.9848831882732</c:v>
                </c:pt>
                <c:pt idx="7">
                  <c:v>4234.4251030691712</c:v>
                </c:pt>
                <c:pt idx="8">
                  <c:v>5726.065048098947</c:v>
                </c:pt>
                <c:pt idx="9">
                  <c:v>5783.3256985799371</c:v>
                </c:pt>
                <c:pt idx="10">
                  <c:v>5951.2139257901981</c:v>
                </c:pt>
                <c:pt idx="11">
                  <c:v>6046.72469079249</c:v>
                </c:pt>
                <c:pt idx="12">
                  <c:v>6225.0000000000009</c:v>
                </c:pt>
                <c:pt idx="13">
                  <c:v>7901.9697663765464</c:v>
                </c:pt>
                <c:pt idx="14">
                  <c:v>8876.7979844251058</c:v>
                </c:pt>
                <c:pt idx="15">
                  <c:v>26680.943655519906</c:v>
                </c:pt>
                <c:pt idx="16">
                  <c:v>28702.954649564799</c:v>
                </c:pt>
                <c:pt idx="17">
                  <c:v>33947.984425103154</c:v>
                </c:pt>
                <c:pt idx="18">
                  <c:v>36211.635364177659</c:v>
                </c:pt>
                <c:pt idx="19">
                  <c:v>68139.567109482581</c:v>
                </c:pt>
                <c:pt idx="20">
                  <c:v>69707.627118643999</c:v>
                </c:pt>
                <c:pt idx="21">
                  <c:v>95759.790655061792</c:v>
                </c:pt>
              </c:numCache>
            </c:numRef>
          </c:val>
          <c:extLst>
            <c:ext xmlns:c16="http://schemas.microsoft.com/office/drawing/2014/chart" uri="{C3380CC4-5D6E-409C-BE32-E72D297353CC}">
              <c16:uniqueId val="{00000000-3B76-44D0-81C3-B7CBC00E8D77}"/>
            </c:ext>
          </c:extLst>
        </c:ser>
        <c:dLbls>
          <c:dLblPos val="outEnd"/>
          <c:showLegendKey val="0"/>
          <c:showVal val="1"/>
          <c:showCatName val="0"/>
          <c:showSerName val="0"/>
          <c:showPercent val="0"/>
          <c:showBubbleSize val="0"/>
        </c:dLbls>
        <c:gapWidth val="115"/>
        <c:overlap val="-20"/>
        <c:axId val="780860664"/>
        <c:axId val="780866424"/>
      </c:barChart>
      <c:catAx>
        <c:axId val="7808606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b"/>
        <c:majorGridlines>
          <c:spPr>
            <a:ln w="9525" cap="flat" cmpd="sng" algn="ctr">
              <a:solidFill>
                <a:schemeClr val="lt1">
                  <a:lumMod val="95000"/>
                  <a:alpha val="10000"/>
                </a:schemeClr>
              </a:solidFill>
              <a:round/>
            </a:ln>
            <a:effectLst/>
          </c:spPr>
        </c:majorGridlines>
        <c:numFmt formatCode="[$$-409]#,##0" sourceLinked="0"/>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[Agile_Sales_Project.xlsx]Category wise Sales!AgileSales</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wise Sales Monthly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1"/>
          <c:showVal val="1"/>
          <c:showCatName val="1"/>
          <c:showSerName val="1"/>
          <c:showPercent val="1"/>
          <c:showBubbleSize val="1"/>
          <c:extLst>
            <c:ext xmlns:c15="http://schemas.microsoft.com/office/drawing/2012/chart" uri="{CE6537A1-D6FC-4f65-9D91-7224C49458BB}"/>
          </c:extLst>
        </c:dLbl>
      </c:pivotFmt>
      <c:pivotFmt>
        <c:idx val="1"/>
        <c:dLbl>
          <c:idx val="0"/>
          <c:showLegendKey val="1"/>
          <c:showVal val="1"/>
          <c:showCatName val="1"/>
          <c:showSerName val="1"/>
          <c:showPercent val="1"/>
          <c:showBubbleSize val="1"/>
          <c:extLst>
            <c:ext xmlns:c15="http://schemas.microsoft.com/office/drawing/2012/chart" uri="{CE6537A1-D6FC-4f65-9D91-7224C49458BB}"/>
          </c:extLst>
        </c:dLbl>
      </c:pivotFmt>
      <c:pivotFmt>
        <c:idx val="2"/>
        <c:dLbl>
          <c:idx val="0"/>
          <c:showLegendKey val="1"/>
          <c:showVal val="1"/>
          <c:showCatName val="1"/>
          <c:showSerName val="1"/>
          <c:showPercent val="1"/>
          <c:showBubbleSize val="1"/>
          <c:extLst>
            <c:ext xmlns:c15="http://schemas.microsoft.com/office/drawing/2012/chart" uri="{CE6537A1-D6FC-4f65-9D91-7224C49458BB}"/>
          </c:extLst>
        </c:dLbl>
      </c:pivotFmt>
      <c:pivotFmt>
        <c:idx val="3"/>
        <c:dLbl>
          <c:idx val="0"/>
          <c:showLegendKey val="1"/>
          <c:showVal val="1"/>
          <c:showCatName val="1"/>
          <c:showSerName val="1"/>
          <c:showPercent val="1"/>
          <c:showBubbleSize val="1"/>
          <c:extLst>
            <c:ext xmlns:c15="http://schemas.microsoft.com/office/drawing/2012/chart" uri="{CE6537A1-D6FC-4f65-9D91-7224C49458BB}"/>
          </c:extLst>
        </c:dLbl>
      </c:pivotFmt>
      <c:pivotFmt>
        <c:idx val="4"/>
        <c:dLbl>
          <c:idx val="0"/>
          <c:showLegendKey val="1"/>
          <c:showVal val="1"/>
          <c:showCatName val="1"/>
          <c:showSerName val="1"/>
          <c:showPercent val="1"/>
          <c:showBubbleSize val="1"/>
          <c:extLst>
            <c:ext xmlns:c15="http://schemas.microsoft.com/office/drawing/2012/chart" uri="{CE6537A1-D6FC-4f65-9D91-7224C49458BB}"/>
          </c:extLst>
        </c:dLbl>
      </c:pivotFmt>
      <c:pivotFmt>
        <c:idx val="5"/>
        <c:dLbl>
          <c:idx val="0"/>
          <c:showLegendKey val="1"/>
          <c:showVal val="1"/>
          <c:showCatName val="1"/>
          <c:showSerName val="1"/>
          <c:showPercent val="1"/>
          <c:showBubbleSize val="1"/>
          <c:extLst>
            <c:ext xmlns:c15="http://schemas.microsoft.com/office/drawing/2012/chart" uri="{CE6537A1-D6FC-4f65-9D91-7224C49458BB}"/>
          </c:extLst>
        </c:dLbl>
      </c:pivotFmt>
      <c:pivotFmt>
        <c:idx val="6"/>
        <c:dLbl>
          <c:idx val="0"/>
          <c:showLegendKey val="1"/>
          <c:showVal val="1"/>
          <c:showCatName val="1"/>
          <c:showSerName val="1"/>
          <c:showPercent val="1"/>
          <c:showBubbleSize val="1"/>
          <c:extLst>
            <c:ext xmlns:c15="http://schemas.microsoft.com/office/drawing/2012/chart" uri="{CE6537A1-D6FC-4f65-9D91-7224C49458BB}"/>
          </c:extLst>
        </c:dLbl>
      </c:pivotFmt>
      <c:pivotFmt>
        <c:idx val="7"/>
        <c:dLbl>
          <c:idx val="0"/>
          <c:showLegendKey val="1"/>
          <c:showVal val="1"/>
          <c:showCatName val="1"/>
          <c:showSerName val="1"/>
          <c:showPercent val="1"/>
          <c:showBubbleSize val="1"/>
          <c:extLst>
            <c:ext xmlns:c15="http://schemas.microsoft.com/office/drawing/2012/chart" uri="{CE6537A1-D6FC-4f65-9D91-7224C49458BB}"/>
          </c:extLst>
        </c:dLbl>
      </c:pivotFmt>
      <c:pivotFmt>
        <c:idx val="8"/>
        <c:dLbl>
          <c:idx val="0"/>
          <c:showLegendKey val="1"/>
          <c:showVal val="1"/>
          <c:showCatName val="1"/>
          <c:showSerName val="1"/>
          <c:showPercent val="1"/>
          <c:showBubbleSize val="1"/>
          <c:extLst>
            <c:ext xmlns:c15="http://schemas.microsoft.com/office/drawing/2012/chart" uri="{CE6537A1-D6FC-4f65-9D91-7224C49458BB}"/>
          </c:extLst>
        </c:dLbl>
      </c:pivotFmt>
      <c:pivotFmt>
        <c:idx val="9"/>
        <c:dLbl>
          <c:idx val="0"/>
          <c:showLegendKey val="1"/>
          <c:showVal val="1"/>
          <c:showCatName val="1"/>
          <c:showSerName val="1"/>
          <c:showPercent val="1"/>
          <c:showBubbleSize val="1"/>
          <c:extLst>
            <c:ext xmlns:c15="http://schemas.microsoft.com/office/drawing/2012/chart" uri="{CE6537A1-D6FC-4f65-9D91-7224C49458BB}"/>
          </c:extLst>
        </c:dLbl>
      </c:pivotFmt>
      <c:pivotFmt>
        <c:idx val="10"/>
        <c:dLbl>
          <c:idx val="0"/>
          <c:showLegendKey val="1"/>
          <c:showVal val="1"/>
          <c:showCatName val="1"/>
          <c:showSerName val="1"/>
          <c:showPercent val="1"/>
          <c:showBubbleSize val="1"/>
          <c:extLst>
            <c:ext xmlns:c15="http://schemas.microsoft.com/office/drawing/2012/chart" uri="{CE6537A1-D6FC-4f65-9D91-7224C49458BB}"/>
          </c:extLst>
        </c:dLbl>
      </c:pivotFmt>
      <c:pivotFmt>
        <c:idx val="11"/>
        <c:dLbl>
          <c:idx val="0"/>
          <c:showLegendKey val="1"/>
          <c:showVal val="1"/>
          <c:showCatName val="1"/>
          <c:showSerName val="1"/>
          <c:showPercent val="1"/>
          <c:showBubbleSize val="1"/>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wise Sales'!$B$3:$B$4</c:f>
              <c:strCache>
                <c:ptCount val="1"/>
                <c:pt idx="0">
                  <c:v>Category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Sales'!$B$5:$B$36</c:f>
              <c:numCache>
                <c:formatCode>General</c:formatCode>
                <c:ptCount val="31"/>
                <c:pt idx="0">
                  <c:v>16</c:v>
                </c:pt>
                <c:pt idx="1">
                  <c:v>35</c:v>
                </c:pt>
                <c:pt idx="2">
                  <c:v>39</c:v>
                </c:pt>
                <c:pt idx="3">
                  <c:v>16</c:v>
                </c:pt>
                <c:pt idx="4">
                  <c:v>12</c:v>
                </c:pt>
                <c:pt idx="5">
                  <c:v>8</c:v>
                </c:pt>
                <c:pt idx="6">
                  <c:v>10</c:v>
                </c:pt>
                <c:pt idx="7">
                  <c:v>15</c:v>
                </c:pt>
                <c:pt idx="8">
                  <c:v>11</c:v>
                </c:pt>
                <c:pt idx="9">
                  <c:v>15</c:v>
                </c:pt>
                <c:pt idx="10">
                  <c:v>44</c:v>
                </c:pt>
                <c:pt idx="11">
                  <c:v>14</c:v>
                </c:pt>
                <c:pt idx="12">
                  <c:v>8</c:v>
                </c:pt>
                <c:pt idx="13">
                  <c:v>15</c:v>
                </c:pt>
                <c:pt idx="14">
                  <c:v>18</c:v>
                </c:pt>
                <c:pt idx="15">
                  <c:v>19</c:v>
                </c:pt>
                <c:pt idx="16">
                  <c:v>10</c:v>
                </c:pt>
                <c:pt idx="17">
                  <c:v>10</c:v>
                </c:pt>
                <c:pt idx="18">
                  <c:v>12</c:v>
                </c:pt>
                <c:pt idx="19">
                  <c:v>5</c:v>
                </c:pt>
                <c:pt idx="20">
                  <c:v>12</c:v>
                </c:pt>
                <c:pt idx="21">
                  <c:v>8</c:v>
                </c:pt>
                <c:pt idx="22">
                  <c:v>12</c:v>
                </c:pt>
                <c:pt idx="23">
                  <c:v>5</c:v>
                </c:pt>
                <c:pt idx="24">
                  <c:v>7</c:v>
                </c:pt>
                <c:pt idx="25">
                  <c:v>10</c:v>
                </c:pt>
                <c:pt idx="26">
                  <c:v>5</c:v>
                </c:pt>
                <c:pt idx="27">
                  <c:v>9</c:v>
                </c:pt>
                <c:pt idx="28">
                  <c:v>6</c:v>
                </c:pt>
                <c:pt idx="29">
                  <c:v>6</c:v>
                </c:pt>
                <c:pt idx="30">
                  <c:v>8</c:v>
                </c:pt>
              </c:numCache>
            </c:numRef>
          </c:val>
          <c:extLst>
            <c:ext xmlns:c16="http://schemas.microsoft.com/office/drawing/2014/chart" uri="{C3380CC4-5D6E-409C-BE32-E72D297353CC}">
              <c16:uniqueId val="{00000000-E479-4939-B9A9-9DBCE60E18B4}"/>
            </c:ext>
          </c:extLst>
        </c:ser>
        <c:ser>
          <c:idx val="1"/>
          <c:order val="1"/>
          <c:tx>
            <c:strRef>
              <c:f>'Category wise Sales'!$C$3:$C$4</c:f>
              <c:strCache>
                <c:ptCount val="1"/>
                <c:pt idx="0">
                  <c:v>NonCategory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Sales'!$C$5:$C$36</c:f>
              <c:numCache>
                <c:formatCode>General</c:formatCode>
                <c:ptCount val="31"/>
                <c:pt idx="1">
                  <c:v>3</c:v>
                </c:pt>
                <c:pt idx="2">
                  <c:v>3</c:v>
                </c:pt>
                <c:pt idx="3">
                  <c:v>6</c:v>
                </c:pt>
                <c:pt idx="4">
                  <c:v>7</c:v>
                </c:pt>
                <c:pt idx="5">
                  <c:v>4</c:v>
                </c:pt>
                <c:pt idx="6">
                  <c:v>8</c:v>
                </c:pt>
                <c:pt idx="7">
                  <c:v>7</c:v>
                </c:pt>
                <c:pt idx="8">
                  <c:v>2</c:v>
                </c:pt>
                <c:pt idx="9">
                  <c:v>4</c:v>
                </c:pt>
                <c:pt idx="10">
                  <c:v>11</c:v>
                </c:pt>
                <c:pt idx="11">
                  <c:v>7</c:v>
                </c:pt>
                <c:pt idx="12">
                  <c:v>5</c:v>
                </c:pt>
                <c:pt idx="13">
                  <c:v>4</c:v>
                </c:pt>
                <c:pt idx="14">
                  <c:v>2</c:v>
                </c:pt>
                <c:pt idx="15">
                  <c:v>5</c:v>
                </c:pt>
                <c:pt idx="16">
                  <c:v>5</c:v>
                </c:pt>
                <c:pt idx="17">
                  <c:v>3</c:v>
                </c:pt>
                <c:pt idx="18">
                  <c:v>3</c:v>
                </c:pt>
                <c:pt idx="19">
                  <c:v>5</c:v>
                </c:pt>
                <c:pt idx="20">
                  <c:v>6</c:v>
                </c:pt>
                <c:pt idx="21">
                  <c:v>2</c:v>
                </c:pt>
                <c:pt idx="22">
                  <c:v>4</c:v>
                </c:pt>
                <c:pt idx="23">
                  <c:v>8</c:v>
                </c:pt>
                <c:pt idx="24">
                  <c:v>5</c:v>
                </c:pt>
                <c:pt idx="25">
                  <c:v>3</c:v>
                </c:pt>
                <c:pt idx="26">
                  <c:v>9</c:v>
                </c:pt>
                <c:pt idx="27">
                  <c:v>5</c:v>
                </c:pt>
                <c:pt idx="28">
                  <c:v>7</c:v>
                </c:pt>
                <c:pt idx="29">
                  <c:v>2</c:v>
                </c:pt>
                <c:pt idx="30">
                  <c:v>4</c:v>
                </c:pt>
              </c:numCache>
            </c:numRef>
          </c:val>
          <c:extLst>
            <c:ext xmlns:c16="http://schemas.microsoft.com/office/drawing/2014/chart" uri="{C3380CC4-5D6E-409C-BE32-E72D297353CC}">
              <c16:uniqueId val="{00000001-F2EF-4509-8D4E-0C2A4FB3F0A1}"/>
            </c:ext>
          </c:extLst>
        </c:ser>
        <c:ser>
          <c:idx val="2"/>
          <c:order val="2"/>
          <c:tx>
            <c:strRef>
              <c:f>'Category wise Sales'!$D$3:$D$4</c:f>
              <c:strCache>
                <c:ptCount val="1"/>
                <c:pt idx="0">
                  <c:v>SAFe que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Sales'!$D$5:$D$36</c:f>
              <c:numCache>
                <c:formatCode>General</c:formatCode>
                <c:ptCount val="31"/>
                <c:pt idx="2">
                  <c:v>1</c:v>
                </c:pt>
                <c:pt idx="3">
                  <c:v>11</c:v>
                </c:pt>
                <c:pt idx="4">
                  <c:v>29</c:v>
                </c:pt>
                <c:pt idx="5">
                  <c:v>24</c:v>
                </c:pt>
                <c:pt idx="6">
                  <c:v>21</c:v>
                </c:pt>
                <c:pt idx="7">
                  <c:v>27</c:v>
                </c:pt>
                <c:pt idx="8">
                  <c:v>26</c:v>
                </c:pt>
                <c:pt idx="9">
                  <c:v>25</c:v>
                </c:pt>
                <c:pt idx="10">
                  <c:v>17</c:v>
                </c:pt>
                <c:pt idx="11">
                  <c:v>28</c:v>
                </c:pt>
                <c:pt idx="12">
                  <c:v>32</c:v>
                </c:pt>
                <c:pt idx="13">
                  <c:v>35</c:v>
                </c:pt>
                <c:pt idx="14">
                  <c:v>28</c:v>
                </c:pt>
                <c:pt idx="15">
                  <c:v>31</c:v>
                </c:pt>
                <c:pt idx="16">
                  <c:v>33</c:v>
                </c:pt>
                <c:pt idx="17">
                  <c:v>37</c:v>
                </c:pt>
                <c:pt idx="18">
                  <c:v>37</c:v>
                </c:pt>
                <c:pt idx="19">
                  <c:v>45</c:v>
                </c:pt>
                <c:pt idx="20">
                  <c:v>35</c:v>
                </c:pt>
                <c:pt idx="21">
                  <c:v>29</c:v>
                </c:pt>
                <c:pt idx="22">
                  <c:v>35</c:v>
                </c:pt>
                <c:pt idx="23">
                  <c:v>25</c:v>
                </c:pt>
                <c:pt idx="24">
                  <c:v>44</c:v>
                </c:pt>
                <c:pt idx="25">
                  <c:v>50</c:v>
                </c:pt>
                <c:pt idx="26">
                  <c:v>45</c:v>
                </c:pt>
                <c:pt idx="27">
                  <c:v>51</c:v>
                </c:pt>
                <c:pt idx="28">
                  <c:v>45</c:v>
                </c:pt>
                <c:pt idx="29">
                  <c:v>13</c:v>
                </c:pt>
                <c:pt idx="30">
                  <c:v>14</c:v>
                </c:pt>
              </c:numCache>
            </c:numRef>
          </c:val>
          <c:extLst>
            <c:ext xmlns:c16="http://schemas.microsoft.com/office/drawing/2014/chart" uri="{C3380CC4-5D6E-409C-BE32-E72D297353CC}">
              <c16:uniqueId val="{00000002-F2EF-4509-8D4E-0C2A4FB3F0A1}"/>
            </c:ext>
          </c:extLst>
        </c:ser>
        <c:dLbls>
          <c:showLegendKey val="0"/>
          <c:showVal val="0"/>
          <c:showCatName val="0"/>
          <c:showSerName val="0"/>
          <c:showPercent val="0"/>
          <c:showBubbleSize val="0"/>
        </c:dLbls>
        <c:gapWidth val="150"/>
        <c:overlap val="100"/>
        <c:axId val="780860664"/>
        <c:axId val="780866424"/>
      </c:barChart>
      <c:catAx>
        <c:axId val="780860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0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[Agile_Sales_Project.xlsx]Category wise Sales!AgileSales</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Category wise #Payments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Sales'!$B$3:$B$4</c:f>
              <c:strCache>
                <c:ptCount val="1"/>
                <c:pt idx="0">
                  <c:v>Category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Sales'!$B$5:$B$36</c:f>
              <c:numCache>
                <c:formatCode>General</c:formatCode>
                <c:ptCount val="31"/>
                <c:pt idx="0">
                  <c:v>16</c:v>
                </c:pt>
                <c:pt idx="1">
                  <c:v>35</c:v>
                </c:pt>
                <c:pt idx="2">
                  <c:v>39</c:v>
                </c:pt>
                <c:pt idx="3">
                  <c:v>16</c:v>
                </c:pt>
                <c:pt idx="4">
                  <c:v>12</c:v>
                </c:pt>
                <c:pt idx="5">
                  <c:v>8</c:v>
                </c:pt>
                <c:pt idx="6">
                  <c:v>10</c:v>
                </c:pt>
                <c:pt idx="7">
                  <c:v>15</c:v>
                </c:pt>
                <c:pt idx="8">
                  <c:v>11</c:v>
                </c:pt>
                <c:pt idx="9">
                  <c:v>15</c:v>
                </c:pt>
                <c:pt idx="10">
                  <c:v>44</c:v>
                </c:pt>
                <c:pt idx="11">
                  <c:v>14</c:v>
                </c:pt>
                <c:pt idx="12">
                  <c:v>8</c:v>
                </c:pt>
                <c:pt idx="13">
                  <c:v>15</c:v>
                </c:pt>
                <c:pt idx="14">
                  <c:v>18</c:v>
                </c:pt>
                <c:pt idx="15">
                  <c:v>19</c:v>
                </c:pt>
                <c:pt idx="16">
                  <c:v>10</c:v>
                </c:pt>
                <c:pt idx="17">
                  <c:v>10</c:v>
                </c:pt>
                <c:pt idx="18">
                  <c:v>12</c:v>
                </c:pt>
                <c:pt idx="19">
                  <c:v>5</c:v>
                </c:pt>
                <c:pt idx="20">
                  <c:v>12</c:v>
                </c:pt>
                <c:pt idx="21">
                  <c:v>8</c:v>
                </c:pt>
                <c:pt idx="22">
                  <c:v>12</c:v>
                </c:pt>
                <c:pt idx="23">
                  <c:v>5</c:v>
                </c:pt>
                <c:pt idx="24">
                  <c:v>7</c:v>
                </c:pt>
                <c:pt idx="25">
                  <c:v>10</c:v>
                </c:pt>
                <c:pt idx="26">
                  <c:v>5</c:v>
                </c:pt>
                <c:pt idx="27">
                  <c:v>9</c:v>
                </c:pt>
                <c:pt idx="28">
                  <c:v>6</c:v>
                </c:pt>
                <c:pt idx="29">
                  <c:v>6</c:v>
                </c:pt>
                <c:pt idx="30">
                  <c:v>8</c:v>
                </c:pt>
              </c:numCache>
            </c:numRef>
          </c:val>
          <c:extLst>
            <c:ext xmlns:c16="http://schemas.microsoft.com/office/drawing/2014/chart" uri="{C3380CC4-5D6E-409C-BE32-E72D297353CC}">
              <c16:uniqueId val="{00000000-BA5A-482B-A7EB-6DA448CA8ED0}"/>
            </c:ext>
          </c:extLst>
        </c:ser>
        <c:ser>
          <c:idx val="1"/>
          <c:order val="1"/>
          <c:tx>
            <c:strRef>
              <c:f>'Category wise Sales'!$C$3:$C$4</c:f>
              <c:strCache>
                <c:ptCount val="1"/>
                <c:pt idx="0">
                  <c:v>NonCategory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Sales'!$C$5:$C$36</c:f>
              <c:numCache>
                <c:formatCode>General</c:formatCode>
                <c:ptCount val="31"/>
                <c:pt idx="1">
                  <c:v>3</c:v>
                </c:pt>
                <c:pt idx="2">
                  <c:v>3</c:v>
                </c:pt>
                <c:pt idx="3">
                  <c:v>6</c:v>
                </c:pt>
                <c:pt idx="4">
                  <c:v>7</c:v>
                </c:pt>
                <c:pt idx="5">
                  <c:v>4</c:v>
                </c:pt>
                <c:pt idx="6">
                  <c:v>8</c:v>
                </c:pt>
                <c:pt idx="7">
                  <c:v>7</c:v>
                </c:pt>
                <c:pt idx="8">
                  <c:v>2</c:v>
                </c:pt>
                <c:pt idx="9">
                  <c:v>4</c:v>
                </c:pt>
                <c:pt idx="10">
                  <c:v>11</c:v>
                </c:pt>
                <c:pt idx="11">
                  <c:v>7</c:v>
                </c:pt>
                <c:pt idx="12">
                  <c:v>5</c:v>
                </c:pt>
                <c:pt idx="13">
                  <c:v>4</c:v>
                </c:pt>
                <c:pt idx="14">
                  <c:v>2</c:v>
                </c:pt>
                <c:pt idx="15">
                  <c:v>5</c:v>
                </c:pt>
                <c:pt idx="16">
                  <c:v>5</c:v>
                </c:pt>
                <c:pt idx="17">
                  <c:v>3</c:v>
                </c:pt>
                <c:pt idx="18">
                  <c:v>3</c:v>
                </c:pt>
                <c:pt idx="19">
                  <c:v>5</c:v>
                </c:pt>
                <c:pt idx="20">
                  <c:v>6</c:v>
                </c:pt>
                <c:pt idx="21">
                  <c:v>2</c:v>
                </c:pt>
                <c:pt idx="22">
                  <c:v>4</c:v>
                </c:pt>
                <c:pt idx="23">
                  <c:v>8</c:v>
                </c:pt>
                <c:pt idx="24">
                  <c:v>5</c:v>
                </c:pt>
                <c:pt idx="25">
                  <c:v>3</c:v>
                </c:pt>
                <c:pt idx="26">
                  <c:v>9</c:v>
                </c:pt>
                <c:pt idx="27">
                  <c:v>5</c:v>
                </c:pt>
                <c:pt idx="28">
                  <c:v>7</c:v>
                </c:pt>
                <c:pt idx="29">
                  <c:v>2</c:v>
                </c:pt>
                <c:pt idx="30">
                  <c:v>4</c:v>
                </c:pt>
              </c:numCache>
            </c:numRef>
          </c:val>
          <c:extLst>
            <c:ext xmlns:c16="http://schemas.microsoft.com/office/drawing/2014/chart" uri="{C3380CC4-5D6E-409C-BE32-E72D297353CC}">
              <c16:uniqueId val="{00000001-2B27-413D-8164-1A4D1F7E990C}"/>
            </c:ext>
          </c:extLst>
        </c:ser>
        <c:ser>
          <c:idx val="2"/>
          <c:order val="2"/>
          <c:tx>
            <c:strRef>
              <c:f>'Category wise Sales'!$D$3:$D$4</c:f>
              <c:strCache>
                <c:ptCount val="1"/>
                <c:pt idx="0">
                  <c:v>SAFe que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Sales'!$D$5:$D$36</c:f>
              <c:numCache>
                <c:formatCode>General</c:formatCode>
                <c:ptCount val="31"/>
                <c:pt idx="2">
                  <c:v>1</c:v>
                </c:pt>
                <c:pt idx="3">
                  <c:v>11</c:v>
                </c:pt>
                <c:pt idx="4">
                  <c:v>29</c:v>
                </c:pt>
                <c:pt idx="5">
                  <c:v>24</c:v>
                </c:pt>
                <c:pt idx="6">
                  <c:v>21</c:v>
                </c:pt>
                <c:pt idx="7">
                  <c:v>27</c:v>
                </c:pt>
                <c:pt idx="8">
                  <c:v>26</c:v>
                </c:pt>
                <c:pt idx="9">
                  <c:v>25</c:v>
                </c:pt>
                <c:pt idx="10">
                  <c:v>17</c:v>
                </c:pt>
                <c:pt idx="11">
                  <c:v>28</c:v>
                </c:pt>
                <c:pt idx="12">
                  <c:v>32</c:v>
                </c:pt>
                <c:pt idx="13">
                  <c:v>35</c:v>
                </c:pt>
                <c:pt idx="14">
                  <c:v>28</c:v>
                </c:pt>
                <c:pt idx="15">
                  <c:v>31</c:v>
                </c:pt>
                <c:pt idx="16">
                  <c:v>33</c:v>
                </c:pt>
                <c:pt idx="17">
                  <c:v>37</c:v>
                </c:pt>
                <c:pt idx="18">
                  <c:v>37</c:v>
                </c:pt>
                <c:pt idx="19">
                  <c:v>45</c:v>
                </c:pt>
                <c:pt idx="20">
                  <c:v>35</c:v>
                </c:pt>
                <c:pt idx="21">
                  <c:v>29</c:v>
                </c:pt>
                <c:pt idx="22">
                  <c:v>35</c:v>
                </c:pt>
                <c:pt idx="23">
                  <c:v>25</c:v>
                </c:pt>
                <c:pt idx="24">
                  <c:v>44</c:v>
                </c:pt>
                <c:pt idx="25">
                  <c:v>50</c:v>
                </c:pt>
                <c:pt idx="26">
                  <c:v>45</c:v>
                </c:pt>
                <c:pt idx="27">
                  <c:v>51</c:v>
                </c:pt>
                <c:pt idx="28">
                  <c:v>45</c:v>
                </c:pt>
                <c:pt idx="29">
                  <c:v>13</c:v>
                </c:pt>
                <c:pt idx="30">
                  <c:v>14</c:v>
                </c:pt>
              </c:numCache>
            </c:numRef>
          </c:val>
          <c:extLst>
            <c:ext xmlns:c16="http://schemas.microsoft.com/office/drawing/2014/chart" uri="{C3380CC4-5D6E-409C-BE32-E72D297353CC}">
              <c16:uniqueId val="{00000002-2B27-413D-8164-1A4D1F7E990C}"/>
            </c:ext>
          </c:extLst>
        </c:ser>
        <c:dLbls>
          <c:dLblPos val="outEnd"/>
          <c:showLegendKey val="0"/>
          <c:showVal val="1"/>
          <c:showCatName val="0"/>
          <c:showSerName val="0"/>
          <c:showPercent val="0"/>
          <c:showBubbleSize val="0"/>
        </c:dLbls>
        <c:gapWidth val="100"/>
        <c:overlap val="-24"/>
        <c:axId val="780860664"/>
        <c:axId val="780866424"/>
      </c:barChart>
      <c:catAx>
        <c:axId val="7808606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0860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Lead Sources!AgileSales</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Lead Sources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Lead Sources'!$B$3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Lead Sources'!$A$4:$A$16</c:f>
              <c:strCache>
                <c:ptCount val="12"/>
                <c:pt idx="0">
                  <c:v>refer&amp;earn</c:v>
                </c:pt>
                <c:pt idx="1">
                  <c:v>Request a call</c:v>
                </c:pt>
                <c:pt idx="2">
                  <c:v>course preview</c:v>
                </c:pt>
                <c:pt idx="3">
                  <c:v>na-payment</c:v>
                </c:pt>
                <c:pt idx="4">
                  <c:v>Account Repeat</c:v>
                </c:pt>
                <c:pt idx="5">
                  <c:v>Tollfree</c:v>
                </c:pt>
                <c:pt idx="6">
                  <c:v>course agenda</c:v>
                </c:pt>
                <c:pt idx="7">
                  <c:v>Existing Account</c:v>
                </c:pt>
                <c:pt idx="8">
                  <c:v>chat_initiated</c:v>
                </c:pt>
                <c:pt idx="9">
                  <c:v>Query box</c:v>
                </c:pt>
                <c:pt idx="10">
                  <c:v>Chat_triggered</c:v>
                </c:pt>
                <c:pt idx="11">
                  <c:v>Reference</c:v>
                </c:pt>
              </c:strCache>
            </c:strRef>
          </c:cat>
          <c:val>
            <c:numRef>
              <c:f>'Top Lead Sources'!$B$4:$B$16</c:f>
              <c:numCache>
                <c:formatCode>General</c:formatCode>
                <c:ptCount val="12"/>
                <c:pt idx="0">
                  <c:v>15</c:v>
                </c:pt>
                <c:pt idx="1">
                  <c:v>15</c:v>
                </c:pt>
                <c:pt idx="2">
                  <c:v>17</c:v>
                </c:pt>
                <c:pt idx="3">
                  <c:v>24</c:v>
                </c:pt>
                <c:pt idx="4">
                  <c:v>41</c:v>
                </c:pt>
                <c:pt idx="5">
                  <c:v>66</c:v>
                </c:pt>
                <c:pt idx="6">
                  <c:v>95</c:v>
                </c:pt>
                <c:pt idx="7">
                  <c:v>98</c:v>
                </c:pt>
                <c:pt idx="8">
                  <c:v>145</c:v>
                </c:pt>
                <c:pt idx="9">
                  <c:v>171</c:v>
                </c:pt>
                <c:pt idx="10">
                  <c:v>199</c:v>
                </c:pt>
                <c:pt idx="11">
                  <c:v>498</c:v>
                </c:pt>
              </c:numCache>
            </c:numRef>
          </c:val>
          <c:extLst>
            <c:ext xmlns:c16="http://schemas.microsoft.com/office/drawing/2014/chart" uri="{C3380CC4-5D6E-409C-BE32-E72D297353CC}">
              <c16:uniqueId val="{00000002-C63F-453B-9945-249C46939FAA}"/>
            </c:ext>
          </c:extLst>
        </c:ser>
        <c:dLbls>
          <c:dLblPos val="outEnd"/>
          <c:showLegendKey val="0"/>
          <c:showVal val="1"/>
          <c:showCatName val="0"/>
          <c:showSerName val="0"/>
          <c:showPercent val="0"/>
          <c:showBubbleSize val="0"/>
        </c:dLbls>
        <c:gapWidth val="115"/>
        <c:overlap val="-20"/>
        <c:axId val="909698784"/>
        <c:axId val="909705264"/>
      </c:barChart>
      <c:catAx>
        <c:axId val="909698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705264"/>
        <c:crosses val="autoZero"/>
        <c:auto val="1"/>
        <c:lblAlgn val="ctr"/>
        <c:lblOffset val="100"/>
        <c:noMultiLvlLbl val="0"/>
      </c:catAx>
      <c:valAx>
        <c:axId val="90970526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096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Monthly Achievement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'Monthly Achievement'!$C$74:$C$75</c:f>
              <c:strCache>
                <c:ptCount val="2"/>
                <c:pt idx="0">
                  <c:v>Sum of In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Achievement'!$C$76:$C$109</c:f>
              <c:numCache>
                <c:formatCode>[$$-409]#,##0</c:formatCode>
                <c:ptCount val="34"/>
                <c:pt idx="0">
                  <c:v>3666.0215300045816</c:v>
                </c:pt>
                <c:pt idx="1">
                  <c:v>8594.8236371965177</c:v>
                </c:pt>
                <c:pt idx="3">
                  <c:v>10308.749427393494</c:v>
                </c:pt>
                <c:pt idx="4">
                  <c:v>8237.2652313330273</c:v>
                </c:pt>
                <c:pt idx="5">
                  <c:v>13675.549702244612</c:v>
                </c:pt>
                <c:pt idx="6">
                  <c:v>11852.954649564819</c:v>
                </c:pt>
                <c:pt idx="7">
                  <c:v>14068.941823179111</c:v>
                </c:pt>
                <c:pt idx="8">
                  <c:v>15001.14521300962</c:v>
                </c:pt>
                <c:pt idx="9">
                  <c:v>13012.826385707745</c:v>
                </c:pt>
                <c:pt idx="10">
                  <c:v>15440.563444800733</c:v>
                </c:pt>
                <c:pt idx="11">
                  <c:v>19637.975263399003</c:v>
                </c:pt>
                <c:pt idx="12">
                  <c:v>19443.197434722861</c:v>
                </c:pt>
                <c:pt idx="13">
                  <c:v>14963.353183692165</c:v>
                </c:pt>
                <c:pt idx="14">
                  <c:v>16210.49015116812</c:v>
                </c:pt>
                <c:pt idx="16">
                  <c:v>13944.113605130549</c:v>
                </c:pt>
                <c:pt idx="17">
                  <c:v>15222.113147045344</c:v>
                </c:pt>
                <c:pt idx="18">
                  <c:v>14569.972514887762</c:v>
                </c:pt>
                <c:pt idx="19">
                  <c:v>14639.383875400819</c:v>
                </c:pt>
                <c:pt idx="20">
                  <c:v>15683.623453962437</c:v>
                </c:pt>
                <c:pt idx="21">
                  <c:v>18344.640403114972</c:v>
                </c:pt>
                <c:pt idx="22">
                  <c:v>16029.317453046271</c:v>
                </c:pt>
                <c:pt idx="23">
                  <c:v>12970.934493815852</c:v>
                </c:pt>
                <c:pt idx="24">
                  <c:v>15614.177737059093</c:v>
                </c:pt>
                <c:pt idx="25">
                  <c:v>10299.15254237288</c:v>
                </c:pt>
                <c:pt idx="26">
                  <c:v>16228.366926248282</c:v>
                </c:pt>
                <c:pt idx="27">
                  <c:v>16828.412734768674</c:v>
                </c:pt>
                <c:pt idx="29">
                  <c:v>26181.092533211187</c:v>
                </c:pt>
                <c:pt idx="30">
                  <c:v>19005.691708657814</c:v>
                </c:pt>
                <c:pt idx="31">
                  <c:v>21086.898763169953</c:v>
                </c:pt>
                <c:pt idx="32">
                  <c:v>5967.2583600549706</c:v>
                </c:pt>
                <c:pt idx="33">
                  <c:v>8408.5661933119572</c:v>
                </c:pt>
              </c:numCache>
            </c:numRef>
          </c:val>
          <c:extLst>
            <c:ext xmlns:c16="http://schemas.microsoft.com/office/drawing/2014/chart" uri="{C3380CC4-5D6E-409C-BE32-E72D297353CC}">
              <c16:uniqueId val="{00000000-2C88-4F4F-8F87-C29361273F1B}"/>
            </c:ext>
          </c:extLst>
        </c:ser>
        <c:dLbls>
          <c:showLegendKey val="0"/>
          <c:showVal val="0"/>
          <c:showCatName val="0"/>
          <c:showSerName val="0"/>
          <c:showPercent val="0"/>
          <c:showBubbleSize val="0"/>
        </c:dLbls>
        <c:gapWidth val="219"/>
        <c:overlap val="-27"/>
        <c:axId val="936166200"/>
        <c:axId val="936160440"/>
      </c:barChart>
      <c:lineChart>
        <c:grouping val="standard"/>
        <c:varyColors val="0"/>
        <c:ser>
          <c:idx val="1"/>
          <c:order val="1"/>
          <c:tx>
            <c:strRef>
              <c:f>'Monthly Achievement'!$D$74:$D$75</c:f>
              <c:strCache>
                <c:ptCount val="2"/>
                <c:pt idx="0">
                  <c:v>Target</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Achievement'!$D$76:$D$109</c:f>
              <c:numCache>
                <c:formatCode>#,##0</c:formatCode>
                <c:ptCount val="34"/>
                <c:pt idx="0">
                  <c:v>3061</c:v>
                </c:pt>
                <c:pt idx="1">
                  <c:v>10204</c:v>
                </c:pt>
                <c:pt idx="3">
                  <c:v>10204</c:v>
                </c:pt>
                <c:pt idx="4">
                  <c:v>10204</c:v>
                </c:pt>
                <c:pt idx="5">
                  <c:v>10204</c:v>
                </c:pt>
                <c:pt idx="6">
                  <c:v>10204</c:v>
                </c:pt>
                <c:pt idx="7">
                  <c:v>12093</c:v>
                </c:pt>
                <c:pt idx="8">
                  <c:v>12093</c:v>
                </c:pt>
                <c:pt idx="9">
                  <c:v>12093</c:v>
                </c:pt>
                <c:pt idx="10">
                  <c:v>12093</c:v>
                </c:pt>
                <c:pt idx="11">
                  <c:v>13605</c:v>
                </c:pt>
                <c:pt idx="12">
                  <c:v>13605</c:v>
                </c:pt>
                <c:pt idx="13">
                  <c:v>14292</c:v>
                </c:pt>
                <c:pt idx="14">
                  <c:v>14292</c:v>
                </c:pt>
                <c:pt idx="16">
                  <c:v>14292</c:v>
                </c:pt>
                <c:pt idx="17">
                  <c:v>14292</c:v>
                </c:pt>
                <c:pt idx="18">
                  <c:v>14292</c:v>
                </c:pt>
                <c:pt idx="19">
                  <c:v>14292</c:v>
                </c:pt>
                <c:pt idx="20">
                  <c:v>14292</c:v>
                </c:pt>
                <c:pt idx="21">
                  <c:v>14292</c:v>
                </c:pt>
                <c:pt idx="22">
                  <c:v>15392</c:v>
                </c:pt>
                <c:pt idx="23">
                  <c:v>14700</c:v>
                </c:pt>
                <c:pt idx="24">
                  <c:v>15005</c:v>
                </c:pt>
                <c:pt idx="25">
                  <c:v>15005</c:v>
                </c:pt>
                <c:pt idx="26">
                  <c:v>16125</c:v>
                </c:pt>
                <c:pt idx="27">
                  <c:v>16125</c:v>
                </c:pt>
                <c:pt idx="29">
                  <c:v>17100</c:v>
                </c:pt>
                <c:pt idx="30">
                  <c:v>17100</c:v>
                </c:pt>
                <c:pt idx="31">
                  <c:v>17100</c:v>
                </c:pt>
                <c:pt idx="32">
                  <c:v>18600</c:v>
                </c:pt>
                <c:pt idx="33">
                  <c:v>18600</c:v>
                </c:pt>
              </c:numCache>
            </c:numRef>
          </c:val>
          <c:smooth val="0"/>
          <c:extLst>
            <c:ext xmlns:c16="http://schemas.microsoft.com/office/drawing/2014/chart" uri="{C3380CC4-5D6E-409C-BE32-E72D297353CC}">
              <c16:uniqueId val="{00000001-2C88-4F4F-8F87-C29361273F1B}"/>
            </c:ext>
          </c:extLst>
        </c:ser>
        <c:dLbls>
          <c:showLegendKey val="0"/>
          <c:showVal val="0"/>
          <c:showCatName val="0"/>
          <c:showSerName val="0"/>
          <c:showPercent val="0"/>
          <c:showBubbleSize val="0"/>
        </c:dLbls>
        <c:marker val="1"/>
        <c:smooth val="0"/>
        <c:axId val="936166200"/>
        <c:axId val="936160440"/>
      </c:lineChart>
      <c:catAx>
        <c:axId val="9361662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160440"/>
        <c:crosses val="autoZero"/>
        <c:auto val="1"/>
        <c:lblAlgn val="ctr"/>
        <c:lblOffset val="100"/>
        <c:noMultiLvlLbl val="0"/>
      </c:catAx>
      <c:valAx>
        <c:axId val="936160440"/>
        <c:scaling>
          <c:orientation val="minMax"/>
        </c:scaling>
        <c:delete val="0"/>
        <c:axPos val="l"/>
        <c:majorGridlines>
          <c:spPr>
            <a:ln w="9525" cap="flat" cmpd="sng" algn="ctr">
              <a:solidFill>
                <a:schemeClr val="lt1">
                  <a:lumMod val="95000"/>
                  <a:alpha val="10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36166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[Agile_Sales_Project.xlsx]Monthly Trend!AgileSales</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 Sales Trend - Nov 2020 to May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Trend'!$B$4:$B$16</c:f>
              <c:numCache>
                <c:formatCode>_-[$$-409]* #,##0_ ;_-[$$-409]* \-#,##0\ ;_-[$$-409]* "-"??_ ;_-@_ </c:formatCode>
                <c:ptCount val="12"/>
                <c:pt idx="0">
                  <c:v>50433.95556573521</c:v>
                </c:pt>
                <c:pt idx="1">
                  <c:v>42465.070087036169</c:v>
                </c:pt>
                <c:pt idx="2">
                  <c:v>49332.420980302326</c:v>
                </c:pt>
                <c:pt idx="3">
                  <c:v>32709.596885020626</c:v>
                </c:pt>
                <c:pt idx="4">
                  <c:v>38161.131470453511</c:v>
                </c:pt>
                <c:pt idx="5">
                  <c:v>33345.785616124616</c:v>
                </c:pt>
                <c:pt idx="6">
                  <c:v>29042.143838754004</c:v>
                </c:pt>
                <c:pt idx="7">
                  <c:v>28411.497938616591</c:v>
                </c:pt>
                <c:pt idx="8">
                  <c:v>35252.1530004581</c:v>
                </c:pt>
                <c:pt idx="9">
                  <c:v>29742.34997709575</c:v>
                </c:pt>
                <c:pt idx="10">
                  <c:v>35107.74163994503</c:v>
                </c:pt>
                <c:pt idx="11">
                  <c:v>41633.726523133264</c:v>
                </c:pt>
              </c:numCache>
            </c:numRef>
          </c:val>
          <c:extLst>
            <c:ext xmlns:c16="http://schemas.microsoft.com/office/drawing/2014/chart" uri="{C3380CC4-5D6E-409C-BE32-E72D297353CC}">
              <c16:uniqueId val="{00000000-4E82-440B-B8B3-430EA44028E6}"/>
            </c:ext>
          </c:extLst>
        </c:ser>
        <c:dLbls>
          <c:showLegendKey val="0"/>
          <c:showVal val="0"/>
          <c:showCatName val="0"/>
          <c:showSerName val="0"/>
          <c:showPercent val="0"/>
          <c:showBubbleSize val="0"/>
        </c:dLbls>
        <c:gapWidth val="100"/>
        <c:overlap val="-24"/>
        <c:axId val="735997232"/>
        <c:axId val="736005152"/>
      </c:barChart>
      <c:catAx>
        <c:axId val="73599723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005152"/>
        <c:crosses val="autoZero"/>
        <c:auto val="1"/>
        <c:lblAlgn val="ctr"/>
        <c:lblOffset val="100"/>
        <c:noMultiLvlLbl val="0"/>
      </c:catAx>
      <c:valAx>
        <c:axId val="73600515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599723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[Agile_Sales_Project.xlsx]Quarterly Trend!AgileSales</c:name>
    <c:fmtId val="2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Quarterly Sales Trend - Nov 2020 to May 2023</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'Quarterly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'Quarterly Trend'!$A$4:$A$8</c:f>
              <c:strCache>
                <c:ptCount val="4"/>
                <c:pt idx="0">
                  <c:v>Qtr1</c:v>
                </c:pt>
                <c:pt idx="1">
                  <c:v>Qtr2</c:v>
                </c:pt>
                <c:pt idx="2">
                  <c:v>Qtr3</c:v>
                </c:pt>
                <c:pt idx="3">
                  <c:v>Qtr4</c:v>
                </c:pt>
              </c:strCache>
            </c:strRef>
          </c:cat>
          <c:val>
            <c:numRef>
              <c:f>'Quarterly Trend'!$B$4:$B$8</c:f>
              <c:numCache>
                <c:formatCode>_-[$$-409]* #,##0_ ;_-[$$-409]* \-#,##0\ ;_-[$$-409]* "-"??_ ;_-@_ </c:formatCode>
                <c:ptCount val="4"/>
                <c:pt idx="0">
                  <c:v>141870.704535044</c:v>
                </c:pt>
                <c:pt idx="1">
                  <c:v>102779.27164452604</c:v>
                </c:pt>
                <c:pt idx="2">
                  <c:v>91531.951442968406</c:v>
                </c:pt>
                <c:pt idx="3">
                  <c:v>109455.64590013784</c:v>
                </c:pt>
              </c:numCache>
            </c:numRef>
          </c:val>
          <c:extLst>
            <c:ext xmlns:c16="http://schemas.microsoft.com/office/drawing/2014/chart" uri="{C3380CC4-5D6E-409C-BE32-E72D297353CC}">
              <c16:uniqueId val="{00000000-0436-446A-8922-7E862144AFFF}"/>
            </c:ext>
          </c:extLst>
        </c:ser>
        <c:dLbls>
          <c:showLegendKey val="0"/>
          <c:showVal val="0"/>
          <c:showCatName val="0"/>
          <c:showSerName val="0"/>
          <c:showPercent val="0"/>
          <c:showBubbleSize val="0"/>
        </c:dLbls>
        <c:gapWidth val="100"/>
        <c:overlap val="-24"/>
        <c:axId val="784137072"/>
        <c:axId val="784133832"/>
      </c:barChart>
      <c:catAx>
        <c:axId val="7841370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133832"/>
        <c:crosses val="autoZero"/>
        <c:auto val="1"/>
        <c:lblAlgn val="ctr"/>
        <c:lblOffset val="100"/>
        <c:noMultiLvlLbl val="0"/>
      </c:catAx>
      <c:valAx>
        <c:axId val="784133832"/>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84137072"/>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[Agile_Sales_Project.xlsx]Yearly Trend!AgileSales</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Trend'!$B$3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'Yearly Trend'!$A$4:$A$8</c:f>
              <c:strCache>
                <c:ptCount val="4"/>
                <c:pt idx="0">
                  <c:v>2020</c:v>
                </c:pt>
                <c:pt idx="1">
                  <c:v>2021</c:v>
                </c:pt>
                <c:pt idx="2">
                  <c:v>2022</c:v>
                </c:pt>
                <c:pt idx="3">
                  <c:v>2023</c:v>
                </c:pt>
              </c:strCache>
            </c:strRef>
          </c:cat>
          <c:val>
            <c:numRef>
              <c:f>'Yearly Trend'!$B$4:$B$8</c:f>
              <c:numCache>
                <c:formatCode>_-[$$-409]* #,##0.00_ ;_-[$$-409]* \-#,##0.00\ ;_-[$$-409]* "-"??_ ;_-@_ </c:formatCode>
                <c:ptCount val="4"/>
                <c:pt idx="0">
                  <c:v>12260.845167201103</c:v>
                </c:pt>
                <c:pt idx="1">
                  <c:v>171853.01191021572</c:v>
                </c:pt>
                <c:pt idx="2">
                  <c:v>180874.2088868538</c:v>
                </c:pt>
                <c:pt idx="3">
                  <c:v>80649.507558405865</c:v>
                </c:pt>
              </c:numCache>
            </c:numRef>
          </c:val>
          <c:extLst>
            <c:ext xmlns:c16="http://schemas.microsoft.com/office/drawing/2014/chart" uri="{C3380CC4-5D6E-409C-BE32-E72D297353CC}">
              <c16:uniqueId val="{00000000-386C-4091-89E7-78C5E3E7F6C7}"/>
            </c:ext>
          </c:extLst>
        </c:ser>
        <c:dLbls>
          <c:showLegendKey val="0"/>
          <c:showVal val="0"/>
          <c:showCatName val="0"/>
          <c:showSerName val="0"/>
          <c:showPercent val="0"/>
          <c:showBubbleSize val="0"/>
        </c:dLbls>
        <c:gapWidth val="100"/>
        <c:overlap val="-24"/>
        <c:axId val="732791048"/>
        <c:axId val="732795728"/>
      </c:barChart>
      <c:catAx>
        <c:axId val="7327910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5728"/>
        <c:crosses val="autoZero"/>
        <c:auto val="1"/>
        <c:lblAlgn val="ctr"/>
        <c:lblOffset val="100"/>
        <c:noMultiLvlLbl val="0"/>
      </c:catAx>
      <c:valAx>
        <c:axId val="732795728"/>
        <c:scaling>
          <c:orientation val="minMax"/>
        </c:scaling>
        <c:delete val="0"/>
        <c:axPos val="l"/>
        <c:majorGridlines>
          <c:spPr>
            <a:ln w="9525" cap="flat" cmpd="sng" algn="ctr">
              <a:solidFill>
                <a:schemeClr val="lt1">
                  <a:lumMod val="95000"/>
                  <a:alpha val="10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10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Courses By tickets!AgileSales</c:name>
    <c:fmtId val="2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Courses by #tickets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tickets'!$B$3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Courses By tickets'!$A$4:$A$25</c:f>
              <c:strCache>
                <c:ptCount val="21"/>
                <c:pt idx="0">
                  <c:v>CSM</c:v>
                </c:pt>
                <c:pt idx="1">
                  <c:v>PSM</c:v>
                </c:pt>
                <c:pt idx="2">
                  <c:v>SAFe Agile</c:v>
                </c:pt>
                <c:pt idx="3">
                  <c:v>PSPO</c:v>
                </c:pt>
                <c:pt idx="4">
                  <c:v>PSM 2</c:v>
                </c:pt>
                <c:pt idx="5">
                  <c:v>CSPO</c:v>
                </c:pt>
                <c:pt idx="6">
                  <c:v>SAFe POPM</c:v>
                </c:pt>
                <c:pt idx="7">
                  <c:v>PMP</c:v>
                </c:pt>
                <c:pt idx="8">
                  <c:v>ITIL 4</c:v>
                </c:pt>
                <c:pt idx="9">
                  <c:v>PSPO 2</c:v>
                </c:pt>
                <c:pt idx="10">
                  <c:v>SAFe SSM</c:v>
                </c:pt>
                <c:pt idx="11">
                  <c:v>P2 F&amp;P</c:v>
                </c:pt>
                <c:pt idx="12">
                  <c:v>ICP-ACC</c:v>
                </c:pt>
                <c:pt idx="13">
                  <c:v>SAFe RTE</c:v>
                </c:pt>
                <c:pt idx="14">
                  <c:v>CBAP</c:v>
                </c:pt>
                <c:pt idx="15">
                  <c:v>P2 Foundation</c:v>
                </c:pt>
                <c:pt idx="16">
                  <c:v>PGP Cloud</c:v>
                </c:pt>
                <c:pt idx="17">
                  <c:v>BA Masters</c:v>
                </c:pt>
                <c:pt idx="18">
                  <c:v>ASM</c:v>
                </c:pt>
                <c:pt idx="19">
                  <c:v>AWS Solutions Architect</c:v>
                </c:pt>
                <c:pt idx="20">
                  <c:v>PMI-ACP</c:v>
                </c:pt>
              </c:strCache>
            </c:strRef>
          </c:cat>
          <c:val>
            <c:numRef>
              <c:f>'Top Courses By tickets'!$B$4:$B$25</c:f>
              <c:numCache>
                <c:formatCode>0</c:formatCode>
                <c:ptCount val="21"/>
                <c:pt idx="0">
                  <c:v>297</c:v>
                </c:pt>
                <c:pt idx="1">
                  <c:v>282</c:v>
                </c:pt>
                <c:pt idx="2">
                  <c:v>197</c:v>
                </c:pt>
                <c:pt idx="3">
                  <c:v>141</c:v>
                </c:pt>
                <c:pt idx="4">
                  <c:v>132</c:v>
                </c:pt>
                <c:pt idx="5">
                  <c:v>120</c:v>
                </c:pt>
                <c:pt idx="6">
                  <c:v>59</c:v>
                </c:pt>
                <c:pt idx="7">
                  <c:v>30</c:v>
                </c:pt>
                <c:pt idx="8">
                  <c:v>24</c:v>
                </c:pt>
                <c:pt idx="9">
                  <c:v>22</c:v>
                </c:pt>
                <c:pt idx="10">
                  <c:v>18</c:v>
                </c:pt>
                <c:pt idx="11">
                  <c:v>13</c:v>
                </c:pt>
                <c:pt idx="12">
                  <c:v>10</c:v>
                </c:pt>
                <c:pt idx="13">
                  <c:v>9</c:v>
                </c:pt>
                <c:pt idx="14">
                  <c:v>5</c:v>
                </c:pt>
                <c:pt idx="15">
                  <c:v>4</c:v>
                </c:pt>
                <c:pt idx="16">
                  <c:v>4</c:v>
                </c:pt>
                <c:pt idx="17">
                  <c:v>3</c:v>
                </c:pt>
                <c:pt idx="18">
                  <c:v>3</c:v>
                </c:pt>
                <c:pt idx="19">
                  <c:v>3</c:v>
                </c:pt>
                <c:pt idx="20">
                  <c:v>3</c:v>
                </c:pt>
              </c:numCache>
            </c:numRef>
          </c:val>
          <c:smooth val="0"/>
          <c:extLst>
            <c:ext xmlns:c16="http://schemas.microsoft.com/office/drawing/2014/chart" uri="{C3380CC4-5D6E-409C-BE32-E72D297353CC}">
              <c16:uniqueId val="{00000000-9D8F-47E5-BA04-FE0480D90C1B}"/>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Courses By Revenue!AgileSales</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Courses by Revenue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Revenue'!$B$3</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solidFill>
                <a:schemeClr val="bg1"/>
              </a:soli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Courses By Revenue'!$A$4:$A$26</c:f>
              <c:strCache>
                <c:ptCount val="22"/>
                <c:pt idx="0">
                  <c:v>SAFe Agile</c:v>
                </c:pt>
                <c:pt idx="1">
                  <c:v>PSM</c:v>
                </c:pt>
                <c:pt idx="2">
                  <c:v>CSM</c:v>
                </c:pt>
                <c:pt idx="3">
                  <c:v>PSM 2</c:v>
                </c:pt>
                <c:pt idx="4">
                  <c:v>PSPO</c:v>
                </c:pt>
                <c:pt idx="5">
                  <c:v>SAFe POPM</c:v>
                </c:pt>
                <c:pt idx="6">
                  <c:v>CSPO</c:v>
                </c:pt>
                <c:pt idx="7">
                  <c:v>SAFe SSM</c:v>
                </c:pt>
                <c:pt idx="8">
                  <c:v>Implementing SAFe</c:v>
                </c:pt>
                <c:pt idx="9">
                  <c:v>PMP</c:v>
                </c:pt>
                <c:pt idx="10">
                  <c:v>PSPO 2</c:v>
                </c:pt>
                <c:pt idx="11">
                  <c:v>ITIL 4</c:v>
                </c:pt>
                <c:pt idx="12">
                  <c:v>SAFe RTE</c:v>
                </c:pt>
                <c:pt idx="13">
                  <c:v>P2 F&amp;P</c:v>
                </c:pt>
                <c:pt idx="14">
                  <c:v>MBA IU LSBU</c:v>
                </c:pt>
                <c:pt idx="15">
                  <c:v>PGP Cloud</c:v>
                </c:pt>
                <c:pt idx="16">
                  <c:v>ICP-ACC</c:v>
                </c:pt>
                <c:pt idx="17">
                  <c:v>SAFe for Government</c:v>
                </c:pt>
                <c:pt idx="18">
                  <c:v>PGP PM</c:v>
                </c:pt>
                <c:pt idx="19">
                  <c:v>PGP BA</c:v>
                </c:pt>
                <c:pt idx="20">
                  <c:v>P2 Foundation</c:v>
                </c:pt>
                <c:pt idx="21">
                  <c:v>PGP Cyber Security</c:v>
                </c:pt>
              </c:strCache>
            </c:strRef>
          </c:cat>
          <c:val>
            <c:numRef>
              <c:f>'Top Courses By Revenue'!$B$4:$B$26</c:f>
              <c:numCache>
                <c:formatCode>_-[$$-409]* #,##0_ ;_-[$$-409]* \-#,##0\ ;_-[$$-409]* "-"??_ ;_-@_ </c:formatCode>
                <c:ptCount val="22"/>
                <c:pt idx="0">
                  <c:v>95759.790655061792</c:v>
                </c:pt>
                <c:pt idx="1">
                  <c:v>69707.627118643999</c:v>
                </c:pt>
                <c:pt idx="2">
                  <c:v>68139.567109482581</c:v>
                </c:pt>
                <c:pt idx="3">
                  <c:v>36211.635364177659</c:v>
                </c:pt>
                <c:pt idx="4">
                  <c:v>33947.984425103154</c:v>
                </c:pt>
                <c:pt idx="5">
                  <c:v>28702.954649564799</c:v>
                </c:pt>
                <c:pt idx="6">
                  <c:v>26680.943655519906</c:v>
                </c:pt>
                <c:pt idx="7">
                  <c:v>8876.7979844251058</c:v>
                </c:pt>
                <c:pt idx="8">
                  <c:v>7901.9697663765464</c:v>
                </c:pt>
                <c:pt idx="9">
                  <c:v>6225.0000000000009</c:v>
                </c:pt>
                <c:pt idx="10">
                  <c:v>6046.72469079249</c:v>
                </c:pt>
                <c:pt idx="11">
                  <c:v>5951.2139257901981</c:v>
                </c:pt>
                <c:pt idx="12">
                  <c:v>5783.3256985799371</c:v>
                </c:pt>
                <c:pt idx="13">
                  <c:v>5726.065048098947</c:v>
                </c:pt>
                <c:pt idx="14">
                  <c:v>4234.4251030691712</c:v>
                </c:pt>
                <c:pt idx="15">
                  <c:v>3950.9848831882732</c:v>
                </c:pt>
                <c:pt idx="16">
                  <c:v>3515.8039395327532</c:v>
                </c:pt>
                <c:pt idx="17">
                  <c:v>3401.2826385707745</c:v>
                </c:pt>
                <c:pt idx="18">
                  <c:v>1351.3513513513512</c:v>
                </c:pt>
                <c:pt idx="19">
                  <c:v>1145.2130096197893</c:v>
                </c:pt>
                <c:pt idx="20">
                  <c:v>1073.2249198350894</c:v>
                </c:pt>
                <c:pt idx="21">
                  <c:v>1022.1026110856619</c:v>
                </c:pt>
              </c:numCache>
            </c:numRef>
          </c:val>
          <c:smooth val="0"/>
          <c:extLst>
            <c:ext xmlns:c16="http://schemas.microsoft.com/office/drawing/2014/chart" uri="{C3380CC4-5D6E-409C-BE32-E72D297353CC}">
              <c16:uniqueId val="{00000000-6C8D-4ACA-8038-AC4020807523}"/>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lt1">
                  <a:lumMod val="95000"/>
                  <a:alpha val="10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Monthly Achievement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'Monthly Achievement'!$C$74:$C$75</c:f>
              <c:strCache>
                <c:ptCount val="2"/>
                <c:pt idx="0">
                  <c:v>Sum of In $</c:v>
                </c:pt>
              </c:strCache>
            </c:strRef>
          </c:tx>
          <c:spPr>
            <a:solidFill>
              <a:schemeClr val="accent1"/>
            </a:solidFill>
            <a:ln>
              <a:noFill/>
            </a:ln>
            <a:effectLst/>
          </c:spPr>
          <c:invertIfNegative val="0"/>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Achievement'!$C$76:$C$109</c:f>
              <c:numCache>
                <c:formatCode>[$$-409]#,##0</c:formatCode>
                <c:ptCount val="34"/>
                <c:pt idx="0">
                  <c:v>3666.0215300045816</c:v>
                </c:pt>
                <c:pt idx="1">
                  <c:v>8594.8236371965177</c:v>
                </c:pt>
                <c:pt idx="3">
                  <c:v>10308.749427393494</c:v>
                </c:pt>
                <c:pt idx="4">
                  <c:v>8237.2652313330273</c:v>
                </c:pt>
                <c:pt idx="5">
                  <c:v>13675.549702244612</c:v>
                </c:pt>
                <c:pt idx="6">
                  <c:v>11852.954649564819</c:v>
                </c:pt>
                <c:pt idx="7">
                  <c:v>14068.941823179111</c:v>
                </c:pt>
                <c:pt idx="8">
                  <c:v>15001.14521300962</c:v>
                </c:pt>
                <c:pt idx="9">
                  <c:v>13012.826385707745</c:v>
                </c:pt>
                <c:pt idx="10">
                  <c:v>15440.563444800733</c:v>
                </c:pt>
                <c:pt idx="11">
                  <c:v>19637.975263399003</c:v>
                </c:pt>
                <c:pt idx="12">
                  <c:v>19443.197434722861</c:v>
                </c:pt>
                <c:pt idx="13">
                  <c:v>14963.353183692165</c:v>
                </c:pt>
                <c:pt idx="14">
                  <c:v>16210.49015116812</c:v>
                </c:pt>
                <c:pt idx="16">
                  <c:v>13944.113605130549</c:v>
                </c:pt>
                <c:pt idx="17">
                  <c:v>15222.113147045344</c:v>
                </c:pt>
                <c:pt idx="18">
                  <c:v>14569.972514887762</c:v>
                </c:pt>
                <c:pt idx="19">
                  <c:v>14639.383875400819</c:v>
                </c:pt>
                <c:pt idx="20">
                  <c:v>15683.623453962437</c:v>
                </c:pt>
                <c:pt idx="21">
                  <c:v>18344.640403114972</c:v>
                </c:pt>
                <c:pt idx="22">
                  <c:v>16029.317453046271</c:v>
                </c:pt>
                <c:pt idx="23">
                  <c:v>12970.934493815852</c:v>
                </c:pt>
                <c:pt idx="24">
                  <c:v>15614.177737059093</c:v>
                </c:pt>
                <c:pt idx="25">
                  <c:v>10299.15254237288</c:v>
                </c:pt>
                <c:pt idx="26">
                  <c:v>16228.366926248282</c:v>
                </c:pt>
                <c:pt idx="27">
                  <c:v>16828.412734768674</c:v>
                </c:pt>
                <c:pt idx="29">
                  <c:v>26181.092533211187</c:v>
                </c:pt>
                <c:pt idx="30">
                  <c:v>19005.691708657814</c:v>
                </c:pt>
                <c:pt idx="31">
                  <c:v>21086.898763169953</c:v>
                </c:pt>
                <c:pt idx="32">
                  <c:v>5967.2583600549706</c:v>
                </c:pt>
                <c:pt idx="33">
                  <c:v>8408.5661933119572</c:v>
                </c:pt>
              </c:numCache>
            </c:numRef>
          </c:val>
          <c:extLst>
            <c:ext xmlns:c16="http://schemas.microsoft.com/office/drawing/2014/chart" uri="{C3380CC4-5D6E-409C-BE32-E72D297353CC}">
              <c16:uniqueId val="{00000000-6A2F-4559-B721-6CDA6088D17A}"/>
            </c:ext>
          </c:extLst>
        </c:ser>
        <c:dLbls>
          <c:showLegendKey val="0"/>
          <c:showVal val="0"/>
          <c:showCatName val="0"/>
          <c:showSerName val="0"/>
          <c:showPercent val="0"/>
          <c:showBubbleSize val="0"/>
        </c:dLbls>
        <c:gapWidth val="219"/>
        <c:overlap val="-27"/>
        <c:axId val="936166200"/>
        <c:axId val="936160440"/>
      </c:barChart>
      <c:lineChart>
        <c:grouping val="standard"/>
        <c:varyColors val="0"/>
        <c:ser>
          <c:idx val="1"/>
          <c:order val="1"/>
          <c:tx>
            <c:strRef>
              <c:f>'Monthly Achievement'!$D$74:$D$75</c:f>
              <c:strCache>
                <c:ptCount val="2"/>
                <c:pt idx="0">
                  <c:v>Target</c:v>
                </c:pt>
              </c:strCache>
            </c:strRef>
          </c:tx>
          <c:spPr>
            <a:ln w="28575" cap="rnd">
              <a:solidFill>
                <a:schemeClr val="accent2"/>
              </a:solidFill>
              <a:round/>
            </a:ln>
            <a:effectLst/>
          </c:spPr>
          <c:marker>
            <c:symbol val="none"/>
          </c:marker>
          <c:cat>
            <c:multiLvlStrRef>
              <c:f>'Monthly Achievement'!$A$76:$B$109</c:f>
              <c:multiLvlStrCache>
                <c:ptCount val="34"/>
                <c:lvl>
                  <c:pt idx="0">
                    <c:v>Nov</c:v>
                  </c:pt>
                  <c:pt idx="1">
                    <c:v>Dec</c:v>
                  </c:pt>
                  <c:pt idx="3">
                    <c:v>Jan</c:v>
                  </c:pt>
                  <c:pt idx="4">
                    <c:v>Feb</c:v>
                  </c:pt>
                  <c:pt idx="5">
                    <c:v>Mar</c:v>
                  </c:pt>
                  <c:pt idx="6">
                    <c:v>Apr</c:v>
                  </c:pt>
                  <c:pt idx="7">
                    <c:v>May</c:v>
                  </c:pt>
                  <c:pt idx="8">
                    <c:v>Jun</c:v>
                  </c:pt>
                  <c:pt idx="9">
                    <c:v>Jul</c:v>
                  </c:pt>
                  <c:pt idx="10">
                    <c:v>Aug</c:v>
                  </c:pt>
                  <c:pt idx="11">
                    <c:v>Sep</c:v>
                  </c:pt>
                  <c:pt idx="12">
                    <c:v>Oct</c:v>
                  </c:pt>
                  <c:pt idx="13">
                    <c:v>Nov</c:v>
                  </c:pt>
                  <c:pt idx="14">
                    <c:v>Dec</c:v>
                  </c:pt>
                  <c:pt idx="16">
                    <c:v>Jan</c:v>
                  </c:pt>
                  <c:pt idx="17">
                    <c:v>Feb</c:v>
                  </c:pt>
                  <c:pt idx="18">
                    <c:v>Mar</c:v>
                  </c:pt>
                  <c:pt idx="19">
                    <c:v>Apr</c:v>
                  </c:pt>
                  <c:pt idx="20">
                    <c:v>May</c:v>
                  </c:pt>
                  <c:pt idx="21">
                    <c:v>Jun</c:v>
                  </c:pt>
                  <c:pt idx="22">
                    <c:v>Jul</c:v>
                  </c:pt>
                  <c:pt idx="23">
                    <c:v>Aug</c:v>
                  </c:pt>
                  <c:pt idx="24">
                    <c:v>Sep</c:v>
                  </c:pt>
                  <c:pt idx="25">
                    <c:v>Oct</c:v>
                  </c:pt>
                  <c:pt idx="26">
                    <c:v>Nov</c:v>
                  </c:pt>
                  <c:pt idx="27">
                    <c:v>Dec</c:v>
                  </c:pt>
                  <c:pt idx="29">
                    <c:v>Jan</c:v>
                  </c:pt>
                  <c:pt idx="30">
                    <c:v>Feb</c:v>
                  </c:pt>
                  <c:pt idx="31">
                    <c:v>Mar</c:v>
                  </c:pt>
                  <c:pt idx="32">
                    <c:v>Apr</c:v>
                  </c:pt>
                  <c:pt idx="33">
                    <c:v>May</c:v>
                  </c:pt>
                </c:lvl>
                <c:lvl>
                  <c:pt idx="2">
                    <c:v>2021</c:v>
                  </c:pt>
                  <c:pt idx="15">
                    <c:v>2022</c:v>
                  </c:pt>
                  <c:pt idx="28">
                    <c:v>2023</c:v>
                  </c:pt>
                </c:lvl>
              </c:multiLvlStrCache>
            </c:multiLvlStrRef>
          </c:cat>
          <c:val>
            <c:numRef>
              <c:f>'Monthly Achievement'!$D$76:$D$109</c:f>
              <c:numCache>
                <c:formatCode>#,##0</c:formatCode>
                <c:ptCount val="34"/>
                <c:pt idx="0">
                  <c:v>3061</c:v>
                </c:pt>
                <c:pt idx="1">
                  <c:v>10204</c:v>
                </c:pt>
                <c:pt idx="3">
                  <c:v>10204</c:v>
                </c:pt>
                <c:pt idx="4">
                  <c:v>10204</c:v>
                </c:pt>
                <c:pt idx="5">
                  <c:v>10204</c:v>
                </c:pt>
                <c:pt idx="6">
                  <c:v>10204</c:v>
                </c:pt>
                <c:pt idx="7">
                  <c:v>12093</c:v>
                </c:pt>
                <c:pt idx="8">
                  <c:v>12093</c:v>
                </c:pt>
                <c:pt idx="9">
                  <c:v>12093</c:v>
                </c:pt>
                <c:pt idx="10">
                  <c:v>12093</c:v>
                </c:pt>
                <c:pt idx="11">
                  <c:v>13605</c:v>
                </c:pt>
                <c:pt idx="12">
                  <c:v>13605</c:v>
                </c:pt>
                <c:pt idx="13">
                  <c:v>14292</c:v>
                </c:pt>
                <c:pt idx="14">
                  <c:v>14292</c:v>
                </c:pt>
                <c:pt idx="16">
                  <c:v>14292</c:v>
                </c:pt>
                <c:pt idx="17">
                  <c:v>14292</c:v>
                </c:pt>
                <c:pt idx="18">
                  <c:v>14292</c:v>
                </c:pt>
                <c:pt idx="19">
                  <c:v>14292</c:v>
                </c:pt>
                <c:pt idx="20">
                  <c:v>14292</c:v>
                </c:pt>
                <c:pt idx="21">
                  <c:v>14292</c:v>
                </c:pt>
                <c:pt idx="22">
                  <c:v>15392</c:v>
                </c:pt>
                <c:pt idx="23">
                  <c:v>14700</c:v>
                </c:pt>
                <c:pt idx="24">
                  <c:v>15005</c:v>
                </c:pt>
                <c:pt idx="25">
                  <c:v>15005</c:v>
                </c:pt>
                <c:pt idx="26">
                  <c:v>16125</c:v>
                </c:pt>
                <c:pt idx="27">
                  <c:v>16125</c:v>
                </c:pt>
                <c:pt idx="29">
                  <c:v>17100</c:v>
                </c:pt>
                <c:pt idx="30">
                  <c:v>17100</c:v>
                </c:pt>
                <c:pt idx="31">
                  <c:v>17100</c:v>
                </c:pt>
                <c:pt idx="32">
                  <c:v>18600</c:v>
                </c:pt>
                <c:pt idx="33">
                  <c:v>18600</c:v>
                </c:pt>
              </c:numCache>
            </c:numRef>
          </c:val>
          <c:smooth val="0"/>
          <c:extLst>
            <c:ext xmlns:c16="http://schemas.microsoft.com/office/drawing/2014/chart" uri="{C3380CC4-5D6E-409C-BE32-E72D297353CC}">
              <c16:uniqueId val="{00000001-6A2F-4559-B721-6CDA6088D17A}"/>
            </c:ext>
          </c:extLst>
        </c:ser>
        <c:dLbls>
          <c:showLegendKey val="0"/>
          <c:showVal val="0"/>
          <c:showCatName val="0"/>
          <c:showSerName val="0"/>
          <c:showPercent val="0"/>
          <c:showBubbleSize val="0"/>
        </c:dLbls>
        <c:marker val="1"/>
        <c:smooth val="0"/>
        <c:axId val="936166200"/>
        <c:axId val="936160440"/>
      </c:lineChart>
      <c:catAx>
        <c:axId val="93616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60440"/>
        <c:crosses val="autoZero"/>
        <c:auto val="1"/>
        <c:lblAlgn val="ctr"/>
        <c:lblOffset val="100"/>
        <c:noMultiLvlLbl val="0"/>
      </c:catAx>
      <c:valAx>
        <c:axId val="936160440"/>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6166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10 Courses!AgileSales</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Courses by Revenue &gt;</a:t>
            </a:r>
            <a:r>
              <a:rPr lang="en-US" baseline="0"/>
              <a:t> </a:t>
            </a:r>
            <a:r>
              <a:rPr lang="en-US" u="none" baseline="0"/>
              <a:t>$1K</a:t>
            </a: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Courses'!$B$3</c:f>
              <c:strCache>
                <c:ptCount val="1"/>
                <c:pt idx="0">
                  <c:v>Total</c:v>
                </c:pt>
              </c:strCache>
            </c:strRef>
          </c:tx>
          <c:spPr>
            <a:solidFill>
              <a:schemeClr val="accent1"/>
            </a:solidFill>
            <a:ln>
              <a:noFill/>
            </a:ln>
            <a:effectLst/>
          </c:spPr>
          <c:invertIfNegative val="0"/>
          <c:cat>
            <c:strRef>
              <c:f>'Top 10 Courses'!$A$4:$A$26</c:f>
              <c:strCache>
                <c:ptCount val="22"/>
                <c:pt idx="0">
                  <c:v>PGP Cyber Security</c:v>
                </c:pt>
                <c:pt idx="1">
                  <c:v>P2 Foundation</c:v>
                </c:pt>
                <c:pt idx="2">
                  <c:v>PGP BA</c:v>
                </c:pt>
                <c:pt idx="3">
                  <c:v>PGP PM</c:v>
                </c:pt>
                <c:pt idx="4">
                  <c:v>SAFe for Government</c:v>
                </c:pt>
                <c:pt idx="5">
                  <c:v>ICP-ACC</c:v>
                </c:pt>
                <c:pt idx="6">
                  <c:v>PGP Cloud</c:v>
                </c:pt>
                <c:pt idx="7">
                  <c:v>MBA IU LSBU</c:v>
                </c:pt>
                <c:pt idx="8">
                  <c:v>P2 F&amp;P</c:v>
                </c:pt>
                <c:pt idx="9">
                  <c:v>SAFe RTE</c:v>
                </c:pt>
                <c:pt idx="10">
                  <c:v>ITIL 4</c:v>
                </c:pt>
                <c:pt idx="11">
                  <c:v>PSPO 2</c:v>
                </c:pt>
                <c:pt idx="12">
                  <c:v>PMP</c:v>
                </c:pt>
                <c:pt idx="13">
                  <c:v>Implementing SAFe</c:v>
                </c:pt>
                <c:pt idx="14">
                  <c:v>SAFe SSM</c:v>
                </c:pt>
                <c:pt idx="15">
                  <c:v>CSPO</c:v>
                </c:pt>
                <c:pt idx="16">
                  <c:v>SAFe POPM</c:v>
                </c:pt>
                <c:pt idx="17">
                  <c:v>PSPO</c:v>
                </c:pt>
                <c:pt idx="18">
                  <c:v>PSM 2</c:v>
                </c:pt>
                <c:pt idx="19">
                  <c:v>CSM</c:v>
                </c:pt>
                <c:pt idx="20">
                  <c:v>PSM</c:v>
                </c:pt>
                <c:pt idx="21">
                  <c:v>SAFe Agile</c:v>
                </c:pt>
              </c:strCache>
            </c:strRef>
          </c:cat>
          <c:val>
            <c:numRef>
              <c:f>'Top 10 Courses'!$B$4:$B$26</c:f>
              <c:numCache>
                <c:formatCode>_-[$$-409]* #,##0_ ;_-[$$-409]* \-#,##0\ ;_-[$$-409]* "-"??_ ;_-@_ </c:formatCode>
                <c:ptCount val="22"/>
                <c:pt idx="0">
                  <c:v>1022.1026110856619</c:v>
                </c:pt>
                <c:pt idx="1">
                  <c:v>1073.2249198350894</c:v>
                </c:pt>
                <c:pt idx="2">
                  <c:v>1145.2130096197893</c:v>
                </c:pt>
                <c:pt idx="3">
                  <c:v>1351.3513513513512</c:v>
                </c:pt>
                <c:pt idx="4">
                  <c:v>3401.2826385707745</c:v>
                </c:pt>
                <c:pt idx="5">
                  <c:v>3515.8039395327532</c:v>
                </c:pt>
                <c:pt idx="6">
                  <c:v>3950.9848831882732</c:v>
                </c:pt>
                <c:pt idx="7">
                  <c:v>4234.4251030691712</c:v>
                </c:pt>
                <c:pt idx="8">
                  <c:v>5726.065048098947</c:v>
                </c:pt>
                <c:pt idx="9">
                  <c:v>5783.3256985799371</c:v>
                </c:pt>
                <c:pt idx="10">
                  <c:v>5951.2139257901981</c:v>
                </c:pt>
                <c:pt idx="11">
                  <c:v>6046.72469079249</c:v>
                </c:pt>
                <c:pt idx="12">
                  <c:v>6225.0000000000009</c:v>
                </c:pt>
                <c:pt idx="13">
                  <c:v>7901.9697663765464</c:v>
                </c:pt>
                <c:pt idx="14">
                  <c:v>8876.7979844251058</c:v>
                </c:pt>
                <c:pt idx="15">
                  <c:v>26680.943655519906</c:v>
                </c:pt>
                <c:pt idx="16">
                  <c:v>28702.954649564799</c:v>
                </c:pt>
                <c:pt idx="17">
                  <c:v>33947.984425103154</c:v>
                </c:pt>
                <c:pt idx="18">
                  <c:v>36211.635364177659</c:v>
                </c:pt>
                <c:pt idx="19">
                  <c:v>68139.567109482581</c:v>
                </c:pt>
                <c:pt idx="20">
                  <c:v>69707.627118643999</c:v>
                </c:pt>
                <c:pt idx="21">
                  <c:v>95759.790655061792</c:v>
                </c:pt>
              </c:numCache>
            </c:numRef>
          </c:val>
          <c:extLst>
            <c:ext xmlns:c16="http://schemas.microsoft.com/office/drawing/2014/chart" uri="{C3380CC4-5D6E-409C-BE32-E72D297353CC}">
              <c16:uniqueId val="{00000002-DDDB-4836-A5B0-E63C06E6C1AD}"/>
            </c:ext>
          </c:extLst>
        </c:ser>
        <c:dLbls>
          <c:showLegendKey val="0"/>
          <c:showVal val="0"/>
          <c:showCatName val="0"/>
          <c:showSerName val="0"/>
          <c:showPercent val="0"/>
          <c:showBubbleSize val="0"/>
        </c:dLbls>
        <c:gapWidth val="219"/>
        <c:axId val="780860664"/>
        <c:axId val="780866424"/>
      </c:barChart>
      <c:catAx>
        <c:axId val="7808606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0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[Agile_Sales_Project.xlsx]Category wise Sales!AgileSales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wise Sales Monthly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'Category wise Sales'!$B$3:$B$4</c:f>
              <c:strCache>
                <c:ptCount val="1"/>
                <c:pt idx="0">
                  <c:v>Category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Sales'!$B$5:$B$36</c:f>
              <c:numCache>
                <c:formatCode>General</c:formatCode>
                <c:ptCount val="31"/>
                <c:pt idx="0">
                  <c:v>16</c:v>
                </c:pt>
                <c:pt idx="1">
                  <c:v>35</c:v>
                </c:pt>
                <c:pt idx="2">
                  <c:v>39</c:v>
                </c:pt>
                <c:pt idx="3">
                  <c:v>16</c:v>
                </c:pt>
                <c:pt idx="4">
                  <c:v>12</c:v>
                </c:pt>
                <c:pt idx="5">
                  <c:v>8</c:v>
                </c:pt>
                <c:pt idx="6">
                  <c:v>10</c:v>
                </c:pt>
                <c:pt idx="7">
                  <c:v>15</c:v>
                </c:pt>
                <c:pt idx="8">
                  <c:v>11</c:v>
                </c:pt>
                <c:pt idx="9">
                  <c:v>15</c:v>
                </c:pt>
                <c:pt idx="10">
                  <c:v>44</c:v>
                </c:pt>
                <c:pt idx="11">
                  <c:v>14</c:v>
                </c:pt>
                <c:pt idx="12">
                  <c:v>8</c:v>
                </c:pt>
                <c:pt idx="13">
                  <c:v>15</c:v>
                </c:pt>
                <c:pt idx="14">
                  <c:v>18</c:v>
                </c:pt>
                <c:pt idx="15">
                  <c:v>19</c:v>
                </c:pt>
                <c:pt idx="16">
                  <c:v>10</c:v>
                </c:pt>
                <c:pt idx="17">
                  <c:v>10</c:v>
                </c:pt>
                <c:pt idx="18">
                  <c:v>12</c:v>
                </c:pt>
                <c:pt idx="19">
                  <c:v>5</c:v>
                </c:pt>
                <c:pt idx="20">
                  <c:v>12</c:v>
                </c:pt>
                <c:pt idx="21">
                  <c:v>8</c:v>
                </c:pt>
                <c:pt idx="22">
                  <c:v>12</c:v>
                </c:pt>
                <c:pt idx="23">
                  <c:v>5</c:v>
                </c:pt>
                <c:pt idx="24">
                  <c:v>7</c:v>
                </c:pt>
                <c:pt idx="25">
                  <c:v>10</c:v>
                </c:pt>
                <c:pt idx="26">
                  <c:v>5</c:v>
                </c:pt>
                <c:pt idx="27">
                  <c:v>9</c:v>
                </c:pt>
                <c:pt idx="28">
                  <c:v>6</c:v>
                </c:pt>
                <c:pt idx="29">
                  <c:v>6</c:v>
                </c:pt>
                <c:pt idx="30">
                  <c:v>8</c:v>
                </c:pt>
              </c:numCache>
            </c:numRef>
          </c:val>
          <c:extLst>
            <c:ext xmlns:c16="http://schemas.microsoft.com/office/drawing/2014/chart" uri="{C3380CC4-5D6E-409C-BE32-E72D297353CC}">
              <c16:uniqueId val="{00000003-0B7B-4B9D-8652-516349892812}"/>
            </c:ext>
          </c:extLst>
        </c:ser>
        <c:ser>
          <c:idx val="1"/>
          <c:order val="1"/>
          <c:tx>
            <c:strRef>
              <c:f>'Category wise Sales'!$C$3:$C$4</c:f>
              <c:strCache>
                <c:ptCount val="1"/>
                <c:pt idx="0">
                  <c:v>NonCategory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Sales'!$C$5:$C$36</c:f>
              <c:numCache>
                <c:formatCode>General</c:formatCode>
                <c:ptCount val="31"/>
                <c:pt idx="1">
                  <c:v>3</c:v>
                </c:pt>
                <c:pt idx="2">
                  <c:v>3</c:v>
                </c:pt>
                <c:pt idx="3">
                  <c:v>6</c:v>
                </c:pt>
                <c:pt idx="4">
                  <c:v>7</c:v>
                </c:pt>
                <c:pt idx="5">
                  <c:v>4</c:v>
                </c:pt>
                <c:pt idx="6">
                  <c:v>8</c:v>
                </c:pt>
                <c:pt idx="7">
                  <c:v>7</c:v>
                </c:pt>
                <c:pt idx="8">
                  <c:v>2</c:v>
                </c:pt>
                <c:pt idx="9">
                  <c:v>4</c:v>
                </c:pt>
                <c:pt idx="10">
                  <c:v>11</c:v>
                </c:pt>
                <c:pt idx="11">
                  <c:v>7</c:v>
                </c:pt>
                <c:pt idx="12">
                  <c:v>5</c:v>
                </c:pt>
                <c:pt idx="13">
                  <c:v>4</c:v>
                </c:pt>
                <c:pt idx="14">
                  <c:v>2</c:v>
                </c:pt>
                <c:pt idx="15">
                  <c:v>5</c:v>
                </c:pt>
                <c:pt idx="16">
                  <c:v>5</c:v>
                </c:pt>
                <c:pt idx="17">
                  <c:v>3</c:v>
                </c:pt>
                <c:pt idx="18">
                  <c:v>3</c:v>
                </c:pt>
                <c:pt idx="19">
                  <c:v>5</c:v>
                </c:pt>
                <c:pt idx="20">
                  <c:v>6</c:v>
                </c:pt>
                <c:pt idx="21">
                  <c:v>2</c:v>
                </c:pt>
                <c:pt idx="22">
                  <c:v>4</c:v>
                </c:pt>
                <c:pt idx="23">
                  <c:v>8</c:v>
                </c:pt>
                <c:pt idx="24">
                  <c:v>5</c:v>
                </c:pt>
                <c:pt idx="25">
                  <c:v>3</c:v>
                </c:pt>
                <c:pt idx="26">
                  <c:v>9</c:v>
                </c:pt>
                <c:pt idx="27">
                  <c:v>5</c:v>
                </c:pt>
                <c:pt idx="28">
                  <c:v>7</c:v>
                </c:pt>
                <c:pt idx="29">
                  <c:v>2</c:v>
                </c:pt>
                <c:pt idx="30">
                  <c:v>4</c:v>
                </c:pt>
              </c:numCache>
            </c:numRef>
          </c:val>
          <c:extLst>
            <c:ext xmlns:c16="http://schemas.microsoft.com/office/drawing/2014/chart" uri="{C3380CC4-5D6E-409C-BE32-E72D297353CC}">
              <c16:uniqueId val="{00000000-FD30-407B-9AE2-F7E2F4F3A5E7}"/>
            </c:ext>
          </c:extLst>
        </c:ser>
        <c:ser>
          <c:idx val="2"/>
          <c:order val="2"/>
          <c:tx>
            <c:strRef>
              <c:f>'Category wise Sales'!$D$3:$D$4</c:f>
              <c:strCache>
                <c:ptCount val="1"/>
                <c:pt idx="0">
                  <c:v>SAFe que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wise Sales'!$A$5:$A$36</c:f>
              <c:strCache>
                <c:ptCount val="31"/>
                <c:pt idx="0">
                  <c:v>Nov 2020</c:v>
                </c:pt>
                <c:pt idx="1">
                  <c:v>Dec 2020</c:v>
                </c:pt>
                <c:pt idx="2">
                  <c:v>Jan 2021</c:v>
                </c:pt>
                <c:pt idx="3">
                  <c:v>Feb 2021</c:v>
                </c:pt>
                <c:pt idx="4">
                  <c:v>Mar 2021</c:v>
                </c:pt>
                <c:pt idx="5">
                  <c:v>Apr 2021</c:v>
                </c:pt>
                <c:pt idx="6">
                  <c:v>May 2021</c:v>
                </c:pt>
                <c:pt idx="7">
                  <c:v>Jun 2021</c:v>
                </c:pt>
                <c:pt idx="8">
                  <c:v>Jul 2021</c:v>
                </c:pt>
                <c:pt idx="9">
                  <c:v>Aug 2021</c:v>
                </c:pt>
                <c:pt idx="10">
                  <c:v>Sep 2021</c:v>
                </c:pt>
                <c:pt idx="11">
                  <c:v>Oct 2021</c:v>
                </c:pt>
                <c:pt idx="12">
                  <c:v>Nov 2021</c:v>
                </c:pt>
                <c:pt idx="13">
                  <c:v>Dec 2021</c:v>
                </c:pt>
                <c:pt idx="14">
                  <c:v>Jan 2022</c:v>
                </c:pt>
                <c:pt idx="15">
                  <c:v>Feb 2022</c:v>
                </c:pt>
                <c:pt idx="16">
                  <c:v>Mar 2022</c:v>
                </c:pt>
                <c:pt idx="17">
                  <c:v>Apr 2022</c:v>
                </c:pt>
                <c:pt idx="18">
                  <c:v>May 2022</c:v>
                </c:pt>
                <c:pt idx="19">
                  <c:v>Jun 2022</c:v>
                </c:pt>
                <c:pt idx="20">
                  <c:v>Jul 2022</c:v>
                </c:pt>
                <c:pt idx="21">
                  <c:v>Aug 2022</c:v>
                </c:pt>
                <c:pt idx="22">
                  <c:v>Sep 2022</c:v>
                </c:pt>
                <c:pt idx="23">
                  <c:v>Oct 2022</c:v>
                </c:pt>
                <c:pt idx="24">
                  <c:v>Nov 2022</c:v>
                </c:pt>
                <c:pt idx="25">
                  <c:v>Dec 2022</c:v>
                </c:pt>
                <c:pt idx="26">
                  <c:v>Jan 2023</c:v>
                </c:pt>
                <c:pt idx="27">
                  <c:v>Feb 2023</c:v>
                </c:pt>
                <c:pt idx="28">
                  <c:v>Mar 2023</c:v>
                </c:pt>
                <c:pt idx="29">
                  <c:v>Apr 2023</c:v>
                </c:pt>
                <c:pt idx="30">
                  <c:v>May 2023</c:v>
                </c:pt>
              </c:strCache>
            </c:strRef>
          </c:cat>
          <c:val>
            <c:numRef>
              <c:f>'Category wise Sales'!$D$5:$D$36</c:f>
              <c:numCache>
                <c:formatCode>General</c:formatCode>
                <c:ptCount val="31"/>
                <c:pt idx="2">
                  <c:v>1</c:v>
                </c:pt>
                <c:pt idx="3">
                  <c:v>11</c:v>
                </c:pt>
                <c:pt idx="4">
                  <c:v>29</c:v>
                </c:pt>
                <c:pt idx="5">
                  <c:v>24</c:v>
                </c:pt>
                <c:pt idx="6">
                  <c:v>21</c:v>
                </c:pt>
                <c:pt idx="7">
                  <c:v>27</c:v>
                </c:pt>
                <c:pt idx="8">
                  <c:v>26</c:v>
                </c:pt>
                <c:pt idx="9">
                  <c:v>25</c:v>
                </c:pt>
                <c:pt idx="10">
                  <c:v>17</c:v>
                </c:pt>
                <c:pt idx="11">
                  <c:v>28</c:v>
                </c:pt>
                <c:pt idx="12">
                  <c:v>32</c:v>
                </c:pt>
                <c:pt idx="13">
                  <c:v>35</c:v>
                </c:pt>
                <c:pt idx="14">
                  <c:v>28</c:v>
                </c:pt>
                <c:pt idx="15">
                  <c:v>31</c:v>
                </c:pt>
                <c:pt idx="16">
                  <c:v>33</c:v>
                </c:pt>
                <c:pt idx="17">
                  <c:v>37</c:v>
                </c:pt>
                <c:pt idx="18">
                  <c:v>37</c:v>
                </c:pt>
                <c:pt idx="19">
                  <c:v>45</c:v>
                </c:pt>
                <c:pt idx="20">
                  <c:v>35</c:v>
                </c:pt>
                <c:pt idx="21">
                  <c:v>29</c:v>
                </c:pt>
                <c:pt idx="22">
                  <c:v>35</c:v>
                </c:pt>
                <c:pt idx="23">
                  <c:v>25</c:v>
                </c:pt>
                <c:pt idx="24">
                  <c:v>44</c:v>
                </c:pt>
                <c:pt idx="25">
                  <c:v>50</c:v>
                </c:pt>
                <c:pt idx="26">
                  <c:v>45</c:v>
                </c:pt>
                <c:pt idx="27">
                  <c:v>51</c:v>
                </c:pt>
                <c:pt idx="28">
                  <c:v>45</c:v>
                </c:pt>
                <c:pt idx="29">
                  <c:v>13</c:v>
                </c:pt>
                <c:pt idx="30">
                  <c:v>14</c:v>
                </c:pt>
              </c:numCache>
            </c:numRef>
          </c:val>
          <c:extLst>
            <c:ext xmlns:c16="http://schemas.microsoft.com/office/drawing/2014/chart" uri="{C3380CC4-5D6E-409C-BE32-E72D297353CC}">
              <c16:uniqueId val="{00000001-FD30-407B-9AE2-F7E2F4F3A5E7}"/>
            </c:ext>
          </c:extLst>
        </c:ser>
        <c:dLbls>
          <c:dLblPos val="outEnd"/>
          <c:showLegendKey val="0"/>
          <c:showVal val="1"/>
          <c:showCatName val="0"/>
          <c:showSerName val="0"/>
          <c:showPercent val="0"/>
          <c:showBubbleSize val="0"/>
        </c:dLbls>
        <c:gapWidth val="219"/>
        <c:axId val="780860664"/>
        <c:axId val="780866424"/>
      </c:barChart>
      <c:catAx>
        <c:axId val="780860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6424"/>
        <c:crosses val="autoZero"/>
        <c:auto val="1"/>
        <c:lblAlgn val="ctr"/>
        <c:lblOffset val="100"/>
        <c:noMultiLvlLbl val="0"/>
      </c:catAx>
      <c:valAx>
        <c:axId val="780866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08606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Lead Sources!AgileSales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Lead Sources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Lead Sources'!$B$3</c:f>
              <c:strCache>
                <c:ptCount val="1"/>
                <c:pt idx="0">
                  <c:v>Total</c:v>
                </c:pt>
              </c:strCache>
            </c:strRef>
          </c:tx>
          <c:spPr>
            <a:solidFill>
              <a:schemeClr val="accent1"/>
            </a:solidFill>
            <a:ln>
              <a:noFill/>
            </a:ln>
            <a:effectLst/>
          </c:spPr>
          <c:invertIfNegative val="0"/>
          <c:cat>
            <c:strRef>
              <c:f>'Top Lead Sources'!$A$4:$A$16</c:f>
              <c:strCache>
                <c:ptCount val="12"/>
                <c:pt idx="0">
                  <c:v>refer&amp;earn</c:v>
                </c:pt>
                <c:pt idx="1">
                  <c:v>Request a call</c:v>
                </c:pt>
                <c:pt idx="2">
                  <c:v>course preview</c:v>
                </c:pt>
                <c:pt idx="3">
                  <c:v>na-payment</c:v>
                </c:pt>
                <c:pt idx="4">
                  <c:v>Account Repeat</c:v>
                </c:pt>
                <c:pt idx="5">
                  <c:v>Tollfree</c:v>
                </c:pt>
                <c:pt idx="6">
                  <c:v>course agenda</c:v>
                </c:pt>
                <c:pt idx="7">
                  <c:v>Existing Account</c:v>
                </c:pt>
                <c:pt idx="8">
                  <c:v>chat_initiated</c:v>
                </c:pt>
                <c:pt idx="9">
                  <c:v>Query box</c:v>
                </c:pt>
                <c:pt idx="10">
                  <c:v>Chat_triggered</c:v>
                </c:pt>
                <c:pt idx="11">
                  <c:v>Reference</c:v>
                </c:pt>
              </c:strCache>
            </c:strRef>
          </c:cat>
          <c:val>
            <c:numRef>
              <c:f>'Top Lead Sources'!$B$4:$B$16</c:f>
              <c:numCache>
                <c:formatCode>General</c:formatCode>
                <c:ptCount val="12"/>
                <c:pt idx="0">
                  <c:v>15</c:v>
                </c:pt>
                <c:pt idx="1">
                  <c:v>15</c:v>
                </c:pt>
                <c:pt idx="2">
                  <c:v>17</c:v>
                </c:pt>
                <c:pt idx="3">
                  <c:v>24</c:v>
                </c:pt>
                <c:pt idx="4">
                  <c:v>41</c:v>
                </c:pt>
                <c:pt idx="5">
                  <c:v>66</c:v>
                </c:pt>
                <c:pt idx="6">
                  <c:v>95</c:v>
                </c:pt>
                <c:pt idx="7">
                  <c:v>98</c:v>
                </c:pt>
                <c:pt idx="8">
                  <c:v>145</c:v>
                </c:pt>
                <c:pt idx="9">
                  <c:v>171</c:v>
                </c:pt>
                <c:pt idx="10">
                  <c:v>199</c:v>
                </c:pt>
                <c:pt idx="11">
                  <c:v>498</c:v>
                </c:pt>
              </c:numCache>
            </c:numRef>
          </c:val>
          <c:extLst>
            <c:ext xmlns:c16="http://schemas.microsoft.com/office/drawing/2014/chart" uri="{C3380CC4-5D6E-409C-BE32-E72D297353CC}">
              <c16:uniqueId val="{00000000-8C08-4F98-82FD-2CAA3FF968CB}"/>
            </c:ext>
          </c:extLst>
        </c:ser>
        <c:dLbls>
          <c:showLegendKey val="0"/>
          <c:showVal val="0"/>
          <c:showCatName val="0"/>
          <c:showSerName val="0"/>
          <c:showPercent val="0"/>
          <c:showBubbleSize val="0"/>
        </c:dLbls>
        <c:gapWidth val="182"/>
        <c:axId val="909698784"/>
        <c:axId val="909705264"/>
      </c:barChart>
      <c:catAx>
        <c:axId val="90969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705264"/>
        <c:crosses val="autoZero"/>
        <c:auto val="1"/>
        <c:lblAlgn val="ctr"/>
        <c:lblOffset val="100"/>
        <c:noMultiLvlLbl val="0"/>
      </c:catAx>
      <c:valAx>
        <c:axId val="9097052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high"/>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698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[Agile_Sales_Project.xlsx]Monthly Trend!AgileSales</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Sales Trend - Nov 2020 to May 2023</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Trend'!$B$3</c:f>
              <c:strCache>
                <c:ptCount val="1"/>
                <c:pt idx="0">
                  <c:v>Total</c:v>
                </c:pt>
              </c:strCache>
            </c:strRef>
          </c:tx>
          <c:spPr>
            <a:solidFill>
              <a:schemeClr val="accent1"/>
            </a:solidFill>
            <a:ln>
              <a:noFill/>
            </a:ln>
            <a:effectLst/>
          </c:spPr>
          <c:invertIfNegative val="0"/>
          <c:cat>
            <c:strRef>
              <c:f>'Monthly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Trend'!$B$4:$B$16</c:f>
              <c:numCache>
                <c:formatCode>_-[$$-409]* #,##0_ ;_-[$$-409]* \-#,##0\ ;_-[$$-409]* "-"??_ ;_-@_ </c:formatCode>
                <c:ptCount val="12"/>
                <c:pt idx="0">
                  <c:v>50433.95556573521</c:v>
                </c:pt>
                <c:pt idx="1">
                  <c:v>42465.070087036169</c:v>
                </c:pt>
                <c:pt idx="2">
                  <c:v>49332.420980302326</c:v>
                </c:pt>
                <c:pt idx="3">
                  <c:v>32709.596885020626</c:v>
                </c:pt>
                <c:pt idx="4">
                  <c:v>38161.131470453511</c:v>
                </c:pt>
                <c:pt idx="5">
                  <c:v>33345.785616124616</c:v>
                </c:pt>
                <c:pt idx="6">
                  <c:v>29042.143838754004</c:v>
                </c:pt>
                <c:pt idx="7">
                  <c:v>28411.497938616591</c:v>
                </c:pt>
                <c:pt idx="8">
                  <c:v>35252.1530004581</c:v>
                </c:pt>
                <c:pt idx="9">
                  <c:v>29742.34997709575</c:v>
                </c:pt>
                <c:pt idx="10">
                  <c:v>35107.74163994503</c:v>
                </c:pt>
                <c:pt idx="11">
                  <c:v>41633.726523133264</c:v>
                </c:pt>
              </c:numCache>
            </c:numRef>
          </c:val>
          <c:extLst>
            <c:ext xmlns:c16="http://schemas.microsoft.com/office/drawing/2014/chart" uri="{C3380CC4-5D6E-409C-BE32-E72D297353CC}">
              <c16:uniqueId val="{00000002-8DB5-4572-B3FF-607DBC5927C5}"/>
            </c:ext>
          </c:extLst>
        </c:ser>
        <c:dLbls>
          <c:showLegendKey val="0"/>
          <c:showVal val="0"/>
          <c:showCatName val="0"/>
          <c:showSerName val="0"/>
          <c:showPercent val="0"/>
          <c:showBubbleSize val="0"/>
        </c:dLbls>
        <c:gapWidth val="219"/>
        <c:overlap val="-27"/>
        <c:axId val="735997232"/>
        <c:axId val="736005152"/>
      </c:barChart>
      <c:catAx>
        <c:axId val="73599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005152"/>
        <c:crosses val="autoZero"/>
        <c:auto val="1"/>
        <c:lblAlgn val="ctr"/>
        <c:lblOffset val="100"/>
        <c:noMultiLvlLbl val="0"/>
      </c:catAx>
      <c:valAx>
        <c:axId val="73600515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99723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[Agile_Sales_Project.xlsx]Quarterly Trend!AgileSales</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Quarterly Sales Trend - Nov 2020 to May 2023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'Quarterly Trend'!$B$3</c:f>
              <c:strCache>
                <c:ptCount val="1"/>
                <c:pt idx="0">
                  <c:v>Total</c:v>
                </c:pt>
              </c:strCache>
            </c:strRef>
          </c:tx>
          <c:spPr>
            <a:solidFill>
              <a:schemeClr val="accent1"/>
            </a:solidFill>
            <a:ln>
              <a:noFill/>
            </a:ln>
            <a:effectLst/>
          </c:spPr>
          <c:invertIfNegative val="0"/>
          <c:cat>
            <c:strRef>
              <c:f>'Quarterly Trend'!$A$4:$A$8</c:f>
              <c:strCache>
                <c:ptCount val="4"/>
                <c:pt idx="0">
                  <c:v>Qtr1</c:v>
                </c:pt>
                <c:pt idx="1">
                  <c:v>Qtr2</c:v>
                </c:pt>
                <c:pt idx="2">
                  <c:v>Qtr3</c:v>
                </c:pt>
                <c:pt idx="3">
                  <c:v>Qtr4</c:v>
                </c:pt>
              </c:strCache>
            </c:strRef>
          </c:cat>
          <c:val>
            <c:numRef>
              <c:f>'Quarterly Trend'!$B$4:$B$8</c:f>
              <c:numCache>
                <c:formatCode>_-[$$-409]* #,##0_ ;_-[$$-409]* \-#,##0\ ;_-[$$-409]* "-"??_ ;_-@_ </c:formatCode>
                <c:ptCount val="4"/>
                <c:pt idx="0">
                  <c:v>141870.704535044</c:v>
                </c:pt>
                <c:pt idx="1">
                  <c:v>102779.27164452604</c:v>
                </c:pt>
                <c:pt idx="2">
                  <c:v>91531.951442968406</c:v>
                </c:pt>
                <c:pt idx="3">
                  <c:v>109455.64590013784</c:v>
                </c:pt>
              </c:numCache>
            </c:numRef>
          </c:val>
          <c:extLst>
            <c:ext xmlns:c16="http://schemas.microsoft.com/office/drawing/2014/chart" uri="{C3380CC4-5D6E-409C-BE32-E72D297353CC}">
              <c16:uniqueId val="{00000000-E3A9-4B9F-986E-01A556959926}"/>
            </c:ext>
          </c:extLst>
        </c:ser>
        <c:dLbls>
          <c:showLegendKey val="0"/>
          <c:showVal val="0"/>
          <c:showCatName val="0"/>
          <c:showSerName val="0"/>
          <c:showPercent val="0"/>
          <c:showBubbleSize val="0"/>
        </c:dLbls>
        <c:gapWidth val="219"/>
        <c:overlap val="-27"/>
        <c:axId val="784137072"/>
        <c:axId val="784133832"/>
      </c:barChart>
      <c:catAx>
        <c:axId val="7841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133832"/>
        <c:crosses val="autoZero"/>
        <c:auto val="1"/>
        <c:lblAlgn val="ctr"/>
        <c:lblOffset val="100"/>
        <c:noMultiLvlLbl val="0"/>
      </c:catAx>
      <c:valAx>
        <c:axId val="784133832"/>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41370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Courses By tickets!AgileSales</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Courses by</a:t>
            </a:r>
            <a:r>
              <a:rPr lang="en-US" baseline="0"/>
              <a:t> #tickets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tickets'!$B$3</c:f>
              <c:strCache>
                <c:ptCount val="1"/>
                <c:pt idx="0">
                  <c:v>Total</c:v>
                </c:pt>
              </c:strCache>
            </c:strRef>
          </c:tx>
          <c:spPr>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Courses By tickets'!$A$4:$A$25</c:f>
              <c:strCache>
                <c:ptCount val="21"/>
                <c:pt idx="0">
                  <c:v>CSM</c:v>
                </c:pt>
                <c:pt idx="1">
                  <c:v>PSM</c:v>
                </c:pt>
                <c:pt idx="2">
                  <c:v>SAFe Agile</c:v>
                </c:pt>
                <c:pt idx="3">
                  <c:v>PSPO</c:v>
                </c:pt>
                <c:pt idx="4">
                  <c:v>PSM 2</c:v>
                </c:pt>
                <c:pt idx="5">
                  <c:v>CSPO</c:v>
                </c:pt>
                <c:pt idx="6">
                  <c:v>SAFe POPM</c:v>
                </c:pt>
                <c:pt idx="7">
                  <c:v>PMP</c:v>
                </c:pt>
                <c:pt idx="8">
                  <c:v>ITIL 4</c:v>
                </c:pt>
                <c:pt idx="9">
                  <c:v>PSPO 2</c:v>
                </c:pt>
                <c:pt idx="10">
                  <c:v>SAFe SSM</c:v>
                </c:pt>
                <c:pt idx="11">
                  <c:v>P2 F&amp;P</c:v>
                </c:pt>
                <c:pt idx="12">
                  <c:v>ICP-ACC</c:v>
                </c:pt>
                <c:pt idx="13">
                  <c:v>SAFe RTE</c:v>
                </c:pt>
                <c:pt idx="14">
                  <c:v>CBAP</c:v>
                </c:pt>
                <c:pt idx="15">
                  <c:v>P2 Foundation</c:v>
                </c:pt>
                <c:pt idx="16">
                  <c:v>PGP Cloud</c:v>
                </c:pt>
                <c:pt idx="17">
                  <c:v>BA Masters</c:v>
                </c:pt>
                <c:pt idx="18">
                  <c:v>ASM</c:v>
                </c:pt>
                <c:pt idx="19">
                  <c:v>AWS Solutions Architect</c:v>
                </c:pt>
                <c:pt idx="20">
                  <c:v>PMI-ACP</c:v>
                </c:pt>
              </c:strCache>
            </c:strRef>
          </c:cat>
          <c:val>
            <c:numRef>
              <c:f>'Top Courses By tickets'!$B$4:$B$25</c:f>
              <c:numCache>
                <c:formatCode>0</c:formatCode>
                <c:ptCount val="21"/>
                <c:pt idx="0">
                  <c:v>297</c:v>
                </c:pt>
                <c:pt idx="1">
                  <c:v>282</c:v>
                </c:pt>
                <c:pt idx="2">
                  <c:v>197</c:v>
                </c:pt>
                <c:pt idx="3">
                  <c:v>141</c:v>
                </c:pt>
                <c:pt idx="4">
                  <c:v>132</c:v>
                </c:pt>
                <c:pt idx="5">
                  <c:v>120</c:v>
                </c:pt>
                <c:pt idx="6">
                  <c:v>59</c:v>
                </c:pt>
                <c:pt idx="7">
                  <c:v>30</c:v>
                </c:pt>
                <c:pt idx="8">
                  <c:v>24</c:v>
                </c:pt>
                <c:pt idx="9">
                  <c:v>22</c:v>
                </c:pt>
                <c:pt idx="10">
                  <c:v>18</c:v>
                </c:pt>
                <c:pt idx="11">
                  <c:v>13</c:v>
                </c:pt>
                <c:pt idx="12">
                  <c:v>10</c:v>
                </c:pt>
                <c:pt idx="13">
                  <c:v>9</c:v>
                </c:pt>
                <c:pt idx="14">
                  <c:v>5</c:v>
                </c:pt>
                <c:pt idx="15">
                  <c:v>4</c:v>
                </c:pt>
                <c:pt idx="16">
                  <c:v>4</c:v>
                </c:pt>
                <c:pt idx="17">
                  <c:v>3</c:v>
                </c:pt>
                <c:pt idx="18">
                  <c:v>3</c:v>
                </c:pt>
                <c:pt idx="19">
                  <c:v>3</c:v>
                </c:pt>
                <c:pt idx="20">
                  <c:v>3</c:v>
                </c:pt>
              </c:numCache>
            </c:numRef>
          </c:val>
          <c:smooth val="0"/>
          <c:extLst>
            <c:ext xmlns:c16="http://schemas.microsoft.com/office/drawing/2014/chart" uri="{C3380CC4-5D6E-409C-BE32-E72D297353CC}">
              <c16:uniqueId val="{00000000-876A-4030-BDF2-A0128D316AF0}"/>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[Agile_Sales_Project.xlsx]Top Courses By Revenue!AgileSales</c:name>
    <c:fmtId val="2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Courses by</a:t>
            </a:r>
            <a:r>
              <a:rPr lang="en-US" baseline="0"/>
              <a:t> Revenue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bg1"/>
            </a:solidFill>
            <a:ln w="9525">
              <a:solidFill>
                <a:schemeClr val="accent1">
                  <a:alpha val="9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Courses By Revenue'!$B$3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Courses By Revenue'!$A$4:$A$26</c:f>
              <c:strCache>
                <c:ptCount val="22"/>
                <c:pt idx="0">
                  <c:v>SAFe Agile</c:v>
                </c:pt>
                <c:pt idx="1">
                  <c:v>PSM</c:v>
                </c:pt>
                <c:pt idx="2">
                  <c:v>CSM</c:v>
                </c:pt>
                <c:pt idx="3">
                  <c:v>PSM 2</c:v>
                </c:pt>
                <c:pt idx="4">
                  <c:v>PSPO</c:v>
                </c:pt>
                <c:pt idx="5">
                  <c:v>SAFe POPM</c:v>
                </c:pt>
                <c:pt idx="6">
                  <c:v>CSPO</c:v>
                </c:pt>
                <c:pt idx="7">
                  <c:v>SAFe SSM</c:v>
                </c:pt>
                <c:pt idx="8">
                  <c:v>Implementing SAFe</c:v>
                </c:pt>
                <c:pt idx="9">
                  <c:v>PMP</c:v>
                </c:pt>
                <c:pt idx="10">
                  <c:v>PSPO 2</c:v>
                </c:pt>
                <c:pt idx="11">
                  <c:v>ITIL 4</c:v>
                </c:pt>
                <c:pt idx="12">
                  <c:v>SAFe RTE</c:v>
                </c:pt>
                <c:pt idx="13">
                  <c:v>P2 F&amp;P</c:v>
                </c:pt>
                <c:pt idx="14">
                  <c:v>MBA IU LSBU</c:v>
                </c:pt>
                <c:pt idx="15">
                  <c:v>PGP Cloud</c:v>
                </c:pt>
                <c:pt idx="16">
                  <c:v>ICP-ACC</c:v>
                </c:pt>
                <c:pt idx="17">
                  <c:v>SAFe for Government</c:v>
                </c:pt>
                <c:pt idx="18">
                  <c:v>PGP PM</c:v>
                </c:pt>
                <c:pt idx="19">
                  <c:v>PGP BA</c:v>
                </c:pt>
                <c:pt idx="20">
                  <c:v>P2 Foundation</c:v>
                </c:pt>
                <c:pt idx="21">
                  <c:v>PGP Cyber Security</c:v>
                </c:pt>
              </c:strCache>
            </c:strRef>
          </c:cat>
          <c:val>
            <c:numRef>
              <c:f>'Top Courses By Revenue'!$B$4:$B$26</c:f>
              <c:numCache>
                <c:formatCode>_-[$$-409]* #,##0_ ;_-[$$-409]* \-#,##0\ ;_-[$$-409]* "-"??_ ;_-@_ </c:formatCode>
                <c:ptCount val="22"/>
                <c:pt idx="0">
                  <c:v>95759.790655061792</c:v>
                </c:pt>
                <c:pt idx="1">
                  <c:v>69707.627118643999</c:v>
                </c:pt>
                <c:pt idx="2">
                  <c:v>68139.567109482581</c:v>
                </c:pt>
                <c:pt idx="3">
                  <c:v>36211.635364177659</c:v>
                </c:pt>
                <c:pt idx="4">
                  <c:v>33947.984425103154</c:v>
                </c:pt>
                <c:pt idx="5">
                  <c:v>28702.954649564799</c:v>
                </c:pt>
                <c:pt idx="6">
                  <c:v>26680.943655519906</c:v>
                </c:pt>
                <c:pt idx="7">
                  <c:v>8876.7979844251058</c:v>
                </c:pt>
                <c:pt idx="8">
                  <c:v>7901.9697663765464</c:v>
                </c:pt>
                <c:pt idx="9">
                  <c:v>6225.0000000000009</c:v>
                </c:pt>
                <c:pt idx="10">
                  <c:v>6046.72469079249</c:v>
                </c:pt>
                <c:pt idx="11">
                  <c:v>5951.2139257901981</c:v>
                </c:pt>
                <c:pt idx="12">
                  <c:v>5783.3256985799371</c:v>
                </c:pt>
                <c:pt idx="13">
                  <c:v>5726.065048098947</c:v>
                </c:pt>
                <c:pt idx="14">
                  <c:v>4234.4251030691712</c:v>
                </c:pt>
                <c:pt idx="15">
                  <c:v>3950.9848831882732</c:v>
                </c:pt>
                <c:pt idx="16">
                  <c:v>3515.8039395327532</c:v>
                </c:pt>
                <c:pt idx="17">
                  <c:v>3401.2826385707745</c:v>
                </c:pt>
                <c:pt idx="18">
                  <c:v>1351.3513513513512</c:v>
                </c:pt>
                <c:pt idx="19">
                  <c:v>1145.2130096197893</c:v>
                </c:pt>
                <c:pt idx="20">
                  <c:v>1073.2249198350894</c:v>
                </c:pt>
                <c:pt idx="21">
                  <c:v>1022.1026110856619</c:v>
                </c:pt>
              </c:numCache>
            </c:numRef>
          </c:val>
          <c:smooth val="0"/>
          <c:extLst>
            <c:ext xmlns:c16="http://schemas.microsoft.com/office/drawing/2014/chart" uri="{C3380CC4-5D6E-409C-BE32-E72D297353CC}">
              <c16:uniqueId val="{00000001-82EC-4300-B021-5F4B1431800E}"/>
            </c:ext>
          </c:extLst>
        </c:ser>
        <c:dLbls>
          <c:dLblPos val="t"/>
          <c:showLegendKey val="0"/>
          <c:showVal val="1"/>
          <c:showCatName val="0"/>
          <c:showSerName val="0"/>
          <c:showPercent val="0"/>
          <c:showBubbleSize val="0"/>
        </c:dLbls>
        <c:marker val="1"/>
        <c:smooth val="0"/>
        <c:axId val="732798248"/>
        <c:axId val="732803648"/>
      </c:lineChart>
      <c:catAx>
        <c:axId val="732798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803648"/>
        <c:crosses val="autoZero"/>
        <c:auto val="1"/>
        <c:lblAlgn val="ctr"/>
        <c:lblOffset val="100"/>
        <c:noMultiLvlLbl val="0"/>
      </c:catAx>
      <c:valAx>
        <c:axId val="732803648"/>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8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[Agile_Sales_Project.xlsx]Yearly Trend!AgileSales</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'Yearly Trend'!$B$3</c:f>
              <c:strCache>
                <c:ptCount val="1"/>
                <c:pt idx="0">
                  <c:v>Total</c:v>
                </c:pt>
              </c:strCache>
            </c:strRef>
          </c:tx>
          <c:spPr>
            <a:solidFill>
              <a:schemeClr val="accent1"/>
            </a:solidFill>
            <a:ln>
              <a:noFill/>
            </a:ln>
            <a:effectLst/>
          </c:spPr>
          <c:invertIfNegative val="0"/>
          <c:cat>
            <c:strRef>
              <c:f>'Yearly Trend'!$A$4:$A$8</c:f>
              <c:strCache>
                <c:ptCount val="4"/>
                <c:pt idx="0">
                  <c:v>2020</c:v>
                </c:pt>
                <c:pt idx="1">
                  <c:v>2021</c:v>
                </c:pt>
                <c:pt idx="2">
                  <c:v>2022</c:v>
                </c:pt>
                <c:pt idx="3">
                  <c:v>2023</c:v>
                </c:pt>
              </c:strCache>
            </c:strRef>
          </c:cat>
          <c:val>
            <c:numRef>
              <c:f>'Yearly Trend'!$B$4:$B$8</c:f>
              <c:numCache>
                <c:formatCode>_-[$$-409]* #,##0.00_ ;_-[$$-409]* \-#,##0.00\ ;_-[$$-409]* "-"??_ ;_-@_ </c:formatCode>
                <c:ptCount val="4"/>
                <c:pt idx="0">
                  <c:v>12260.845167201103</c:v>
                </c:pt>
                <c:pt idx="1">
                  <c:v>171853.01191021572</c:v>
                </c:pt>
                <c:pt idx="2">
                  <c:v>180874.2088868538</c:v>
                </c:pt>
                <c:pt idx="3">
                  <c:v>80649.507558405865</c:v>
                </c:pt>
              </c:numCache>
            </c:numRef>
          </c:val>
          <c:extLst>
            <c:ext xmlns:c16="http://schemas.microsoft.com/office/drawing/2014/chart" uri="{C3380CC4-5D6E-409C-BE32-E72D297353CC}">
              <c16:uniqueId val="{00000000-D5F7-48BA-95DC-5168EDAA58E2}"/>
            </c:ext>
          </c:extLst>
        </c:ser>
        <c:dLbls>
          <c:showLegendKey val="0"/>
          <c:showVal val="0"/>
          <c:showCatName val="0"/>
          <c:showSerName val="0"/>
          <c:showPercent val="0"/>
          <c:showBubbleSize val="0"/>
        </c:dLbls>
        <c:gapWidth val="219"/>
        <c:overlap val="-27"/>
        <c:axId val="732791048"/>
        <c:axId val="732795728"/>
      </c:barChart>
      <c:catAx>
        <c:axId val="732791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5728"/>
        <c:crosses val="autoZero"/>
        <c:auto val="1"/>
        <c:lblAlgn val="ctr"/>
        <c:lblOffset val="100"/>
        <c:noMultiLvlLbl val="0"/>
      </c:catAx>
      <c:valAx>
        <c:axId val="732795728"/>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79104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0</xdr:rowOff>
    </xdr:from>
    <xdr:to>
      <xdr:col>24</xdr:col>
      <xdr:colOff>0</xdr:colOff>
      <xdr:row>4</xdr:row>
      <xdr:rowOff>0</xdr:rowOff>
    </xdr:to>
    <xdr:sp macro="" textlink="">
      <xdr:nvSpPr>
        <xdr:cNvPr id="2" name="Rectangle 1">
          <a:extLst>
            <a:ext uri="{FF2B5EF4-FFF2-40B4-BE49-F238E27FC236}">
              <a16:creationId xmlns:a16="http://schemas.microsoft.com/office/drawing/2014/main" id="{061C040E-98DA-B7AF-CE10-F68E99ADD30B}"/>
            </a:ext>
          </a:extLst>
        </xdr:cNvPr>
        <xdr:cNvSpPr/>
      </xdr:nvSpPr>
      <xdr:spPr>
        <a:xfrm>
          <a:off x="121920" y="60960"/>
          <a:ext cx="14020800" cy="525780"/>
        </a:xfrm>
        <a:prstGeom prst="rect">
          <a:avLst/>
        </a:prstGeom>
        <a:solidFill>
          <a:schemeClr val="accent5">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t>Agile Sales Performance from</a:t>
          </a:r>
          <a:r>
            <a:rPr lang="en-IN" sz="3200" baseline="0"/>
            <a:t> Nov 2020 - May 2023_NSR</a:t>
          </a:r>
          <a:endParaRPr lang="en-IN" sz="3200"/>
        </a:p>
      </xdr:txBody>
    </xdr:sp>
    <xdr:clientData/>
  </xdr:twoCellAnchor>
  <xdr:twoCellAnchor>
    <xdr:from>
      <xdr:col>11</xdr:col>
      <xdr:colOff>175260</xdr:colOff>
      <xdr:row>5</xdr:row>
      <xdr:rowOff>0</xdr:rowOff>
    </xdr:from>
    <xdr:to>
      <xdr:col>16</xdr:col>
      <xdr:colOff>0</xdr:colOff>
      <xdr:row>27</xdr:row>
      <xdr:rowOff>0</xdr:rowOff>
    </xdr:to>
    <xdr:graphicFrame macro="">
      <xdr:nvGraphicFramePr>
        <xdr:cNvPr id="3" name="Chart 2">
          <a:extLst>
            <a:ext uri="{FF2B5EF4-FFF2-40B4-BE49-F238E27FC236}">
              <a16:creationId xmlns:a16="http://schemas.microsoft.com/office/drawing/2014/main" id="{594E7B1E-DAAA-4B60-9F8C-5F52E581C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21</xdr:col>
      <xdr:colOff>129540</xdr:colOff>
      <xdr:row>5</xdr:row>
      <xdr:rowOff>0</xdr:rowOff>
    </xdr:from>
    <xdr:to>
      <xdr:col>23</xdr:col>
      <xdr:colOff>449580</xdr:colOff>
      <xdr:row>10</xdr:row>
      <xdr:rowOff>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1659BB97-96DC-424E-B064-B87169A962FE}"/>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2443460" y="769620"/>
              <a:ext cx="153924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28</xdr:row>
      <xdr:rowOff>0</xdr:rowOff>
    </xdr:from>
    <xdr:to>
      <xdr:col>12</xdr:col>
      <xdr:colOff>0</xdr:colOff>
      <xdr:row>45</xdr:row>
      <xdr:rowOff>0</xdr:rowOff>
    </xdr:to>
    <xdr:graphicFrame macro="">
      <xdr:nvGraphicFramePr>
        <xdr:cNvPr id="6" name="Chart 5">
          <a:extLst>
            <a:ext uri="{FF2B5EF4-FFF2-40B4-BE49-F238E27FC236}">
              <a16:creationId xmlns:a16="http://schemas.microsoft.com/office/drawing/2014/main" id="{A1205033-E302-4945-A1E8-F3865B257B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83820</xdr:colOff>
      <xdr:row>28</xdr:row>
      <xdr:rowOff>0</xdr:rowOff>
    </xdr:from>
    <xdr:to>
      <xdr:col>24</xdr:col>
      <xdr:colOff>0</xdr:colOff>
      <xdr:row>45</xdr:row>
      <xdr:rowOff>0</xdr:rowOff>
    </xdr:to>
    <xdr:graphicFrame macro="">
      <xdr:nvGraphicFramePr>
        <xdr:cNvPr id="7" name="Chart 6">
          <a:extLst>
            <a:ext uri="{FF2B5EF4-FFF2-40B4-BE49-F238E27FC236}">
              <a16:creationId xmlns:a16="http://schemas.microsoft.com/office/drawing/2014/main" id="{DB6162F5-FDBD-4CDD-BBAA-4C7B64772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281940</xdr:colOff>
      <xdr:row>5</xdr:row>
      <xdr:rowOff>7620</xdr:rowOff>
    </xdr:from>
    <xdr:to>
      <xdr:col>21</xdr:col>
      <xdr:colOff>0</xdr:colOff>
      <xdr:row>27</xdr:row>
      <xdr:rowOff>0</xdr:rowOff>
    </xdr:to>
    <xdr:graphicFrame macro="">
      <xdr:nvGraphicFramePr>
        <xdr:cNvPr id="8" name="Chart 7">
          <a:extLst>
            <a:ext uri="{FF2B5EF4-FFF2-40B4-BE49-F238E27FC236}">
              <a16:creationId xmlns:a16="http://schemas.microsoft.com/office/drawing/2014/main" id="{041F6B25-23A3-4BA2-B959-483998EB2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8</xdr:row>
      <xdr:rowOff>0</xdr:rowOff>
    </xdr:from>
    <xdr:to>
      <xdr:col>11</xdr:col>
      <xdr:colOff>0</xdr:colOff>
      <xdr:row>27</xdr:row>
      <xdr:rowOff>0</xdr:rowOff>
    </xdr:to>
    <xdr:graphicFrame macro="">
      <xdr:nvGraphicFramePr>
        <xdr:cNvPr id="11" name="Chart 10">
          <a:extLst>
            <a:ext uri="{FF2B5EF4-FFF2-40B4-BE49-F238E27FC236}">
              <a16:creationId xmlns:a16="http://schemas.microsoft.com/office/drawing/2014/main" id="{57555076-9E19-464D-BA93-B195064F9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21</xdr:col>
      <xdr:colOff>144780</xdr:colOff>
      <xdr:row>11</xdr:row>
      <xdr:rowOff>144780</xdr:rowOff>
    </xdr:from>
    <xdr:to>
      <xdr:col>23</xdr:col>
      <xdr:colOff>487680</xdr:colOff>
      <xdr:row>19</xdr:row>
      <xdr:rowOff>175259</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2DE7AA86-634B-458F-A7D2-7A4F5972F87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458700" y="2217420"/>
              <a:ext cx="15621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24</xdr:col>
      <xdr:colOff>0</xdr:colOff>
      <xdr:row>4</xdr:row>
      <xdr:rowOff>0</xdr:rowOff>
    </xdr:to>
    <xdr:sp macro="" textlink="">
      <xdr:nvSpPr>
        <xdr:cNvPr id="2" name="Rectangle 1">
          <a:extLst>
            <a:ext uri="{FF2B5EF4-FFF2-40B4-BE49-F238E27FC236}">
              <a16:creationId xmlns:a16="http://schemas.microsoft.com/office/drawing/2014/main" id="{89C20357-A8BE-4CED-A4BC-BE324D3029BF}"/>
            </a:ext>
          </a:extLst>
        </xdr:cNvPr>
        <xdr:cNvSpPr/>
      </xdr:nvSpPr>
      <xdr:spPr>
        <a:xfrm>
          <a:off x="121920" y="60960"/>
          <a:ext cx="14020800" cy="5257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3200"/>
            <a:t>Agile Sales Trend from</a:t>
          </a:r>
          <a:r>
            <a:rPr lang="en-IN" sz="3200" baseline="0"/>
            <a:t> Nov 2020 - May 2023_NSR</a:t>
          </a:r>
          <a:endParaRPr lang="en-IN" sz="3200"/>
        </a:p>
      </xdr:txBody>
    </xdr:sp>
    <xdr:clientData/>
  </xdr:twoCellAnchor>
  <xdr:twoCellAnchor>
    <xdr:from>
      <xdr:col>1</xdr:col>
      <xdr:colOff>0</xdr:colOff>
      <xdr:row>11</xdr:row>
      <xdr:rowOff>0</xdr:rowOff>
    </xdr:from>
    <xdr:to>
      <xdr:col>12</xdr:col>
      <xdr:colOff>0</xdr:colOff>
      <xdr:row>27</xdr:row>
      <xdr:rowOff>0</xdr:rowOff>
    </xdr:to>
    <xdr:graphicFrame macro="">
      <xdr:nvGraphicFramePr>
        <xdr:cNvPr id="3" name="Chart 2">
          <a:extLst>
            <a:ext uri="{FF2B5EF4-FFF2-40B4-BE49-F238E27FC236}">
              <a16:creationId xmlns:a16="http://schemas.microsoft.com/office/drawing/2014/main" id="{417B64E0-32A1-4F3A-8C7E-BF198CD8E7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0</xdr:colOff>
      <xdr:row>11</xdr:row>
      <xdr:rowOff>0</xdr:rowOff>
    </xdr:from>
    <xdr:to>
      <xdr:col>24</xdr:col>
      <xdr:colOff>0</xdr:colOff>
      <xdr:row>26</xdr:row>
      <xdr:rowOff>167640</xdr:rowOff>
    </xdr:to>
    <xdr:graphicFrame macro="">
      <xdr:nvGraphicFramePr>
        <xdr:cNvPr id="4" name="Chart 3">
          <a:extLst>
            <a:ext uri="{FF2B5EF4-FFF2-40B4-BE49-F238E27FC236}">
              <a16:creationId xmlns:a16="http://schemas.microsoft.com/office/drawing/2014/main" id="{579D7295-2C16-4FEB-80DD-8BA48132B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xdr:col>
      <xdr:colOff>0</xdr:colOff>
      <xdr:row>4</xdr:row>
      <xdr:rowOff>110643</xdr:rowOff>
    </xdr:from>
    <xdr:to>
      <xdr:col>6</xdr:col>
      <xdr:colOff>281940</xdr:colOff>
      <xdr:row>8</xdr:row>
      <xdr:rowOff>0</xdr:rowOff>
    </xdr:to>
    <mc:AlternateContent xmlns:mc="http://schemas.openxmlformats.org/markup-compatibility/2006" xmlns:a14="http://schemas.microsoft.com/office/drawing/2010/main">
      <mc:Choice Requires="a14">
        <xdr:graphicFrame macro="">
          <xdr:nvGraphicFramePr>
            <xdr:cNvPr id="5" name="Category 3">
              <a:extLst>
                <a:ext uri="{FF2B5EF4-FFF2-40B4-BE49-F238E27FC236}">
                  <a16:creationId xmlns:a16="http://schemas.microsoft.com/office/drawing/2014/main" id="{3BBBEE33-572D-4755-ACD2-A638D7AC500B}"/>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21920" y="697383"/>
              <a:ext cx="3329940" cy="590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0</xdr:colOff>
      <xdr:row>4</xdr:row>
      <xdr:rowOff>45720</xdr:rowOff>
    </xdr:from>
    <xdr:to>
      <xdr:col>24</xdr:col>
      <xdr:colOff>0</xdr:colOff>
      <xdr:row>10</xdr:row>
      <xdr:rowOff>121920</xdr:rowOff>
    </xdr:to>
    <mc:AlternateContent xmlns:mc="http://schemas.openxmlformats.org/markup-compatibility/2006" xmlns:a14="http://schemas.microsoft.com/office/drawing/2010/main">
      <mc:Choice Requires="a14">
        <xdr:graphicFrame macro="">
          <xdr:nvGraphicFramePr>
            <xdr:cNvPr id="7" name="Month 1">
              <a:extLst>
                <a:ext uri="{FF2B5EF4-FFF2-40B4-BE49-F238E27FC236}">
                  <a16:creationId xmlns:a16="http://schemas.microsoft.com/office/drawing/2014/main" id="{FD4A21E6-72CD-4B4B-B422-0E69CD053D5B}"/>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mlns="">
        <xdr:sp macro="" textlink="">
          <xdr:nvSpPr>
            <xdr:cNvPr id="0" name=""/>
            <xdr:cNvSpPr>
              <a:spLocks noTextEdit="1"/>
            </xdr:cNvSpPr>
          </xdr:nvSpPr>
          <xdr:spPr>
            <a:xfrm>
              <a:off x="3779520" y="632460"/>
              <a:ext cx="10012680" cy="11277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0</xdr:colOff>
      <xdr:row>28</xdr:row>
      <xdr:rowOff>0</xdr:rowOff>
    </xdr:from>
    <xdr:to>
      <xdr:col>9</xdr:col>
      <xdr:colOff>0</xdr:colOff>
      <xdr:row>43</xdr:row>
      <xdr:rowOff>160020</xdr:rowOff>
    </xdr:to>
    <xdr:graphicFrame macro="">
      <xdr:nvGraphicFramePr>
        <xdr:cNvPr id="8" name="Chart 7">
          <a:extLst>
            <a:ext uri="{FF2B5EF4-FFF2-40B4-BE49-F238E27FC236}">
              <a16:creationId xmlns:a16="http://schemas.microsoft.com/office/drawing/2014/main" id="{8B598A89-FC10-4830-B965-85A3A2BE2F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304800</xdr:colOff>
      <xdr:row>28</xdr:row>
      <xdr:rowOff>0</xdr:rowOff>
    </xdr:from>
    <xdr:to>
      <xdr:col>24</xdr:col>
      <xdr:colOff>0</xdr:colOff>
      <xdr:row>44</xdr:row>
      <xdr:rowOff>0</xdr:rowOff>
    </xdr:to>
    <xdr:graphicFrame macro="">
      <xdr:nvGraphicFramePr>
        <xdr:cNvPr id="9" name="Chart 8">
          <a:extLst>
            <a:ext uri="{FF2B5EF4-FFF2-40B4-BE49-F238E27FC236}">
              <a16:creationId xmlns:a16="http://schemas.microsoft.com/office/drawing/2014/main" id="{C558E802-C838-4C54-83EB-1A9A04496F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45</xdr:row>
      <xdr:rowOff>0</xdr:rowOff>
    </xdr:from>
    <xdr:to>
      <xdr:col>24</xdr:col>
      <xdr:colOff>0</xdr:colOff>
      <xdr:row>61</xdr:row>
      <xdr:rowOff>0</xdr:rowOff>
    </xdr:to>
    <xdr:graphicFrame macro="">
      <xdr:nvGraphicFramePr>
        <xdr:cNvPr id="10" name="Chart 9">
          <a:extLst>
            <a:ext uri="{FF2B5EF4-FFF2-40B4-BE49-F238E27FC236}">
              <a16:creationId xmlns:a16="http://schemas.microsoft.com/office/drawing/2014/main" id="{FA36438C-4D6D-4FDE-B0A1-F2FC169B9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259080</xdr:colOff>
      <xdr:row>88</xdr:row>
      <xdr:rowOff>91440</xdr:rowOff>
    </xdr:from>
    <xdr:to>
      <xdr:col>15</xdr:col>
      <xdr:colOff>304800</xdr:colOff>
      <xdr:row>104</xdr:row>
      <xdr:rowOff>30480</xdr:rowOff>
    </xdr:to>
    <xdr:graphicFrame macro="">
      <xdr:nvGraphicFramePr>
        <xdr:cNvPr id="8" name="Chart 7">
          <a:extLst>
            <a:ext uri="{FF2B5EF4-FFF2-40B4-BE49-F238E27FC236}">
              <a16:creationId xmlns:a16="http://schemas.microsoft.com/office/drawing/2014/main" id="{DFA1272B-66D5-148F-DA1D-A569BC65CE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1</xdr:row>
      <xdr:rowOff>152400</xdr:rowOff>
    </xdr:from>
    <xdr:to>
      <xdr:col>7</xdr:col>
      <xdr:colOff>830580</xdr:colOff>
      <xdr:row>26</xdr:row>
      <xdr:rowOff>83820</xdr:rowOff>
    </xdr:to>
    <xdr:graphicFrame macro="">
      <xdr:nvGraphicFramePr>
        <xdr:cNvPr id="4" name="Chart 3">
          <a:extLst>
            <a:ext uri="{FF2B5EF4-FFF2-40B4-BE49-F238E27FC236}">
              <a16:creationId xmlns:a16="http://schemas.microsoft.com/office/drawing/2014/main" id="{FFD7417F-41AD-1125-847C-A58F2D667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487680</xdr:colOff>
      <xdr:row>3</xdr:row>
      <xdr:rowOff>60960</xdr:rowOff>
    </xdr:from>
    <xdr:to>
      <xdr:col>11</xdr:col>
      <xdr:colOff>22860</xdr:colOff>
      <xdr:row>11</xdr:row>
      <xdr:rowOff>45720</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26A6412B-0DA6-2725-B516-28C0877AA81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56320" y="586740"/>
              <a:ext cx="1828800" cy="1386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1196340</xdr:colOff>
      <xdr:row>11</xdr:row>
      <xdr:rowOff>152400</xdr:rowOff>
    </xdr:from>
    <xdr:to>
      <xdr:col>10</xdr:col>
      <xdr:colOff>457200</xdr:colOff>
      <xdr:row>20</xdr:row>
      <xdr:rowOff>7619</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C9830B0-FD8B-0F51-6048-98C34AB0A52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970520" y="2080260"/>
              <a:ext cx="1828800" cy="14325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7620</xdr:colOff>
      <xdr:row>3</xdr:row>
      <xdr:rowOff>91440</xdr:rowOff>
    </xdr:from>
    <xdr:to>
      <xdr:col>19</xdr:col>
      <xdr:colOff>449580</xdr:colOff>
      <xdr:row>19</xdr:row>
      <xdr:rowOff>30480</xdr:rowOff>
    </xdr:to>
    <xdr:graphicFrame macro="">
      <xdr:nvGraphicFramePr>
        <xdr:cNvPr id="2" name="Chart 1">
          <a:extLst>
            <a:ext uri="{FF2B5EF4-FFF2-40B4-BE49-F238E27FC236}">
              <a16:creationId xmlns:a16="http://schemas.microsoft.com/office/drawing/2014/main" id="{4366BCD0-10EC-4867-8FE2-AAEC7A9454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472440</xdr:colOff>
      <xdr:row>2</xdr:row>
      <xdr:rowOff>60960</xdr:rowOff>
    </xdr:from>
    <xdr:to>
      <xdr:col>5</xdr:col>
      <xdr:colOff>403860</xdr:colOff>
      <xdr:row>20</xdr:row>
      <xdr:rowOff>114300</xdr:rowOff>
    </xdr:to>
    <xdr:graphicFrame macro="">
      <xdr:nvGraphicFramePr>
        <xdr:cNvPr id="3" name="Chart 2">
          <a:extLst>
            <a:ext uri="{FF2B5EF4-FFF2-40B4-BE49-F238E27FC236}">
              <a16:creationId xmlns:a16="http://schemas.microsoft.com/office/drawing/2014/main" id="{407E9F0F-64DB-CFFA-9A82-63939CDE9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381000</xdr:colOff>
      <xdr:row>2</xdr:row>
      <xdr:rowOff>7620</xdr:rowOff>
    </xdr:from>
    <xdr:to>
      <xdr:col>10</xdr:col>
      <xdr:colOff>175260</xdr:colOff>
      <xdr:row>17</xdr:row>
      <xdr:rowOff>121920</xdr:rowOff>
    </xdr:to>
    <xdr:graphicFrame macro="">
      <xdr:nvGraphicFramePr>
        <xdr:cNvPr id="4" name="Chart 3">
          <a:extLst>
            <a:ext uri="{FF2B5EF4-FFF2-40B4-BE49-F238E27FC236}">
              <a16:creationId xmlns:a16="http://schemas.microsoft.com/office/drawing/2014/main" id="{F311EF93-076F-32BA-40FB-3BBF78BB0F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152400</xdr:colOff>
      <xdr:row>2</xdr:row>
      <xdr:rowOff>7620</xdr:rowOff>
    </xdr:from>
    <xdr:to>
      <xdr:col>14</xdr:col>
      <xdr:colOff>525780</xdr:colOff>
      <xdr:row>8</xdr:row>
      <xdr:rowOff>91439</xdr:rowOff>
    </xdr:to>
    <mc:AlternateContent xmlns:mc="http://schemas.openxmlformats.org/markup-compatibility/2006" xmlns:a14="http://schemas.microsoft.com/office/drawing/2010/main">
      <mc:Choice Requires="a14">
        <xdr:graphicFrame macro="">
          <xdr:nvGraphicFramePr>
            <xdr:cNvPr id="5" name="Category 2">
              <a:extLst>
                <a:ext uri="{FF2B5EF4-FFF2-40B4-BE49-F238E27FC236}">
                  <a16:creationId xmlns:a16="http://schemas.microsoft.com/office/drawing/2014/main" id="{33238C8A-47AC-F96F-AA17-F51AA6724580}"/>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9540240" y="358140"/>
              <a:ext cx="1828800" cy="11353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45720</xdr:colOff>
      <xdr:row>10</xdr:row>
      <xdr:rowOff>45721</xdr:rowOff>
    </xdr:from>
    <xdr:to>
      <xdr:col>18</xdr:col>
      <xdr:colOff>1021080</xdr:colOff>
      <xdr:row>16</xdr:row>
      <xdr:rowOff>99061</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565391D3-0178-552A-EDB2-71B04BDC829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9433560" y="1798321"/>
              <a:ext cx="4351020" cy="1104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518160</xdr:colOff>
      <xdr:row>17</xdr:row>
      <xdr:rowOff>167640</xdr:rowOff>
    </xdr:to>
    <xdr:graphicFrame macro="">
      <xdr:nvGraphicFramePr>
        <xdr:cNvPr id="3" name="Chart 2">
          <a:extLst>
            <a:ext uri="{FF2B5EF4-FFF2-40B4-BE49-F238E27FC236}">
              <a16:creationId xmlns:a16="http://schemas.microsoft.com/office/drawing/2014/main" id="{3EB82590-B992-0591-4F56-7A8788E11D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259080</xdr:colOff>
      <xdr:row>3</xdr:row>
      <xdr:rowOff>152400</xdr:rowOff>
    </xdr:from>
    <xdr:to>
      <xdr:col>13</xdr:col>
      <xdr:colOff>68580</xdr:colOff>
      <xdr:row>19</xdr:row>
      <xdr:rowOff>91440</xdr:rowOff>
    </xdr:to>
    <xdr:graphicFrame macro="">
      <xdr:nvGraphicFramePr>
        <xdr:cNvPr id="3" name="Chart 2">
          <a:extLst>
            <a:ext uri="{FF2B5EF4-FFF2-40B4-BE49-F238E27FC236}">
              <a16:creationId xmlns:a16="http://schemas.microsoft.com/office/drawing/2014/main" id="{8CD23937-B51B-FAC1-CFA1-5E1D21D8F0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259080</xdr:colOff>
      <xdr:row>3</xdr:row>
      <xdr:rowOff>152400</xdr:rowOff>
    </xdr:from>
    <xdr:to>
      <xdr:col>14</xdr:col>
      <xdr:colOff>167640</xdr:colOff>
      <xdr:row>19</xdr:row>
      <xdr:rowOff>91440</xdr:rowOff>
    </xdr:to>
    <xdr:graphicFrame macro="">
      <xdr:nvGraphicFramePr>
        <xdr:cNvPr id="2" name="Chart 1">
          <a:extLst>
            <a:ext uri="{FF2B5EF4-FFF2-40B4-BE49-F238E27FC236}">
              <a16:creationId xmlns:a16="http://schemas.microsoft.com/office/drawing/2014/main" id="{71D619DE-B14F-4B64-A4EE-06412275C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xdr:colOff>
      <xdr:row>2</xdr:row>
      <xdr:rowOff>15240</xdr:rowOff>
    </xdr:from>
    <xdr:to>
      <xdr:col>9</xdr:col>
      <xdr:colOff>525780</xdr:colOff>
      <xdr:row>18</xdr:row>
      <xdr:rowOff>0</xdr:rowOff>
    </xdr:to>
    <xdr:graphicFrame macro="">
      <xdr:nvGraphicFramePr>
        <xdr:cNvPr id="3" name="Chart 2">
          <a:extLst>
            <a:ext uri="{FF2B5EF4-FFF2-40B4-BE49-F238E27FC236}">
              <a16:creationId xmlns:a16="http://schemas.microsoft.com/office/drawing/2014/main" id="{BE997232-298D-F428-66D9-63B15515F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Shankar R" refreshedDate="45217.648439699071" createdVersion="8" refreshedVersion="8" minRefreshableVersion="3" recordCount="1442" xr:uid="{021085CA-F85A-4E68-9002-8977053A0D9B}">
  <cacheSource type="worksheet">
    <worksheetSource name="AgileSales"/>
  </cacheSource>
  <cacheFields count="19">
    <cacheField name="Date" numFmtId="174">
      <sharedItems containsSemiMixedTypes="0" containsNonDate="0" containsDate="1" containsString="0" minDate="2020-11-10T00:00:00" maxDate="2023-05-28T00:00:00" count="638">
        <d v="2021-04-05T00:00:00"/>
        <d v="2021-04-30T00:00:00"/>
        <d v="2020-11-10T00:00:00"/>
        <d v="2020-11-11T00:00:00"/>
        <d v="2020-11-12T00:00:00"/>
        <d v="2020-11-13T00:00:00"/>
        <d v="2020-11-17T00:00:00"/>
        <d v="2020-11-18T00:00:00"/>
        <d v="2020-11-20T00:00:00"/>
        <d v="2020-11-24T00:00:00"/>
        <d v="2020-11-16T00:00:00"/>
        <d v="2020-11-28T00:00:00"/>
        <d v="2020-12-03T00:00:00"/>
        <d v="2020-12-04T00:00:00"/>
        <d v="2020-11-19T00:00:00"/>
        <d v="2020-11-30T00:00:00"/>
        <d v="2020-12-02T00:00:00"/>
        <d v="2020-12-07T00:00:00"/>
        <d v="2020-12-08T00:00:00"/>
        <d v="2020-12-09T00:00:00"/>
        <d v="2020-11-26T00:00:00"/>
        <d v="2020-12-16T00:00:00"/>
        <d v="2020-11-23T00:00:00"/>
        <d v="2020-11-25T00:00:00"/>
        <d v="2020-12-19T00:00:00"/>
        <d v="2020-12-18T00:00:00"/>
        <d v="2020-12-20T00:00:00"/>
        <d v="2020-12-23T00:00:00"/>
        <d v="2020-12-22T00:00:00"/>
        <d v="2020-12-21T00:00:00"/>
        <d v="2020-12-24T00:00:00"/>
        <d v="2020-12-26T00:00:00"/>
        <d v="2020-12-30T00:00:00"/>
        <d v="2020-12-31T00:00:00"/>
        <d v="2020-12-17T00:00:00"/>
        <d v="2021-01-02T00:00:00"/>
        <d v="2021-01-04T00:00:00"/>
        <d v="2021-01-05T00:00:00"/>
        <d v="2021-01-06T00:00:00"/>
        <d v="2021-01-07T00:00:00"/>
        <d v="2021-01-09T00:00:00"/>
        <d v="2021-01-11T00:00:00"/>
        <d v="2021-01-10T00:00:00"/>
        <d v="2021-01-14T00:00:00"/>
        <d v="2020-12-25T00:00:00"/>
        <d v="2021-01-17T00:00:00"/>
        <d v="2021-01-16T00:00:00"/>
        <d v="2021-01-18T00:00:00"/>
        <d v="2021-01-20T00:00:00"/>
        <d v="2021-01-23T00:00:00"/>
        <d v="2021-01-25T00:00:00"/>
        <d v="2021-01-21T00:00:00"/>
        <d v="2021-01-27T00:00:00"/>
        <d v="2021-01-28T00:00:00"/>
        <d v="2021-01-30T00:00:00"/>
        <d v="2021-01-31T00:00:00"/>
        <d v="2021-02-01T00:00:00"/>
        <d v="2021-02-02T00:00:00"/>
        <d v="2021-02-03T00:00:00"/>
        <d v="2021-02-04T00:00:00"/>
        <d v="2021-02-05T00:00:00"/>
        <d v="2021-01-08T00:00:00"/>
        <d v="2021-02-06T00:00:00"/>
        <d v="2021-02-10T00:00:00"/>
        <d v="2021-02-12T00:00:00"/>
        <d v="2021-02-15T00:00:00"/>
        <d v="2021-02-17T00:00:00"/>
        <d v="2021-02-16T00:00:00"/>
        <d v="2021-02-18T00:00:00"/>
        <d v="2021-02-23T00:00:00"/>
        <d v="2021-02-20T00:00:00"/>
        <d v="2021-02-24T00:00:00"/>
        <d v="2021-02-22T00:00:00"/>
        <d v="2021-02-19T00:00:00"/>
        <d v="2021-02-25T00:00:00"/>
        <d v="2021-02-26T00:00:00"/>
        <d v="2021-03-02T00:00:00"/>
        <d v="2021-03-01T00:00:00"/>
        <d v="2021-03-03T00:00:00"/>
        <d v="2021-03-04T00:00:00"/>
        <d v="2021-03-08T00:00:00"/>
        <d v="2021-03-09T00:00:00"/>
        <d v="2021-03-05T00:00:00"/>
        <d v="2021-03-11T00:00:00"/>
        <d v="2021-03-13T00:00:00"/>
        <d v="2021-03-12T00:00:00"/>
        <d v="2020-12-28T00:00:00"/>
        <d v="2021-03-15T00:00:00"/>
        <d v="2021-03-14T00:00:00"/>
        <d v="2021-03-17T00:00:00"/>
        <d v="2021-03-18T00:00:00"/>
        <d v="2021-03-23T00:00:00"/>
        <d v="2021-03-24T00:00:00"/>
        <d v="2021-03-26T00:00:00"/>
        <d v="2021-03-29T00:00:00"/>
        <d v="2021-03-27T00:00:00"/>
        <d v="2021-03-31T00:00:00"/>
        <d v="2021-04-01T00:00:00"/>
        <d v="2021-04-03T00:00:00"/>
        <d v="2021-04-06T00:00:00"/>
        <d v="2021-04-09T00:00:00"/>
        <d v="2021-04-10T00:00:00"/>
        <d v="2021-04-15T00:00:00"/>
        <d v="2021-04-17T00:00:00"/>
        <d v="2021-04-16T00:00:00"/>
        <d v="2021-04-19T00:00:00"/>
        <d v="2021-04-20T00:00:00"/>
        <d v="2021-03-28T00:00:00"/>
        <d v="2021-04-22T00:00:00"/>
        <d v="2021-04-24T00:00:00"/>
        <d v="2021-04-27T00:00:00"/>
        <d v="2021-04-26T00:00:00"/>
        <d v="2021-04-29T00:00:00"/>
        <d v="2021-05-01T00:00:00"/>
        <d v="2021-05-03T00:00:00"/>
        <d v="2021-05-04T00:00:00"/>
        <d v="2021-05-05T00:00:00"/>
        <d v="2021-05-06T00:00:00"/>
        <d v="2021-05-10T00:00:00"/>
        <d v="2021-05-11T00:00:00"/>
        <d v="2021-05-13T00:00:00"/>
        <d v="2021-05-15T00:00:00"/>
        <d v="2021-05-17T00:00:00"/>
        <d v="2021-05-19T00:00:00"/>
        <d v="2021-05-20T00:00:00"/>
        <d v="2021-05-21T00:00:00"/>
        <d v="2021-05-22T00:00:00"/>
        <d v="2021-05-24T00:00:00"/>
        <d v="2021-05-26T00:00:00"/>
        <d v="2021-05-28T00:00:00"/>
        <d v="2021-05-29T00:00:00"/>
        <d v="2021-02-09T00:00:00"/>
        <d v="2021-06-01T00:00:00"/>
        <d v="2021-06-02T00:00:00"/>
        <d v="2021-06-03T00:00:00"/>
        <d v="2021-06-04T00:00:00"/>
        <d v="2021-06-05T00:00:00"/>
        <d v="2021-06-06T00:00:00"/>
        <d v="2021-06-07T00:00:00"/>
        <d v="2021-06-08T00:00:00"/>
        <d v="2021-06-09T00:00:00"/>
        <d v="2021-06-10T00:00:00"/>
        <d v="2021-06-11T00:00:00"/>
        <d v="2021-06-14T00:00:00"/>
        <d v="2021-06-16T00:00:00"/>
        <d v="2021-06-17T00:00:00"/>
        <d v="2021-06-28T00:00:00"/>
        <d v="2021-06-20T00:00:00"/>
        <d v="2021-06-21T00:00:00"/>
        <d v="2021-06-23T00:00:00"/>
        <d v="2021-06-25T00:00:00"/>
        <d v="2021-06-18T00:00:00"/>
        <d v="2021-06-26T00:00:00"/>
        <d v="2021-06-30T00:00:00"/>
        <d v="2021-07-01T00:00:00"/>
        <d v="2021-07-05T00:00:00"/>
        <d v="2021-07-07T00:00:00"/>
        <d v="2021-06-24T00:00:00"/>
        <d v="2021-06-22T00:00:00"/>
        <d v="2021-07-03T00:00:00"/>
        <d v="2021-07-08T00:00:00"/>
        <d v="2021-07-06T00:00:00"/>
        <d v="2021-07-12T00:00:00"/>
        <d v="2021-07-13T00:00:00"/>
        <d v="2021-07-14T00:00:00"/>
        <d v="2021-07-15T00:00:00"/>
        <d v="2021-07-16T00:00:00"/>
        <d v="2021-07-19T00:00:00"/>
        <d v="2021-07-21T00:00:00"/>
        <d v="2021-07-22T00:00:00"/>
        <d v="2021-07-23T00:00:00"/>
        <d v="2021-07-24T00:00:00"/>
        <d v="2021-07-26T00:00:00"/>
        <d v="2021-07-29T00:00:00"/>
        <d v="2021-07-30T00:00:00"/>
        <d v="2021-07-31T00:00:00"/>
        <d v="2021-08-01T00:00:00"/>
        <d v="2021-08-08T00:00:00"/>
        <d v="2021-08-03T00:00:00"/>
        <d v="2021-08-04T00:00:00"/>
        <d v="2021-08-05T00:00:00"/>
        <d v="2021-08-06T00:00:00"/>
        <d v="2021-08-07T00:00:00"/>
        <d v="2021-08-09T00:00:00"/>
        <d v="2021-08-10T00:00:00"/>
        <d v="2021-08-11T00:00:00"/>
        <d v="2021-08-12T00:00:00"/>
        <d v="2021-08-13T00:00:00"/>
        <d v="2021-08-14T00:00:00"/>
        <d v="2021-08-15T00:00:00"/>
        <d v="2021-08-16T00:00:00"/>
        <d v="2021-08-17T00:00:00"/>
        <d v="2021-08-18T00:00:00"/>
        <d v="2021-08-20T00:00:00"/>
        <d v="2021-08-23T00:00:00"/>
        <d v="2021-08-25T00:00:00"/>
        <d v="2021-08-26T00:00:00"/>
        <d v="2021-08-30T00:00:00"/>
        <d v="2021-08-31T00:00:00"/>
        <d v="2021-09-02T00:00:00"/>
        <d v="2021-09-03T00:00:00"/>
        <d v="2021-09-04T00:00:00"/>
        <d v="2021-09-05T00:00:00"/>
        <d v="2021-09-06T00:00:00"/>
        <d v="2021-09-07T00:00:00"/>
        <d v="2021-09-08T00:00:00"/>
        <d v="2021-09-09T00:00:00"/>
        <d v="2021-09-10T00:00:00"/>
        <d v="2021-09-13T00:00:00"/>
        <d v="2021-09-14T00:00:00"/>
        <d v="2021-09-15T00:00:00"/>
        <d v="2021-09-16T00:00:00"/>
        <d v="2021-09-17T00:00:00"/>
        <d v="2021-09-18T00:00:00"/>
        <d v="2021-09-19T00:00:00"/>
        <d v="2021-09-21T00:00:00"/>
        <d v="2021-09-22T00:00:00"/>
        <d v="2021-09-23T00:00:00"/>
        <d v="2021-09-24T00:00:00"/>
        <d v="2021-09-27T00:00:00"/>
        <d v="2021-09-28T00:00:00"/>
        <d v="2021-09-29T00:00:00"/>
        <d v="2021-10-01T00:00:00"/>
        <d v="2021-10-02T00:00:00"/>
        <d v="2021-10-04T00:00:00"/>
        <d v="2021-10-05T00:00:00"/>
        <d v="2021-10-06T00:00:00"/>
        <d v="2021-10-07T00:00:00"/>
        <d v="2021-10-08T00:00:00"/>
        <d v="2021-10-09T00:00:00"/>
        <d v="2021-10-12T00:00:00"/>
        <d v="2021-10-13T00:00:00"/>
        <d v="2021-10-14T00:00:00"/>
        <d v="2021-10-18T00:00:00"/>
        <d v="2021-10-19T00:00:00"/>
        <d v="2021-10-21T00:00:00"/>
        <d v="2021-10-22T00:00:00"/>
        <d v="2021-10-25T00:00:00"/>
        <d v="2021-10-26T00:00:00"/>
        <d v="2021-10-27T00:00:00"/>
        <d v="2021-10-30T00:00:00"/>
        <d v="2021-11-02T00:00:00"/>
        <d v="2021-11-03T00:00:00"/>
        <d v="2021-11-06T00:00:00"/>
        <d v="2021-11-08T00:00:00"/>
        <d v="2021-11-09T00:00:00"/>
        <d v="2021-11-10T00:00:00"/>
        <d v="2021-11-11T00:00:00"/>
        <d v="2021-11-12T00:00:00"/>
        <d v="2021-11-16T00:00:00"/>
        <d v="2021-11-18T00:00:00"/>
        <d v="2021-11-20T00:00:00"/>
        <d v="2021-11-21T00:00:00"/>
        <d v="2021-11-23T00:00:00"/>
        <d v="2021-11-24T00:00:00"/>
        <d v="2021-11-26T00:00:00"/>
        <d v="2021-11-27T00:00:00"/>
        <d v="2021-11-28T00:00:00"/>
        <d v="2021-11-29T00:00:00"/>
        <d v="2021-11-30T00:00:00"/>
        <d v="2021-12-01T00:00:00"/>
        <d v="2021-12-02T00:00:00"/>
        <d v="2021-12-03T00:00:00"/>
        <d v="2021-12-04T00:00:00"/>
        <d v="2021-12-06T00:00:00"/>
        <d v="2021-12-07T00:00:00"/>
        <d v="2021-12-08T00:00:00"/>
        <d v="2021-12-09T00:00:00"/>
        <d v="2021-12-10T00:00:00"/>
        <d v="2021-12-12T00:00:00"/>
        <d v="2021-12-13T00:00:00"/>
        <d v="2021-12-14T00:00:00"/>
        <d v="2021-12-15T00:00:00"/>
        <d v="2021-12-16T00:00:00"/>
        <d v="2021-12-17T00:00:00"/>
        <d v="2021-12-18T00:00:00"/>
        <d v="2021-12-19T00:00:00"/>
        <d v="2021-12-20T00:00:00"/>
        <d v="2021-12-21T00:00:00"/>
        <d v="2021-12-22T00:00:00"/>
        <d v="2021-12-23T00:00:00"/>
        <d v="2021-12-24T00:00:00"/>
        <d v="2021-12-26T00:00:00"/>
        <d v="2021-12-28T00:00:00"/>
        <d v="2021-12-29T00:00:00"/>
        <d v="2021-12-30T00:00:00"/>
        <d v="2022-01-01T00:00:00"/>
        <d v="2022-01-03T00:00:00"/>
        <d v="2022-01-04T00:00:00"/>
        <d v="2022-01-05T00:00:00"/>
        <d v="2022-01-06T00:00:00"/>
        <d v="2022-01-07T00:00:00"/>
        <d v="2022-01-08T00:00:00"/>
        <d v="2022-01-09T00:00:00"/>
        <d v="2022-01-10T00:00:00"/>
        <d v="2022-01-11T00:00:00"/>
        <d v="2022-01-12T00:00:00"/>
        <d v="2022-01-13T00:00:00"/>
        <d v="2022-01-14T00:00:00"/>
        <d v="2022-01-15T00:00:00"/>
        <d v="2022-01-19T00:00:00"/>
        <d v="2022-01-21T00:00:00"/>
        <d v="2022-01-22T00:00:00"/>
        <d v="2022-01-24T00:00:00"/>
        <d v="2022-01-25T00:00:00"/>
        <d v="2022-01-27T00:00:00"/>
        <d v="2022-01-28T00:00:00"/>
        <d v="2022-01-29T00:00:00"/>
        <d v="2022-01-31T00:00:00"/>
        <d v="2022-02-01T00:00:00"/>
        <d v="2022-02-02T00:00:00"/>
        <d v="2022-02-03T00:00:00"/>
        <d v="2022-02-04T00:00:00"/>
        <d v="2022-02-05T00:00:00"/>
        <d v="2022-02-07T00:00:00"/>
        <d v="2022-02-08T00:00:00"/>
        <d v="2022-02-09T00:00:00"/>
        <d v="2022-02-10T00:00:00"/>
        <d v="2022-02-11T00:00:00"/>
        <d v="2022-02-12T00:00:00"/>
        <d v="2022-02-14T00:00:00"/>
        <d v="2022-02-15T00:00:00"/>
        <d v="2022-02-16T00:00:00"/>
        <d v="2022-02-17T00:00:00"/>
        <d v="2022-02-18T00:00:00"/>
        <d v="2022-02-19T00:00:00"/>
        <d v="2022-02-21T00:00:00"/>
        <d v="2022-02-22T00:00:00"/>
        <d v="2022-02-23T00:00:00"/>
        <d v="2022-02-24T00:00:00"/>
        <d v="2022-02-25T00:00:00"/>
        <d v="2022-02-27T00:00:00"/>
        <d v="2022-02-28T00:00:00"/>
        <d v="2022-03-01T00:00:00"/>
        <d v="2022-03-02T00:00:00"/>
        <d v="2022-03-03T00:00:00"/>
        <d v="2022-03-04T00:00:00"/>
        <d v="2022-03-05T00:00:00"/>
        <d v="2022-03-07T00:00:00"/>
        <d v="2022-03-09T00:00:00"/>
        <d v="2022-03-10T00:00:00"/>
        <d v="2022-03-11T00:00:00"/>
        <d v="2022-03-12T00:00:00"/>
        <d v="2022-03-14T00:00:00"/>
        <d v="2022-03-15T00:00:00"/>
        <d v="2022-03-16T00:00:00"/>
        <d v="2022-03-17T00:00:00"/>
        <d v="2022-03-18T00:00:00"/>
        <d v="2022-03-22T00:00:00"/>
        <d v="2022-03-23T00:00:00"/>
        <d v="2022-03-24T00:00:00"/>
        <d v="2022-03-25T00:00:00"/>
        <d v="2022-03-27T00:00:00"/>
        <d v="2022-03-28T00:00:00"/>
        <d v="2022-03-29T00:00:00"/>
        <d v="2022-03-30T00:00:00"/>
        <d v="2022-03-31T00:00:00"/>
        <d v="2022-04-02T00:00:00"/>
        <d v="2022-04-04T00:00:00"/>
        <d v="2022-04-05T00:00:00"/>
        <d v="2022-04-07T00:00:00"/>
        <d v="2022-04-08T00:00:00"/>
        <d v="2022-04-11T00:00:00"/>
        <d v="2022-04-12T00:00:00"/>
        <d v="2022-04-13T00:00:00"/>
        <d v="2022-04-14T00:00:00"/>
        <d v="2022-04-18T00:00:00"/>
        <d v="2022-04-19T00:00:00"/>
        <d v="2022-04-20T00:00:00"/>
        <d v="2022-04-21T00:00:00"/>
        <d v="2022-04-22T00:00:00"/>
        <d v="2022-04-23T00:00:00"/>
        <d v="2022-04-26T00:00:00"/>
        <d v="2022-04-27T00:00:00"/>
        <d v="2022-04-28T00:00:00"/>
        <d v="2022-04-29T00:00:00"/>
        <d v="2022-04-30T00:00:00"/>
        <d v="2022-05-02T00:00:00"/>
        <d v="2022-05-03T00:00:00"/>
        <d v="2022-05-04T00:00:00"/>
        <d v="2022-05-05T00:00:00"/>
        <d v="2022-05-06T00:00:00"/>
        <d v="2022-05-07T00:00:00"/>
        <d v="2022-05-10T00:00:00"/>
        <d v="2022-05-11T00:00:00"/>
        <d v="2022-05-12T00:00:00"/>
        <d v="2022-05-13T00:00:00"/>
        <d v="2022-05-16T00:00:00"/>
        <d v="2022-05-18T00:00:00"/>
        <d v="2022-05-19T00:00:00"/>
        <d v="2022-05-20T00:00:00"/>
        <d v="2022-05-23T00:00:00"/>
        <d v="2022-05-24T00:00:00"/>
        <d v="2022-05-25T00:00:00"/>
        <d v="2022-05-26T00:00:00"/>
        <d v="2022-05-27T00:00:00"/>
        <d v="2022-05-28T00:00:00"/>
        <d v="2022-05-31T00:00:00"/>
        <d v="2022-06-01T00:00:00"/>
        <d v="2022-06-03T00:00:00"/>
        <d v="2022-06-06T00:00:00"/>
        <d v="2022-06-07T00:00:00"/>
        <d v="2022-06-08T00:00:00"/>
        <d v="2022-06-09T00:00:00"/>
        <d v="2022-06-10T00:00:00"/>
        <d v="2022-06-13T00:00:00"/>
        <d v="2022-06-14T00:00:00"/>
        <d v="2022-06-15T00:00:00"/>
        <d v="2022-06-16T00:00:00"/>
        <d v="2022-06-17T00:00:00"/>
        <d v="2022-06-19T00:00:00"/>
        <d v="2022-06-20T00:00:00"/>
        <d v="2022-06-21T00:00:00"/>
        <d v="2022-06-23T00:00:00"/>
        <d v="2022-06-24T00:00:00"/>
        <d v="2022-06-26T00:00:00"/>
        <d v="2022-06-27T00:00:00"/>
        <d v="2022-06-29T00:00:00"/>
        <d v="2022-06-30T00:00:00"/>
        <d v="2022-07-01T00:00:00"/>
        <d v="2022-07-02T00:00:00"/>
        <d v="2022-07-04T00:00:00"/>
        <d v="2022-07-05T00:00:00"/>
        <d v="2022-07-07T00:00:00"/>
        <d v="2022-07-08T00:00:00"/>
        <d v="2022-07-09T00:00:00"/>
        <d v="2022-07-11T00:00:00"/>
        <d v="2022-07-12T00:00:00"/>
        <d v="2022-07-13T00:00:00"/>
        <d v="2022-07-14T00:00:00"/>
        <d v="2022-07-15T00:00:00"/>
        <d v="2022-07-18T00:00:00"/>
        <d v="2022-07-19T00:00:00"/>
        <d v="2022-07-20T00:00:00"/>
        <d v="2022-07-21T00:00:00"/>
        <d v="2022-07-23T00:00:00"/>
        <d v="2022-07-25T00:00:00"/>
        <d v="2022-07-26T00:00:00"/>
        <d v="2022-07-27T00:00:00"/>
        <d v="2022-07-28T00:00:00"/>
        <d v="2022-07-29T00:00:00"/>
        <d v="2022-07-30T00:00:00"/>
        <d v="2022-08-01T00:00:00"/>
        <d v="2022-08-02T00:00:00"/>
        <d v="2022-08-03T00:00:00"/>
        <d v="2022-08-04T00:00:00"/>
        <d v="2022-08-05T00:00:00"/>
        <d v="2022-08-08T00:00:00"/>
        <d v="2022-08-09T00:00:00"/>
        <d v="2022-08-10T00:00:00"/>
        <d v="2022-08-11T00:00:00"/>
        <d v="2022-08-16T00:00:00"/>
        <d v="2022-08-17T00:00:00"/>
        <d v="2022-08-18T00:00:00"/>
        <d v="2022-08-19T00:00:00"/>
        <d v="2022-08-20T00:00:00"/>
        <d v="2022-08-22T00:00:00"/>
        <d v="2022-08-23T00:00:00"/>
        <d v="2022-08-26T00:00:00"/>
        <d v="2022-08-28T00:00:00"/>
        <d v="2022-08-30T00:00:00"/>
        <d v="2022-08-31T00:00:00"/>
        <d v="2022-09-02T00:00:00"/>
        <d v="2022-09-03T00:00:00"/>
        <d v="2022-09-05T00:00:00"/>
        <d v="2022-09-06T00:00:00"/>
        <d v="2022-09-08T00:00:00"/>
        <d v="2022-09-11T00:00:00"/>
        <d v="2022-09-12T00:00:00"/>
        <d v="2022-09-13T00:00:00"/>
        <d v="2022-09-14T00:00:00"/>
        <d v="2022-09-15T00:00:00"/>
        <d v="2022-09-16T00:00:00"/>
        <d v="2022-09-17T00:00:00"/>
        <d v="2022-09-18T00:00:00"/>
        <d v="2022-09-20T00:00:00"/>
        <d v="2022-09-21T00:00:00"/>
        <d v="2022-09-22T00:00:00"/>
        <d v="2022-09-23T00:00:00"/>
        <d v="2022-09-24T00:00:00"/>
        <d v="2022-09-26T00:00:00"/>
        <d v="2022-09-27T00:00:00"/>
        <d v="2022-09-28T00:00:00"/>
        <d v="2022-09-30T00:00:00"/>
        <d v="2022-10-01T00:00:00"/>
        <d v="2022-10-03T00:00:00"/>
        <d v="2022-10-04T00:00:00"/>
        <d v="2022-10-06T00:00:00"/>
        <d v="2022-10-10T00:00:00"/>
        <d v="2022-10-11T00:00:00"/>
        <d v="2022-10-12T00:00:00"/>
        <d v="2022-10-13T00:00:00"/>
        <d v="2022-10-14T00:00:00"/>
        <d v="2022-10-17T00:00:00"/>
        <d v="2022-10-18T00:00:00"/>
        <d v="2022-10-21T00:00:00"/>
        <d v="2022-10-24T00:00:00"/>
        <d v="2022-10-25T00:00:00"/>
        <d v="2022-10-26T00:00:00"/>
        <d v="2022-10-27T00:00:00"/>
        <d v="2022-10-29T00:00:00"/>
        <d v="2022-10-31T00:00:00"/>
        <d v="2022-11-01T00:00:00"/>
        <d v="2022-11-02T00:00:00"/>
        <d v="2022-11-03T00:00:00"/>
        <d v="2022-11-04T00:00:00"/>
        <d v="2022-11-05T00:00:00"/>
        <d v="2022-11-07T00:00:00"/>
        <d v="2022-11-08T00:00:00"/>
        <d v="2022-11-10T00:00:00"/>
        <d v="2022-11-11T00:00:00"/>
        <d v="2022-11-12T00:00:00"/>
        <d v="2022-11-13T00:00:00"/>
        <d v="2022-11-14T00:00:00"/>
        <d v="2022-11-15T00:00:00"/>
        <d v="2022-11-16T00:00:00"/>
        <d v="2022-11-17T00:00:00"/>
        <d v="2022-11-18T00:00:00"/>
        <d v="2022-11-19T00:00:00"/>
        <d v="2022-11-21T00:00:00"/>
        <d v="2022-11-22T00:00:00"/>
        <d v="2022-11-23T00:00:00"/>
        <d v="2022-11-24T00:00:00"/>
        <d v="2022-11-25T00:00:00"/>
        <d v="2022-11-28T00:00:00"/>
        <d v="2022-11-29T00:00:00"/>
        <d v="2022-11-30T00:00:00"/>
        <d v="2022-12-01T00:00:00"/>
        <d v="2022-12-02T00:00:00"/>
        <d v="2022-12-05T00:00:00"/>
        <d v="2022-12-06T00:00:00"/>
        <d v="2022-12-07T00:00:00"/>
        <d v="2022-12-12T00:00:00"/>
        <d v="2022-12-13T00:00:00"/>
        <d v="2022-12-14T00:00:00"/>
        <d v="2022-12-15T00:00:00"/>
        <d v="2022-12-16T00:00:00"/>
        <d v="2022-12-17T00:00:00"/>
        <d v="2022-12-19T00:00:00"/>
        <d v="2022-12-20T00:00:00"/>
        <d v="2022-12-21T00:00:00"/>
        <d v="2022-12-23T00:00:00"/>
        <d v="2022-12-22T00:00:00"/>
        <d v="2022-12-24T00:00:00"/>
        <d v="2022-12-26T00:00:00"/>
        <d v="2022-12-27T00:00:00"/>
        <d v="2022-12-28T00:00:00"/>
        <d v="2023-01-02T00:00:00"/>
        <d v="2023-01-03T00:00:00"/>
        <d v="2023-01-05T00:00:00"/>
        <d v="2023-01-06T00:00:00"/>
        <d v="2023-01-07T00:00:00"/>
        <d v="2023-01-09T00:00:00"/>
        <d v="2023-01-10T00:00:00"/>
        <d v="2023-01-11T00:00:00"/>
        <d v="2023-01-12T00:00:00"/>
        <d v="2023-01-13T00:00:00"/>
        <d v="2023-01-17T00:00:00"/>
        <d v="2023-01-19T00:00:00"/>
        <d v="2023-01-20T00:00:00"/>
        <d v="2023-01-21T00:00:00"/>
        <d v="2023-01-22T00:00:00"/>
        <d v="2023-01-23T00:00:00"/>
        <d v="2023-01-24T00:00:00"/>
        <d v="2023-01-25T00:00:00"/>
        <d v="2023-01-26T00:00:00"/>
        <d v="2023-01-27T00:00:00"/>
        <d v="2023-01-31T00:00:00"/>
        <d v="2023-02-01T00:00:00"/>
        <d v="2023-02-02T00:00:00"/>
        <d v="2023-02-03T00:00:00"/>
        <d v="2023-02-04T00:00:00"/>
        <d v="2023-02-06T00:00:00"/>
        <d v="2023-02-07T00:00:00"/>
        <d v="2023-02-08T00:00:00"/>
        <d v="2023-02-09T00:00:00"/>
        <d v="2023-02-10T00:00:00"/>
        <d v="2023-02-11T00:00:00"/>
        <d v="2023-02-13T00:00:00"/>
        <d v="2023-02-14T00:00:00"/>
        <d v="2023-02-16T00:00:00"/>
        <d v="2023-02-17T00:00:00"/>
        <d v="2023-02-20T00:00:00"/>
        <d v="2023-02-21T00:00:00"/>
        <d v="2023-02-22T00:00:00"/>
        <d v="2023-02-23T00:00:00"/>
        <d v="2023-02-24T00:00:00"/>
        <d v="2023-02-27T00:00:00"/>
        <d v="2023-02-28T00:00:00"/>
        <d v="2023-03-01T00:00:00"/>
        <d v="2023-03-02T00:00:00"/>
        <d v="2023-03-03T00:00:00"/>
        <d v="2023-03-04T00:00:00"/>
        <d v="2023-03-07T00:00:00"/>
        <d v="2023-03-08T00:00:00"/>
        <d v="2023-03-09T00:00:00"/>
        <d v="2023-03-10T00:00:00"/>
        <d v="2023-03-13T00:00:00"/>
        <d v="2023-03-14T00:00:00"/>
        <d v="2023-03-16T00:00:00"/>
        <d v="2023-03-17T00:00:00"/>
        <d v="2023-03-18T00:00:00"/>
        <d v="2023-03-20T00:00:00"/>
        <d v="2023-03-21T00:00:00"/>
        <d v="2023-03-22T00:00:00"/>
        <d v="2023-03-24T00:00:00"/>
        <d v="2023-03-27T00:00:00"/>
        <d v="2023-03-30T00:00:00"/>
        <d v="2023-03-31T00:00:00"/>
        <d v="2023-04-03T00:00:00"/>
        <d v="2023-04-04T00:00:00"/>
        <d v="2023-04-06T00:00:00"/>
        <d v="2023-04-07T00:00:00"/>
        <d v="2023-04-10T00:00:00"/>
        <d v="2023-04-13T00:00:00"/>
        <d v="2023-04-14T00:00:00"/>
        <d v="2023-04-17T00:00:00"/>
        <d v="2023-04-18T00:00:00"/>
        <d v="2023-04-20T00:00:00"/>
        <d v="2023-04-21T00:00:00"/>
        <d v="2023-04-26T00:00:00"/>
        <d v="2023-04-27T00:00:00"/>
        <d v="2023-05-01T00:00:00"/>
        <d v="2023-05-02T00:00:00"/>
        <d v="2023-05-03T00:00:00"/>
        <d v="2023-05-04T00:00:00"/>
        <d v="2023-05-05T00:00:00"/>
        <d v="2023-05-08T00:00:00"/>
        <d v="2023-05-09T00:00:00"/>
        <d v="2023-05-11T00:00:00"/>
        <d v="2023-05-12T00:00:00"/>
        <d v="2023-05-18T00:00:00"/>
        <d v="2023-05-19T00:00:00"/>
        <d v="2023-05-23T00:00:00"/>
        <d v="2023-05-24T00:00:00"/>
        <d v="2023-05-25T00:00:00"/>
        <d v="2023-05-26T00:00:00"/>
        <d v="2023-05-27T00:00:00"/>
      </sharedItems>
      <fieldGroup par="17"/>
    </cacheField>
    <cacheField name="Name" numFmtId="49">
      <sharedItems/>
    </cacheField>
    <cacheField name="PSM" numFmtId="49">
      <sharedItems count="31">
        <s v="Account Repeat"/>
        <s v="Reference"/>
        <s v="chat_initiated"/>
        <s v="course agenda"/>
        <s v="na-payment"/>
        <s v="Chat_triggered"/>
        <s v="Tollfree"/>
        <s v="Query box"/>
        <s v="PSM"/>
        <s v="course preview"/>
        <s v="Self-generated"/>
        <s v="Auto repeat lead"/>
        <s v="course-agenda"/>
        <s v="Existing Account"/>
        <s v="course-preview"/>
        <s v="Account"/>
        <s v="Account - Repeat"/>
        <s v="auto-repeat"/>
        <s v="Account - Repeat2"/>
        <s v="fpt-paper"/>
        <s v="Account-Repeat"/>
        <s v="refer and earn"/>
        <s v="Bundle Agenda"/>
        <s v="Request a call"/>
        <s v="refer&amp;earn"/>
        <s v="B2B2C"/>
        <s v="fpt"/>
        <s v="Query box_LP"/>
        <s v="frs_chat_initiated"/>
        <s v="frs ebook hot"/>
        <s v="App Quey box"/>
      </sharedItems>
    </cacheField>
    <cacheField name="Course" numFmtId="49">
      <sharedItems count="80">
        <s v="PSM"/>
        <s v="CSPO"/>
        <s v="CSM"/>
        <s v="PMI-ACP"/>
        <s v="ASM"/>
        <s v="DS with Python - OSL"/>
        <s v="Azure-204"/>
        <s v="PMP"/>
        <s v="KMP1"/>
        <s v="SAFe Agile"/>
        <s v="CBAP"/>
        <s v="PMP Exam Practice Test"/>
        <s v="P2 Practitioner"/>
        <s v="PMP Plus"/>
        <s v="PSPO"/>
        <s v="SASM"/>
        <s v="Selenium 3.0"/>
        <s v="Intro to Cyber Security"/>
        <s v="ITIL 4"/>
        <s v="CISSP"/>
        <s v="AWS Solutions Architect"/>
        <s v="Azure Cloud Architect"/>
        <s v="PMP Renewal Pack"/>
        <s v="ICP-ACC"/>
        <s v="SAFe POPM"/>
        <s v="Lean Six Sigma Black Belt"/>
        <s v="Data Analyst Masters"/>
        <s v="PGP Cloud"/>
        <s v="AZ-303 &amp; 304"/>
        <s v="P2 F&amp;P"/>
        <s v="DevOps Engineer Masters"/>
        <s v="SAFe SSM"/>
        <s v="CEH"/>
        <s v="P2 Foundation"/>
        <s v="PSPO 2"/>
        <s v="PSM 2"/>
        <s v="SAFe RTE"/>
        <s v="PGP PM"/>
        <s v="PMP Exam + Membership"/>
        <s v="BA with Masters"/>
        <s v="Cobit"/>
        <s v="SAFe for Government"/>
        <s v="ACSM"/>
        <s v="P2 Agile F&amp;P"/>
        <s v="DevOps Engineer"/>
        <s v="PMP "/>
        <s v="Cloud Architect"/>
        <s v="Six Sigma Black Belt"/>
        <s v="PGP Cyber Security"/>
        <s v="PMP 1st Installment"/>
        <s v="PGP in BA"/>
        <s v="PMP 2nd Installment"/>
        <s v="CI/CD Jenkins"/>
        <s v="ITIL MPT"/>
        <s v="PGP BA"/>
        <s v="Tech MoM"/>
        <s v="PMP Exam"/>
        <s v="BA Masters"/>
        <s v="TOGAF"/>
        <s v="PMP 1st Partial"/>
        <s v="AWS Solution Architect"/>
        <s v="Data Science with Python"/>
        <s v="PMP 2nd Partial"/>
        <s v="PMP Plus with Exam 1st Partial"/>
        <s v="ICP ACC"/>
        <s v="PMP Plus with Exam 2nd Partial"/>
        <s v="PMP with Exam"/>
        <s v="Implementing SAFe"/>
        <s v="MBA IU LSBU"/>
        <s v="Data Scientist"/>
        <s v="Togaf 10"/>
        <s v="Prince2 Practitioner" u="1"/>
        <s v="Prince2 F&amp;P" u="1"/>
        <s v="Prince 2 F&amp;P" u="1"/>
        <s v="Prince2 Foundation" u="1"/>
        <s v="P2 F" u="1"/>
        <s v="ITIL" u="1"/>
        <s v="ITILv4" u="1"/>
        <s v="ITIL v4" u="1"/>
        <s v="ITILv MPT" u="1"/>
      </sharedItems>
    </cacheField>
    <cacheField name="Month" numFmtId="168">
      <sharedItems containsSemiMixedTypes="0" containsNonDate="0" containsDate="1" containsString="0" minDate="2020-11-01T00:00:00" maxDate="2023-05-02T00:00:00" count="31">
        <d v="2021-02-01T00:00:00"/>
        <d v="2021-04-01T00:00:00"/>
        <d v="2020-11-01T00:00:00"/>
        <d v="2020-12-01T00:00:00"/>
        <d v="2021-01-01T00:00:00"/>
        <d v="2021-03-01T00:00:00"/>
        <d v="2021-05-01T00:00:00"/>
        <d v="2021-07-01T00:00:00"/>
        <d v="2021-06-01T00:00:00"/>
        <d v="2021-09-01T00:00:00"/>
        <d v="2021-08-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sharedItems>
      <fieldGroup par="18"/>
    </cacheField>
    <cacheField name="Status" numFmtId="0">
      <sharedItems/>
    </cacheField>
    <cacheField name="Batch" numFmtId="0">
      <sharedItems containsDate="1" containsMixedTypes="1" minDate="2021-01-01T00:00:00" maxDate="2023-12-08T00:00:00"/>
    </cacheField>
    <cacheField name="Amount" numFmtId="175">
      <sharedItems containsSemiMixedTypes="0" containsString="0" containsNumber="1" containsInteger="1" minValue="0" maxValue="690000"/>
    </cacheField>
    <cacheField name="In $" numFmtId="176">
      <sharedItems containsSemiMixedTypes="0" containsString="0" containsNumber="1" minValue="0" maxValue="7901.9697663765464"/>
    </cacheField>
    <cacheField name="Payment expected Date" numFmtId="174">
      <sharedItems containsDate="1" containsMixedTypes="1" minDate="2020-11-11T00:00:00" maxDate="2023-05-27T00:00:00"/>
    </cacheField>
    <cacheField name="Week" numFmtId="0">
      <sharedItems containsBlank="1"/>
    </cacheField>
    <cacheField name="Paid On" numFmtId="174">
      <sharedItems containsSemiMixedTypes="0" containsNonDate="0" containsDate="1" containsString="0" minDate="2020-11-11T00:00:00" maxDate="2023-05-27T00:00:00"/>
    </cacheField>
    <cacheField name="Order No." numFmtId="49">
      <sharedItems/>
    </cacheField>
    <cacheField name="Comments" numFmtId="0">
      <sharedItems containsBlank="1"/>
    </cacheField>
    <cacheField name="Program Details" numFmtId="0">
      <sharedItems/>
    </cacheField>
    <cacheField name="Category" numFmtId="0">
      <sharedItems count="4">
        <s v="SAFe que"/>
        <s v="Category"/>
        <s v="NonCategory"/>
        <s v="Non SAFe" u="1"/>
      </sharedItems>
    </cacheField>
    <cacheField name="Year" numFmtId="0">
      <sharedItems count="4">
        <s v="2021"/>
        <s v="2020"/>
        <s v="2022"/>
        <s v="2023"/>
      </sharedItems>
    </cacheField>
    <cacheField name="Quarters (Date)" numFmtId="0" databaseField="0">
      <fieldGroup base="0">
        <rangePr groupBy="quarters" startDate="2020-11-10T00:00:00" endDate="2023-05-28T00:00:00"/>
        <groupItems count="6">
          <s v="&lt;10-11-2020"/>
          <s v="Qtr1"/>
          <s v="Qtr2"/>
          <s v="Qtr3"/>
          <s v="Qtr4"/>
          <s v="&gt;28-05-2023"/>
        </groupItems>
      </fieldGroup>
    </cacheField>
    <cacheField name="Months (Month)" numFmtId="0" databaseField="0">
      <fieldGroup base="4">
        <rangePr groupBy="months" startDate="2020-11-01T00:00:00" endDate="2023-05-02T00:00:00"/>
        <groupItems count="14">
          <s v="&lt;01-11-2020"/>
          <s v="Jan"/>
          <s v="Feb"/>
          <s v="Mar"/>
          <s v="Apr"/>
          <s v="May"/>
          <s v="Jun"/>
          <s v="Jul"/>
          <s v="Aug"/>
          <s v="Sep"/>
          <s v="Oct"/>
          <s v="Nov"/>
          <s v="Dec"/>
          <s v="&gt;02-05-2023"/>
        </groupItems>
      </fieldGroup>
    </cacheField>
  </cacheFields>
  <extLst>
    <ext xmlns:x14="http://schemas.microsoft.com/office/spreadsheetml/2009/9/main" uri="{725AE2AE-9491-48be-B2B4-4EB974FC3084}">
      <x14:pivotCacheDefinition pivotCacheId="209174491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42">
  <r>
    <x v="0"/>
    <s v="Rashmi Lokhande"/>
    <x v="0"/>
    <x v="0"/>
    <x v="0"/>
    <s v="Won"/>
    <s v="17-18 April 2021"/>
    <n v="0"/>
    <n v="0"/>
    <d v="2021-04-16T00:00:00"/>
    <m/>
    <d v="2021-04-16T00:00:00"/>
    <s v="CSTM_ABC"/>
    <m/>
    <s v="Done. Good feedback."/>
    <x v="0"/>
    <x v="0"/>
  </r>
  <r>
    <x v="1"/>
    <s v="Sheenu Gupta"/>
    <x v="1"/>
    <x v="1"/>
    <x v="1"/>
    <s v="Won"/>
    <s v="15-16 May 2021"/>
    <n v="18000"/>
    <n v="206.13834173156206"/>
    <d v="2021-04-30T00:00:00"/>
    <m/>
    <d v="2021-04-30T00:00:00"/>
    <s v="CSTM_XYZ"/>
    <m/>
    <s v="Done. Good feedback."/>
    <x v="1"/>
    <x v="0"/>
  </r>
  <r>
    <x v="2"/>
    <s v="Pranab Somaraj"/>
    <x v="1"/>
    <x v="1"/>
    <x v="2"/>
    <s v="Won"/>
    <s v="16-17 Nov 2020"/>
    <n v="20000"/>
    <n v="229.04260192395787"/>
    <d v="2020-11-11T00:00:00"/>
    <m/>
    <d v="2020-11-11T00:00:00"/>
    <s v="CSTM_FXL1AKY107F"/>
    <s v="By Navya navyaannamraju@gmail.com"/>
    <s v="Done. Good feedback."/>
    <x v="1"/>
    <x v="1"/>
  </r>
  <r>
    <x v="3"/>
    <s v="Rajkumar"/>
    <x v="2"/>
    <x v="2"/>
    <x v="2"/>
    <s v="Won"/>
    <s v="21-22 Nov 2020"/>
    <n v="20000"/>
    <n v="229.04260192395787"/>
    <d v="2020-11-12T00:00:00"/>
    <m/>
    <d v="2020-11-12T00:00:00"/>
    <s v="CSTM_H8OF9AHEUE0"/>
    <m/>
    <s v="Done. Good feedback."/>
    <x v="1"/>
    <x v="1"/>
  </r>
  <r>
    <x v="4"/>
    <s v="MamtaSingh"/>
    <x v="3"/>
    <x v="2"/>
    <x v="2"/>
    <s v="Won"/>
    <s v="5-6 Dec 2020"/>
    <n v="20000"/>
    <n v="229.04260192395787"/>
    <d v="2020-11-13T00:00:00"/>
    <m/>
    <d v="2020-11-12T00:00:00"/>
    <s v="CSTM_3ZITXTRYLI7"/>
    <m/>
    <s v="Done. Good feedback."/>
    <x v="1"/>
    <x v="1"/>
  </r>
  <r>
    <x v="2"/>
    <s v="Ravi"/>
    <x v="3"/>
    <x v="2"/>
    <x v="2"/>
    <s v="Won"/>
    <s v="3-4 Dec 2020"/>
    <n v="20000"/>
    <n v="229.04260192395787"/>
    <d v="2020-11-14T00:00:00"/>
    <m/>
    <d v="2020-11-12T00:00:00"/>
    <s v="CSTM_6VGDL1OEE95"/>
    <m/>
    <s v="Done. Good feedback."/>
    <x v="1"/>
    <x v="1"/>
  </r>
  <r>
    <x v="5"/>
    <s v="Prabhu"/>
    <x v="4"/>
    <x v="1"/>
    <x v="2"/>
    <s v="Won"/>
    <s v="21-22 Nov 2020"/>
    <n v="20000"/>
    <n v="229.04260192395787"/>
    <d v="2020-11-17T00:00:00"/>
    <m/>
    <d v="2020-11-17T00:00:00"/>
    <s v="CSTM_AXKRAPSLGED"/>
    <m/>
    <s v="Done. Good feedback."/>
    <x v="1"/>
    <x v="1"/>
  </r>
  <r>
    <x v="6"/>
    <s v="Santosh Jagannath"/>
    <x v="1"/>
    <x v="1"/>
    <x v="2"/>
    <s v="Won"/>
    <s v="21-22 Nov 2020"/>
    <n v="20000"/>
    <n v="229.04260192395787"/>
    <d v="2020-11-17T00:00:00"/>
    <m/>
    <d v="2020-11-17T00:00:00"/>
    <s v="CSTM_AI3F9BJA4DK"/>
    <s v="By Prabhu prabhuprakasam@gmail.com"/>
    <s v="Done. Good feedback."/>
    <x v="1"/>
    <x v="1"/>
  </r>
  <r>
    <x v="7"/>
    <s v="Somnath C"/>
    <x v="5"/>
    <x v="2"/>
    <x v="2"/>
    <s v="Won"/>
    <s v="28-29 Nov 2020"/>
    <n v="22000"/>
    <n v="251.94686211635369"/>
    <d v="2020-11-18T00:00:00"/>
    <m/>
    <d v="2020-11-18T00:00:00"/>
    <s v="CSTM_H8MV6TQ7WLD"/>
    <m/>
    <s v="Done. Good feedback."/>
    <x v="1"/>
    <x v="1"/>
  </r>
  <r>
    <x v="7"/>
    <s v="Rajesh Ram N"/>
    <x v="6"/>
    <x v="2"/>
    <x v="2"/>
    <s v="Won"/>
    <s v="21-22 Nov 2020"/>
    <n v="20000"/>
    <n v="229.04260192395787"/>
    <d v="2020-11-19T00:00:00"/>
    <m/>
    <d v="2020-11-19T00:00:00"/>
    <s v="CSTM_ESM8TCLIM6J"/>
    <m/>
    <s v="Done. Didn't give Fb."/>
    <x v="1"/>
    <x v="1"/>
  </r>
  <r>
    <x v="8"/>
    <s v="Jayesh Gangwani"/>
    <x v="1"/>
    <x v="2"/>
    <x v="2"/>
    <s v="Won"/>
    <s v="21-22 Nov 2020"/>
    <n v="20000"/>
    <n v="229.04260192395787"/>
    <d v="2020-11-20T00:00:00"/>
    <m/>
    <d v="2020-11-20T00:00:00"/>
    <s v="CSTM_EG2X5IFWQCU"/>
    <s v="By Divya divyarajivryan@gmail.com"/>
    <s v="Done. Goodfeedback."/>
    <x v="1"/>
    <x v="1"/>
  </r>
  <r>
    <x v="6"/>
    <s v="Abhishek Arora"/>
    <x v="1"/>
    <x v="2"/>
    <x v="2"/>
    <s v="Won"/>
    <s v="23-24 Nov 2020"/>
    <n v="19000"/>
    <n v="217.59047182775998"/>
    <s v="DK"/>
    <m/>
    <d v="2020-11-20T00:00:00"/>
    <s v="CSTM_ATXSY7EV0FF"/>
    <s v="By Nidhi nidhi.arora31@gmail.com"/>
    <s v="Done. Didn't give Fb."/>
    <x v="1"/>
    <x v="1"/>
  </r>
  <r>
    <x v="8"/>
    <s v="SaiRam Srinivas"/>
    <x v="7"/>
    <x v="3"/>
    <x v="2"/>
    <s v="Won"/>
    <s v="28-29 Nov 2020"/>
    <n v="14337"/>
    <n v="164.18918918918919"/>
    <d v="2020-11-23T00:00:00"/>
    <m/>
    <d v="2020-11-23T00:00:00"/>
    <s v="CSTM_6X2273O39NQ"/>
    <m/>
    <s v="SL-LVC"/>
    <x v="1"/>
    <x v="1"/>
  </r>
  <r>
    <x v="9"/>
    <s v="Bikash Satpathy"/>
    <x v="8"/>
    <x v="2"/>
    <x v="2"/>
    <s v="Won"/>
    <s v="5-6 Dec 2020"/>
    <n v="24780"/>
    <n v="283.7837837837838"/>
    <d v="2020-11-24T00:00:00"/>
    <m/>
    <d v="2020-11-24T00:00:00"/>
    <s v="CSTM_2R59RD825OI"/>
    <m/>
    <s v="Done. Good feedback."/>
    <x v="1"/>
    <x v="1"/>
  </r>
  <r>
    <x v="8"/>
    <s v="Geeta Rajpali"/>
    <x v="5"/>
    <x v="2"/>
    <x v="2"/>
    <s v="Won"/>
    <s v="9-10 Jan 2021"/>
    <n v="20000"/>
    <n v="229.04260192395787"/>
    <d v="2020-11-24T00:00:00"/>
    <m/>
    <d v="2020-11-24T00:00:00"/>
    <s v="CSTM_19WIAXN4QLP"/>
    <m/>
    <s v="Done. Good feedback."/>
    <x v="1"/>
    <x v="1"/>
  </r>
  <r>
    <x v="3"/>
    <s v="Anusha"/>
    <x v="3"/>
    <x v="2"/>
    <x v="2"/>
    <s v="Won"/>
    <s v="28-29 Nov 2020"/>
    <n v="20000"/>
    <n v="229.04260192395787"/>
    <s v="DK"/>
    <m/>
    <d v="2020-11-24T00:00:00"/>
    <s v="CSTM_18314OF2FZU"/>
    <m/>
    <s v="Done. Good feedback."/>
    <x v="1"/>
    <x v="1"/>
  </r>
  <r>
    <x v="10"/>
    <s v="Malti"/>
    <x v="8"/>
    <x v="2"/>
    <x v="2"/>
    <s v="Won"/>
    <s v="5-6 Dec 2020"/>
    <n v="20000"/>
    <n v="229.04260192395787"/>
    <d v="2020-11-25T00:00:00"/>
    <m/>
    <d v="2020-11-25T00:00:00"/>
    <s v="CSTM_9IXJ8DASM4Q"/>
    <m/>
    <s v="Done. Good feedback."/>
    <x v="1"/>
    <x v="1"/>
  </r>
  <r>
    <x v="11"/>
    <s v="Abhinav Banerjee"/>
    <x v="5"/>
    <x v="2"/>
    <x v="2"/>
    <s v="Won"/>
    <s v="19-20 Dec 2020"/>
    <n v="20000"/>
    <n v="229.04260192395787"/>
    <d v="2020-11-30T00:00:00"/>
    <m/>
    <d v="2020-11-30T00:00:00"/>
    <s v="CSTM_81VSDV0H3A8"/>
    <m/>
    <s v="Done. Good feedback."/>
    <x v="1"/>
    <x v="1"/>
  </r>
  <r>
    <x v="12"/>
    <s v="Vikram Reddy"/>
    <x v="7"/>
    <x v="2"/>
    <x v="3"/>
    <s v="Won"/>
    <s v="19-20 Dec 2020"/>
    <n v="19000"/>
    <n v="217.59047182775998"/>
    <d v="2020-12-03T00:00:00"/>
    <m/>
    <d v="2020-12-03T00:00:00"/>
    <s v="CSTM_CLCXERDSEXI"/>
    <m/>
    <s v="Done. Good feedback."/>
    <x v="1"/>
    <x v="1"/>
  </r>
  <r>
    <x v="12"/>
    <s v="Nancy Dhruv"/>
    <x v="5"/>
    <x v="2"/>
    <x v="3"/>
    <s v="Won"/>
    <s v="19-20 Dec 2020"/>
    <n v="19000"/>
    <n v="217.59047182775998"/>
    <d v="2020-12-03T00:00:00"/>
    <m/>
    <d v="2020-12-03T00:00:00"/>
    <s v="CSTM_FHHVN1MAZDZ"/>
    <m/>
    <s v="Done. Asked for Fb."/>
    <x v="1"/>
    <x v="1"/>
  </r>
  <r>
    <x v="12"/>
    <s v="Ravi Subramanya"/>
    <x v="2"/>
    <x v="2"/>
    <x v="3"/>
    <s v="Won"/>
    <s v="5-6 Dec 2020"/>
    <n v="20000"/>
    <n v="229.04260192395787"/>
    <d v="2020-12-04T00:00:00"/>
    <m/>
    <d v="2020-12-04T00:00:00"/>
    <s v="CSTM_BFK4I6W65EN"/>
    <m/>
    <s v="Done. Good feedback."/>
    <x v="1"/>
    <x v="1"/>
  </r>
  <r>
    <x v="13"/>
    <s v="Vishwas"/>
    <x v="9"/>
    <x v="2"/>
    <x v="3"/>
    <s v="Won"/>
    <s v="5-6 Dec 2020"/>
    <n v="21000"/>
    <n v="240.49473202015577"/>
    <d v="2020-12-04T00:00:00"/>
    <m/>
    <d v="2020-12-04T00:00:00"/>
    <s v="CSTM_7E00G52E4H7"/>
    <m/>
    <s v="Done. Good feedback."/>
    <x v="1"/>
    <x v="1"/>
  </r>
  <r>
    <x v="14"/>
    <s v="Swapnesh"/>
    <x v="1"/>
    <x v="2"/>
    <x v="3"/>
    <s v="Won"/>
    <s v="9-10 Jan 2021"/>
    <n v="19000"/>
    <n v="217.59047182775998"/>
    <d v="2020-12-05T00:00:00"/>
    <m/>
    <d v="2020-12-05T00:00:00"/>
    <s v="CSTM_DWHVHWLDHJ3"/>
    <s v="By Chetna chetna.bharekar@gmail.com"/>
    <s v="Done. Good feedback."/>
    <x v="1"/>
    <x v="1"/>
  </r>
  <r>
    <x v="15"/>
    <s v="Pranjali Pore"/>
    <x v="1"/>
    <x v="2"/>
    <x v="3"/>
    <s v="Won"/>
    <s v="9-10 Jan 2021"/>
    <n v="19000"/>
    <n v="217.59047182775998"/>
    <d v="2020-12-05T00:00:00"/>
    <m/>
    <d v="2020-12-05T00:00:00"/>
    <s v="CSTM_53IXUAX8TTX"/>
    <s v="By Swapnesh swapnesh300@gmail.com"/>
    <s v="Done. Good feedback."/>
    <x v="1"/>
    <x v="1"/>
  </r>
  <r>
    <x v="10"/>
    <s v="Surender Rana"/>
    <x v="3"/>
    <x v="2"/>
    <x v="3"/>
    <s v="Won"/>
    <s v="19-20 Dec 2020"/>
    <n v="20000"/>
    <n v="229.04260192395787"/>
    <d v="2020-12-05T00:00:00"/>
    <m/>
    <d v="2020-12-07T00:00:00"/>
    <s v="CSTM_I07JOKYPA5J"/>
    <m/>
    <s v="Pending"/>
    <x v="1"/>
    <x v="1"/>
  </r>
  <r>
    <x v="16"/>
    <s v="Manisha"/>
    <x v="5"/>
    <x v="2"/>
    <x v="3"/>
    <s v="Won"/>
    <s v="12-13 Dec 2020"/>
    <n v="20000"/>
    <n v="229.04260192395787"/>
    <s v="Last week of Dec 2020"/>
    <m/>
    <d v="2020-12-07T00:00:00"/>
    <s v="CSTM_FDSL3VRURA6"/>
    <m/>
    <s v="Done. Good feedback."/>
    <x v="1"/>
    <x v="1"/>
  </r>
  <r>
    <x v="13"/>
    <s v="Ramneek"/>
    <x v="9"/>
    <x v="1"/>
    <x v="3"/>
    <s v="Won"/>
    <s v="12-13 Dec 2020"/>
    <n v="20500"/>
    <n v="234.76866697205682"/>
    <d v="2020-12-07T00:00:00"/>
    <m/>
    <d v="2020-12-08T00:00:00"/>
    <s v="CSTM_4ZKAKJ5LZK7"/>
    <m/>
    <s v="Done. Good feedback."/>
    <x v="1"/>
    <x v="1"/>
  </r>
  <r>
    <x v="17"/>
    <s v="Srikanta Jena"/>
    <x v="5"/>
    <x v="2"/>
    <x v="3"/>
    <s v="Won"/>
    <s v="19-20 Dec 2020"/>
    <n v="20000"/>
    <n v="229.04260192395787"/>
    <d v="2020-12-08T00:00:00"/>
    <m/>
    <d v="2020-12-08T00:00:00"/>
    <s v="CSTM_6O0MJC6XLRY"/>
    <m/>
    <s v="Done. Good feedback."/>
    <x v="1"/>
    <x v="1"/>
  </r>
  <r>
    <x v="18"/>
    <s v="Parul Agarwal"/>
    <x v="2"/>
    <x v="2"/>
    <x v="3"/>
    <s v="Won"/>
    <s v="26-27 Dec 2020"/>
    <n v="20000"/>
    <n v="229.04260192395787"/>
    <d v="2020-12-08T00:00:00"/>
    <m/>
    <d v="2020-12-08T00:00:00"/>
    <s v="CSTM_IWZOXMQZHYG"/>
    <m/>
    <s v="Pending"/>
    <x v="1"/>
    <x v="1"/>
  </r>
  <r>
    <x v="19"/>
    <s v="Sugumar LR"/>
    <x v="1"/>
    <x v="2"/>
    <x v="3"/>
    <s v="Won"/>
    <s v="17-18 Dec 2020"/>
    <n v="20000"/>
    <n v="229.04260192395787"/>
    <d v="2020-12-09T00:00:00"/>
    <m/>
    <d v="2020-12-09T00:00:00"/>
    <s v="CSTM_DRZCPK3XRR5"/>
    <s v="By Ramki Vasagan ramkii96@gmail.com"/>
    <s v="Done. Good feedback."/>
    <x v="1"/>
    <x v="1"/>
  </r>
  <r>
    <x v="18"/>
    <s v="Abhishek Singh"/>
    <x v="1"/>
    <x v="2"/>
    <x v="3"/>
    <s v="Won"/>
    <s v="9-10 Jan 2021"/>
    <n v="20000"/>
    <n v="229.04260192395787"/>
    <d v="2020-12-09T00:00:00"/>
    <m/>
    <d v="2020-12-09T00:00:00"/>
    <s v="CSTM_J5Q7UAK69Z7"/>
    <s v="By Shivanee        shivanee.salvi@neptune-ubi.com"/>
    <s v="Done. Good feedback."/>
    <x v="1"/>
    <x v="1"/>
  </r>
  <r>
    <x v="18"/>
    <s v="Anmol Jain"/>
    <x v="1"/>
    <x v="2"/>
    <x v="3"/>
    <s v="Won"/>
    <s v="9-10 Jan 2021"/>
    <n v="20000"/>
    <n v="229.04260192395787"/>
    <d v="2020-12-09T00:00:00"/>
    <m/>
    <d v="2020-12-09T00:00:00"/>
    <s v="CSTM_7O9HP4L44HY"/>
    <s v="By Shivanee_x0009_shivanee.salvi@neptune-ubi.com"/>
    <s v="Done. Good feedback."/>
    <x v="1"/>
    <x v="1"/>
  </r>
  <r>
    <x v="19"/>
    <s v="Floyden Mascarenhas"/>
    <x v="2"/>
    <x v="2"/>
    <x v="3"/>
    <s v="Won"/>
    <s v="26-27 Dec 2020"/>
    <n v="21000"/>
    <n v="240.49473202015577"/>
    <d v="2020-12-10T00:00:00"/>
    <m/>
    <d v="2020-12-10T00:00:00"/>
    <s v="CSTM_1FZJPY3T142"/>
    <m/>
    <s v="Pending"/>
    <x v="1"/>
    <x v="1"/>
  </r>
  <r>
    <x v="17"/>
    <s v="Anshul"/>
    <x v="10"/>
    <x v="2"/>
    <x v="3"/>
    <s v="Won"/>
    <s v="12-13 Dec 2020"/>
    <n v="20000"/>
    <n v="229.04260192395787"/>
    <d v="2020-12-09T00:00:00"/>
    <m/>
    <d v="2020-12-11T00:00:00"/>
    <s v="CSTM_4PVV3CLJ4CJ"/>
    <m/>
    <s v="Done. Good feedback."/>
    <x v="1"/>
    <x v="1"/>
  </r>
  <r>
    <x v="20"/>
    <s v="Chitrabhanu"/>
    <x v="3"/>
    <x v="2"/>
    <x v="3"/>
    <s v="Won"/>
    <s v="2-3 Jan 2021"/>
    <n v="20000"/>
    <n v="229.04260192395787"/>
    <d v="2021-01-04T00:00:00"/>
    <m/>
    <d v="2020-12-14T00:00:00"/>
    <s v="CSTM_1ENZYOXAVP4"/>
    <m/>
    <s v="Pending"/>
    <x v="1"/>
    <x v="1"/>
  </r>
  <r>
    <x v="21"/>
    <s v="Balaji V K"/>
    <x v="11"/>
    <x v="2"/>
    <x v="3"/>
    <s v="Won"/>
    <s v="19-20 Dec 2020"/>
    <n v="19000"/>
    <n v="217.59047182775998"/>
    <d v="2020-12-16T00:00:00"/>
    <m/>
    <d v="2020-12-16T00:00:00"/>
    <s v="CSTM_E81CDPVEPZ0"/>
    <m/>
    <s v="Done. Good feedback."/>
    <x v="1"/>
    <x v="1"/>
  </r>
  <r>
    <x v="21"/>
    <s v="Gireesh Raju"/>
    <x v="5"/>
    <x v="2"/>
    <x v="3"/>
    <s v="Won"/>
    <s v="26-27 Dec 2020"/>
    <n v="21000"/>
    <n v="240.49473202015577"/>
    <d v="2020-12-16T00:00:00"/>
    <m/>
    <d v="2020-12-17T00:00:00"/>
    <s v="CSTM_3V0PAJEYKBI"/>
    <m/>
    <s v="Pending"/>
    <x v="1"/>
    <x v="1"/>
  </r>
  <r>
    <x v="22"/>
    <s v="Raja Rajan"/>
    <x v="2"/>
    <x v="2"/>
    <x v="3"/>
    <s v="Won"/>
    <s v="26-27 Dec 2020"/>
    <n v="19000"/>
    <n v="217.59047182775998"/>
    <d v="2020-12-18T00:00:00"/>
    <m/>
    <d v="2020-12-17T00:00:00"/>
    <s v="CSTM_4L9TZ26V3JP"/>
    <m/>
    <s v="Pending"/>
    <x v="1"/>
    <x v="1"/>
  </r>
  <r>
    <x v="21"/>
    <s v="Swati Gupta"/>
    <x v="1"/>
    <x v="2"/>
    <x v="3"/>
    <s v="Won"/>
    <s v="26-27 Dec 2020"/>
    <n v="20000"/>
    <n v="229.04260192395787"/>
    <d v="2020-12-18T00:00:00"/>
    <m/>
    <d v="2020-12-18T00:00:00"/>
    <s v="CSTM_HCALPI79ATP"/>
    <m/>
    <s v="Pending"/>
    <x v="1"/>
    <x v="1"/>
  </r>
  <r>
    <x v="23"/>
    <s v="Anmol Dhand"/>
    <x v="2"/>
    <x v="2"/>
    <x v="3"/>
    <s v="Won"/>
    <s v="22-23 Dec 2020"/>
    <n v="20000"/>
    <n v="229.04260192395787"/>
    <d v="2020-12-19T00:00:00"/>
    <m/>
    <d v="2020-12-19T00:00:00"/>
    <s v="CSTM_7IYILVWDIWJ"/>
    <m/>
    <s v="Done. Asked for Fb."/>
    <x v="1"/>
    <x v="1"/>
  </r>
  <r>
    <x v="24"/>
    <s v="Yash"/>
    <x v="12"/>
    <x v="2"/>
    <x v="3"/>
    <s v="Won"/>
    <s v="26-27 Dec 2020"/>
    <n v="21000"/>
    <n v="240.49473202015577"/>
    <d v="2020-12-19T00:00:00"/>
    <m/>
    <d v="2020-12-19T00:00:00"/>
    <s v="CSTM_7E5UYQUQKI5"/>
    <m/>
    <s v="Pending"/>
    <x v="1"/>
    <x v="1"/>
  </r>
  <r>
    <x v="25"/>
    <s v="Kavita"/>
    <x v="1"/>
    <x v="2"/>
    <x v="3"/>
    <s v="Won"/>
    <s v="9-10 Jan 2021"/>
    <n v="20000"/>
    <n v="229.04260192395787"/>
    <d v="2020-12-19T00:00:00"/>
    <m/>
    <d v="2020-12-19T00:00:00"/>
    <s v="CSTM_CQEXUHG2BDT"/>
    <s v="By Nisha Chugh"/>
    <s v="Done. Good feedback."/>
    <x v="1"/>
    <x v="1"/>
  </r>
  <r>
    <x v="25"/>
    <s v="Amit Ghosh"/>
    <x v="7"/>
    <x v="2"/>
    <x v="3"/>
    <s v="Won"/>
    <s v="16-17 Jan 2021"/>
    <n v="20000"/>
    <n v="229.04260192395787"/>
    <d v="2020-12-20T00:00:00"/>
    <m/>
    <d v="2020-12-20T00:00:00"/>
    <s v="CSTM_CHT3D3D2NPN"/>
    <m/>
    <s v="Pending"/>
    <x v="1"/>
    <x v="1"/>
  </r>
  <r>
    <x v="26"/>
    <s v="Mathews Oomen"/>
    <x v="7"/>
    <x v="2"/>
    <x v="3"/>
    <s v="Won"/>
    <s v="9-10 Jan 2021"/>
    <n v="20500"/>
    <n v="234.76866697205682"/>
    <d v="2020-12-24T00:00:00"/>
    <m/>
    <d v="2020-12-21T00:00:00"/>
    <s v="CSTM_JI95IZV75BI"/>
    <m/>
    <s v="Done. Good feedback."/>
    <x v="1"/>
    <x v="1"/>
  </r>
  <r>
    <x v="27"/>
    <s v="Poornima Damaraju"/>
    <x v="5"/>
    <x v="4"/>
    <x v="3"/>
    <s v="Won"/>
    <d v="2021-01-09T00:00:00"/>
    <n v="18000"/>
    <n v="206.13834173156206"/>
    <d v="2020-12-23T00:00:00"/>
    <m/>
    <d v="2020-12-23T00:00:00"/>
    <s v="CSTM_8YJNENRLIXS"/>
    <m/>
    <s v="SL - LVC"/>
    <x v="2"/>
    <x v="1"/>
  </r>
  <r>
    <x v="28"/>
    <s v="Rajesh Mane"/>
    <x v="5"/>
    <x v="1"/>
    <x v="3"/>
    <s v="Won"/>
    <s v="26-27 Dec 2020"/>
    <n v="20000"/>
    <n v="229.04260192395787"/>
    <d v="2020-12-23T00:00:00"/>
    <m/>
    <d v="2020-12-23T00:00:00"/>
    <s v="CSTM_3BXZ318E8B2"/>
    <m/>
    <s v="Pending"/>
    <x v="1"/>
    <x v="1"/>
  </r>
  <r>
    <x v="29"/>
    <s v="Firoz Sabaliya"/>
    <x v="5"/>
    <x v="2"/>
    <x v="3"/>
    <s v="Won"/>
    <s v="28-29 Dec 2020"/>
    <n v="20500"/>
    <n v="234.76866697205682"/>
    <d v="2020-12-23T00:00:00"/>
    <m/>
    <d v="2020-12-23T00:00:00"/>
    <s v="CSTM_9MVSMY3ZTVZ"/>
    <m/>
    <s v="Pending"/>
    <x v="1"/>
    <x v="1"/>
  </r>
  <r>
    <x v="27"/>
    <s v="Apeksha Maheshwari"/>
    <x v="1"/>
    <x v="2"/>
    <x v="3"/>
    <s v="Won"/>
    <s v="28-29 Dec 2020"/>
    <n v="20500"/>
    <n v="234.76866697205682"/>
    <d v="2020-12-23T00:00:00"/>
    <m/>
    <d v="2020-12-23T00:00:00"/>
    <s v="CSTM_EQQ1L90U0NO"/>
    <s v="By Firoz"/>
    <s v="Pending"/>
    <x v="1"/>
    <x v="1"/>
  </r>
  <r>
    <x v="27"/>
    <s v="Julyars Dadhaniya"/>
    <x v="1"/>
    <x v="2"/>
    <x v="3"/>
    <s v="Won"/>
    <s v="9-10 Jan 2021"/>
    <n v="20500"/>
    <n v="234.76866697205682"/>
    <d v="2020-12-23T00:00:00"/>
    <m/>
    <d v="2020-12-23T00:00:00"/>
    <s v="CSTM_9MDH6U8RY9Q"/>
    <s v="By Firoz"/>
    <s v="Done. Good feedback."/>
    <x v="1"/>
    <x v="1"/>
  </r>
  <r>
    <x v="30"/>
    <s v="Praveen Nair"/>
    <x v="3"/>
    <x v="2"/>
    <x v="3"/>
    <s v="Won"/>
    <s v="12-13 Jan 2021"/>
    <n v="20000"/>
    <n v="229.04260192395787"/>
    <d v="2020-12-26T00:00:00"/>
    <m/>
    <d v="2020-12-27T00:00:00"/>
    <s v="CSTM_BJV8VDXFB64"/>
    <m/>
    <s v="Pending"/>
    <x v="1"/>
    <x v="1"/>
  </r>
  <r>
    <x v="12"/>
    <s v="Amit Prasad"/>
    <x v="13"/>
    <x v="2"/>
    <x v="3"/>
    <s v="Won"/>
    <s v="29-30 Dec 2020"/>
    <n v="20000"/>
    <n v="229.04260192395787"/>
    <d v="2020-12-28T00:00:00"/>
    <m/>
    <d v="2020-12-28T00:00:00"/>
    <s v="CSTM_DYOZUWS03CH"/>
    <m/>
    <s v="Pending"/>
    <x v="1"/>
    <x v="1"/>
  </r>
  <r>
    <x v="29"/>
    <s v="Reshma Surjiani"/>
    <x v="5"/>
    <x v="2"/>
    <x v="3"/>
    <s v="Won"/>
    <s v="2-3 Jan 2021"/>
    <n v="20000"/>
    <n v="229.04260192395787"/>
    <d v="2020-12-29T00:00:00"/>
    <m/>
    <d v="2020-12-30T00:00:00"/>
    <s v="CSTM_GHYXI3HMNJR"/>
    <m/>
    <s v="Pending"/>
    <x v="1"/>
    <x v="1"/>
  </r>
  <r>
    <x v="31"/>
    <s v="Tanu HS"/>
    <x v="9"/>
    <x v="3"/>
    <x v="3"/>
    <s v="Won"/>
    <s v="LVC"/>
    <n v="10000"/>
    <n v="114.52130096197894"/>
    <d v="2020-12-30T00:00:00"/>
    <m/>
    <d v="2020-12-30T00:00:00"/>
    <s v="CSTM_IGBHM85YLXE"/>
    <m/>
    <s v="NA"/>
    <x v="1"/>
    <x v="1"/>
  </r>
  <r>
    <x v="32"/>
    <s v="Arushi"/>
    <x v="12"/>
    <x v="5"/>
    <x v="3"/>
    <s v="Won"/>
    <d v="2021-01-23T00:00:00"/>
    <n v="20000"/>
    <n v="229.04260192395787"/>
    <d v="2020-12-30T00:00:00"/>
    <m/>
    <d v="2020-12-30T00:00:00"/>
    <s v="CSTM_AYGBYFX8JHP"/>
    <m/>
    <s v="NA"/>
    <x v="2"/>
    <x v="1"/>
  </r>
  <r>
    <x v="33"/>
    <s v="Shalini Akki"/>
    <x v="1"/>
    <x v="2"/>
    <x v="3"/>
    <s v="Won"/>
    <s v="2-3 Jan 2021"/>
    <n v="20000"/>
    <n v="229.04260192395787"/>
    <d v="2020-12-31T00:00:00"/>
    <m/>
    <d v="2020-12-31T00:00:00"/>
    <s v="CSTM_G8XHSCYF8MI"/>
    <s v="By Chitra Bhanu"/>
    <s v="Pending"/>
    <x v="1"/>
    <x v="1"/>
  </r>
  <r>
    <x v="34"/>
    <s v="Arijit Kapoor"/>
    <x v="1"/>
    <x v="6"/>
    <x v="3"/>
    <s v="Won"/>
    <d v="2021-01-16T00:00:00"/>
    <n v="22000"/>
    <n v="251.94686211635369"/>
    <d v="2020-12-21T00:00:00"/>
    <m/>
    <d v="2021-01-20T00:00:00"/>
    <s v="CSTM_92E0A9QO2PE"/>
    <s v="By Shivangi Arora"/>
    <s v="SL - LVC"/>
    <x v="2"/>
    <x v="1"/>
  </r>
  <r>
    <x v="35"/>
    <s v="Ganesh Rao"/>
    <x v="12"/>
    <x v="2"/>
    <x v="4"/>
    <s v="Won"/>
    <s v="9-10 Jan 2021"/>
    <n v="21000"/>
    <n v="240.49473202015577"/>
    <d v="2021-01-02T00:00:00"/>
    <s v="W1"/>
    <d v="2021-01-02T00:00:00"/>
    <s v="CSTM_DZHG5T891CY"/>
    <m/>
    <s v="Pending."/>
    <x v="1"/>
    <x v="0"/>
  </r>
  <r>
    <x v="29"/>
    <s v="Ravindra Purohit"/>
    <x v="9"/>
    <x v="1"/>
    <x v="4"/>
    <s v="Won"/>
    <s v="6-7 Feb 2021"/>
    <n v="21000"/>
    <n v="240.49473202015577"/>
    <d v="2020-12-29T00:00:00"/>
    <s v="W1"/>
    <d v="2021-01-03T00:00:00"/>
    <s v="CSTM_3NEPR34M89K"/>
    <m/>
    <s v="Pending"/>
    <x v="1"/>
    <x v="0"/>
  </r>
  <r>
    <x v="31"/>
    <s v="Dhanapal Angamuthu"/>
    <x v="7"/>
    <x v="2"/>
    <x v="4"/>
    <s v="Won"/>
    <s v="9-10 Jan 2021"/>
    <n v="19000"/>
    <n v="217.59047182775998"/>
    <d v="2020-12-29T00:00:00"/>
    <s v="W1"/>
    <d v="2021-01-04T00:00:00"/>
    <s v="CSTM_6LZQVYN57Y0"/>
    <m/>
    <s v="Done. Good feedback."/>
    <x v="1"/>
    <x v="0"/>
  </r>
  <r>
    <x v="34"/>
    <s v="Garima Gupta"/>
    <x v="1"/>
    <x v="2"/>
    <x v="4"/>
    <s v="Won"/>
    <s v="9-10 Jan 2021"/>
    <n v="20000"/>
    <n v="229.04260192395787"/>
    <d v="2021-01-02T00:00:00"/>
    <s v="W1"/>
    <d v="2021-01-04T00:00:00"/>
    <s v="CSTM_E52Y2ZT6NDX"/>
    <s v="By Vagdevi N vagdevinagbhushan@gmail.com"/>
    <s v="Done. Good feedback."/>
    <x v="1"/>
    <x v="0"/>
  </r>
  <r>
    <x v="36"/>
    <s v="Sarath T S"/>
    <x v="2"/>
    <x v="2"/>
    <x v="4"/>
    <s v="Won"/>
    <s v="9-10 Jan 2021"/>
    <n v="22500"/>
    <n v="257.67292716445257"/>
    <d v="2021-01-04T00:00:00"/>
    <s v="W1"/>
    <d v="2021-01-04T00:00:00"/>
    <s v="CSTM_JK6X3F74KIQ"/>
    <m/>
    <s v="Done. Good feedback."/>
    <x v="1"/>
    <x v="0"/>
  </r>
  <r>
    <x v="15"/>
    <s v="Keerthana S"/>
    <x v="14"/>
    <x v="2"/>
    <x v="4"/>
    <s v="Won"/>
    <s v="27-28 Feb 2021"/>
    <n v="19000"/>
    <n v="217.59047182775998"/>
    <d v="2021-01-08T00:00:00"/>
    <s v="W1"/>
    <d v="2021-01-04T00:00:00"/>
    <s v="CSTM_IYCEY4MW0J6"/>
    <m/>
    <s v="Done. Good feedback."/>
    <x v="1"/>
    <x v="0"/>
  </r>
  <r>
    <x v="28"/>
    <s v="Sumantra Bhaumik"/>
    <x v="15"/>
    <x v="1"/>
    <x v="4"/>
    <s v="Won"/>
    <s v="16-17 Jan 2021"/>
    <n v="21000"/>
    <n v="240.49473202015577"/>
    <d v="2021-01-04T00:00:00"/>
    <s v="W1"/>
    <d v="2021-01-05T00:00:00"/>
    <s v="CSTM_9J3RXZUM8GA"/>
    <m/>
    <s v="Pending"/>
    <x v="1"/>
    <x v="0"/>
  </r>
  <r>
    <x v="37"/>
    <s v="Mayukh Bhattacharya"/>
    <x v="7"/>
    <x v="2"/>
    <x v="4"/>
    <s v="Won"/>
    <s v="30-31 Jan 2021"/>
    <n v="20000"/>
    <n v="229.04260192395787"/>
    <d v="2021-01-06T00:00:00"/>
    <s v="W1"/>
    <d v="2021-01-06T00:00:00"/>
    <s v="CSTM_BC1UOWE6THY"/>
    <m/>
    <s v="Done. Good feedback."/>
    <x v="1"/>
    <x v="0"/>
  </r>
  <r>
    <x v="38"/>
    <s v="Kirubagaran"/>
    <x v="7"/>
    <x v="2"/>
    <x v="4"/>
    <s v="Won"/>
    <s v="16-17 Jan 2021"/>
    <n v="24780"/>
    <n v="283.7837837837838"/>
    <d v="2021-01-06T00:00:00"/>
    <s v="W1"/>
    <d v="2021-01-06T00:00:00"/>
    <s v="CSTM_1T538XE9Q7N"/>
    <m/>
    <s v="Pending"/>
    <x v="1"/>
    <x v="0"/>
  </r>
  <r>
    <x v="38"/>
    <s v="Vignesh"/>
    <x v="6"/>
    <x v="2"/>
    <x v="4"/>
    <s v="Won"/>
    <s v="16-17 Jan 2021"/>
    <n v="21500"/>
    <n v="246.22079706825471"/>
    <d v="2021-01-06T00:00:00"/>
    <s v="W1"/>
    <d v="2021-01-06T00:00:00"/>
    <s v="CSTM_EM6CPL0ZCJ6"/>
    <m/>
    <s v="Pending"/>
    <x v="1"/>
    <x v="0"/>
  </r>
  <r>
    <x v="39"/>
    <s v="Ojas"/>
    <x v="6"/>
    <x v="1"/>
    <x v="4"/>
    <s v="Won"/>
    <s v="30-31 Jan 2021"/>
    <n v="22000"/>
    <n v="251.94686211635369"/>
    <d v="2021-01-07T00:00:00"/>
    <s v="W1"/>
    <d v="2021-01-07T00:00:00"/>
    <s v="CSTM_D0T3IQZ3ETG"/>
    <m/>
    <s v="Pending"/>
    <x v="1"/>
    <x v="0"/>
  </r>
  <r>
    <x v="40"/>
    <s v="Amit Shinde"/>
    <x v="5"/>
    <x v="2"/>
    <x v="4"/>
    <s v="Won"/>
    <s v="23-24 Jan 2021"/>
    <n v="20000"/>
    <n v="229.04260192395787"/>
    <d v="2021-01-09T00:00:00"/>
    <s v="W1"/>
    <d v="2021-01-09T00:00:00"/>
    <s v="CSTM_5JASVJVAK8W"/>
    <m/>
    <s v="Done. Good feedback."/>
    <x v="1"/>
    <x v="0"/>
  </r>
  <r>
    <x v="40"/>
    <s v="Apoorva Lakshman"/>
    <x v="2"/>
    <x v="2"/>
    <x v="4"/>
    <s v="Won"/>
    <s v="16-17 Jan 2021"/>
    <n v="22500"/>
    <n v="257.67292716445257"/>
    <d v="2021-01-10T00:00:00"/>
    <s v="W1"/>
    <d v="2021-01-10T00:00:00"/>
    <s v="CSTM_9ERVMJ4RPDA"/>
    <m/>
    <s v="Pending"/>
    <x v="1"/>
    <x v="0"/>
  </r>
  <r>
    <x v="41"/>
    <s v="Uma Yegnya"/>
    <x v="6"/>
    <x v="2"/>
    <x v="4"/>
    <s v="Won"/>
    <s v="20-21 Feb 2021"/>
    <n v="19000"/>
    <n v="217.59047182775998"/>
    <d v="2021-01-11T00:00:00"/>
    <s v="W2"/>
    <d v="2021-01-11T00:00:00"/>
    <s v="CSTM_8KTGEUG6T5R"/>
    <m/>
    <s v="Pending"/>
    <x v="1"/>
    <x v="0"/>
  </r>
  <r>
    <x v="37"/>
    <s v="Aakansha Joglekar"/>
    <x v="1"/>
    <x v="2"/>
    <x v="4"/>
    <s v="Won"/>
    <s v="16-17 Jan 2021"/>
    <n v="20000"/>
    <n v="229.04260192395787"/>
    <d v="2021-01-11T00:00:00"/>
    <s v="W2"/>
    <d v="2021-01-12T00:00:00"/>
    <s v="CSTM_GIEWTIYGYWU"/>
    <s v="By Sandeep Joglekar sandeep48@yahoo.com"/>
    <s v="Pending"/>
    <x v="1"/>
    <x v="0"/>
  </r>
  <r>
    <x v="41"/>
    <s v="Preethi Prasanna V"/>
    <x v="1"/>
    <x v="1"/>
    <x v="4"/>
    <s v="Won"/>
    <s v="27-28 Feb 2021"/>
    <n v="18500"/>
    <n v="211.86440677966101"/>
    <d v="2021-01-12T00:00:00"/>
    <s v="W2"/>
    <d v="2021-01-12T00:00:00"/>
    <s v="CSTM_96KUB9QKBHK"/>
    <s v="By Sunit R"/>
    <s v="Done. Good feedback."/>
    <x v="1"/>
    <x v="0"/>
  </r>
  <r>
    <x v="41"/>
    <s v="Debidatta Sattapathy"/>
    <x v="1"/>
    <x v="1"/>
    <x v="4"/>
    <s v="Won"/>
    <s v="27-28 Feb 2021"/>
    <n v="18500"/>
    <n v="211.86440677966101"/>
    <d v="2021-01-12T00:00:00"/>
    <s v="W2"/>
    <d v="2021-01-12T00:00:00"/>
    <s v="CSTM_JMPC8MZ8EHV"/>
    <s v="By Sunit R"/>
    <s v="Done. Good feedback."/>
    <x v="1"/>
    <x v="0"/>
  </r>
  <r>
    <x v="41"/>
    <s v="Aakash Verma"/>
    <x v="1"/>
    <x v="1"/>
    <x v="4"/>
    <s v="Won"/>
    <s v="27-28 Feb 2021"/>
    <n v="18500"/>
    <n v="211.86440677966101"/>
    <d v="2021-01-12T00:00:00"/>
    <s v="W2"/>
    <d v="2021-01-12T00:00:00"/>
    <s v="CSTM_EW3CX4MD726"/>
    <s v="By Sunit R"/>
    <s v="Pending"/>
    <x v="1"/>
    <x v="0"/>
  </r>
  <r>
    <x v="14"/>
    <s v="Sunit R"/>
    <x v="11"/>
    <x v="1"/>
    <x v="4"/>
    <s v="Won"/>
    <s v="27-28 Feb 2021"/>
    <n v="18500"/>
    <n v="211.86440677966101"/>
    <d v="2021-02-01T00:00:00"/>
    <s v="W2"/>
    <d v="2021-01-12T00:00:00"/>
    <s v="CSTM_FI1DCEE4AJS"/>
    <m/>
    <s v="Pending"/>
    <x v="1"/>
    <x v="0"/>
  </r>
  <r>
    <x v="42"/>
    <s v="Wasim"/>
    <x v="1"/>
    <x v="2"/>
    <x v="4"/>
    <s v="Won"/>
    <s v="23-24 Jan 2021"/>
    <n v="19000"/>
    <n v="217.59047182775998"/>
    <d v="2021-01-10T00:00:00"/>
    <s v="W2"/>
    <d v="2021-01-13T00:00:00"/>
    <s v="CSTM_LLJDV4NSQ9"/>
    <m/>
    <s v="Done. Good feedback."/>
    <x v="1"/>
    <x v="0"/>
  </r>
  <r>
    <x v="41"/>
    <s v="Gaurav Deol"/>
    <x v="2"/>
    <x v="2"/>
    <x v="4"/>
    <s v="Won"/>
    <s v="16-17 Jan 2021"/>
    <n v="20000"/>
    <n v="229.04260192395787"/>
    <d v="2021-01-12T00:00:00"/>
    <s v="W2"/>
    <d v="2021-01-13T00:00:00"/>
    <s v="CSTM_FKLQN5KWFIW"/>
    <m/>
    <s v="Pending"/>
    <x v="1"/>
    <x v="0"/>
  </r>
  <r>
    <x v="43"/>
    <s v="Mayank KL"/>
    <x v="5"/>
    <x v="2"/>
    <x v="4"/>
    <s v="Won"/>
    <d v="2021-01-01T00:00:00"/>
    <n v="20000"/>
    <n v="229.04260192395787"/>
    <d v="2021-01-14T00:00:00"/>
    <s v="W2"/>
    <d v="2021-01-14T00:00:00"/>
    <s v="CSTM_ATLC8LJ0Z3Z"/>
    <m/>
    <s v="Pending"/>
    <x v="1"/>
    <x v="0"/>
  </r>
  <r>
    <x v="44"/>
    <s v="Archana Ramane"/>
    <x v="5"/>
    <x v="2"/>
    <x v="4"/>
    <s v="Won"/>
    <s v="16-17 Jan 2021"/>
    <n v="20000"/>
    <n v="229.04260192395787"/>
    <d v="2021-02-05T00:00:00"/>
    <s v="W2"/>
    <d v="2021-01-14T00:00:00"/>
    <s v="CSTM_8O17M3FTKE9"/>
    <m/>
    <s v="Pending"/>
    <x v="1"/>
    <x v="0"/>
  </r>
  <r>
    <x v="22"/>
    <s v="Arun Pai"/>
    <x v="1"/>
    <x v="7"/>
    <x v="4"/>
    <s v="Won"/>
    <d v="2021-01-23T00:00:00"/>
    <n v="12500"/>
    <n v="143.15162620247366"/>
    <d v="2021-03-01T00:00:00"/>
    <s v="W2"/>
    <d v="2021-01-14T00:00:00"/>
    <s v="CSTM_85AK90LOJLF"/>
    <s v="Reference by Aravind Devaraj - aravinddevaraj.mec@gmail.com"/>
    <s v="Done. Good feedback."/>
    <x v="2"/>
    <x v="0"/>
  </r>
  <r>
    <x v="45"/>
    <s v="Abhiruchi SV"/>
    <x v="14"/>
    <x v="2"/>
    <x v="4"/>
    <s v="Won"/>
    <s v="23-24 Jan 2021"/>
    <n v="21000"/>
    <n v="240.49473202015577"/>
    <d v="2021-01-17T00:00:00"/>
    <s v="W2"/>
    <d v="2021-01-17T00:00:00"/>
    <s v="CSTM_AG9YCXR00X1"/>
    <m/>
    <s v="Done. Good feedback."/>
    <x v="1"/>
    <x v="0"/>
  </r>
  <r>
    <x v="46"/>
    <s v="Chayan Giri"/>
    <x v="1"/>
    <x v="2"/>
    <x v="4"/>
    <s v="Won"/>
    <s v="30-31 Jan 2021"/>
    <n v="19000"/>
    <n v="217.59047182775998"/>
    <d v="2021-01-18T00:00:00"/>
    <s v="W2"/>
    <d v="2021-01-17T00:00:00"/>
    <s v="CSTM_96OCN839JEL"/>
    <s v="By Keerti - Somnath C - Used it already on 9 Feb 2021"/>
    <s v="Done. Good feedback."/>
    <x v="1"/>
    <x v="0"/>
  </r>
  <r>
    <x v="45"/>
    <s v="Amarnath Ganesh"/>
    <x v="7"/>
    <x v="2"/>
    <x v="4"/>
    <s v="Won"/>
    <s v="23-24 Jan 2021"/>
    <n v="20000"/>
    <n v="229.04260192395787"/>
    <d v="2021-01-19T00:00:00"/>
    <s v="W3"/>
    <d v="2021-01-20T00:00:00"/>
    <s v="CSTM_7YCCJ87F4VK"/>
    <m/>
    <s v="Done. Good feedback."/>
    <x v="1"/>
    <x v="0"/>
  </r>
  <r>
    <x v="47"/>
    <s v="Praveen Nair"/>
    <x v="16"/>
    <x v="8"/>
    <x v="4"/>
    <s v="Won"/>
    <s v="23-24 Jan 2021"/>
    <n v="33000"/>
    <n v="377.92029317453046"/>
    <d v="2021-01-20T00:00:00"/>
    <s v="W3"/>
    <d v="2021-01-20T00:00:00"/>
    <s v="CSTM_J6LEGX14RW7"/>
    <m/>
    <s v="Done. Good feedback."/>
    <x v="2"/>
    <x v="0"/>
  </r>
  <r>
    <x v="48"/>
    <s v="Prabharan K"/>
    <x v="17"/>
    <x v="2"/>
    <x v="4"/>
    <s v="Won"/>
    <s v="30-31 Jan 2021"/>
    <n v="20500"/>
    <n v="234.76866697205682"/>
    <d v="2021-01-21T00:00:00"/>
    <s v="W3"/>
    <d v="2021-01-21T00:00:00"/>
    <s v="CSTM_3E011MZ40ZF"/>
    <m/>
    <s v="Pending"/>
    <x v="1"/>
    <x v="0"/>
  </r>
  <r>
    <x v="49"/>
    <s v="Gaurav Deol"/>
    <x v="16"/>
    <x v="1"/>
    <x v="4"/>
    <s v="Won"/>
    <s v="25-26 Jan 2021"/>
    <n v="20000"/>
    <n v="229.04260192395787"/>
    <d v="2021-01-23T00:00:00"/>
    <s v="W3"/>
    <d v="2021-01-23T00:00:00"/>
    <s v="CSTM_5U1FHBZYART"/>
    <m/>
    <s v="Pending"/>
    <x v="1"/>
    <x v="0"/>
  </r>
  <r>
    <x v="50"/>
    <s v="Jobine"/>
    <x v="1"/>
    <x v="2"/>
    <x v="4"/>
    <s v="Won"/>
    <s v="30-31 Jan 2021"/>
    <n v="20000"/>
    <n v="229.04260192395787"/>
    <d v="2021-01-25T00:00:00"/>
    <s v="W4"/>
    <d v="2021-01-25T00:00:00"/>
    <s v="CSTM_G3Y7QBRIKDJ"/>
    <s v="Reference by Praveen Nair"/>
    <s v="Done. Good feedbak."/>
    <x v="1"/>
    <x v="0"/>
  </r>
  <r>
    <x v="50"/>
    <s v="Praveen Nair"/>
    <x v="18"/>
    <x v="1"/>
    <x v="4"/>
    <s v="Won"/>
    <s v="27-28 Jan 2021"/>
    <n v="20000"/>
    <n v="229.04260192395787"/>
    <d v="2021-01-25T00:00:00"/>
    <s v="W4"/>
    <d v="2021-01-25T00:00:00"/>
    <s v="CSTM_A7ZSST6VQG8"/>
    <m/>
    <s v="Pending"/>
    <x v="1"/>
    <x v="0"/>
  </r>
  <r>
    <x v="51"/>
    <s v="Divya"/>
    <x v="5"/>
    <x v="2"/>
    <x v="4"/>
    <s v="Won"/>
    <s v="6-7 Feb 2021"/>
    <n v="20000"/>
    <n v="229.04260192395787"/>
    <d v="2021-01-22T00:00:00"/>
    <s v="W4"/>
    <d v="2021-01-26T00:00:00"/>
    <s v="CSTM_9HTSD5QALVS"/>
    <m/>
    <s v="Done. Good feedback."/>
    <x v="1"/>
    <x v="0"/>
  </r>
  <r>
    <x v="52"/>
    <s v="Sheena Thakur"/>
    <x v="5"/>
    <x v="2"/>
    <x v="4"/>
    <s v="Won"/>
    <s v="30-31 Jan 2021"/>
    <n v="20000"/>
    <n v="229.04260192395787"/>
    <d v="2021-01-27T00:00:00"/>
    <s v="W4"/>
    <d v="2021-01-27T00:00:00"/>
    <s v="CSTM_3BGTW6G386G"/>
    <m/>
    <s v="Done. Good feedback."/>
    <x v="1"/>
    <x v="0"/>
  </r>
  <r>
    <x v="53"/>
    <s v="Parimala"/>
    <x v="3"/>
    <x v="2"/>
    <x v="4"/>
    <s v="Won"/>
    <s v="6-7 March 2021"/>
    <n v="22000"/>
    <n v="251.94686211635369"/>
    <d v="2021-01-28T00:00:00"/>
    <s v="W4"/>
    <d v="2021-01-28T00:00:00"/>
    <s v="CSTM_4YXP23HIP3Q"/>
    <m/>
    <s v="Pending"/>
    <x v="1"/>
    <x v="0"/>
  </r>
  <r>
    <x v="48"/>
    <s v="Humesh Kumar"/>
    <x v="1"/>
    <x v="2"/>
    <x v="4"/>
    <s v="Won"/>
    <s v="23-24 Jan 2021"/>
    <n v="20500"/>
    <n v="234.76866697205682"/>
    <d v="2021-01-20T00:00:00"/>
    <m/>
    <d v="2021-01-22T00:00:00"/>
    <s v="CSTM_DEF"/>
    <s v="By Swetha mantlegal@gmail.com"/>
    <s v="NA"/>
    <x v="1"/>
    <x v="0"/>
  </r>
  <r>
    <x v="53"/>
    <s v="Pranay Sharma"/>
    <x v="3"/>
    <x v="1"/>
    <x v="4"/>
    <s v="Won"/>
    <s v="13-14 Feb 2021"/>
    <n v="24780"/>
    <n v="283.7837837837838"/>
    <d v="2021-01-28T00:00:00"/>
    <s v="W4"/>
    <d v="2021-01-28T00:00:00"/>
    <s v="SMPL_6TXTNNAYY1D"/>
    <m/>
    <s v="Pending"/>
    <x v="1"/>
    <x v="0"/>
  </r>
  <r>
    <x v="53"/>
    <s v="Manjari Saxena"/>
    <x v="16"/>
    <x v="9"/>
    <x v="4"/>
    <s v="Won"/>
    <s v="30-31 Jan 2021"/>
    <n v="53100"/>
    <n v="608.10810810810813"/>
    <d v="2021-01-28T00:00:00"/>
    <s v="W4"/>
    <d v="2021-01-29T00:00:00"/>
    <s v="CSTM_97KB83WLBRG"/>
    <m/>
    <s v="Done. Good feedback."/>
    <x v="0"/>
    <x v="0"/>
  </r>
  <r>
    <x v="53"/>
    <s v="Manjari Saxena"/>
    <x v="16"/>
    <x v="10"/>
    <x v="4"/>
    <s v="Won"/>
    <d v="2021-02-06T00:00:00"/>
    <n v="8500"/>
    <n v="97.343105817682087"/>
    <d v="2021-01-28T00:00:00"/>
    <s v="W4"/>
    <d v="2021-01-29T00:00:00"/>
    <s v="CSTM_56SNEZNYG8J"/>
    <m/>
    <s v="Done. Good feedback."/>
    <x v="2"/>
    <x v="0"/>
  </r>
  <r>
    <x v="48"/>
    <s v="Vinaya Karre"/>
    <x v="1"/>
    <x v="2"/>
    <x v="4"/>
    <s v="Won"/>
    <s v="13-14 Feb 2021"/>
    <n v="20000"/>
    <n v="229.04260192395787"/>
    <d v="2021-01-25T00:00:00"/>
    <s v="W4"/>
    <d v="2021-01-30T00:00:00"/>
    <s v="CSTM_50V2JFVNXOV"/>
    <s v="By Manisha Singh"/>
    <s v="Done. Good feedback."/>
    <x v="1"/>
    <x v="0"/>
  </r>
  <r>
    <x v="54"/>
    <s v="Sneha Mukadam"/>
    <x v="5"/>
    <x v="2"/>
    <x v="4"/>
    <s v="Won"/>
    <s v="6-7 Feb 2021"/>
    <n v="20000"/>
    <n v="229.04260192395787"/>
    <d v="2021-01-30T00:00:00"/>
    <s v="W4"/>
    <d v="2021-01-30T00:00:00"/>
    <s v="CSTM_8EPN5I99GFF"/>
    <m/>
    <s v="Pending"/>
    <x v="1"/>
    <x v="0"/>
  </r>
  <r>
    <x v="48"/>
    <s v="Rama Devi"/>
    <x v="7"/>
    <x v="2"/>
    <x v="4"/>
    <s v="Won"/>
    <s v="6-7 Feb 2021"/>
    <n v="19000"/>
    <n v="217.59047182775998"/>
    <d v="2021-01-26T00:00:00"/>
    <s v="W4"/>
    <d v="2021-01-31T00:00:00"/>
    <s v="CSTM_GGJ3KKH2UBG"/>
    <m/>
    <s v="Done. Good feedback."/>
    <x v="1"/>
    <x v="0"/>
  </r>
  <r>
    <x v="55"/>
    <s v="Sandeep Asrani"/>
    <x v="5"/>
    <x v="2"/>
    <x v="4"/>
    <s v="Won"/>
    <s v="6-7 Feb 2021"/>
    <n v="20000"/>
    <n v="229.04260192395787"/>
    <d v="2021-01-31T00:00:00"/>
    <s v="W4"/>
    <d v="2021-01-31T00:00:00"/>
    <s v="CSTM_JCEP28TM7RJ"/>
    <m/>
    <s v="Pending"/>
    <x v="1"/>
    <x v="0"/>
  </r>
  <r>
    <x v="11"/>
    <s v="Jagadish S"/>
    <x v="1"/>
    <x v="2"/>
    <x v="0"/>
    <s v="Won"/>
    <s v="6-7 Feb 2021"/>
    <n v="20000"/>
    <n v="229.04260192395787"/>
    <s v="DK"/>
    <s v="W1"/>
    <d v="2021-02-01T00:00:00"/>
    <s v="CSTM_1HOCQSW30AQ"/>
    <s v="Reference by Rathna"/>
    <s v="Done. Good feedback."/>
    <x v="1"/>
    <x v="0"/>
  </r>
  <r>
    <x v="48"/>
    <s v="Faizan Mohammad"/>
    <x v="1"/>
    <x v="2"/>
    <x v="0"/>
    <s v="Won"/>
    <s v="6-7 Feb 2021"/>
    <n v="20000"/>
    <n v="229.04260192395787"/>
    <d v="2021-02-01T00:00:00"/>
    <s v="W1"/>
    <d v="2021-02-02T00:00:00"/>
    <s v="CSTM_BJPEKOMSJ8L"/>
    <s v="Reference by Praveen Nair"/>
    <s v="Done. Good feedback."/>
    <x v="1"/>
    <x v="0"/>
  </r>
  <r>
    <x v="56"/>
    <s v="Aditya"/>
    <x v="3"/>
    <x v="2"/>
    <x v="0"/>
    <s v="Won"/>
    <s v="13-14 Feb 2021"/>
    <n v="20500"/>
    <n v="234.76866697205682"/>
    <d v="2021-02-02T00:00:00"/>
    <s v="W1"/>
    <d v="2021-02-02T00:00:00"/>
    <s v="CSTM_51WHHVI8J92"/>
    <m/>
    <s v="Done. Good feedback."/>
    <x v="1"/>
    <x v="0"/>
  </r>
  <r>
    <x v="57"/>
    <s v="Prabhat Ranjan"/>
    <x v="5"/>
    <x v="2"/>
    <x v="0"/>
    <s v="Won"/>
    <s v="6-7 Feb 2021"/>
    <n v="20500"/>
    <n v="234.76866697205682"/>
    <d v="2021-02-03T00:00:00"/>
    <s v="W1"/>
    <d v="2021-02-03T00:00:00"/>
    <s v="CSTM_EIOUWJRA17I"/>
    <m/>
    <s v="Done. Good feedback."/>
    <x v="1"/>
    <x v="0"/>
  </r>
  <r>
    <x v="58"/>
    <s v="Priyanka"/>
    <x v="19"/>
    <x v="0"/>
    <x v="0"/>
    <s v="Won"/>
    <s v="6-7 Feb 2021"/>
    <n v="20500"/>
    <n v="234.76866697205682"/>
    <d v="2021-02-03T00:00:00"/>
    <s v="W1"/>
    <d v="2021-02-03T00:00:00"/>
    <s v="CSTM_3H3VXSSKYR0"/>
    <m/>
    <s v="Pending"/>
    <x v="0"/>
    <x v="0"/>
  </r>
  <r>
    <x v="59"/>
    <s v="Subhratan Jena"/>
    <x v="5"/>
    <x v="2"/>
    <x v="0"/>
    <s v="Won"/>
    <s v="6-7 Feb 2021"/>
    <n v="19000"/>
    <n v="217.59047182775998"/>
    <d v="2021-02-04T00:00:00"/>
    <s v="W1"/>
    <d v="2021-02-04T00:00:00"/>
    <s v="CSTM_3RVAJTF2K5D"/>
    <m/>
    <s v="Done. Good feedback."/>
    <x v="1"/>
    <x v="0"/>
  </r>
  <r>
    <x v="60"/>
    <s v="Subbarathna"/>
    <x v="5"/>
    <x v="2"/>
    <x v="0"/>
    <s v="Won"/>
    <s v="13-14 Feb 2021"/>
    <n v="20500"/>
    <n v="234.76866697205682"/>
    <d v="2021-02-05T00:00:00"/>
    <s v="W1"/>
    <d v="2021-02-05T00:00:00"/>
    <s v="CSTM_ASS3ZFDK8LG"/>
    <m/>
    <s v="Done. Good feedback."/>
    <x v="1"/>
    <x v="0"/>
  </r>
  <r>
    <x v="60"/>
    <s v="R Tiwari"/>
    <x v="15"/>
    <x v="11"/>
    <x v="0"/>
    <s v="Won"/>
    <s v="Practice Test"/>
    <n v="2360"/>
    <n v="27.027027027027028"/>
    <d v="2021-02-05T00:00:00"/>
    <s v="W1"/>
    <d v="2021-02-05T00:00:00"/>
    <s v="SMPL_HPOQ0TUQ7JP"/>
    <m/>
    <s v="NA"/>
    <x v="2"/>
    <x v="0"/>
  </r>
  <r>
    <x v="60"/>
    <s v="Subbarathna"/>
    <x v="0"/>
    <x v="2"/>
    <x v="0"/>
    <s v="Won"/>
    <s v="13-14 Feb 2021"/>
    <n v="500"/>
    <n v="5.7260650480989472"/>
    <d v="2021-02-05T00:00:00"/>
    <s v="W1"/>
    <d v="2021-02-05T00:00:00"/>
    <s v="CSTM_I5809QJM43B"/>
    <m/>
    <s v="Done. Good feedback."/>
    <x v="1"/>
    <x v="0"/>
  </r>
  <r>
    <x v="57"/>
    <s v="Mohan Krishna"/>
    <x v="5"/>
    <x v="9"/>
    <x v="0"/>
    <s v="Won"/>
    <s v="27-28 Feb 2021"/>
    <n v="48000"/>
    <n v="549.70224461749888"/>
    <d v="2021-02-06T00:00:00"/>
    <s v="W1"/>
    <d v="2021-02-06T00:00:00"/>
    <s v="CSTM_5CNI2SA4IUU"/>
    <m/>
    <s v="Done. Good feedback."/>
    <x v="0"/>
    <x v="0"/>
  </r>
  <r>
    <x v="61"/>
    <s v="Sourav Saw"/>
    <x v="5"/>
    <x v="2"/>
    <x v="0"/>
    <s v="Won"/>
    <s v="20-21 Feb 2021"/>
    <n v="19000"/>
    <n v="217.59047182775998"/>
    <d v="2021-01-10T00:00:00"/>
    <s v="W2"/>
    <d v="2021-02-09T00:00:00"/>
    <s v="CSTM_HR27ZLIS3WV"/>
    <m/>
    <s v="Pending"/>
    <x v="1"/>
    <x v="0"/>
  </r>
  <r>
    <x v="62"/>
    <s v="Varsha Naik"/>
    <x v="5"/>
    <x v="4"/>
    <x v="0"/>
    <s v="Won"/>
    <d v="2021-02-20T00:00:00"/>
    <n v="22500"/>
    <n v="257.67292716445257"/>
    <d v="2021-02-06T00:00:00"/>
    <s v="W2"/>
    <d v="2021-02-10T00:00:00"/>
    <s v="CSTM_43AV2KLX48R"/>
    <m/>
    <s v="Pending"/>
    <x v="2"/>
    <x v="0"/>
  </r>
  <r>
    <x v="63"/>
    <s v="Ambat Vipin"/>
    <x v="5"/>
    <x v="4"/>
    <x v="0"/>
    <s v="Won"/>
    <d v="2021-03-06T00:00:00"/>
    <n v="22500"/>
    <n v="257.67292716445257"/>
    <d v="2021-02-10T00:00:00"/>
    <s v="W2"/>
    <d v="2021-02-10T00:00:00"/>
    <s v="CSTM_6EJ7VZH4RSR"/>
    <m/>
    <s v="Pending"/>
    <x v="2"/>
    <x v="0"/>
  </r>
  <r>
    <x v="64"/>
    <s v="Surender Rana"/>
    <x v="20"/>
    <x v="12"/>
    <x v="0"/>
    <s v="Won"/>
    <s v="OSL"/>
    <n v="26000"/>
    <n v="297.75538250114522"/>
    <d v="2021-02-12T00:00:00"/>
    <s v="W2"/>
    <d v="2021-02-12T00:00:00"/>
    <s v="CSTM_J6YNMK2O2LI"/>
    <m/>
    <s v="Pending"/>
    <x v="2"/>
    <x v="0"/>
  </r>
  <r>
    <x v="64"/>
    <s v="Aditya"/>
    <x v="5"/>
    <x v="13"/>
    <x v="0"/>
    <s v="Won"/>
    <d v="2021-02-21T00:00:00"/>
    <n v="22418"/>
    <n v="256.7338524965644"/>
    <d v="2021-02-12T00:00:00"/>
    <s v="W1"/>
    <d v="2021-02-12T00:00:00"/>
    <s v="SMPL_6NF767C5G5F"/>
    <m/>
    <s v="NA"/>
    <x v="2"/>
    <x v="0"/>
  </r>
  <r>
    <x v="64"/>
    <s v="Sagar Bhandari"/>
    <x v="3"/>
    <x v="2"/>
    <x v="0"/>
    <s v="Won"/>
    <s v="20-21 Feb 2021"/>
    <n v="21000"/>
    <n v="240.49473202015577"/>
    <d v="2021-02-15T00:00:00"/>
    <s v="W3"/>
    <d v="2021-02-16T00:00:00"/>
    <s v="CSTM_4FXP2CZHR0P"/>
    <m/>
    <s v="Pending"/>
    <x v="1"/>
    <x v="0"/>
  </r>
  <r>
    <x v="65"/>
    <s v="Nikhil Doshi"/>
    <x v="1"/>
    <x v="14"/>
    <x v="0"/>
    <s v="Won"/>
    <s v="20-21 Feb 2021"/>
    <n v="20500"/>
    <n v="234.76866697205682"/>
    <d v="2021-02-18T00:00:00"/>
    <s v="W3"/>
    <d v="2021-02-16T00:00:00"/>
    <s v="CSTM_J5ZKUS2W9JV"/>
    <s v="Reference by Keerti keerti1895@gmail.com"/>
    <s v="Pending"/>
    <x v="0"/>
    <x v="0"/>
  </r>
  <r>
    <x v="66"/>
    <s v="Suvashree"/>
    <x v="2"/>
    <x v="14"/>
    <x v="0"/>
    <s v="Won"/>
    <s v="20-21 Feb 2021"/>
    <n v="21000"/>
    <n v="240.49473202015577"/>
    <d v="2021-02-17T00:00:00"/>
    <s v="W3"/>
    <d v="2021-02-17T00:00:00"/>
    <s v="CSTM_9T34I4APXSY"/>
    <m/>
    <s v="Pending"/>
    <x v="0"/>
    <x v="0"/>
  </r>
  <r>
    <x v="67"/>
    <s v="Saritha Gorla"/>
    <x v="7"/>
    <x v="15"/>
    <x v="0"/>
    <s v="Won"/>
    <s v="6-7 March 2021"/>
    <n v="50000"/>
    <n v="572.60650480989466"/>
    <d v="2021-02-17T00:00:00"/>
    <s v="W3"/>
    <d v="2021-02-18T00:00:00"/>
    <s v="CSTM_IJYG6N1YN3Y"/>
    <m/>
    <s v="Done. Good feedback."/>
    <x v="0"/>
    <x v="0"/>
  </r>
  <r>
    <x v="68"/>
    <s v="Ajit Halappanavar"/>
    <x v="2"/>
    <x v="7"/>
    <x v="0"/>
    <s v="Won"/>
    <d v="2021-03-01T00:00:00"/>
    <n v="13500"/>
    <n v="154.60375629867156"/>
    <d v="2021-02-20T00:00:00"/>
    <s v="W3"/>
    <d v="2021-02-21T00:00:00"/>
    <s v="CSTM_3E69PAJ9BDR"/>
    <m/>
    <s v="Pending"/>
    <x v="2"/>
    <x v="0"/>
  </r>
  <r>
    <x v="68"/>
    <s v="Devi Das"/>
    <x v="2"/>
    <x v="1"/>
    <x v="0"/>
    <s v="Won"/>
    <s v="17-18 April 2021"/>
    <n v="20000"/>
    <n v="229.04260192395787"/>
    <d v="2021-02-19T00:00:00"/>
    <s v="W4"/>
    <d v="2021-02-23T00:00:00"/>
    <s v="CSTM_9LGQVL3GEN6"/>
    <m/>
    <s v="Done. Good feedback."/>
    <x v="1"/>
    <x v="0"/>
  </r>
  <r>
    <x v="69"/>
    <s v="Mary Ceci"/>
    <x v="6"/>
    <x v="9"/>
    <x v="0"/>
    <s v="Won"/>
    <s v="6-7 March 2021"/>
    <n v="45000"/>
    <n v="515.34585432890515"/>
    <d v="2021-02-23T00:00:00"/>
    <s v="W4"/>
    <d v="2021-02-23T00:00:00"/>
    <s v="CSTM_79LEAQ9J3FI"/>
    <m/>
    <s v="Done. Good feedback."/>
    <x v="0"/>
    <x v="0"/>
  </r>
  <r>
    <x v="70"/>
    <s v="Kaushal Bhatt"/>
    <x v="5"/>
    <x v="14"/>
    <x v="0"/>
    <s v="Won"/>
    <s v="1-2 March 2021"/>
    <n v="21000"/>
    <n v="240.49473202015577"/>
    <d v="2021-02-22T00:00:00"/>
    <s v="W4"/>
    <d v="2021-02-24T00:00:00"/>
    <s v="CSTM_9U4XJMNZLUI"/>
    <m/>
    <s v="Pending"/>
    <x v="0"/>
    <x v="0"/>
  </r>
  <r>
    <x v="71"/>
    <s v="Balaji Gopal"/>
    <x v="21"/>
    <x v="2"/>
    <x v="0"/>
    <s v="Won"/>
    <s v="27-28 Feb 2021"/>
    <n v="20000"/>
    <n v="229.04260192395787"/>
    <d v="2021-02-24T00:00:00"/>
    <s v="W4"/>
    <d v="2021-02-24T00:00:00"/>
    <s v="CSTM_5WAI1UPF4M2"/>
    <m/>
    <s v="Done. Good feedback."/>
    <x v="1"/>
    <x v="0"/>
  </r>
  <r>
    <x v="72"/>
    <s v="Sripriya"/>
    <x v="2"/>
    <x v="0"/>
    <x v="0"/>
    <s v="Won"/>
    <s v="13-14 March 2021"/>
    <n v="20500"/>
    <n v="234.76866697205682"/>
    <d v="2021-02-24T00:00:00"/>
    <s v="W4"/>
    <d v="2021-02-24T00:00:00"/>
    <s v="CSTM_8HJRBXAR9ZJ"/>
    <m/>
    <s v="Done. Good feedback."/>
    <x v="0"/>
    <x v="0"/>
  </r>
  <r>
    <x v="73"/>
    <s v="Shivam Nandi"/>
    <x v="7"/>
    <x v="2"/>
    <x v="0"/>
    <s v="Won"/>
    <s v="27-28 Feb 2021"/>
    <n v="20000"/>
    <n v="229.04260192395787"/>
    <d v="2021-02-22T00:00:00"/>
    <s v="W4"/>
    <d v="2021-02-25T00:00:00"/>
    <s v="CSTM_66VO64QJ1EC"/>
    <m/>
    <s v="Pending"/>
    <x v="1"/>
    <x v="0"/>
  </r>
  <r>
    <x v="74"/>
    <s v="Santosh More"/>
    <x v="1"/>
    <x v="2"/>
    <x v="0"/>
    <s v="Won"/>
    <s v="6-7 March 2021"/>
    <n v="20000"/>
    <n v="229.04260192395787"/>
    <d v="2021-02-26T00:00:00"/>
    <s v="W4"/>
    <d v="2021-02-26T00:00:00"/>
    <s v="CSTM_9NQLCEOWLNU"/>
    <s v="Reference by Jagdish Suryawanshi"/>
    <s v="Done. Good feedback."/>
    <x v="1"/>
    <x v="0"/>
  </r>
  <r>
    <x v="71"/>
    <s v="Bishakha"/>
    <x v="5"/>
    <x v="2"/>
    <x v="0"/>
    <s v="Won"/>
    <s v="6-7 March 2021"/>
    <n v="18500"/>
    <n v="211.86440677966101"/>
    <d v="2021-02-26T00:00:00"/>
    <s v="W4"/>
    <d v="2021-02-26T00:00:00"/>
    <s v="CSTM_79EDQRWXLY7"/>
    <m/>
    <s v="Done. Good feedback."/>
    <x v="1"/>
    <x v="0"/>
  </r>
  <r>
    <x v="74"/>
    <s v="Kanika"/>
    <x v="5"/>
    <x v="9"/>
    <x v="0"/>
    <s v="Won"/>
    <s v="6-7 March 2021"/>
    <n v="45000"/>
    <n v="515.34585432890515"/>
    <d v="2021-02-26T00:00:00"/>
    <s v="W4"/>
    <d v="2021-02-26T00:00:00"/>
    <s v="CSTM_7SSEWEFNQ4Y"/>
    <m/>
    <s v="Done. Good feedback."/>
    <x v="0"/>
    <x v="0"/>
  </r>
  <r>
    <x v="75"/>
    <s v="Shrikant Zawar"/>
    <x v="7"/>
    <x v="0"/>
    <x v="0"/>
    <s v="Won"/>
    <s v="27-28 Feb 2021"/>
    <n v="21000"/>
    <n v="240.49473202015577"/>
    <d v="2021-02-26T00:00:00"/>
    <s v="W4"/>
    <d v="2021-02-26T00:00:00"/>
    <s v="CSTM_73QXO1T8Z6N"/>
    <m/>
    <s v="Done. Avg. feedback."/>
    <x v="0"/>
    <x v="0"/>
  </r>
  <r>
    <x v="69"/>
    <s v="Shweta Ramesh"/>
    <x v="22"/>
    <x v="2"/>
    <x v="0"/>
    <s v="Won"/>
    <s v="17-18 April 2021"/>
    <n v="20000"/>
    <n v="229.04260192395787"/>
    <d v="2021-03-04T00:00:00"/>
    <s v="W4"/>
    <d v="2021-02-26T00:00:00"/>
    <s v="CSTM_8YLLU2UZ019"/>
    <m/>
    <s v="Done. Good feedback."/>
    <x v="1"/>
    <x v="0"/>
  </r>
  <r>
    <x v="58"/>
    <s v="Amber Nagpal"/>
    <x v="7"/>
    <x v="2"/>
    <x v="0"/>
    <s v="Won"/>
    <s v="20-21 March 2021"/>
    <n v="18000"/>
    <n v="206.13834173156206"/>
    <d v="2021-02-03T00:00:00"/>
    <s v="W4"/>
    <d v="2021-02-27T00:00:00"/>
    <s v="CSTM_CFBUN1VOX5K"/>
    <m/>
    <s v="NA"/>
    <x v="1"/>
    <x v="0"/>
  </r>
  <r>
    <x v="75"/>
    <s v="Sakshi Gupta"/>
    <x v="5"/>
    <x v="9"/>
    <x v="5"/>
    <s v="Won"/>
    <s v="8-9 May 2021"/>
    <n v="45000"/>
    <n v="515.34585432890515"/>
    <d v="2021-02-27T00:00:00"/>
    <s v="W1"/>
    <d v="2021-03-01T00:00:00"/>
    <s v="CSTM_HAFYRRP9HDD"/>
    <m/>
    <s v="Done. Good feedback."/>
    <x v="0"/>
    <x v="0"/>
  </r>
  <r>
    <x v="76"/>
    <s v="Parul Agarwal"/>
    <x v="11"/>
    <x v="16"/>
    <x v="5"/>
    <s v="Won"/>
    <d v="2021-03-13T00:00:00"/>
    <n v="11000"/>
    <n v="125.97343105817684"/>
    <d v="2021-03-02T00:00:00"/>
    <s v="W1"/>
    <d v="2021-03-02T00:00:00"/>
    <s v="CSTM_CQ1P4MW7JPJ"/>
    <m/>
    <s v="NA"/>
    <x v="2"/>
    <x v="0"/>
  </r>
  <r>
    <x v="76"/>
    <s v="Hitesh Mehra"/>
    <x v="7"/>
    <x v="0"/>
    <x v="5"/>
    <s v="Won"/>
    <s v="6-7 March 2021"/>
    <n v="21000"/>
    <n v="240.49473202015577"/>
    <d v="2021-03-02T00:00:00"/>
    <s v="W1"/>
    <d v="2021-03-02T00:00:00"/>
    <s v="CSTM_KM2SVLAJ2Q"/>
    <m/>
    <s v="Pending"/>
    <x v="0"/>
    <x v="0"/>
  </r>
  <r>
    <x v="77"/>
    <s v="Ashish Sharma"/>
    <x v="7"/>
    <x v="2"/>
    <x v="5"/>
    <s v="Won"/>
    <s v="6-7 March 2021"/>
    <n v="20000"/>
    <n v="229.04260192395787"/>
    <d v="2021-03-01T00:00:00"/>
    <s v="W1"/>
    <d v="2021-03-03T00:00:00"/>
    <s v="CSTM_CGXX88U9OWZ"/>
    <m/>
    <s v="Pending"/>
    <x v="1"/>
    <x v="0"/>
  </r>
  <r>
    <x v="77"/>
    <s v="Naveen Kumar"/>
    <x v="1"/>
    <x v="2"/>
    <x v="5"/>
    <s v="Won"/>
    <s v="13-14 March 2021"/>
    <n v="20000"/>
    <n v="229.04260192395787"/>
    <d v="2021-03-03T00:00:00"/>
    <s v="W1"/>
    <d v="2021-03-03T00:00:00"/>
    <s v="CSTM_DBN8KFID854"/>
    <s v="Reference by Keerti keerti1895@gmail.com"/>
    <s v="Done. Good feedback."/>
    <x v="1"/>
    <x v="0"/>
  </r>
  <r>
    <x v="78"/>
    <s v="Arghya"/>
    <x v="2"/>
    <x v="14"/>
    <x v="5"/>
    <s v="Won"/>
    <s v="6-7 March 2021"/>
    <n v="21000"/>
    <n v="240.49473202015577"/>
    <d v="2021-03-06T00:00:00"/>
    <s v="W1"/>
    <d v="2021-03-04T00:00:00"/>
    <s v="CSTM_7EVLDQB4JTK"/>
    <m/>
    <s v="Done. Good feedback."/>
    <x v="0"/>
    <x v="0"/>
  </r>
  <r>
    <x v="25"/>
    <s v="Nitin Chopra"/>
    <x v="7"/>
    <x v="17"/>
    <x v="5"/>
    <s v="Won"/>
    <s v="DK"/>
    <n v="3500"/>
    <n v="40.082455336692625"/>
    <s v="DK"/>
    <s v="W1"/>
    <d v="2021-03-07T00:00:00"/>
    <s v="CSTM_6XTYLHETGN"/>
    <m/>
    <s v="NA"/>
    <x v="2"/>
    <x v="0"/>
  </r>
  <r>
    <x v="79"/>
    <s v="Rajkumar"/>
    <x v="5"/>
    <x v="9"/>
    <x v="5"/>
    <s v="Won"/>
    <s v="13-14 March 2021"/>
    <n v="53100"/>
    <n v="608.10810810810813"/>
    <d v="2021-03-08T00:00:00"/>
    <s v="W2"/>
    <d v="2021-03-08T00:00:00"/>
    <s v="CSTM_7150ATZCP02"/>
    <m/>
    <s v="Done. Good feedback."/>
    <x v="0"/>
    <x v="0"/>
  </r>
  <r>
    <x v="80"/>
    <s v="Priyanka Kaushik"/>
    <x v="5"/>
    <x v="18"/>
    <x v="5"/>
    <s v="Won"/>
    <d v="2021-03-20T00:00:00"/>
    <n v="16000"/>
    <n v="183.23408153916631"/>
    <d v="2021-03-08T00:00:00"/>
    <s v="W2"/>
    <d v="2021-03-09T00:00:00"/>
    <s v="CSTM_J70LW1ONM1H"/>
    <m/>
    <s v="Pending"/>
    <x v="2"/>
    <x v="0"/>
  </r>
  <r>
    <x v="81"/>
    <s v="Shivani Sethi"/>
    <x v="3"/>
    <x v="2"/>
    <x v="5"/>
    <s v="Won"/>
    <s v="13-14 March 2021"/>
    <n v="20000"/>
    <n v="229.04260192395787"/>
    <d v="2021-03-09T00:00:00"/>
    <s v="W2"/>
    <d v="2021-03-09T00:00:00"/>
    <s v="CSTM_I4BNTNYTS93"/>
    <m/>
    <s v="Done. Good feedback."/>
    <x v="1"/>
    <x v="0"/>
  </r>
  <r>
    <x v="76"/>
    <s v="Praveen Prabhakar"/>
    <x v="7"/>
    <x v="9"/>
    <x v="5"/>
    <s v="Won"/>
    <s v="13-14 March 2021"/>
    <n v="45000"/>
    <n v="515.34585432890515"/>
    <d v="2021-03-09T00:00:00"/>
    <s v="W2"/>
    <d v="2021-03-09T00:00:00"/>
    <s v="CSTM_DP6T5CECCXP"/>
    <m/>
    <s v="Done. Good feedback."/>
    <x v="0"/>
    <x v="0"/>
  </r>
  <r>
    <x v="82"/>
    <s v="Soumya Chakraborty"/>
    <x v="3"/>
    <x v="2"/>
    <x v="5"/>
    <s v="Won"/>
    <s v="20-21 March 2021"/>
    <n v="20000"/>
    <n v="229.04260192395787"/>
    <d v="2021-03-08T00:00:00"/>
    <s v="W2"/>
    <d v="2021-03-10T00:00:00"/>
    <s v="CSTM_4EUC2BV9R6M"/>
    <m/>
    <s v="Done. Good feedback."/>
    <x v="1"/>
    <x v="0"/>
  </r>
  <r>
    <x v="81"/>
    <s v="Abhijeet Phatak"/>
    <x v="3"/>
    <x v="19"/>
    <x v="5"/>
    <s v="Won"/>
    <d v="2021-03-15T00:00:00"/>
    <n v="15000"/>
    <n v="171.78195144296839"/>
    <d v="2021-03-10T00:00:00"/>
    <s v="W2"/>
    <d v="2021-03-10T00:00:00"/>
    <s v="CSTM_2PGVHAC1YVA"/>
    <m/>
    <s v="Done. Good feedback."/>
    <x v="2"/>
    <x v="0"/>
  </r>
  <r>
    <x v="77"/>
    <s v="Gayathri"/>
    <x v="21"/>
    <x v="20"/>
    <x v="5"/>
    <s v="Won"/>
    <d v="2021-03-01T00:00:00"/>
    <n v="15000"/>
    <n v="171.78195144296839"/>
    <d v="2021-03-02T00:00:00"/>
    <s v="W2"/>
    <d v="2021-03-11T00:00:00"/>
    <s v="CSTM_6UR24PXLONP"/>
    <m/>
    <s v="Pending"/>
    <x v="2"/>
    <x v="0"/>
  </r>
  <r>
    <x v="83"/>
    <s v="Anup Mankar"/>
    <x v="1"/>
    <x v="0"/>
    <x v="5"/>
    <s v="Won"/>
    <s v="13-14 March 2021"/>
    <n v="21000"/>
    <n v="240.49473202015577"/>
    <d v="2021-03-11T00:00:00"/>
    <s v="W2"/>
    <d v="2021-03-11T00:00:00"/>
    <s v="CSTM_JFJQ5OH0A4F"/>
    <s v="Reference by Rajesh Kori"/>
    <s v="Done. Good feedback."/>
    <x v="0"/>
    <x v="0"/>
  </r>
  <r>
    <x v="83"/>
    <s v="Arunima"/>
    <x v="19"/>
    <x v="2"/>
    <x v="5"/>
    <s v="Won"/>
    <s v="27-28 March 2021"/>
    <n v="19000"/>
    <n v="217.59047182775998"/>
    <d v="2021-03-11T00:00:00"/>
    <s v="W2"/>
    <d v="2021-03-11T00:00:00"/>
    <s v="CSTM_JO6CPAEAS3P"/>
    <m/>
    <s v="Done. Good feedback."/>
    <x v="1"/>
    <x v="0"/>
  </r>
  <r>
    <x v="81"/>
    <s v="Manik Mittal"/>
    <x v="7"/>
    <x v="9"/>
    <x v="5"/>
    <s v="Won"/>
    <s v="13-14 March 2021"/>
    <n v="44000"/>
    <n v="503.89372423270737"/>
    <d v="2021-03-10T00:00:00"/>
    <s v="W2"/>
    <d v="2021-03-12T00:00:00"/>
    <s v="CSTM_2DHFDZPH0RL"/>
    <m/>
    <s v="Done. Good feedback."/>
    <x v="0"/>
    <x v="0"/>
  </r>
  <r>
    <x v="83"/>
    <s v="Laxmikant Ajgaonkar"/>
    <x v="11"/>
    <x v="0"/>
    <x v="5"/>
    <s v="Won"/>
    <s v="20-21 March 2021"/>
    <n v="21000"/>
    <n v="240.49473202015577"/>
    <d v="2021-03-11T00:00:00"/>
    <s v="W2"/>
    <d v="2021-03-12T00:00:00"/>
    <s v="CSTM_7YSQ1OPJ4W4"/>
    <m/>
    <s v="Done. Good feedback."/>
    <x v="0"/>
    <x v="0"/>
  </r>
  <r>
    <x v="72"/>
    <s v="Preeti Poojari"/>
    <x v="1"/>
    <x v="2"/>
    <x v="5"/>
    <s v="Won"/>
    <s v="10-11 April 2021"/>
    <n v="20000"/>
    <n v="229.04260192395787"/>
    <d v="2021-02-25T00:00:00"/>
    <s v="W2"/>
    <d v="2021-03-13T00:00:00"/>
    <s v="CSTM_96HQC9UWNE8"/>
    <s v="Reference by Gaganpreet"/>
    <s v="Pending"/>
    <x v="1"/>
    <x v="0"/>
  </r>
  <r>
    <x v="84"/>
    <s v="Sudipti Gupta"/>
    <x v="1"/>
    <x v="2"/>
    <x v="5"/>
    <s v="Won"/>
    <s v="20-21 March 2021"/>
    <n v="20000"/>
    <n v="229.04260192395787"/>
    <d v="2021-03-13T00:00:00"/>
    <s v="W2"/>
    <d v="2021-03-13T00:00:00"/>
    <s v="CSTM_68MT7PM0A3M"/>
    <s v="Reference by Garima Gupta"/>
    <s v="Done. Decent feedback."/>
    <x v="1"/>
    <x v="0"/>
  </r>
  <r>
    <x v="84"/>
    <s v="Bala"/>
    <x v="3"/>
    <x v="21"/>
    <x v="5"/>
    <s v="Won"/>
    <d v="2021-03-01T00:00:00"/>
    <n v="26549"/>
    <n v="304.04260192395787"/>
    <d v="2021-03-13T00:00:00"/>
    <s v="W2"/>
    <d v="2021-03-13T00:00:00"/>
    <s v="CSTM_A4707K515ZY"/>
    <m/>
    <s v="NA"/>
    <x v="2"/>
    <x v="0"/>
  </r>
  <r>
    <x v="85"/>
    <s v="Amrita Soni"/>
    <x v="2"/>
    <x v="14"/>
    <x v="5"/>
    <s v="Won"/>
    <s v="20-21 March 2021"/>
    <n v="21000"/>
    <n v="240.49473202015577"/>
    <d v="2021-03-13T00:00:00"/>
    <s v="W2"/>
    <d v="2021-03-14T00:00:00"/>
    <s v="CSTM_9FG1T5521LP"/>
    <m/>
    <s v="NA"/>
    <x v="0"/>
    <x v="0"/>
  </r>
  <r>
    <x v="86"/>
    <s v="Shailesh Kendre"/>
    <x v="9"/>
    <x v="2"/>
    <x v="5"/>
    <s v="Won"/>
    <s v="20-21 March 2021"/>
    <n v="19000"/>
    <n v="217.59047182775998"/>
    <d v="2021-01-08T00:00:00"/>
    <s v="W3"/>
    <d v="2021-03-15T00:00:00"/>
    <s v="CSTM_37DIF10CE94"/>
    <m/>
    <s v="Done. Good feedback."/>
    <x v="1"/>
    <x v="0"/>
  </r>
  <r>
    <x v="70"/>
    <s v="Anowarus Salam"/>
    <x v="2"/>
    <x v="0"/>
    <x v="5"/>
    <s v="Won"/>
    <s v="20-21 March 2021"/>
    <n v="21000"/>
    <n v="240.49473202015577"/>
    <d v="2021-02-20T00:00:00"/>
    <s v="W3"/>
    <d v="2021-03-15T00:00:00"/>
    <s v="CSTM_H04JH6KN46I"/>
    <m/>
    <s v="Done. Good feedback."/>
    <x v="0"/>
    <x v="0"/>
  </r>
  <r>
    <x v="87"/>
    <s v="Sonima"/>
    <x v="1"/>
    <x v="14"/>
    <x v="5"/>
    <s v="Won"/>
    <s v="20-21 March 2021"/>
    <n v="21000"/>
    <n v="240.49473202015577"/>
    <d v="2021-03-15T00:00:00"/>
    <s v="W3"/>
    <d v="2021-03-15T00:00:00"/>
    <s v="CSTM_7UDBG8QLTYH"/>
    <s v="Reference by Hariharan"/>
    <s v="Done. Good feedback."/>
    <x v="0"/>
    <x v="0"/>
  </r>
  <r>
    <x v="87"/>
    <s v="Hariharan"/>
    <x v="4"/>
    <x v="14"/>
    <x v="5"/>
    <s v="Won"/>
    <s v="20-21 March 2021"/>
    <n v="21000"/>
    <n v="240.49473202015577"/>
    <d v="2021-03-15T00:00:00"/>
    <s v="W3"/>
    <d v="2021-03-15T00:00:00"/>
    <s v="CSTM_J0DAZBU14MC"/>
    <m/>
    <s v="Done. Good feedback."/>
    <x v="0"/>
    <x v="0"/>
  </r>
  <r>
    <x v="88"/>
    <s v="Smita"/>
    <x v="1"/>
    <x v="2"/>
    <x v="5"/>
    <s v="Won"/>
    <s v="27-28 March 2021"/>
    <n v="19000"/>
    <n v="217.59047182775998"/>
    <d v="2021-03-15T00:00:00"/>
    <s v="W3"/>
    <d v="2021-03-16T00:00:00"/>
    <s v="CSTM_9LYOCK9462V"/>
    <s v="Reference by Keerti Naik"/>
    <s v="Done. Good feedback."/>
    <x v="1"/>
    <x v="0"/>
  </r>
  <r>
    <x v="87"/>
    <s v="Jyoti Sonal"/>
    <x v="1"/>
    <x v="9"/>
    <x v="5"/>
    <s v="Won"/>
    <s v="27-28 March 2021"/>
    <n v="43000"/>
    <n v="492.44159413650942"/>
    <d v="2021-03-16T00:00:00"/>
    <s v="W3"/>
    <d v="2021-03-16T00:00:00"/>
    <s v="CSTM_C3AGI5JNWN6"/>
    <s v="Reference by Praveen SAFe"/>
    <s v="Done. Good feedback."/>
    <x v="0"/>
    <x v="0"/>
  </r>
  <r>
    <x v="89"/>
    <s v="Kaushik"/>
    <x v="7"/>
    <x v="2"/>
    <x v="5"/>
    <s v="Won"/>
    <s v="20-21 March 2021"/>
    <n v="20000"/>
    <n v="229.04260192395787"/>
    <d v="2021-03-17T00:00:00"/>
    <s v="W3"/>
    <d v="2021-03-17T00:00:00"/>
    <s v="CSTM_J2QJDXAKIX"/>
    <m/>
    <s v="Done. Good feedback."/>
    <x v="1"/>
    <x v="0"/>
  </r>
  <r>
    <x v="90"/>
    <s v="Ashish Agarwal"/>
    <x v="5"/>
    <x v="9"/>
    <x v="5"/>
    <s v="Won"/>
    <s v="27-28 March 2021"/>
    <n v="44500"/>
    <n v="509.61978928080623"/>
    <d v="2021-03-18T00:00:00"/>
    <s v="W3"/>
    <d v="2021-03-18T00:00:00"/>
    <s v="CSTM_E3A9ASVLXJB"/>
    <m/>
    <s v="NA"/>
    <x v="0"/>
    <x v="0"/>
  </r>
  <r>
    <x v="91"/>
    <s v="Nehal Barot"/>
    <x v="6"/>
    <x v="14"/>
    <x v="5"/>
    <s v="Won"/>
    <s v="24-25 July 2021"/>
    <n v="21000"/>
    <n v="240.49473202015577"/>
    <d v="2021-03-23T00:00:00"/>
    <s v="W4"/>
    <d v="2021-03-23T00:00:00"/>
    <s v="CSTM_ES5I1F0VNLN"/>
    <m/>
    <s v="Done. Good feedback."/>
    <x v="0"/>
    <x v="0"/>
  </r>
  <r>
    <x v="91"/>
    <s v="Priti Pawar"/>
    <x v="1"/>
    <x v="9"/>
    <x v="5"/>
    <s v="Won"/>
    <s v="27-28 March 2021"/>
    <n v="43000"/>
    <n v="492.44159413650942"/>
    <d v="2021-03-23T00:00:00"/>
    <s v="W4"/>
    <d v="2021-03-23T00:00:00"/>
    <s v="CSTM_DZ9NVHM9MR4"/>
    <s v="Reference by Praveen SAFe"/>
    <s v="Done. Good feedback."/>
    <x v="0"/>
    <x v="0"/>
  </r>
  <r>
    <x v="91"/>
    <s v="Chirag Kumar"/>
    <x v="1"/>
    <x v="14"/>
    <x v="5"/>
    <s v="Won"/>
    <s v="24-25 July 2021"/>
    <n v="21000"/>
    <n v="240.49473202015577"/>
    <d v="2021-03-23T00:00:00"/>
    <s v="W4"/>
    <d v="2021-03-23T00:00:00"/>
    <s v="CSTM_9PBVZBUH6E0"/>
    <s v="Reference by Nehal Barot"/>
    <s v="Done. Good feedback."/>
    <x v="0"/>
    <x v="0"/>
  </r>
  <r>
    <x v="92"/>
    <s v="Suman Mishra"/>
    <x v="1"/>
    <x v="9"/>
    <x v="5"/>
    <s v="Won"/>
    <s v="27-28 March 2021"/>
    <n v="43000"/>
    <n v="492.44159413650942"/>
    <d v="2021-03-24T00:00:00"/>
    <s v="W4"/>
    <d v="2021-03-25T00:00:00"/>
    <s v="CSTM_4GIQW5BJRMU"/>
    <s v="Reference by Praveen SAFe"/>
    <s v="Pending"/>
    <x v="0"/>
    <x v="0"/>
  </r>
  <r>
    <x v="93"/>
    <s v="Priyesh"/>
    <x v="15"/>
    <x v="1"/>
    <x v="5"/>
    <s v="Won"/>
    <s v="27-28 March 2021"/>
    <n v="20000"/>
    <n v="229.04260192395787"/>
    <d v="2021-03-26T00:00:00"/>
    <s v="W4"/>
    <d v="2021-03-26T00:00:00"/>
    <s v="CSTM_DZV3KGUD7XA"/>
    <m/>
    <s v="Done. Good feedback."/>
    <x v="1"/>
    <x v="0"/>
  </r>
  <r>
    <x v="93"/>
    <s v="Prem Raj"/>
    <x v="6"/>
    <x v="22"/>
    <x v="5"/>
    <s v="Won"/>
    <s v="OSL"/>
    <n v="8000"/>
    <n v="91.617040769583156"/>
    <d v="2021-03-26T00:00:00"/>
    <s v="W4"/>
    <d v="2021-03-26T00:00:00"/>
    <s v="CSTM_6I84JYR52Q0"/>
    <m/>
    <s v="NA"/>
    <x v="2"/>
    <x v="0"/>
  </r>
  <r>
    <x v="94"/>
    <s v="Deepthi Narayankutty"/>
    <x v="1"/>
    <x v="1"/>
    <x v="5"/>
    <s v="Won"/>
    <s v="17-18 April 2021"/>
    <n v="20000"/>
    <n v="229.04260192395787"/>
    <d v="2021-03-29T00:00:00"/>
    <s v="W5"/>
    <d v="2021-03-29T00:00:00"/>
    <s v="CSTM_B0KCEF440CY"/>
    <s v="Reference by Praveen Nair"/>
    <s v="Pending"/>
    <x v="1"/>
    <x v="0"/>
  </r>
  <r>
    <x v="94"/>
    <s v="Rashmi Shrivastava"/>
    <x v="5"/>
    <x v="0"/>
    <x v="5"/>
    <s v="Won"/>
    <s v="3-4 April 2021"/>
    <n v="21000"/>
    <n v="240.49473202015577"/>
    <d v="2021-03-29T00:00:00"/>
    <s v="W5"/>
    <d v="2021-03-29T00:00:00"/>
    <s v="CSTM_IO5ABKXT2QI"/>
    <m/>
    <s v="Pending"/>
    <x v="0"/>
    <x v="0"/>
  </r>
  <r>
    <x v="95"/>
    <s v="Shravya Rao"/>
    <x v="3"/>
    <x v="9"/>
    <x v="5"/>
    <s v="Won"/>
    <s v="22-23 May 2021"/>
    <n v="45000"/>
    <n v="515.34585432890515"/>
    <d v="2021-03-29T00:00:00"/>
    <s v="W5"/>
    <d v="2021-03-29T00:00:00"/>
    <s v="CSTM_9J8GP48RUKH"/>
    <m/>
    <s v="Pending"/>
    <x v="0"/>
    <x v="0"/>
  </r>
  <r>
    <x v="94"/>
    <s v="Neha Pathak"/>
    <x v="5"/>
    <x v="0"/>
    <x v="5"/>
    <s v="Won"/>
    <s v="3-4 April 2021"/>
    <n v="20500"/>
    <n v="234.76866697205682"/>
    <d v="2021-03-29T00:00:00"/>
    <s v="W5"/>
    <d v="2021-03-30T00:00:00"/>
    <s v="CSTM_87HOVW0WSQG"/>
    <m/>
    <s v="NA"/>
    <x v="0"/>
    <x v="0"/>
  </r>
  <r>
    <x v="94"/>
    <s v="Mohit Bhatla"/>
    <x v="2"/>
    <x v="9"/>
    <x v="5"/>
    <s v="Won"/>
    <s v="3-4 April 2021"/>
    <n v="23000"/>
    <n v="263.39899221255155"/>
    <d v="2021-03-29T00:00:00"/>
    <s v="W5"/>
    <d v="2021-03-30T00:00:00"/>
    <s v="CSTM_7DTBZXPD95"/>
    <m/>
    <s v="Done. Good feedback."/>
    <x v="0"/>
    <x v="0"/>
  </r>
  <r>
    <x v="94"/>
    <s v="Sumit"/>
    <x v="7"/>
    <x v="9"/>
    <x v="5"/>
    <s v="Won"/>
    <s v="3-4 April 2021"/>
    <n v="23000"/>
    <n v="263.39899221255155"/>
    <d v="2021-03-29T00:00:00"/>
    <s v="W5"/>
    <d v="2021-03-30T00:00:00"/>
    <s v="CSTM_AAI89US03ER"/>
    <m/>
    <s v="NA"/>
    <x v="0"/>
    <x v="0"/>
  </r>
  <r>
    <x v="94"/>
    <s v="Ankur Jain"/>
    <x v="1"/>
    <x v="9"/>
    <x v="5"/>
    <s v="Won"/>
    <s v="3-4 April 2021"/>
    <n v="23000"/>
    <n v="263.39899221255155"/>
    <d v="2021-03-29T00:00:00"/>
    <s v="W5"/>
    <d v="2021-03-30T00:00:00"/>
    <s v="CSTM_C54BRHRGK3X"/>
    <s v="Reference by Keerit Naik"/>
    <s v="Done. Good feedback."/>
    <x v="0"/>
    <x v="0"/>
  </r>
  <r>
    <x v="94"/>
    <s v="Suresh Nair"/>
    <x v="1"/>
    <x v="9"/>
    <x v="5"/>
    <s v="Won"/>
    <s v="3-4 April 2021"/>
    <n v="23000"/>
    <n v="263.39899221255155"/>
    <d v="2021-03-29T00:00:00"/>
    <s v="W5"/>
    <d v="2021-03-30T00:00:00"/>
    <s v="CSTM_WIET7UVJBF"/>
    <s v="Reference by Keerit Naik"/>
    <s v="Done. Good feedback."/>
    <x v="0"/>
    <x v="0"/>
  </r>
  <r>
    <x v="94"/>
    <s v="Pramod Kumar"/>
    <x v="1"/>
    <x v="9"/>
    <x v="5"/>
    <s v="Won"/>
    <s v="3-4 April 2021"/>
    <n v="23000"/>
    <n v="263.39899221255155"/>
    <d v="2021-03-29T00:00:00"/>
    <s v="W5"/>
    <d v="2021-03-30T00:00:00"/>
    <s v="CSTM_G82PSK8Q7RC"/>
    <s v="Reference by Keerit Naik"/>
    <s v="Done. Good feedback."/>
    <x v="0"/>
    <x v="0"/>
  </r>
  <r>
    <x v="94"/>
    <s v="Vineet Dalal"/>
    <x v="7"/>
    <x v="9"/>
    <x v="5"/>
    <s v="Won"/>
    <s v="3-4 April 2021"/>
    <n v="23000"/>
    <n v="263.39899221255155"/>
    <d v="2021-03-29T00:00:00"/>
    <s v="W5"/>
    <d v="2021-03-30T00:00:00"/>
    <s v="CSTM_3TWKM3W0EHI"/>
    <m/>
    <s v="NA"/>
    <x v="0"/>
    <x v="0"/>
  </r>
  <r>
    <x v="94"/>
    <s v="Kapil Vermani"/>
    <x v="1"/>
    <x v="9"/>
    <x v="5"/>
    <s v="Won"/>
    <s v="3-4 April 2021"/>
    <n v="23000"/>
    <n v="263.39899221255155"/>
    <d v="2021-03-29T00:00:00"/>
    <s v="W5"/>
    <d v="2021-03-30T00:00:00"/>
    <s v="CSTM_2WOU4PNCI14"/>
    <s v="Reference by Keerit Naik"/>
    <s v="Done. Good feedback."/>
    <x v="0"/>
    <x v="0"/>
  </r>
  <r>
    <x v="95"/>
    <s v="Vivek"/>
    <x v="7"/>
    <x v="9"/>
    <x v="5"/>
    <s v="Won"/>
    <s v="10-11 April 2021"/>
    <n v="44000"/>
    <n v="503.89372423270737"/>
    <d v="2021-03-29T00:00:00"/>
    <s v="W5"/>
    <d v="2021-03-30T00:00:00"/>
    <s v="CSTM_CCOD9CDBFH1"/>
    <m/>
    <s v="Done. Godd feedback."/>
    <x v="0"/>
    <x v="0"/>
  </r>
  <r>
    <x v="96"/>
    <s v="Thulasi A"/>
    <x v="1"/>
    <x v="2"/>
    <x v="1"/>
    <s v="Won"/>
    <s v="10-11 April 2021"/>
    <n v="20000"/>
    <n v="229.04260192395787"/>
    <d v="2021-04-01T00:00:00"/>
    <s v="F10"/>
    <d v="2021-04-01T00:00:00"/>
    <s v="CSTM_DMMFYJ9I5MN"/>
    <s v="Reference by Priyesh"/>
    <s v="Done. Good feedback."/>
    <x v="1"/>
    <x v="0"/>
  </r>
  <r>
    <x v="96"/>
    <s v="Sumit Ghose"/>
    <x v="5"/>
    <x v="9"/>
    <x v="1"/>
    <s v="Won"/>
    <s v="3-4 April 2021"/>
    <n v="45000"/>
    <n v="515.34585432890515"/>
    <d v="2021-04-01T00:00:00"/>
    <s v="F10"/>
    <d v="2021-04-01T00:00:00"/>
    <s v="CSTM_CJT7JYHM5FQ"/>
    <m/>
    <s v="Pending"/>
    <x v="0"/>
    <x v="0"/>
  </r>
  <r>
    <x v="97"/>
    <s v="email.ritesh25@gmail.com"/>
    <x v="1"/>
    <x v="9"/>
    <x v="1"/>
    <s v="Won"/>
    <s v="3-4 April 2021"/>
    <n v="45000"/>
    <n v="515.34585432890515"/>
    <d v="2021-04-01T00:00:00"/>
    <s v="F10"/>
    <d v="2021-04-01T00:00:00"/>
    <s v="CSTM_F8UVM2B7Z6L"/>
    <s v="Reference by Keerit Naik"/>
    <s v="Pending"/>
    <x v="0"/>
    <x v="0"/>
  </r>
  <r>
    <x v="97"/>
    <s v="Beulah G Joseph"/>
    <x v="9"/>
    <x v="2"/>
    <x v="1"/>
    <s v="Won"/>
    <s v="3-4 April 2021"/>
    <n v="19000"/>
    <n v="217.59047182775998"/>
    <d v="2021-04-02T00:00:00"/>
    <s v="F10"/>
    <d v="2021-04-02T00:00:00"/>
    <s v="CSTM_8L0A0RAQ6"/>
    <m/>
    <s v="Pending"/>
    <x v="1"/>
    <x v="0"/>
  </r>
  <r>
    <x v="98"/>
    <s v="Anil S"/>
    <x v="5"/>
    <x v="9"/>
    <x v="1"/>
    <s v="Won"/>
    <s v="10-11 April 2021"/>
    <n v="45000"/>
    <n v="515.34585432890515"/>
    <d v="2021-04-03T00:00:00"/>
    <s v="F10"/>
    <d v="2021-04-03T00:00:00"/>
    <s v="CSTM_DAOY0S7QLC8"/>
    <m/>
    <s v="Done. Good feedback."/>
    <x v="0"/>
    <x v="0"/>
  </r>
  <r>
    <x v="0"/>
    <s v="Ojas"/>
    <x v="0"/>
    <x v="7"/>
    <x v="1"/>
    <s v="Won"/>
    <d v="2021-04-01T00:00:00"/>
    <n v="13500"/>
    <n v="154.60375629867156"/>
    <d v="2021-04-05T00:00:00"/>
    <s v="F10"/>
    <d v="2021-04-05T00:00:00"/>
    <s v="CSTM_48EDDNPX6Q"/>
    <m/>
    <s v="Pending"/>
    <x v="2"/>
    <x v="0"/>
  </r>
  <r>
    <x v="0"/>
    <s v="Anshika Aggarwal"/>
    <x v="7"/>
    <x v="7"/>
    <x v="1"/>
    <s v="Won"/>
    <d v="2021-04-01T00:00:00"/>
    <n v="13500"/>
    <n v="154.60375629867156"/>
    <d v="2021-04-05T00:00:00"/>
    <s v="F10"/>
    <d v="2021-04-05T00:00:00"/>
    <s v="CSTM_7CSRKTFKX68"/>
    <m/>
    <s v="Pending"/>
    <x v="2"/>
    <x v="0"/>
  </r>
  <r>
    <x v="0"/>
    <s v="Subramanian Iyer"/>
    <x v="4"/>
    <x v="9"/>
    <x v="1"/>
    <s v="Won"/>
    <s v="10-11 April 2021"/>
    <n v="45000"/>
    <n v="515.34585432890515"/>
    <d v="2021-04-05T00:00:00"/>
    <s v="F10"/>
    <d v="2021-04-05T00:00:00"/>
    <s v="CSTM_H5A28UPEM9K"/>
    <m/>
    <s v="Pending"/>
    <x v="0"/>
    <x v="0"/>
  </r>
  <r>
    <x v="99"/>
    <s v="Griffin A"/>
    <x v="7"/>
    <x v="23"/>
    <x v="1"/>
    <s v="Won"/>
    <s v="10-11 April 2021"/>
    <n v="30000"/>
    <n v="343.56390288593678"/>
    <d v="2021-04-06T00:00:00"/>
    <s v="F10"/>
    <d v="2021-04-06T00:00:00"/>
    <s v="CSTM_F7N85W9U6YE"/>
    <m/>
    <s v="Pending"/>
    <x v="0"/>
    <x v="0"/>
  </r>
  <r>
    <x v="0"/>
    <s v="Rinali"/>
    <x v="1"/>
    <x v="0"/>
    <x v="1"/>
    <s v="Won"/>
    <s v="17-18 April 2021"/>
    <n v="20500"/>
    <n v="234.76866697205682"/>
    <d v="2021-04-09T00:00:00"/>
    <s v="F10"/>
    <d v="2021-04-07T00:00:00"/>
    <s v="CSTM_ILRJJOH89J1"/>
    <s v="Reference by Rashmi Lokhande"/>
    <s v="Pending"/>
    <x v="0"/>
    <x v="0"/>
  </r>
  <r>
    <x v="99"/>
    <s v="Vivek Ananth"/>
    <x v="1"/>
    <x v="23"/>
    <x v="1"/>
    <s v="Won"/>
    <s v="10-11 April 2021"/>
    <n v="30000"/>
    <n v="343.56390288593678"/>
    <d v="2021-04-06T00:00:00"/>
    <s v="F10"/>
    <d v="2021-04-08T00:00:00"/>
    <s v="CSTM_21YCP7GCIZG"/>
    <s v="Reference by Griffin"/>
    <s v="Reference by Griffin - fpt-paper"/>
    <x v="0"/>
    <x v="0"/>
  </r>
  <r>
    <x v="100"/>
    <s v="Karthik"/>
    <x v="7"/>
    <x v="1"/>
    <x v="1"/>
    <s v="Won"/>
    <s v="15-16 April 2021"/>
    <n v="18500"/>
    <n v="211.86440677966101"/>
    <d v="2021-04-09T00:00:00"/>
    <s v="F10"/>
    <d v="2021-04-09T00:00:00"/>
    <s v="CSTM_90YKRNO75BV"/>
    <m/>
    <s v="Pending"/>
    <x v="1"/>
    <x v="0"/>
  </r>
  <r>
    <x v="101"/>
    <s v="Rajat Nagil"/>
    <x v="2"/>
    <x v="9"/>
    <x v="1"/>
    <s v="Won"/>
    <s v="8-9 May 2021"/>
    <n v="43000"/>
    <n v="492.44159413650942"/>
    <d v="2021-04-10T00:00:00"/>
    <s v="F10"/>
    <d v="2021-04-10T00:00:00"/>
    <s v="CSTM_5FWTOBRYTQJ"/>
    <m/>
    <s v="Pending"/>
    <x v="0"/>
    <x v="0"/>
  </r>
  <r>
    <x v="101"/>
    <s v="Ravi Dutt"/>
    <x v="7"/>
    <x v="24"/>
    <x v="1"/>
    <s v="Won"/>
    <s v="8-9 May 2021"/>
    <n v="50000"/>
    <n v="572.60650480989466"/>
    <d v="2021-04-10T00:00:00"/>
    <s v="F10"/>
    <d v="2021-04-10T00:00:00"/>
    <s v="CSTM_IQF4UDHTHQZ"/>
    <m/>
    <s v="Done. Good feedback."/>
    <x v="0"/>
    <x v="0"/>
  </r>
  <r>
    <x v="100"/>
    <s v="Sapna Acharya"/>
    <x v="4"/>
    <x v="0"/>
    <x v="1"/>
    <s v="Won"/>
    <s v="17-18 April 2021"/>
    <n v="21000"/>
    <n v="240.49473202015577"/>
    <d v="2021-04-11T00:00:00"/>
    <s v="S10"/>
    <d v="2021-04-11T00:00:00"/>
    <s v="CSTM_SP80XU1BCO"/>
    <m/>
    <s v="Done. Good feedback."/>
    <x v="0"/>
    <x v="0"/>
  </r>
  <r>
    <x v="100"/>
    <s v="Rittu"/>
    <x v="5"/>
    <x v="25"/>
    <x v="1"/>
    <s v="Won"/>
    <d v="2021-04-17T00:00:00"/>
    <n v="12000"/>
    <n v="137.42556115437472"/>
    <d v="2021-04-14T00:00:00"/>
    <s v="S10"/>
    <d v="2021-04-15T00:00:00"/>
    <s v="CSTM_4JHXGZ4O8EC"/>
    <m/>
    <s v="NA"/>
    <x v="2"/>
    <x v="0"/>
  </r>
  <r>
    <x v="102"/>
    <s v="Hemaxi Shakkarpude"/>
    <x v="5"/>
    <x v="0"/>
    <x v="1"/>
    <s v="Won"/>
    <s v="17-18 April 2021"/>
    <n v="21000"/>
    <n v="240.49473202015577"/>
    <d v="2021-04-15T00:00:00"/>
    <s v="S10"/>
    <d v="2021-04-15T00:00:00"/>
    <s v="CSTM_JJW0485U3M"/>
    <m/>
    <s v="Done. Good feedback."/>
    <x v="0"/>
    <x v="0"/>
  </r>
  <r>
    <x v="59"/>
    <s v="Subho Bose"/>
    <x v="5"/>
    <x v="1"/>
    <x v="1"/>
    <s v="Won"/>
    <s v="24-25 April 2021"/>
    <n v="20000"/>
    <n v="229.04260192395787"/>
    <d v="2021-04-16T00:00:00"/>
    <s v="S10"/>
    <d v="2021-04-16T00:00:00"/>
    <s v="CSTM_CS3D62BRHRT"/>
    <m/>
    <s v="Done. Good feedback."/>
    <x v="1"/>
    <x v="0"/>
  </r>
  <r>
    <x v="102"/>
    <s v="Shivangi Shailesh"/>
    <x v="7"/>
    <x v="0"/>
    <x v="1"/>
    <s v="Won"/>
    <s v="17-18 April 2021"/>
    <n v="20000"/>
    <n v="229.04260192395787"/>
    <d v="2021-04-16T00:00:00"/>
    <s v="S10"/>
    <d v="2021-04-16T00:00:00"/>
    <s v="CSTM_CFB2SQ5S5OT"/>
    <m/>
    <s v="Pending"/>
    <x v="0"/>
    <x v="0"/>
  </r>
  <r>
    <x v="103"/>
    <s v="Prashanth"/>
    <x v="5"/>
    <x v="1"/>
    <x v="1"/>
    <s v="Won"/>
    <s v="24-25 April 2021"/>
    <n v="19000"/>
    <n v="217.59047182775998"/>
    <d v="2021-04-18T00:00:00"/>
    <s v="S10"/>
    <d v="2021-04-18T00:00:00"/>
    <s v="CSTM_40WCKA9VC9K"/>
    <m/>
    <s v="Pending"/>
    <x v="1"/>
    <x v="0"/>
  </r>
  <r>
    <x v="104"/>
    <s v="Jemima Felix"/>
    <x v="5"/>
    <x v="9"/>
    <x v="1"/>
    <s v="Won"/>
    <s v="24-25 April 2021"/>
    <n v="45000"/>
    <n v="515.34585432890515"/>
    <d v="2021-04-18T00:00:00"/>
    <s v="S10"/>
    <d v="2021-04-18T00:00:00"/>
    <s v="CSTM_IN85RBM6ZWT"/>
    <m/>
    <s v="Done. Good feedback."/>
    <x v="0"/>
    <x v="0"/>
  </r>
  <r>
    <x v="103"/>
    <s v="Debosmita Sarkar"/>
    <x v="1"/>
    <x v="1"/>
    <x v="1"/>
    <s v="Won"/>
    <s v="24-25 April 2021"/>
    <n v="19000"/>
    <n v="217.59047182775998"/>
    <d v="2021-04-18T00:00:00"/>
    <s v="S10"/>
    <d v="2021-04-19T00:00:00"/>
    <s v="CSTM_8VL9HRHFSJP"/>
    <s v="Reference by Prashanth - prashanth398@gmail.com"/>
    <s v="Done. Good feedback."/>
    <x v="1"/>
    <x v="0"/>
  </r>
  <r>
    <x v="105"/>
    <s v="Pooja Sharma"/>
    <x v="5"/>
    <x v="9"/>
    <x v="1"/>
    <s v="Won"/>
    <s v="8-9 May 2021"/>
    <n v="50000"/>
    <n v="572.60650480989466"/>
    <d v="2021-04-19T00:00:00"/>
    <s v="S10"/>
    <d v="2021-04-19T00:00:00"/>
    <s v="CSTM_KBK6U2NHX8"/>
    <m/>
    <s v="Done. Good feedback."/>
    <x v="0"/>
    <x v="0"/>
  </r>
  <r>
    <x v="106"/>
    <s v="Saroj Kumar"/>
    <x v="7"/>
    <x v="9"/>
    <x v="1"/>
    <s v="Won"/>
    <s v="22-23 May 2021"/>
    <n v="43000"/>
    <n v="492.44159413650942"/>
    <d v="2021-04-20T00:00:00"/>
    <s v="S10"/>
    <d v="2021-04-20T00:00:00"/>
    <s v="CSTM_22CDV3C3XFW"/>
    <m/>
    <s v="Pending"/>
    <x v="0"/>
    <x v="0"/>
  </r>
  <r>
    <x v="107"/>
    <s v="Komal Tushar Nikam"/>
    <x v="5"/>
    <x v="0"/>
    <x v="1"/>
    <s v="Won"/>
    <s v="19-20 June 2021"/>
    <n v="21000"/>
    <n v="240.49473202015577"/>
    <d v="2021-04-17T00:00:00"/>
    <s v="T10"/>
    <d v="2021-04-21T00:00:00"/>
    <s v="CSTM_6RHR0XI65F4"/>
    <m/>
    <s v="Done. Good feedback."/>
    <x v="0"/>
    <x v="0"/>
  </r>
  <r>
    <x v="13"/>
    <s v="Rohit Gangwani"/>
    <x v="7"/>
    <x v="1"/>
    <x v="1"/>
    <s v="Won"/>
    <s v="1-2 May 2021"/>
    <n v="20000"/>
    <n v="229.04260192395787"/>
    <d v="2021-04-21T00:00:00"/>
    <s v="S10"/>
    <d v="2021-04-21T00:00:00"/>
    <s v="CSTM_BP161ZNHL1X"/>
    <m/>
    <s v="Done. Good feedback."/>
    <x v="1"/>
    <x v="0"/>
  </r>
  <r>
    <x v="105"/>
    <s v="Raghav M"/>
    <x v="5"/>
    <x v="14"/>
    <x v="1"/>
    <s v="Won"/>
    <s v="1-2 May 2021"/>
    <n v="20500"/>
    <n v="234.76866697205682"/>
    <d v="2021-04-22T00:00:00"/>
    <s v="T10"/>
    <d v="2021-04-22T00:00:00"/>
    <s v="CSTM_7Y5CF1XUMAB"/>
    <m/>
    <s v="Done. Good feedback."/>
    <x v="0"/>
    <x v="0"/>
  </r>
  <r>
    <x v="105"/>
    <s v="Satyajeet Aparadh"/>
    <x v="1"/>
    <x v="14"/>
    <x v="1"/>
    <s v="Won"/>
    <s v="1-2 May 2021"/>
    <n v="20500"/>
    <n v="234.76866697205682"/>
    <d v="2021-04-22T00:00:00"/>
    <s v="T10"/>
    <d v="2021-04-22T00:00:00"/>
    <s v="CSTM_JNI70FTMDZG"/>
    <s v="Reference by Raghav raghumulmule@gmail.com"/>
    <s v="Done. Good feedback."/>
    <x v="0"/>
    <x v="0"/>
  </r>
  <r>
    <x v="108"/>
    <s v="Kalyani Poharkar"/>
    <x v="1"/>
    <x v="14"/>
    <x v="1"/>
    <s v="Won"/>
    <s v="1-2 May 2021"/>
    <n v="20500"/>
    <n v="234.76866697205682"/>
    <d v="2021-04-22T00:00:00"/>
    <s v="T10"/>
    <d v="2021-04-22T00:00:00"/>
    <s v="CSTM_A1C4ARADNMQ"/>
    <s v="Reference by Raghav raghumulmule@gmail.com"/>
    <s v="Done. Good feedback."/>
    <x v="0"/>
    <x v="0"/>
  </r>
  <r>
    <x v="108"/>
    <s v="Chaitanya"/>
    <x v="1"/>
    <x v="14"/>
    <x v="1"/>
    <s v="Won"/>
    <s v="1-2 May 2021"/>
    <n v="20500"/>
    <n v="234.76866697205682"/>
    <d v="2021-04-23T00:00:00"/>
    <s v="T10"/>
    <d v="2021-04-23T00:00:00"/>
    <s v="CSTM_1HLMWUMT7Q0"/>
    <s v="Reference by Kalyani"/>
    <s v="Done. Good feedback."/>
    <x v="0"/>
    <x v="0"/>
  </r>
  <r>
    <x v="109"/>
    <s v="Sumantra Bhaumik"/>
    <x v="0"/>
    <x v="12"/>
    <x v="1"/>
    <s v="Won"/>
    <d v="2021-04-01T00:00:00"/>
    <n v="30000"/>
    <n v="343.56390288593678"/>
    <d v="2021-04-24T00:00:00"/>
    <s v="T10"/>
    <d v="2021-04-24T00:00:00"/>
    <s v="CSTM_14WGSDSHMPZ"/>
    <m/>
    <s v="NA"/>
    <x v="2"/>
    <x v="0"/>
  </r>
  <r>
    <x v="109"/>
    <s v="Vaibhav Mahajan"/>
    <x v="2"/>
    <x v="24"/>
    <x v="1"/>
    <s v="Won"/>
    <s v="8-9 May 2021"/>
    <n v="45000"/>
    <n v="515.34585432890515"/>
    <d v="2021-04-26T00:00:00"/>
    <s v="T10"/>
    <d v="2021-04-26T00:00:00"/>
    <s v="CSTM_GTEIKL59MJU"/>
    <m/>
    <s v="Done. Good feedback."/>
    <x v="0"/>
    <x v="0"/>
  </r>
  <r>
    <x v="110"/>
    <s v="Ameya"/>
    <x v="2"/>
    <x v="0"/>
    <x v="1"/>
    <s v="Won"/>
    <s v="1-2 May 2021"/>
    <n v="21000"/>
    <n v="240.49473202015577"/>
    <d v="2021-04-27T00:00:00"/>
    <s v="T10"/>
    <d v="2021-04-27T00:00:00"/>
    <s v="CSTM_AA6XHNGZLGI"/>
    <m/>
    <s v="Done. Good feedback."/>
    <x v="0"/>
    <x v="0"/>
  </r>
  <r>
    <x v="111"/>
    <s v="Ram Mohan"/>
    <x v="1"/>
    <x v="9"/>
    <x v="1"/>
    <s v="Won"/>
    <s v="8-9 May 2021"/>
    <n v="45000"/>
    <n v="515.34585432890515"/>
    <d v="2021-04-28T00:00:00"/>
    <s v="T10"/>
    <d v="2021-04-28T00:00:00"/>
    <s v="CSTM_A9S4BIU8LRI"/>
    <s v="Reference by Saroj Kumar - sarojkumarjd@gmail.com"/>
    <s v="Pending"/>
    <x v="0"/>
    <x v="0"/>
  </r>
  <r>
    <x v="112"/>
    <s v="Manjusha Gathey"/>
    <x v="3"/>
    <x v="24"/>
    <x v="1"/>
    <s v="Won"/>
    <s v="8-9 May 2021"/>
    <n v="45000"/>
    <n v="515.34585432890515"/>
    <d v="2021-04-29T00:00:00"/>
    <s v="T10"/>
    <d v="2021-04-29T00:00:00"/>
    <s v="CSTM_HFQK3RTR581"/>
    <m/>
    <s v="Pending"/>
    <x v="0"/>
    <x v="0"/>
  </r>
  <r>
    <x v="113"/>
    <s v="Richa Sharma"/>
    <x v="1"/>
    <x v="26"/>
    <x v="6"/>
    <s v="Won"/>
    <d v="2021-05-01T00:00:00"/>
    <n v="32000"/>
    <n v="366.46816307833262"/>
    <d v="2021-05-01T00:00:00"/>
    <s v="F10"/>
    <d v="2021-05-02T00:00:00"/>
    <s v="CSTM_IPUVAPBKD2M"/>
    <s v="Reference by ashish.sharma2@gmail.com"/>
    <s v="Done. Good feedback."/>
    <x v="2"/>
    <x v="0"/>
  </r>
  <r>
    <x v="114"/>
    <s v="Shobana Ajay"/>
    <x v="5"/>
    <x v="9"/>
    <x v="6"/>
    <s v="Won"/>
    <s v="8-9 May 2021"/>
    <n v="45000"/>
    <n v="515.34585432890515"/>
    <d v="2021-05-03T00:00:00"/>
    <s v="F10"/>
    <d v="2021-05-03T00:00:00"/>
    <s v="CSTM_4ODPEYNSOPJ"/>
    <m/>
    <s v="Pending"/>
    <x v="0"/>
    <x v="0"/>
  </r>
  <r>
    <x v="114"/>
    <s v="Jaya Chandra"/>
    <x v="0"/>
    <x v="9"/>
    <x v="6"/>
    <s v="Won"/>
    <s v="8-9 May 2021"/>
    <n v="45000"/>
    <n v="515.34585432890515"/>
    <d v="2021-05-03T00:00:00"/>
    <s v="F10"/>
    <d v="2021-05-04T00:00:00"/>
    <s v="CSTM_38VOYZOP4GJ"/>
    <m/>
    <s v="Done. Good feedback."/>
    <x v="0"/>
    <x v="0"/>
  </r>
  <r>
    <x v="115"/>
    <s v="Fernandes"/>
    <x v="19"/>
    <x v="2"/>
    <x v="6"/>
    <s v="Won"/>
    <s v="29-30 May 2021"/>
    <n v="18000"/>
    <n v="206.13834173156206"/>
    <d v="2021-05-04T00:00:00"/>
    <s v="F10"/>
    <d v="2021-05-04T00:00:00"/>
    <s v="CSTM_3X7G664Q1GA"/>
    <m/>
    <s v="Pending"/>
    <x v="1"/>
    <x v="0"/>
  </r>
  <r>
    <x v="115"/>
    <s v="Thomas George"/>
    <x v="1"/>
    <x v="2"/>
    <x v="6"/>
    <s v="Won"/>
    <s v="29-30 May 2021"/>
    <n v="18000"/>
    <n v="206.13834173156206"/>
    <d v="2021-05-04T00:00:00"/>
    <s v="F10"/>
    <d v="2021-05-04T00:00:00"/>
    <s v="CSTM_MFYC2OVW80"/>
    <s v="Reference by Fernandes"/>
    <s v="Pending"/>
    <x v="1"/>
    <x v="0"/>
  </r>
  <r>
    <x v="115"/>
    <s v="Franklin Serrao"/>
    <x v="1"/>
    <x v="2"/>
    <x v="6"/>
    <s v="Won"/>
    <s v="29-30 May 2021"/>
    <n v="18000"/>
    <n v="206.13834173156206"/>
    <d v="2021-05-04T00:00:00"/>
    <s v="F10"/>
    <d v="2021-05-04T00:00:00"/>
    <s v="CSTM_5S76QM1FSAR"/>
    <s v="Reference by Fernandes"/>
    <s v="Pending"/>
    <x v="1"/>
    <x v="0"/>
  </r>
  <r>
    <x v="116"/>
    <s v="Sneha Jyothi Prakash"/>
    <x v="5"/>
    <x v="2"/>
    <x v="6"/>
    <s v="Won"/>
    <s v="8-9 May 2021"/>
    <n v="20000"/>
    <n v="229.04260192395787"/>
    <d v="2021-05-05T00:00:00"/>
    <s v="F10"/>
    <d v="2021-05-05T00:00:00"/>
    <s v="CSTM_666QJ0GBSII"/>
    <m/>
    <s v="Done. Good feedback."/>
    <x v="1"/>
    <x v="0"/>
  </r>
  <r>
    <x v="117"/>
    <s v="Neha Pathak"/>
    <x v="0"/>
    <x v="7"/>
    <x v="6"/>
    <s v="Won"/>
    <d v="2021-05-08T00:00:00"/>
    <n v="13500"/>
    <n v="154.60375629867156"/>
    <d v="2021-05-06T00:00:00"/>
    <s v="F10"/>
    <d v="2021-05-06T00:00:00"/>
    <s v="CSTM_5C2GUP3I0NQ"/>
    <m/>
    <s v="Pending"/>
    <x v="2"/>
    <x v="0"/>
  </r>
  <r>
    <x v="115"/>
    <s v="Anil Konda"/>
    <x v="23"/>
    <x v="9"/>
    <x v="6"/>
    <s v="Won"/>
    <s v="26-27 June 2021"/>
    <n v="45000"/>
    <n v="515.34585432890515"/>
    <d v="2021-05-07T00:00:00"/>
    <s v="F10"/>
    <d v="2021-05-07T00:00:00"/>
    <s v="CSTM_2PCLEYE5PPX"/>
    <m/>
    <s v="Done. Good feedback."/>
    <x v="0"/>
    <x v="0"/>
  </r>
  <r>
    <x v="51"/>
    <s v="Shefali Nigam"/>
    <x v="17"/>
    <x v="2"/>
    <x v="6"/>
    <s v="Won"/>
    <s v="15-16 May 2021"/>
    <n v="21000"/>
    <n v="240.49473202015577"/>
    <d v="2021-01-28T00:00:00"/>
    <s v="F10"/>
    <d v="2021-05-10T00:00:00"/>
    <s v="CSTM_3N3FEOE42GI"/>
    <m/>
    <s v="Done. Good feedback."/>
    <x v="1"/>
    <x v="0"/>
  </r>
  <r>
    <x v="116"/>
    <s v="Prabhu Sh"/>
    <x v="2"/>
    <x v="9"/>
    <x v="7"/>
    <s v="Won"/>
    <s v="11-12 Sep 2021"/>
    <n v="45000"/>
    <n v="515.34585432890515"/>
    <d v="2021-05-05T00:00:00"/>
    <s v="T10"/>
    <d v="2021-07-30T00:00:00"/>
    <s v="CSTM_I52KLU7FAX8"/>
    <m/>
    <s v="Done. Good feedback."/>
    <x v="0"/>
    <x v="0"/>
  </r>
  <r>
    <x v="118"/>
    <s v="Namrata Yadav"/>
    <x v="5"/>
    <x v="0"/>
    <x v="6"/>
    <s v="Won"/>
    <s v="15-16 May 2021"/>
    <n v="21000"/>
    <n v="240.49473202015577"/>
    <d v="2021-05-10T00:00:00"/>
    <s v="F10"/>
    <d v="2021-05-10T00:00:00"/>
    <s v="CSTM_74SQZFGV4RS"/>
    <m/>
    <s v="Pending"/>
    <x v="0"/>
    <x v="0"/>
  </r>
  <r>
    <x v="118"/>
    <s v="Prasanna MS"/>
    <x v="5"/>
    <x v="0"/>
    <x v="6"/>
    <s v="Won"/>
    <s v="15-16 May 2021"/>
    <n v="21000"/>
    <n v="240.49473202015577"/>
    <d v="2021-05-10T00:00:00"/>
    <s v="F10"/>
    <d v="2021-05-10T00:00:00"/>
    <s v="CSTM_2511LZI1NQW"/>
    <m/>
    <s v="Done. Good feedback."/>
    <x v="0"/>
    <x v="0"/>
  </r>
  <r>
    <x v="118"/>
    <s v="Anil Konda"/>
    <x v="3"/>
    <x v="9"/>
    <x v="6"/>
    <s v="Won"/>
    <s v="22-23 May 2021"/>
    <n v="45000"/>
    <n v="515.34585432890515"/>
    <d v="2021-05-10T00:00:00"/>
    <s v="F10"/>
    <d v="2021-05-10T00:00:00"/>
    <s v="CSTM_481Z1261F9Q"/>
    <m/>
    <s v="Done. Good feedback."/>
    <x v="0"/>
    <x v="0"/>
  </r>
  <r>
    <x v="119"/>
    <s v="Sampada Bhoj"/>
    <x v="1"/>
    <x v="0"/>
    <x v="6"/>
    <s v="Won"/>
    <s v="15-16 May 2021"/>
    <n v="21000"/>
    <n v="240.49473202015577"/>
    <d v="2021-05-11T00:00:00"/>
    <s v="S10"/>
    <d v="2021-05-11T00:00:00"/>
    <s v="CSTM_8X4LZ512LWZ"/>
    <s v="Reference by Nikhil Oswal - nikhil.oswal87@gmail.com"/>
    <s v="Done. Good feedback."/>
    <x v="0"/>
    <x v="0"/>
  </r>
  <r>
    <x v="119"/>
    <s v="Hima J"/>
    <x v="1"/>
    <x v="0"/>
    <x v="6"/>
    <s v="Won"/>
    <s v="15-16 May 2021"/>
    <n v="21000"/>
    <n v="240.49473202015577"/>
    <d v="2021-05-11T00:00:00"/>
    <s v="S10"/>
    <d v="2021-05-11T00:00:00"/>
    <s v="CSTM_3E7U5KIII9C"/>
    <s v="Reference by Nikhil Oswal - nikhil.oswal87@gmail.com"/>
    <s v="Done. Good feedback."/>
    <x v="0"/>
    <x v="0"/>
  </r>
  <r>
    <x v="120"/>
    <s v="Madhu Bagur"/>
    <x v="0"/>
    <x v="27"/>
    <x v="6"/>
    <s v="Won"/>
    <d v="2021-05-01T00:00:00"/>
    <n v="10000"/>
    <n v="114.52130096197894"/>
    <d v="2021-05-13T00:00:00"/>
    <s v="S10"/>
    <d v="2021-05-13T00:00:00"/>
    <s v="CSTM_HVSJTWIALNZ"/>
    <m/>
    <s v="NA"/>
    <x v="2"/>
    <x v="0"/>
  </r>
  <r>
    <x v="120"/>
    <s v="Hema KN"/>
    <x v="4"/>
    <x v="1"/>
    <x v="6"/>
    <s v="Won"/>
    <s v="15-16 May 2021"/>
    <n v="19000"/>
    <n v="217.59047182775998"/>
    <d v="2021-05-13T00:00:00"/>
    <s v="S10"/>
    <d v="2021-05-14T00:00:00"/>
    <s v="CSTM_FRVD524F0D"/>
    <m/>
    <s v="Done. Good feedback."/>
    <x v="1"/>
    <x v="0"/>
  </r>
  <r>
    <x v="121"/>
    <s v="Sapna Acharya"/>
    <x v="0"/>
    <x v="27"/>
    <x v="6"/>
    <s v="Won"/>
    <d v="2021-05-01T00:00:00"/>
    <n v="175000"/>
    <n v="2004.1227668346314"/>
    <d v="2021-05-15T00:00:00"/>
    <s v="S10"/>
    <d v="2021-05-15T00:00:00"/>
    <s v="CSTM_HUSOZWMWRH9"/>
    <m/>
    <s v="NA"/>
    <x v="2"/>
    <x v="0"/>
  </r>
  <r>
    <x v="121"/>
    <s v="Viji V"/>
    <x v="5"/>
    <x v="0"/>
    <x v="6"/>
    <s v="Won"/>
    <s v="17-18 May 2021"/>
    <n v="21000"/>
    <n v="240.49473202015577"/>
    <d v="2021-05-15T00:00:00"/>
    <s v="S10"/>
    <d v="2021-05-15T00:00:00"/>
    <s v="CSTM_7R5YLXXDVHF"/>
    <m/>
    <s v="Pending"/>
    <x v="0"/>
    <x v="0"/>
  </r>
  <r>
    <x v="121"/>
    <s v="Ravi V R"/>
    <x v="2"/>
    <x v="9"/>
    <x v="6"/>
    <s v="Won"/>
    <s v="12-13 June 2021"/>
    <n v="45000"/>
    <n v="515.34585432890515"/>
    <d v="2021-05-15T00:00:00"/>
    <s v="S10"/>
    <d v="2021-05-15T00:00:00"/>
    <s v="CSTM_72W5KB29NE1"/>
    <m/>
    <s v="Pending"/>
    <x v="0"/>
    <x v="0"/>
  </r>
  <r>
    <x v="122"/>
    <s v="Rahul Verma"/>
    <x v="5"/>
    <x v="2"/>
    <x v="6"/>
    <s v="Won"/>
    <s v="22-23 May 2021"/>
    <n v="19000"/>
    <n v="217.59047182775998"/>
    <d v="2021-05-17T00:00:00"/>
    <s v="S10"/>
    <d v="2021-05-17T00:00:00"/>
    <s v="CSTM_A0HQ0881H66"/>
    <m/>
    <s v="Done. Good feedback."/>
    <x v="1"/>
    <x v="0"/>
  </r>
  <r>
    <x v="123"/>
    <s v="Wasimulla Khan"/>
    <x v="1"/>
    <x v="7"/>
    <x v="6"/>
    <s v="Won"/>
    <d v="2021-05-01T00:00:00"/>
    <n v="10000"/>
    <n v="114.52130096197894"/>
    <d v="2021-05-19T00:00:00"/>
    <s v="S10"/>
    <d v="2021-05-19T00:00:00"/>
    <s v="CSTM_IA9N25U5BOW"/>
    <s v="Reference by Shivam Nandi - shivam.nandi15@nmims.edu.in"/>
    <s v="Done. Good feedback."/>
    <x v="2"/>
    <x v="0"/>
  </r>
  <r>
    <x v="123"/>
    <s v="Raghavendra"/>
    <x v="5"/>
    <x v="9"/>
    <x v="6"/>
    <s v="Won"/>
    <s v="22-23 May 2021"/>
    <n v="45000"/>
    <n v="515.34585432890515"/>
    <d v="2021-05-19T00:00:00"/>
    <s v="S10"/>
    <d v="2021-05-19T00:00:00"/>
    <s v="CSTM_8W0GUX0YGSP"/>
    <m/>
    <s v="Pending"/>
    <x v="0"/>
    <x v="0"/>
  </r>
  <r>
    <x v="124"/>
    <s v="Ashutosh"/>
    <x v="5"/>
    <x v="14"/>
    <x v="6"/>
    <s v="Won"/>
    <s v="22-23 May 2021"/>
    <n v="21000"/>
    <n v="240.49473202015577"/>
    <d v="2021-05-20T00:00:00"/>
    <s v="S10"/>
    <d v="2021-05-20T00:00:00"/>
    <s v="CSTM_GJ1X8N9BG9E"/>
    <m/>
    <s v="Done. Good feedback."/>
    <x v="0"/>
    <x v="0"/>
  </r>
  <r>
    <x v="124"/>
    <s v="Lisna"/>
    <x v="7"/>
    <x v="0"/>
    <x v="6"/>
    <s v="Won"/>
    <s v="5-6 June 2021"/>
    <n v="20000"/>
    <n v="229.04260192395787"/>
    <d v="2021-05-20T00:00:00"/>
    <s v="S10"/>
    <d v="2021-05-20T00:00:00"/>
    <s v="CSTM_8TLY0SKMWIJ"/>
    <m/>
    <s v="Pending"/>
    <x v="0"/>
    <x v="0"/>
  </r>
  <r>
    <x v="125"/>
    <s v="Aurko Bhattacharjee"/>
    <x v="1"/>
    <x v="1"/>
    <x v="6"/>
    <s v="Won"/>
    <s v="5-6 June 2021"/>
    <n v="20000"/>
    <n v="229.04260192395787"/>
    <d v="2021-05-21T00:00:00"/>
    <s v="T10"/>
    <d v="2021-05-21T00:00:00"/>
    <s v="CSTM_2M9IOYJ20B5"/>
    <s v="Reference by Kritika - kritikatalwar92@gmail.com"/>
    <s v="Done. Good feedback."/>
    <x v="1"/>
    <x v="0"/>
  </r>
  <r>
    <x v="125"/>
    <s v="Hima Bindu"/>
    <x v="2"/>
    <x v="9"/>
    <x v="6"/>
    <s v="Won"/>
    <s v="22-23 May 2021"/>
    <n v="45000"/>
    <n v="515.34585432890515"/>
    <d v="2021-05-21T00:00:00"/>
    <s v="T10"/>
    <d v="2021-05-21T00:00:00"/>
    <s v="CSTM_4IBGA1T8FUF"/>
    <m/>
    <s v="Done. Good feedback."/>
    <x v="0"/>
    <x v="0"/>
  </r>
  <r>
    <x v="125"/>
    <s v="Girija Lakhsmi"/>
    <x v="7"/>
    <x v="24"/>
    <x v="6"/>
    <s v="Won"/>
    <s v="5-6 June 2021"/>
    <n v="45000"/>
    <n v="515.34585432890515"/>
    <d v="2021-05-21T00:00:00"/>
    <s v="T10"/>
    <d v="2021-05-21T00:00:00"/>
    <s v="CSTM_6T7Q34JZ41A"/>
    <m/>
    <s v="Done. Good feedback."/>
    <x v="0"/>
    <x v="0"/>
  </r>
  <r>
    <x v="125"/>
    <s v="Vaishnavi"/>
    <x v="1"/>
    <x v="24"/>
    <x v="6"/>
    <s v="Won"/>
    <s v="5-6 June 2021"/>
    <n v="45000"/>
    <n v="515.34585432890515"/>
    <d v="2021-05-21T00:00:00"/>
    <s v="T10"/>
    <d v="2021-05-21T00:00:00"/>
    <s v="CSTM_1Z4MVQF5TDY"/>
    <s v="Reference by Lakshmi"/>
    <s v="Done. Good feedback."/>
    <x v="0"/>
    <x v="0"/>
  </r>
  <r>
    <x v="126"/>
    <s v="Chittaranjan Das"/>
    <x v="1"/>
    <x v="2"/>
    <x v="6"/>
    <s v="Won"/>
    <s v="29-30 May 2021"/>
    <n v="19000"/>
    <n v="217.59047182775998"/>
    <d v="2021-05-22T00:00:00"/>
    <s v="T10"/>
    <d v="2021-05-22T00:00:00"/>
    <s v="CSTM_FUQ61GVTJ4J"/>
    <s v="Reference by Keerti"/>
    <s v="Pending"/>
    <x v="1"/>
    <x v="0"/>
  </r>
  <r>
    <x v="125"/>
    <s v="Krunal Bhavsar"/>
    <x v="2"/>
    <x v="28"/>
    <x v="6"/>
    <s v="Won"/>
    <d v="2021-05-01T00:00:00"/>
    <n v="43000"/>
    <n v="492.44159413650942"/>
    <d v="2021-05-21T00:00:00"/>
    <s v="T10"/>
    <d v="2021-05-24T00:00:00"/>
    <s v="CSTM_646MVVV5D92"/>
    <m/>
    <s v="NA"/>
    <x v="2"/>
    <x v="0"/>
  </r>
  <r>
    <x v="127"/>
    <s v="Conner Pearce"/>
    <x v="1"/>
    <x v="18"/>
    <x v="6"/>
    <s v="Won"/>
    <d v="2021-05-01T00:00:00"/>
    <n v="15500"/>
    <n v="177.50801649106734"/>
    <d v="2021-05-24T00:00:00"/>
    <s v="T10"/>
    <d v="2021-05-24T00:00:00"/>
    <s v="CSTM_4IC8C9PJO74"/>
    <s v="Reference by Hitesh - hiteshmehra.81.hm@gmail.com"/>
    <s v="NA"/>
    <x v="2"/>
    <x v="0"/>
  </r>
  <r>
    <x v="127"/>
    <s v="Sandeep Samal"/>
    <x v="2"/>
    <x v="24"/>
    <x v="6"/>
    <s v="Won"/>
    <s v="5-6 June 2021"/>
    <n v="45000"/>
    <n v="515.34585432890515"/>
    <d v="2021-05-24T00:00:00"/>
    <s v="T10"/>
    <d v="2021-05-24T00:00:00"/>
    <s v="CSTM_2U1CSZGQ10M"/>
    <m/>
    <s v="Done. Good feedback."/>
    <x v="0"/>
    <x v="0"/>
  </r>
  <r>
    <x v="128"/>
    <s v="Ronak"/>
    <x v="5"/>
    <x v="0"/>
    <x v="6"/>
    <s v="Won"/>
    <s v="29-30 May 2021"/>
    <n v="20500"/>
    <n v="234.76866697205682"/>
    <d v="2021-05-26T00:00:00"/>
    <s v="T10"/>
    <d v="2021-05-26T00:00:00"/>
    <s v="CSTM_77DWEDKR1MZ"/>
    <m/>
    <s v="Pending"/>
    <x v="0"/>
    <x v="0"/>
  </r>
  <r>
    <x v="129"/>
    <s v="Lipishree"/>
    <x v="3"/>
    <x v="2"/>
    <x v="6"/>
    <s v="Won"/>
    <s v="5-6 June 2021"/>
    <n v="19000"/>
    <n v="217.59047182775998"/>
    <d v="2021-05-28T00:00:00"/>
    <s v="T10"/>
    <d v="2021-05-28T00:00:00"/>
    <s v="CSTM_37647RNFW36"/>
    <m/>
    <s v="Done. Good feedback."/>
    <x v="1"/>
    <x v="0"/>
  </r>
  <r>
    <x v="130"/>
    <s v="Leena Kamat"/>
    <x v="1"/>
    <x v="0"/>
    <x v="6"/>
    <s v="Won"/>
    <s v="5-6 June 2021"/>
    <n v="20000"/>
    <n v="229.04260192395787"/>
    <d v="2021-05-29T00:00:00"/>
    <s v="T10"/>
    <d v="2021-05-29T00:00:00"/>
    <s v="CSTM_6H2TMA237O5"/>
    <m/>
    <s v="Done. Good feedback."/>
    <x v="0"/>
    <x v="0"/>
  </r>
  <r>
    <x v="130"/>
    <s v="Amit Nasta"/>
    <x v="2"/>
    <x v="7"/>
    <x v="6"/>
    <s v="Won"/>
    <d v="2021-06-01T00:00:00"/>
    <n v="12000"/>
    <n v="137.42556115437472"/>
    <d v="2021-05-29T00:00:00"/>
    <s v="T10"/>
    <d v="2021-05-29T00:00:00"/>
    <s v="CSTM_JJSWN6ZOC7D"/>
    <m/>
    <s v="NA"/>
    <x v="2"/>
    <x v="0"/>
  </r>
  <r>
    <x v="130"/>
    <s v="Aditi Jain"/>
    <x v="5"/>
    <x v="9"/>
    <x v="6"/>
    <s v="Won"/>
    <s v="12-13 June 2021"/>
    <n v="45000"/>
    <n v="515.34585432890515"/>
    <d v="2021-05-29T00:00:00"/>
    <s v="T10"/>
    <d v="2021-05-29T00:00:00"/>
    <s v="CSTM_D83EWKD1G1I"/>
    <m/>
    <s v="Done. Good feedback."/>
    <x v="0"/>
    <x v="0"/>
  </r>
  <r>
    <x v="130"/>
    <s v="Lakshmi Jain"/>
    <x v="1"/>
    <x v="9"/>
    <x v="6"/>
    <s v="Won"/>
    <s v="12-13 June 2021"/>
    <n v="45000"/>
    <n v="515.34585432890515"/>
    <d v="2021-05-29T00:00:00"/>
    <s v="T10"/>
    <d v="2021-05-29T00:00:00"/>
    <s v="CSTM_AGDV9Q646YW"/>
    <m/>
    <s v="Pending"/>
    <x v="0"/>
    <x v="0"/>
  </r>
  <r>
    <x v="131"/>
    <s v="Senthil Kumar VG"/>
    <x v="7"/>
    <x v="2"/>
    <x v="8"/>
    <s v="Won"/>
    <s v="26-27 June 2021"/>
    <n v="20000"/>
    <n v="229.04260192395787"/>
    <d v="2021-06-01T00:00:00"/>
    <s v="F10"/>
    <d v="2021-06-01T00:00:00"/>
    <s v="CSTM_H2X3T0XTS3L"/>
    <m/>
    <s v="Done. Good feedback."/>
    <x v="1"/>
    <x v="0"/>
  </r>
  <r>
    <x v="132"/>
    <s v="Sarayu CV"/>
    <x v="1"/>
    <x v="29"/>
    <x v="8"/>
    <s v="Won"/>
    <d v="2021-06-01T00:00:00"/>
    <n v="36000"/>
    <n v="412.27668346312413"/>
    <d v="2021-06-01T00:00:00"/>
    <s v="F10"/>
    <d v="2021-06-01T00:00:00"/>
    <s v="CSTM_7KGPNM8ZC0Q"/>
    <s v="Keerti"/>
    <s v="Pending"/>
    <x v="2"/>
    <x v="0"/>
  </r>
  <r>
    <x v="133"/>
    <s v="Manish JC"/>
    <x v="5"/>
    <x v="0"/>
    <x v="8"/>
    <s v="Won"/>
    <s v="5-6 June 2021"/>
    <n v="20000"/>
    <n v="229.04260192395787"/>
    <d v="2021-06-02T00:00:00"/>
    <s v="F10"/>
    <d v="2021-06-02T00:00:00"/>
    <s v="CSTM_IGP5EOOE4A3"/>
    <m/>
    <s v="Pending"/>
    <x v="0"/>
    <x v="0"/>
  </r>
  <r>
    <x v="133"/>
    <s v="Manish Singh"/>
    <x v="5"/>
    <x v="9"/>
    <x v="8"/>
    <s v="Won"/>
    <s v="12-13 June 2021"/>
    <n v="45000"/>
    <n v="515.34585432890515"/>
    <d v="2021-06-02T00:00:00"/>
    <s v="F10"/>
    <d v="2021-06-02T00:00:00"/>
    <s v="CSTM_HSR8EKUQ7U"/>
    <m/>
    <s v="Done. Good feedback."/>
    <x v="0"/>
    <x v="0"/>
  </r>
  <r>
    <x v="134"/>
    <s v="Roshini Joy"/>
    <x v="5"/>
    <x v="0"/>
    <x v="8"/>
    <s v="Won"/>
    <s v="5-6 June 2021"/>
    <n v="20500"/>
    <n v="234.76866697205682"/>
    <d v="2021-06-03T00:00:00"/>
    <s v="F10"/>
    <d v="2021-06-03T00:00:00"/>
    <s v="CSTM_6LXFEYS374P"/>
    <m/>
    <s v="Done. Good feedback."/>
    <x v="0"/>
    <x v="0"/>
  </r>
  <r>
    <x v="134"/>
    <s v="Preetha"/>
    <x v="1"/>
    <x v="29"/>
    <x v="8"/>
    <s v="Won"/>
    <d v="2021-06-01T00:00:00"/>
    <n v="36000"/>
    <n v="412.27668346312413"/>
    <d v="2021-06-03T00:00:00"/>
    <s v="F10"/>
    <d v="2021-06-03T00:00:00"/>
    <s v="CSTM_2NRAZXFQ4YL"/>
    <s v="Keerti"/>
    <s v="NA"/>
    <x v="2"/>
    <x v="0"/>
  </r>
  <r>
    <x v="134"/>
    <s v="Ravi Veshala"/>
    <x v="6"/>
    <x v="24"/>
    <x v="8"/>
    <s v="Won"/>
    <s v="5-6 June 2021"/>
    <n v="45000"/>
    <n v="515.34585432890515"/>
    <d v="2021-06-03T00:00:00"/>
    <s v="F10"/>
    <d v="2021-06-03T00:00:00"/>
    <s v="CSTM_3GDSF8YHVMH"/>
    <m/>
    <s v="Pending"/>
    <x v="0"/>
    <x v="0"/>
  </r>
  <r>
    <x v="134"/>
    <s v="Guru Rajesh Naidu"/>
    <x v="24"/>
    <x v="24"/>
    <x v="8"/>
    <s v="Won"/>
    <s v="5-6 June 2021"/>
    <n v="45000"/>
    <n v="515.34585432890515"/>
    <d v="2021-06-03T00:00:00"/>
    <s v="F10"/>
    <d v="2021-06-03T00:00:00"/>
    <s v="CSTM_5L8Z2SOGFNN"/>
    <m/>
    <s v="Pending"/>
    <x v="0"/>
    <x v="0"/>
  </r>
  <r>
    <x v="134"/>
    <s v="Johndeere"/>
    <x v="25"/>
    <x v="2"/>
    <x v="8"/>
    <s v="Won"/>
    <s v="12-13 June 2021"/>
    <n v="38000"/>
    <n v="435.18094365551997"/>
    <d v="2021-06-03T00:00:00"/>
    <s v="F10"/>
    <d v="2021-06-03T00:00:00"/>
    <s v="00061059_01"/>
    <m/>
    <s v="Pending"/>
    <x v="1"/>
    <x v="0"/>
  </r>
  <r>
    <x v="135"/>
    <s v="Bindhu Madhava"/>
    <x v="3"/>
    <x v="0"/>
    <x v="8"/>
    <s v="Won"/>
    <s v="5-6 June 2021"/>
    <n v="20000"/>
    <n v="229.04260192395787"/>
    <d v="2021-06-04T00:00:00"/>
    <s v="F10"/>
    <d v="2021-06-04T00:00:00"/>
    <s v="CSTM_20GKQ2OL8LG"/>
    <m/>
    <s v="Pending"/>
    <x v="0"/>
    <x v="0"/>
  </r>
  <r>
    <x v="136"/>
    <s v="Madhumitha"/>
    <x v="3"/>
    <x v="9"/>
    <x v="8"/>
    <s v="Won"/>
    <s v="12-13 June 2021"/>
    <n v="45000"/>
    <n v="515.34585432890515"/>
    <d v="2021-06-05T00:00:00"/>
    <s v="F10"/>
    <d v="2021-06-05T00:00:00"/>
    <s v="CSTM_FY2ZN4P5006"/>
    <m/>
    <s v="Done. Good feedback."/>
    <x v="0"/>
    <x v="0"/>
  </r>
  <r>
    <x v="137"/>
    <s v="Sukanya"/>
    <x v="1"/>
    <x v="2"/>
    <x v="8"/>
    <s v="Won"/>
    <s v="12-13 June 2021"/>
    <n v="20000"/>
    <n v="229.04260192395787"/>
    <d v="2021-06-06T00:00:00"/>
    <s v="F10"/>
    <d v="2021-06-06T00:00:00"/>
    <s v="CSTM_HEULQS64ALM"/>
    <m/>
    <s v="Pending"/>
    <x v="1"/>
    <x v="0"/>
  </r>
  <r>
    <x v="138"/>
    <s v="Raheem Ullah"/>
    <x v="3"/>
    <x v="7"/>
    <x v="8"/>
    <s v="Won"/>
    <d v="2021-06-12T00:00:00"/>
    <n v="12000"/>
    <n v="137.42556115437472"/>
    <d v="2021-06-07T00:00:00"/>
    <s v="F10"/>
    <d v="2021-06-07T00:00:00"/>
    <s v="CSTM_COOLOQ83735"/>
    <m/>
    <s v="NA"/>
    <x v="2"/>
    <x v="0"/>
  </r>
  <r>
    <x v="138"/>
    <s v="Divyanshu Rohatgi"/>
    <x v="5"/>
    <x v="9"/>
    <x v="8"/>
    <s v="Won"/>
    <s v="12-13 June 2021"/>
    <n v="45000"/>
    <n v="515.34585432890515"/>
    <d v="2021-06-07T00:00:00"/>
    <s v="F10"/>
    <d v="2021-06-07T00:00:00"/>
    <s v="CSTM_GAMPC2U3FZY"/>
    <m/>
    <s v="Pending"/>
    <x v="0"/>
    <x v="0"/>
  </r>
  <r>
    <x v="139"/>
    <s v="Abhilash Mangatt"/>
    <x v="1"/>
    <x v="2"/>
    <x v="8"/>
    <s v="Won"/>
    <s v="26-27 June 2021"/>
    <n v="19000"/>
    <n v="217.59047182775998"/>
    <d v="2021-06-08T00:00:00"/>
    <s v="F10"/>
    <d v="2021-06-08T00:00:00"/>
    <s v="CSTM_G1V0E22PL6U"/>
    <s v="abhilash.mangatt@gmail.com"/>
    <s v="Done. Good feedback."/>
    <x v="1"/>
    <x v="0"/>
  </r>
  <r>
    <x v="139"/>
    <s v="Ashish Awandkar"/>
    <x v="7"/>
    <x v="0"/>
    <x v="8"/>
    <s v="Won"/>
    <s v="12-13 June 2021"/>
    <n v="20000"/>
    <n v="229.04260192395787"/>
    <d v="2021-06-08T00:00:00"/>
    <s v="F10"/>
    <d v="2021-06-08T00:00:00"/>
    <s v="CSTM_E61NHCUWREX"/>
    <m/>
    <s v="Done. Good feedback."/>
    <x v="0"/>
    <x v="0"/>
  </r>
  <r>
    <x v="139"/>
    <s v="Mitesh Solanki"/>
    <x v="1"/>
    <x v="2"/>
    <x v="8"/>
    <s v="Won"/>
    <s v="26-27 June 2021"/>
    <n v="19000"/>
    <n v="217.59047182775998"/>
    <d v="2021-06-08T00:00:00"/>
    <s v="F10"/>
    <d v="2021-06-08T00:00:00"/>
    <s v="CSTM_DQV8B04FAL5"/>
    <m/>
    <s v="Done. Good feedback."/>
    <x v="1"/>
    <x v="0"/>
  </r>
  <r>
    <x v="139"/>
    <s v="Ankit Gupta"/>
    <x v="17"/>
    <x v="2"/>
    <x v="8"/>
    <s v="Won"/>
    <s v="26-27 June 2021"/>
    <n v="18000"/>
    <n v="206.13834173156206"/>
    <d v="2021-06-08T00:00:00"/>
    <s v="F10"/>
    <d v="2021-06-08T00:00:00"/>
    <s v="CSTM_1DMZT04GIJG"/>
    <m/>
    <s v="Done. Good feedback."/>
    <x v="1"/>
    <x v="0"/>
  </r>
  <r>
    <x v="139"/>
    <s v="Chandrika Pulivarthi"/>
    <x v="9"/>
    <x v="0"/>
    <x v="8"/>
    <s v="Won"/>
    <s v="12-13 June 2021"/>
    <n v="20500"/>
    <n v="234.76866697205682"/>
    <d v="2021-06-08T00:00:00"/>
    <s v="F10"/>
    <d v="2021-06-09T00:00:00"/>
    <s v="CSTM_3KH42BUFBU5"/>
    <m/>
    <s v="Done. Good feedback."/>
    <x v="0"/>
    <x v="0"/>
  </r>
  <r>
    <x v="140"/>
    <s v="Pavithra Balaji"/>
    <x v="1"/>
    <x v="30"/>
    <x v="8"/>
    <s v="Won"/>
    <d v="2021-06-01T00:00:00"/>
    <n v="4500"/>
    <n v="51.534585432890516"/>
    <d v="2021-06-09T00:00:00"/>
    <s v="F10"/>
    <d v="2021-06-09T00:00:00"/>
    <s v="CSTM_GWWSROOBOKN"/>
    <m/>
    <s v="NA"/>
    <x v="2"/>
    <x v="0"/>
  </r>
  <r>
    <x v="141"/>
    <s v="Sarosh Husain"/>
    <x v="7"/>
    <x v="2"/>
    <x v="8"/>
    <s v="Won"/>
    <s v="19-20 June 2021"/>
    <n v="19000"/>
    <n v="217.59047182775998"/>
    <d v="2021-06-10T00:00:00"/>
    <s v="F10"/>
    <d v="2021-06-10T00:00:00"/>
    <s v="CSTM_333FP0DSSL"/>
    <m/>
    <s v="Pending"/>
    <x v="1"/>
    <x v="0"/>
  </r>
  <r>
    <x v="141"/>
    <s v="Lipishree"/>
    <x v="0"/>
    <x v="18"/>
    <x v="8"/>
    <s v="Won"/>
    <d v="2021-06-01T00:00:00"/>
    <n v="16000"/>
    <n v="183.23408153916631"/>
    <d v="2021-06-10T00:00:00"/>
    <s v="F10"/>
    <d v="2021-06-10T00:00:00"/>
    <s v="CSTM_GZVZ8KIQ0DK"/>
    <m/>
    <s v="NA"/>
    <x v="2"/>
    <x v="0"/>
  </r>
  <r>
    <x v="141"/>
    <s v="Rashmi Nair"/>
    <x v="3"/>
    <x v="0"/>
    <x v="8"/>
    <s v="Won"/>
    <s v="19-20 June 2021"/>
    <n v="21000"/>
    <n v="240.49473202015577"/>
    <d v="2021-06-10T00:00:00"/>
    <s v="F10"/>
    <d v="2021-06-10T00:00:00"/>
    <s v="CSTM_3XSW12EELW9"/>
    <m/>
    <s v="Done. Good feedback."/>
    <x v="0"/>
    <x v="0"/>
  </r>
  <r>
    <x v="141"/>
    <s v="Snehal Bothare"/>
    <x v="1"/>
    <x v="0"/>
    <x v="8"/>
    <s v="Won"/>
    <s v="19-20 June 2021"/>
    <n v="21000"/>
    <n v="240.49473202015577"/>
    <d v="2021-06-10T00:00:00"/>
    <s v="F10"/>
    <d v="2021-06-10T00:00:00"/>
    <s v="CSTM_B7UNGE4LZM9"/>
    <s v="Reference by Rashmi Nair"/>
    <s v="Done. Good feedback."/>
    <x v="0"/>
    <x v="0"/>
  </r>
  <r>
    <x v="142"/>
    <s v="Blessin"/>
    <x v="3"/>
    <x v="0"/>
    <x v="8"/>
    <s v="Won"/>
    <s v="12-13 June 2021"/>
    <n v="20500"/>
    <n v="234.76866697205682"/>
    <d v="2021-06-11T00:00:00"/>
    <s v="S10"/>
    <d v="2021-06-11T00:00:00"/>
    <s v="CSTM_7UA7N5HIMDR"/>
    <m/>
    <s v="Done. Good feedback."/>
    <x v="0"/>
    <x v="0"/>
  </r>
  <r>
    <x v="142"/>
    <s v="Nidhi Walia"/>
    <x v="1"/>
    <x v="14"/>
    <x v="8"/>
    <s v="Won"/>
    <s v="12-13 June 2021"/>
    <n v="20500"/>
    <n v="234.76866697205682"/>
    <d v="2021-06-12T00:00:00"/>
    <s v="S10"/>
    <d v="2021-06-11T00:00:00"/>
    <s v="CSTM_9I35RFRTQDF"/>
    <m/>
    <s v="Pending"/>
    <x v="0"/>
    <x v="0"/>
  </r>
  <r>
    <x v="143"/>
    <s v="Lingaraj"/>
    <x v="1"/>
    <x v="2"/>
    <x v="8"/>
    <s v="Won"/>
    <s v="26-27 June 2021"/>
    <n v="19000"/>
    <n v="217.59047182775998"/>
    <d v="2021-06-14T00:00:00"/>
    <s v="S10"/>
    <d v="2021-06-14T00:00:00"/>
    <s v="CSTM_3T6UWRY5DMG"/>
    <m/>
    <s v="Done. Good feedback."/>
    <x v="1"/>
    <x v="0"/>
  </r>
  <r>
    <x v="143"/>
    <s v="Divya Jyoti"/>
    <x v="1"/>
    <x v="2"/>
    <x v="8"/>
    <s v="Won"/>
    <s v="8-9 July 2021"/>
    <n v="19000"/>
    <n v="217.59047182775998"/>
    <d v="2021-06-14T00:00:00"/>
    <s v="S10"/>
    <d v="2021-06-14T00:00:00"/>
    <s v="CSTM_3BLIV6TS6PQ"/>
    <s v="Reference by Arunima"/>
    <s v="Pending"/>
    <x v="1"/>
    <x v="0"/>
  </r>
  <r>
    <x v="143"/>
    <s v="Sanchali"/>
    <x v="3"/>
    <x v="9"/>
    <x v="8"/>
    <s v="Won"/>
    <s v="26-27 June 2021"/>
    <n v="45000"/>
    <n v="515.34585432890515"/>
    <d v="2021-06-14T00:00:00"/>
    <s v="S10"/>
    <d v="2021-06-14T00:00:00"/>
    <s v="CSTM_5KEYREGIA99"/>
    <m/>
    <s v="Pending"/>
    <x v="0"/>
    <x v="0"/>
  </r>
  <r>
    <x v="144"/>
    <s v="Abhishek Goel"/>
    <x v="7"/>
    <x v="31"/>
    <x v="8"/>
    <s v="Won"/>
    <s v="26-27 June 2021"/>
    <n v="45000"/>
    <n v="515.34585432890515"/>
    <d v="2021-06-16T00:00:00"/>
    <s v="S10"/>
    <d v="2021-06-16T00:00:00"/>
    <s v="CSTM_6U58UF3E4HL"/>
    <m/>
    <s v="Done. Good feedback."/>
    <x v="0"/>
    <x v="0"/>
  </r>
  <r>
    <x v="140"/>
    <s v="Pavithra Balaji"/>
    <x v="1"/>
    <x v="30"/>
    <x v="8"/>
    <s v="Won"/>
    <d v="2021-06-01T00:00:00"/>
    <n v="25500"/>
    <n v="292.0293174530463"/>
    <d v="2021-06-16T00:00:00"/>
    <s v="S10"/>
    <d v="2021-06-16T00:00:00"/>
    <s v="CSTM_PARTIAL_FIRST_7JPFJZCDVAR"/>
    <m/>
    <s v="NA"/>
    <x v="2"/>
    <x v="0"/>
  </r>
  <r>
    <x v="145"/>
    <s v="Narasimha"/>
    <x v="7"/>
    <x v="2"/>
    <x v="8"/>
    <s v="Won"/>
    <s v="26-27 June 2021"/>
    <n v="20000"/>
    <n v="229.04260192395787"/>
    <d v="2021-06-17T00:00:00"/>
    <s v="S10"/>
    <d v="2021-06-17T00:00:00"/>
    <s v="CSTM_2I5F3M2BFY9"/>
    <m/>
    <s v="Done. Good feedback."/>
    <x v="1"/>
    <x v="0"/>
  </r>
  <r>
    <x v="146"/>
    <s v="Nishank Goel"/>
    <x v="1"/>
    <x v="2"/>
    <x v="8"/>
    <s v="Won"/>
    <s v="10-11 July 2021"/>
    <n v="19300"/>
    <n v="221.02611085661934"/>
    <d v="2021-06-28T00:00:00"/>
    <s v="T10"/>
    <d v="2021-06-29T00:00:00"/>
    <s v="CSTM_7VZEJ6UGMMC"/>
    <m/>
    <s v="Done. Good feedback."/>
    <x v="1"/>
    <x v="0"/>
  </r>
  <r>
    <x v="145"/>
    <s v="Gayathri"/>
    <x v="1"/>
    <x v="0"/>
    <x v="8"/>
    <s v="Won"/>
    <s v="19-20 June 2021"/>
    <n v="20000"/>
    <n v="229.04260192395787"/>
    <d v="2021-06-17T00:00:00"/>
    <s v="S10"/>
    <d v="2021-06-17T00:00:00"/>
    <s v="CSTM_FP9CLJE2LN6"/>
    <m/>
    <s v="Done. Good feedback."/>
    <x v="0"/>
    <x v="0"/>
  </r>
  <r>
    <x v="74"/>
    <s v="Arjun Madhusudan"/>
    <x v="6"/>
    <x v="1"/>
    <x v="8"/>
    <s v="Won"/>
    <s v="3-4 July 2021"/>
    <n v="19000"/>
    <n v="217.59047182775998"/>
    <d v="2021-02-27T00:00:00"/>
    <s v="S10"/>
    <d v="2021-07-02T00:00:00"/>
    <s v="CSTM_6NFZS5L8X6X"/>
    <m/>
    <s v="Pending"/>
    <x v="1"/>
    <x v="0"/>
  </r>
  <r>
    <x v="147"/>
    <s v="Pradipta"/>
    <x v="7"/>
    <x v="31"/>
    <x v="8"/>
    <s v="Won"/>
    <s v="26-27 June 2021"/>
    <n v="45000"/>
    <n v="515.34585432890515"/>
    <d v="2021-06-21T00:00:00"/>
    <s v="T10"/>
    <d v="2021-06-21T00:00:00"/>
    <s v="CSTM_2UAPPI8V0VD"/>
    <m/>
    <s v="Pending"/>
    <x v="0"/>
    <x v="0"/>
  </r>
  <r>
    <x v="148"/>
    <s v="Manisha Bist"/>
    <x v="7"/>
    <x v="0"/>
    <x v="8"/>
    <s v="Won"/>
    <s v="23-24 June 2021"/>
    <n v="21000"/>
    <n v="240.49473202015577"/>
    <d v="2021-06-22T00:00:00"/>
    <s v="T10"/>
    <d v="2021-06-22T00:00:00"/>
    <s v="CSTM_3ORUEER5YWS"/>
    <m/>
    <s v="Pending"/>
    <x v="0"/>
    <x v="0"/>
  </r>
  <r>
    <x v="146"/>
    <s v="Saurav Chutani"/>
    <x v="1"/>
    <x v="2"/>
    <x v="8"/>
    <s v="Won"/>
    <s v="10-11 July 2021"/>
    <n v="19300"/>
    <n v="221.02611085661934"/>
    <d v="2021-06-28T00:00:00"/>
    <s v="T10"/>
    <d v="2021-06-29T00:00:00"/>
    <s v="CSTM_EL64M40C2PU"/>
    <m/>
    <s v="Pending"/>
    <x v="1"/>
    <x v="0"/>
  </r>
  <r>
    <x v="149"/>
    <s v="Swapnil Barhate"/>
    <x v="3"/>
    <x v="29"/>
    <x v="8"/>
    <s v="Won"/>
    <d v="2021-06-01T00:00:00"/>
    <n v="37000"/>
    <n v="423.72881355932202"/>
    <d v="2021-06-23T00:00:00"/>
    <s v="T10"/>
    <d v="2021-06-22T00:00:00"/>
    <s v="CSTM_9EBX4PB9GXF"/>
    <m/>
    <s v="Pending"/>
    <x v="2"/>
    <x v="0"/>
  </r>
  <r>
    <x v="150"/>
    <s v="Savitha"/>
    <x v="5"/>
    <x v="23"/>
    <x v="8"/>
    <s v="Won"/>
    <s v="2-4 July 2021"/>
    <n v="31000"/>
    <n v="355.01603298213467"/>
    <d v="2021-06-25T00:00:00"/>
    <s v="T10"/>
    <d v="2021-06-25T00:00:00"/>
    <s v="CSTM_71VIVZ9X1XE"/>
    <m/>
    <s v="Pending"/>
    <x v="0"/>
    <x v="0"/>
  </r>
  <r>
    <x v="151"/>
    <s v="Amit "/>
    <x v="1"/>
    <x v="0"/>
    <x v="8"/>
    <s v="Won"/>
    <s v="3-4 July 2021"/>
    <n v="21000"/>
    <n v="240.49473202015577"/>
    <d v="2021-06-18T00:00:00"/>
    <s v="S10"/>
    <d v="2021-06-18T00:00:00"/>
    <s v="CSTM_27T7OU1WKPP"/>
    <m/>
    <s v="Done. Good feedback."/>
    <x v="0"/>
    <x v="0"/>
  </r>
  <r>
    <x v="152"/>
    <s v="Ganga"/>
    <x v="7"/>
    <x v="0"/>
    <x v="8"/>
    <s v="Won"/>
    <s v="3-4 July 2021"/>
    <n v="21000"/>
    <n v="240.49473202015577"/>
    <d v="2021-06-26T00:00:00"/>
    <s v="T10"/>
    <d v="2021-06-26T00:00:00"/>
    <s v="CSTM_9O5115PZINV"/>
    <m/>
    <s v="Done. Good feedback."/>
    <x v="0"/>
    <x v="0"/>
  </r>
  <r>
    <x v="146"/>
    <s v="Riju Bejoy"/>
    <x v="1"/>
    <x v="2"/>
    <x v="8"/>
    <s v="Won"/>
    <s v="10-11 July 2021"/>
    <n v="19300"/>
    <n v="221.02611085661934"/>
    <d v="2021-06-28T00:00:00"/>
    <s v="T10"/>
    <d v="2021-06-29T00:00:00"/>
    <s v="CSTM_FQSP0XXHE7G"/>
    <m/>
    <s v="Done. Good feedback."/>
    <x v="1"/>
    <x v="0"/>
  </r>
  <r>
    <x v="146"/>
    <s v="Ankita Gupta"/>
    <x v="4"/>
    <x v="0"/>
    <x v="8"/>
    <s v="Won"/>
    <s v="17-18 July 2021"/>
    <n v="21000"/>
    <n v="240.49473202015577"/>
    <d v="2021-06-28T00:00:00"/>
    <s v="T10"/>
    <d v="2021-06-28T00:00:00"/>
    <s v="CSTM_1585ZIERKEF"/>
    <m/>
    <s v="Pending"/>
    <x v="0"/>
    <x v="0"/>
  </r>
  <r>
    <x v="153"/>
    <s v="Deepak"/>
    <x v="1"/>
    <x v="2"/>
    <x v="8"/>
    <s v="Won"/>
    <s v="10-11 July 2021"/>
    <n v="19000"/>
    <n v="217.59047182775998"/>
    <d v="2021-06-30T00:00:00"/>
    <s v="T10"/>
    <d v="2021-06-30T00:00:00"/>
    <s v="CSTM_8OTOKOMU19T"/>
    <m/>
    <s v="Done. Good feedback."/>
    <x v="1"/>
    <x v="0"/>
  </r>
  <r>
    <x v="154"/>
    <s v="Rabik"/>
    <x v="4"/>
    <x v="2"/>
    <x v="7"/>
    <s v="Won"/>
    <s v="10-11 July 2021"/>
    <n v="19000"/>
    <n v="217.59047182775998"/>
    <d v="2021-07-01T00:00:00"/>
    <s v="F10"/>
    <d v="2021-07-01T00:00:00"/>
    <s v="CSTM_H9DSAUN8ELR"/>
    <m/>
    <s v="Done. Good feedback."/>
    <x v="1"/>
    <x v="0"/>
  </r>
  <r>
    <x v="155"/>
    <s v="Jyoti Kumari"/>
    <x v="7"/>
    <x v="0"/>
    <x v="7"/>
    <s v="Won"/>
    <s v="10-11 July 2021"/>
    <n v="21000"/>
    <n v="240.49473202015577"/>
    <d v="2021-07-05T00:00:00"/>
    <s v="F10"/>
    <d v="2021-07-05T00:00:00"/>
    <s v="CSTM_G57U3NPARI5"/>
    <m/>
    <s v="Done. Good feedback."/>
    <x v="0"/>
    <x v="0"/>
  </r>
  <r>
    <x v="156"/>
    <s v="Taruna Arora"/>
    <x v="23"/>
    <x v="0"/>
    <x v="7"/>
    <s v="Won"/>
    <s v="10-11 July 2021"/>
    <n v="20500"/>
    <n v="234.76866697205682"/>
    <d v="2021-07-07T00:00:00"/>
    <s v="F10"/>
    <d v="2021-07-07T00:00:00"/>
    <s v="CSTM_6AKL9W26FVC"/>
    <m/>
    <s v="Done. Good feedback."/>
    <x v="0"/>
    <x v="0"/>
  </r>
  <r>
    <x v="153"/>
    <s v="Chetan"/>
    <x v="5"/>
    <x v="7"/>
    <x v="9"/>
    <s v="Won"/>
    <d v="2021-07-01T00:00:00"/>
    <n v="12500"/>
    <n v="143.15162620247366"/>
    <d v="2021-06-30T00:00:00"/>
    <s v="S10"/>
    <d v="2021-09-14T00:00:00"/>
    <s v="CSTM_1LVZRK5CP9H"/>
    <m/>
    <s v="Pending"/>
    <x v="2"/>
    <x v="0"/>
  </r>
  <r>
    <x v="157"/>
    <s v="Brijesh"/>
    <x v="0"/>
    <x v="14"/>
    <x v="8"/>
    <s v="Won"/>
    <s v="24-25 July 2021"/>
    <n v="20000"/>
    <n v="229.04260192395787"/>
    <d v="2021-06-24T00:00:00"/>
    <s v="T10"/>
    <d v="2021-06-29T00:00:00"/>
    <s v="CSTM_4R5HKN75EII"/>
    <m/>
    <s v="Done. Good feedback."/>
    <x v="0"/>
    <x v="0"/>
  </r>
  <r>
    <x v="154"/>
    <s v="Priyanka Bakshi"/>
    <x v="7"/>
    <x v="0"/>
    <x v="7"/>
    <s v="Won"/>
    <s v="3-4 July 2021"/>
    <n v="21000"/>
    <n v="240.49473202015577"/>
    <d v="2021-07-01T00:00:00"/>
    <s v="F10"/>
    <d v="2021-07-01T00:00:00"/>
    <s v="CSTM_8WJKJ5YDB84"/>
    <m/>
    <s v="Done. Good feedback."/>
    <x v="0"/>
    <x v="0"/>
  </r>
  <r>
    <x v="158"/>
    <s v="Dheepanah"/>
    <x v="5"/>
    <x v="9"/>
    <x v="8"/>
    <s v="Won"/>
    <s v="10-11 July 2021"/>
    <n v="45000"/>
    <n v="515.34585432890515"/>
    <d v="2021-06-22T00:00:00"/>
    <s v="T10"/>
    <d v="2021-06-22T00:00:00"/>
    <s v="CSTM_AH89S5DFTH2"/>
    <m/>
    <s v="Done. Good feedback."/>
    <x v="0"/>
    <x v="0"/>
  </r>
  <r>
    <x v="156"/>
    <s v="Satya Prakash"/>
    <x v="3"/>
    <x v="9"/>
    <x v="7"/>
    <s v="Won"/>
    <s v="10-11 July 2021"/>
    <n v="45000"/>
    <n v="515.34585432890515"/>
    <d v="2021-07-07T00:00:00"/>
    <s v="F10"/>
    <d v="2021-07-07T00:00:00"/>
    <s v="CSTM_330UL2I3KHP"/>
    <m/>
    <s v="Done. Good feedback."/>
    <x v="0"/>
    <x v="0"/>
  </r>
  <r>
    <x v="159"/>
    <s v="Mallika"/>
    <x v="7"/>
    <x v="0"/>
    <x v="7"/>
    <s v="Won"/>
    <s v="2-3 Oct 2021"/>
    <n v="21000"/>
    <n v="240.49473202015577"/>
    <d v="2021-07-03T00:00:00"/>
    <s v="F10"/>
    <d v="2021-07-08T00:00:00"/>
    <s v="CSTM_7ONJQLBZ3UH"/>
    <m/>
    <s v="Done. Good feedback."/>
    <x v="0"/>
    <x v="0"/>
  </r>
  <r>
    <x v="160"/>
    <s v="Abhilash Thottathil"/>
    <x v="5"/>
    <x v="9"/>
    <x v="7"/>
    <s v="Won"/>
    <s v="10-11 July 2021"/>
    <n v="45000"/>
    <n v="515.34585432890515"/>
    <d v="2021-07-08T00:00:00"/>
    <s v="F10"/>
    <d v="2021-07-08T00:00:00"/>
    <s v="CSTM_BGFPZIJN3JY"/>
    <m/>
    <s v="Done. Good feedback."/>
    <x v="0"/>
    <x v="0"/>
  </r>
  <r>
    <x v="145"/>
    <s v="Tulika Mitra"/>
    <x v="2"/>
    <x v="24"/>
    <x v="8"/>
    <s v="Won"/>
    <s v="10-11 July 2021"/>
    <n v="47000"/>
    <n v="538.25011452130093"/>
    <d v="2021-06-17T00:00:00"/>
    <s v="S10"/>
    <d v="2021-06-17T00:00:00"/>
    <s v="CSTM_G37QAM1HE6S"/>
    <m/>
    <s v="Pending"/>
    <x v="0"/>
    <x v="0"/>
  </r>
  <r>
    <x v="161"/>
    <s v="Rahul Jha"/>
    <x v="3"/>
    <x v="9"/>
    <x v="7"/>
    <s v="Won"/>
    <s v="14-15 Aug 2021"/>
    <n v="45000"/>
    <n v="515.34585432890515"/>
    <d v="2021-07-06T00:00:00"/>
    <s v="F10"/>
    <d v="2021-07-08T00:00:00"/>
    <s v="CSTM_2I6ZBZP0MT4"/>
    <m/>
    <s v="Pending"/>
    <x v="0"/>
    <x v="0"/>
  </r>
  <r>
    <x v="161"/>
    <s v="Kishore Kenguva"/>
    <x v="1"/>
    <x v="9"/>
    <x v="7"/>
    <s v="Won"/>
    <s v="14-15 Aug 2021"/>
    <n v="45000"/>
    <n v="515.34585432890515"/>
    <d v="2021-07-06T00:00:00"/>
    <s v="S10"/>
    <d v="2021-07-14T00:00:00"/>
    <s v="CSTM_ILZPH7JQJL"/>
    <m/>
    <s v="Done. Good feedback."/>
    <x v="0"/>
    <x v="0"/>
  </r>
  <r>
    <x v="161"/>
    <s v="Krishna"/>
    <x v="7"/>
    <x v="24"/>
    <x v="7"/>
    <s v="Won"/>
    <s v="7-8 Aug 2021"/>
    <n v="45000"/>
    <n v="515.34585432890515"/>
    <d v="2021-07-06T00:00:00"/>
    <s v="S10"/>
    <d v="2021-07-14T00:00:00"/>
    <s v="CSTM_IZBIJINSRNP"/>
    <m/>
    <s v="Pending"/>
    <x v="0"/>
    <x v="0"/>
  </r>
  <r>
    <x v="161"/>
    <s v="Nirlipta Dash"/>
    <x v="7"/>
    <x v="14"/>
    <x v="7"/>
    <s v="Won"/>
    <s v="7-8 Aug 2021"/>
    <n v="24780"/>
    <n v="283.7837837837838"/>
    <d v="2021-07-06T00:00:00"/>
    <s v="F10"/>
    <d v="2021-07-06T00:00:00"/>
    <s v="SMPL_4CRIP6ZK7OT"/>
    <m/>
    <s v="Done. Good feedback."/>
    <x v="0"/>
    <x v="0"/>
  </r>
  <r>
    <x v="156"/>
    <s v="Rashmi"/>
    <x v="23"/>
    <x v="0"/>
    <x v="7"/>
    <s v="Won"/>
    <s v="17-18 July 2021"/>
    <n v="21000"/>
    <n v="240.49473202015577"/>
    <d v="2021-07-07T00:00:00"/>
    <s v="S10"/>
    <d v="2021-07-13T00:00:00"/>
    <s v="CSTM_CSIKR46CCZ7"/>
    <m/>
    <s v="Done. Good feedback."/>
    <x v="0"/>
    <x v="0"/>
  </r>
  <r>
    <x v="146"/>
    <s v="Dhaneesh"/>
    <x v="2"/>
    <x v="24"/>
    <x v="8"/>
    <s v="Won"/>
    <s v="10-11 July 2021"/>
    <n v="45000"/>
    <n v="515.34585432890515"/>
    <d v="2021-06-28T00:00:00"/>
    <s v="T10"/>
    <d v="2021-06-28T00:00:00"/>
    <s v="CSTM_2BUL8C8FV1J"/>
    <m/>
    <s v="Done. Ok feedback."/>
    <x v="0"/>
    <x v="0"/>
  </r>
  <r>
    <x v="153"/>
    <s v="Chaitanya"/>
    <x v="7"/>
    <x v="24"/>
    <x v="7"/>
    <s v="Won"/>
    <s v="10-11 July 2021"/>
    <n v="45000"/>
    <n v="515.34585432890515"/>
    <d v="2021-06-30T00:00:00"/>
    <s v="F10"/>
    <d v="2021-07-01T00:00:00"/>
    <s v="CSTM_68K3HPI2S4Y"/>
    <m/>
    <s v="Done. Good feedback."/>
    <x v="0"/>
    <x v="0"/>
  </r>
  <r>
    <x v="155"/>
    <s v="Gaurav Kawatra"/>
    <x v="1"/>
    <x v="24"/>
    <x v="7"/>
    <s v="Won"/>
    <s v="10-11 July 2021"/>
    <n v="45000"/>
    <n v="515.34585432890515"/>
    <d v="2021-07-05T00:00:00"/>
    <s v="F10"/>
    <d v="2021-07-05T00:00:00"/>
    <s v="CSTM_W9GJI4INOT"/>
    <m/>
    <s v="Done. Good feedback."/>
    <x v="0"/>
    <x v="0"/>
  </r>
  <r>
    <x v="160"/>
    <s v="Shailaja P"/>
    <x v="7"/>
    <x v="2"/>
    <x v="7"/>
    <s v="Won"/>
    <s v="17-18 July 2021"/>
    <n v="19000"/>
    <n v="217.59047182775998"/>
    <d v="2021-07-08T00:00:00"/>
    <s v="F10"/>
    <d v="2021-07-08T00:00:00"/>
    <s v="CSTM_GOCWJSB9L9M"/>
    <m/>
    <s v="Done. Good feedback."/>
    <x v="1"/>
    <x v="0"/>
  </r>
  <r>
    <x v="162"/>
    <s v="Bijay Kumar"/>
    <x v="1"/>
    <x v="14"/>
    <x v="7"/>
    <s v="Won"/>
    <s v="28-29 Aug 2021"/>
    <n v="21000"/>
    <n v="240.49473202015577"/>
    <d v="2021-07-12T00:00:00"/>
    <s v="S10"/>
    <d v="2021-07-12T00:00:00"/>
    <s v="CSTM_35WWT352283"/>
    <s v="Reference by Nirlipta"/>
    <s v="Done. Good feedback."/>
    <x v="0"/>
    <x v="0"/>
  </r>
  <r>
    <x v="163"/>
    <s v="Shankar"/>
    <x v="1"/>
    <x v="0"/>
    <x v="7"/>
    <s v="Won"/>
    <s v="17-18 July 2021"/>
    <n v="21000"/>
    <n v="240.49473202015577"/>
    <d v="2021-07-13T00:00:00"/>
    <s v="S10"/>
    <d v="2021-07-13T00:00:00"/>
    <s v="CSTM_2QTZWPN2EEJ"/>
    <s v="Reference by Rashmint"/>
    <s v="Done. Good feedback."/>
    <x v="0"/>
    <x v="0"/>
  </r>
  <r>
    <x v="163"/>
    <s v="Goutham Devaraj"/>
    <x v="1"/>
    <x v="2"/>
    <x v="7"/>
    <s v="Won"/>
    <s v="14-15 Aug 2021"/>
    <n v="18500"/>
    <n v="211.86440677966101"/>
    <d v="2021-07-13T00:00:00"/>
    <s v="S10"/>
    <d v="2021-07-13T00:00:00"/>
    <s v="CSTM_4UJ38IUTUQP"/>
    <s v="Aurko - Goutham itself - alternative email id scene"/>
    <s v="Pending"/>
    <x v="1"/>
    <x v="0"/>
  </r>
  <r>
    <x v="164"/>
    <s v="Suganya Kailasam"/>
    <x v="1"/>
    <x v="0"/>
    <x v="7"/>
    <s v="Won"/>
    <s v="17-18 July 2021"/>
    <n v="21000"/>
    <n v="240.49473202015577"/>
    <d v="2021-07-14T00:00:00"/>
    <s v="S10"/>
    <d v="2021-07-14T00:00:00"/>
    <s v="CSTM_H9Z81SV0U1B"/>
    <s v="Reference by Hariharan"/>
    <s v="Pending"/>
    <x v="0"/>
    <x v="0"/>
  </r>
  <r>
    <x v="165"/>
    <s v="Vinod AK"/>
    <x v="7"/>
    <x v="23"/>
    <x v="7"/>
    <s v="Won"/>
    <s v="16-18 July 2021"/>
    <n v="31000"/>
    <n v="355.01603298213467"/>
    <d v="2021-07-15T00:00:00"/>
    <s v="S10"/>
    <d v="2021-07-15T00:00:00"/>
    <s v="CSTM_7TBJ0FLAOJ6"/>
    <m/>
    <s v="Pending"/>
    <x v="0"/>
    <x v="0"/>
  </r>
  <r>
    <x v="165"/>
    <s v="Satish"/>
    <x v="3"/>
    <x v="9"/>
    <x v="7"/>
    <s v="Won"/>
    <s v="24-25 July 2021"/>
    <n v="46000"/>
    <n v="526.7979844251031"/>
    <d v="2021-07-15T00:00:00"/>
    <s v="S10"/>
    <d v="2021-07-15T00:00:00"/>
    <s v="CSTM_DZWO8MKG9O6"/>
    <m/>
    <s v="Done. Good feedback."/>
    <x v="0"/>
    <x v="0"/>
  </r>
  <r>
    <x v="166"/>
    <s v="Payel"/>
    <x v="1"/>
    <x v="1"/>
    <x v="7"/>
    <s v="Won"/>
    <s v="7-8 Aug 2021"/>
    <n v="19000"/>
    <n v="217.59047182775998"/>
    <d v="2021-07-16T00:00:00"/>
    <s v="S10"/>
    <d v="2021-07-16T00:00:00"/>
    <s v="CSTM_I1357VHQHMS"/>
    <s v="Keerti"/>
    <s v="Done. Good feedback."/>
    <x v="1"/>
    <x v="0"/>
  </r>
  <r>
    <x v="167"/>
    <s v="Sarish Nair"/>
    <x v="1"/>
    <x v="2"/>
    <x v="7"/>
    <s v="Won"/>
    <s v="26-28 July 2021"/>
    <n v="20000"/>
    <n v="229.04260192395787"/>
    <d v="2021-07-19T00:00:00"/>
    <s v="S10"/>
    <d v="2021-07-19T00:00:00"/>
    <s v="CSTM_FJU3C0FEGDX"/>
    <s v="Reference by Praveen Nair"/>
    <s v="Pending"/>
    <x v="1"/>
    <x v="0"/>
  </r>
  <r>
    <x v="167"/>
    <s v="Snigdha Das"/>
    <x v="7"/>
    <x v="0"/>
    <x v="7"/>
    <s v="Won"/>
    <s v="7-8 Aug 2021"/>
    <n v="21000"/>
    <n v="240.49473202015577"/>
    <d v="2021-07-19T00:00:00"/>
    <s v="S10"/>
    <d v="2021-07-19T00:00:00"/>
    <s v="CSTM_I4EEN4NKEPA"/>
    <m/>
    <s v="Done. Good feedback."/>
    <x v="0"/>
    <x v="0"/>
  </r>
  <r>
    <x v="167"/>
    <s v="Archana Kashyap"/>
    <x v="5"/>
    <x v="31"/>
    <x v="7"/>
    <s v="Won"/>
    <s v="24-25 July 2021"/>
    <n v="48000"/>
    <n v="549.70224461749888"/>
    <d v="2021-07-19T00:00:00"/>
    <s v="S10"/>
    <d v="2021-07-19T00:00:00"/>
    <s v="CSTM_2GUNKHLV2A5"/>
    <m/>
    <s v="Done. Good feedback."/>
    <x v="0"/>
    <x v="0"/>
  </r>
  <r>
    <x v="168"/>
    <s v="Ritesh Singh"/>
    <x v="5"/>
    <x v="9"/>
    <x v="7"/>
    <s v="Won"/>
    <s v="24-25 July 2021"/>
    <n v="45000"/>
    <n v="515.34585432890515"/>
    <d v="2021-07-21T00:00:00"/>
    <s v="T10"/>
    <d v="2021-07-21T00:00:00"/>
    <s v="CSTM_97ZJ6YZKLQB"/>
    <m/>
    <s v="Done. Good feedback."/>
    <x v="0"/>
    <x v="0"/>
  </r>
  <r>
    <x v="169"/>
    <s v="Priyanshi"/>
    <x v="1"/>
    <x v="9"/>
    <x v="7"/>
    <s v="Won"/>
    <s v="24-25 July 2021"/>
    <n v="45000"/>
    <n v="515.34585432890515"/>
    <d v="2021-07-22T00:00:00"/>
    <s v="T10"/>
    <d v="2021-07-22T00:00:00"/>
    <s v="CSTM_F2RUSR2BWDE"/>
    <s v="pushpendra_singh@icloud.com"/>
    <s v="Done. Good feedback."/>
    <x v="0"/>
    <x v="0"/>
  </r>
  <r>
    <x v="170"/>
    <s v="Fahad"/>
    <x v="1"/>
    <x v="2"/>
    <x v="7"/>
    <s v="Won"/>
    <s v="14-15 Aug 2021"/>
    <n v="18000"/>
    <n v="206.13834173156206"/>
    <d v="2021-07-23T00:00:00"/>
    <s v="T10"/>
    <d v="2021-07-23T00:00:00"/>
    <s v="CSTM_G1O01ZPG9VQ"/>
    <s v="Keerti"/>
    <s v="Done. Good feedback."/>
    <x v="1"/>
    <x v="0"/>
  </r>
  <r>
    <x v="170"/>
    <s v="Jane Miriam"/>
    <x v="1"/>
    <x v="2"/>
    <x v="7"/>
    <s v="Won"/>
    <s v="14-15 Aug 2021"/>
    <n v="18000"/>
    <n v="206.13834173156206"/>
    <d v="2021-07-23T00:00:00"/>
    <s v="T10"/>
    <d v="2021-07-23T00:00:00"/>
    <s v="CSTM_A1KBBUTFKZR"/>
    <s v="Keerti"/>
    <s v="Done. Good feedback."/>
    <x v="1"/>
    <x v="0"/>
  </r>
  <r>
    <x v="171"/>
    <s v="Javeed"/>
    <x v="1"/>
    <x v="2"/>
    <x v="7"/>
    <s v="Won"/>
    <s v="14-15 Aug 2021"/>
    <n v="18000"/>
    <n v="206.13834173156206"/>
    <d v="2021-07-24T00:00:00"/>
    <s v="T10"/>
    <d v="2021-07-24T00:00:00"/>
    <s v="CSTM_92AX0X7NZ7J"/>
    <s v="Keerti"/>
    <s v="Done. Good feedback."/>
    <x v="1"/>
    <x v="0"/>
  </r>
  <r>
    <x v="172"/>
    <s v="Haftaan"/>
    <x v="1"/>
    <x v="32"/>
    <x v="7"/>
    <s v="Won"/>
    <s v="OSL"/>
    <n v="36000"/>
    <n v="412.27668346312413"/>
    <d v="2021-07-26T00:00:00"/>
    <s v="T10"/>
    <d v="2021-07-28T00:00:00"/>
    <s v="CSTM_CICZX5PCJU6"/>
    <s v="Keerti"/>
    <s v="Pending"/>
    <x v="2"/>
    <x v="0"/>
  </r>
  <r>
    <x v="173"/>
    <s v="Anup Mitra"/>
    <x v="23"/>
    <x v="2"/>
    <x v="7"/>
    <s v="Won"/>
    <s v="28-29 Aug 2021"/>
    <n v="18500"/>
    <n v="211.86440677966101"/>
    <d v="2021-07-29T00:00:00"/>
    <s v="T10"/>
    <d v="2021-07-29T00:00:00"/>
    <s v="CSTM_A4Z33203SL3"/>
    <m/>
    <s v="Done. Good feedback."/>
    <x v="1"/>
    <x v="0"/>
  </r>
  <r>
    <x v="173"/>
    <s v="Preetha"/>
    <x v="0"/>
    <x v="33"/>
    <x v="7"/>
    <s v="Won"/>
    <s v="OSL"/>
    <n v="20000"/>
    <n v="229.04260192395787"/>
    <d v="2021-07-29T00:00:00"/>
    <s v="T10"/>
    <d v="2021-07-29T00:00:00"/>
    <s v="CSTM_B24HDSS0ASS"/>
    <m/>
    <s v="Pending"/>
    <x v="2"/>
    <x v="0"/>
  </r>
  <r>
    <x v="174"/>
    <s v="Vani Vijay"/>
    <x v="1"/>
    <x v="9"/>
    <x v="7"/>
    <s v="Won"/>
    <s v="11-12 Sep 2021"/>
    <n v="45000"/>
    <n v="515.34585432890515"/>
    <d v="2021-07-30T00:00:00"/>
    <s v="T10"/>
    <d v="2021-07-30T00:00:00"/>
    <s v="CSTM_4DZYBJ0P6Z3"/>
    <s v="prabhu.sh@gmail.com"/>
    <s v="Pending"/>
    <x v="0"/>
    <x v="0"/>
  </r>
  <r>
    <x v="174"/>
    <s v="Amarnath"/>
    <x v="1"/>
    <x v="0"/>
    <x v="7"/>
    <s v="Won"/>
    <s v="21-22 Aug 2021"/>
    <n v="21000"/>
    <n v="240.49473202015577"/>
    <d v="2021-07-30T00:00:00"/>
    <s v="T10"/>
    <d v="2021-07-30T00:00:00"/>
    <s v="CSTM_4MQH68295KU"/>
    <s v="Reference by Prasanna"/>
    <s v="Pending"/>
    <x v="0"/>
    <x v="0"/>
  </r>
  <r>
    <x v="175"/>
    <s v="Thomas George"/>
    <x v="0"/>
    <x v="1"/>
    <x v="7"/>
    <s v="Won"/>
    <s v="7-8 Aug 2021"/>
    <n v="18500"/>
    <n v="211.86440677966101"/>
    <d v="2021-07-31T00:00:00"/>
    <s v="T10"/>
    <d v="2021-07-31T00:00:00"/>
    <s v="CSTM_4D37QEFCT05"/>
    <m/>
    <s v="Pending"/>
    <x v="1"/>
    <x v="0"/>
  </r>
  <r>
    <x v="175"/>
    <s v="Franklin Serrao"/>
    <x v="0"/>
    <x v="1"/>
    <x v="7"/>
    <s v="Won"/>
    <s v="7-8 Aug 2021"/>
    <n v="18500"/>
    <n v="211.86440677966101"/>
    <d v="2021-07-31T00:00:00"/>
    <s v="T10"/>
    <d v="2021-07-31T00:00:00"/>
    <s v="CSTM_BIN8DMN55HE"/>
    <m/>
    <s v="Pending"/>
    <x v="1"/>
    <x v="0"/>
  </r>
  <r>
    <x v="175"/>
    <s v="Nishanth Ram"/>
    <x v="2"/>
    <x v="14"/>
    <x v="7"/>
    <s v="Won"/>
    <s v="7-8 Aug 2021"/>
    <n v="21000"/>
    <n v="240.49473202015577"/>
    <d v="2021-07-31T00:00:00"/>
    <s v="T10"/>
    <d v="2021-07-31T00:00:00"/>
    <s v="CSTM_3QFH9YGJI0A"/>
    <m/>
    <s v="Done. Good feedback."/>
    <x v="0"/>
    <x v="0"/>
  </r>
  <r>
    <x v="176"/>
    <s v="Swathy"/>
    <x v="1"/>
    <x v="2"/>
    <x v="10"/>
    <s v="Won"/>
    <s v="21-22 Aug 2021"/>
    <n v="18000"/>
    <n v="206.13834173156206"/>
    <d v="2021-08-01T00:00:00"/>
    <s v="F10"/>
    <d v="2021-08-01T00:00:00"/>
    <s v="CSTM_EPKDA5BLJG7"/>
    <s v="Aurko"/>
    <s v="Done. Good feedback."/>
    <x v="1"/>
    <x v="0"/>
  </r>
  <r>
    <x v="176"/>
    <s v="Sabari"/>
    <x v="1"/>
    <x v="2"/>
    <x v="10"/>
    <s v="Won"/>
    <s v="21-22 Aug 2021"/>
    <n v="18000"/>
    <n v="206.13834173156206"/>
    <d v="2021-08-01T00:00:00"/>
    <s v="F10"/>
    <d v="2021-08-01T00:00:00"/>
    <s v="CSTM_B66MXJVDC5G"/>
    <s v="Aurko"/>
    <s v="Done. Good feedback."/>
    <x v="1"/>
    <x v="0"/>
  </r>
  <r>
    <x v="177"/>
    <s v="Koushik"/>
    <x v="5"/>
    <x v="31"/>
    <x v="10"/>
    <s v="Won"/>
    <s v="4-5 Sep 2021"/>
    <n v="46000"/>
    <n v="526.7979844251031"/>
    <d v="2021-08-02T00:00:00"/>
    <s v="F10"/>
    <d v="2021-08-02T00:00:00"/>
    <s v="CSTM_6ZCPVKW5QVC"/>
    <m/>
    <s v="Done. Good feedback."/>
    <x v="0"/>
    <x v="0"/>
  </r>
  <r>
    <x v="177"/>
    <s v="Shikha Chauhan"/>
    <x v="7"/>
    <x v="14"/>
    <x v="10"/>
    <s v="Won"/>
    <s v="7-8 Aug 2021"/>
    <n v="21000"/>
    <n v="240.49473202015577"/>
    <d v="2021-08-02T00:00:00"/>
    <s v="F10"/>
    <d v="2021-08-02T00:00:00"/>
    <s v="CSTM_HF7H18C4OY4"/>
    <m/>
    <s v="Done. Good feedback."/>
    <x v="0"/>
    <x v="0"/>
  </r>
  <r>
    <x v="178"/>
    <s v="Ashish Rahu"/>
    <x v="5"/>
    <x v="0"/>
    <x v="10"/>
    <s v="Won"/>
    <s v="7-8 Aug 2021"/>
    <n v="21000"/>
    <n v="240.49473202015577"/>
    <d v="2021-08-03T00:00:00"/>
    <s v="F10"/>
    <d v="2021-08-04T00:00:00"/>
    <s v="CSTM_NIXSRA0SVO"/>
    <m/>
    <s v="Done. Good feedback."/>
    <x v="0"/>
    <x v="0"/>
  </r>
  <r>
    <x v="178"/>
    <s v="Varsha"/>
    <x v="6"/>
    <x v="2"/>
    <x v="10"/>
    <s v="Won"/>
    <s v="21-22 Aug 2021"/>
    <n v="19500"/>
    <n v="223.3165368758589"/>
    <d v="2021-08-03T00:00:00"/>
    <s v="S10"/>
    <d v="2021-08-12T00:00:00"/>
    <s v="CSTM_CA0497H7FG3"/>
    <m/>
    <s v="Done. Good feedback."/>
    <x v="1"/>
    <x v="0"/>
  </r>
  <r>
    <x v="178"/>
    <s v="Balaji Sugumar"/>
    <x v="1"/>
    <x v="1"/>
    <x v="10"/>
    <s v="Won"/>
    <s v="4-5 Sep 2021"/>
    <n v="19000"/>
    <n v="217.59047182775998"/>
    <d v="2021-08-03T00:00:00"/>
    <s v="F10"/>
    <d v="2021-08-03T00:00:00"/>
    <s v="CSTM_E03ATG9BDDG"/>
    <s v="payelaich03@gmail.com"/>
    <s v="Done. Good feedback."/>
    <x v="1"/>
    <x v="0"/>
  </r>
  <r>
    <x v="178"/>
    <s v="Madhu Bagur"/>
    <x v="0"/>
    <x v="1"/>
    <x v="10"/>
    <s v="Won"/>
    <s v="7-8 Aug 2021"/>
    <n v="19000"/>
    <n v="217.59047182775998"/>
    <d v="2021-08-03T00:00:00"/>
    <s v="F10"/>
    <d v="2021-08-03T00:00:00"/>
    <s v="CSTM_AK90JE2242W"/>
    <m/>
    <s v="Done. Good feedback."/>
    <x v="1"/>
    <x v="0"/>
  </r>
  <r>
    <x v="179"/>
    <s v="Prasanna MS"/>
    <x v="0"/>
    <x v="33"/>
    <x v="10"/>
    <s v="Won"/>
    <s v="OSL"/>
    <n v="25000"/>
    <n v="286.30325240494733"/>
    <d v="2021-08-04T00:00:00"/>
    <s v="F10"/>
    <d v="2021-08-04T00:00:00"/>
    <s v="CSTM_HANE2HE57J1"/>
    <m/>
    <s v="Pending"/>
    <x v="2"/>
    <x v="0"/>
  </r>
  <r>
    <x v="179"/>
    <s v="Sonam Shukla"/>
    <x v="6"/>
    <x v="9"/>
    <x v="10"/>
    <s v="Won"/>
    <s v="14-15 Aug 2021"/>
    <n v="48000"/>
    <n v="549.70224461749888"/>
    <d v="2021-08-04T00:00:00"/>
    <s v="F10"/>
    <d v="2021-08-04T00:00:00"/>
    <s v="CSTM_3J2UD6951IO"/>
    <m/>
    <s v="Pending"/>
    <x v="0"/>
    <x v="0"/>
  </r>
  <r>
    <x v="179"/>
    <s v="Arnab"/>
    <x v="1"/>
    <x v="1"/>
    <x v="9"/>
    <s v="Won"/>
    <s v="18-19 Sep 2021"/>
    <n v="19500"/>
    <n v="223.3165368758589"/>
    <d v="2021-08-04T00:00:00"/>
    <s v="F10"/>
    <d v="2021-09-01T00:00:00"/>
    <s v="CSTM_6896WJ61ALE"/>
    <s v="Aurko"/>
    <s v="Done. Good feedback."/>
    <x v="1"/>
    <x v="0"/>
  </r>
  <r>
    <x v="180"/>
    <s v="Lakshmi Priya"/>
    <x v="0"/>
    <x v="34"/>
    <x v="10"/>
    <s v="Won"/>
    <s v="14-15 Aug 2021"/>
    <n v="24000"/>
    <n v="274.85112230874944"/>
    <d v="2021-08-05T00:00:00"/>
    <s v="F10"/>
    <d v="2021-08-05T00:00:00"/>
    <s v="CSTM_4QGJRLYCWDA"/>
    <m/>
    <s v="Done. Good feedback."/>
    <x v="0"/>
    <x v="0"/>
  </r>
  <r>
    <x v="181"/>
    <s v="Bijit"/>
    <x v="1"/>
    <x v="0"/>
    <x v="10"/>
    <s v="Won"/>
    <s v="7-8 Aug 2021"/>
    <n v="21000"/>
    <n v="240.49473202015577"/>
    <d v="2021-08-06T00:00:00"/>
    <s v="F10"/>
    <d v="2021-08-06T00:00:00"/>
    <s v="CSTM_3DGKDRXJDGT"/>
    <m/>
    <s v="Pending"/>
    <x v="0"/>
    <x v="0"/>
  </r>
  <r>
    <x v="181"/>
    <s v="Malti Sharma"/>
    <x v="1"/>
    <x v="0"/>
    <x v="10"/>
    <s v="Won"/>
    <s v="14-15 Aug 2021"/>
    <n v="21000"/>
    <n v="240.49473202015577"/>
    <d v="2021-08-06T00:00:00"/>
    <s v="F10"/>
    <d v="2021-08-06T00:00:00"/>
    <s v="CSTM_2QH502LNSSO"/>
    <s v="Keerti"/>
    <s v="Pending"/>
    <x v="0"/>
    <x v="0"/>
  </r>
  <r>
    <x v="181"/>
    <s v="Nabajyoti Acharya"/>
    <x v="5"/>
    <x v="14"/>
    <x v="10"/>
    <s v="Won"/>
    <s v="7-8 Aug 2021"/>
    <n v="21000"/>
    <n v="240.49473202015577"/>
    <d v="2021-08-06T00:00:00"/>
    <s v="F10"/>
    <d v="2021-08-06T00:00:00"/>
    <s v="CSTM_206U8837EZ1"/>
    <m/>
    <s v="Done. Good feedback."/>
    <x v="0"/>
    <x v="0"/>
  </r>
  <r>
    <x v="182"/>
    <s v="Ravi Tripathi"/>
    <x v="2"/>
    <x v="9"/>
    <x v="10"/>
    <s v="Won"/>
    <s v="28-29 Aug 2021"/>
    <n v="46000"/>
    <n v="526.7979844251031"/>
    <d v="2021-08-07T00:00:00"/>
    <s v="F10"/>
    <d v="2021-08-07T00:00:00"/>
    <s v="CSTM_EMFCCMYCU52"/>
    <m/>
    <s v="Done. Good feedback."/>
    <x v="0"/>
    <x v="0"/>
  </r>
  <r>
    <x v="183"/>
    <s v="Mamatha E"/>
    <x v="7"/>
    <x v="9"/>
    <x v="10"/>
    <s v="Won"/>
    <s v="14-15 Aug 2021"/>
    <n v="45000"/>
    <n v="515.34585432890515"/>
    <d v="2021-08-09T00:00:00"/>
    <s v="F10"/>
    <d v="2021-08-09T00:00:00"/>
    <s v="CSTM_3QTIFU94QKV"/>
    <m/>
    <s v="Pending"/>
    <x v="0"/>
    <x v="0"/>
  </r>
  <r>
    <x v="184"/>
    <s v="Nimisha"/>
    <x v="4"/>
    <x v="0"/>
    <x v="10"/>
    <s v="Won"/>
    <s v="28-29 Aug 2021"/>
    <n v="21000"/>
    <n v="240.49473202015577"/>
    <d v="2021-08-10T00:00:00"/>
    <s v="F10"/>
    <d v="2021-08-10T00:00:00"/>
    <s v="CSTM_EYJGV7DYNT8"/>
    <m/>
    <s v="Done. Good feedback."/>
    <x v="0"/>
    <x v="0"/>
  </r>
  <r>
    <x v="184"/>
    <s v="Lipishree"/>
    <x v="0"/>
    <x v="27"/>
    <x v="10"/>
    <s v="Won"/>
    <d v="2021-08-01T00:00:00"/>
    <n v="15000"/>
    <n v="171.78195144296839"/>
    <d v="2021-08-10T00:00:00"/>
    <s v="F10"/>
    <d v="2021-08-09T00:00:00"/>
    <s v="CSTM_CCK3IUNYQPP"/>
    <m/>
    <s v="Pending"/>
    <x v="2"/>
    <x v="0"/>
  </r>
  <r>
    <x v="184"/>
    <s v="Lipishree"/>
    <x v="0"/>
    <x v="27"/>
    <x v="10"/>
    <s v="Won"/>
    <d v="2021-08-01T00:00:00"/>
    <n v="145000"/>
    <n v="1660.5588639486946"/>
    <d v="2021-08-10T00:00:00"/>
    <s v="F10"/>
    <d v="2021-08-10T00:00:00"/>
    <s v="CSTM_F06BIM409JL"/>
    <m/>
    <s v="Pending"/>
    <x v="2"/>
    <x v="0"/>
  </r>
  <r>
    <x v="185"/>
    <s v="Sourabh Udapure"/>
    <x v="2"/>
    <x v="0"/>
    <x v="10"/>
    <s v="Won"/>
    <s v="14-15 Aug 2021"/>
    <n v="21000"/>
    <n v="240.49473202015577"/>
    <d v="2021-08-11T00:00:00"/>
    <s v="S10"/>
    <d v="2021-08-11T00:00:00"/>
    <s v="CSTM_2F8Z4CNBDVV"/>
    <m/>
    <s v="Done. Good feedback."/>
    <x v="0"/>
    <x v="0"/>
  </r>
  <r>
    <x v="185"/>
    <s v="Niraj Singh"/>
    <x v="1"/>
    <x v="1"/>
    <x v="10"/>
    <s v="Won"/>
    <s v="14-15 Aug 2021"/>
    <n v="19500"/>
    <n v="223.3165368758589"/>
    <d v="2021-08-11T00:00:00"/>
    <s v="S10"/>
    <d v="2021-08-11T00:00:00"/>
    <s v="CSTM_JUTEW012VH"/>
    <s v="Keerti"/>
    <s v="Pending"/>
    <x v="1"/>
    <x v="0"/>
  </r>
  <r>
    <x v="186"/>
    <s v="Sumithra Devaraj"/>
    <x v="2"/>
    <x v="23"/>
    <x v="10"/>
    <s v="Won"/>
    <s v="27-29 Aug 2021"/>
    <n v="31000"/>
    <n v="355.01603298213467"/>
    <d v="2021-08-12T00:00:00"/>
    <s v="S10"/>
    <d v="2021-08-12T00:00:00"/>
    <s v="CSTM_DP59QK47V8P"/>
    <m/>
    <s v="Pending"/>
    <x v="0"/>
    <x v="0"/>
  </r>
  <r>
    <x v="187"/>
    <s v="Sushil Pathak"/>
    <x v="4"/>
    <x v="9"/>
    <x v="10"/>
    <s v="Won"/>
    <s v="14-15 Aug 2021"/>
    <n v="45000"/>
    <n v="515.34585432890515"/>
    <d v="2021-08-13T00:00:00"/>
    <s v="S10"/>
    <d v="2021-08-13T00:00:00"/>
    <s v="CSTM_DDURM7U6MM7"/>
    <m/>
    <s v="Done. Good feedback."/>
    <x v="0"/>
    <x v="0"/>
  </r>
  <r>
    <x v="187"/>
    <s v="Dhanya"/>
    <x v="5"/>
    <x v="9"/>
    <x v="10"/>
    <s v="Won"/>
    <s v="14-15 Aug 2021"/>
    <n v="45000"/>
    <n v="515.34585432890515"/>
    <d v="2021-08-13T00:00:00"/>
    <s v="S10"/>
    <d v="2021-08-13T00:00:00"/>
    <s v="CSTM_H8VH2MRWKOA"/>
    <m/>
    <s v="Pending"/>
    <x v="0"/>
    <x v="0"/>
  </r>
  <r>
    <x v="187"/>
    <s v="Rajasekar"/>
    <x v="1"/>
    <x v="2"/>
    <x v="10"/>
    <s v="Won"/>
    <s v="14-15 Aug 2021"/>
    <n v="19500"/>
    <n v="223.3165368758589"/>
    <d v="2021-08-13T00:00:00"/>
    <s v="S10"/>
    <d v="2021-08-13T00:00:00"/>
    <s v="CSTM_3D2XCXX9DRU"/>
    <s v="g_subbarathna@yahoo.com"/>
    <s v="Done. Good feedback."/>
    <x v="1"/>
    <x v="0"/>
  </r>
  <r>
    <x v="188"/>
    <s v="Ashish"/>
    <x v="2"/>
    <x v="35"/>
    <x v="10"/>
    <s v="Won"/>
    <s v="14-15 Aug 2021"/>
    <n v="24000"/>
    <n v="274.85112230874944"/>
    <d v="2021-08-14T00:00:00"/>
    <s v="S10"/>
    <d v="2021-08-14T00:00:00"/>
    <s v="CSTM_5NS6M29MY87"/>
    <m/>
    <s v="Pending"/>
    <x v="0"/>
    <x v="0"/>
  </r>
  <r>
    <x v="189"/>
    <s v="Nagaraj Mamidi"/>
    <x v="1"/>
    <x v="1"/>
    <x v="10"/>
    <s v="Won"/>
    <s v="28-29 Aug 2021"/>
    <n v="20000"/>
    <n v="229.04260192395787"/>
    <d v="2021-08-15T00:00:00"/>
    <s v="S10"/>
    <d v="2021-08-15T00:00:00"/>
    <s v="CSTM_ABK1V3OXUBH"/>
    <s v="Reference by Devi Das"/>
    <s v="Done. Good feedback."/>
    <x v="1"/>
    <x v="0"/>
  </r>
  <r>
    <x v="190"/>
    <s v="Anand"/>
    <x v="1"/>
    <x v="2"/>
    <x v="10"/>
    <s v="Won"/>
    <s v="4-5 Sep 2021"/>
    <n v="18500"/>
    <n v="211.86440677966101"/>
    <d v="2021-08-16T00:00:00"/>
    <s v="S10"/>
    <d v="2021-08-16T00:00:00"/>
    <s v="CSTM_G7HAPAJQ0A5"/>
    <s v="goutham.devaraj023@gmail.com"/>
    <s v="Pending"/>
    <x v="1"/>
    <x v="0"/>
  </r>
  <r>
    <x v="190"/>
    <s v="Maha Fariz"/>
    <x v="1"/>
    <x v="2"/>
    <x v="10"/>
    <s v="Won"/>
    <s v="16-17 Oct 2021"/>
    <n v="33470"/>
    <n v="383.3027943197435"/>
    <d v="2021-08-16T00:00:00"/>
    <s v="S10"/>
    <d v="2021-08-17T00:00:00"/>
    <s v="CSTM_AB5MQ2ZDTO1"/>
    <s v="Keerti"/>
    <s v="Pending"/>
    <x v="1"/>
    <x v="0"/>
  </r>
  <r>
    <x v="191"/>
    <s v="Sujit Chanak"/>
    <x v="1"/>
    <x v="2"/>
    <x v="10"/>
    <s v="Won"/>
    <s v="11-12 Sep 2021"/>
    <n v="19000"/>
    <n v="217.59047182775998"/>
    <d v="2021-08-17T00:00:00"/>
    <s v="S10"/>
    <d v="2021-08-17T00:00:00"/>
    <s v="CSTM_ISGF6JGAGCU"/>
    <s v="chayan.giri@gmail.com"/>
    <s v="Done. Good feedback."/>
    <x v="1"/>
    <x v="0"/>
  </r>
  <r>
    <x v="192"/>
    <s v="Hemanth"/>
    <x v="1"/>
    <x v="2"/>
    <x v="10"/>
    <s v="Won"/>
    <s v="9-10 Oct 2021"/>
    <n v="18000"/>
    <n v="206.13834173156206"/>
    <d v="2021-08-18T00:00:00"/>
    <s v="S10"/>
    <d v="2021-08-19T00:00:00"/>
    <s v="CSTM_6LTJFPY0UIE"/>
    <s v="Keerti"/>
    <s v="Done. Good feedback."/>
    <x v="1"/>
    <x v="0"/>
  </r>
  <r>
    <x v="192"/>
    <s v="Iliyas"/>
    <x v="1"/>
    <x v="23"/>
    <x v="10"/>
    <s v="Won"/>
    <s v="17-19 Sep 2021"/>
    <n v="31000"/>
    <n v="355.01603298213467"/>
    <d v="2021-08-18T00:00:00"/>
    <s v="S10"/>
    <d v="2021-08-18T00:00:00"/>
    <s v="CSTM_3PBC5QOKH61"/>
    <s v="griffinalexuis@gmail.com"/>
    <s v="Pending"/>
    <x v="0"/>
    <x v="0"/>
  </r>
  <r>
    <x v="193"/>
    <s v="Swarupa"/>
    <x v="3"/>
    <x v="9"/>
    <x v="10"/>
    <s v="Won"/>
    <s v="21-22 Aug 2021"/>
    <n v="45000"/>
    <n v="515.34585432890515"/>
    <d v="2021-08-20T00:00:00"/>
    <s v="S10"/>
    <d v="2021-08-20T00:00:00"/>
    <s v="CSTM_5X2L1AYN3DD"/>
    <m/>
    <s v="Done. Good feedback."/>
    <x v="0"/>
    <x v="0"/>
  </r>
  <r>
    <x v="193"/>
    <s v="Zoheb Momin"/>
    <x v="23"/>
    <x v="31"/>
    <x v="10"/>
    <s v="Won"/>
    <s v="21-22 Aug 2021"/>
    <n v="45000"/>
    <n v="515.34585432890515"/>
    <d v="2021-08-20T00:00:00"/>
    <s v="S10"/>
    <d v="2021-08-20T00:00:00"/>
    <s v="CSTM_CW7HF3BU7KW"/>
    <m/>
    <s v="Pending"/>
    <x v="0"/>
    <x v="0"/>
  </r>
  <r>
    <x v="194"/>
    <s v="Ashish Tripathi"/>
    <x v="1"/>
    <x v="2"/>
    <x v="10"/>
    <s v="Won"/>
    <s v="4-5 Sep 2021"/>
    <n v="19000"/>
    <n v="217.59047182775998"/>
    <d v="2021-08-23T00:00:00"/>
    <s v="T10"/>
    <d v="2021-08-23T00:00:00"/>
    <s v="CSTM_C3YN4JJXYX3"/>
    <s v="hansdeepak@gmail.com"/>
    <s v="Done. Good feedback."/>
    <x v="1"/>
    <x v="0"/>
  </r>
  <r>
    <x v="194"/>
    <s v="Shefali Nigam"/>
    <x v="0"/>
    <x v="18"/>
    <x v="10"/>
    <s v="Won"/>
    <d v="2021-09-01T00:00:00"/>
    <n v="16000"/>
    <n v="183.23408153916631"/>
    <d v="2021-08-23T00:00:00"/>
    <s v="T10"/>
    <d v="2021-08-23T00:00:00"/>
    <s v="CSTM_9X978IS7F5N"/>
    <m/>
    <s v="Pending"/>
    <x v="2"/>
    <x v="0"/>
  </r>
  <r>
    <x v="194"/>
    <s v="Darsana"/>
    <x v="1"/>
    <x v="2"/>
    <x v="10"/>
    <s v="Won"/>
    <s v="25-26 Aug 2021"/>
    <n v="20000"/>
    <n v="229.04260192395787"/>
    <d v="2021-08-23T00:00:00"/>
    <s v="T10"/>
    <d v="2021-08-24T00:00:00"/>
    <s v="CSTM_7UXZUMBFO2A"/>
    <s v="Reference by Praveen Nair"/>
    <s v="Pending"/>
    <x v="1"/>
    <x v="0"/>
  </r>
  <r>
    <x v="195"/>
    <s v="Vijayashree"/>
    <x v="7"/>
    <x v="9"/>
    <x v="10"/>
    <s v="Won"/>
    <s v="28-29 Aug 2021"/>
    <n v="46000"/>
    <n v="526.7979844251031"/>
    <d v="2021-08-25T00:00:00"/>
    <s v="T10"/>
    <d v="2021-08-25T00:00:00"/>
    <s v="CSTM_V2LDFZC895"/>
    <m/>
    <s v="Done. Good feedback."/>
    <x v="0"/>
    <x v="0"/>
  </r>
  <r>
    <x v="196"/>
    <s v="Shyama Nair"/>
    <x v="2"/>
    <x v="0"/>
    <x v="10"/>
    <s v="Won"/>
    <s v="4-5 Sep 2021"/>
    <n v="20500"/>
    <n v="234.76866697205682"/>
    <d v="2021-08-26T00:00:00"/>
    <s v="T10"/>
    <d v="2021-08-26T00:00:00"/>
    <s v="CSTM_4Z5ILTBZ36F"/>
    <m/>
    <s v="Done. Ok feedback."/>
    <x v="0"/>
    <x v="0"/>
  </r>
  <r>
    <x v="196"/>
    <s v="Sampada Gaonkar"/>
    <x v="1"/>
    <x v="0"/>
    <x v="10"/>
    <s v="Won"/>
    <s v="4-5 Sep 2021"/>
    <n v="20500"/>
    <n v="234.76866697205682"/>
    <d v="2021-08-26T00:00:00"/>
    <s v="T10"/>
    <d v="2021-08-26T00:00:00"/>
    <s v="CSTM_520SRM15SCH"/>
    <s v="shaymasnair95@gmail.com"/>
    <s v="Done. Ok feedback."/>
    <x v="0"/>
    <x v="0"/>
  </r>
  <r>
    <x v="196"/>
    <s v="Sandhya"/>
    <x v="1"/>
    <x v="0"/>
    <x v="10"/>
    <s v="Won"/>
    <s v="4-5 Sep 2021"/>
    <n v="20500"/>
    <n v="234.76866697205682"/>
    <d v="2021-08-26T00:00:00"/>
    <s v="T10"/>
    <d v="2021-08-26T00:00:00"/>
    <s v="CSTM_JOP2Y4K6QXV"/>
    <s v="shaymasnair95@gmail.com"/>
    <s v="Done. Ok feedback."/>
    <x v="0"/>
    <x v="0"/>
  </r>
  <r>
    <x v="197"/>
    <s v="Satiesh Gopalan"/>
    <x v="7"/>
    <x v="2"/>
    <x v="10"/>
    <s v="Won"/>
    <s v="4-5 Sep 2021"/>
    <n v="19300"/>
    <n v="221.02611085661934"/>
    <d v="2021-08-30T00:00:00"/>
    <s v="T10"/>
    <d v="2021-08-30T00:00:00"/>
    <s v="CSTM_16XD3FTBB94"/>
    <m/>
    <s v="Done. Ok feedback."/>
    <x v="1"/>
    <x v="0"/>
  </r>
  <r>
    <x v="198"/>
    <s v="Lakshmi Dangeti"/>
    <x v="1"/>
    <x v="36"/>
    <x v="10"/>
    <s v="Won"/>
    <s v="4-6 Sep 2021"/>
    <n v="59000"/>
    <n v="675.67567567567562"/>
    <d v="2021-08-31T00:00:00"/>
    <s v="T10"/>
    <d v="2021-08-31T00:00:00"/>
    <s v="SMPL_E153WXVXDX9"/>
    <s v="Aurko"/>
    <s v="Pending"/>
    <x v="0"/>
    <x v="0"/>
  </r>
  <r>
    <x v="198"/>
    <s v="Lakshmi Dangeti"/>
    <x v="1"/>
    <x v="36"/>
    <x v="10"/>
    <s v="Won"/>
    <s v="4-6 Sep 2021"/>
    <n v="59000"/>
    <n v="675.67567567567562"/>
    <d v="2021-08-31T00:00:00"/>
    <s v="T10"/>
    <d v="2021-08-31T00:00:00"/>
    <s v="SMPL_MIP1LL0IGF"/>
    <s v="Aurko - Duplicate"/>
    <s v="Pending"/>
    <x v="0"/>
    <x v="0"/>
  </r>
  <r>
    <x v="198"/>
    <s v="Lakshmi Dangeti"/>
    <x v="1"/>
    <x v="36"/>
    <x v="9"/>
    <s v="Won"/>
    <s v="4-6 Sep 2021"/>
    <n v="12000"/>
    <n v="137.42556115437472"/>
    <d v="2021-09-01T00:00:00"/>
    <s v="F10"/>
    <d v="2021-09-01T00:00:00"/>
    <s v="SMPL_25DJ382KFF1"/>
    <s v="Aurko - Duplicate"/>
    <s v="Pending"/>
    <x v="0"/>
    <x v="0"/>
  </r>
  <r>
    <x v="199"/>
    <s v="Raghuram"/>
    <x v="7"/>
    <x v="14"/>
    <x v="9"/>
    <s v="Won"/>
    <s v="25-26 Sep 2021"/>
    <n v="21000"/>
    <n v="240.49473202015577"/>
    <d v="2021-09-02T00:00:00"/>
    <s v="F10"/>
    <d v="2021-09-02T00:00:00"/>
    <s v="CSTM_1ECC8UECQ4U"/>
    <m/>
    <s v="Done. Good feedback."/>
    <x v="0"/>
    <x v="0"/>
  </r>
  <r>
    <x v="199"/>
    <s v="Imran Khan"/>
    <x v="0"/>
    <x v="18"/>
    <x v="9"/>
    <s v="Won"/>
    <d v="2021-09-18T00:00:00"/>
    <n v="16000"/>
    <n v="183.23408153916631"/>
    <d v="2021-09-02T00:00:00"/>
    <s v="S10"/>
    <d v="2021-09-16T00:00:00"/>
    <s v="CSTM_1C7Y9IOKFL7"/>
    <m/>
    <s v="Pending"/>
    <x v="2"/>
    <x v="0"/>
  </r>
  <r>
    <x v="199"/>
    <s v="Varsha"/>
    <x v="1"/>
    <x v="7"/>
    <x v="9"/>
    <s v="Won"/>
    <d v="2021-09-06T00:00:00"/>
    <n v="12000"/>
    <n v="137.42556115437472"/>
    <d v="2021-09-02T00:00:00"/>
    <s v="F10"/>
    <d v="2021-09-02T00:00:00"/>
    <s v="CSTM_JGITR1V1ZOC"/>
    <s v="Keerti"/>
    <s v="Pending"/>
    <x v="2"/>
    <x v="0"/>
  </r>
  <r>
    <x v="199"/>
    <s v="Yogita Banekar"/>
    <x v="1"/>
    <x v="7"/>
    <x v="9"/>
    <s v="Won"/>
    <d v="2021-09-06T00:00:00"/>
    <n v="12000"/>
    <n v="137.42556115437472"/>
    <d v="2021-09-02T00:00:00"/>
    <s v="F10"/>
    <d v="2021-09-02T00:00:00"/>
    <s v="CSTM_I8B3Z8YF97Z"/>
    <s v="Keerti"/>
    <s v="Pending"/>
    <x v="2"/>
    <x v="0"/>
  </r>
  <r>
    <x v="200"/>
    <s v="Uthra Balaji"/>
    <x v="9"/>
    <x v="2"/>
    <x v="9"/>
    <s v="Won"/>
    <s v="4-5 Sep 2021"/>
    <n v="20000"/>
    <n v="229.04260192395787"/>
    <d v="2021-09-03T00:00:00"/>
    <s v="F10"/>
    <d v="2021-09-03T00:00:00"/>
    <s v="CSTM_5PBJ3FQZ49I"/>
    <m/>
    <s v="Done. Good feedback."/>
    <x v="1"/>
    <x v="0"/>
  </r>
  <r>
    <x v="200"/>
    <s v="Srikanth GVS"/>
    <x v="5"/>
    <x v="10"/>
    <x v="9"/>
    <s v="Won"/>
    <s v="LVC"/>
    <n v="12788"/>
    <n v="146.44983967017865"/>
    <d v="2021-09-02T00:00:00"/>
    <s v="F10"/>
    <d v="2021-09-02T00:00:00"/>
    <s v="CSTM_EDFUYCSJXZN"/>
    <m/>
    <s v="Pending"/>
    <x v="2"/>
    <x v="0"/>
  </r>
  <r>
    <x v="201"/>
    <s v="Dhanya S"/>
    <x v="0"/>
    <x v="29"/>
    <x v="9"/>
    <s v="Won"/>
    <d v="2021-09-04T00:00:00"/>
    <n v="38000"/>
    <n v="435.18094365551997"/>
    <d v="2021-09-04T00:00:00"/>
    <s v="F10"/>
    <d v="2021-09-04T00:00:00"/>
    <s v="CSTM_4KN9E646NIQ"/>
    <m/>
    <s v="Pending"/>
    <x v="2"/>
    <x v="0"/>
  </r>
  <r>
    <x v="202"/>
    <s v="Anand Mohan"/>
    <x v="1"/>
    <x v="9"/>
    <x v="9"/>
    <s v="Won"/>
    <s v="11-12 Sep 2021"/>
    <n v="45000"/>
    <n v="515.34585432890515"/>
    <d v="2021-09-05T00:00:00"/>
    <s v="F10"/>
    <d v="2021-09-05T00:00:00"/>
    <s v="CSTM_3ZU67B4Q94B"/>
    <s v="Aurko"/>
    <s v="Pending"/>
    <x v="0"/>
    <x v="0"/>
  </r>
  <r>
    <x v="203"/>
    <s v="Hema"/>
    <x v="0"/>
    <x v="37"/>
    <x v="9"/>
    <s v="Won"/>
    <d v="2021-09-18T00:00:00"/>
    <n v="17000"/>
    <n v="194.68621163536417"/>
    <d v="2021-09-06T00:00:00"/>
    <s v="F10"/>
    <d v="2021-09-06T00:00:00"/>
    <s v="CSTM_GS45ICXTSIT"/>
    <m/>
    <s v="Pending"/>
    <x v="2"/>
    <x v="0"/>
  </r>
  <r>
    <x v="204"/>
    <s v="Vivek Garg"/>
    <x v="7"/>
    <x v="0"/>
    <x v="9"/>
    <s v="Won"/>
    <s v="18-19 Sep 2021"/>
    <n v="21000"/>
    <n v="240.49473202015577"/>
    <d v="2021-09-07T00:00:00"/>
    <s v="F10"/>
    <d v="2021-09-07T00:00:00"/>
    <s v="CSTM_E9G1L9CM846"/>
    <m/>
    <s v="Pending"/>
    <x v="0"/>
    <x v="0"/>
  </r>
  <r>
    <x v="204"/>
    <s v="Suraj S"/>
    <x v="1"/>
    <x v="1"/>
    <x v="9"/>
    <s v="Won"/>
    <s v="27-28 Sep 2021"/>
    <n v="18000"/>
    <n v="206.13834173156206"/>
    <d v="2021-09-07T00:00:00"/>
    <s v="F10"/>
    <d v="2021-09-07T00:00:00"/>
    <s v="CSTM_6RSAIJFXAXV"/>
    <s v="epgpcic@iimidr.ac.in"/>
    <s v="Pending"/>
    <x v="1"/>
    <x v="0"/>
  </r>
  <r>
    <x v="204"/>
    <s v="Hema"/>
    <x v="0"/>
    <x v="37"/>
    <x v="9"/>
    <s v="Won"/>
    <d v="2021-09-18T00:00:00"/>
    <n v="101000"/>
    <n v="1156.6651397159872"/>
    <d v="2021-09-07T00:00:00"/>
    <s v="F10"/>
    <d v="2021-09-07T00:00:00"/>
    <s v="CSTM_8YRV7DWG52A"/>
    <m/>
    <s v="Pending"/>
    <x v="2"/>
    <x v="0"/>
  </r>
  <r>
    <x v="204"/>
    <s v="Vishu G"/>
    <x v="1"/>
    <x v="1"/>
    <x v="9"/>
    <s v="Won"/>
    <s v="27-28 Sep 2021"/>
    <n v="18000"/>
    <n v="206.13834173156206"/>
    <d v="2021-09-07T00:00:00"/>
    <s v="F10"/>
    <d v="2021-09-07T00:00:00"/>
    <s v="CSTM_4N62KHP6AMC"/>
    <s v="epgpcic@iimidr.ac.in"/>
    <s v="Pending"/>
    <x v="1"/>
    <x v="0"/>
  </r>
  <r>
    <x v="204"/>
    <s v="Arjun"/>
    <x v="1"/>
    <x v="1"/>
    <x v="9"/>
    <s v="Won"/>
    <s v="27-28 Sep 2021"/>
    <n v="18000"/>
    <n v="206.13834173156206"/>
    <d v="2021-09-07T00:00:00"/>
    <s v="F10"/>
    <d v="2021-09-07T00:00:00"/>
    <s v="CSTM_79FYQS14FKL"/>
    <s v="epgpcic@iimidr.ac.in"/>
    <s v="Pending"/>
    <x v="1"/>
    <x v="0"/>
  </r>
  <r>
    <x v="204"/>
    <s v="Datta Maske"/>
    <x v="1"/>
    <x v="1"/>
    <x v="9"/>
    <s v="Won"/>
    <s v="27-28 Sep 2021"/>
    <n v="18000"/>
    <n v="206.13834173156206"/>
    <d v="2021-09-07T00:00:00"/>
    <s v="F10"/>
    <d v="2021-09-07T00:00:00"/>
    <s v="CSTM_A9RQW48E57O"/>
    <s v="epgpcic@iimidr.ac.in"/>
    <s v="Pending"/>
    <x v="1"/>
    <x v="0"/>
  </r>
  <r>
    <x v="204"/>
    <s v="Shubham Pal"/>
    <x v="1"/>
    <x v="1"/>
    <x v="9"/>
    <s v="Won"/>
    <s v="27-28 Sep 2021"/>
    <n v="18000"/>
    <n v="206.13834173156206"/>
    <d v="2021-09-07T00:00:00"/>
    <s v="F10"/>
    <d v="2021-09-07T00:00:00"/>
    <s v="CSTM_IZ07X88PWJ7"/>
    <s v="epgpcic@iimidr.ac.in"/>
    <s v="Pending"/>
    <x v="1"/>
    <x v="0"/>
  </r>
  <r>
    <x v="204"/>
    <s v="Prafula Singh"/>
    <x v="1"/>
    <x v="1"/>
    <x v="9"/>
    <s v="Won"/>
    <s v="27-28 Sep 2021"/>
    <n v="18000"/>
    <n v="206.13834173156206"/>
    <d v="2021-09-07T00:00:00"/>
    <s v="F10"/>
    <d v="2021-09-07T00:00:00"/>
    <s v="CSTM_19N6VOOFP4F"/>
    <s v="epgpcic@iimidr.ac.in"/>
    <s v="Pending"/>
    <x v="1"/>
    <x v="0"/>
  </r>
  <r>
    <x v="204"/>
    <s v="M.Vineeth Kumar"/>
    <x v="1"/>
    <x v="1"/>
    <x v="9"/>
    <s v="Won"/>
    <s v="27-28 Sep 2021"/>
    <n v="18000"/>
    <n v="206.13834173156206"/>
    <d v="2021-09-07T00:00:00"/>
    <s v="F10"/>
    <d v="2021-09-07T00:00:00"/>
    <s v="CSTM_7KYNIEH62CY"/>
    <s v="epgpcic@iimidr.ac.in"/>
    <s v="Pending"/>
    <x v="1"/>
    <x v="0"/>
  </r>
  <r>
    <x v="204"/>
    <s v="Chaitanya Mahajan"/>
    <x v="1"/>
    <x v="1"/>
    <x v="9"/>
    <s v="Won"/>
    <s v="27-28 Sep 2021"/>
    <n v="18000"/>
    <n v="206.13834173156206"/>
    <d v="2021-09-07T00:00:00"/>
    <s v="F10"/>
    <d v="2021-09-07T00:00:00"/>
    <s v="CSTM_2TB98GK3PNN"/>
    <s v="epgpcic@iimidr.ac.in"/>
    <s v="Pending"/>
    <x v="1"/>
    <x v="0"/>
  </r>
  <r>
    <x v="204"/>
    <s v="Shikhar Srivastava"/>
    <x v="1"/>
    <x v="1"/>
    <x v="9"/>
    <s v="Won"/>
    <s v="27-28 Sep 2021"/>
    <n v="18000"/>
    <n v="206.13834173156206"/>
    <d v="2021-09-07T00:00:00"/>
    <s v="F10"/>
    <d v="2021-09-07T00:00:00"/>
    <s v="CSTM_9TLUWVIBME6"/>
    <s v="epgpcic@iimidr.ac.in"/>
    <s v="Pending"/>
    <x v="1"/>
    <x v="0"/>
  </r>
  <r>
    <x v="204"/>
    <s v="Vikram T"/>
    <x v="1"/>
    <x v="1"/>
    <x v="9"/>
    <s v="Won"/>
    <s v="27-28 Sep 2021"/>
    <n v="18000"/>
    <n v="206.13834173156206"/>
    <d v="2021-09-07T00:00:00"/>
    <s v="F10"/>
    <d v="2021-09-07T00:00:00"/>
    <s v="CSTM_2213MM4V22P"/>
    <s v="epgpcic@iimidr.ac.in"/>
    <s v="Pending"/>
    <x v="1"/>
    <x v="0"/>
  </r>
  <r>
    <x v="204"/>
    <s v="Suchita"/>
    <x v="1"/>
    <x v="1"/>
    <x v="9"/>
    <s v="Won"/>
    <s v="27-28 Sep 2021"/>
    <n v="18000"/>
    <n v="206.13834173156206"/>
    <d v="2021-09-07T00:00:00"/>
    <s v="F10"/>
    <d v="2021-09-07T00:00:00"/>
    <s v="CSTM_5OCGBNR9C54"/>
    <s v="epgpcic@iimidr.ac.in"/>
    <s v="Pending"/>
    <x v="1"/>
    <x v="0"/>
  </r>
  <r>
    <x v="204"/>
    <s v="Amay Chourasia"/>
    <x v="1"/>
    <x v="1"/>
    <x v="9"/>
    <s v="Won"/>
    <s v="27-28 Sep 2021"/>
    <n v="18000"/>
    <n v="206.13834173156206"/>
    <d v="2021-09-07T00:00:00"/>
    <s v="F10"/>
    <d v="2021-09-07T00:00:00"/>
    <s v="CSTM_24WDSEU0RI1"/>
    <s v="epgpcic@iimidr.ac.in"/>
    <s v="Pending"/>
    <x v="1"/>
    <x v="0"/>
  </r>
  <r>
    <x v="204"/>
    <s v="Nilanjan Goswami"/>
    <x v="1"/>
    <x v="1"/>
    <x v="9"/>
    <s v="Won"/>
    <s v="27-28 Sep 2021"/>
    <n v="18000"/>
    <n v="206.13834173156206"/>
    <d v="2021-09-07T00:00:00"/>
    <s v="F10"/>
    <d v="2021-09-07T00:00:00"/>
    <s v="CSTM_6ZTVEA3Z46X"/>
    <s v="epgpcic@iimidr.ac.in"/>
    <s v="Pending"/>
    <x v="1"/>
    <x v="0"/>
  </r>
  <r>
    <x v="205"/>
    <s v="Shreyas Pattabhi"/>
    <x v="5"/>
    <x v="9"/>
    <x v="9"/>
    <s v="Won"/>
    <s v="11-12 Sep 2021"/>
    <n v="47000"/>
    <n v="538.25011452130093"/>
    <d v="2021-09-08T00:00:00"/>
    <s v="F10"/>
    <d v="2021-09-08T00:00:00"/>
    <s v="CSTM_30R0E46DM9F"/>
    <m/>
    <s v="Done. Good feedback."/>
    <x v="0"/>
    <x v="0"/>
  </r>
  <r>
    <x v="205"/>
    <s v="Tejaswini Lalge"/>
    <x v="1"/>
    <x v="0"/>
    <x v="9"/>
    <s v="Won"/>
    <s v="18-19 Sep 2021"/>
    <n v="21000"/>
    <n v="240.49473202015577"/>
    <d v="2021-09-08T00:00:00"/>
    <s v="F10"/>
    <d v="2021-09-08T00:00:00"/>
    <s v="CSTM_24CI7VCCQVX"/>
    <s v="sudharamamahi@gmail.com"/>
    <s v="Done. Good feedback."/>
    <x v="0"/>
    <x v="0"/>
  </r>
  <r>
    <x v="205"/>
    <s v="Sahishnu"/>
    <x v="1"/>
    <x v="1"/>
    <x v="9"/>
    <s v="Won"/>
    <s v="27-28 Sep 2021"/>
    <n v="18000"/>
    <n v="206.13834173156206"/>
    <d v="2021-09-08T00:00:00"/>
    <s v="F10"/>
    <d v="2021-09-08T00:00:00"/>
    <s v="CSTM_6YGRIL6T48Q"/>
    <s v="epgpcic@iimidr.ac.in"/>
    <s v="Pending"/>
    <x v="1"/>
    <x v="0"/>
  </r>
  <r>
    <x v="205"/>
    <s v="Atul K"/>
    <x v="1"/>
    <x v="1"/>
    <x v="9"/>
    <s v="Won"/>
    <s v="27-28 Sep 2021"/>
    <n v="18000"/>
    <n v="206.13834173156206"/>
    <d v="2021-09-08T00:00:00"/>
    <s v="F10"/>
    <d v="2021-09-08T00:00:00"/>
    <s v="CSTM_BP9DCY2U1JU"/>
    <s v="epgpcic@iimidr.ac.in"/>
    <s v="Pending"/>
    <x v="1"/>
    <x v="0"/>
  </r>
  <r>
    <x v="206"/>
    <s v="Mahesh Reddy"/>
    <x v="1"/>
    <x v="2"/>
    <x v="9"/>
    <s v="Won"/>
    <s v="16-17 Sep 2021"/>
    <n v="20000"/>
    <n v="229.04260192395787"/>
    <d v="2021-09-09T00:00:00"/>
    <s v="F10"/>
    <d v="2021-09-09T00:00:00"/>
    <s v="CSTM_1SHCGRQ7856"/>
    <s v="Reference by Praveen Nair"/>
    <s v="Pending"/>
    <x v="1"/>
    <x v="0"/>
  </r>
  <r>
    <x v="206"/>
    <s v="Rushikesh"/>
    <x v="2"/>
    <x v="9"/>
    <x v="9"/>
    <s v="Won"/>
    <s v="11-12 Sep 2021"/>
    <n v="45000"/>
    <n v="515.34585432890515"/>
    <d v="2021-09-09T00:00:00"/>
    <s v="F10"/>
    <d v="2021-09-09T00:00:00"/>
    <s v="CSTM_FS7DCWO3S3S"/>
    <m/>
    <s v="Done. Good feedback."/>
    <x v="0"/>
    <x v="0"/>
  </r>
  <r>
    <x v="207"/>
    <s v="Sandeep Shastry"/>
    <x v="4"/>
    <x v="0"/>
    <x v="9"/>
    <s v="Won"/>
    <s v="18-19 Sep 2021"/>
    <n v="21000"/>
    <n v="240.49473202015577"/>
    <d v="2021-09-10T00:00:00"/>
    <s v="F10"/>
    <d v="2021-09-10T00:00:00"/>
    <s v="CSTM_CKK4E3X6867"/>
    <m/>
    <s v="Done. Good feedback."/>
    <x v="0"/>
    <x v="0"/>
  </r>
  <r>
    <x v="207"/>
    <s v="Darsana"/>
    <x v="0"/>
    <x v="1"/>
    <x v="9"/>
    <s v="Won"/>
    <s v="18-19 Sep 2021"/>
    <n v="20000"/>
    <n v="229.04260192395787"/>
    <d v="2021-09-10T00:00:00"/>
    <s v="F10"/>
    <d v="2021-09-10T00:00:00"/>
    <s v="CSTM_4JLGEMSC4DL"/>
    <m/>
    <s v="Done. Good feedback."/>
    <x v="1"/>
    <x v="0"/>
  </r>
  <r>
    <x v="208"/>
    <s v="Karan Sehgal"/>
    <x v="1"/>
    <x v="1"/>
    <x v="9"/>
    <s v="Won"/>
    <s v="27-28 Sep 2021"/>
    <n v="18000"/>
    <n v="206.13834173156206"/>
    <d v="2021-09-13T00:00:00"/>
    <s v="S10"/>
    <d v="2021-09-13T00:00:00"/>
    <s v="CSTM_61A74ITEQDX"/>
    <s v="epgpcic@iimidr.ac.in"/>
    <s v="Pending"/>
    <x v="1"/>
    <x v="0"/>
  </r>
  <r>
    <x v="209"/>
    <s v="Vivek Pant"/>
    <x v="1"/>
    <x v="1"/>
    <x v="9"/>
    <s v="Won"/>
    <s v="27-28 Sep 2021"/>
    <n v="18000"/>
    <n v="206.13834173156206"/>
    <d v="2021-09-14T00:00:00"/>
    <s v="S10"/>
    <d v="2021-09-14T00:00:00"/>
    <s v="CSTM_35PIJUSJB6E"/>
    <s v="epgpcic@iimidr.ac.in"/>
    <s v="Pending"/>
    <x v="1"/>
    <x v="0"/>
  </r>
  <r>
    <x v="209"/>
    <s v="Neeraj Saxena"/>
    <x v="7"/>
    <x v="24"/>
    <x v="9"/>
    <s v="Won"/>
    <s v="2-3 Oct 2021"/>
    <n v="45000"/>
    <n v="515.34585432890515"/>
    <d v="2021-09-15T00:00:00"/>
    <s v="S10"/>
    <d v="2021-09-15T00:00:00"/>
    <s v="CSTM_C5026X53KRT"/>
    <m/>
    <s v="Done. Good feedback."/>
    <x v="0"/>
    <x v="0"/>
  </r>
  <r>
    <x v="210"/>
    <s v="Sumit Hirawat"/>
    <x v="1"/>
    <x v="24"/>
    <x v="9"/>
    <s v="Won"/>
    <s v="2-3 Oct 2021"/>
    <n v="45000"/>
    <n v="515.34585432890515"/>
    <d v="2021-09-15T00:00:00"/>
    <s v="S10"/>
    <d v="2021-09-15T00:00:00"/>
    <s v="CSTM_1TOLXSUZXLX"/>
    <s v="epgpcic@iimidr.ac.in"/>
    <s v="Done. Good feedback."/>
    <x v="0"/>
    <x v="0"/>
  </r>
  <r>
    <x v="210"/>
    <s v="Aakansha"/>
    <x v="5"/>
    <x v="2"/>
    <x v="9"/>
    <s v="Won"/>
    <s v="18-19 Sep 2021"/>
    <n v="20000"/>
    <n v="229.04260192395787"/>
    <d v="2021-09-15T00:00:00"/>
    <s v="S10"/>
    <d v="2021-09-15T00:00:00"/>
    <s v="CSTM_BKNCAMG6LN3"/>
    <m/>
    <s v="Done. Good feedback."/>
    <x v="1"/>
    <x v="0"/>
  </r>
  <r>
    <x v="211"/>
    <s v="Shweta Mulay"/>
    <x v="3"/>
    <x v="2"/>
    <x v="9"/>
    <s v="Won"/>
    <s v="25-26 Sep 2021"/>
    <n v="20000"/>
    <n v="229.04260192395787"/>
    <d v="2021-09-16T00:00:00"/>
    <s v="S10"/>
    <d v="2021-09-16T00:00:00"/>
    <s v="CSTM_ARU8CGFOA8F"/>
    <m/>
    <s v="Done. Good feedback."/>
    <x v="1"/>
    <x v="0"/>
  </r>
  <r>
    <x v="211"/>
    <s v="Shardul Pratap Singh"/>
    <x v="1"/>
    <x v="1"/>
    <x v="9"/>
    <s v="Won"/>
    <s v="27-28 Sep 2021"/>
    <n v="18000"/>
    <n v="206.13834173156206"/>
    <d v="2021-09-16T00:00:00"/>
    <s v="S10"/>
    <d v="2021-09-16T00:00:00"/>
    <s v="CSTM_GY9J21ZBB10"/>
    <s v="epgpcic@iimidr.ac.in"/>
    <s v="Pending"/>
    <x v="1"/>
    <x v="0"/>
  </r>
  <r>
    <x v="211"/>
    <s v="Chandra Prabhahar C"/>
    <x v="1"/>
    <x v="1"/>
    <x v="9"/>
    <s v="Won"/>
    <s v="27-28 Sep 2021"/>
    <n v="18000"/>
    <n v="206.13834173156206"/>
    <d v="2021-09-16T00:00:00"/>
    <s v="S10"/>
    <d v="2021-09-16T00:00:00"/>
    <s v="CSTM_2S19NLW5CMN"/>
    <s v="epgpcic@iimidr.ac.in"/>
    <s v="Pending"/>
    <x v="1"/>
    <x v="0"/>
  </r>
  <r>
    <x v="211"/>
    <s v="Aman Srivastava"/>
    <x v="1"/>
    <x v="1"/>
    <x v="9"/>
    <s v="Won"/>
    <s v="27-28 Sep 2021"/>
    <n v="18000"/>
    <n v="206.13834173156206"/>
    <d v="2021-09-16T00:00:00"/>
    <s v="S10"/>
    <d v="2021-09-16T00:00:00"/>
    <s v="CSTM_G3R89TRLZPC"/>
    <s v="epgpcic@iimidr.ac.in"/>
    <s v="Pending"/>
    <x v="1"/>
    <x v="0"/>
  </r>
  <r>
    <x v="211"/>
    <s v="Kandala Chaitanya"/>
    <x v="1"/>
    <x v="1"/>
    <x v="9"/>
    <s v="Won"/>
    <s v="27-28 Sep 2021"/>
    <n v="18000"/>
    <n v="206.13834173156206"/>
    <d v="2021-09-16T00:00:00"/>
    <s v="S10"/>
    <d v="2021-09-16T00:00:00"/>
    <s v="CSTM_I1XJW7TOATE"/>
    <s v="epgpcic@iimidr.ac.in"/>
    <s v="Pending"/>
    <x v="1"/>
    <x v="0"/>
  </r>
  <r>
    <x v="212"/>
    <s v="Palanivel"/>
    <x v="2"/>
    <x v="2"/>
    <x v="9"/>
    <s v="Won"/>
    <s v="25-26 Sep 2021"/>
    <n v="18500"/>
    <n v="211.86440677966101"/>
    <d v="2021-09-17T00:00:00"/>
    <s v="S10"/>
    <d v="2021-09-17T00:00:00"/>
    <s v="CSTM_2B077O7W775"/>
    <m/>
    <s v="Done. Good feedback."/>
    <x v="1"/>
    <x v="0"/>
  </r>
  <r>
    <x v="212"/>
    <s v="Mitesh Solanki"/>
    <x v="0"/>
    <x v="7"/>
    <x v="9"/>
    <s v="Won"/>
    <d v="2021-09-25T00:00:00"/>
    <n v="11000"/>
    <n v="125.97343105817684"/>
    <d v="2021-09-17T00:00:00"/>
    <s v="S10"/>
    <d v="2021-09-17T00:00:00"/>
    <s v="CSTM_B5E6WIDIM0R"/>
    <m/>
    <s v="Pending"/>
    <x v="2"/>
    <x v="0"/>
  </r>
  <r>
    <x v="212"/>
    <s v="Mitesh Solanki"/>
    <x v="0"/>
    <x v="38"/>
    <x v="9"/>
    <s v="Won"/>
    <d v="2021-09-25T00:00:00"/>
    <n v="37000"/>
    <n v="423.72881355932202"/>
    <d v="2021-09-17T00:00:00"/>
    <s v="S10"/>
    <d v="2021-09-17T00:00:00"/>
    <s v="CSTM_5ORNKVB02G4"/>
    <m/>
    <s v="Pending"/>
    <x v="2"/>
    <x v="0"/>
  </r>
  <r>
    <x v="212"/>
    <s v="Ankit Bhargava"/>
    <x v="1"/>
    <x v="1"/>
    <x v="9"/>
    <s v="Won"/>
    <s v="27-28 Sep 2021"/>
    <n v="18000"/>
    <n v="206.13834173156206"/>
    <d v="2021-09-17T00:00:00"/>
    <s v="S10"/>
    <d v="2021-09-17T00:00:00"/>
    <s v="CSTM_6FBB3BPR12M"/>
    <s v="epgpcic@iimidr.ac.in"/>
    <s v="Pending"/>
    <x v="1"/>
    <x v="0"/>
  </r>
  <r>
    <x v="212"/>
    <s v="Sreejith S"/>
    <x v="1"/>
    <x v="1"/>
    <x v="9"/>
    <s v="Won"/>
    <s v="27-28 Sep 2021"/>
    <n v="18000"/>
    <n v="206.13834173156206"/>
    <d v="2021-09-18T00:00:00"/>
    <s v="S10"/>
    <d v="2021-09-18T00:00:00"/>
    <s v="CSTM_HU45NRC955W"/>
    <s v="epgpcic@iimidr.ac.in"/>
    <s v="Pending"/>
    <x v="1"/>
    <x v="0"/>
  </r>
  <r>
    <x v="213"/>
    <s v="Kaustav De"/>
    <x v="1"/>
    <x v="1"/>
    <x v="9"/>
    <s v="Won"/>
    <s v="27-28 Sep 2021"/>
    <n v="18000"/>
    <n v="206.13834173156206"/>
    <d v="2021-09-18T00:00:00"/>
    <s v="S10"/>
    <d v="2021-09-18T00:00:00"/>
    <s v="CSTM_4U5GHJZF684"/>
    <s v="epgpcic@iimidr.ac.in"/>
    <s v="Pending"/>
    <x v="1"/>
    <x v="0"/>
  </r>
  <r>
    <x v="213"/>
    <s v="Udit Bhatia"/>
    <x v="4"/>
    <x v="14"/>
    <x v="9"/>
    <s v="Won"/>
    <s v="25-26 Sep 2021"/>
    <n v="21000"/>
    <n v="240.49473202015577"/>
    <d v="2021-09-18T00:00:00"/>
    <s v="S10"/>
    <d v="2021-09-18T00:00:00"/>
    <s v="CSTM_5EMGQ1PTXHX"/>
    <m/>
    <s v="Done. Good feedback."/>
    <x v="0"/>
    <x v="0"/>
  </r>
  <r>
    <x v="213"/>
    <s v="Saurabh R"/>
    <x v="1"/>
    <x v="1"/>
    <x v="9"/>
    <s v="Won"/>
    <s v="23-24 Oct 2021"/>
    <n v="18000"/>
    <n v="206.13834173156206"/>
    <d v="2021-09-18T00:00:00"/>
    <s v="S10"/>
    <d v="2021-09-18T00:00:00"/>
    <s v="CSTM_BLKUXYY70CK"/>
    <s v="epgpcic@iimidr.ac.in"/>
    <s v="Done. Good feedback."/>
    <x v="1"/>
    <x v="0"/>
  </r>
  <r>
    <x v="213"/>
    <s v="Ravi Kumar"/>
    <x v="1"/>
    <x v="1"/>
    <x v="9"/>
    <s v="Won"/>
    <s v="27-28 Sep 2021"/>
    <n v="18000"/>
    <n v="206.13834173156206"/>
    <d v="2021-09-18T00:00:00"/>
    <s v="S10"/>
    <d v="2021-09-18T00:00:00"/>
    <s v="CSTM_EJI496O84R8"/>
    <s v="epgpcic@iimidr.ac.in"/>
    <s v="Pending"/>
    <x v="1"/>
    <x v="0"/>
  </r>
  <r>
    <x v="213"/>
    <s v="Abhishek S"/>
    <x v="1"/>
    <x v="1"/>
    <x v="9"/>
    <s v="Won"/>
    <s v="27-28 Sep 2021"/>
    <n v="18000"/>
    <n v="206.13834173156206"/>
    <d v="2021-09-18T00:00:00"/>
    <s v="S10"/>
    <d v="2021-09-18T00:00:00"/>
    <s v="CSTM_AY1Y0U0LW6A"/>
    <s v="epgpcic@iimidr.ac.in"/>
    <s v="Pending"/>
    <x v="1"/>
    <x v="0"/>
  </r>
  <r>
    <x v="213"/>
    <s v="Mayank M"/>
    <x v="1"/>
    <x v="1"/>
    <x v="9"/>
    <s v="Won"/>
    <s v="27-28 Sep 2021"/>
    <n v="18000"/>
    <n v="206.13834173156206"/>
    <d v="2021-09-18T00:00:00"/>
    <s v="S10"/>
    <d v="2021-09-18T00:00:00"/>
    <s v="CSTM_IYDM6WCJRDG"/>
    <s v="epgpcic@iimidr.ac.in"/>
    <s v="Pending"/>
    <x v="1"/>
    <x v="0"/>
  </r>
  <r>
    <x v="213"/>
    <s v="Ram Lakhan Mishra"/>
    <x v="1"/>
    <x v="1"/>
    <x v="9"/>
    <s v="Won"/>
    <s v="27-28 Sep 2021"/>
    <n v="18000"/>
    <n v="206.13834173156206"/>
    <d v="2021-09-18T00:00:00"/>
    <s v="S10"/>
    <d v="2021-09-18T00:00:00"/>
    <s v="CSTM_7WYVPVYYGDI"/>
    <s v="epgpcic@iimidr.ac.in"/>
    <s v="Pending"/>
    <x v="1"/>
    <x v="0"/>
  </r>
  <r>
    <x v="214"/>
    <s v="Ruchira Chatterjee"/>
    <x v="5"/>
    <x v="9"/>
    <x v="9"/>
    <s v="Won"/>
    <s v="2-3 Oct 2021"/>
    <n v="45000"/>
    <n v="515.34585432890515"/>
    <d v="2021-09-19T00:00:00"/>
    <s v="S10"/>
    <d v="2021-09-19T00:00:00"/>
    <s v="CSTM_805USY1R1BB"/>
    <m/>
    <s v="Pending"/>
    <x v="0"/>
    <x v="0"/>
  </r>
  <r>
    <x v="214"/>
    <s v="Anand J"/>
    <x v="1"/>
    <x v="1"/>
    <x v="9"/>
    <s v="Won"/>
    <s v="27-28 Sep 2021"/>
    <n v="18000"/>
    <n v="206.13834173156206"/>
    <d v="2021-09-19T00:00:00"/>
    <s v="S10"/>
    <d v="2021-09-19T00:00:00"/>
    <s v="CSTM_FWYGXL1P87Y"/>
    <s v="epgpcic@iimidr.ac.in"/>
    <s v="Pending"/>
    <x v="1"/>
    <x v="0"/>
  </r>
  <r>
    <x v="214"/>
    <s v="Deeep"/>
    <x v="1"/>
    <x v="1"/>
    <x v="9"/>
    <s v="Won"/>
    <s v="27-28 Sep 2021"/>
    <n v="18000"/>
    <n v="206.13834173156206"/>
    <d v="2021-09-19T00:00:00"/>
    <s v="S10"/>
    <d v="2021-09-19T00:00:00"/>
    <s v="CSTM_27PBTJ369BN"/>
    <s v="epgpcic@iimidr.ac.in"/>
    <s v="Pending"/>
    <x v="1"/>
    <x v="0"/>
  </r>
  <r>
    <x v="215"/>
    <s v="Sivaranjani"/>
    <x v="1"/>
    <x v="2"/>
    <x v="9"/>
    <s v="Won"/>
    <s v="2-3 Oct 2021"/>
    <n v="19500"/>
    <n v="223.3165368758589"/>
    <d v="2021-09-21T00:00:00"/>
    <s v="T10"/>
    <d v="2021-09-21T00:00:00"/>
    <s v="CSTM_GVPJSEUN6PI"/>
    <s v="palanivel.n@gmail.com"/>
    <s v="Pending"/>
    <x v="1"/>
    <x v="0"/>
  </r>
  <r>
    <x v="215"/>
    <s v="Debaleena"/>
    <x v="0"/>
    <x v="1"/>
    <x v="9"/>
    <s v="Won"/>
    <s v="25-26 Sep 2021"/>
    <n v="19000"/>
    <n v="217.59047182775998"/>
    <d v="2021-09-21T00:00:00"/>
    <s v="T10"/>
    <d v="2021-09-22T00:00:00"/>
    <s v="CSTM_DMTVB84E6KD"/>
    <m/>
    <s v="Done. Good feedback."/>
    <x v="1"/>
    <x v="0"/>
  </r>
  <r>
    <x v="216"/>
    <s v="Dipak Thakare"/>
    <x v="6"/>
    <x v="2"/>
    <x v="9"/>
    <s v="Won"/>
    <s v="2-3 Oct 2021"/>
    <n v="20000"/>
    <n v="229.04260192395787"/>
    <d v="2021-09-22T00:00:00"/>
    <s v="T10"/>
    <d v="2021-09-22T00:00:00"/>
    <s v="CSTM_4U3IC0ITTRD"/>
    <m/>
    <s v="Done. Good feedback."/>
    <x v="1"/>
    <x v="0"/>
  </r>
  <r>
    <x v="217"/>
    <s v="Chandan Rathi"/>
    <x v="1"/>
    <x v="1"/>
    <x v="9"/>
    <s v="Won"/>
    <s v="27-28 Sep 2021"/>
    <n v="18000"/>
    <n v="206.13834173156206"/>
    <d v="2021-09-23T00:00:00"/>
    <s v="T10"/>
    <d v="2021-09-23T00:00:00"/>
    <s v="CSTM_ENOY68RGT8C"/>
    <s v="epgpcic@iimidr.ac.in"/>
    <s v="Pending"/>
    <x v="1"/>
    <x v="0"/>
  </r>
  <r>
    <x v="218"/>
    <s v="Dabreo"/>
    <x v="9"/>
    <x v="1"/>
    <x v="9"/>
    <s v="Won"/>
    <s v="25-26 Sep 2021"/>
    <n v="20000"/>
    <n v="229.04260192395787"/>
    <d v="2021-09-24T00:00:00"/>
    <s v="T10"/>
    <d v="2021-09-24T00:00:00"/>
    <s v="CSTM_6VPDPUQVNKY"/>
    <m/>
    <s v="Pending"/>
    <x v="1"/>
    <x v="0"/>
  </r>
  <r>
    <x v="218"/>
    <s v="Uday Gajewar"/>
    <x v="7"/>
    <x v="9"/>
    <x v="9"/>
    <s v="Won"/>
    <s v="23-24 Oct 2021"/>
    <n v="41000"/>
    <n v="469.53733394411364"/>
    <d v="2021-09-24T00:00:00"/>
    <s v="T10"/>
    <d v="2021-09-24T00:00:00"/>
    <s v="CSTM_I73UM5Z28BM"/>
    <m/>
    <s v="Done. Good feedback."/>
    <x v="0"/>
    <x v="0"/>
  </r>
  <r>
    <x v="218"/>
    <s v="Sangita Phansalkar"/>
    <x v="1"/>
    <x v="9"/>
    <x v="9"/>
    <s v="Won"/>
    <s v="23-24 Oct 2021"/>
    <n v="41000"/>
    <n v="469.53733394411364"/>
    <d v="2021-09-24T00:00:00"/>
    <s v="T10"/>
    <d v="2021-09-24T00:00:00"/>
    <s v="CSTM_Q3PCIJ4126"/>
    <s v="Reference by Uday G"/>
    <s v="Done. Good feedback."/>
    <x v="0"/>
    <x v="0"/>
  </r>
  <r>
    <x v="218"/>
    <s v="Murali Kannan"/>
    <x v="1"/>
    <x v="9"/>
    <x v="9"/>
    <s v="Won"/>
    <s v="23-24 Oct 2021"/>
    <n v="41000"/>
    <n v="469.53733394411364"/>
    <d v="2021-09-24T00:00:00"/>
    <s v="T10"/>
    <d v="2021-09-24T00:00:00"/>
    <s v="CSTM_8CLO6T54STI"/>
    <s v="Reference by Uday G"/>
    <s v="Done. Good feedback."/>
    <x v="0"/>
    <x v="0"/>
  </r>
  <r>
    <x v="218"/>
    <s v="Charan Sai"/>
    <x v="5"/>
    <x v="1"/>
    <x v="9"/>
    <s v="Won"/>
    <s v="7-8 Oct 2021"/>
    <n v="20000"/>
    <n v="229.04260192395787"/>
    <d v="2021-09-24T00:00:00"/>
    <s v="T10"/>
    <d v="2021-09-25T00:00:00"/>
    <s v="CSTM_42PUG6Y7262"/>
    <m/>
    <s v="Pending"/>
    <x v="1"/>
    <x v="0"/>
  </r>
  <r>
    <x v="219"/>
    <s v="Charanya"/>
    <x v="1"/>
    <x v="29"/>
    <x v="9"/>
    <s v="Won"/>
    <d v="2021-10-01T00:00:00"/>
    <n v="38000"/>
    <n v="435.18094365551997"/>
    <d v="2021-09-27T00:00:00"/>
    <s v="T10"/>
    <d v="2021-09-27T00:00:00"/>
    <s v="CSTM_48NFDPKR4ZA"/>
    <s v="napra1987@yahoo.com"/>
    <s v="Pending"/>
    <x v="2"/>
    <x v="0"/>
  </r>
  <r>
    <x v="220"/>
    <s v="Shekhar"/>
    <x v="1"/>
    <x v="24"/>
    <x v="9"/>
    <s v="Won"/>
    <s v="2-3 Oct 2021"/>
    <n v="45000"/>
    <n v="515.34585432890515"/>
    <d v="2021-09-28T00:00:00"/>
    <s v="T10"/>
    <d v="2021-09-28T00:00:00"/>
    <s v="CSTM_7M6B2ILZUZV"/>
    <s v="Aurko"/>
    <s v="Done. Good feedback."/>
    <x v="0"/>
    <x v="0"/>
  </r>
  <r>
    <x v="221"/>
    <s v="Anand Mohan"/>
    <x v="0"/>
    <x v="9"/>
    <x v="9"/>
    <s v="Won"/>
    <s v="P2 F&amp;P"/>
    <n v="38000"/>
    <n v="435.18094365551997"/>
    <d v="2021-09-29T00:00:00"/>
    <s v="T10"/>
    <d v="2021-09-28T00:00:00"/>
    <s v="CSTM_5Q0V7G4YHY4"/>
    <m/>
    <s v="Pending"/>
    <x v="0"/>
    <x v="0"/>
  </r>
  <r>
    <x v="222"/>
    <s v="Puneet Thakur"/>
    <x v="7"/>
    <x v="24"/>
    <x v="11"/>
    <s v="Won"/>
    <s v="2-3 Oct 2021"/>
    <n v="45000"/>
    <n v="515.34585432890515"/>
    <d v="2021-10-01T00:00:00"/>
    <s v="F10"/>
    <d v="2021-10-01T00:00:00"/>
    <s v="CSTM_JE5H47A7J6T"/>
    <m/>
    <s v="Pending"/>
    <x v="0"/>
    <x v="0"/>
  </r>
  <r>
    <x v="222"/>
    <s v="Shamal"/>
    <x v="1"/>
    <x v="0"/>
    <x v="11"/>
    <s v="Won"/>
    <s v="2-3 Oct 2021"/>
    <n v="21000"/>
    <n v="240.49473202015577"/>
    <d v="2021-10-01T00:00:00"/>
    <s v="F10"/>
    <d v="2021-10-01T00:00:00"/>
    <s v="CSTM_9EJQ6NVBZ9P"/>
    <s v="ravi.dutt85@gmail.com"/>
    <s v="Done. Good feedback."/>
    <x v="0"/>
    <x v="0"/>
  </r>
  <r>
    <x v="222"/>
    <s v="Jaffer"/>
    <x v="6"/>
    <x v="24"/>
    <x v="11"/>
    <s v="Won"/>
    <s v="2-3 Oct 2021"/>
    <n v="45000"/>
    <n v="515.34585432890515"/>
    <d v="2021-10-01T00:00:00"/>
    <s v="F10"/>
    <d v="2021-10-01T00:00:00"/>
    <s v="CSTM_4OGUDH7F82Z"/>
    <m/>
    <s v="Pending"/>
    <x v="0"/>
    <x v="0"/>
  </r>
  <r>
    <x v="222"/>
    <s v="Krishna Kumar"/>
    <x v="6"/>
    <x v="9"/>
    <x v="11"/>
    <s v="Won"/>
    <s v="2-3 Oct 2021"/>
    <n v="45000"/>
    <n v="515.34585432890515"/>
    <d v="2021-10-01T00:00:00"/>
    <s v="F10"/>
    <d v="2021-10-01T00:00:00"/>
    <s v="CSTM_3RDS9DWS7XF"/>
    <m/>
    <s v="Pending"/>
    <x v="0"/>
    <x v="0"/>
  </r>
  <r>
    <x v="223"/>
    <s v="Vanitha GA"/>
    <x v="3"/>
    <x v="39"/>
    <x v="11"/>
    <s v="Won"/>
    <d v="2021-10-02T00:00:00"/>
    <n v="41000"/>
    <n v="469.53733394411364"/>
    <d v="2021-10-02T00:00:00"/>
    <s v="F10"/>
    <d v="2021-10-02T00:00:00"/>
    <s v="CSTM_J2MEBGY2GOQ"/>
    <m/>
    <s v="Pending"/>
    <x v="2"/>
    <x v="0"/>
  </r>
  <r>
    <x v="223"/>
    <s v="Abhilash Sathyapalan"/>
    <x v="1"/>
    <x v="18"/>
    <x v="11"/>
    <s v="Won"/>
    <d v="2021-10-02T00:00:00"/>
    <n v="16000"/>
    <n v="183.23408153916631"/>
    <d v="2021-10-02T00:00:00"/>
    <s v="F10"/>
    <d v="2021-10-02T00:00:00"/>
    <s v="CSTM_CO9103Y34XI"/>
    <s v="Keerti"/>
    <s v="Pending"/>
    <x v="2"/>
    <x v="0"/>
  </r>
  <r>
    <x v="223"/>
    <s v="Abhilash Sathyapalan"/>
    <x v="0"/>
    <x v="40"/>
    <x v="11"/>
    <s v="Won"/>
    <d v="2021-10-02T00:00:00"/>
    <n v="20000"/>
    <n v="229.04260192395787"/>
    <d v="2021-10-02T00:00:00"/>
    <s v="F10"/>
    <d v="2021-10-02T00:00:00"/>
    <s v="CSTM_B5BURU00SV0"/>
    <m/>
    <s v="Pending"/>
    <x v="2"/>
    <x v="0"/>
  </r>
  <r>
    <x v="224"/>
    <s v="Ranbir Singh"/>
    <x v="1"/>
    <x v="2"/>
    <x v="11"/>
    <s v="Won"/>
    <s v="7-8 Oct 2021"/>
    <n v="20000"/>
    <n v="229.04260192395787"/>
    <d v="2021-10-04T00:00:00"/>
    <s v="F10"/>
    <d v="2021-10-04T00:00:00"/>
    <s v="CSTM_GHZQTPAN5PF"/>
    <s v="ravi.dutt85@gmail.com"/>
    <s v="Pending"/>
    <x v="1"/>
    <x v="0"/>
  </r>
  <r>
    <x v="224"/>
    <s v="Neel Patel"/>
    <x v="1"/>
    <x v="1"/>
    <x v="11"/>
    <s v="Won"/>
    <s v="23-24 Oct 2021"/>
    <n v="19000"/>
    <n v="217.59047182775998"/>
    <d v="2021-10-04T00:00:00"/>
    <s v="F10"/>
    <d v="2021-10-04T00:00:00"/>
    <s v="CSTM_9EHS14DGE3C"/>
    <s v="monikastrauss27@gmail.com"/>
    <s v="Pending"/>
    <x v="1"/>
    <x v="0"/>
  </r>
  <r>
    <x v="224"/>
    <s v="Debasis"/>
    <x v="7"/>
    <x v="9"/>
    <x v="11"/>
    <s v="Won"/>
    <s v="9-10 Oct 2021"/>
    <n v="45000"/>
    <n v="515.34585432890515"/>
    <d v="2021-10-04T00:00:00"/>
    <s v="F10"/>
    <d v="2021-10-04T00:00:00"/>
    <s v="CSTM_341HV3JIJM2"/>
    <m/>
    <s v="Done. Good feedback."/>
    <x v="0"/>
    <x v="0"/>
  </r>
  <r>
    <x v="224"/>
    <s v="Aastha Choubey"/>
    <x v="7"/>
    <x v="31"/>
    <x v="11"/>
    <s v="Won"/>
    <s v="9-10 Oct 2021"/>
    <n v="45000"/>
    <n v="515.34585432890515"/>
    <d v="2021-10-04T00:00:00"/>
    <s v="F10"/>
    <d v="2021-10-04T00:00:00"/>
    <s v="CSTM_7PIQL3L2D81"/>
    <m/>
    <s v="Pending"/>
    <x v="0"/>
    <x v="0"/>
  </r>
  <r>
    <x v="224"/>
    <s v="Amit Arora"/>
    <x v="7"/>
    <x v="24"/>
    <x v="11"/>
    <s v="Won"/>
    <s v="4-5 Dec 2021"/>
    <n v="45000"/>
    <n v="515.34585432890515"/>
    <d v="2021-10-04T00:00:00"/>
    <s v="F10"/>
    <d v="2021-10-04T00:00:00"/>
    <s v="CSTM_9SGJRAYEFJL"/>
    <m/>
    <s v="Done. Good feedback."/>
    <x v="0"/>
    <x v="0"/>
  </r>
  <r>
    <x v="225"/>
    <s v="Shahrita"/>
    <x v="26"/>
    <x v="2"/>
    <x v="11"/>
    <s v="Won"/>
    <s v="14-15 Oct 2021"/>
    <n v="19000"/>
    <n v="217.59047182775998"/>
    <d v="2021-10-05T00:00:00"/>
    <s v="F10"/>
    <d v="2021-10-05T00:00:00"/>
    <s v="CSTM_I2OU3SUP0U2"/>
    <m/>
    <s v="Pending"/>
    <x v="1"/>
    <x v="0"/>
  </r>
  <r>
    <x v="225"/>
    <s v="Giri Nirbhay"/>
    <x v="1"/>
    <x v="2"/>
    <x v="11"/>
    <s v="Won"/>
    <s v="14-15 Oct 2021"/>
    <n v="19000"/>
    <n v="217.59047182775998"/>
    <d v="2021-10-05T00:00:00"/>
    <s v="F10"/>
    <d v="2021-10-05T00:00:00"/>
    <s v="CSTM_AM4U65YWNFF"/>
    <m/>
    <s v="Pending"/>
    <x v="1"/>
    <x v="0"/>
  </r>
  <r>
    <x v="226"/>
    <s v="Mohammed Sadiq"/>
    <x v="7"/>
    <x v="0"/>
    <x v="11"/>
    <s v="Won"/>
    <s v="9-10 Oct 2021"/>
    <n v="21000"/>
    <n v="240.49473202015577"/>
    <d v="2021-10-06T00:00:00"/>
    <s v="F10"/>
    <d v="2021-10-06T00:00:00"/>
    <s v="CSTM_DESAHGJ6ERX"/>
    <m/>
    <s v="Done. Good feedback."/>
    <x v="0"/>
    <x v="0"/>
  </r>
  <r>
    <x v="227"/>
    <s v="Rousheen"/>
    <x v="7"/>
    <x v="0"/>
    <x v="11"/>
    <s v="Won"/>
    <s v="9-10 Oct 2021"/>
    <n v="21000"/>
    <n v="240.49473202015577"/>
    <d v="2021-10-07T00:00:00"/>
    <s v="F10"/>
    <d v="2021-10-07T00:00:00"/>
    <s v="CSTM_EIJFKHOUMBV"/>
    <m/>
    <s v="Pending"/>
    <x v="0"/>
    <x v="0"/>
  </r>
  <r>
    <x v="228"/>
    <s v="Sanghamitra"/>
    <x v="1"/>
    <x v="33"/>
    <x v="11"/>
    <s v="Won"/>
    <d v="2021-10-08T00:00:00"/>
    <n v="25000"/>
    <n v="286.30325240494733"/>
    <d v="2021-10-08T00:00:00"/>
    <s v="F10"/>
    <d v="2021-10-08T00:00:00"/>
    <s v="CSTM_IC0SNH4CIP6"/>
    <s v="napra1987@yahoo.com"/>
    <s v="Pending"/>
    <x v="2"/>
    <x v="0"/>
  </r>
  <r>
    <x v="228"/>
    <s v="Pooja Singh"/>
    <x v="6"/>
    <x v="14"/>
    <x v="11"/>
    <s v="Won"/>
    <s v="13-14 Nov 2021"/>
    <n v="21000"/>
    <n v="240.49473202015577"/>
    <d v="2021-10-08T00:00:00"/>
    <s v="F10"/>
    <d v="2021-10-08T00:00:00"/>
    <s v="CSTM_69C65BH721I"/>
    <m/>
    <s v="Done. Good feedback."/>
    <x v="0"/>
    <x v="0"/>
  </r>
  <r>
    <x v="229"/>
    <s v="Rajesh"/>
    <x v="7"/>
    <x v="2"/>
    <x v="11"/>
    <s v="Won"/>
    <s v="23-24 Oct 2021"/>
    <n v="21000"/>
    <n v="240.49473202015577"/>
    <d v="2021-10-09T00:00:00"/>
    <s v="F10"/>
    <d v="2021-10-09T00:00:00"/>
    <s v="CSTM_J2612VJVZHL"/>
    <m/>
    <s v="Done. Good feedback."/>
    <x v="1"/>
    <x v="0"/>
  </r>
  <r>
    <x v="230"/>
    <s v="Moorchana"/>
    <x v="1"/>
    <x v="9"/>
    <x v="11"/>
    <s v="Won"/>
    <s v="16-17 Oct 2021"/>
    <n v="45000"/>
    <n v="515.34585432890515"/>
    <d v="2021-10-12T00:00:00"/>
    <s v="S10"/>
    <d v="2021-10-12T00:00:00"/>
    <s v="CSTM_FXSHEWAX8JX"/>
    <s v="just4bhaskar@gmail.com"/>
    <s v="Done. Good feedback."/>
    <x v="0"/>
    <x v="0"/>
  </r>
  <r>
    <x v="230"/>
    <s v="Moorthy"/>
    <x v="2"/>
    <x v="14"/>
    <x v="11"/>
    <s v="Won"/>
    <s v="16-17 Oct 2021"/>
    <n v="21000"/>
    <n v="240.49473202015577"/>
    <d v="2021-10-12T00:00:00"/>
    <s v="S10"/>
    <d v="2021-10-12T00:00:00"/>
    <s v="CSTM_81V1QY9ZQJ0"/>
    <m/>
    <s v="Done. Good feedback."/>
    <x v="0"/>
    <x v="0"/>
  </r>
  <r>
    <x v="231"/>
    <s v="Meena"/>
    <x v="3"/>
    <x v="9"/>
    <x v="11"/>
    <s v="Won"/>
    <s v="16-17 Oct 2021"/>
    <n v="45000"/>
    <n v="515.34585432890515"/>
    <d v="2021-10-13T00:00:00"/>
    <s v="S10"/>
    <d v="2021-10-13T00:00:00"/>
    <s v="CSTM_J20YOGSB2DW"/>
    <m/>
    <s v="Done. Good feedback."/>
    <x v="0"/>
    <x v="0"/>
  </r>
  <r>
    <x v="231"/>
    <s v="Venkatesan"/>
    <x v="7"/>
    <x v="1"/>
    <x v="11"/>
    <s v="Won"/>
    <s v="23-24 Oct 2021"/>
    <n v="20000"/>
    <n v="229.04260192395787"/>
    <d v="2021-10-13T00:00:00"/>
    <s v="S10"/>
    <d v="2021-10-13T00:00:00"/>
    <s v="CSTM_IGGLBZXSQM1"/>
    <m/>
    <s v="Done. Good feedback."/>
    <x v="1"/>
    <x v="0"/>
  </r>
  <r>
    <x v="231"/>
    <s v="Karolina Zakrzacka"/>
    <x v="2"/>
    <x v="41"/>
    <x v="11"/>
    <s v="Won"/>
    <s v="25-28 Oct 2021"/>
    <n v="297000"/>
    <n v="3401.2826385707745"/>
    <d v="2021-10-13T00:00:00"/>
    <s v="S10"/>
    <d v="2021-10-13T00:00:00"/>
    <s v="00062233_01"/>
    <m/>
    <s v="Pending"/>
    <x v="0"/>
    <x v="0"/>
  </r>
  <r>
    <x v="232"/>
    <s v="Thirunavakarasu"/>
    <x v="1"/>
    <x v="0"/>
    <x v="11"/>
    <s v="Won"/>
    <s v="13-14 Nov 2021"/>
    <n v="21000"/>
    <n v="240.49473202015577"/>
    <d v="2021-10-14T00:00:00"/>
    <s v="S10"/>
    <d v="2021-10-14T00:00:00"/>
    <s v="CSTM_EMRFMUAY964"/>
    <s v="Aurko"/>
    <s v="Pending"/>
    <x v="0"/>
    <x v="0"/>
  </r>
  <r>
    <x v="232"/>
    <s v="Subramanian Iyer"/>
    <x v="0"/>
    <x v="13"/>
    <x v="11"/>
    <s v="Won"/>
    <d v="2021-10-16T00:00:00"/>
    <n v="15000"/>
    <n v="171.78195144296839"/>
    <d v="2021-10-14T00:00:00"/>
    <s v="S10"/>
    <d v="2021-10-14T00:00:00"/>
    <s v="CSTM_JFR5Q9BHHBQ"/>
    <m/>
    <s v="Pending"/>
    <x v="2"/>
    <x v="0"/>
  </r>
  <r>
    <x v="232"/>
    <s v="Ravi"/>
    <x v="0"/>
    <x v="42"/>
    <x v="11"/>
    <s v="Won"/>
    <s v="23-24 Oct 2021"/>
    <n v="41000"/>
    <n v="469.53733394411364"/>
    <d v="2021-10-14T00:00:00"/>
    <s v="S10"/>
    <d v="2021-10-14T00:00:00"/>
    <s v="CSTM_FO1BNZKMJL5"/>
    <m/>
    <s v="Done. Good feedback."/>
    <x v="2"/>
    <x v="0"/>
  </r>
  <r>
    <x v="232"/>
    <s v="Sarabjeet Singh"/>
    <x v="3"/>
    <x v="2"/>
    <x v="11"/>
    <s v="Won"/>
    <s v="23-24 Oct 2021"/>
    <n v="20000"/>
    <n v="229.04260192395787"/>
    <d v="2021-10-14T00:00:00"/>
    <s v="S10"/>
    <d v="2021-10-14T00:00:00"/>
    <s v="CSTM_JEUT68MBBVF"/>
    <m/>
    <s v="Done. Good feedback."/>
    <x v="1"/>
    <x v="0"/>
  </r>
  <r>
    <x v="232"/>
    <s v="Sunil Manu"/>
    <x v="1"/>
    <x v="2"/>
    <x v="11"/>
    <s v="Won"/>
    <s v="23-24 Oct 2021"/>
    <n v="20000"/>
    <n v="229.04260192395787"/>
    <d v="2021-10-14T00:00:00"/>
    <s v="S10"/>
    <d v="2021-10-16T00:00:00"/>
    <s v="CSTM_5HBII1XAYX1"/>
    <s v="vizkey@gmail.com"/>
    <s v="Done. Good feedback."/>
    <x v="1"/>
    <x v="0"/>
  </r>
  <r>
    <x v="232"/>
    <s v="Anubhaw Ujjwal"/>
    <x v="5"/>
    <x v="0"/>
    <x v="11"/>
    <s v="Won"/>
    <s v="23-24 Oct 2021"/>
    <n v="21000"/>
    <n v="240.49473202015577"/>
    <d v="2021-10-15T00:00:00"/>
    <s v="S10"/>
    <d v="2021-10-15T00:00:00"/>
    <s v="CSTM_BF3ELTQNJW3"/>
    <m/>
    <s v="Done. Good feedback."/>
    <x v="0"/>
    <x v="0"/>
  </r>
  <r>
    <x v="233"/>
    <s v="Balaji Muralilal"/>
    <x v="1"/>
    <x v="29"/>
    <x v="11"/>
    <s v="Won"/>
    <d v="2021-10-18T00:00:00"/>
    <n v="38000"/>
    <n v="435.18094365551997"/>
    <d v="2021-10-18T00:00:00"/>
    <s v="S10"/>
    <d v="2021-10-18T00:00:00"/>
    <s v="CSTM_6J0LQFUMIGJ"/>
    <s v="Aurko"/>
    <s v="Pending"/>
    <x v="2"/>
    <x v="0"/>
  </r>
  <r>
    <x v="233"/>
    <s v="Karunesh Tiwari"/>
    <x v="5"/>
    <x v="0"/>
    <x v="11"/>
    <s v="Won"/>
    <s v="23-24 Oct 2021"/>
    <n v="21000"/>
    <n v="240.49473202015577"/>
    <d v="2021-10-18T00:00:00"/>
    <s v="S10"/>
    <d v="2021-10-18T00:00:00"/>
    <s v="CSTM_EF8677LCZCR"/>
    <m/>
    <s v="Done. Good feedback."/>
    <x v="0"/>
    <x v="0"/>
  </r>
  <r>
    <x v="233"/>
    <s v="Thara"/>
    <x v="9"/>
    <x v="14"/>
    <x v="11"/>
    <s v="Won"/>
    <s v="30-31 Oct 2021"/>
    <n v="21000"/>
    <n v="240.49473202015577"/>
    <d v="2021-10-18T00:00:00"/>
    <s v="S10"/>
    <d v="2021-10-18T00:00:00"/>
    <s v="CSTM_D10XEBBBJUT"/>
    <m/>
    <s v="Done. Good feedback."/>
    <x v="0"/>
    <x v="0"/>
  </r>
  <r>
    <x v="234"/>
    <s v="Uma Vakkalanka"/>
    <x v="1"/>
    <x v="0"/>
    <x v="11"/>
    <s v="Won"/>
    <s v="23-24 Oct 2021"/>
    <n v="21000"/>
    <n v="240.49473202015577"/>
    <d v="2021-10-19T00:00:00"/>
    <s v="S10"/>
    <d v="2021-10-19T00:00:00"/>
    <s v="CSTM_9YPTM386KUE"/>
    <s v="Pragya"/>
    <s v="Done. Good feedback."/>
    <x v="0"/>
    <x v="0"/>
  </r>
  <r>
    <x v="234"/>
    <s v="Prashant Daund"/>
    <x v="7"/>
    <x v="9"/>
    <x v="11"/>
    <s v="Won"/>
    <s v="6-7 Nov 2021"/>
    <n v="45000"/>
    <n v="515.34585432890515"/>
    <d v="2021-10-19T00:00:00"/>
    <s v="T10"/>
    <d v="2021-10-21T00:00:00"/>
    <s v="CSTM_9E26WPSAJX0"/>
    <m/>
    <s v="Done. Good feedback."/>
    <x v="0"/>
    <x v="0"/>
  </r>
  <r>
    <x v="235"/>
    <s v="Ankita Middha"/>
    <x v="2"/>
    <x v="0"/>
    <x v="11"/>
    <s v="Won"/>
    <s v="30-31 Oct 2021"/>
    <n v="21000"/>
    <n v="240.49473202015577"/>
    <d v="2021-10-21T00:00:00"/>
    <s v="T10"/>
    <d v="2021-10-21T00:00:00"/>
    <s v="CSTM_1EMH9K8WMWT"/>
    <m/>
    <s v="Pending"/>
    <x v="0"/>
    <x v="0"/>
  </r>
  <r>
    <x v="235"/>
    <s v="Avanija"/>
    <x v="1"/>
    <x v="0"/>
    <x v="11"/>
    <s v="Won"/>
    <s v="23-24 Oct 2021"/>
    <n v="21000"/>
    <n v="240.49473202015577"/>
    <d v="2021-10-21T00:00:00"/>
    <s v="T10"/>
    <d v="2021-10-21T00:00:00"/>
    <s v="CSTM_G7AOIA2EBWQ"/>
    <s v="Reference by Mallika"/>
    <s v="Done. Good feedback."/>
    <x v="0"/>
    <x v="0"/>
  </r>
  <r>
    <x v="235"/>
    <s v="Satish"/>
    <x v="5"/>
    <x v="2"/>
    <x v="11"/>
    <s v="Won"/>
    <s v="28-29 Oct 2021"/>
    <n v="19000"/>
    <n v="217.59047182775998"/>
    <d v="2021-10-21T00:00:00"/>
    <s v="T10"/>
    <d v="2021-10-21T00:00:00"/>
    <s v="CSTM_FJJYYYW4WJ1"/>
    <m/>
    <s v="Pending"/>
    <x v="1"/>
    <x v="0"/>
  </r>
  <r>
    <x v="236"/>
    <s v="Shivanee Salvi"/>
    <x v="3"/>
    <x v="0"/>
    <x v="11"/>
    <s v="Won"/>
    <s v="26-27 Oct 2021"/>
    <n v="113280"/>
    <n v="1297.2972972972973"/>
    <d v="2021-10-22T00:00:00"/>
    <s v="T10"/>
    <d v="2021-10-22T00:00:00"/>
    <s v="00062287_01"/>
    <m/>
    <s v="Pending"/>
    <x v="0"/>
    <x v="0"/>
  </r>
  <r>
    <x v="237"/>
    <s v="Neha Pathak"/>
    <x v="0"/>
    <x v="1"/>
    <x v="11"/>
    <s v="Won"/>
    <s v="2-3 Nov 2021"/>
    <n v="20000"/>
    <n v="229.04260192395787"/>
    <d v="2021-10-25T00:00:00"/>
    <s v="T10"/>
    <d v="2021-10-25T00:00:00"/>
    <s v="CSTM_HNPHO2Q5PS"/>
    <m/>
    <s v="Pending"/>
    <x v="1"/>
    <x v="0"/>
  </r>
  <r>
    <x v="237"/>
    <s v="Grishma Shana"/>
    <x v="3"/>
    <x v="0"/>
    <x v="11"/>
    <s v="Won"/>
    <s v="30-31 Oct 2021"/>
    <n v="21000"/>
    <n v="240.49473202015577"/>
    <d v="2021-10-25T00:00:00"/>
    <s v="T10"/>
    <d v="2021-10-25T00:00:00"/>
    <s v="CSTM_DKZ87K6A801"/>
    <m/>
    <s v="Done. Good feedback."/>
    <x v="0"/>
    <x v="0"/>
  </r>
  <r>
    <x v="237"/>
    <s v="Tanu Narayan"/>
    <x v="1"/>
    <x v="0"/>
    <x v="11"/>
    <s v="Won"/>
    <s v="30-31 Oct 2021"/>
    <n v="21000"/>
    <n v="240.49473202015577"/>
    <d v="2021-10-25T00:00:00"/>
    <s v="T10"/>
    <d v="2021-10-25T00:00:00"/>
    <s v="CSTM_1V7KG1N32EZ"/>
    <s v="Reference by Tejaswini Lalge"/>
    <s v="Done. Good feedback."/>
    <x v="0"/>
    <x v="0"/>
  </r>
  <r>
    <x v="238"/>
    <s v="Debaleena"/>
    <x v="0"/>
    <x v="0"/>
    <x v="11"/>
    <s v="Won"/>
    <s v="30-31 Oct 2021"/>
    <n v="20500"/>
    <n v="234.76866697205682"/>
    <d v="2021-10-26T00:00:00"/>
    <s v="T10"/>
    <d v="2021-10-26T00:00:00"/>
    <s v="CSTM_4MT7RSQFZU1"/>
    <m/>
    <s v="Done. Good feedback."/>
    <x v="0"/>
    <x v="0"/>
  </r>
  <r>
    <x v="238"/>
    <s v="Niranjan"/>
    <x v="1"/>
    <x v="1"/>
    <x v="11"/>
    <s v="Won"/>
    <s v="17-18 Nov 2021"/>
    <n v="22000"/>
    <n v="251.94686211635369"/>
    <d v="2021-10-26T00:00:00"/>
    <s v="T10"/>
    <d v="2021-10-26T00:00:00"/>
    <s v="CSTM_3NV4D0KAAMW"/>
    <s v="sunilsnair777@gmail.com"/>
    <s v="Pending"/>
    <x v="1"/>
    <x v="0"/>
  </r>
  <r>
    <x v="238"/>
    <s v="Shivangi Rohilla"/>
    <x v="1"/>
    <x v="1"/>
    <x v="11"/>
    <s v="Won"/>
    <s v="17-18 Nov 2021"/>
    <n v="22000"/>
    <n v="251.94686211635369"/>
    <d v="2021-10-26T00:00:00"/>
    <s v="T10"/>
    <d v="2021-10-26T00:00:00"/>
    <s v="CSTM_7WD25Q0UHPM"/>
    <s v="sunilsnair777@gmail.com"/>
    <s v="Pending"/>
    <x v="1"/>
    <x v="0"/>
  </r>
  <r>
    <x v="238"/>
    <s v="Veena"/>
    <x v="1"/>
    <x v="1"/>
    <x v="11"/>
    <s v="Won"/>
    <s v="17-18 Nov 2021"/>
    <n v="22000"/>
    <n v="251.94686211635369"/>
    <d v="2021-10-26T00:00:00"/>
    <s v="T10"/>
    <d v="2021-10-26T00:00:00"/>
    <s v="CSTM_2IESFX8HQAO"/>
    <s v="sunilsnair777@gmail.com"/>
    <s v="Pending"/>
    <x v="1"/>
    <x v="0"/>
  </r>
  <r>
    <x v="238"/>
    <s v="Dayalan Ramsey"/>
    <x v="3"/>
    <x v="9"/>
    <x v="11"/>
    <s v="Won"/>
    <s v="6-7 Nov 2021"/>
    <n v="45000"/>
    <n v="515.34585432890515"/>
    <d v="2021-10-26T00:00:00"/>
    <s v="T10"/>
    <d v="2021-10-26T00:00:00"/>
    <s v="CSTM_6MW4TBBIG72"/>
    <m/>
    <s v="Done. Good feedback."/>
    <x v="0"/>
    <x v="0"/>
  </r>
  <r>
    <x v="239"/>
    <s v="Jayashree"/>
    <x v="2"/>
    <x v="2"/>
    <x v="11"/>
    <s v="Won"/>
    <s v="11-12 Nov 2021"/>
    <n v="19000"/>
    <n v="217.59047182775998"/>
    <d v="2021-10-27T00:00:00"/>
    <s v="T10"/>
    <d v="2021-10-27T00:00:00"/>
    <s v="CSTM_4HZE1BYV6BO"/>
    <m/>
    <s v="Pending"/>
    <x v="1"/>
    <x v="0"/>
  </r>
  <r>
    <x v="240"/>
    <s v="Saleem Ahmed"/>
    <x v="4"/>
    <x v="9"/>
    <x v="11"/>
    <s v="Won"/>
    <s v="13-14 Nov 2021"/>
    <n v="45000"/>
    <n v="515.34585432890515"/>
    <d v="2021-10-30T00:00:00"/>
    <s v="T10"/>
    <d v="2021-10-30T00:00:00"/>
    <s v="CSTM_733YY3P1OCR"/>
    <m/>
    <s v="Done. Good feedback."/>
    <x v="0"/>
    <x v="0"/>
  </r>
  <r>
    <x v="241"/>
    <s v="Kumaravelun"/>
    <x v="2"/>
    <x v="0"/>
    <x v="12"/>
    <s v="Won"/>
    <s v="10-11 Nov 2021"/>
    <n v="21000"/>
    <n v="240.49473202015577"/>
    <d v="2021-11-02T00:00:00"/>
    <s v="F10"/>
    <d v="2021-11-02T00:00:00"/>
    <s v="CSTM_3M4DGHMHIIJ"/>
    <m/>
    <s v="Pending"/>
    <x v="0"/>
    <x v="0"/>
  </r>
  <r>
    <x v="241"/>
    <s v="Koushik Paul"/>
    <x v="6"/>
    <x v="29"/>
    <x v="12"/>
    <s v="Won"/>
    <d v="2021-11-02T00:00:00"/>
    <n v="37000"/>
    <n v="423.72881355932202"/>
    <d v="2021-11-02T00:00:00"/>
    <s v="F10"/>
    <d v="2021-11-02T00:00:00"/>
    <s v="CSTM_JFH11DJNLMB"/>
    <m/>
    <s v="Pending"/>
    <x v="2"/>
    <x v="0"/>
  </r>
  <r>
    <x v="241"/>
    <s v="Suresh Kumar"/>
    <x v="1"/>
    <x v="9"/>
    <x v="12"/>
    <s v="Won"/>
    <s v="6-7 Nov 2021"/>
    <n v="41000"/>
    <n v="469.53733394411364"/>
    <d v="2021-11-02T00:00:00"/>
    <s v="F10"/>
    <d v="2021-11-02T00:00:00"/>
    <s v="CSTM_2ODXHVM0HAS"/>
    <s v="Keerti"/>
    <s v="Done. Good feedback."/>
    <x v="0"/>
    <x v="0"/>
  </r>
  <r>
    <x v="241"/>
    <s v="Uday Shankar"/>
    <x v="1"/>
    <x v="9"/>
    <x v="12"/>
    <s v="Won"/>
    <s v="6-7 Nov 2021"/>
    <n v="41000"/>
    <n v="469.53733394411364"/>
    <d v="2021-11-02T00:00:00"/>
    <s v="F10"/>
    <d v="2021-11-02T00:00:00"/>
    <s v="CSTM_4G7H1HA5FSY"/>
    <s v="Pragya"/>
    <s v="Done. Good feedback."/>
    <x v="0"/>
    <x v="0"/>
  </r>
  <r>
    <x v="241"/>
    <s v="Antony"/>
    <x v="1"/>
    <x v="9"/>
    <x v="12"/>
    <s v="Won"/>
    <s v="6-7 Nov 2021"/>
    <n v="41000"/>
    <n v="469.53733394411364"/>
    <d v="2021-11-02T00:00:00"/>
    <s v="F10"/>
    <d v="2021-11-05T00:00:00"/>
    <s v="CSTM_2U2JNXIIJJJ"/>
    <s v="Pragya"/>
    <s v="Done. Good feedback."/>
    <x v="0"/>
    <x v="0"/>
  </r>
  <r>
    <x v="241"/>
    <s v="Nagalakshmi"/>
    <x v="1"/>
    <x v="9"/>
    <x v="12"/>
    <s v="Won"/>
    <s v="6-7 Nov 2021"/>
    <n v="41000"/>
    <n v="469.53733394411364"/>
    <d v="2021-11-02T00:00:00"/>
    <s v="F10"/>
    <d v="2021-11-02T00:00:00"/>
    <s v="CSTM_7X184FHF2RP"/>
    <s v="Pragya"/>
    <s v="Done. Good feedback."/>
    <x v="0"/>
    <x v="0"/>
  </r>
  <r>
    <x v="242"/>
    <s v="Vasudha Sheganti"/>
    <x v="4"/>
    <x v="9"/>
    <x v="12"/>
    <s v="Won"/>
    <s v="6-7 Nov 2021"/>
    <n v="45000"/>
    <n v="515.34585432890515"/>
    <d v="2021-11-03T00:00:00"/>
    <s v="F10"/>
    <d v="2021-11-03T00:00:00"/>
    <s v="CSTM_4ETZ4OH5EOI"/>
    <m/>
    <s v="Done. Good feedback."/>
    <x v="0"/>
    <x v="0"/>
  </r>
  <r>
    <x v="243"/>
    <s v="Shahrita"/>
    <x v="0"/>
    <x v="7"/>
    <x v="12"/>
    <s v="Won"/>
    <d v="2021-11-06T00:00:00"/>
    <n v="11000"/>
    <n v="125.97343105817684"/>
    <d v="2021-11-06T00:00:00"/>
    <s v="F10"/>
    <d v="2021-11-06T00:00:00"/>
    <s v="CSTM_61GTX8BOW2I"/>
    <m/>
    <s v="Pending"/>
    <x v="2"/>
    <x v="0"/>
  </r>
  <r>
    <x v="244"/>
    <s v="Apoorva Singh"/>
    <x v="7"/>
    <x v="2"/>
    <x v="12"/>
    <s v="Won"/>
    <s v="27-28 Nov 2021"/>
    <n v="20000"/>
    <n v="229.04260192395787"/>
    <d v="2021-11-08T00:00:00"/>
    <s v="F10"/>
    <d v="2021-11-08T00:00:00"/>
    <s v="CSTM_C3Y9F9WZF65"/>
    <m/>
    <s v="Pending"/>
    <x v="1"/>
    <x v="0"/>
  </r>
  <r>
    <x v="244"/>
    <s v="Ganapathi Subramanian"/>
    <x v="1"/>
    <x v="0"/>
    <x v="12"/>
    <s v="Won"/>
    <s v="13-14 Nov 2021"/>
    <n v="21000"/>
    <n v="240.49473202015577"/>
    <d v="2021-11-08T00:00:00"/>
    <s v="F10"/>
    <d v="2021-11-08T00:00:00"/>
    <s v="CSTM_87IHXMI7CX7"/>
    <s v="Reference by Tanu N"/>
    <s v="Done. Good feedback."/>
    <x v="0"/>
    <x v="0"/>
  </r>
  <r>
    <x v="244"/>
    <s v="Anuradha Krishna"/>
    <x v="1"/>
    <x v="14"/>
    <x v="12"/>
    <s v="Won"/>
    <s v="13-14 Nov 2021"/>
    <n v="21000"/>
    <n v="240.49473202015577"/>
    <d v="2021-11-08T00:00:00"/>
    <s v="F10"/>
    <d v="2021-11-08T00:00:00"/>
    <s v="CSTM_341W24ITG53"/>
    <s v="Reference by Tanu N"/>
    <s v="Done. Good feedback."/>
    <x v="0"/>
    <x v="0"/>
  </r>
  <r>
    <x v="245"/>
    <s v="Ranbir Singh"/>
    <x v="0"/>
    <x v="24"/>
    <x v="12"/>
    <s v="Won"/>
    <s v="13-14 Nov 2021"/>
    <n v="45000"/>
    <n v="515.34585432890515"/>
    <d v="2021-11-09T00:00:00"/>
    <s v="F10"/>
    <d v="2021-11-09T00:00:00"/>
    <s v="CSTM_DBGN70K5R75"/>
    <m/>
    <s v="Done. Good feedback."/>
    <x v="0"/>
    <x v="0"/>
  </r>
  <r>
    <x v="245"/>
    <s v="Nhanu Chavan"/>
    <x v="1"/>
    <x v="24"/>
    <x v="12"/>
    <s v="Won"/>
    <s v="13-14 Nov 2021"/>
    <n v="45000"/>
    <n v="515.34585432890515"/>
    <d v="2021-11-09T00:00:00"/>
    <s v="F10"/>
    <d v="2021-11-09T00:00:00"/>
    <s v="CSTM_EJVRJVSOKJB"/>
    <s v="Reference by Ravi Dutt"/>
    <s v="Done. Good feedback."/>
    <x v="0"/>
    <x v="0"/>
  </r>
  <r>
    <x v="245"/>
    <s v="Kavita Vinod"/>
    <x v="27"/>
    <x v="0"/>
    <x v="12"/>
    <s v="Won"/>
    <s v="13-14 Nov 2021"/>
    <n v="21000"/>
    <n v="240.49473202015577"/>
    <d v="2021-11-09T00:00:00"/>
    <s v="F10"/>
    <d v="2021-11-09T00:00:00"/>
    <s v="CSTM_FMTAANLZWVR"/>
    <m/>
    <s v="Done. Good feedback."/>
    <x v="0"/>
    <x v="0"/>
  </r>
  <r>
    <x v="245"/>
    <s v="Manik Bohidar"/>
    <x v="3"/>
    <x v="0"/>
    <x v="12"/>
    <s v="Won"/>
    <s v="13-14 Nov 2021"/>
    <n v="20500"/>
    <n v="234.76866697205682"/>
    <d v="2021-11-09T00:00:00"/>
    <s v="F10"/>
    <d v="2021-11-09T00:00:00"/>
    <s v="CSTM_HOHLV046BX"/>
    <m/>
    <s v="Done. Good feedback."/>
    <x v="0"/>
    <x v="0"/>
  </r>
  <r>
    <x v="246"/>
    <s v="Akhila Chandran"/>
    <x v="2"/>
    <x v="0"/>
    <x v="12"/>
    <s v="Won"/>
    <s v="18-19 Dec 2021"/>
    <n v="21000"/>
    <n v="240.49473202015577"/>
    <d v="2021-11-10T00:00:00"/>
    <s v="F10"/>
    <d v="2021-11-10T00:00:00"/>
    <s v="CSTM_JJBS02FCTY7"/>
    <m/>
    <s v="Done. Good feedback."/>
    <x v="0"/>
    <x v="0"/>
  </r>
  <r>
    <x v="246"/>
    <s v="Swayang Dipta"/>
    <x v="2"/>
    <x v="14"/>
    <x v="12"/>
    <s v="Won"/>
    <s v="13-14 Nov 2021"/>
    <n v="21000"/>
    <n v="240.49473202015577"/>
    <d v="2021-11-10T00:00:00"/>
    <s v="S10"/>
    <d v="2021-11-11T00:00:00"/>
    <s v="CSTM_9VR1A9CFQDM"/>
    <m/>
    <s v="Pending"/>
    <x v="0"/>
    <x v="0"/>
  </r>
  <r>
    <x v="246"/>
    <s v="Sindhuja"/>
    <x v="24"/>
    <x v="2"/>
    <x v="12"/>
    <s v="Won"/>
    <s v="20-21 Nov 2021"/>
    <n v="19000"/>
    <n v="217.59047182775998"/>
    <d v="2021-11-10T00:00:00"/>
    <s v="F10"/>
    <d v="2021-11-10T00:00:00"/>
    <s v="CSTM_BJA8MTT95J4"/>
    <s v="shivareddy.slakshmi@gmail.com"/>
    <s v="Done. Good feedback."/>
    <x v="1"/>
    <x v="0"/>
  </r>
  <r>
    <x v="246"/>
    <s v="Tripta Porwal"/>
    <x v="7"/>
    <x v="31"/>
    <x v="12"/>
    <s v="Won"/>
    <s v="13-14 Nov 2021"/>
    <n v="45000"/>
    <n v="515.34585432890515"/>
    <d v="2021-11-10T00:00:00"/>
    <s v="F10"/>
    <d v="2021-11-10T00:00:00"/>
    <s v="CSTM_BEUU1DS27AL"/>
    <m/>
    <s v="Pending"/>
    <x v="0"/>
    <x v="0"/>
  </r>
  <r>
    <x v="247"/>
    <s v="Tanu Narayan"/>
    <x v="1"/>
    <x v="14"/>
    <x v="12"/>
    <s v="Won"/>
    <s v="13-14 Nov 2021"/>
    <n v="21000"/>
    <n v="240.49473202015577"/>
    <d v="2021-11-11T00:00:00"/>
    <s v="S10"/>
    <d v="2021-11-11T00:00:00"/>
    <s v="CSTM_EOKWX1OGC02"/>
    <s v="govindkis@gmail.com"/>
    <s v="Done. Good feedback."/>
    <x v="0"/>
    <x v="0"/>
  </r>
  <r>
    <x v="247"/>
    <s v="Mousumi"/>
    <x v="23"/>
    <x v="14"/>
    <x v="12"/>
    <s v="Won"/>
    <s v="13-14 Nov 2021"/>
    <n v="21000"/>
    <n v="240.49473202015577"/>
    <d v="2021-11-11T00:00:00"/>
    <s v="S10"/>
    <d v="2021-11-11T00:00:00"/>
    <s v="CSTM_9JP90B7UKH9"/>
    <m/>
    <s v="Done. Good feedback."/>
    <x v="0"/>
    <x v="0"/>
  </r>
  <r>
    <x v="248"/>
    <s v="Vidya Ingle"/>
    <x v="1"/>
    <x v="14"/>
    <x v="12"/>
    <s v="Won"/>
    <s v="13-14 Nov 2021"/>
    <n v="21000"/>
    <n v="240.49473202015577"/>
    <d v="2021-11-12T00:00:00"/>
    <s v="S10"/>
    <d v="2021-11-12T00:00:00"/>
    <s v="CSTM_CW4RL54RVWG"/>
    <s v="Reference by Shyama Nair"/>
    <s v="Done. Good feedback."/>
    <x v="0"/>
    <x v="0"/>
  </r>
  <r>
    <x v="248"/>
    <s v="Manish Vishal"/>
    <x v="2"/>
    <x v="24"/>
    <x v="12"/>
    <s v="Won"/>
    <s v="13-14 Nov 2021"/>
    <n v="45000"/>
    <n v="515.34585432890515"/>
    <d v="2021-11-12T00:00:00"/>
    <s v="S10"/>
    <d v="2021-11-12T00:00:00"/>
    <s v="CSTM_3PHL1AIE7QG"/>
    <m/>
    <s v="Done. Good feedback."/>
    <x v="0"/>
    <x v="0"/>
  </r>
  <r>
    <x v="248"/>
    <s v="Bhavna Kapur"/>
    <x v="1"/>
    <x v="1"/>
    <x v="12"/>
    <s v="Won"/>
    <s v="13-14 Nov 2021"/>
    <n v="20000"/>
    <n v="229.04260192395787"/>
    <d v="2021-11-12T00:00:00"/>
    <s v="S10"/>
    <d v="2021-11-12T00:00:00"/>
    <s v="CSTM_46143C5R4HZ"/>
    <s v="Reference by Bhavna Kapur"/>
    <s v="Done. Good feedback."/>
    <x v="1"/>
    <x v="0"/>
  </r>
  <r>
    <x v="249"/>
    <s v="Suwarna"/>
    <x v="26"/>
    <x v="14"/>
    <x v="12"/>
    <s v="Won"/>
    <s v="20-21 Nov 2021"/>
    <n v="21000"/>
    <n v="240.49473202015577"/>
    <d v="2021-11-16T00:00:00"/>
    <s v="S10"/>
    <d v="2021-11-16T00:00:00"/>
    <s v="CSTM_34QG1XWT2C2"/>
    <m/>
    <s v="Pending"/>
    <x v="0"/>
    <x v="0"/>
  </r>
  <r>
    <x v="249"/>
    <s v="Mrunal Joshi"/>
    <x v="23"/>
    <x v="23"/>
    <x v="12"/>
    <s v="Won"/>
    <s v="19-21 Nov 2021"/>
    <n v="31000"/>
    <n v="355.01603298213467"/>
    <d v="2021-11-16T00:00:00"/>
    <s v="S10"/>
    <d v="2021-11-16T00:00:00"/>
    <s v="CSTM_64KASA5UOC5"/>
    <m/>
    <s v="Pending"/>
    <x v="0"/>
    <x v="0"/>
  </r>
  <r>
    <x v="250"/>
    <s v="Alka"/>
    <x v="2"/>
    <x v="2"/>
    <x v="12"/>
    <s v="Won"/>
    <s v="4-5 Dec 2021"/>
    <n v="20000"/>
    <n v="229.04260192395787"/>
    <d v="2021-11-18T00:00:00"/>
    <s v="S10"/>
    <d v="2021-11-18T00:00:00"/>
    <s v="CSTM_375CX6CHNAM"/>
    <m/>
    <s v="Done. Good feedback."/>
    <x v="1"/>
    <x v="0"/>
  </r>
  <r>
    <x v="251"/>
    <s v="Lal Saheb"/>
    <x v="27"/>
    <x v="0"/>
    <x v="12"/>
    <s v="Won"/>
    <s v="20-21 Nov 2021"/>
    <n v="21000"/>
    <n v="240.49473202015577"/>
    <d v="2021-11-20T00:00:00"/>
    <s v="S10"/>
    <d v="2021-11-20T00:00:00"/>
    <s v="CSTM_888M1VMXMAZ"/>
    <m/>
    <s v="Pending"/>
    <x v="0"/>
    <x v="0"/>
  </r>
  <r>
    <x v="252"/>
    <s v="Debasis"/>
    <x v="0"/>
    <x v="29"/>
    <x v="12"/>
    <s v="Won"/>
    <d v="2021-11-27T00:00:00"/>
    <n v="38000"/>
    <n v="435.18094365551997"/>
    <d v="2021-11-21T00:00:00"/>
    <s v="T10"/>
    <d v="2021-11-21T00:00:00"/>
    <s v="CSTM_A24ZICGH90P"/>
    <m/>
    <s v="Pending"/>
    <x v="2"/>
    <x v="0"/>
  </r>
  <r>
    <x v="253"/>
    <s v="Rahul"/>
    <x v="1"/>
    <x v="1"/>
    <x v="12"/>
    <s v="Won"/>
    <s v="4-5 Dec 2021"/>
    <n v="22000"/>
    <n v="251.94686211635369"/>
    <d v="2021-11-23T00:00:00"/>
    <s v="T10"/>
    <d v="2021-11-23T00:00:00"/>
    <s v="CSTM_8PWAA4AZKMY"/>
    <s v="sunilsnair777@gmail.com"/>
    <s v="Done. Good feedback."/>
    <x v="1"/>
    <x v="0"/>
  </r>
  <r>
    <x v="253"/>
    <s v="Preeti Gupta"/>
    <x v="7"/>
    <x v="14"/>
    <x v="12"/>
    <s v="Won"/>
    <s v="11-12 Dec 2021"/>
    <n v="21000"/>
    <n v="240.49473202015577"/>
    <d v="2021-11-23T00:00:00"/>
    <s v="T10"/>
    <d v="2021-11-23T00:00:00"/>
    <s v="CSTM_5BSCXG13SEA"/>
    <m/>
    <s v="Pending"/>
    <x v="0"/>
    <x v="0"/>
  </r>
  <r>
    <x v="253"/>
    <s v="Sudhanshu"/>
    <x v="1"/>
    <x v="43"/>
    <x v="12"/>
    <s v="Won"/>
    <d v="2021-11-23T00:00:00"/>
    <n v="43000"/>
    <n v="492.44159413650942"/>
    <d v="2021-11-23T00:00:00"/>
    <s v="T10"/>
    <d v="2021-11-23T00:00:00"/>
    <s v="CSTM_IY7DZ113VQ8"/>
    <s v="shefali.nigam7@gmail.com"/>
    <s v="Pending"/>
    <x v="2"/>
    <x v="0"/>
  </r>
  <r>
    <x v="254"/>
    <s v="Tanay Gunjikar"/>
    <x v="1"/>
    <x v="1"/>
    <x v="12"/>
    <s v="Won"/>
    <s v="4-5 Dec 2021"/>
    <n v="19000"/>
    <n v="217.59047182775998"/>
    <d v="2021-11-24T00:00:00"/>
    <s v="T10"/>
    <d v="2021-11-24T00:00:00"/>
    <s v="CSTM_IL7AZING3KS"/>
    <s v="e21tanayg@iimidr.ac.in"/>
    <s v="Done. Good feedback."/>
    <x v="1"/>
    <x v="0"/>
  </r>
  <r>
    <x v="254"/>
    <s v="Salil Ahuja"/>
    <x v="7"/>
    <x v="14"/>
    <x v="13"/>
    <s v="Won"/>
    <s v="18-19 Dec 2021"/>
    <n v="21000"/>
    <n v="240.49473202015577"/>
    <d v="2021-11-24T00:00:00"/>
    <s v="F10"/>
    <d v="2021-12-01T00:00:00"/>
    <s v="CSTM_8F0ZEZIO889"/>
    <m/>
    <s v="Done. Good feedback."/>
    <x v="0"/>
    <x v="0"/>
  </r>
  <r>
    <x v="255"/>
    <s v="Karan Mehta"/>
    <x v="7"/>
    <x v="1"/>
    <x v="12"/>
    <s v="Won"/>
    <s v="11-12 Dec 2021"/>
    <n v="20000"/>
    <n v="229.04260192395787"/>
    <d v="2021-11-26T00:00:00"/>
    <s v="T10"/>
    <d v="2021-11-26T00:00:00"/>
    <s v="CSTM_AD8V5T40J7Y"/>
    <m/>
    <s v="Done. Good feedback."/>
    <x v="1"/>
    <x v="0"/>
  </r>
  <r>
    <x v="255"/>
    <s v="Bidyut "/>
    <x v="7"/>
    <x v="14"/>
    <x v="12"/>
    <s v="Won"/>
    <s v="11-12 Dec 2021"/>
    <n v="21000"/>
    <n v="240.49473202015577"/>
    <d v="2021-11-26T00:00:00"/>
    <s v="T10"/>
    <d v="2021-11-26T00:00:00"/>
    <s v="CSTM_C60PEZ1MLHS"/>
    <m/>
    <s v="Done. Good feedback."/>
    <x v="0"/>
    <x v="0"/>
  </r>
  <r>
    <x v="256"/>
    <s v="Daya Bhosale"/>
    <x v="0"/>
    <x v="0"/>
    <x v="12"/>
    <s v="Won"/>
    <s v="13-14 Dec 2021"/>
    <n v="141600"/>
    <n v="1621.6216216216217"/>
    <d v="2021-11-25T00:00:00"/>
    <s v="T10"/>
    <d v="2021-11-25T00:00:00"/>
    <s v="00062616_01"/>
    <m/>
    <s v="Pending"/>
    <x v="0"/>
    <x v="0"/>
  </r>
  <r>
    <x v="257"/>
    <s v="Dipandas"/>
    <x v="5"/>
    <x v="2"/>
    <x v="12"/>
    <s v="Won"/>
    <s v="11-12 Dec 2021"/>
    <n v="20000"/>
    <n v="229.04260192395787"/>
    <d v="2021-11-28T00:00:00"/>
    <s v="T10"/>
    <d v="2021-11-28T00:00:00"/>
    <s v="CSTM_D791BOPH90G"/>
    <m/>
    <s v="Done. Good feedback."/>
    <x v="1"/>
    <x v="0"/>
  </r>
  <r>
    <x v="258"/>
    <s v="Harish"/>
    <x v="5"/>
    <x v="14"/>
    <x v="12"/>
    <s v="Won"/>
    <s v="11-12 Dec 2021"/>
    <n v="21000"/>
    <n v="240.49473202015577"/>
    <d v="2021-11-29T00:00:00"/>
    <s v="T10"/>
    <d v="2021-11-29T00:00:00"/>
    <s v="CSTM_203QJ2Y926V"/>
    <m/>
    <s v="Done. Good feedback."/>
    <x v="0"/>
    <x v="0"/>
  </r>
  <r>
    <x v="258"/>
    <s v="Hina Bhatia"/>
    <x v="5"/>
    <x v="14"/>
    <x v="12"/>
    <s v="Won"/>
    <s v="18-19 Dec 2021"/>
    <n v="21000"/>
    <n v="240.49473202015577"/>
    <d v="2021-11-29T00:00:00"/>
    <s v="T10"/>
    <d v="2021-11-29T00:00:00"/>
    <s v="CSTM_ATJFICUKG4S"/>
    <m/>
    <s v="Pending"/>
    <x v="0"/>
    <x v="0"/>
  </r>
  <r>
    <x v="259"/>
    <s v="Abhishek Ghosh"/>
    <x v="2"/>
    <x v="14"/>
    <x v="12"/>
    <s v="Won"/>
    <s v="11-12 Dec 2021"/>
    <n v="21000"/>
    <n v="240.49473202015577"/>
    <d v="2021-11-30T00:00:00"/>
    <s v="T10"/>
    <d v="2021-11-30T00:00:00"/>
    <s v="CSTM_GV8ERGTWCXG"/>
    <m/>
    <s v="Done. Good feedback."/>
    <x v="0"/>
    <x v="0"/>
  </r>
  <r>
    <x v="259"/>
    <s v="Swapna Shivashankaran"/>
    <x v="7"/>
    <x v="18"/>
    <x v="12"/>
    <s v="Won"/>
    <d v="2021-11-30T00:00:00"/>
    <n v="15500"/>
    <n v="177.50801649106734"/>
    <d v="2021-11-30T00:00:00"/>
    <s v="T10"/>
    <d v="2021-11-30T00:00:00"/>
    <s v="CSTM_HXD3875HGH1"/>
    <m/>
    <s v="Pending"/>
    <x v="2"/>
    <x v="0"/>
  </r>
  <r>
    <x v="259"/>
    <s v="Chandrashekhar"/>
    <x v="1"/>
    <x v="0"/>
    <x v="12"/>
    <s v="Won"/>
    <s v="4-5 Dec 2021"/>
    <n v="21000"/>
    <n v="240.49473202015577"/>
    <d v="2021-11-30T00:00:00"/>
    <s v="T10"/>
    <d v="2021-11-30T00:00:00"/>
    <s v="CSTM_3QXF8OQG3Q1"/>
    <s v="Aurko"/>
    <s v="Done. Good feedback."/>
    <x v="0"/>
    <x v="0"/>
  </r>
  <r>
    <x v="259"/>
    <s v="Arun Rangan"/>
    <x v="0"/>
    <x v="0"/>
    <x v="12"/>
    <s v="Won"/>
    <s v="4-5 Dec 2021"/>
    <n v="21000"/>
    <n v="240.49473202015577"/>
    <d v="2021-11-30T00:00:00"/>
    <s v="T10"/>
    <d v="2021-11-30T00:00:00"/>
    <s v="CSTM_HNZYL77N7CB"/>
    <m/>
    <s v="Done. Good feedback."/>
    <x v="0"/>
    <x v="0"/>
  </r>
  <r>
    <x v="259"/>
    <s v="Vivek Soni"/>
    <x v="1"/>
    <x v="0"/>
    <x v="12"/>
    <s v="Won"/>
    <s v="18-19 Dec 2021"/>
    <n v="21000"/>
    <n v="240.49473202015577"/>
    <d v="2021-11-30T00:00:00"/>
    <s v="T10"/>
    <d v="2021-11-30T00:00:00"/>
    <s v="CSTM_AIWB8JB0XI3"/>
    <s v="Reference by Ramakrishna"/>
    <s v="Done. Good feedback."/>
    <x v="0"/>
    <x v="0"/>
  </r>
  <r>
    <x v="259"/>
    <s v="Srishti Srivastava"/>
    <x v="1"/>
    <x v="0"/>
    <x v="12"/>
    <s v="Won"/>
    <s v="18-19 Dec 2021"/>
    <n v="21000"/>
    <n v="240.49473202015577"/>
    <d v="2021-11-30T00:00:00"/>
    <s v="T10"/>
    <d v="2021-11-30T00:00:00"/>
    <s v="CSTM_EU6EY6644XV"/>
    <s v="Reference by Vivek Soni"/>
    <s v="Done. Good feedback."/>
    <x v="0"/>
    <x v="0"/>
  </r>
  <r>
    <x v="260"/>
    <s v="Mahesha Baswan"/>
    <x v="5"/>
    <x v="9"/>
    <x v="13"/>
    <s v="Won"/>
    <s v="18-19 Dec 2021"/>
    <n v="45000"/>
    <n v="515.34585432890515"/>
    <d v="2021-12-01T00:00:00"/>
    <s v="F10"/>
    <d v="2021-12-01T00:00:00"/>
    <s v="CSTM_1DQ4VGQV4WJ"/>
    <m/>
    <s v="Pending"/>
    <x v="0"/>
    <x v="0"/>
  </r>
  <r>
    <x v="261"/>
    <s v="Neeti Jain"/>
    <x v="1"/>
    <x v="2"/>
    <x v="13"/>
    <s v="Won"/>
    <s v="6-7 Dec 2021"/>
    <n v="20000"/>
    <n v="229.04260192395787"/>
    <d v="2021-12-02T00:00:00"/>
    <s v="F10"/>
    <d v="2021-12-02T00:00:00"/>
    <s v="CSTM_GVFFBFAOGPY"/>
    <s v="pmoapoorva@gmail.com"/>
    <s v="Pending"/>
    <x v="1"/>
    <x v="0"/>
  </r>
  <r>
    <x v="261"/>
    <s v="Pragna Katuru"/>
    <x v="2"/>
    <x v="14"/>
    <x v="13"/>
    <s v="Won"/>
    <s v="4-5 Dec 2021"/>
    <n v="21000"/>
    <n v="240.49473202015577"/>
    <d v="2021-12-02T00:00:00"/>
    <s v="F10"/>
    <d v="2021-12-02T00:00:00"/>
    <s v="CSTM_DO9PQIKSLFZ"/>
    <m/>
    <s v="Done. Good feedback."/>
    <x v="0"/>
    <x v="0"/>
  </r>
  <r>
    <x v="261"/>
    <s v="Varun "/>
    <x v="1"/>
    <x v="1"/>
    <x v="13"/>
    <s v="Won"/>
    <s v="4-5 Dec 2021"/>
    <n v="22000"/>
    <n v="251.94686211635369"/>
    <d v="2021-12-02T00:00:00"/>
    <s v="F10"/>
    <d v="2021-12-02T00:00:00"/>
    <s v="CSTM_IF861I4GO8U"/>
    <s v="Reference by Rahul - Cognizant"/>
    <s v="Done. Good feedback."/>
    <x v="1"/>
    <x v="0"/>
  </r>
  <r>
    <x v="261"/>
    <s v="Darshan"/>
    <x v="27"/>
    <x v="18"/>
    <x v="13"/>
    <s v="Won"/>
    <d v="2021-12-04T00:00:00"/>
    <n v="16000"/>
    <n v="183.23408153916631"/>
    <d v="2021-12-02T00:00:00"/>
    <s v="F10"/>
    <d v="2021-12-02T00:00:00"/>
    <s v="CSTM_DO4NC3Q17DJ"/>
    <m/>
    <s v="Pending"/>
    <x v="2"/>
    <x v="0"/>
  </r>
  <r>
    <x v="262"/>
    <s v="Bijith C"/>
    <x v="3"/>
    <x v="2"/>
    <x v="13"/>
    <s v="Won"/>
    <s v="22-23 Jan 2021"/>
    <n v="20000"/>
    <n v="229.04260192395787"/>
    <d v="2021-12-03T00:00:00"/>
    <s v="F10"/>
    <d v="2021-12-03T00:00:00"/>
    <s v="CSTM_8NW6MZJPFX9"/>
    <m/>
    <s v="Pending"/>
    <x v="1"/>
    <x v="0"/>
  </r>
  <r>
    <x v="262"/>
    <s v="Srijini"/>
    <x v="0"/>
    <x v="14"/>
    <x v="13"/>
    <s v="Won"/>
    <s v="11-12 Dec 2021"/>
    <n v="21000"/>
    <n v="240.49473202015577"/>
    <d v="2021-12-03T00:00:00"/>
    <s v="F10"/>
    <d v="2021-12-03T00:00:00"/>
    <s v="CSTM_4NRWOE19PPZ"/>
    <m/>
    <s v="Done. Good feedback."/>
    <x v="0"/>
    <x v="0"/>
  </r>
  <r>
    <x v="263"/>
    <s v="Omkar Kulkarni"/>
    <x v="5"/>
    <x v="0"/>
    <x v="13"/>
    <s v="Won"/>
    <s v="18-19 Dec 2021"/>
    <n v="21000"/>
    <n v="240.49473202015577"/>
    <d v="2021-12-04T00:00:00"/>
    <s v="F10"/>
    <d v="2021-12-04T00:00:00"/>
    <s v="CSTM_D2Z35RKKLN6"/>
    <m/>
    <s v="Done. Good feedback."/>
    <x v="0"/>
    <x v="0"/>
  </r>
  <r>
    <x v="263"/>
    <s v="Karthik Sundar"/>
    <x v="1"/>
    <x v="9"/>
    <x v="13"/>
    <s v="Won"/>
    <s v="11-12 Dec 2021"/>
    <n v="45000"/>
    <n v="515.34585432890515"/>
    <d v="2021-12-04T00:00:00"/>
    <s v="F10"/>
    <d v="2021-12-04T00:00:00"/>
    <s v="CSTM_39CH87ML441"/>
    <s v="Pragya K"/>
    <s v="Done. Good feedback."/>
    <x v="0"/>
    <x v="0"/>
  </r>
  <r>
    <x v="264"/>
    <s v="Shaileja"/>
    <x v="2"/>
    <x v="31"/>
    <x v="13"/>
    <s v="Won"/>
    <s v="11-12 Dec 2021"/>
    <n v="45000"/>
    <n v="515.34585432890515"/>
    <d v="2021-12-06T00:00:00"/>
    <s v="F10"/>
    <d v="2021-12-06T00:00:00"/>
    <s v="CSTM_5IYREGSEW10"/>
    <m/>
    <s v="Done. Good feedback."/>
    <x v="0"/>
    <x v="0"/>
  </r>
  <r>
    <x v="265"/>
    <s v="Yogesh Patel"/>
    <x v="27"/>
    <x v="2"/>
    <x v="13"/>
    <s v="Won"/>
    <s v="25-26 Dec 2021"/>
    <n v="19000"/>
    <n v="217.59047182775998"/>
    <d v="2021-12-07T00:00:00"/>
    <s v="F10"/>
    <d v="2021-12-07T00:00:00"/>
    <s v="CSTM_HK7JT65C1MR"/>
    <m/>
    <s v="Done. Good feedback."/>
    <x v="1"/>
    <x v="0"/>
  </r>
  <r>
    <x v="265"/>
    <s v="Udgeet Patel"/>
    <x v="1"/>
    <x v="2"/>
    <x v="13"/>
    <s v="Won"/>
    <s v="25-26 Dec 2021"/>
    <n v="19000"/>
    <n v="217.59047182775998"/>
    <d v="2021-12-07T00:00:00"/>
    <s v="F10"/>
    <d v="2021-12-07T00:00:00"/>
    <s v="CSTM_FSK8RB2KB3I"/>
    <s v="Reference by Yogesh Patel"/>
    <s v="Done. Good feedback."/>
    <x v="1"/>
    <x v="0"/>
  </r>
  <r>
    <x v="266"/>
    <s v="Dhiraj Bhatt"/>
    <x v="5"/>
    <x v="0"/>
    <x v="13"/>
    <s v="Won"/>
    <s v="18-19 Dec 2021"/>
    <n v="21000"/>
    <n v="240.49473202015577"/>
    <d v="2021-12-08T00:00:00"/>
    <s v="F10"/>
    <d v="2021-12-08T00:00:00"/>
    <s v="CSTM_5W2QR13T1NV"/>
    <m/>
    <s v="Done. Good feedback."/>
    <x v="0"/>
    <x v="0"/>
  </r>
  <r>
    <x v="267"/>
    <s v="Nidhita Shilpi"/>
    <x v="2"/>
    <x v="3"/>
    <x v="13"/>
    <s v="Won"/>
    <d v="2021-12-09T00:00:00"/>
    <n v="11000"/>
    <n v="125.97343105817684"/>
    <d v="2021-12-09T00:00:00"/>
    <s v="F10"/>
    <d v="2021-12-10T00:00:00"/>
    <s v="CSTM_OX8DH477XB"/>
    <m/>
    <s v="Pending"/>
    <x v="1"/>
    <x v="0"/>
  </r>
  <r>
    <x v="267"/>
    <s v="Vikram Goel"/>
    <x v="2"/>
    <x v="9"/>
    <x v="13"/>
    <s v="Won"/>
    <s v="11-12 Dec 2021"/>
    <n v="45000"/>
    <n v="515.34585432890515"/>
    <d v="2021-12-09T00:00:00"/>
    <s v="F10"/>
    <d v="2021-12-09T00:00:00"/>
    <s v="CSTM_8Q6T7ZSYIFS"/>
    <m/>
    <s v="Done. Good feedback."/>
    <x v="0"/>
    <x v="0"/>
  </r>
  <r>
    <x v="268"/>
    <s v="Soumya Prakash"/>
    <x v="24"/>
    <x v="9"/>
    <x v="13"/>
    <s v="Won"/>
    <s v="11-12 Dec 2021"/>
    <n v="42000"/>
    <n v="480.98946404031153"/>
    <d v="2021-12-10T00:00:00"/>
    <s v="F10"/>
    <d v="2021-12-10T00:00:00"/>
    <s v="CSTM_BXZ4L7G4Z3I"/>
    <s v="ursdeb@gmail.com"/>
    <s v="Pending"/>
    <x v="0"/>
    <x v="0"/>
  </r>
  <r>
    <x v="269"/>
    <s v="Prakhar"/>
    <x v="2"/>
    <x v="14"/>
    <x v="13"/>
    <s v="Won"/>
    <s v="25-26 Dec 2021"/>
    <n v="20500"/>
    <n v="234.76866697205682"/>
    <d v="2021-12-12T00:00:00"/>
    <s v="S10"/>
    <d v="2021-12-12T00:00:00"/>
    <s v="CSTM_5AOZXEULHRE"/>
    <m/>
    <s v="Done. Good feedback."/>
    <x v="0"/>
    <x v="0"/>
  </r>
  <r>
    <x v="269"/>
    <s v="Gautam Sikka"/>
    <x v="1"/>
    <x v="14"/>
    <x v="13"/>
    <s v="Won"/>
    <s v="25-26 Dec 2021"/>
    <n v="20500"/>
    <n v="234.76866697205682"/>
    <d v="2021-12-12T00:00:00"/>
    <s v="S10"/>
    <d v="2021-12-12T00:00:00"/>
    <s v="CSTM_ERNZUXL7YA0"/>
    <s v="pksprakhar@gmail.com"/>
    <s v="Done. Good feedback."/>
    <x v="0"/>
    <x v="0"/>
  </r>
  <r>
    <x v="269"/>
    <s v="Shiv Maikhuri"/>
    <x v="1"/>
    <x v="14"/>
    <x v="13"/>
    <s v="Won"/>
    <s v="25-26 Dec 2021"/>
    <n v="20500"/>
    <n v="234.76866697205682"/>
    <d v="2021-12-12T00:00:00"/>
    <s v="S10"/>
    <d v="2021-12-12T00:00:00"/>
    <s v="CSTM_8AWVRNXIZRX"/>
    <s v="pksprakhar@gmail.com"/>
    <s v="Done. Good feedback."/>
    <x v="0"/>
    <x v="0"/>
  </r>
  <r>
    <x v="269"/>
    <s v="Rahul Hajela"/>
    <x v="1"/>
    <x v="14"/>
    <x v="13"/>
    <s v="Won"/>
    <s v="25-26 Dec 2021"/>
    <n v="20500"/>
    <n v="234.76866697205682"/>
    <d v="2021-12-12T00:00:00"/>
    <s v="S10"/>
    <d v="2021-12-12T00:00:00"/>
    <s v="CSTM_55C2OMDFK54"/>
    <s v="pksprakhar@gmail.com"/>
    <s v="Done. Good feedback."/>
    <x v="0"/>
    <x v="0"/>
  </r>
  <r>
    <x v="269"/>
    <s v="Anoop Sharma"/>
    <x v="1"/>
    <x v="14"/>
    <x v="13"/>
    <s v="Won"/>
    <s v="25-26 Dec 2021"/>
    <n v="20500"/>
    <n v="234.76866697205682"/>
    <d v="2021-12-12T00:00:00"/>
    <s v="S10"/>
    <d v="2021-12-12T00:00:00"/>
    <s v="CSTM_CDWTX624DA8"/>
    <s v="pksprakhar@gmail.com"/>
    <s v="Done. Good feedback."/>
    <x v="0"/>
    <x v="0"/>
  </r>
  <r>
    <x v="269"/>
    <s v="Manish Upadhyay"/>
    <x v="1"/>
    <x v="14"/>
    <x v="13"/>
    <s v="Won"/>
    <s v="25-26 Dec 2021"/>
    <n v="20500"/>
    <n v="234.76866697205682"/>
    <d v="2021-12-12T00:00:00"/>
    <s v="S10"/>
    <d v="2021-12-12T00:00:00"/>
    <s v="CSTM_35E81INBI45"/>
    <s v="pksprakhar@gmail.com"/>
    <s v="Pending"/>
    <x v="0"/>
    <x v="0"/>
  </r>
  <r>
    <x v="270"/>
    <s v="Deepa"/>
    <x v="27"/>
    <x v="2"/>
    <x v="13"/>
    <s v="Won"/>
    <s v="8-9 Jan 2022"/>
    <n v="20000"/>
    <n v="229.04260192395787"/>
    <d v="2021-12-13T00:00:00"/>
    <s v="S10"/>
    <d v="2021-12-13T00:00:00"/>
    <s v="CSTM_1TZX7RMEN1B"/>
    <m/>
    <s v="Done. Good feedback."/>
    <x v="1"/>
    <x v="0"/>
  </r>
  <r>
    <x v="271"/>
    <s v="Nishant Shah"/>
    <x v="24"/>
    <x v="2"/>
    <x v="13"/>
    <s v="Won"/>
    <s v="25-26 Dec 2021"/>
    <n v="19000"/>
    <n v="217.59047182775998"/>
    <d v="2021-12-14T00:00:00"/>
    <s v="S10"/>
    <d v="2021-12-14T00:00:00"/>
    <s v="CSTM_77P882GCS42"/>
    <s v="pateljigarb@gmail.com"/>
    <s v="Done. Good feedback."/>
    <x v="1"/>
    <x v="0"/>
  </r>
  <r>
    <x v="271"/>
    <s v="Raman Kakara"/>
    <x v="7"/>
    <x v="9"/>
    <x v="13"/>
    <s v="Won"/>
    <s v="18-19 Dec 2021"/>
    <n v="41000"/>
    <n v="469.53733394411364"/>
    <d v="2021-12-14T00:00:00"/>
    <s v="S10"/>
    <d v="2021-12-14T00:00:00"/>
    <s v="CSTM_2OQSODXKUD8"/>
    <m/>
    <s v="Done. Good feedback."/>
    <x v="0"/>
    <x v="0"/>
  </r>
  <r>
    <x v="272"/>
    <s v="Prachiti Raut"/>
    <x v="2"/>
    <x v="9"/>
    <x v="13"/>
    <s v="Won"/>
    <s v="18-19 Dec 2021"/>
    <n v="45000"/>
    <n v="515.34585432890515"/>
    <d v="2021-12-15T00:00:00"/>
    <s v="S10"/>
    <d v="2021-12-15T00:00:00"/>
    <s v="CSTM_6LRZV0IUPFC"/>
    <m/>
    <s v="Done. Good feedback."/>
    <x v="0"/>
    <x v="0"/>
  </r>
  <r>
    <x v="273"/>
    <s v="Meenal Gokhale"/>
    <x v="7"/>
    <x v="9"/>
    <x v="13"/>
    <s v="Won"/>
    <s v="25-26 Dec 2021"/>
    <n v="42000"/>
    <n v="480.98946404031153"/>
    <d v="2021-12-16T00:00:00"/>
    <s v="S10"/>
    <d v="2021-12-16T00:00:00"/>
    <s v="CSTM_E3VC62Y255P"/>
    <m/>
    <s v="Pending"/>
    <x v="0"/>
    <x v="0"/>
  </r>
  <r>
    <x v="274"/>
    <s v="Deepak"/>
    <x v="1"/>
    <x v="1"/>
    <x v="13"/>
    <s v="Won"/>
    <s v="15-16 Jan 2022"/>
    <n v="20000"/>
    <n v="229.04260192395787"/>
    <d v="2021-12-17T00:00:00"/>
    <s v="S10"/>
    <d v="2021-12-17T00:00:00"/>
    <s v="CSTM_2GOTRJEWQYF"/>
    <s v="Pragya K"/>
    <s v="Done. Good feedback."/>
    <x v="1"/>
    <x v="0"/>
  </r>
  <r>
    <x v="275"/>
    <s v="Yogendran"/>
    <x v="1"/>
    <x v="0"/>
    <x v="13"/>
    <s v="Won"/>
    <s v="8-9 Jan 2022"/>
    <n v="21000"/>
    <n v="240.49473202015577"/>
    <d v="2021-12-18T00:00:00"/>
    <s v="S10"/>
    <d v="2021-12-18T00:00:00"/>
    <s v="CSTM_ABMSMLGV9IM"/>
    <s v="Reference by Thirunavakarasu"/>
    <s v="Pending"/>
    <x v="0"/>
    <x v="0"/>
  </r>
  <r>
    <x v="274"/>
    <s v="Aman Mishra"/>
    <x v="1"/>
    <x v="44"/>
    <x v="13"/>
    <s v="Won"/>
    <d v="2021-12-17T00:00:00"/>
    <n v="5000"/>
    <n v="57.260650480989469"/>
    <d v="2021-12-17T00:00:00"/>
    <s v="S10"/>
    <d v="2021-12-16T00:00:00"/>
    <s v="CSTM_PARTIAL_FIRST_3O06ZBLN294"/>
    <s v="Reference by Jyoti Mishra"/>
    <s v="Pending"/>
    <x v="2"/>
    <x v="0"/>
  </r>
  <r>
    <x v="274"/>
    <s v="Aman Mishra"/>
    <x v="1"/>
    <x v="44"/>
    <x v="13"/>
    <s v="Won"/>
    <d v="2021-12-17T00:00:00"/>
    <n v="30000"/>
    <n v="343.56390288593678"/>
    <d v="2021-12-17T00:00:00"/>
    <s v="S10"/>
    <d v="2021-12-17T00:00:00"/>
    <s v="CSTM_PARTIAL_SUBS_7J40OLTSQB2"/>
    <s v="Reference by Jyoti Mishra"/>
    <s v="Pending"/>
    <x v="2"/>
    <x v="0"/>
  </r>
  <r>
    <x v="275"/>
    <s v="Sree Charan Konda"/>
    <x v="2"/>
    <x v="9"/>
    <x v="13"/>
    <s v="Won"/>
    <s v="25-26 Dec 2021"/>
    <n v="42000"/>
    <n v="480.98946404031153"/>
    <d v="2021-12-18T00:00:00"/>
    <s v="S10"/>
    <d v="2021-12-18T00:00:00"/>
    <s v="CSTM_83QHCMDDOBC"/>
    <m/>
    <s v="Done. Good feedback."/>
    <x v="0"/>
    <x v="0"/>
  </r>
  <r>
    <x v="276"/>
    <s v="Nitin Vatsya"/>
    <x v="2"/>
    <x v="0"/>
    <x v="13"/>
    <s v="Won"/>
    <s v="25-26 Dec 2021"/>
    <n v="21000"/>
    <n v="240.49473202015577"/>
    <d v="2021-12-19T00:00:00"/>
    <s v="S10"/>
    <d v="2021-12-19T00:00:00"/>
    <s v="CSTM_2LFJ94Y122W"/>
    <m/>
    <s v="Done. Good feedback."/>
    <x v="0"/>
    <x v="0"/>
  </r>
  <r>
    <x v="276"/>
    <s v="Priyanka Chaurasiya"/>
    <x v="7"/>
    <x v="14"/>
    <x v="13"/>
    <s v="Won"/>
    <s v="25-26 Dec 2021"/>
    <n v="21000"/>
    <n v="240.49473202015577"/>
    <d v="2021-12-19T00:00:00"/>
    <s v="S10"/>
    <d v="2021-12-20T00:00:00"/>
    <s v="CSTM_ISJY27SZJGP"/>
    <m/>
    <s v="Pending"/>
    <x v="0"/>
    <x v="0"/>
  </r>
  <r>
    <x v="277"/>
    <s v="Deepak"/>
    <x v="1"/>
    <x v="9"/>
    <x v="13"/>
    <s v="Won"/>
    <s v="25-26 Dec 2021"/>
    <n v="40000"/>
    <n v="458.08520384791575"/>
    <d v="2021-12-20T00:00:00"/>
    <s v="T10"/>
    <d v="2021-12-21T00:00:00"/>
    <s v="CSTM_SSDF8RK1I5"/>
    <s v="ddkgec@gmail.com"/>
    <s v="Done. Good feedback."/>
    <x v="0"/>
    <x v="0"/>
  </r>
  <r>
    <x v="277"/>
    <s v="Dhiraj"/>
    <x v="2"/>
    <x v="14"/>
    <x v="13"/>
    <s v="Won"/>
    <s v="25-26 Dec 2021"/>
    <n v="21000"/>
    <n v="240.49473202015577"/>
    <d v="2021-12-20T00:00:00"/>
    <s v="T10"/>
    <d v="2021-12-21T00:00:00"/>
    <s v="CSTM_F4NOVB1DTUJ"/>
    <m/>
    <s v="Done. Good feedback."/>
    <x v="0"/>
    <x v="0"/>
  </r>
  <r>
    <x v="278"/>
    <s v="Nikitha RB"/>
    <x v="3"/>
    <x v="0"/>
    <x v="13"/>
    <s v="Won"/>
    <s v="25-26 Dec 2021"/>
    <n v="21000"/>
    <n v="240.49473202015577"/>
    <d v="2021-12-21T00:00:00"/>
    <s v="T10"/>
    <d v="2021-12-21T00:00:00"/>
    <s v="CSTM_CT2V4DTZYOH"/>
    <m/>
    <s v="Done. Good feedback."/>
    <x v="0"/>
    <x v="0"/>
  </r>
  <r>
    <x v="278"/>
    <s v="Neelam Rajput"/>
    <x v="2"/>
    <x v="14"/>
    <x v="13"/>
    <s v="Won"/>
    <s v="25-26 Dec 2021"/>
    <n v="21000"/>
    <n v="240.49473202015577"/>
    <d v="2021-12-21T00:00:00"/>
    <s v="T10"/>
    <d v="2021-12-21T00:00:00"/>
    <s v="CSTM_CBHJ2SPVICD"/>
    <m/>
    <s v="Done. Good feedback."/>
    <x v="0"/>
    <x v="0"/>
  </r>
  <r>
    <x v="278"/>
    <s v="Noorjahan Shaik"/>
    <x v="1"/>
    <x v="2"/>
    <x v="13"/>
    <s v="Won"/>
    <s v="22-23 Jan 2022"/>
    <n v="20000"/>
    <n v="229.04260192395787"/>
    <d v="2021-12-21T00:00:00"/>
    <s v="T10"/>
    <d v="2021-12-21T00:00:00"/>
    <s v="CSTM_ER0M2DTVEFL"/>
    <s v="Pragya K"/>
    <s v="Pending"/>
    <x v="1"/>
    <x v="0"/>
  </r>
  <r>
    <x v="278"/>
    <s v="Rajeshwari"/>
    <x v="2"/>
    <x v="0"/>
    <x v="13"/>
    <s v="Won"/>
    <s v="29-30 Jan 2022"/>
    <n v="21000"/>
    <n v="240.49473202015577"/>
    <d v="2021-12-21T00:00:00"/>
    <s v="T10"/>
    <d v="2021-12-21T00:00:00"/>
    <s v="CSTM_F7VU1OU6E0E"/>
    <m/>
    <s v="Pending"/>
    <x v="0"/>
    <x v="0"/>
  </r>
  <r>
    <x v="279"/>
    <s v="Dhananjay Sandhan"/>
    <x v="1"/>
    <x v="9"/>
    <x v="13"/>
    <s v="Won"/>
    <s v="25-26 Dec 2021"/>
    <n v="41000"/>
    <n v="469.53733394411364"/>
    <d v="2021-12-22T00:00:00"/>
    <s v="T10"/>
    <d v="2021-12-22T00:00:00"/>
    <s v="CSTM_D6DGXTVPLRI"/>
    <s v="uday.gajewar@yahoo.com"/>
    <s v="Done. Good feedback."/>
    <x v="0"/>
    <x v="0"/>
  </r>
  <r>
    <x v="279"/>
    <s v="Anshika Aggarwal"/>
    <x v="0"/>
    <x v="1"/>
    <x v="13"/>
    <s v="Won"/>
    <s v="18-19 Jan 2022"/>
    <n v="20000"/>
    <n v="229.04260192395787"/>
    <d v="2021-12-22T00:00:00"/>
    <s v="T10"/>
    <d v="2021-12-22T00:00:00"/>
    <s v="CSTM_ECV7TCRT56T"/>
    <m/>
    <s v="Pending"/>
    <x v="1"/>
    <x v="0"/>
  </r>
  <r>
    <x v="279"/>
    <s v="Tejaswini Lalge"/>
    <x v="5"/>
    <x v="14"/>
    <x v="13"/>
    <s v="Won"/>
    <s v="25-26 Dec 2021"/>
    <n v="21000"/>
    <n v="240.49473202015577"/>
    <d v="2021-12-22T00:00:00"/>
    <s v="T10"/>
    <d v="2021-12-22T00:00:00"/>
    <s v="CSTM_5TCX2Q9392Z"/>
    <m/>
    <s v="Done. Good feedback."/>
    <x v="0"/>
    <x v="0"/>
  </r>
  <r>
    <x v="280"/>
    <s v="Pankaj Jain"/>
    <x v="1"/>
    <x v="9"/>
    <x v="13"/>
    <s v="Won"/>
    <s v="25-26 Dec 2021"/>
    <n v="45000"/>
    <n v="515.34585432890515"/>
    <d v="2021-12-23T00:00:00"/>
    <s v="T10"/>
    <d v="2021-12-23T00:00:00"/>
    <s v="CSTM_GT22OKJDGHA"/>
    <s v="vikram_goel1@yahoo.com"/>
    <s v="Done. Good feedback."/>
    <x v="0"/>
    <x v="0"/>
  </r>
  <r>
    <x v="280"/>
    <s v="Prabhakaran"/>
    <x v="1"/>
    <x v="2"/>
    <x v="13"/>
    <s v="Won"/>
    <s v="22-23 Jan 2022"/>
    <n v="20000"/>
    <n v="229.04260192395787"/>
    <d v="2021-12-23T00:00:00"/>
    <s v="T10"/>
    <d v="2021-12-23T00:00:00"/>
    <s v="CSTM_8462MXQ0R99"/>
    <s v="Reference by umasibm2008@gmail.com"/>
    <s v="Pending"/>
    <x v="1"/>
    <x v="0"/>
  </r>
  <r>
    <x v="281"/>
    <s v="Pratik Sachdeva"/>
    <x v="6"/>
    <x v="0"/>
    <x v="13"/>
    <s v="Won"/>
    <s v="25-26 Dec 2021"/>
    <n v="20500"/>
    <n v="234.76866697205682"/>
    <d v="2021-12-24T00:00:00"/>
    <s v="T10"/>
    <d v="2021-12-24T00:00:00"/>
    <s v="CSTM_2YCI1QX4RGE"/>
    <m/>
    <s v="Done. Good feedback."/>
    <x v="0"/>
    <x v="0"/>
  </r>
  <r>
    <x v="281"/>
    <s v="Pramod Vakkalanka"/>
    <x v="1"/>
    <x v="2"/>
    <x v="13"/>
    <s v="Won"/>
    <s v="22-23 Jan 2022"/>
    <n v="20000"/>
    <n v="229.04260192395787"/>
    <d v="2021-12-24T00:00:00"/>
    <s v="T10"/>
    <d v="2021-12-24T00:00:00"/>
    <s v="CSTM_84HRK73TDPX"/>
    <s v="Reference by Divya Ponugupai"/>
    <s v="Pending"/>
    <x v="1"/>
    <x v="0"/>
  </r>
  <r>
    <x v="282"/>
    <s v="Meetu Chopra"/>
    <x v="23"/>
    <x v="31"/>
    <x v="13"/>
    <s v="Won"/>
    <s v="8-9 Jan 2022"/>
    <n v="41000"/>
    <n v="469.53733394411364"/>
    <d v="2021-12-26T00:00:00"/>
    <s v="T10"/>
    <d v="2021-12-26T00:00:00"/>
    <s v="CSTM_JI6UZJQ7XNB"/>
    <m/>
    <s v="Pending"/>
    <x v="0"/>
    <x v="0"/>
  </r>
  <r>
    <x v="283"/>
    <s v="Neenu Tom"/>
    <x v="27"/>
    <x v="2"/>
    <x v="13"/>
    <s v="Won"/>
    <s v="8-9 Jan 2022"/>
    <n v="20000"/>
    <n v="229.04260192395787"/>
    <d v="2021-12-28T00:00:00"/>
    <s v="T10"/>
    <d v="2021-12-28T00:00:00"/>
    <s v="CSTM_6OFVHPY58JF"/>
    <m/>
    <s v="Pending"/>
    <x v="1"/>
    <x v="0"/>
  </r>
  <r>
    <x v="283"/>
    <s v="Monika Mehta"/>
    <x v="1"/>
    <x v="2"/>
    <x v="13"/>
    <s v="Won"/>
    <s v="15-16 Jan 2022"/>
    <n v="20000"/>
    <n v="229.04260192395787"/>
    <d v="2021-12-28T00:00:00"/>
    <s v="T10"/>
    <d v="2021-12-28T00:00:00"/>
    <s v="CSTM_J29XPT10CIV"/>
    <s v="jain.neeti200@gmail.com"/>
    <s v="Pending"/>
    <x v="1"/>
    <x v="0"/>
  </r>
  <r>
    <x v="283"/>
    <s v="Ganesh Rajshekar"/>
    <x v="5"/>
    <x v="9"/>
    <x v="13"/>
    <s v="Won"/>
    <s v="29-30 Jan 2022"/>
    <n v="40000"/>
    <n v="458.08520384791575"/>
    <d v="2021-12-28T00:00:00"/>
    <s v="T10"/>
    <d v="2021-12-28T00:00:00"/>
    <s v="CSTM_32ZP9DAK5H6"/>
    <m/>
    <s v="Pending"/>
    <x v="0"/>
    <x v="0"/>
  </r>
  <r>
    <x v="284"/>
    <s v="Jobine"/>
    <x v="0"/>
    <x v="29"/>
    <x v="13"/>
    <s v="Won"/>
    <d v="2021-12-29T00:00:00"/>
    <n v="38000"/>
    <n v="435.18094365551997"/>
    <d v="2021-12-29T00:00:00"/>
    <s v="T10"/>
    <d v="2021-12-30T00:00:00"/>
    <s v="CSTM_9H8S8JAF5BB"/>
    <m/>
    <s v="Pending"/>
    <x v="2"/>
    <x v="0"/>
  </r>
  <r>
    <x v="285"/>
    <s v="Sathish Kumar"/>
    <x v="1"/>
    <x v="0"/>
    <x v="13"/>
    <s v="Won"/>
    <s v="12-13 Jan 2022"/>
    <n v="21000"/>
    <n v="240.49473202015577"/>
    <d v="2021-12-30T00:00:00"/>
    <s v="T10"/>
    <d v="2021-12-30T00:00:00"/>
    <s v="CSTM_1TXL33ADRFN"/>
    <s v="Pragya K"/>
    <s v="Pending"/>
    <x v="0"/>
    <x v="0"/>
  </r>
  <r>
    <x v="286"/>
    <s v="Chayan Jana"/>
    <x v="7"/>
    <x v="35"/>
    <x v="14"/>
    <s v="Won"/>
    <s v="22-23 Jan 2022"/>
    <n v="24000"/>
    <n v="274.85112230874944"/>
    <d v="2022-01-01T00:00:00"/>
    <s v="F10"/>
    <d v="2022-01-01T00:00:00"/>
    <s v="CSTM_929B97L8C6"/>
    <m/>
    <s v="Pending"/>
    <x v="0"/>
    <x v="2"/>
  </r>
  <r>
    <x v="286"/>
    <s v="Amit Prasad"/>
    <x v="13"/>
    <x v="45"/>
    <x v="14"/>
    <s v="Won"/>
    <d v="2022-01-01T00:00:00"/>
    <n v="12000"/>
    <n v="137.42556115437472"/>
    <d v="2022-01-01T00:00:00"/>
    <s v="F10"/>
    <d v="2022-01-01T00:00:00"/>
    <s v="CSTM_285BKQN3AQ3"/>
    <m/>
    <s v="Pending"/>
    <x v="2"/>
    <x v="2"/>
  </r>
  <r>
    <x v="287"/>
    <s v="Shruti Sharma"/>
    <x v="26"/>
    <x v="2"/>
    <x v="14"/>
    <s v="Won"/>
    <s v="22-23 Jan 2022"/>
    <n v="20000"/>
    <n v="229.04260192395787"/>
    <d v="2022-01-03T00:00:00"/>
    <s v="F10"/>
    <d v="2022-01-03T00:00:00"/>
    <s v="CSTM_GT0IM3W9HVJ"/>
    <m/>
    <s v="Pending"/>
    <x v="1"/>
    <x v="2"/>
  </r>
  <r>
    <x v="287"/>
    <s v="Rajesh Kori"/>
    <x v="7"/>
    <x v="0"/>
    <x v="14"/>
    <s v="Won"/>
    <s v="22-23 Jan 2022"/>
    <n v="20500"/>
    <n v="234.76866697205682"/>
    <d v="2022-01-03T00:00:00"/>
    <s v="F10"/>
    <d v="2022-01-03T00:00:00"/>
    <s v="CSTM_HFI0KT9SXOU"/>
    <m/>
    <s v="Pending"/>
    <x v="0"/>
    <x v="2"/>
  </r>
  <r>
    <x v="288"/>
    <s v="Naaz"/>
    <x v="3"/>
    <x v="2"/>
    <x v="14"/>
    <s v="Won"/>
    <s v="8-9 Jan 2022"/>
    <n v="21000"/>
    <n v="240.49473202015577"/>
    <d v="2022-01-04T00:00:00"/>
    <s v="F10"/>
    <d v="2022-01-04T00:00:00"/>
    <s v="CSTM_ANVZLJTYT4V"/>
    <m/>
    <s v="Done. Good feedback"/>
    <x v="1"/>
    <x v="2"/>
  </r>
  <r>
    <x v="288"/>
    <s v="Kshitij Kumar"/>
    <x v="2"/>
    <x v="2"/>
    <x v="14"/>
    <s v="Won"/>
    <s v="5-6 Feb 2022"/>
    <n v="20000"/>
    <n v="229.04260192395787"/>
    <d v="2022-01-04T00:00:00"/>
    <s v="F10"/>
    <d v="2022-01-04T00:00:00"/>
    <s v="CSTM_442YTMYYCIC"/>
    <m/>
    <s v="Pending"/>
    <x v="1"/>
    <x v="2"/>
  </r>
  <r>
    <x v="289"/>
    <s v="Parvez"/>
    <x v="1"/>
    <x v="2"/>
    <x v="14"/>
    <s v="Won"/>
    <s v="29-30 Jan 2022"/>
    <n v="19000"/>
    <n v="217.59047182775998"/>
    <d v="2022-01-05T00:00:00"/>
    <s v="F10"/>
    <d v="2022-01-05T00:00:00"/>
    <s v="CSTM_6AO4DGQ65OU"/>
    <s v="drp.rdp@gmail.com"/>
    <s v="Pending"/>
    <x v="1"/>
    <x v="2"/>
  </r>
  <r>
    <x v="289"/>
    <s v="Kamal Kaher"/>
    <x v="1"/>
    <x v="9"/>
    <x v="14"/>
    <s v="Won"/>
    <s v="8-9 Jan 2022"/>
    <n v="40000"/>
    <n v="458.08520384791575"/>
    <d v="2022-01-05T00:00:00"/>
    <s v="F10"/>
    <d v="2022-01-06T00:00:00"/>
    <s v="CSTM_FHJHKLIDHKK"/>
    <s v="Reference by Kamal Kaher"/>
    <s v="Pending"/>
    <x v="0"/>
    <x v="2"/>
  </r>
  <r>
    <x v="289"/>
    <s v="Kaushal Tiwari"/>
    <x v="1"/>
    <x v="9"/>
    <x v="14"/>
    <s v="Won"/>
    <s v="8-9 Jan 2022"/>
    <n v="40000"/>
    <n v="458.08520384791575"/>
    <d v="2022-01-05T00:00:00"/>
    <s v="F10"/>
    <d v="2022-01-06T00:00:00"/>
    <s v="CSTM_CRDAB6TSNFT"/>
    <s v="Reference by Kamal Kaher"/>
    <s v="Pending"/>
    <x v="0"/>
    <x v="2"/>
  </r>
  <r>
    <x v="290"/>
    <s v="Chandra"/>
    <x v="13"/>
    <x v="20"/>
    <x v="14"/>
    <s v="Won"/>
    <d v="2022-01-06T00:00:00"/>
    <n v="17000"/>
    <n v="194.68621163536417"/>
    <d v="2022-01-06T00:00:00"/>
    <s v="F10"/>
    <d v="2022-01-06T00:00:00"/>
    <s v="CSTM_7U5Y8I1CFB8"/>
    <m/>
    <s v="Pending"/>
    <x v="2"/>
    <x v="2"/>
  </r>
  <r>
    <x v="291"/>
    <s v="Monilika Verma"/>
    <x v="1"/>
    <x v="2"/>
    <x v="14"/>
    <s v="Won"/>
    <s v="12-13 Jan 2022"/>
    <n v="20000"/>
    <n v="229.04260192395787"/>
    <d v="2022-01-07T00:00:00"/>
    <s v="F10"/>
    <d v="2022-01-07T00:00:00"/>
    <s v="CSTM_5SQBCEGXLIW"/>
    <s v="Reference by Neeti Jain"/>
    <s v="Pending"/>
    <x v="1"/>
    <x v="2"/>
  </r>
  <r>
    <x v="291"/>
    <s v="Theju"/>
    <x v="3"/>
    <x v="2"/>
    <x v="14"/>
    <s v="Won"/>
    <s v="29-30 Jan 2022"/>
    <n v="20000"/>
    <n v="229.04260192395787"/>
    <d v="2022-01-07T00:00:00"/>
    <s v="F10"/>
    <d v="2022-01-07T00:00:00"/>
    <s v="CSTM_14Q9G2X7ASN"/>
    <m/>
    <s v="Pending"/>
    <x v="1"/>
    <x v="2"/>
  </r>
  <r>
    <x v="291"/>
    <s v="Manisha"/>
    <x v="5"/>
    <x v="0"/>
    <x v="14"/>
    <s v="Won"/>
    <s v="29-30 Jan 2022"/>
    <n v="21000"/>
    <n v="240.49473202015577"/>
    <d v="2022-01-07T00:00:00"/>
    <s v="F10"/>
    <d v="2022-01-07T00:00:00"/>
    <s v="CSTM_8B8KSVEH1Q2"/>
    <m/>
    <s v="Pending"/>
    <x v="0"/>
    <x v="2"/>
  </r>
  <r>
    <x v="292"/>
    <s v="Sriram"/>
    <x v="1"/>
    <x v="14"/>
    <x v="14"/>
    <s v="Won"/>
    <s v="22-23 Jan 2022"/>
    <n v="21000"/>
    <n v="240.49473202015577"/>
    <d v="2022-01-08T00:00:00"/>
    <s v="F10"/>
    <d v="2022-01-08T00:00:00"/>
    <s v="CSTM_GHV2W6KNAHX"/>
    <s v="tej.lalge@gmail.com"/>
    <s v="Pending"/>
    <x v="0"/>
    <x v="2"/>
  </r>
  <r>
    <x v="292"/>
    <s v="Sneha Malik"/>
    <x v="9"/>
    <x v="0"/>
    <x v="14"/>
    <s v="Won"/>
    <s v="29-30 Jan 2022"/>
    <n v="21000"/>
    <n v="240.49473202015577"/>
    <d v="2022-01-08T00:00:00"/>
    <s v="F10"/>
    <d v="2022-01-08T00:00:00"/>
    <s v="CSTM_1GQHLLFIO3M"/>
    <m/>
    <s v="Pending"/>
    <x v="0"/>
    <x v="2"/>
  </r>
  <r>
    <x v="293"/>
    <s v="Vinita Kamra"/>
    <x v="1"/>
    <x v="2"/>
    <x v="14"/>
    <s v="Won"/>
    <s v="29-30 Jan 2022"/>
    <n v="20000"/>
    <n v="229.04260192395787"/>
    <d v="2022-01-09T00:00:00"/>
    <s v="F10"/>
    <d v="2022-01-09T00:00:00"/>
    <s v="CSTM_54S6S2CYE9"/>
    <s v="Reference by Vinita Kamra"/>
    <s v="Pending"/>
    <x v="1"/>
    <x v="2"/>
  </r>
  <r>
    <x v="293"/>
    <s v="Neelima Kalyani"/>
    <x v="7"/>
    <x v="14"/>
    <x v="14"/>
    <s v="Won"/>
    <s v="15-16 Jan 2022"/>
    <n v="21000"/>
    <n v="240.49473202015577"/>
    <d v="2022-01-09T00:00:00"/>
    <s v="F10"/>
    <d v="2022-01-10T00:00:00"/>
    <s v="CSTM_3WRI06ITDJD"/>
    <m/>
    <s v="Pending"/>
    <x v="0"/>
    <x v="2"/>
  </r>
  <r>
    <x v="294"/>
    <s v="Sayani"/>
    <x v="23"/>
    <x v="2"/>
    <x v="14"/>
    <s v="Won"/>
    <s v="13-14 Jan 2022"/>
    <n v="20000"/>
    <n v="229.04260192395787"/>
    <d v="2022-01-10T00:00:00"/>
    <s v="F10"/>
    <d v="2022-01-10T00:00:00"/>
    <s v="CSTM_8XF5WJAX4RZ"/>
    <m/>
    <s v="Pending"/>
    <x v="1"/>
    <x v="2"/>
  </r>
  <r>
    <x v="294"/>
    <s v="Debjani Paul"/>
    <x v="5"/>
    <x v="0"/>
    <x v="14"/>
    <s v="Won"/>
    <s v="15-16 Jan 2022"/>
    <n v="21000"/>
    <n v="240.49473202015577"/>
    <d v="2022-01-10T00:00:00"/>
    <s v="F10"/>
    <d v="2022-01-10T00:00:00"/>
    <s v="CSTM_14EKITMPSB3"/>
    <m/>
    <s v="Pending"/>
    <x v="0"/>
    <x v="2"/>
  </r>
  <r>
    <x v="294"/>
    <s v="Anushree"/>
    <x v="5"/>
    <x v="0"/>
    <x v="14"/>
    <s v="Won"/>
    <s v="15-16 Jan 2022"/>
    <n v="21000"/>
    <n v="240.49473202015577"/>
    <d v="2022-01-10T00:00:00"/>
    <s v="F10"/>
    <d v="2022-01-10T00:00:00"/>
    <s v="CSTM_8UZV07099K7"/>
    <m/>
    <s v="Pending"/>
    <x v="0"/>
    <x v="2"/>
  </r>
  <r>
    <x v="295"/>
    <s v="Peeyush"/>
    <x v="5"/>
    <x v="0"/>
    <x v="14"/>
    <s v="Won"/>
    <s v="15-16 Jan 2022"/>
    <n v="21000"/>
    <n v="240.49473202015577"/>
    <d v="2022-01-11T00:00:00"/>
    <s v="S10"/>
    <d v="2022-01-11T00:00:00"/>
    <s v="CSTM_FRFPPX9ZVPR"/>
    <m/>
    <s v="Pending"/>
    <x v="0"/>
    <x v="2"/>
  </r>
  <r>
    <x v="295"/>
    <s v="Amit K"/>
    <x v="7"/>
    <x v="2"/>
    <x v="14"/>
    <s v="Won"/>
    <s v="29-30 Jan 2022"/>
    <n v="20000"/>
    <n v="229.04260192395787"/>
    <d v="2022-01-11T00:00:00"/>
    <s v="S10"/>
    <d v="2022-01-12T00:00:00"/>
    <s v="CSTM_4MNRO49OXHL"/>
    <m/>
    <s v="Pending"/>
    <x v="1"/>
    <x v="2"/>
  </r>
  <r>
    <x v="296"/>
    <s v="Madhu Bagur"/>
    <x v="13"/>
    <x v="2"/>
    <x v="14"/>
    <s v="Won"/>
    <s v="13-14 Jan 2022"/>
    <n v="20000"/>
    <n v="229.04260192395787"/>
    <d v="2022-01-12T00:00:00"/>
    <s v="S10"/>
    <d v="2022-01-12T00:00:00"/>
    <s v="CSTM_GWTP0GYHNN"/>
    <m/>
    <s v="Pending"/>
    <x v="1"/>
    <x v="2"/>
  </r>
  <r>
    <x v="297"/>
    <s v="Drashti P"/>
    <x v="23"/>
    <x v="1"/>
    <x v="14"/>
    <s v="Won"/>
    <s v="27-28 Jan 2022"/>
    <n v="20000"/>
    <n v="229.04260192395787"/>
    <d v="2022-01-13T00:00:00"/>
    <s v="S10"/>
    <d v="2022-01-13T00:00:00"/>
    <s v="CSTM_EOIL09EXGE9"/>
    <m/>
    <s v="Pending"/>
    <x v="1"/>
    <x v="2"/>
  </r>
  <r>
    <x v="298"/>
    <s v="Aishwarya"/>
    <x v="1"/>
    <x v="2"/>
    <x v="14"/>
    <s v="Won"/>
    <s v="29-30 Jan 2022"/>
    <n v="20000"/>
    <n v="229.04260192395787"/>
    <d v="2022-01-14T00:00:00"/>
    <s v="S10"/>
    <d v="2022-01-14T00:00:00"/>
    <s v="CSTM_HWO5H4TPCXR"/>
    <s v="Reference by Aishwarya"/>
    <s v="Pending"/>
    <x v="1"/>
    <x v="2"/>
  </r>
  <r>
    <x v="298"/>
    <s v="Sandeep"/>
    <x v="1"/>
    <x v="2"/>
    <x v="14"/>
    <s v="Won"/>
    <s v="29-30 Jan 2022"/>
    <n v="20000"/>
    <n v="229.04260192395787"/>
    <d v="2022-01-14T00:00:00"/>
    <s v="S10"/>
    <d v="2022-01-14T00:00:00"/>
    <s v="CSTM_G2B0OZTFL3V"/>
    <s v="Reference by Aishwarya"/>
    <s v="Pending"/>
    <x v="1"/>
    <x v="2"/>
  </r>
  <r>
    <x v="298"/>
    <s v="Rajendra"/>
    <x v="7"/>
    <x v="9"/>
    <x v="14"/>
    <s v="Won"/>
    <s v="29-30 Jan 2022"/>
    <n v="42000"/>
    <n v="480.98946404031153"/>
    <d v="2022-01-15T00:00:00"/>
    <s v="S10"/>
    <d v="2022-01-15T00:00:00"/>
    <s v="CSTM_B4NPCUMQ5FV"/>
    <m/>
    <s v="Pending"/>
    <x v="0"/>
    <x v="2"/>
  </r>
  <r>
    <x v="299"/>
    <s v="Shobhit"/>
    <x v="1"/>
    <x v="2"/>
    <x v="14"/>
    <s v="Won"/>
    <s v="12-13 Feb 2022"/>
    <n v="19000"/>
    <n v="217.59047182775998"/>
    <d v="2022-01-15T00:00:00"/>
    <s v="S10"/>
    <d v="2022-01-15T00:00:00"/>
    <s v="CSTM_9SNYU4F2O6J"/>
    <s v="Reference by surabhi.92170@gmail.com"/>
    <s v="Pending"/>
    <x v="1"/>
    <x v="2"/>
  </r>
  <r>
    <x v="300"/>
    <s v="Vinutha Hanji"/>
    <x v="1"/>
    <x v="9"/>
    <x v="14"/>
    <s v="Won"/>
    <s v="29-30 Jan 2022"/>
    <n v="40000"/>
    <n v="458.08520384791575"/>
    <d v="2022-01-19T00:00:00"/>
    <s v="S10"/>
    <d v="2022-01-19T00:00:00"/>
    <s v="CSTM_A2UBS9UXT99"/>
    <s v="Keerti - Given to Vinutha"/>
    <s v="Pending"/>
    <x v="0"/>
    <x v="2"/>
  </r>
  <r>
    <x v="300"/>
    <s v="Kshama Verma"/>
    <x v="2"/>
    <x v="2"/>
    <x v="14"/>
    <s v="Won"/>
    <s v="19-20 Feb 2022"/>
    <n v="20000"/>
    <n v="229.04260192395787"/>
    <d v="2022-01-19T00:00:00"/>
    <s v="S10"/>
    <d v="2022-01-19T00:00:00"/>
    <s v="CSTM_I14C4ST3D4Y"/>
    <m/>
    <s v="Done. Good feedback"/>
    <x v="1"/>
    <x v="2"/>
  </r>
  <r>
    <x v="301"/>
    <s v="Karan Relan"/>
    <x v="7"/>
    <x v="23"/>
    <x v="14"/>
    <s v="Won"/>
    <s v="28-30 Jan 2022"/>
    <n v="31000"/>
    <n v="355.01603298213467"/>
    <d v="2022-01-21T00:00:00"/>
    <s v="T10"/>
    <d v="2022-01-21T00:00:00"/>
    <s v="CSTM_JJ2TMEMF6T0"/>
    <m/>
    <s v="Pending"/>
    <x v="0"/>
    <x v="2"/>
  </r>
  <r>
    <x v="302"/>
    <s v="Raghavendra Datta"/>
    <x v="2"/>
    <x v="14"/>
    <x v="14"/>
    <s v="Won"/>
    <s v="26-27 March 2022"/>
    <n v="21000"/>
    <n v="240.49473202015577"/>
    <d v="2022-01-22T00:00:00"/>
    <s v="T10"/>
    <d v="2022-01-22T00:00:00"/>
    <s v="CSTM_J2RWPW9FDG"/>
    <m/>
    <s v="Pending"/>
    <x v="0"/>
    <x v="2"/>
  </r>
  <r>
    <x v="302"/>
    <s v="Goutami"/>
    <x v="1"/>
    <x v="14"/>
    <x v="14"/>
    <s v="Won"/>
    <s v="26-27 March 2022"/>
    <n v="21000"/>
    <n v="240.49473202015577"/>
    <d v="2022-01-22T00:00:00"/>
    <s v="T10"/>
    <d v="2022-01-22T00:00:00"/>
    <s v="CSTM_DMCDY7LBWS"/>
    <s v="Reference by Raghavendra Datta"/>
    <s v="Pending"/>
    <x v="0"/>
    <x v="2"/>
  </r>
  <r>
    <x v="303"/>
    <s v="Sravanthi Mothi"/>
    <x v="7"/>
    <x v="0"/>
    <x v="14"/>
    <s v="Won"/>
    <s v="29-30 Jan 2022"/>
    <n v="21000"/>
    <n v="240.49473202015577"/>
    <d v="2022-01-24T00:00:00"/>
    <s v="T10"/>
    <d v="2022-01-24T00:00:00"/>
    <s v="CSTM_6XXAKV1VW3M"/>
    <m/>
    <s v="Pending"/>
    <x v="0"/>
    <x v="2"/>
  </r>
  <r>
    <x v="303"/>
    <s v="Nilay Mishra"/>
    <x v="1"/>
    <x v="0"/>
    <x v="14"/>
    <s v="Won"/>
    <s v="29-30 Jan 2022"/>
    <n v="21000"/>
    <n v="240.49473202015577"/>
    <d v="2022-01-24T00:00:00"/>
    <s v="T10"/>
    <d v="2022-01-24T00:00:00"/>
    <s v="CSTM_D9P4I55OMSI"/>
    <s v="Reference by shivaamar.ar@gmail.com"/>
    <s v="Pending"/>
    <x v="0"/>
    <x v="2"/>
  </r>
  <r>
    <x v="304"/>
    <s v="Titian"/>
    <x v="2"/>
    <x v="0"/>
    <x v="14"/>
    <s v="Won"/>
    <s v="29-30 Jan 2022"/>
    <n v="21000"/>
    <n v="240.49473202015577"/>
    <d v="2022-01-25T00:00:00"/>
    <s v="T10"/>
    <d v="2022-01-25T00:00:00"/>
    <s v="CSTM_H1NX9WWA6RH"/>
    <m/>
    <s v="Pending"/>
    <x v="0"/>
    <x v="2"/>
  </r>
  <r>
    <x v="304"/>
    <s v="Ketki Sharma"/>
    <x v="1"/>
    <x v="1"/>
    <x v="14"/>
    <s v="Won"/>
    <s v="27-28 Jan 2022"/>
    <n v="20000"/>
    <n v="229.04260192395787"/>
    <d v="2022-01-25T00:00:00"/>
    <s v="T10"/>
    <d v="2022-01-25T00:00:00"/>
    <s v="CSTM_7W9K9K60YB4"/>
    <s v="Aurko - Done"/>
    <s v="Pending"/>
    <x v="1"/>
    <x v="2"/>
  </r>
  <r>
    <x v="304"/>
    <s v="Upma Bhatnagar"/>
    <x v="5"/>
    <x v="0"/>
    <x v="14"/>
    <s v="Won"/>
    <s v="5-6 Feb 2022"/>
    <n v="21000"/>
    <n v="240.49473202015577"/>
    <d v="2022-01-25T00:00:00"/>
    <s v="T10"/>
    <d v="2022-01-28T00:00:00"/>
    <s v="CSTM_EETRJXYR8TW"/>
    <m/>
    <s v="Pending"/>
    <x v="0"/>
    <x v="2"/>
  </r>
  <r>
    <x v="305"/>
    <s v="Sreejesh"/>
    <x v="5"/>
    <x v="31"/>
    <x v="14"/>
    <s v="Won"/>
    <s v="29-30 Jan 2022"/>
    <n v="40000"/>
    <n v="458.08520384791575"/>
    <d v="2022-01-27T00:00:00"/>
    <s v="T10"/>
    <d v="2022-01-27T00:00:00"/>
    <s v="CSTM_7AV1FOSSMH9"/>
    <m/>
    <s v="Pending"/>
    <x v="0"/>
    <x v="2"/>
  </r>
  <r>
    <x v="305"/>
    <s v="Naveen"/>
    <x v="2"/>
    <x v="9"/>
    <x v="14"/>
    <s v="Won"/>
    <s v="29-30 Jan 2022"/>
    <n v="40000"/>
    <n v="458.08520384791575"/>
    <d v="2022-01-27T00:00:00"/>
    <s v="T10"/>
    <d v="2022-01-27T00:00:00"/>
    <s v="CSTM_AQESVTDMXYU"/>
    <m/>
    <s v="Pending"/>
    <x v="0"/>
    <x v="2"/>
  </r>
  <r>
    <x v="301"/>
    <s v="Subham"/>
    <x v="7"/>
    <x v="9"/>
    <x v="14"/>
    <s v="Won"/>
    <s v="5-6 Feb 2022"/>
    <n v="53100"/>
    <n v="608.10810810810813"/>
    <d v="2022-01-21T00:00:00"/>
    <s v="T10"/>
    <d v="2022-01-21T00:00:00"/>
    <s v="SMPL_HZ50HWXIQ8V"/>
    <m/>
    <s v="Pending"/>
    <x v="0"/>
    <x v="2"/>
  </r>
  <r>
    <x v="306"/>
    <s v="Renjith Paul"/>
    <x v="6"/>
    <x v="9"/>
    <x v="14"/>
    <s v="Won"/>
    <s v="5-6 Feb 2022"/>
    <n v="42000"/>
    <n v="480.98946404031153"/>
    <d v="2022-01-28T00:00:00"/>
    <s v="T10"/>
    <d v="2022-01-28T00:00:00"/>
    <s v="CSTM_5FBFAPE3DIK"/>
    <m/>
    <s v="Pending"/>
    <x v="0"/>
    <x v="2"/>
  </r>
  <r>
    <x v="306"/>
    <s v="Nahush Dalvi"/>
    <x v="6"/>
    <x v="31"/>
    <x v="14"/>
    <s v="Won"/>
    <s v="29-30 Jan 2022"/>
    <n v="42000"/>
    <n v="480.98946404031153"/>
    <d v="2022-01-28T00:00:00"/>
    <s v="T10"/>
    <d v="2022-01-28T00:00:00"/>
    <s v="CSTM_7T9ZTJ973XH"/>
    <m/>
    <s v="Pending"/>
    <x v="0"/>
    <x v="2"/>
  </r>
  <r>
    <x v="306"/>
    <s v="Trupti"/>
    <x v="5"/>
    <x v="9"/>
    <x v="14"/>
    <s v="Won"/>
    <s v="29-30 Jan 2022"/>
    <n v="40000"/>
    <n v="458.08520384791575"/>
    <d v="2022-01-28T00:00:00"/>
    <s v="T10"/>
    <d v="2022-01-28T00:00:00"/>
    <s v="CSTM_CKG8QP1N9V5"/>
    <m/>
    <s v="Pending"/>
    <x v="0"/>
    <x v="2"/>
  </r>
  <r>
    <x v="306"/>
    <s v="Vijay "/>
    <x v="2"/>
    <x v="9"/>
    <x v="14"/>
    <s v="Won"/>
    <s v="29-30 Jan 2022"/>
    <n v="42000"/>
    <n v="480.98946404031153"/>
    <d v="2022-01-28T00:00:00"/>
    <s v="T10"/>
    <d v="2022-01-28T00:00:00"/>
    <s v="CSTM_CMHLX5YDWF"/>
    <m/>
    <s v="Pending"/>
    <x v="0"/>
    <x v="2"/>
  </r>
  <r>
    <x v="307"/>
    <s v="Rajani"/>
    <x v="26"/>
    <x v="2"/>
    <x v="14"/>
    <s v="Won"/>
    <s v="12-13 Feb 2022"/>
    <n v="20000"/>
    <n v="229.04260192395787"/>
    <d v="2022-01-29T00:00:00"/>
    <s v="T10"/>
    <d v="2022-01-29T00:00:00"/>
    <s v="CSTM_BJ9GYF3E1LE"/>
    <m/>
    <s v="Pending"/>
    <x v="1"/>
    <x v="2"/>
  </r>
  <r>
    <x v="308"/>
    <s v="Sayan Giri"/>
    <x v="1"/>
    <x v="2"/>
    <x v="14"/>
    <s v="Won"/>
    <s v="19-20 March 2022"/>
    <n v="19000"/>
    <n v="217.59047182775998"/>
    <d v="2022-01-31T00:00:00"/>
    <s v="T10"/>
    <d v="2022-01-31T00:00:00"/>
    <s v="CSTM_F1510WTJASY"/>
    <s v="Reference by chayan.giri@gmail.com"/>
    <s v="Pending"/>
    <x v="1"/>
    <x v="2"/>
  </r>
  <r>
    <x v="308"/>
    <s v="Meetu"/>
    <x v="3"/>
    <x v="0"/>
    <x v="14"/>
    <s v="Won"/>
    <s v="5-6 Feb 2022"/>
    <n v="21000"/>
    <n v="240.49473202015577"/>
    <d v="2022-01-31T00:00:00"/>
    <s v="T10"/>
    <d v="2022-01-31T00:00:00"/>
    <s v="CSTM_9DLG0TXOEE0"/>
    <m/>
    <s v="Pending"/>
    <x v="0"/>
    <x v="2"/>
  </r>
  <r>
    <x v="309"/>
    <s v="Gaurav"/>
    <x v="1"/>
    <x v="2"/>
    <x v="15"/>
    <s v="Won"/>
    <s v="5-6 March 2022"/>
    <n v="19000"/>
    <n v="217.59047182775998"/>
    <d v="2022-02-01T00:00:00"/>
    <s v="F10"/>
    <d v="2022-02-01T00:00:00"/>
    <s v="CSTM_BFR6Z7NFL7I"/>
    <s v="Pragya K - Pending"/>
    <s v="Pending"/>
    <x v="1"/>
    <x v="2"/>
  </r>
  <r>
    <x v="309"/>
    <s v="Jacquelin Isaac"/>
    <x v="5"/>
    <x v="0"/>
    <x v="15"/>
    <s v="Won"/>
    <s v="5-6 Feb 2022"/>
    <n v="21000"/>
    <n v="240.49473202015577"/>
    <d v="2022-02-01T00:00:00"/>
    <s v="F10"/>
    <d v="2022-02-01T00:00:00"/>
    <s v="CSTM_ASG2O8YJSCU"/>
    <m/>
    <s v="Pending"/>
    <x v="0"/>
    <x v="2"/>
  </r>
  <r>
    <x v="310"/>
    <s v="Vijaya Patil"/>
    <x v="1"/>
    <x v="2"/>
    <x v="15"/>
    <s v="Won"/>
    <s v="10-11 Feb 2022"/>
    <n v="20000"/>
    <n v="229.04260192395787"/>
    <d v="2022-02-02T00:00:00"/>
    <s v="F10"/>
    <d v="2022-02-02T00:00:00"/>
    <s v="CSTM_FRNWH5FL10X"/>
    <s v="Reference by Ravindra"/>
    <s v="Pending"/>
    <x v="1"/>
    <x v="2"/>
  </r>
  <r>
    <x v="310"/>
    <s v="Ritesh"/>
    <x v="1"/>
    <x v="2"/>
    <x v="15"/>
    <s v="Won"/>
    <s v="10-11 Feb 2022"/>
    <n v="20000"/>
    <n v="229.04260192395787"/>
    <d v="2022-02-02T00:00:00"/>
    <s v="F10"/>
    <d v="2022-02-02T00:00:00"/>
    <s v="CSTM_4DKRXW0OM6S"/>
    <s v="Reference by Ravindra"/>
    <s v="Pending"/>
    <x v="1"/>
    <x v="2"/>
  </r>
  <r>
    <x v="311"/>
    <s v="Rajeshwari"/>
    <x v="1"/>
    <x v="0"/>
    <x v="15"/>
    <s v="Won"/>
    <s v="5-6 Feb 2022"/>
    <n v="21000"/>
    <n v="240.49473202015577"/>
    <d v="2022-02-03T00:00:00"/>
    <s v="F10"/>
    <d v="2022-02-03T00:00:00"/>
    <s v="CSTM_1N6S2B4JZ78"/>
    <s v="Reference by samsasi.84@gmail.com"/>
    <s v="Pending"/>
    <x v="0"/>
    <x v="2"/>
  </r>
  <r>
    <x v="311"/>
    <s v="Veena "/>
    <x v="5"/>
    <x v="9"/>
    <x v="15"/>
    <s v="Won"/>
    <s v="5-6 Feb 2022"/>
    <n v="42000"/>
    <n v="480.98946404031153"/>
    <d v="2022-02-03T00:00:00"/>
    <s v="F10"/>
    <d v="2022-02-03T00:00:00"/>
    <s v="CSTM_28PLACBSWNK"/>
    <m/>
    <s v="Pending"/>
    <x v="0"/>
    <x v="2"/>
  </r>
  <r>
    <x v="311"/>
    <s v="Meenakshi"/>
    <x v="1"/>
    <x v="0"/>
    <x v="15"/>
    <s v="Won"/>
    <s v="7-8 Feb 2022"/>
    <n v="21000"/>
    <n v="240.49473202015577"/>
    <d v="2022-02-03T00:00:00"/>
    <s v="F10"/>
    <d v="2022-02-04T00:00:00"/>
    <s v="CSTM_EZKIK5NGKRH"/>
    <s v="Reference by gaurav.mahajan2890@gmail.com"/>
    <s v="Pending"/>
    <x v="0"/>
    <x v="2"/>
  </r>
  <r>
    <x v="312"/>
    <s v="Kranthi Kumar"/>
    <x v="7"/>
    <x v="24"/>
    <x v="15"/>
    <s v="Won"/>
    <s v="5-6 Feb 2022"/>
    <n v="42000"/>
    <n v="480.98946404031153"/>
    <d v="2022-02-04T00:00:00"/>
    <s v="F10"/>
    <d v="2022-02-04T00:00:00"/>
    <s v="CSTM_4ENR0R9ULQ3"/>
    <m/>
    <s v="Pending"/>
    <x v="0"/>
    <x v="2"/>
  </r>
  <r>
    <x v="312"/>
    <s v="Divya Jyoti"/>
    <x v="6"/>
    <x v="35"/>
    <x v="15"/>
    <s v="Won"/>
    <s v="23-24 April 2022"/>
    <n v="24000"/>
    <n v="274.85112230874944"/>
    <d v="2022-02-04T00:00:00"/>
    <s v="F10"/>
    <d v="2022-02-04T00:00:00"/>
    <s v="CSTM_4T424TW5U6Q"/>
    <m/>
    <s v="Pending"/>
    <x v="0"/>
    <x v="2"/>
  </r>
  <r>
    <x v="313"/>
    <s v="Amarnath"/>
    <x v="1"/>
    <x v="35"/>
    <x v="15"/>
    <s v="Won"/>
    <s v="26-27 Feb 2022"/>
    <n v="24000"/>
    <n v="274.85112230874944"/>
    <d v="2022-02-05T00:00:00"/>
    <s v="F10"/>
    <d v="2022-02-05T00:00:00"/>
    <s v="CSTM_63R2SZ4MMEC"/>
    <s v="Aruko - Done"/>
    <s v="Pending"/>
    <x v="0"/>
    <x v="2"/>
  </r>
  <r>
    <x v="314"/>
    <s v="Pavan"/>
    <x v="7"/>
    <x v="46"/>
    <x v="15"/>
    <s v="Won"/>
    <d v="2022-02-07T00:00:00"/>
    <n v="0"/>
    <n v="0"/>
    <d v="2022-02-07T00:00:00"/>
    <s v="F10"/>
    <d v="2022-02-07T00:00:00"/>
    <s v="CSTM_8YGL0VRD1LJ"/>
    <m/>
    <s v="Pending"/>
    <x v="2"/>
    <x v="2"/>
  </r>
  <r>
    <x v="314"/>
    <s v="Rajalakshmi"/>
    <x v="13"/>
    <x v="9"/>
    <x v="15"/>
    <s v="Won"/>
    <s v="19-20 Feb 2022"/>
    <n v="42000"/>
    <n v="481"/>
    <d v="2022-02-07T00:00:00"/>
    <s v="F10"/>
    <d v="2022-02-07T00:00:00"/>
    <s v="CSTM_IEFQ4ELJOUJ"/>
    <m/>
    <s v="Pending"/>
    <x v="0"/>
    <x v="2"/>
  </r>
  <r>
    <x v="314"/>
    <s v="Meghana"/>
    <x v="1"/>
    <x v="0"/>
    <x v="15"/>
    <s v="Won"/>
    <s v="12-13 Feb 2022"/>
    <n v="21000"/>
    <n v="250"/>
    <d v="2022-02-07T00:00:00"/>
    <s v="F10"/>
    <d v="2022-02-07T00:00:00"/>
    <s v="CSTM_5UH2GTAAL1I"/>
    <s v="Referency by Shyama - Pending"/>
    <s v="Pending"/>
    <x v="0"/>
    <x v="2"/>
  </r>
  <r>
    <x v="315"/>
    <s v="Mubarak Noorullah"/>
    <x v="26"/>
    <x v="0"/>
    <x v="15"/>
    <s v="Won"/>
    <s v="12-13 Feb 2022"/>
    <n v="21000"/>
    <n v="240.49473202015577"/>
    <d v="2022-02-08T00:00:00"/>
    <s v="F10"/>
    <d v="2022-02-08T00:00:00"/>
    <s v="CSTM_5C76HDQ78CJ"/>
    <m/>
    <s v="Pending"/>
    <x v="0"/>
    <x v="2"/>
  </r>
  <r>
    <x v="316"/>
    <s v="Indhumathi"/>
    <x v="1"/>
    <x v="2"/>
    <x v="15"/>
    <s v="Won"/>
    <s v="15-16 Feb 2022"/>
    <n v="20000"/>
    <n v="229.04260192395787"/>
    <d v="2022-02-09T00:00:00"/>
    <s v="F10"/>
    <d v="2022-02-10T00:00:00"/>
    <s v="CSTM_92SHCCNY84D"/>
    <s v="Aurko - Done"/>
    <s v="Pending"/>
    <x v="1"/>
    <x v="2"/>
  </r>
  <r>
    <x v="317"/>
    <s v="Shruti Buradesh"/>
    <x v="2"/>
    <x v="2"/>
    <x v="15"/>
    <s v="Won"/>
    <s v="26-27 Feb 2022"/>
    <n v="20000"/>
    <n v="229.04260192395787"/>
    <d v="2022-02-10T00:00:00"/>
    <s v="F10"/>
    <d v="2022-02-10T00:00:00"/>
    <s v="CSTM_7CTL2BYBPNO"/>
    <m/>
    <s v="Pending"/>
    <x v="1"/>
    <x v="2"/>
  </r>
  <r>
    <x v="317"/>
    <s v="Jagprit"/>
    <x v="1"/>
    <x v="9"/>
    <x v="15"/>
    <s v="Won"/>
    <s v="12-13 Feb 2022"/>
    <n v="44364"/>
    <n v="508.06229958772332"/>
    <d v="2022-02-10T00:00:00"/>
    <s v="F10"/>
    <d v="2022-02-10T00:00:00"/>
    <s v="CSTM_1JF5EGN5LYP"/>
    <s v="Reference by rtiwariops@gmail.com"/>
    <s v="Pending"/>
    <x v="0"/>
    <x v="2"/>
  </r>
  <r>
    <x v="318"/>
    <s v="Babita Upadhyay"/>
    <x v="5"/>
    <x v="0"/>
    <x v="15"/>
    <s v="Won"/>
    <s v="19-20 Feb 2022"/>
    <n v="21000"/>
    <n v="240.49473202015577"/>
    <d v="2022-02-11T00:00:00"/>
    <s v="S10"/>
    <d v="2022-02-14T00:00:00"/>
    <s v="CSTM_FVZETHE26B9"/>
    <m/>
    <s v="Pending"/>
    <x v="0"/>
    <x v="2"/>
  </r>
  <r>
    <x v="318"/>
    <s v="Mahesh Balla"/>
    <x v="6"/>
    <x v="9"/>
    <x v="15"/>
    <s v="Won"/>
    <s v="12-13 Feb 2022"/>
    <n v="42000"/>
    <n v="480.98946404031153"/>
    <d v="2022-02-11T00:00:00"/>
    <s v="S10"/>
    <d v="2022-02-11T00:00:00"/>
    <s v="CSTM_G1XDQ51F1FH"/>
    <m/>
    <s v="Pending"/>
    <x v="0"/>
    <x v="2"/>
  </r>
  <r>
    <x v="318"/>
    <s v="Suresh D"/>
    <x v="5"/>
    <x v="0"/>
    <x v="15"/>
    <s v="Won"/>
    <s v="5-6 March 2022"/>
    <n v="21000"/>
    <n v="240.49473202015577"/>
    <d v="2022-02-11T00:00:00"/>
    <s v="S10"/>
    <d v="2022-02-11T00:00:00"/>
    <s v="CSTM_J1H3NNKVZQ9"/>
    <m/>
    <s v="Pending"/>
    <x v="0"/>
    <x v="2"/>
  </r>
  <r>
    <x v="319"/>
    <s v="Mahesh Kumar"/>
    <x v="5"/>
    <x v="18"/>
    <x v="15"/>
    <s v="Won"/>
    <d v="2022-02-14T00:00:00"/>
    <n v="16000"/>
    <n v="183.23408153916631"/>
    <d v="2022-02-12T00:00:00"/>
    <s v="S10"/>
    <d v="2022-02-12T00:00:00"/>
    <s v="CSTM_8XY9KS0B5GE"/>
    <m/>
    <s v="Pending"/>
    <x v="2"/>
    <x v="2"/>
  </r>
  <r>
    <x v="319"/>
    <s v="Vandana"/>
    <x v="1"/>
    <x v="0"/>
    <x v="15"/>
    <s v="Won"/>
    <s v="19-20 Feb 2022"/>
    <n v="21000"/>
    <n v="240.49473202015577"/>
    <d v="2022-02-12T00:00:00"/>
    <s v="S10"/>
    <d v="2022-02-12T00:00:00"/>
    <s v="CSTM_JIXDATV1WHA"/>
    <s v="Keerti - Pending"/>
    <s v="Pending"/>
    <x v="0"/>
    <x v="2"/>
  </r>
  <r>
    <x v="320"/>
    <s v="Theju"/>
    <x v="13"/>
    <x v="7"/>
    <x v="15"/>
    <s v="Won"/>
    <d v="2022-02-21T00:00:00"/>
    <n v="13500"/>
    <n v="154.60375629867156"/>
    <d v="2022-02-14T00:00:00"/>
    <s v="S10"/>
    <d v="2022-02-14T00:00:00"/>
    <s v="CSTM_2KCYH8PXOZZ"/>
    <m/>
    <s v="Pending"/>
    <x v="2"/>
    <x v="2"/>
  </r>
  <r>
    <x v="320"/>
    <s v="Zan Zubair"/>
    <x v="1"/>
    <x v="2"/>
    <x v="15"/>
    <s v="Won"/>
    <s v="15-16 Feb 2022"/>
    <n v="20000"/>
    <n v="229.04260192395787"/>
    <d v="2022-02-14T00:00:00"/>
    <s v="S10"/>
    <d v="2022-02-14T00:00:00"/>
    <s v="CSTM_53TWODTSPRD"/>
    <s v="Reference by indhu22mathi94@gmail.com"/>
    <s v="Pending"/>
    <x v="1"/>
    <x v="2"/>
  </r>
  <r>
    <x v="320"/>
    <s v="Veenus Jinny"/>
    <x v="1"/>
    <x v="2"/>
    <x v="15"/>
    <s v="Won"/>
    <s v="19-20 March 2022"/>
    <n v="20000"/>
    <n v="229.04260192395787"/>
    <d v="2022-02-14T00:00:00"/>
    <s v="S10"/>
    <d v="2022-02-14T00:00:00"/>
    <s v="CSTM_HAMMVU2AC7D"/>
    <s v="Reference by Aishwarya"/>
    <s v="Pending"/>
    <x v="1"/>
    <x v="2"/>
  </r>
  <r>
    <x v="320"/>
    <s v="Deepah"/>
    <x v="3"/>
    <x v="2"/>
    <x v="15"/>
    <s v="Won"/>
    <s v="12-13 March 2022"/>
    <n v="20000"/>
    <n v="229.04260192395787"/>
    <d v="2022-02-14T00:00:00"/>
    <s v="S10"/>
    <d v="2022-02-14T00:00:00"/>
    <s v="CSTM_7O4V8W62XMB"/>
    <m/>
    <s v="Pending"/>
    <x v="1"/>
    <x v="2"/>
  </r>
  <r>
    <x v="321"/>
    <s v="Arsheya Begum"/>
    <x v="5"/>
    <x v="1"/>
    <x v="15"/>
    <s v="Won"/>
    <s v="12-13 March 2022"/>
    <n v="19000"/>
    <n v="217.59047182775998"/>
    <d v="2022-02-15T00:00:00"/>
    <s v="S10"/>
    <d v="2022-02-15T00:00:00"/>
    <s v="CSTM_3783IR1HAY0"/>
    <m/>
    <s v="Pending"/>
    <x v="1"/>
    <x v="2"/>
  </r>
  <r>
    <x v="322"/>
    <s v="Shivam Gupta"/>
    <x v="3"/>
    <x v="2"/>
    <x v="15"/>
    <s v="Won"/>
    <s v="24-25 Feb 2022"/>
    <n v="20000"/>
    <n v="229.04260192395787"/>
    <d v="2022-02-16T00:00:00"/>
    <s v="S10"/>
    <d v="2022-02-18T00:00:00"/>
    <s v="CSTM_7W07MWBZAFK"/>
    <m/>
    <s v="Pending"/>
    <x v="1"/>
    <x v="2"/>
  </r>
  <r>
    <x v="322"/>
    <s v="Aman"/>
    <x v="1"/>
    <x v="2"/>
    <x v="15"/>
    <s v="Won"/>
    <s v="12-13 march 2022"/>
    <n v="19000"/>
    <n v="217.59047182775998"/>
    <d v="2022-02-16T00:00:00"/>
    <s v="S10"/>
    <d v="2022-02-16T00:00:00"/>
    <s v="CSTM_HB09YN143XR"/>
    <s v="Reference by shobhit413@gmail.com"/>
    <s v="Pending"/>
    <x v="1"/>
    <x v="2"/>
  </r>
  <r>
    <x v="322"/>
    <s v="Sunitha Reddy"/>
    <x v="7"/>
    <x v="9"/>
    <x v="15"/>
    <s v="Won"/>
    <s v="19-20 Feb 2022"/>
    <n v="40000"/>
    <n v="458.08520384791575"/>
    <d v="2022-02-16T00:00:00"/>
    <s v="S10"/>
    <d v="2022-02-17T00:00:00"/>
    <s v="CSTM_5WEFY5V2TAF"/>
    <m/>
    <s v="Pending"/>
    <x v="0"/>
    <x v="2"/>
  </r>
  <r>
    <x v="323"/>
    <s v="Venkata Sudheendra"/>
    <x v="2"/>
    <x v="0"/>
    <x v="15"/>
    <s v="Won"/>
    <s v="26-27 Feb 2022"/>
    <n v="21000"/>
    <n v="240.49473202015577"/>
    <d v="2022-02-17T00:00:00"/>
    <s v="S10"/>
    <d v="2022-02-17T00:00:00"/>
    <s v="CSTM_EVHL05UTQR5"/>
    <m/>
    <s v="Pending"/>
    <x v="0"/>
    <x v="2"/>
  </r>
  <r>
    <x v="323"/>
    <s v="Swati Jain"/>
    <x v="1"/>
    <x v="2"/>
    <x v="15"/>
    <s v="Won"/>
    <s v="12-13 March 2022"/>
    <n v="20000"/>
    <n v="229.04260192395787"/>
    <d v="2022-02-17T00:00:00"/>
    <s v="S10"/>
    <d v="2022-02-17T00:00:00"/>
    <s v="CSTM_J4X1G7R70O3"/>
    <s v="Reference by her Husband Sujeet"/>
    <s v="Pending"/>
    <x v="1"/>
    <x v="2"/>
  </r>
  <r>
    <x v="323"/>
    <s v="Shashank"/>
    <x v="5"/>
    <x v="7"/>
    <x v="15"/>
    <s v="Won"/>
    <d v="2022-02-17T00:00:00"/>
    <n v="29000"/>
    <n v="332.11177278973895"/>
    <d v="2022-02-17T00:00:00"/>
    <s v="S10"/>
    <d v="2022-02-19T00:00:00"/>
    <s v="CSTM_20XIIGN9R3"/>
    <m/>
    <s v="Pending"/>
    <x v="2"/>
    <x v="2"/>
  </r>
  <r>
    <x v="324"/>
    <s v="Vasudha Katari"/>
    <x v="1"/>
    <x v="35"/>
    <x v="15"/>
    <s v="Won"/>
    <s v="26-27 Feb 2022"/>
    <n v="24000"/>
    <n v="274.85112230874944"/>
    <d v="2022-02-18T00:00:00"/>
    <s v="S10"/>
    <d v="2022-02-18T00:00:00"/>
    <s v="CSTM_FVZ0SDK8G9C"/>
    <s v="Pragya K - Pending"/>
    <s v="Pending"/>
    <x v="0"/>
    <x v="2"/>
  </r>
  <r>
    <x v="324"/>
    <s v="Abhishek Pal"/>
    <x v="1"/>
    <x v="0"/>
    <x v="15"/>
    <s v="Won"/>
    <s v="26-27 Feb 2022"/>
    <n v="21000"/>
    <n v="240.49473202015577"/>
    <d v="2022-02-18T00:00:00"/>
    <s v="S10"/>
    <d v="2022-02-18T00:00:00"/>
    <s v="CSTM_CWTBYRV8P25"/>
    <s v="Reference by toabhishekpal@gmail.com"/>
    <s v="Pending"/>
    <x v="0"/>
    <x v="2"/>
  </r>
  <r>
    <x v="324"/>
    <s v="Kavitha"/>
    <x v="1"/>
    <x v="35"/>
    <x v="15"/>
    <s v="Won"/>
    <s v="26-27 Feb 2022"/>
    <n v="24000"/>
    <n v="274.85112230874944"/>
    <d v="2022-02-18T00:00:00"/>
    <s v="S10"/>
    <d v="2022-02-18T00:00:00"/>
    <s v="CSTM_AH9GWYXNBGU"/>
    <s v="Reference by malli.vnkt@gmail.com"/>
    <s v="Pending"/>
    <x v="0"/>
    <x v="2"/>
  </r>
  <r>
    <x v="325"/>
    <s v="Anantha Ramaraju"/>
    <x v="9"/>
    <x v="2"/>
    <x v="15"/>
    <s v="Won"/>
    <d v="2022-02-19T00:00:00"/>
    <n v="24000"/>
    <n v="274.85112230874944"/>
    <d v="2022-02-19T00:00:00"/>
    <s v="S10"/>
    <d v="2022-02-19T00:00:00"/>
    <s v="CSTM_BAV161B2PRU"/>
    <m/>
    <s v="Pending"/>
    <x v="1"/>
    <x v="2"/>
  </r>
  <r>
    <x v="325"/>
    <s v="Lakshmi"/>
    <x v="1"/>
    <x v="31"/>
    <x v="15"/>
    <s v="Won"/>
    <s v="26-27 Feb 2022"/>
    <n v="40000"/>
    <n v="458.08520384791575"/>
    <d v="2022-02-19T00:00:00"/>
    <s v="S10"/>
    <d v="2022-02-19T00:00:00"/>
    <s v="CSTM_C9NA46T3EFF"/>
    <s v="Reference by sreejeshkiyer@gmail.com"/>
    <s v="Pending"/>
    <x v="0"/>
    <x v="2"/>
  </r>
  <r>
    <x v="326"/>
    <s v="Gautam Manglik"/>
    <x v="4"/>
    <x v="35"/>
    <x v="15"/>
    <s v="Won"/>
    <s v="26-27 Feb 2022"/>
    <n v="24000"/>
    <n v="274.85112230874944"/>
    <d v="2022-02-21T00:00:00"/>
    <s v="T10"/>
    <d v="2022-02-21T00:00:00"/>
    <s v="CSTM_2DB8HGVG4D1"/>
    <m/>
    <s v="Pending"/>
    <x v="0"/>
    <x v="2"/>
  </r>
  <r>
    <x v="327"/>
    <s v="Somnath"/>
    <x v="2"/>
    <x v="2"/>
    <x v="15"/>
    <s v="Won"/>
    <s v="10-11 March 2022"/>
    <n v="20000"/>
    <n v="229.04260192395787"/>
    <d v="2022-02-22T00:00:00"/>
    <s v="T10"/>
    <d v="2022-02-22T00:00:00"/>
    <s v="CSTM_82YTHQN07LI"/>
    <m/>
    <s v="Pending"/>
    <x v="1"/>
    <x v="2"/>
  </r>
  <r>
    <x v="327"/>
    <s v="Sundeep K"/>
    <x v="5"/>
    <x v="24"/>
    <x v="15"/>
    <s v="Won"/>
    <s v="5-6 March 2022"/>
    <n v="42000"/>
    <n v="480.98946404031153"/>
    <d v="2022-02-22T00:00:00"/>
    <s v="T10"/>
    <d v="2022-02-22T00:00:00"/>
    <s v="CSTM_FWN6R2YEZBH"/>
    <m/>
    <s v="Pending"/>
    <x v="0"/>
    <x v="2"/>
  </r>
  <r>
    <x v="328"/>
    <s v="Neha Nagar"/>
    <x v="24"/>
    <x v="2"/>
    <x v="15"/>
    <s v="Won"/>
    <s v="19-20 March 2022"/>
    <n v="19000"/>
    <n v="217.59047182775998"/>
    <d v="2022-02-23T00:00:00"/>
    <s v="T10"/>
    <d v="2022-02-23T00:00:00"/>
    <s v="CSTM_705L35VN36V"/>
    <m/>
    <s v="Pending"/>
    <x v="1"/>
    <x v="2"/>
  </r>
  <r>
    <x v="328"/>
    <s v="Adi"/>
    <x v="2"/>
    <x v="35"/>
    <x v="15"/>
    <s v="Won"/>
    <s v="26-27 Feb 2022"/>
    <n v="24000"/>
    <n v="274.85112230874944"/>
    <d v="2022-02-23T00:00:00"/>
    <s v="T10"/>
    <d v="2022-02-23T00:00:00"/>
    <s v="CSTM_538A8GM8M6"/>
    <m/>
    <s v="Pending"/>
    <x v="0"/>
    <x v="2"/>
  </r>
  <r>
    <x v="328"/>
    <s v="Kunal"/>
    <x v="1"/>
    <x v="7"/>
    <x v="15"/>
    <s v="Won"/>
    <d v="2022-02-26T00:00:00"/>
    <n v="13500"/>
    <n v="154.60375629867156"/>
    <d v="2022-02-23T00:00:00"/>
    <s v="T10"/>
    <d v="2022-02-23T00:00:00"/>
    <s v="CSTM_86HVJ60509N"/>
    <s v="Keerti - Pending"/>
    <s v="Pending"/>
    <x v="2"/>
    <x v="2"/>
  </r>
  <r>
    <x v="329"/>
    <s v="Nishtha Ravesh"/>
    <x v="13"/>
    <x v="35"/>
    <x v="16"/>
    <s v="Won"/>
    <s v="12-13 March 2022"/>
    <n v="24000"/>
    <n v="274.85112230874944"/>
    <d v="2022-02-24T00:00:00"/>
    <s v="F10"/>
    <d v="2022-03-07T00:00:00"/>
    <s v="CSTM_7ICQWT3TX0N"/>
    <m/>
    <s v="Pending"/>
    <x v="0"/>
    <x v="2"/>
  </r>
  <r>
    <x v="329"/>
    <s v="Geetika"/>
    <x v="23"/>
    <x v="35"/>
    <x v="15"/>
    <s v="Won"/>
    <s v="12-13 March 2022"/>
    <n v="24000"/>
    <n v="274.85112230874944"/>
    <d v="2022-02-24T00:00:00"/>
    <s v="T10"/>
    <d v="2022-02-24T00:00:00"/>
    <s v="CSTM_DWGDEHAWC7C"/>
    <m/>
    <s v="Pending"/>
    <x v="0"/>
    <x v="2"/>
  </r>
  <r>
    <x v="329"/>
    <s v="Abhishek"/>
    <x v="5"/>
    <x v="14"/>
    <x v="15"/>
    <s v="Won"/>
    <s v="26-27 Feb 2022"/>
    <n v="21000"/>
    <n v="240.49473202015577"/>
    <d v="2022-02-24T00:00:00"/>
    <s v="T10"/>
    <d v="2022-02-24T00:00:00"/>
    <s v="CSTM_EGHEDIMZVIB"/>
    <m/>
    <s v="Pending"/>
    <x v="0"/>
    <x v="2"/>
  </r>
  <r>
    <x v="329"/>
    <s v="Ruchi"/>
    <x v="1"/>
    <x v="14"/>
    <x v="15"/>
    <s v="Won"/>
    <s v="26-27 Feb 2022"/>
    <n v="21000"/>
    <n v="240.49473202015577"/>
    <d v="2022-02-24T00:00:00"/>
    <s v="T10"/>
    <d v="2022-02-24T00:00:00"/>
    <s v="CSTM_CEZTBVHLHEM"/>
    <s v="Reference by Abhishek"/>
    <s v="Pending"/>
    <x v="0"/>
    <x v="2"/>
  </r>
  <r>
    <x v="329"/>
    <s v="Gaurav"/>
    <x v="2"/>
    <x v="31"/>
    <x v="15"/>
    <s v="Won"/>
    <s v="26-27 Feb 2022"/>
    <n v="42000"/>
    <n v="480.98946404031153"/>
    <d v="2022-02-24T00:00:00"/>
    <s v="T10"/>
    <d v="2022-02-24T00:00:00"/>
    <s v="CSTM_4QN77ZWTLCR"/>
    <m/>
    <s v="Pending"/>
    <x v="0"/>
    <x v="2"/>
  </r>
  <r>
    <x v="330"/>
    <s v="Sasi Dharala"/>
    <x v="3"/>
    <x v="0"/>
    <x v="15"/>
    <s v="Won"/>
    <s v="26-27 Feb 2022"/>
    <n v="21000"/>
    <n v="240.49473202015577"/>
    <d v="2022-02-25T00:00:00"/>
    <s v="T10"/>
    <d v="2022-02-25T00:00:00"/>
    <s v="CSTM_9JMJAB0ZK19"/>
    <m/>
    <s v="Pending"/>
    <x v="0"/>
    <x v="2"/>
  </r>
  <r>
    <x v="330"/>
    <s v="Rashmi"/>
    <x v="5"/>
    <x v="9"/>
    <x v="15"/>
    <s v="Won"/>
    <s v="26-27 Feb 2022"/>
    <n v="42000"/>
    <n v="480.98946404031153"/>
    <d v="2022-02-25T00:00:00"/>
    <s v="T10"/>
    <d v="2022-02-25T00:00:00"/>
    <s v="CSTM_HHGKDDKVFNY"/>
    <m/>
    <s v="Pending"/>
    <x v="0"/>
    <x v="2"/>
  </r>
  <r>
    <x v="330"/>
    <s v="David Allignton"/>
    <x v="13"/>
    <x v="2"/>
    <x v="15"/>
    <s v="Won"/>
    <s v="19-20 March 2022"/>
    <n v="19000"/>
    <n v="217.59047182775998"/>
    <d v="2022-02-25T00:00:00"/>
    <s v="T10"/>
    <d v="2022-02-25T00:00:00"/>
    <s v="CSTM_6XYGU3RWUM3"/>
    <m/>
    <s v="Pending"/>
    <x v="1"/>
    <x v="2"/>
  </r>
  <r>
    <x v="330"/>
    <s v="Ritu"/>
    <x v="3"/>
    <x v="2"/>
    <x v="15"/>
    <s v="Won"/>
    <s v="19-20 March 2022"/>
    <n v="19000"/>
    <n v="217.59047182775998"/>
    <d v="2022-02-25T00:00:00"/>
    <s v="T10"/>
    <d v="2022-02-25T00:00:00"/>
    <s v="CSTM_DQNUXCD7LEC"/>
    <m/>
    <s v="Pending"/>
    <x v="1"/>
    <x v="2"/>
  </r>
  <r>
    <x v="330"/>
    <s v="Subu"/>
    <x v="1"/>
    <x v="2"/>
    <x v="15"/>
    <s v="Won"/>
    <s v="19-20 March 2022"/>
    <n v="19000"/>
    <n v="217.59047182775998"/>
    <d v="2022-02-25T00:00:00"/>
    <s v="T10"/>
    <d v="2022-02-25T00:00:00"/>
    <s v="CSTM_HFTPPYV4SR5"/>
    <s v="Reference by Ritu"/>
    <s v="Pending"/>
    <x v="1"/>
    <x v="2"/>
  </r>
  <r>
    <x v="331"/>
    <s v="Vinoth Kumar"/>
    <x v="5"/>
    <x v="1"/>
    <x v="15"/>
    <s v="Won"/>
    <s v="5-6 March 2022"/>
    <n v="19000"/>
    <n v="217.59047182775998"/>
    <d v="2022-02-27T00:00:00"/>
    <s v="T10"/>
    <d v="2022-02-27T00:00:00"/>
    <s v="CSTM_DNZLBI4JOX0"/>
    <m/>
    <s v="Pending"/>
    <x v="1"/>
    <x v="2"/>
  </r>
  <r>
    <x v="331"/>
    <s v="Vaishali"/>
    <x v="5"/>
    <x v="0"/>
    <x v="15"/>
    <s v="Won"/>
    <s v="19-20 March 2022"/>
    <n v="21000"/>
    <n v="240.49473202015577"/>
    <d v="2022-02-27T00:00:00"/>
    <s v="T10"/>
    <d v="2022-02-27T00:00:00"/>
    <s v="CSTM_J8VORYJZZRP"/>
    <m/>
    <s v="Pending"/>
    <x v="0"/>
    <x v="2"/>
  </r>
  <r>
    <x v="332"/>
    <s v="Chandan"/>
    <x v="1"/>
    <x v="9"/>
    <x v="16"/>
    <s v="Won"/>
    <s v="12-13 March 2022"/>
    <n v="40000"/>
    <n v="458.08520384791575"/>
    <d v="2022-02-28T00:00:00"/>
    <s v="F10"/>
    <d v="2022-03-01T00:00:00"/>
    <s v="CSTM_J4HG9UAV6YH"/>
    <s v="Reference by Dhananjay"/>
    <s v="Pending"/>
    <x v="0"/>
    <x v="2"/>
  </r>
  <r>
    <x v="333"/>
    <s v="Vipin Deva"/>
    <x v="24"/>
    <x v="2"/>
    <x v="16"/>
    <s v="Won"/>
    <s v="19-20 March 2022"/>
    <n v="19000"/>
    <n v="217.59047182775998"/>
    <d v="2022-03-01T00:00:00"/>
    <s v="F10"/>
    <d v="2022-03-01T00:00:00"/>
    <s v="CSTM_9HF105220E6"/>
    <m/>
    <s v="Pending"/>
    <x v="1"/>
    <x v="2"/>
  </r>
  <r>
    <x v="334"/>
    <s v="Prerana"/>
    <x v="2"/>
    <x v="0"/>
    <x v="16"/>
    <s v="Won"/>
    <s v="5-6 March 2022"/>
    <n v="21000"/>
    <n v="240.49473202015577"/>
    <d v="2022-03-02T00:00:00"/>
    <s v="F10"/>
    <d v="2022-03-03T00:00:00"/>
    <s v="CSTM_FJ8OOIRTHHA"/>
    <m/>
    <s v="Pending"/>
    <x v="0"/>
    <x v="2"/>
  </r>
  <r>
    <x v="335"/>
    <s v="Chidambaram Ganesan"/>
    <x v="13"/>
    <x v="2"/>
    <x v="16"/>
    <s v="Won"/>
    <s v="26-27 March 2022"/>
    <n v="20000"/>
    <n v="229.04260192395787"/>
    <d v="2022-03-03T00:00:00"/>
    <s v="F10"/>
    <d v="2022-03-04T00:00:00"/>
    <s v="CSTM_BAXRFRR2P3E"/>
    <m/>
    <s v="Pending"/>
    <x v="1"/>
    <x v="2"/>
  </r>
  <r>
    <x v="335"/>
    <s v="Pradeep"/>
    <x v="3"/>
    <x v="0"/>
    <x v="16"/>
    <s v="Won"/>
    <s v="5-6 March 2022"/>
    <n v="21000"/>
    <n v="240.49473202015577"/>
    <d v="2022-03-03T00:00:00"/>
    <s v="F10"/>
    <d v="2022-03-03T00:00:00"/>
    <s v="CSTM_A6J8I7V8MEG"/>
    <m/>
    <s v="Pending"/>
    <x v="0"/>
    <x v="2"/>
  </r>
  <r>
    <x v="335"/>
    <s v="Dheeraj Rathod"/>
    <x v="6"/>
    <x v="2"/>
    <x v="16"/>
    <s v="Won"/>
    <s v="12-13 March 2022"/>
    <n v="20000"/>
    <n v="229.04260192395787"/>
    <d v="2022-03-03T00:00:00"/>
    <s v="F10"/>
    <d v="2022-03-03T00:00:00"/>
    <s v="CSTM_71VK1EU7JDO"/>
    <m/>
    <s v="Pending"/>
    <x v="1"/>
    <x v="2"/>
  </r>
  <r>
    <x v="335"/>
    <s v="Senthil"/>
    <x v="5"/>
    <x v="14"/>
    <x v="16"/>
    <s v="Won"/>
    <s v="26-27 March 2022"/>
    <n v="21000"/>
    <n v="240.49473202015577"/>
    <d v="2022-03-03T00:00:00"/>
    <s v="F10"/>
    <d v="2022-03-03T00:00:00"/>
    <s v="CSTM_6ULNCDXD8FG"/>
    <m/>
    <s v="Done. Good feedback."/>
    <x v="0"/>
    <x v="2"/>
  </r>
  <r>
    <x v="335"/>
    <s v="Shivakumar"/>
    <x v="3"/>
    <x v="9"/>
    <x v="16"/>
    <s v="Won"/>
    <s v="5-6 March 2022"/>
    <n v="40000"/>
    <n v="458.08520384791575"/>
    <d v="2022-03-03T00:00:00"/>
    <s v="F10"/>
    <d v="2022-03-03T00:00:00"/>
    <s v="CSTM_9VZMIDIILOB"/>
    <m/>
    <s v="Pending"/>
    <x v="0"/>
    <x v="2"/>
  </r>
  <r>
    <x v="336"/>
    <s v="Shweta Dureja"/>
    <x v="5"/>
    <x v="24"/>
    <x v="16"/>
    <s v="Won"/>
    <s v="5-6 March 2022"/>
    <n v="42000"/>
    <n v="480.98946404031153"/>
    <d v="2022-03-04T00:00:00"/>
    <s v="F10"/>
    <d v="2022-03-04T00:00:00"/>
    <s v="CSTM_IC3JKVNX0X2"/>
    <m/>
    <s v="Pending"/>
    <x v="0"/>
    <x v="2"/>
  </r>
  <r>
    <x v="336"/>
    <s v="Ajay Ahuja"/>
    <x v="2"/>
    <x v="14"/>
    <x v="16"/>
    <s v="Won"/>
    <s v="12-13 March 2022"/>
    <n v="21000"/>
    <n v="240.49473202015577"/>
    <d v="2022-03-04T00:00:00"/>
    <s v="F10"/>
    <d v="2022-03-04T00:00:00"/>
    <s v="CSTM_DI3YNGQJU4R"/>
    <m/>
    <s v="Pending"/>
    <x v="0"/>
    <x v="2"/>
  </r>
  <r>
    <x v="336"/>
    <s v="Shiwali"/>
    <x v="5"/>
    <x v="9"/>
    <x v="16"/>
    <s v="Won"/>
    <s v="12-13 March 2022"/>
    <n v="40000"/>
    <n v="458.08520384791575"/>
    <d v="2022-03-04T00:00:00"/>
    <s v="F10"/>
    <d v="2022-03-05T00:00:00"/>
    <s v="CSTM_DWZUZVUBKVZ"/>
    <m/>
    <s v="Pending"/>
    <x v="0"/>
    <x v="2"/>
  </r>
  <r>
    <x v="337"/>
    <s v="Sashi Skl"/>
    <x v="2"/>
    <x v="0"/>
    <x v="16"/>
    <s v="Won"/>
    <s v="5-6 March 2022"/>
    <n v="21000"/>
    <n v="240.49473202015577"/>
    <d v="2022-03-05T00:00:00"/>
    <s v="F10"/>
    <d v="2022-03-05T00:00:00"/>
    <s v="CSTM_6GZCLOKTF1U"/>
    <m/>
    <s v="Pending"/>
    <x v="0"/>
    <x v="2"/>
  </r>
  <r>
    <x v="337"/>
    <s v="Sunil Dantal"/>
    <x v="5"/>
    <x v="9"/>
    <x v="16"/>
    <s v="Won"/>
    <s v="12-13 March 2022"/>
    <n v="42000"/>
    <n v="480.98946404031153"/>
    <d v="2022-03-05T00:00:00"/>
    <s v="F10"/>
    <d v="2022-03-05T00:00:00"/>
    <s v="CSTM_3X3L8ETCVYH"/>
    <m/>
    <s v="Pending"/>
    <x v="0"/>
    <x v="2"/>
  </r>
  <r>
    <x v="337"/>
    <s v="Kedar"/>
    <x v="7"/>
    <x v="0"/>
    <x v="16"/>
    <s v="Won"/>
    <s v="19-20 March 2022"/>
    <n v="21000"/>
    <n v="240.49473202015577"/>
    <d v="2022-03-05T00:00:00"/>
    <s v="F10"/>
    <d v="2022-03-05T00:00:00"/>
    <s v="CSTM_IESL8XSPGYH"/>
    <m/>
    <s v="Pending"/>
    <x v="0"/>
    <x v="2"/>
  </r>
  <r>
    <x v="338"/>
    <s v="Avik"/>
    <x v="1"/>
    <x v="7"/>
    <x v="16"/>
    <s v="Won"/>
    <d v="2022-03-12T00:00:00"/>
    <n v="11000"/>
    <n v="125.97343105817684"/>
    <d v="2022-03-07T00:00:00"/>
    <s v="F10"/>
    <d v="2022-03-07T00:00:00"/>
    <s v="CSTM_GDQ7EJ97NON"/>
    <s v="Pragya K - Order Amount less"/>
    <s v="Pending"/>
    <x v="2"/>
    <x v="2"/>
  </r>
  <r>
    <x v="338"/>
    <s v="Ryhana"/>
    <x v="1"/>
    <x v="1"/>
    <x v="16"/>
    <s v="Won"/>
    <s v="9-10 March 2022"/>
    <n v="20000"/>
    <n v="229.04260192395787"/>
    <d v="2022-03-07T00:00:00"/>
    <s v="F10"/>
    <d v="2022-03-07T00:00:00"/>
    <s v="CSTM_26L7EYK537K"/>
    <s v="Aruko - Done"/>
    <s v="Pending"/>
    <x v="1"/>
    <x v="2"/>
  </r>
  <r>
    <x v="339"/>
    <s v="Tejaswini Kasina"/>
    <x v="1"/>
    <x v="0"/>
    <x v="16"/>
    <s v="Won"/>
    <s v="12-13 March 2022"/>
    <n v="21000"/>
    <n v="240.49473202015577"/>
    <d v="2022-03-09T00:00:00"/>
    <s v="F10"/>
    <d v="2022-03-09T00:00:00"/>
    <s v="CSTM_7FR7IQ97GWU"/>
    <s v="Reference by tej.lalge@gmail.com"/>
    <s v="Pending"/>
    <x v="0"/>
    <x v="2"/>
  </r>
  <r>
    <x v="340"/>
    <s v="Smita"/>
    <x v="13"/>
    <x v="1"/>
    <x v="16"/>
    <s v="Won"/>
    <s v="12-13 March 2022"/>
    <n v="20000"/>
    <n v="229.04260192395787"/>
    <d v="2022-03-10T00:00:00"/>
    <s v="F10"/>
    <d v="2022-03-10T00:00:00"/>
    <s v="CSTM_2R1FL8IYBSU"/>
    <m/>
    <s v="Pending"/>
    <x v="1"/>
    <x v="2"/>
  </r>
  <r>
    <x v="341"/>
    <s v="Krati Latoriya"/>
    <x v="5"/>
    <x v="0"/>
    <x v="16"/>
    <s v="Won"/>
    <s v="12-13 March 2022"/>
    <n v="20500"/>
    <n v="234.76866697205682"/>
    <d v="2022-03-11T00:00:00"/>
    <s v="S10"/>
    <d v="2022-03-11T00:00:00"/>
    <s v="CSTM_D20SVZK4ALS"/>
    <m/>
    <s v="Pending"/>
    <x v="0"/>
    <x v="2"/>
  </r>
  <r>
    <x v="342"/>
    <s v="Priyanka Engineer"/>
    <x v="6"/>
    <x v="0"/>
    <x v="16"/>
    <s v="Won"/>
    <s v="26-27 March 2022"/>
    <n v="21000"/>
    <n v="240.49473202015577"/>
    <d v="2022-03-12T00:00:00"/>
    <s v="S10"/>
    <d v="2022-03-12T00:00:00"/>
    <s v="CSTM_3L26ZKQZK3V"/>
    <m/>
    <s v="Done. Good feedback."/>
    <x v="0"/>
    <x v="2"/>
  </r>
  <r>
    <x v="342"/>
    <s v="Akhya"/>
    <x v="4"/>
    <x v="2"/>
    <x v="16"/>
    <s v="Won"/>
    <s v="4-5 April 2022"/>
    <n v="20000"/>
    <n v="229.04260192395787"/>
    <d v="2022-03-12T00:00:00"/>
    <s v="S10"/>
    <d v="2022-03-12T00:00:00"/>
    <s v="CSTM_IJYVYVXCNZP"/>
    <m/>
    <s v="Pending"/>
    <x v="1"/>
    <x v="2"/>
  </r>
  <r>
    <x v="343"/>
    <s v="Deepti Anbarasu"/>
    <x v="7"/>
    <x v="9"/>
    <x v="16"/>
    <s v="Won"/>
    <s v="19-20 March 2022"/>
    <n v="42000"/>
    <n v="480.98946404031153"/>
    <d v="2022-03-14T00:00:00"/>
    <s v="S10"/>
    <d v="2022-03-14T00:00:00"/>
    <s v="CSTM_J4ATSYU6FAL"/>
    <m/>
    <s v="Pending"/>
    <x v="0"/>
    <x v="2"/>
  </r>
  <r>
    <x v="343"/>
    <s v="John Rose"/>
    <x v="7"/>
    <x v="0"/>
    <x v="16"/>
    <s v="Won"/>
    <s v="26-27 March 2022"/>
    <n v="21000"/>
    <n v="240.49473202015577"/>
    <d v="2022-03-14T00:00:00"/>
    <s v="S10"/>
    <d v="2022-03-14T00:00:00"/>
    <s v="CSTM_6SC6WOK1UFG"/>
    <m/>
    <s v="Done. Good feedback."/>
    <x v="0"/>
    <x v="2"/>
  </r>
  <r>
    <x v="344"/>
    <s v="Malar Priya"/>
    <x v="7"/>
    <x v="14"/>
    <x v="16"/>
    <s v="Won"/>
    <s v="2-3 April 2022"/>
    <n v="21000"/>
    <n v="240.49473202015577"/>
    <d v="2022-03-15T00:00:00"/>
    <s v="S10"/>
    <d v="2022-03-16T00:00:00"/>
    <s v="CSTM_630KXH0EJNC"/>
    <m/>
    <s v="Pending"/>
    <x v="0"/>
    <x v="2"/>
  </r>
  <r>
    <x v="344"/>
    <s v="Sumit Bhatta"/>
    <x v="5"/>
    <x v="0"/>
    <x v="16"/>
    <s v="Won"/>
    <s v="26-27 March 2022"/>
    <n v="21000"/>
    <n v="240.49473202015577"/>
    <d v="2022-03-15T00:00:00"/>
    <s v="S10"/>
    <d v="2022-03-15T00:00:00"/>
    <s v="CSTM_CO4DEFAS9JN"/>
    <m/>
    <s v="Pending"/>
    <x v="0"/>
    <x v="2"/>
  </r>
  <r>
    <x v="345"/>
    <s v="Pranav Gupta"/>
    <x v="5"/>
    <x v="31"/>
    <x v="16"/>
    <s v="Won"/>
    <s v="9-10 April 2022"/>
    <n v="42000"/>
    <n v="480.98946404031153"/>
    <d v="2022-03-16T00:00:00"/>
    <s v="S10"/>
    <d v="2022-03-16T00:00:00"/>
    <s v="CSTM_HTVZU2KVRUX"/>
    <m/>
    <s v="Pending"/>
    <x v="0"/>
    <x v="2"/>
  </r>
  <r>
    <x v="345"/>
    <s v="Mayank Mishra"/>
    <x v="2"/>
    <x v="9"/>
    <x v="16"/>
    <s v="Won"/>
    <s v="2-3 April 2022"/>
    <n v="42000"/>
    <n v="480.98946404031153"/>
    <d v="2022-03-16T00:00:00"/>
    <s v="S10"/>
    <d v="2022-03-16T00:00:00"/>
    <s v="CSTM_DUHFWN9ETTB"/>
    <m/>
    <s v="Pending"/>
    <x v="0"/>
    <x v="2"/>
  </r>
  <r>
    <x v="345"/>
    <s v="Kamal  Boddapati"/>
    <x v="3"/>
    <x v="0"/>
    <x v="16"/>
    <s v="Won"/>
    <s v="19-20 March 2022"/>
    <n v="21000"/>
    <n v="240.49473202015577"/>
    <d v="2022-03-16T00:00:00"/>
    <s v="S10"/>
    <d v="2022-03-16T00:00:00"/>
    <s v="CSTM_DZAHKW8881J"/>
    <m/>
    <s v="Pending"/>
    <x v="0"/>
    <x v="2"/>
  </r>
  <r>
    <x v="346"/>
    <s v="Anjaneyulu Moram"/>
    <x v="1"/>
    <x v="0"/>
    <x v="16"/>
    <s v="Won"/>
    <s v="19-20 March 2022"/>
    <n v="20000"/>
    <n v="229.04260192395787"/>
    <d v="2022-03-17T00:00:00"/>
    <s v="S10"/>
    <d v="2022-03-17T00:00:00"/>
    <s v="CSTM_796MVQK34GH"/>
    <s v="Reference by moram.anji@gmail.com"/>
    <s v="Pending"/>
    <x v="0"/>
    <x v="2"/>
  </r>
  <r>
    <x v="346"/>
    <s v="Vanitha B S"/>
    <x v="2"/>
    <x v="0"/>
    <x v="16"/>
    <s v="Won"/>
    <s v="26-27 March 2022"/>
    <n v="21000"/>
    <n v="240.49473202015577"/>
    <d v="2022-03-17T00:00:00"/>
    <s v="S10"/>
    <d v="2022-03-17T00:00:00"/>
    <s v="CSTM_J4OUYUI0UMK"/>
    <m/>
    <s v="Done. Good feedback."/>
    <x v="0"/>
    <x v="2"/>
  </r>
  <r>
    <x v="347"/>
    <s v="Gurumurti"/>
    <x v="1"/>
    <x v="24"/>
    <x v="16"/>
    <s v="Won"/>
    <s v="2-3 April 2022"/>
    <n v="40000"/>
    <n v="458.08520384791575"/>
    <d v="2022-03-18T00:00:00"/>
    <s v="S10"/>
    <d v="2022-03-18T00:00:00"/>
    <s v="CSTM_55DN8U8ZROI"/>
    <s v="Reference by ganeshrajshekar28@gmail.com"/>
    <s v="Pending"/>
    <x v="0"/>
    <x v="2"/>
  </r>
  <r>
    <x v="347"/>
    <s v="Jeyasri JP"/>
    <x v="2"/>
    <x v="47"/>
    <x v="16"/>
    <s v="Won"/>
    <d v="2022-03-19T00:00:00"/>
    <n v="14000"/>
    <n v="160.3298213467705"/>
    <d v="2022-03-18T00:00:00"/>
    <s v="S10"/>
    <d v="2022-03-18T00:00:00"/>
    <s v="CSTM_IWEBDLVNTA1"/>
    <m/>
    <s v="Pending"/>
    <x v="2"/>
    <x v="2"/>
  </r>
  <r>
    <x v="348"/>
    <s v="Neha Jain"/>
    <x v="4"/>
    <x v="0"/>
    <x v="16"/>
    <s v="Won"/>
    <s v="2-3 April 2022"/>
    <n v="21000"/>
    <n v="240.49473202015577"/>
    <d v="2022-03-22T00:00:00"/>
    <s v="T10"/>
    <d v="2022-03-22T00:00:00"/>
    <s v="CSTM_55OK3VVPXNC"/>
    <m/>
    <s v="Pending"/>
    <x v="0"/>
    <x v="2"/>
  </r>
  <r>
    <x v="349"/>
    <s v="Deepak"/>
    <x v="2"/>
    <x v="2"/>
    <x v="16"/>
    <s v="Won"/>
    <s v="2-3 April 2022"/>
    <n v="20000"/>
    <n v="229.04260192395787"/>
    <d v="2022-03-23T00:00:00"/>
    <s v="T10"/>
    <d v="2022-03-23T00:00:00"/>
    <s v="CSTM_B2KVPUTCHRF"/>
    <m/>
    <s v="Pending"/>
    <x v="1"/>
    <x v="2"/>
  </r>
  <r>
    <x v="349"/>
    <s v="Shashank"/>
    <x v="1"/>
    <x v="0"/>
    <x v="16"/>
    <s v="Won"/>
    <s v="23-24 April 2022"/>
    <n v="21000"/>
    <n v="240.49473202015577"/>
    <d v="2022-03-23T00:00:00"/>
    <s v="T10"/>
    <d v="2022-03-23T00:00:00"/>
    <s v="CSTM_1GAWP35WPF2"/>
    <s v="Reference by vin24.kamra@gmail.com"/>
    <s v="Pending"/>
    <x v="0"/>
    <x v="2"/>
  </r>
  <r>
    <x v="350"/>
    <s v="Narayana Surya"/>
    <x v="1"/>
    <x v="48"/>
    <x v="16"/>
    <s v="Won"/>
    <d v="2022-03-24T00:00:00"/>
    <n v="89250"/>
    <n v="1022.1026110856619"/>
    <d v="2022-03-24T00:00:00"/>
    <s v="T10"/>
    <d v="2022-03-24T00:00:00"/>
    <s v="CSTM_H1JN7KYNDT2"/>
    <s v="Reference by sweetshivi2707@gmail.com"/>
    <s v="Pending"/>
    <x v="2"/>
    <x v="2"/>
  </r>
  <r>
    <x v="351"/>
    <s v="Mruga Manoj Karulkar"/>
    <x v="3"/>
    <x v="9"/>
    <x v="17"/>
    <s v="Won"/>
    <s v="23-24 April 2022"/>
    <n v="42000"/>
    <n v="480.98946404031153"/>
    <d v="2022-03-25T00:00:00"/>
    <s v="F10"/>
    <d v="2022-04-07T00:00:00"/>
    <s v="CSTM_IV01GKFGZBR"/>
    <m/>
    <s v="Pending"/>
    <x v="0"/>
    <x v="2"/>
  </r>
  <r>
    <x v="352"/>
    <s v="Arun Gaur"/>
    <x v="13"/>
    <x v="7"/>
    <x v="16"/>
    <s v="Won"/>
    <d v="2022-03-28T00:00:00"/>
    <n v="10000"/>
    <n v="114.52130096197894"/>
    <d v="2022-03-27T00:00:00"/>
    <s v="T10"/>
    <d v="2022-03-27T00:00:00"/>
    <s v="CSTM_61DQA2JCRJX"/>
    <m/>
    <s v="Pending"/>
    <x v="2"/>
    <x v="2"/>
  </r>
  <r>
    <x v="353"/>
    <s v="Yash Jain"/>
    <x v="6"/>
    <x v="14"/>
    <x v="16"/>
    <s v="Won"/>
    <s v="2-3 April 2022"/>
    <n v="21000"/>
    <n v="240.49473202015577"/>
    <d v="2022-03-28T00:00:00"/>
    <s v="T10"/>
    <d v="2022-03-28T00:00:00"/>
    <s v="CSTM_RXLFFYIRP0"/>
    <m/>
    <s v="Pending"/>
    <x v="0"/>
    <x v="2"/>
  </r>
  <r>
    <x v="354"/>
    <s v="Swetha Bommidyala"/>
    <x v="1"/>
    <x v="21"/>
    <x v="16"/>
    <s v="Won"/>
    <d v="2022-03-29T00:00:00"/>
    <n v="32000"/>
    <n v="366.46816307833262"/>
    <d v="2022-03-29T00:00:00"/>
    <s v="T10"/>
    <d v="2022-03-29T00:00:00"/>
    <s v="CSTM_484QQ39WTZP"/>
    <s v="Reference by sweetshivi2707@gmail.com"/>
    <s v="Pending"/>
    <x v="2"/>
    <x v="2"/>
  </r>
  <r>
    <x v="354"/>
    <s v="Irfan Nagori"/>
    <x v="1"/>
    <x v="2"/>
    <x v="16"/>
    <s v="Won"/>
    <s v="2-3 April 2022"/>
    <n v="19500"/>
    <n v="223.3165368758589"/>
    <d v="2022-03-29T00:00:00"/>
    <s v="T10"/>
    <d v="2022-03-30T00:00:00"/>
    <s v="CSTM_9O3H4BSHH4"/>
    <s v="Reference by irfgar26@gmail.com"/>
    <s v="Pending"/>
    <x v="1"/>
    <x v="2"/>
  </r>
  <r>
    <x v="355"/>
    <s v="Saikanth"/>
    <x v="5"/>
    <x v="0"/>
    <x v="16"/>
    <s v="Won"/>
    <s v="2-3 April 2022"/>
    <n v="21000"/>
    <n v="240.49473202015577"/>
    <d v="2022-03-30T00:00:00"/>
    <s v="T10"/>
    <d v="2022-03-30T00:00:00"/>
    <s v="CSTM_EPP2QWUB56X"/>
    <m/>
    <s v="Pending"/>
    <x v="0"/>
    <x v="2"/>
  </r>
  <r>
    <x v="355"/>
    <s v="Anurag "/>
    <x v="5"/>
    <x v="9"/>
    <x v="16"/>
    <s v="Won"/>
    <s v="9-10 April 2022"/>
    <n v="42000"/>
    <n v="480.98946404031153"/>
    <d v="2022-03-30T00:00:00"/>
    <s v="T10"/>
    <d v="2022-03-30T00:00:00"/>
    <s v="CSTM_66BGDL9J732"/>
    <m/>
    <s v="Done. Good feedback."/>
    <x v="0"/>
    <x v="2"/>
  </r>
  <r>
    <x v="355"/>
    <s v="Mihir Srivastava"/>
    <x v="1"/>
    <x v="2"/>
    <x v="16"/>
    <s v="Won"/>
    <s v="23-24 April 2022"/>
    <n v="20000"/>
    <n v="229.04260192395787"/>
    <d v="2022-03-30T00:00:00"/>
    <s v="T10"/>
    <d v="2022-03-30T00:00:00"/>
    <s v="CSTM_3LQR1D4SDVG"/>
    <s v="Reference by erkushlendra19@gmail.com"/>
    <s v="Pending"/>
    <x v="1"/>
    <x v="2"/>
  </r>
  <r>
    <x v="356"/>
    <s v="Neha Rampal"/>
    <x v="5"/>
    <x v="0"/>
    <x v="16"/>
    <s v="Won"/>
    <s v="7-8 May 2022"/>
    <n v="21000"/>
    <n v="240.49473202015577"/>
    <d v="2022-03-31T00:00:00"/>
    <s v="T10"/>
    <d v="2022-03-31T00:00:00"/>
    <s v="CSTM_EC0FTK0AQRS"/>
    <m/>
    <s v="Pending"/>
    <x v="0"/>
    <x v="2"/>
  </r>
  <r>
    <x v="356"/>
    <s v="Shalaka Joshi"/>
    <x v="5"/>
    <x v="0"/>
    <x v="16"/>
    <s v="Won"/>
    <s v="9-10 April 2022"/>
    <n v="21000"/>
    <n v="240.49473202015577"/>
    <d v="2022-03-31T00:00:00"/>
    <s v="T10"/>
    <d v="2022-03-31T00:00:00"/>
    <s v="CSTM_3CVJTD640O0"/>
    <m/>
    <s v="Done. Good feedback."/>
    <x v="0"/>
    <x v="2"/>
  </r>
  <r>
    <x v="356"/>
    <s v="Pragyan"/>
    <x v="3"/>
    <x v="9"/>
    <x v="16"/>
    <s v="Won"/>
    <s v="9-10 April 2022"/>
    <n v="42000"/>
    <n v="480.98946404031153"/>
    <d v="2022-03-31T00:00:00"/>
    <s v="T10"/>
    <d v="2022-03-31T00:00:00"/>
    <s v="CSTM_3R1C3I5T52R"/>
    <m/>
    <s v="Done. Good feedback."/>
    <x v="0"/>
    <x v="2"/>
  </r>
  <r>
    <x v="356"/>
    <s v="Utkarsh RV"/>
    <x v="5"/>
    <x v="1"/>
    <x v="16"/>
    <s v="Won"/>
    <s v="21-22 April 2022"/>
    <n v="20000"/>
    <n v="229.04260192395787"/>
    <d v="2022-03-31T00:00:00"/>
    <s v="T10"/>
    <d v="2022-03-31T00:00:00"/>
    <s v="CSTM_HILVSTB0X3N"/>
    <m/>
    <s v="Pending"/>
    <x v="1"/>
    <x v="2"/>
  </r>
  <r>
    <x v="357"/>
    <s v="Sachin Doke"/>
    <x v="5"/>
    <x v="9"/>
    <x v="17"/>
    <s v="Won"/>
    <s v="23-24 April 2022"/>
    <n v="40000"/>
    <n v="458.08520384791575"/>
    <d v="2022-04-02T00:00:00"/>
    <s v="F10"/>
    <d v="2022-04-02T00:00:00"/>
    <s v="CSTM_9KZ9AT4DPC3"/>
    <m/>
    <s v="Pending"/>
    <x v="0"/>
    <x v="2"/>
  </r>
  <r>
    <x v="358"/>
    <s v="Anil Vadhavane"/>
    <x v="7"/>
    <x v="2"/>
    <x v="17"/>
    <s v="Won"/>
    <s v="16-17 April 2022"/>
    <n v="20000"/>
    <n v="229.04260192395787"/>
    <d v="2022-04-04T00:00:00"/>
    <s v="F10"/>
    <d v="2022-04-04T00:00:00"/>
    <s v="CSTM_6W6JY7BJDOP"/>
    <m/>
    <s v="Done. Good feedback."/>
    <x v="1"/>
    <x v="2"/>
  </r>
  <r>
    <x v="358"/>
    <s v="Arpit Bajhal"/>
    <x v="7"/>
    <x v="0"/>
    <x v="17"/>
    <s v="Won"/>
    <s v="9-10 April 2022"/>
    <n v="21000"/>
    <n v="240.49473202015577"/>
    <d v="2022-04-04T00:00:00"/>
    <s v="F10"/>
    <d v="2022-04-04T00:00:00"/>
    <s v="CSTM_II0CI5VHD7K"/>
    <m/>
    <s v="Pending"/>
    <x v="0"/>
    <x v="2"/>
  </r>
  <r>
    <x v="359"/>
    <s v="Prejisha"/>
    <x v="5"/>
    <x v="2"/>
    <x v="17"/>
    <s v="Won"/>
    <s v="7-8 April 2022"/>
    <n v="20000"/>
    <n v="229.04260192395787"/>
    <d v="2022-04-05T00:00:00"/>
    <s v="F10"/>
    <d v="2022-04-05T00:00:00"/>
    <s v="CSTM_AP055K4FU6R"/>
    <m/>
    <s v="Pending"/>
    <x v="1"/>
    <x v="2"/>
  </r>
  <r>
    <x v="359"/>
    <s v="Nagaraj"/>
    <x v="7"/>
    <x v="0"/>
    <x v="17"/>
    <s v="Won"/>
    <s v="16-17 April 2022"/>
    <n v="21000"/>
    <n v="240.49473202015577"/>
    <d v="2022-04-05T00:00:00"/>
    <s v="F10"/>
    <d v="2022-04-05T00:00:00"/>
    <s v="CSTM_J9VXSZHIL0V"/>
    <m/>
    <s v="Done. Good feedback."/>
    <x v="0"/>
    <x v="2"/>
  </r>
  <r>
    <x v="360"/>
    <s v="Vaishali Patil"/>
    <x v="13"/>
    <x v="35"/>
    <x v="17"/>
    <s v="Won"/>
    <s v="23-24 April 2022"/>
    <n v="24000"/>
    <n v="274.85112230874944"/>
    <d v="2022-04-07T00:00:00"/>
    <s v="F10"/>
    <d v="2022-04-07T00:00:00"/>
    <s v="CSTM_BDIIVL3NTYC"/>
    <m/>
    <s v="Pending"/>
    <x v="0"/>
    <x v="2"/>
  </r>
  <r>
    <x v="360"/>
    <s v="Ankur"/>
    <x v="7"/>
    <x v="0"/>
    <x v="17"/>
    <s v="Won"/>
    <s v="16-17 April 2022"/>
    <n v="21000"/>
    <n v="240.49473202015577"/>
    <d v="2022-04-07T00:00:00"/>
    <s v="F10"/>
    <d v="2022-04-07T00:00:00"/>
    <s v="CSTM_4E33NV49ZIG"/>
    <m/>
    <s v="Done. Good feedback."/>
    <x v="0"/>
    <x v="2"/>
  </r>
  <r>
    <x v="360"/>
    <s v="Shruti Kuppikar"/>
    <x v="1"/>
    <x v="2"/>
    <x v="17"/>
    <s v="Won"/>
    <s v="16-17 April 2022"/>
    <n v="20000"/>
    <n v="229.04260192395787"/>
    <d v="2022-04-07T00:00:00"/>
    <s v="F10"/>
    <d v="2022-04-07T00:00:00"/>
    <s v="CSTM_78D0LGH7XC2"/>
    <s v="Reference by shruti.kuppikar9@gmail.com"/>
    <s v="Done. Good feedback."/>
    <x v="1"/>
    <x v="2"/>
  </r>
  <r>
    <x v="361"/>
    <s v="Ravi "/>
    <x v="2"/>
    <x v="1"/>
    <x v="17"/>
    <s v="Won"/>
    <s v="12-13 April 2022"/>
    <n v="20000"/>
    <n v="229.04260192395787"/>
    <d v="2022-04-08T00:00:00"/>
    <s v="F10"/>
    <d v="2022-04-08T00:00:00"/>
    <s v="CSTM_5XOFUUE6HR4"/>
    <m/>
    <s v="Pending"/>
    <x v="1"/>
    <x v="2"/>
  </r>
  <r>
    <x v="361"/>
    <s v="Madhumitha Sampath"/>
    <x v="2"/>
    <x v="0"/>
    <x v="17"/>
    <s v="Won"/>
    <s v="16-17 April 2022"/>
    <n v="21000"/>
    <n v="250"/>
    <d v="2022-04-08T00:00:00"/>
    <s v="F10"/>
    <d v="2022-04-08T00:00:00"/>
    <s v="CSTM_6EZN3LSU428"/>
    <m/>
    <s v="Pending"/>
    <x v="0"/>
    <x v="2"/>
  </r>
  <r>
    <x v="362"/>
    <s v="Ankit Gupta"/>
    <x v="7"/>
    <x v="0"/>
    <x v="17"/>
    <s v="Won"/>
    <s v="14-15 May 2022"/>
    <n v="21000"/>
    <n v="240.49473202015577"/>
    <d v="2022-04-11T00:00:00"/>
    <s v="S10"/>
    <d v="2022-04-11T00:00:00"/>
    <s v="CSTM_CPAUV7UE9J2"/>
    <m/>
    <s v="Done. Good feedback."/>
    <x v="0"/>
    <x v="2"/>
  </r>
  <r>
    <x v="363"/>
    <s v="Atul Talukder"/>
    <x v="24"/>
    <x v="1"/>
    <x v="17"/>
    <s v="Won"/>
    <s v="21-22 April 2022"/>
    <n v="20000"/>
    <n v="229.04260192395787"/>
    <d v="2022-04-12T00:00:00"/>
    <s v="S10"/>
    <d v="2022-04-12T00:00:00"/>
    <s v="CSTM_BD2XP7HKSY6"/>
    <m/>
    <s v="Pending"/>
    <x v="1"/>
    <x v="2"/>
  </r>
  <r>
    <x v="364"/>
    <s v="Rishin Mitra"/>
    <x v="6"/>
    <x v="14"/>
    <x v="17"/>
    <s v="Won"/>
    <s v="16-17 April 2022"/>
    <n v="21000"/>
    <n v="240.49473202015577"/>
    <d v="2022-04-13T00:00:00"/>
    <s v="S10"/>
    <d v="2022-04-13T00:00:00"/>
    <s v="CSTM_EY52TNBZKGO"/>
    <m/>
    <s v="Done. Good feedback."/>
    <x v="0"/>
    <x v="2"/>
  </r>
  <r>
    <x v="364"/>
    <s v="Satish M S"/>
    <x v="2"/>
    <x v="23"/>
    <x v="17"/>
    <s v="Won"/>
    <s v="15-17 April 2022"/>
    <n v="30500"/>
    <n v="349.28996793403576"/>
    <d v="2022-04-13T00:00:00"/>
    <s v="S10"/>
    <d v="2022-04-13T00:00:00"/>
    <s v="CSTM_BBKRF3QDUMG"/>
    <m/>
    <s v="Pending"/>
    <x v="0"/>
    <x v="2"/>
  </r>
  <r>
    <x v="364"/>
    <s v="Kavita"/>
    <x v="13"/>
    <x v="49"/>
    <x v="17"/>
    <s v="Won"/>
    <d v="2022-04-16T00:00:00"/>
    <n v="24750"/>
    <n v="283.44021988089787"/>
    <d v="2022-04-13T00:00:00"/>
    <s v="S10"/>
    <d v="2022-04-13T00:00:00"/>
    <s v="CSTM_PARTIAL_FIRST_ICZI9PMK4GY"/>
    <m/>
    <s v="Pending"/>
    <x v="2"/>
    <x v="2"/>
  </r>
  <r>
    <x v="365"/>
    <s v="Rathina Raj"/>
    <x v="1"/>
    <x v="1"/>
    <x v="17"/>
    <s v="Won"/>
    <s v="20-22 April 2022"/>
    <n v="20000"/>
    <n v="229.04260192395787"/>
    <d v="2022-04-14T00:00:00"/>
    <s v="S10"/>
    <d v="2022-04-14T00:00:00"/>
    <s v="CSTM_4DNWILGKLOZ"/>
    <s v="Pragya K - Pending"/>
    <s v="Pending"/>
    <x v="1"/>
    <x v="2"/>
  </r>
  <r>
    <x v="365"/>
    <s v="Prem Kiran"/>
    <x v="13"/>
    <x v="9"/>
    <x v="17"/>
    <s v="Won"/>
    <s v="23-24 April 2022"/>
    <n v="42000"/>
    <n v="480.98946404031153"/>
    <d v="2022-04-14T00:00:00"/>
    <s v="S10"/>
    <d v="2022-04-14T00:00:00"/>
    <s v="CSTM_B8SLI6CZFI8"/>
    <m/>
    <s v="Pending"/>
    <x v="0"/>
    <x v="2"/>
  </r>
  <r>
    <x v="365"/>
    <s v="Akshay Tyagi"/>
    <x v="2"/>
    <x v="0"/>
    <x v="17"/>
    <s v="Won"/>
    <s v="16-17 April 2022"/>
    <n v="20500"/>
    <n v="234.76866697205682"/>
    <d v="2022-04-14T00:00:00"/>
    <s v="S10"/>
    <d v="2022-04-14T00:00:00"/>
    <s v="CSTM_DFG38NKJVG8"/>
    <m/>
    <s v="Pending"/>
    <x v="0"/>
    <x v="2"/>
  </r>
  <r>
    <x v="365"/>
    <s v="Bhakti Koli"/>
    <x v="1"/>
    <x v="0"/>
    <x v="17"/>
    <s v="Won"/>
    <s v="16-17 April 2022"/>
    <n v="21000"/>
    <n v="240.49473202015577"/>
    <d v="2022-04-14T00:00:00"/>
    <s v="S10"/>
    <d v="2022-04-14T00:00:00"/>
    <s v="CSTM_8L1P53ZIUPW"/>
    <s v="Reference by jagdish.suryawanshi@gmail.com"/>
    <s v="Pending"/>
    <x v="0"/>
    <x v="2"/>
  </r>
  <r>
    <x v="365"/>
    <s v="Jitendra Bastia"/>
    <x v="1"/>
    <x v="0"/>
    <x v="17"/>
    <s v="Won"/>
    <s v="30 April - 1 May 2022"/>
    <n v="21000"/>
    <n v="240.49473202015577"/>
    <d v="2022-04-14T00:00:00"/>
    <s v="S10"/>
    <d v="2022-04-14T00:00:00"/>
    <s v="CSTM_TCNINKVY3R"/>
    <s v="Keerti - Pending"/>
    <s v="Pending"/>
    <x v="0"/>
    <x v="2"/>
  </r>
  <r>
    <x v="366"/>
    <s v="Tanmai Srivastava"/>
    <x v="22"/>
    <x v="50"/>
    <x v="17"/>
    <s v="Won"/>
    <d v="2022-04-26T00:00:00"/>
    <n v="12600"/>
    <n v="144.29683921209346"/>
    <d v="2022-04-18T00:00:00"/>
    <s v="S10"/>
    <d v="2022-04-18T00:00:00"/>
    <s v="CSTM_PARTIAL_FIRST_EWW9A5K5PW8"/>
    <m/>
    <s v="Pending"/>
    <x v="2"/>
    <x v="2"/>
  </r>
  <r>
    <x v="366"/>
    <s v="Tanmai Srivastava"/>
    <x v="22"/>
    <x v="50"/>
    <x v="17"/>
    <s v="Won"/>
    <d v="2022-04-26T00:00:00"/>
    <n v="71400"/>
    <n v="817.6820888685296"/>
    <d v="2022-04-18T00:00:00"/>
    <s v="S10"/>
    <d v="2022-04-18T00:00:00"/>
    <s v="CSTM_PARTIAL_SUBS_1TZJQE4B2JY"/>
    <m/>
    <s v="Pending"/>
    <x v="2"/>
    <x v="2"/>
  </r>
  <r>
    <x v="366"/>
    <s v="Shikha Nagar"/>
    <x v="24"/>
    <x v="2"/>
    <x v="17"/>
    <s v="Won"/>
    <s v="19-20 April 2022"/>
    <n v="20000"/>
    <n v="229.04260192395787"/>
    <d v="2022-04-18T00:00:00"/>
    <s v="S10"/>
    <d v="2022-04-18T00:00:00"/>
    <s v="CSTM_13317CMBEWC"/>
    <m/>
    <s v="Pending"/>
    <x v="1"/>
    <x v="2"/>
  </r>
  <r>
    <x v="366"/>
    <s v="Ramanuj Kumar"/>
    <x v="2"/>
    <x v="9"/>
    <x v="17"/>
    <s v="Won"/>
    <s v="23-24 April 2022"/>
    <n v="40000"/>
    <n v="458.08520384791575"/>
    <d v="2022-04-18T00:00:00"/>
    <s v="S10"/>
    <d v="2022-04-18T00:00:00"/>
    <s v="CSTM_CY1DPX1KFIB"/>
    <m/>
    <s v="Pending"/>
    <x v="0"/>
    <x v="2"/>
  </r>
  <r>
    <x v="366"/>
    <s v="Sambhu Sankar"/>
    <x v="6"/>
    <x v="0"/>
    <x v="17"/>
    <s v="Won"/>
    <s v="30 April - 1 May 2022"/>
    <n v="20500"/>
    <n v="234.76866697205682"/>
    <d v="2022-04-18T00:00:00"/>
    <s v="S10"/>
    <d v="2022-04-18T00:00:00"/>
    <s v="CSTM_CB9CXA1LAD0"/>
    <m/>
    <s v="Pending"/>
    <x v="0"/>
    <x v="2"/>
  </r>
  <r>
    <x v="366"/>
    <s v="Pramod Nalam"/>
    <x v="3"/>
    <x v="0"/>
    <x v="17"/>
    <s v="Won"/>
    <s v="23-24 April 2022"/>
    <n v="21000"/>
    <n v="240.49473202015577"/>
    <d v="2022-04-18T00:00:00"/>
    <s v="S10"/>
    <d v="2022-04-18T00:00:00"/>
    <s v="CSTM_63EM5C444U9"/>
    <m/>
    <s v="Pending"/>
    <x v="0"/>
    <x v="2"/>
  </r>
  <r>
    <x v="367"/>
    <s v="Sameer Gulati"/>
    <x v="2"/>
    <x v="14"/>
    <x v="17"/>
    <s v="Won"/>
    <s v="23-24 April 2022"/>
    <n v="21000"/>
    <n v="240.49473202015577"/>
    <d v="2022-04-19T00:00:00"/>
    <s v="S10"/>
    <d v="2022-04-19T00:00:00"/>
    <s v="CSTM_5FBTNNOL8FK"/>
    <m/>
    <s v="Pending"/>
    <x v="0"/>
    <x v="2"/>
  </r>
  <r>
    <x v="368"/>
    <s v="Richard"/>
    <x v="1"/>
    <x v="0"/>
    <x v="17"/>
    <s v="Won"/>
    <s v="23-24 April 2022"/>
    <n v="21000"/>
    <n v="240.49473202015577"/>
    <d v="2022-04-20T00:00:00"/>
    <s v="S10"/>
    <d v="2022-04-20T00:00:00"/>
    <s v="CSTM_C7ZNMGMZRGI"/>
    <s v="Reference by Shyam's cx"/>
    <s v="Pending"/>
    <x v="0"/>
    <x v="2"/>
  </r>
  <r>
    <x v="368"/>
    <s v="Ravikanth Subbisetty"/>
    <x v="7"/>
    <x v="2"/>
    <x v="17"/>
    <s v="Won"/>
    <s v="7-8 May 2022"/>
    <n v="20000"/>
    <n v="229.04260192395787"/>
    <d v="2022-04-20T00:00:00"/>
    <s v="S10"/>
    <d v="2022-04-20T00:00:00"/>
    <s v="CSTM_6YOZ5E1MYEE"/>
    <m/>
    <s v="Pending"/>
    <x v="1"/>
    <x v="2"/>
  </r>
  <r>
    <x v="369"/>
    <s v="Manoj"/>
    <x v="2"/>
    <x v="0"/>
    <x v="17"/>
    <s v="Won"/>
    <s v="23-24 April 2022"/>
    <n v="21000"/>
    <n v="240.49473202015577"/>
    <d v="2022-04-21T00:00:00"/>
    <s v="T10"/>
    <d v="2022-04-21T00:00:00"/>
    <s v="CSTM_D7V9QK0XL6J"/>
    <m/>
    <s v="Pending"/>
    <x v="0"/>
    <x v="2"/>
  </r>
  <r>
    <x v="369"/>
    <s v="Madhumitha Sampath"/>
    <x v="13"/>
    <x v="14"/>
    <x v="17"/>
    <s v="Won"/>
    <s v="23-24 April 2022"/>
    <n v="21000"/>
    <n v="240.49473202015577"/>
    <d v="2022-04-21T00:00:00"/>
    <s v="T10"/>
    <d v="2022-04-21T00:00:00"/>
    <s v="CSTM_4QD2P18S1FL"/>
    <m/>
    <s v="Pending"/>
    <x v="0"/>
    <x v="2"/>
  </r>
  <r>
    <x v="370"/>
    <s v="Varun Mehta"/>
    <x v="2"/>
    <x v="14"/>
    <x v="17"/>
    <s v="Won"/>
    <s v="23-24 April 2022"/>
    <n v="21000"/>
    <n v="240.49473202015577"/>
    <d v="2022-04-22T00:00:00"/>
    <s v="T10"/>
    <d v="2022-04-22T00:00:00"/>
    <s v="CSTM_BGYGS2ZQ53Y"/>
    <m/>
    <s v="Pending"/>
    <x v="0"/>
    <x v="2"/>
  </r>
  <r>
    <x v="370"/>
    <s v="Prashant"/>
    <x v="2"/>
    <x v="0"/>
    <x v="17"/>
    <s v="Won"/>
    <s v="23-24 April 2022"/>
    <n v="21000"/>
    <n v="240.49473202015577"/>
    <d v="2022-04-22T00:00:00"/>
    <s v="T10"/>
    <d v="2022-04-22T00:00:00"/>
    <s v="CSTM_8YZOV1O0PFP"/>
    <m/>
    <s v="Pending"/>
    <x v="0"/>
    <x v="2"/>
  </r>
  <r>
    <x v="370"/>
    <s v="Vishwanath Iyer"/>
    <x v="6"/>
    <x v="9"/>
    <x v="17"/>
    <s v="Won"/>
    <s v="23-24 April 2022"/>
    <n v="42000"/>
    <n v="480.98946404031153"/>
    <d v="2022-04-22T00:00:00"/>
    <s v="T10"/>
    <d v="2022-04-22T00:00:00"/>
    <s v="CSTM_AFSV34RF942"/>
    <m/>
    <s v="Pending"/>
    <x v="0"/>
    <x v="2"/>
  </r>
  <r>
    <x v="370"/>
    <s v="Rajaraman"/>
    <x v="7"/>
    <x v="9"/>
    <x v="17"/>
    <s v="Won"/>
    <s v="23-24 April 2022"/>
    <n v="42000"/>
    <n v="480.98946404031153"/>
    <d v="2022-04-22T00:00:00"/>
    <s v="T10"/>
    <d v="2022-04-22T00:00:00"/>
    <s v="CSTM_14S83DNTN36"/>
    <m/>
    <s v="Pending"/>
    <x v="0"/>
    <x v="2"/>
  </r>
  <r>
    <x v="371"/>
    <s v="Alok Jhavitian"/>
    <x v="2"/>
    <x v="14"/>
    <x v="17"/>
    <s v="Won"/>
    <s v="7-8 May 2022"/>
    <n v="21000"/>
    <n v="240.49473202015577"/>
    <d v="2022-04-23T00:00:00"/>
    <s v="T10"/>
    <d v="2022-04-23T00:00:00"/>
    <s v="CSTM_5EX0JHVFT30"/>
    <m/>
    <s v="Pending"/>
    <x v="0"/>
    <x v="2"/>
  </r>
  <r>
    <x v="372"/>
    <s v="Chetan Joshi"/>
    <x v="7"/>
    <x v="0"/>
    <x v="17"/>
    <s v="Won"/>
    <s v="30 April - 1 May 2022"/>
    <n v="21000"/>
    <n v="240.49473202015577"/>
    <d v="2022-04-26T00:00:00"/>
    <s v="T10"/>
    <d v="2022-04-26T00:00:00"/>
    <s v="CSTM_179H59M1OF5"/>
    <m/>
    <s v="Pending"/>
    <x v="0"/>
    <x v="2"/>
  </r>
  <r>
    <x v="372"/>
    <s v="Sathish Babu"/>
    <x v="1"/>
    <x v="0"/>
    <x v="17"/>
    <s v="Won"/>
    <s v="30 April - 1 May 2022"/>
    <n v="21000"/>
    <n v="240.49473202015577"/>
    <d v="2022-04-26T00:00:00"/>
    <s v="T10"/>
    <d v="2022-04-26T00:00:00"/>
    <s v="CSTM_D7JNLP5J3R"/>
    <s v="Reference by tej.lalge@gmail.com"/>
    <s v="Pending"/>
    <x v="0"/>
    <x v="2"/>
  </r>
  <r>
    <x v="372"/>
    <s v="Sambit Bhattacharya"/>
    <x v="3"/>
    <x v="14"/>
    <x v="17"/>
    <s v="Won"/>
    <s v="7-8 May 2022"/>
    <n v="21000"/>
    <n v="240.49473202015577"/>
    <d v="2022-04-26T00:00:00"/>
    <s v="T10"/>
    <d v="2022-04-26T00:00:00"/>
    <s v="CSTM_2GQEHOBK96U"/>
    <m/>
    <s v="Pending"/>
    <x v="0"/>
    <x v="2"/>
  </r>
  <r>
    <x v="372"/>
    <s v="Priyanka Sharma"/>
    <x v="7"/>
    <x v="9"/>
    <x v="17"/>
    <s v="Won"/>
    <s v="30 April - 1 May 2022"/>
    <n v="42000"/>
    <n v="480.98946404031153"/>
    <d v="2022-04-26T00:00:00"/>
    <s v="T10"/>
    <d v="2022-04-27T00:00:00"/>
    <s v="CSTM_8FMFRN34G3K"/>
    <m/>
    <s v="Pending"/>
    <x v="0"/>
    <x v="2"/>
  </r>
  <r>
    <x v="372"/>
    <s v="Hemant Nagalkor"/>
    <x v="1"/>
    <x v="24"/>
    <x v="17"/>
    <s v="Won"/>
    <s v="7-8 May 2022"/>
    <n v="40061"/>
    <n v="458.7837837837838"/>
    <d v="2022-04-26T00:00:00"/>
    <s v="T10"/>
    <d v="2022-04-26T00:00:00"/>
    <s v="CSTM_I09K4ZZSYMT"/>
    <s v="Reference by rrohinibhagwat@gmail.com"/>
    <s v="Pending"/>
    <x v="0"/>
    <x v="2"/>
  </r>
  <r>
    <x v="372"/>
    <s v="Gopal Krishna"/>
    <x v="7"/>
    <x v="0"/>
    <x v="17"/>
    <s v="Won"/>
    <s v="21-22 May 2022"/>
    <n v="21000"/>
    <n v="240.49473202015577"/>
    <d v="2022-04-26T00:00:00"/>
    <s v="T10"/>
    <d v="2022-04-26T00:00:00"/>
    <s v="CSTM_865ETK02N1Y"/>
    <m/>
    <s v="Pending"/>
    <x v="0"/>
    <x v="2"/>
  </r>
  <r>
    <x v="373"/>
    <s v="Roopam Thakur"/>
    <x v="1"/>
    <x v="0"/>
    <x v="17"/>
    <s v="Won"/>
    <s v="30 April - 1 May 2022"/>
    <n v="21000"/>
    <n v="240.49473202015577"/>
    <d v="2022-04-27T00:00:00"/>
    <s v="T10"/>
    <d v="2022-04-27T00:00:00"/>
    <s v="CSTM_B6WS78P9P4J"/>
    <s v="Reference by jignesh.shah@capgemini.com"/>
    <s v="Pending"/>
    <x v="0"/>
    <x v="2"/>
  </r>
  <r>
    <x v="373"/>
    <s v="Praveen Nair"/>
    <x v="13"/>
    <x v="9"/>
    <x v="17"/>
    <s v="Won"/>
    <s v="30 April - 1 May 2022"/>
    <n v="42000"/>
    <n v="480.98946404031153"/>
    <d v="2022-04-27T00:00:00"/>
    <s v="T10"/>
    <d v="2022-04-27T00:00:00"/>
    <s v="CSTM_8DTQNLOD88H"/>
    <s v="Reference by Rajesh Kori"/>
    <s v="Pending"/>
    <x v="0"/>
    <x v="2"/>
  </r>
  <r>
    <x v="374"/>
    <s v="Sweta Chhwani"/>
    <x v="2"/>
    <x v="0"/>
    <x v="17"/>
    <s v="Won"/>
    <s v="7-8 May 2022"/>
    <n v="21000"/>
    <n v="240.49473202015577"/>
    <d v="2022-04-28T00:00:00"/>
    <s v="T10"/>
    <d v="2022-04-28T00:00:00"/>
    <s v="CSTM_FQIZMJVVW92"/>
    <m/>
    <s v="Pending"/>
    <x v="0"/>
    <x v="2"/>
  </r>
  <r>
    <x v="374"/>
    <s v="Vidya Aadhav"/>
    <x v="23"/>
    <x v="0"/>
    <x v="17"/>
    <s v="Won"/>
    <s v="30 April - 1 May 2022"/>
    <n v="21000"/>
    <n v="240.49473202015577"/>
    <d v="2022-04-28T00:00:00"/>
    <s v="T10"/>
    <d v="2022-04-28T00:00:00"/>
    <s v="CSTM_GXDLINVCRB9"/>
    <m/>
    <s v="Pending"/>
    <x v="0"/>
    <x v="2"/>
  </r>
  <r>
    <x v="374"/>
    <s v="Laksh Razdan"/>
    <x v="7"/>
    <x v="1"/>
    <x v="17"/>
    <s v="Won"/>
    <s v="30 April - 1 May 2022"/>
    <n v="20000"/>
    <n v="229.04260192395787"/>
    <d v="2022-04-28T00:00:00"/>
    <s v="T10"/>
    <d v="2022-04-29T00:00:00"/>
    <s v="CSTM_AKJ6JMHB1ZL"/>
    <s v="Reference by Garima Gupta"/>
    <s v="Pending"/>
    <x v="1"/>
    <x v="2"/>
  </r>
  <r>
    <x v="375"/>
    <s v="Naveenram Gunasekaran"/>
    <x v="2"/>
    <x v="9"/>
    <x v="17"/>
    <s v="Won"/>
    <s v="30 April - 1 May 2022"/>
    <n v="40000"/>
    <n v="458.08520384791575"/>
    <d v="2022-04-29T00:00:00"/>
    <s v="T10"/>
    <d v="2022-04-29T00:00:00"/>
    <s v="CSTM_EMOQANH9BWK"/>
    <m/>
    <s v="Pending"/>
    <x v="0"/>
    <x v="2"/>
  </r>
  <r>
    <x v="376"/>
    <s v="Rashmi"/>
    <x v="3"/>
    <x v="2"/>
    <x v="17"/>
    <s v="Won"/>
    <s v="14-15 May 2022"/>
    <n v="20000"/>
    <n v="229.04260192395787"/>
    <d v="2022-04-30T00:00:00"/>
    <s v="T10"/>
    <d v="2022-04-30T00:00:00"/>
    <s v="CSTM_GPHH2G0JCYI"/>
    <m/>
    <s v="Done. Good feedback."/>
    <x v="1"/>
    <x v="2"/>
  </r>
  <r>
    <x v="377"/>
    <s v="Sudhanshu Dabral"/>
    <x v="7"/>
    <x v="24"/>
    <x v="18"/>
    <s v="Won"/>
    <s v="7-8 May 2022"/>
    <n v="40061"/>
    <n v="458.7837837837838"/>
    <d v="2022-05-02T00:00:00"/>
    <s v="F10"/>
    <d v="2022-05-02T00:00:00"/>
    <s v="CSTM_3L97RFCPRT2"/>
    <m/>
    <s v="Pending"/>
    <x v="0"/>
    <x v="2"/>
  </r>
  <r>
    <x v="378"/>
    <s v="Shaina Prabhakaran"/>
    <x v="1"/>
    <x v="0"/>
    <x v="18"/>
    <s v="Won"/>
    <s v="28-29 May 2022"/>
    <n v="21000"/>
    <n v="240.49473202015577"/>
    <d v="2022-05-03T00:00:00"/>
    <s v="F10"/>
    <d v="2022-05-03T00:00:00"/>
    <s v="CSTM_DF3MD4BI9SA"/>
    <s v="Keerti - Pending"/>
    <s v="Pending"/>
    <x v="0"/>
    <x v="2"/>
  </r>
  <r>
    <x v="379"/>
    <s v="Koushalya"/>
    <x v="13"/>
    <x v="2"/>
    <x v="18"/>
    <s v="Won"/>
    <s v="28-29 May 2022"/>
    <n v="20000"/>
    <n v="229.04260192395787"/>
    <d v="2022-05-04T00:00:00"/>
    <s v="F10"/>
    <d v="2022-05-04T00:00:00"/>
    <s v="CSTM_E810NHEHRCL"/>
    <m/>
    <s v="Pending"/>
    <x v="1"/>
    <x v="2"/>
  </r>
  <r>
    <x v="379"/>
    <s v="Siva"/>
    <x v="5"/>
    <x v="0"/>
    <x v="18"/>
    <s v="Won"/>
    <s v="7-8 May 2022"/>
    <n v="21000"/>
    <n v="240.49473202015577"/>
    <d v="2022-05-04T00:00:00"/>
    <s v="F10"/>
    <d v="2022-05-04T00:00:00"/>
    <s v="CSTM_8NSP2NM66FJ"/>
    <m/>
    <s v="Pending"/>
    <x v="0"/>
    <x v="2"/>
  </r>
  <r>
    <x v="379"/>
    <s v="Ishita Kaila"/>
    <x v="1"/>
    <x v="2"/>
    <x v="18"/>
    <s v="Won"/>
    <s v="28-29 May 2022"/>
    <n v="20000"/>
    <n v="229.04260192395787"/>
    <d v="2022-05-04T00:00:00"/>
    <s v="F10"/>
    <d v="2022-05-04T00:00:00"/>
    <s v="CSTM_CCVTNIQAU6G"/>
    <s v="Reference by Manjeet"/>
    <s v="Pending"/>
    <x v="1"/>
    <x v="2"/>
  </r>
  <r>
    <x v="380"/>
    <s v="Jijo"/>
    <x v="5"/>
    <x v="24"/>
    <x v="18"/>
    <s v="Won"/>
    <s v="7-8 May 2022"/>
    <n v="40061"/>
    <n v="458.7837837837838"/>
    <d v="2022-05-05T00:00:00"/>
    <s v="F10"/>
    <d v="2022-05-05T00:00:00"/>
    <s v="CSTM_1C42ZX6IOW2"/>
    <m/>
    <s v="Pending"/>
    <x v="0"/>
    <x v="2"/>
  </r>
  <r>
    <x v="380"/>
    <s v="Aishwarya P"/>
    <x v="1"/>
    <x v="1"/>
    <x v="18"/>
    <s v="Won"/>
    <s v="21-22 May 2022"/>
    <n v="20000"/>
    <n v="229.04260192395787"/>
    <d v="2022-05-05T00:00:00"/>
    <s v="F10"/>
    <d v="2022-05-05T00:00:00"/>
    <s v="CSTM_8NWZEUNXPCA"/>
    <s v="Reference by Rathina Raj"/>
    <s v="Done. Good feedback."/>
    <x v="1"/>
    <x v="2"/>
  </r>
  <r>
    <x v="380"/>
    <s v="Rahul Pahurkar"/>
    <x v="26"/>
    <x v="0"/>
    <x v="18"/>
    <s v="Won"/>
    <s v="14-15 May 2022"/>
    <n v="20500"/>
    <n v="234.76866697205682"/>
    <d v="2022-05-05T00:00:00"/>
    <s v="F10"/>
    <d v="2022-05-05T00:00:00"/>
    <s v="CSTM_HZLSBCBB7Y5"/>
    <m/>
    <s v="Done. Good feedback."/>
    <x v="0"/>
    <x v="2"/>
  </r>
  <r>
    <x v="380"/>
    <s v="Rahul Chiplunkar"/>
    <x v="1"/>
    <x v="0"/>
    <x v="18"/>
    <s v="Won"/>
    <s v="14-15 May 2022"/>
    <n v="20500"/>
    <n v="234.76866697205682"/>
    <d v="2022-05-05T00:00:00"/>
    <s v="F10"/>
    <d v="2022-05-05T00:00:00"/>
    <s v="CSTM_ETTYOCC6Q1R"/>
    <s v="Reference by Rahul Pahurkar"/>
    <s v="Done. Good feedback."/>
    <x v="0"/>
    <x v="2"/>
  </r>
  <r>
    <x v="381"/>
    <s v="Nisha Shah"/>
    <x v="5"/>
    <x v="1"/>
    <x v="18"/>
    <s v="Won"/>
    <s v="9-10 May 2022"/>
    <n v="20000"/>
    <n v="229.04260192395787"/>
    <d v="2022-05-06T00:00:00"/>
    <s v="F10"/>
    <d v="2022-05-06T00:00:00"/>
    <s v="CSTM_1NBUWI41AYM"/>
    <m/>
    <s v="Pending"/>
    <x v="1"/>
    <x v="2"/>
  </r>
  <r>
    <x v="381"/>
    <s v="Naseeb "/>
    <x v="5"/>
    <x v="23"/>
    <x v="18"/>
    <s v="Won"/>
    <s v="20-22 May 2022"/>
    <n v="30500"/>
    <n v="349.28996793403576"/>
    <d v="2022-05-06T00:00:00"/>
    <s v="F10"/>
    <d v="2022-05-06T00:00:00"/>
    <s v="CSTM_J75Q7ILX5XS"/>
    <m/>
    <s v="Pending"/>
    <x v="0"/>
    <x v="2"/>
  </r>
  <r>
    <x v="381"/>
    <s v="Nilay Mishra"/>
    <x v="13"/>
    <x v="29"/>
    <x v="18"/>
    <s v="Won"/>
    <d v="2022-05-07T00:00:00"/>
    <n v="45000"/>
    <n v="515.34585432890515"/>
    <d v="2022-05-06T00:00:00"/>
    <s v="F10"/>
    <d v="2022-05-06T00:00:00"/>
    <s v="CSTM_HKNJS9RNWEL"/>
    <m/>
    <s v="Pending"/>
    <x v="2"/>
    <x v="2"/>
  </r>
  <r>
    <x v="382"/>
    <s v="Varthini Moorthy"/>
    <x v="3"/>
    <x v="0"/>
    <x v="18"/>
    <s v="Won"/>
    <s v="21-22 May 2022"/>
    <n v="21000"/>
    <n v="240.49473202015577"/>
    <d v="2022-05-07T00:00:00"/>
    <s v="F10"/>
    <d v="2022-05-07T00:00:00"/>
    <s v="CSTM_VILSC2MLZS"/>
    <m/>
    <s v="Done. Good feedback."/>
    <x v="0"/>
    <x v="2"/>
  </r>
  <r>
    <x v="383"/>
    <s v="Hussain Asif"/>
    <x v="7"/>
    <x v="2"/>
    <x v="18"/>
    <s v="Won"/>
    <s v="21-22 May 2022"/>
    <n v="21000"/>
    <n v="240.49473202015577"/>
    <d v="2022-05-10T00:00:00"/>
    <s v="F10"/>
    <d v="2022-05-10T00:00:00"/>
    <s v="CSTM_9CHBAF9XO60"/>
    <m/>
    <s v="Done. Good feedback."/>
    <x v="1"/>
    <x v="2"/>
  </r>
  <r>
    <x v="383"/>
    <s v="Priyanka"/>
    <x v="7"/>
    <x v="35"/>
    <x v="18"/>
    <s v="Won"/>
    <s v="28-29 May 2022"/>
    <n v="24000"/>
    <n v="274.85112230874944"/>
    <d v="2022-05-10T00:00:00"/>
    <s v="F10"/>
    <d v="2022-05-10T00:00:00"/>
    <s v="CSTM_7C6LMQG9A3Y"/>
    <m/>
    <s v="Pending"/>
    <x v="0"/>
    <x v="2"/>
  </r>
  <r>
    <x v="383"/>
    <s v="Ajin Kumar"/>
    <x v="2"/>
    <x v="14"/>
    <x v="18"/>
    <s v="Won"/>
    <s v="14-15 May 2022"/>
    <n v="21000"/>
    <n v="240.49473202015577"/>
    <d v="2022-05-10T00:00:00"/>
    <s v="F10"/>
    <d v="2022-05-10T00:00:00"/>
    <s v="CSTM_6LERGZW82QV"/>
    <m/>
    <s v="Pending"/>
    <x v="0"/>
    <x v="2"/>
  </r>
  <r>
    <x v="383"/>
    <s v="Abhishek Pal"/>
    <x v="1"/>
    <x v="35"/>
    <x v="18"/>
    <s v="Won"/>
    <s v="14-15 May 2022"/>
    <n v="24000"/>
    <n v="274.85112230874944"/>
    <d v="2022-05-10T00:00:00"/>
    <s v="F10"/>
    <d v="2022-05-10T00:00:00"/>
    <s v="CSTM_IROE64FTW1Z"/>
    <s v="Reference by toabhishekpal@gmail.com"/>
    <s v="Done. Good feedback."/>
    <x v="0"/>
    <x v="2"/>
  </r>
  <r>
    <x v="383"/>
    <s v="Srikanth"/>
    <x v="1"/>
    <x v="2"/>
    <x v="18"/>
    <s v="Won"/>
    <s v="21-22 May 2022"/>
    <n v="20000"/>
    <n v="229.04260192395787"/>
    <d v="2022-05-10T00:00:00"/>
    <s v="F10"/>
    <d v="2022-05-10T00:00:00"/>
    <s v="CSTM_3EQ78VB7V6B"/>
    <s v="Keerti - Pending"/>
    <s v="Done. Good feedback."/>
    <x v="1"/>
    <x v="2"/>
  </r>
  <r>
    <x v="384"/>
    <s v="Prasanth E"/>
    <x v="3"/>
    <x v="14"/>
    <x v="18"/>
    <s v="Won"/>
    <s v="14-15 May 2022"/>
    <n v="21000"/>
    <n v="240.49473202015577"/>
    <d v="2022-05-11T00:00:00"/>
    <s v="S10"/>
    <d v="2022-05-11T00:00:00"/>
    <s v="CSTM_2XG63FNORXT"/>
    <m/>
    <s v="Done. Good feedback."/>
    <x v="0"/>
    <x v="2"/>
  </r>
  <r>
    <x v="384"/>
    <s v="Ravi Chaudhary"/>
    <x v="1"/>
    <x v="0"/>
    <x v="18"/>
    <s v="Won"/>
    <s v="21-22 May 2022"/>
    <n v="20500"/>
    <n v="234.76866697205682"/>
    <d v="2022-05-11T00:00:00"/>
    <s v="S10"/>
    <d v="2022-05-11T00:00:00"/>
    <s v="CSTM_3F1I50S3BMQ"/>
    <s v="Reference by Nitesh"/>
    <s v="Done. Good feedback."/>
    <x v="0"/>
    <x v="2"/>
  </r>
  <r>
    <x v="384"/>
    <s v="Chandan Krup"/>
    <x v="3"/>
    <x v="0"/>
    <x v="18"/>
    <s v="Won"/>
    <s v="14-15 May 2022"/>
    <n v="20500"/>
    <n v="234.76866697205682"/>
    <d v="2022-05-11T00:00:00"/>
    <s v="S10"/>
    <d v="2022-05-11T00:00:00"/>
    <s v="CSTM_9TN23NXO395"/>
    <m/>
    <s v="Done. Good feedback."/>
    <x v="0"/>
    <x v="2"/>
  </r>
  <r>
    <x v="384"/>
    <s v="Varaprasad"/>
    <x v="13"/>
    <x v="2"/>
    <x v="18"/>
    <s v="Won"/>
    <s v="16-17 May 2022"/>
    <n v="20000"/>
    <n v="229.04260192395787"/>
    <d v="2022-05-11T00:00:00"/>
    <s v="S10"/>
    <d v="2022-05-11T00:00:00"/>
    <s v="CSTM_GXT6SZEXYU3"/>
    <m/>
    <s v="Pending"/>
    <x v="1"/>
    <x v="2"/>
  </r>
  <r>
    <x v="385"/>
    <s v="Anand Sampath"/>
    <x v="5"/>
    <x v="14"/>
    <x v="18"/>
    <s v="Won"/>
    <s v="14-15 May 2022"/>
    <n v="21000"/>
    <n v="240.49473202015577"/>
    <d v="2022-05-12T00:00:00"/>
    <s v="S10"/>
    <d v="2022-05-12T00:00:00"/>
    <s v="CSTM_FBDCKE20LAM"/>
    <m/>
    <s v="Done. Good feedback."/>
    <x v="0"/>
    <x v="2"/>
  </r>
  <r>
    <x v="386"/>
    <s v="Onkar Swamy"/>
    <x v="7"/>
    <x v="35"/>
    <x v="18"/>
    <s v="Won"/>
    <s v="14-15 May 2022"/>
    <n v="24000"/>
    <n v="274.85112230874944"/>
    <d v="2022-05-13T00:00:00"/>
    <s v="S10"/>
    <d v="2022-05-13T00:00:00"/>
    <s v="CSTM_F5WJ0IHCEPK"/>
    <m/>
    <s v="Done. Good feedback."/>
    <x v="0"/>
    <x v="2"/>
  </r>
  <r>
    <x v="386"/>
    <s v="Puneet"/>
    <x v="7"/>
    <x v="35"/>
    <x v="18"/>
    <s v="Won"/>
    <s v="14-15 May 2022"/>
    <n v="24000"/>
    <n v="274.85112230874944"/>
    <d v="2022-05-13T00:00:00"/>
    <s v="S10"/>
    <d v="2022-05-13T00:00:00"/>
    <s v="CSTM_G2N454LBPTT"/>
    <m/>
    <s v="Done. Good feedback."/>
    <x v="0"/>
    <x v="2"/>
  </r>
  <r>
    <x v="386"/>
    <s v="Leni Rose Jacob"/>
    <x v="1"/>
    <x v="2"/>
    <x v="18"/>
    <s v="Won"/>
    <s v="28-29 May 2022"/>
    <n v="20000"/>
    <n v="229.04260192395787"/>
    <d v="2022-05-13T00:00:00"/>
    <s v="S10"/>
    <d v="2022-05-13T00:00:00"/>
    <s v="CSTM_IWATBIYPREC"/>
    <s v="Pragya K - Pending"/>
    <s v="Pending"/>
    <x v="1"/>
    <x v="2"/>
  </r>
  <r>
    <x v="386"/>
    <s v="Kavita"/>
    <x v="13"/>
    <x v="51"/>
    <x v="18"/>
    <s v="Won"/>
    <d v="2022-05-07T00:00:00"/>
    <n v="24750"/>
    <n v="283.44021988089787"/>
    <d v="2022-05-13T00:00:00"/>
    <s v="S10"/>
    <d v="2022-05-13T00:00:00"/>
    <s v="CSTM_PARTIAL_SUBS_PESF1R0W0W"/>
    <m/>
    <s v="Pending"/>
    <x v="2"/>
    <x v="2"/>
  </r>
  <r>
    <x v="387"/>
    <s v="Nagendra Singh"/>
    <x v="13"/>
    <x v="9"/>
    <x v="18"/>
    <s v="Won"/>
    <s v="4-5 June 2022"/>
    <n v="42000"/>
    <n v="480.98946404031153"/>
    <d v="2022-05-16T00:00:00"/>
    <s v="S10"/>
    <d v="2022-05-16T00:00:00"/>
    <s v="CSTM_JA3CLXRD42A"/>
    <m/>
    <s v="Done. Good feedback."/>
    <x v="0"/>
    <x v="2"/>
  </r>
  <r>
    <x v="387"/>
    <s v="Seemoni"/>
    <x v="6"/>
    <x v="0"/>
    <x v="18"/>
    <s v="Won"/>
    <s v="28-29 May 2022"/>
    <n v="21000"/>
    <n v="240.49473202015577"/>
    <d v="2022-05-23T00:00:00"/>
    <s v="T10"/>
    <d v="2022-05-22T00:00:00"/>
    <s v="CSTM_DDHXV0DRDS7"/>
    <m/>
    <s v="Pending"/>
    <x v="0"/>
    <x v="2"/>
  </r>
  <r>
    <x v="387"/>
    <s v="Sangeetha Babu"/>
    <x v="2"/>
    <x v="14"/>
    <x v="18"/>
    <s v="Won"/>
    <s v="11-12 June 2022"/>
    <n v="21000"/>
    <n v="240.49473202015577"/>
    <d v="2022-05-16T00:00:00"/>
    <s v="S10"/>
    <d v="2022-05-17T00:00:00"/>
    <s v="CSTM_29RSSQUCX97"/>
    <m/>
    <s v="Pending"/>
    <x v="0"/>
    <x v="2"/>
  </r>
  <r>
    <x v="387"/>
    <s v="Shamla Kannur"/>
    <x v="5"/>
    <x v="2"/>
    <x v="18"/>
    <s v="Won"/>
    <s v="28-29 May 2022"/>
    <n v="20000"/>
    <n v="229.04260192395787"/>
    <d v="2022-05-16T00:00:00"/>
    <s v="S10"/>
    <d v="2022-05-16T00:00:00"/>
    <s v="CSTM_CMKN9R246QS"/>
    <m/>
    <s v="Pending"/>
    <x v="1"/>
    <x v="2"/>
  </r>
  <r>
    <x v="388"/>
    <s v="Vijay Phani"/>
    <x v="6"/>
    <x v="0"/>
    <x v="18"/>
    <s v="Won"/>
    <s v="21-22 May 2022"/>
    <n v="21000"/>
    <n v="240.49473202015577"/>
    <d v="2022-05-18T00:00:00"/>
    <s v="S10"/>
    <d v="2022-05-18T00:00:00"/>
    <s v="CSTM_EUYHXM8TZIP"/>
    <m/>
    <s v="Pending"/>
    <x v="0"/>
    <x v="2"/>
  </r>
  <r>
    <x v="388"/>
    <s v="Naveen"/>
    <x v="5"/>
    <x v="0"/>
    <x v="18"/>
    <s v="Won"/>
    <s v="21-22 May 2022"/>
    <n v="21000"/>
    <n v="240.49473202015577"/>
    <d v="2022-05-18T00:00:00"/>
    <s v="S10"/>
    <d v="2022-05-18T00:00:00"/>
    <s v="CSTM_3Z0L0HGWKK8"/>
    <m/>
    <s v="Done. Good feedback."/>
    <x v="0"/>
    <x v="2"/>
  </r>
  <r>
    <x v="389"/>
    <s v="Sunitha Endabetla"/>
    <x v="3"/>
    <x v="0"/>
    <x v="18"/>
    <s v="Won"/>
    <s v="21-22 May 2022"/>
    <n v="20500"/>
    <n v="234.76866697205682"/>
    <d v="2022-05-19T00:00:00"/>
    <s v="S10"/>
    <d v="2022-05-19T00:00:00"/>
    <s v="CSTM_JHXWXQ2Y3SS"/>
    <m/>
    <s v="Done. Good feedback."/>
    <x v="0"/>
    <x v="2"/>
  </r>
  <r>
    <x v="389"/>
    <s v="Nivrutti Thorat"/>
    <x v="1"/>
    <x v="0"/>
    <x v="18"/>
    <s v="Won"/>
    <s v="21-22 May 2022"/>
    <n v="20500"/>
    <n v="234.76866697205682"/>
    <d v="2022-05-19T00:00:00"/>
    <s v="S10"/>
    <d v="2022-05-19T00:00:00"/>
    <s v="CSTM_BC4FQY00JV"/>
    <s v="Reference by Sunitha"/>
    <s v="Pending"/>
    <x v="0"/>
    <x v="2"/>
  </r>
  <r>
    <x v="389"/>
    <s v="Raja"/>
    <x v="13"/>
    <x v="0"/>
    <x v="18"/>
    <s v="Won"/>
    <s v="21-22 May 2022"/>
    <n v="21000"/>
    <n v="240.49473202015577"/>
    <d v="2022-05-19T00:00:00"/>
    <s v="S10"/>
    <d v="2022-05-19T00:00:00"/>
    <s v="CSTM_8ZWTL8BLYG0"/>
    <m/>
    <s v="Pending"/>
    <x v="0"/>
    <x v="2"/>
  </r>
  <r>
    <x v="389"/>
    <s v="Asha Kalse"/>
    <x v="1"/>
    <x v="2"/>
    <x v="18"/>
    <s v="Won"/>
    <s v="4-5 June 2022"/>
    <n v="20000"/>
    <n v="229.04260192395787"/>
    <d v="2022-05-19T00:00:00"/>
    <s v="S10"/>
    <d v="2022-05-19T00:00:00"/>
    <s v="CSTM_10OIJ544GVQ"/>
    <s v="Keerti - cx exists"/>
    <s v="Done. Good feedback."/>
    <x v="1"/>
    <x v="2"/>
  </r>
  <r>
    <x v="390"/>
    <s v="Utkarsh"/>
    <x v="1"/>
    <x v="1"/>
    <x v="18"/>
    <s v="Won"/>
    <s v="21-22 May 2022"/>
    <n v="20000"/>
    <n v="229.04260192395787"/>
    <d v="2022-05-20T00:00:00"/>
    <s v="S10"/>
    <d v="2022-05-20T00:00:00"/>
    <s v="CSTM_H9SMY90ZF3O"/>
    <s v="Keerti - Done"/>
    <s v="Done. Good feedback."/>
    <x v="1"/>
    <x v="2"/>
  </r>
  <r>
    <x v="390"/>
    <s v="Ganesh Shetty"/>
    <x v="13"/>
    <x v="9"/>
    <x v="18"/>
    <s v="Won"/>
    <s v="28-29 May 2022"/>
    <n v="120000"/>
    <n v="1374.2556115437471"/>
    <d v="2022-05-31T00:00:00"/>
    <s v="T10"/>
    <d v="2022-05-23T00:00:00"/>
    <s v="00063921_01"/>
    <m/>
    <s v="Pending"/>
    <x v="0"/>
    <x v="2"/>
  </r>
  <r>
    <x v="390"/>
    <s v="Dinesh"/>
    <x v="3"/>
    <x v="0"/>
    <x v="18"/>
    <s v="Won"/>
    <s v="21-22 May 2022"/>
    <n v="21000"/>
    <n v="240.49473202015577"/>
    <d v="2022-05-20T00:00:00"/>
    <s v="S10"/>
    <d v="2022-05-20T00:00:00"/>
    <s v="CSTM_B8BUCF81WWQ"/>
    <m/>
    <s v="Pending"/>
    <x v="0"/>
    <x v="2"/>
  </r>
  <r>
    <x v="391"/>
    <s v="Sudheendra Satrasala"/>
    <x v="2"/>
    <x v="35"/>
    <x v="18"/>
    <s v="Won"/>
    <s v="28-29 May 2022"/>
    <n v="24000"/>
    <n v="274.85112230874944"/>
    <d v="2022-05-23T00:00:00"/>
    <s v="T10"/>
    <d v="2022-05-23T00:00:00"/>
    <s v="CSTM_155VA4SU3UI"/>
    <m/>
    <s v="Pending"/>
    <x v="0"/>
    <x v="2"/>
  </r>
  <r>
    <x v="392"/>
    <s v="Shwetha Kamath"/>
    <x v="5"/>
    <x v="0"/>
    <x v="18"/>
    <s v="Won"/>
    <s v="28-29 May 2022"/>
    <n v="21000"/>
    <n v="240.49473202015577"/>
    <d v="2022-05-24T00:00:00"/>
    <s v="T10"/>
    <d v="2022-05-24T00:00:00"/>
    <s v="CSTM_M1YXC0B5A0"/>
    <m/>
    <s v="Pending"/>
    <x v="0"/>
    <x v="2"/>
  </r>
  <r>
    <x v="392"/>
    <s v="Prajakta"/>
    <x v="1"/>
    <x v="9"/>
    <x v="18"/>
    <s v="Won"/>
    <s v="11-12 June 2022"/>
    <n v="42000"/>
    <n v="480.98946404031153"/>
    <d v="2022-05-24T00:00:00"/>
    <s v="T10"/>
    <d v="2022-05-24T00:00:00"/>
    <s v="CSTM_E8F1TDG9J8W"/>
    <s v="Reference by amit.gmat1@gmail.com"/>
    <s v="Pending"/>
    <x v="0"/>
    <x v="2"/>
  </r>
  <r>
    <x v="393"/>
    <s v="Pruthvi Raj"/>
    <x v="3"/>
    <x v="14"/>
    <x v="18"/>
    <s v="Won"/>
    <s v="28-29 May 2022"/>
    <n v="21000"/>
    <n v="240.49473202015577"/>
    <d v="2022-05-25T00:00:00"/>
    <s v="T10"/>
    <d v="2022-05-26T00:00:00"/>
    <s v="CSTM_1K43T7EYCFO"/>
    <m/>
    <s v="Pending"/>
    <x v="0"/>
    <x v="2"/>
  </r>
  <r>
    <x v="394"/>
    <s v="Pallavi Gupta"/>
    <x v="1"/>
    <x v="9"/>
    <x v="18"/>
    <s v="Won"/>
    <s v="18-19 June 2022"/>
    <n v="40061"/>
    <n v="458.7837837837838"/>
    <d v="2022-05-26T00:00:00"/>
    <s v="T10"/>
    <d v="2022-05-26T00:00:00"/>
    <s v="CSTM_H6WYRCJYM1D"/>
    <s v="Reference by amit.gmat1@gmail.com"/>
    <s v="Pending"/>
    <x v="0"/>
    <x v="2"/>
  </r>
  <r>
    <x v="395"/>
    <s v="Gayatri Karnik"/>
    <x v="4"/>
    <x v="0"/>
    <x v="19"/>
    <s v="Won"/>
    <s v="11-12 June 2022"/>
    <n v="21000"/>
    <n v="240.49473202015577"/>
    <d v="2022-05-27T00:00:00"/>
    <s v="F10"/>
    <d v="2022-06-09T00:00:00"/>
    <s v="CSTM_5NWER05NQV"/>
    <m/>
    <s v="Done. Good feedback."/>
    <x v="0"/>
    <x v="2"/>
  </r>
  <r>
    <x v="395"/>
    <s v="Sambhu Sankar"/>
    <x v="13"/>
    <x v="35"/>
    <x v="18"/>
    <s v="Won"/>
    <s v="28-29 May 2022"/>
    <n v="24000"/>
    <n v="274.85112230874944"/>
    <d v="2022-05-27T00:00:00"/>
    <s v="T10"/>
    <d v="2022-05-27T00:00:00"/>
    <s v="CSTM_7QSRBDNEL7U"/>
    <m/>
    <s v="Pending"/>
    <x v="0"/>
    <x v="2"/>
  </r>
  <r>
    <x v="396"/>
    <s v="Vikram Bans"/>
    <x v="4"/>
    <x v="14"/>
    <x v="18"/>
    <s v="Won"/>
    <s v="11-12 June 2022"/>
    <n v="21000"/>
    <n v="240.49473202015577"/>
    <d v="2022-05-28T00:00:00"/>
    <s v="T10"/>
    <d v="2022-05-27T00:00:00"/>
    <s v="CSTM_HDOK28EFFP0"/>
    <m/>
    <s v="Pending"/>
    <x v="0"/>
    <x v="2"/>
  </r>
  <r>
    <x v="397"/>
    <s v="Darsan Setty"/>
    <x v="1"/>
    <x v="2"/>
    <x v="18"/>
    <s v="Won"/>
    <s v="11-12 June 2022"/>
    <n v="20000"/>
    <n v="229.04260192395787"/>
    <d v="2022-05-31T00:00:00"/>
    <s v="T10"/>
    <d v="2022-05-31T00:00:00"/>
    <s v="CSTM_D6KW8JNYV53"/>
    <s v="Reference by prabhakaran61@gmail.com"/>
    <s v="Done. Good feedback."/>
    <x v="1"/>
    <x v="2"/>
  </r>
  <r>
    <x v="397"/>
    <s v="Aditi Tungare"/>
    <x v="6"/>
    <x v="14"/>
    <x v="18"/>
    <s v="Won"/>
    <s v="18-19 June 2022"/>
    <n v="21000"/>
    <n v="240.49473202015577"/>
    <d v="2022-05-31T00:00:00"/>
    <s v="T10"/>
    <d v="2022-05-31T00:00:00"/>
    <s v="CSTM_C6DL95P2XLH"/>
    <m/>
    <s v="Done. Good feedback."/>
    <x v="0"/>
    <x v="2"/>
  </r>
  <r>
    <x v="397"/>
    <s v="Ritu Sharma"/>
    <x v="13"/>
    <x v="29"/>
    <x v="18"/>
    <s v="Won"/>
    <d v="2022-06-18T00:00:00"/>
    <n v="40000"/>
    <n v="458.08520384791575"/>
    <d v="2022-05-31T00:00:00"/>
    <s v="T10"/>
    <d v="2022-05-31T00:00:00"/>
    <s v="CSTM_H858U5660X"/>
    <m/>
    <s v="Pending"/>
    <x v="2"/>
    <x v="2"/>
  </r>
  <r>
    <x v="397"/>
    <s v="Usha Raman"/>
    <x v="7"/>
    <x v="0"/>
    <x v="18"/>
    <s v="Won"/>
    <s v="4-5 June 2022"/>
    <n v="21000"/>
    <n v="240.49473202015577"/>
    <d v="2022-05-31T00:00:00"/>
    <s v="T10"/>
    <d v="2022-05-31T00:00:00"/>
    <s v="CSTM_A8CQ2AEO4HR"/>
    <m/>
    <s v="Done. Good feedback."/>
    <x v="0"/>
    <x v="2"/>
  </r>
  <r>
    <x v="397"/>
    <s v="Amit Purohit"/>
    <x v="1"/>
    <x v="9"/>
    <x v="18"/>
    <s v="Won"/>
    <s v="25-26 June 2022"/>
    <n v="40061"/>
    <n v="458.7837837837838"/>
    <d v="2022-05-31T00:00:00"/>
    <s v="T10"/>
    <d v="2022-05-31T00:00:00"/>
    <s v="CSTM_CCVFQCXXAYN"/>
    <s v="Keerti - Pending"/>
    <s v="Done. Good feedback."/>
    <x v="0"/>
    <x v="2"/>
  </r>
  <r>
    <x v="398"/>
    <s v="Rahul "/>
    <x v="5"/>
    <x v="0"/>
    <x v="19"/>
    <s v="Won"/>
    <s v="4-5 June 2022"/>
    <n v="20500"/>
    <n v="234.76866697205682"/>
    <d v="2022-06-01T00:00:00"/>
    <s v="F10"/>
    <d v="2022-06-01T00:00:00"/>
    <s v="CSTM_1NJ9LIJPEW7"/>
    <m/>
    <s v="Done. Good feedback."/>
    <x v="0"/>
    <x v="2"/>
  </r>
  <r>
    <x v="398"/>
    <s v="Ruchi Ghiya"/>
    <x v="1"/>
    <x v="0"/>
    <x v="19"/>
    <s v="Won"/>
    <s v="4-5 June 2022"/>
    <n v="20500"/>
    <n v="234.76866697205682"/>
    <d v="2022-06-01T00:00:00"/>
    <s v="F10"/>
    <d v="2022-06-01T00:00:00"/>
    <s v="CSTM_GIIHEDMX2ZA"/>
    <s v="Reference by Rahul Alld"/>
    <s v="Pending"/>
    <x v="0"/>
    <x v="2"/>
  </r>
  <r>
    <x v="398"/>
    <s v="Rao Athota"/>
    <x v="1"/>
    <x v="0"/>
    <x v="19"/>
    <s v="Won"/>
    <s v="4-5 June 2022"/>
    <n v="20500"/>
    <n v="234.76866697205682"/>
    <d v="2022-06-01T00:00:00"/>
    <s v="F10"/>
    <d v="2022-06-01T00:00:00"/>
    <s v="CSTM_42949Y93VUF"/>
    <s v="Reference by Ganga"/>
    <s v="Done. Good feedback."/>
    <x v="0"/>
    <x v="2"/>
  </r>
  <r>
    <x v="398"/>
    <s v="Dushyant"/>
    <x v="2"/>
    <x v="24"/>
    <x v="19"/>
    <s v="Won"/>
    <s v="4-5 June 2022"/>
    <n v="42000"/>
    <n v="480.98946404031153"/>
    <d v="2022-06-01T00:00:00"/>
    <s v="F10"/>
    <d v="2022-06-01T00:00:00"/>
    <s v="CSTM_66KFCYGGKTD"/>
    <m/>
    <s v="Don't ask."/>
    <x v="0"/>
    <x v="2"/>
  </r>
  <r>
    <x v="398"/>
    <s v="Anurag Pingle"/>
    <x v="2"/>
    <x v="24"/>
    <x v="19"/>
    <s v="Won"/>
    <s v="4-5 June 2022"/>
    <n v="42000"/>
    <n v="480.98946404031153"/>
    <d v="2022-06-01T00:00:00"/>
    <s v="F10"/>
    <d v="2022-06-01T00:00:00"/>
    <s v="CSTM_F7W8SG986IQ"/>
    <m/>
    <s v="Done. Good feedback."/>
    <x v="0"/>
    <x v="2"/>
  </r>
  <r>
    <x v="398"/>
    <s v="Naveenram Gunasekaran"/>
    <x v="13"/>
    <x v="29"/>
    <x v="19"/>
    <s v="Won"/>
    <d v="2022-06-04T00:00:00"/>
    <n v="39000"/>
    <n v="446.6330737517178"/>
    <d v="2022-06-01T00:00:00"/>
    <s v="F10"/>
    <d v="2022-06-02T00:00:00"/>
    <s v="CSTM_25F4H1AQS0L"/>
    <m/>
    <s v="Pending"/>
    <x v="2"/>
    <x v="2"/>
  </r>
  <r>
    <x v="399"/>
    <s v="Goraksha Jarkad"/>
    <x v="5"/>
    <x v="0"/>
    <x v="19"/>
    <s v="Won"/>
    <d v="2022-06-03T00:00:00"/>
    <n v="20500"/>
    <n v="234.76866697205682"/>
    <d v="2022-06-03T00:00:00"/>
    <s v="F10"/>
    <d v="2022-06-03T00:00:00"/>
    <s v="CSTM_6N0G50XOOKZ"/>
    <m/>
    <s v="Pending"/>
    <x v="0"/>
    <x v="2"/>
  </r>
  <r>
    <x v="399"/>
    <s v="Chandran J"/>
    <x v="2"/>
    <x v="9"/>
    <x v="19"/>
    <s v="Won"/>
    <s v="4-5 June 2022"/>
    <n v="40061"/>
    <n v="458.7837837837838"/>
    <d v="2022-06-03T00:00:00"/>
    <s v="F10"/>
    <d v="2022-06-03T00:00:00"/>
    <s v="CSTM_BJGI23WM05T"/>
    <m/>
    <s v="Done. Good feedback."/>
    <x v="0"/>
    <x v="2"/>
  </r>
  <r>
    <x v="399"/>
    <s v="Devesh"/>
    <x v="5"/>
    <x v="52"/>
    <x v="19"/>
    <s v="Won"/>
    <d v="2022-06-04T00:00:00"/>
    <n v="16000"/>
    <n v="183.23408153916631"/>
    <d v="2022-06-03T00:00:00"/>
    <s v="F10"/>
    <d v="2022-06-03T00:00:00"/>
    <s v="CSTM_17BTHU7YFZL"/>
    <m/>
    <s v="Pending"/>
    <x v="2"/>
    <x v="2"/>
  </r>
  <r>
    <x v="400"/>
    <s v="Gaurav Gabhane"/>
    <x v="2"/>
    <x v="0"/>
    <x v="19"/>
    <s v="Won"/>
    <s v="18-19 June 2022"/>
    <n v="21000"/>
    <n v="240.49473202015577"/>
    <d v="2022-06-06T00:00:00"/>
    <s v="F10"/>
    <d v="2022-06-06T00:00:00"/>
    <s v="CSTM_4ZIEVS94K9D"/>
    <m/>
    <s v="Pending"/>
    <x v="0"/>
    <x v="2"/>
  </r>
  <r>
    <x v="400"/>
    <s v="Abhi Shah"/>
    <x v="13"/>
    <x v="2"/>
    <x v="19"/>
    <s v="Won"/>
    <s v="16-17 June 2022"/>
    <n v="20000"/>
    <n v="229.04260192395787"/>
    <d v="2022-06-06T00:00:00"/>
    <s v="F10"/>
    <d v="2022-06-06T00:00:00"/>
    <s v="CSTM_9CSUU7CGFD"/>
    <m/>
    <s v="Pending"/>
    <x v="1"/>
    <x v="2"/>
  </r>
  <r>
    <x v="401"/>
    <s v="Satish Kabade"/>
    <x v="2"/>
    <x v="2"/>
    <x v="19"/>
    <s v="Won"/>
    <s v="11-12 June 2022"/>
    <n v="20000"/>
    <n v="229.04260192395787"/>
    <d v="2022-06-07T00:00:00"/>
    <s v="F10"/>
    <d v="2022-06-07T00:00:00"/>
    <s v="CSTM_BYHGSXYENYQ"/>
    <m/>
    <s v="Done. Good feedback."/>
    <x v="1"/>
    <x v="2"/>
  </r>
  <r>
    <x v="402"/>
    <s v="Gaurav Joshi"/>
    <x v="7"/>
    <x v="14"/>
    <x v="19"/>
    <s v="Won"/>
    <s v="18-19 June 2022"/>
    <n v="21000"/>
    <n v="240.49473202015577"/>
    <d v="2022-06-08T00:00:00"/>
    <s v="F10"/>
    <d v="2022-06-09T00:00:00"/>
    <s v="CSTM_YI6G8RLSF5"/>
    <m/>
    <s v="Done. Good feedback."/>
    <x v="0"/>
    <x v="2"/>
  </r>
  <r>
    <x v="403"/>
    <s v="Poorani"/>
    <x v="7"/>
    <x v="9"/>
    <x v="19"/>
    <s v="Won"/>
    <s v="11-12 June 2022"/>
    <n v="42000"/>
    <n v="480.98946404031153"/>
    <d v="2022-06-09T00:00:00"/>
    <s v="F10"/>
    <d v="2022-06-09T00:00:00"/>
    <s v="CSTM_9LPRQ17SMB1"/>
    <m/>
    <s v="Done. Good feedback."/>
    <x v="0"/>
    <x v="2"/>
  </r>
  <r>
    <x v="403"/>
    <s v="Vishwanath Aladi"/>
    <x v="1"/>
    <x v="0"/>
    <x v="19"/>
    <s v="Won"/>
    <s v="11-12 June 2022"/>
    <n v="20500"/>
    <n v="234.76866697205682"/>
    <d v="2022-06-09T00:00:00"/>
    <s v="F10"/>
    <d v="2022-06-09T00:00:00"/>
    <s v="CSTM_E33ARUKSFP6"/>
    <s v="Reference by Sunita Endabatle"/>
    <s v="Done. Good feedback."/>
    <x v="0"/>
    <x v="2"/>
  </r>
  <r>
    <x v="403"/>
    <s v="Dwaraki Rao"/>
    <x v="9"/>
    <x v="53"/>
    <x v="19"/>
    <s v="Won"/>
    <s v="OSL"/>
    <n v="26500"/>
    <n v="303.48144754924414"/>
    <d v="2022-06-09T00:00:00"/>
    <s v="F10"/>
    <d v="2022-06-09T00:00:00"/>
    <s v="CSTM_J6DO5LZ3R8Q"/>
    <m/>
    <s v="Pending"/>
    <x v="2"/>
    <x v="2"/>
  </r>
  <r>
    <x v="403"/>
    <s v="Srinath"/>
    <x v="5"/>
    <x v="0"/>
    <x v="19"/>
    <s v="Won"/>
    <s v="11-12 June 2022"/>
    <n v="21000"/>
    <n v="240.49473202015577"/>
    <d v="2022-06-09T00:00:00"/>
    <s v="F10"/>
    <d v="2022-06-09T00:00:00"/>
    <s v="CSTM_7YTY7ZGGX20"/>
    <m/>
    <s v="Done. Good feedback."/>
    <x v="0"/>
    <x v="2"/>
  </r>
  <r>
    <x v="404"/>
    <s v="Satya Sakthivel"/>
    <x v="2"/>
    <x v="0"/>
    <x v="19"/>
    <s v="Won"/>
    <s v="11-12 June 2022"/>
    <n v="21000"/>
    <n v="240.49473202015577"/>
    <d v="2022-06-10T00:00:00"/>
    <s v="F10"/>
    <d v="2022-06-10T00:00:00"/>
    <s v="CSTM_9UGAKQA69SU"/>
    <m/>
    <s v="Done. Good feedback."/>
    <x v="0"/>
    <x v="2"/>
  </r>
  <r>
    <x v="404"/>
    <s v="Manohar"/>
    <x v="5"/>
    <x v="2"/>
    <x v="19"/>
    <s v="Won"/>
    <s v="11-12 June 2022"/>
    <n v="20000"/>
    <n v="229.04260192395787"/>
    <d v="2022-06-10T00:00:00"/>
    <s v="F10"/>
    <d v="2022-06-10T00:00:00"/>
    <s v="CSTM_5KE8CDHHU2K"/>
    <m/>
    <s v="Done. Good feedback."/>
    <x v="1"/>
    <x v="2"/>
  </r>
  <r>
    <x v="405"/>
    <s v="Amit Nankani"/>
    <x v="1"/>
    <x v="9"/>
    <x v="19"/>
    <s v="Won"/>
    <s v="25-26 June 2022"/>
    <n v="40061"/>
    <n v="458.7837837837838"/>
    <d v="2022-06-13T00:00:00"/>
    <s v="S10"/>
    <d v="2022-06-13T00:00:00"/>
    <s v="CSTM_B8U5WH51POR"/>
    <s v="Reference by Amit Purohit"/>
    <s v="Done. Good feedback."/>
    <x v="0"/>
    <x v="2"/>
  </r>
  <r>
    <x v="405"/>
    <s v="Hima Alice"/>
    <x v="2"/>
    <x v="14"/>
    <x v="19"/>
    <s v="Won"/>
    <s v="25-26 June 2022"/>
    <n v="21000"/>
    <n v="240.49473202015577"/>
    <d v="2022-06-13T00:00:00"/>
    <s v="S10"/>
    <d v="2022-06-13T00:00:00"/>
    <s v="CSTM_6X1QQQESMS0"/>
    <m/>
    <s v="Done. Good feedback."/>
    <x v="0"/>
    <x v="2"/>
  </r>
  <r>
    <x v="406"/>
    <s v="Priyanka Gandhi"/>
    <x v="23"/>
    <x v="0"/>
    <x v="19"/>
    <s v="Won"/>
    <s v="25-26 June 2022"/>
    <n v="21000"/>
    <n v="240.49473202015577"/>
    <d v="2022-06-14T00:00:00"/>
    <s v="S10"/>
    <d v="2022-06-14T00:00:00"/>
    <s v="CSTM_9LH71N9U6AH"/>
    <m/>
    <s v="Done. Good feedback."/>
    <x v="0"/>
    <x v="2"/>
  </r>
  <r>
    <x v="407"/>
    <s v="Ripander Saini"/>
    <x v="2"/>
    <x v="35"/>
    <x v="19"/>
    <s v="Won"/>
    <s v="23-24 July 2022"/>
    <n v="24000"/>
    <n v="274.85112230874944"/>
    <d v="2022-06-15T00:00:00"/>
    <s v="S10"/>
    <d v="2022-06-16T00:00:00"/>
    <s v="CSTM_B6W0CX18TH7"/>
    <m/>
    <s v="Done. Good feedback."/>
    <x v="0"/>
    <x v="2"/>
  </r>
  <r>
    <x v="407"/>
    <s v="Richa Kukyrani"/>
    <x v="5"/>
    <x v="24"/>
    <x v="19"/>
    <s v="Won"/>
    <s v="18-19 June 2022"/>
    <n v="40061"/>
    <n v="458.7837837837838"/>
    <d v="2022-06-15T00:00:00"/>
    <s v="S10"/>
    <d v="2022-06-15T00:00:00"/>
    <s v="CSTM_35YWHVIVJKL"/>
    <m/>
    <s v="Done. Good feedback."/>
    <x v="0"/>
    <x v="2"/>
  </r>
  <r>
    <x v="407"/>
    <s v="Kapil Garg"/>
    <x v="1"/>
    <x v="2"/>
    <x v="19"/>
    <s v="Won"/>
    <s v="16-17 July 2022"/>
    <n v="19500"/>
    <n v="223.3165368758589"/>
    <d v="2022-06-15T00:00:00"/>
    <s v="S10"/>
    <d v="2022-06-15T00:00:00"/>
    <s v="CSTM_G9DJGMX70Z2"/>
    <s v="Reference by rashmi123456789@gmail.com"/>
    <s v="Done. Good feedback."/>
    <x v="1"/>
    <x v="2"/>
  </r>
  <r>
    <x v="407"/>
    <s v="Nitin Uttamrao Salve"/>
    <x v="1"/>
    <x v="2"/>
    <x v="19"/>
    <s v="Won"/>
    <s v="16-17 July 2022"/>
    <n v="19500"/>
    <n v="223.3165368758589"/>
    <d v="2022-06-15T00:00:00"/>
    <s v="S10"/>
    <d v="2022-06-15T00:00:00"/>
    <s v="CSTM_DQ03JH0WK44"/>
    <s v="Reference by rashmi123456789@gmail.com"/>
    <s v="Done. Good feedback."/>
    <x v="1"/>
    <x v="2"/>
  </r>
  <r>
    <x v="408"/>
    <s v="Srinivas PSR"/>
    <x v="4"/>
    <x v="9"/>
    <x v="19"/>
    <s v="Won"/>
    <s v="18-19 June 2022"/>
    <n v="40061"/>
    <n v="458.7837837837838"/>
    <d v="2022-06-16T00:00:00"/>
    <s v="S10"/>
    <d v="2022-06-16T00:00:00"/>
    <s v="CSTM_B8OBFUIZN9M"/>
    <m/>
    <s v="Done. Good feedback."/>
    <x v="0"/>
    <x v="2"/>
  </r>
  <r>
    <x v="408"/>
    <s v="Siddhesh Deshpande"/>
    <x v="7"/>
    <x v="14"/>
    <x v="19"/>
    <s v="Won"/>
    <s v="18-19 June 2022"/>
    <n v="21000"/>
    <n v="240.49473202015577"/>
    <d v="2022-06-16T00:00:00"/>
    <s v="S10"/>
    <d v="2022-06-16T00:00:00"/>
    <s v="CSTM_CDI1KMYJXYD"/>
    <m/>
    <s v="Done. Good feedback."/>
    <x v="0"/>
    <x v="2"/>
  </r>
  <r>
    <x v="408"/>
    <s v="Deepak N"/>
    <x v="3"/>
    <x v="14"/>
    <x v="19"/>
    <s v="Won"/>
    <s v="18-19 June 2022"/>
    <n v="21000"/>
    <n v="240.49473202015577"/>
    <d v="2022-06-16T00:00:00"/>
    <s v="S10"/>
    <d v="2022-06-16T00:00:00"/>
    <s v="CSTM_4VFVCWAONSH"/>
    <m/>
    <s v="Done. Good feedback."/>
    <x v="0"/>
    <x v="2"/>
  </r>
  <r>
    <x v="408"/>
    <s v="Vicky Kukreja"/>
    <x v="1"/>
    <x v="0"/>
    <x v="19"/>
    <s v="Won"/>
    <s v="18-19 June 2022"/>
    <n v="21000"/>
    <n v="240.49473202015577"/>
    <d v="2022-06-16T00:00:00"/>
    <s v="S10"/>
    <d v="2022-06-16T00:00:00"/>
    <s v="CSTM_6XABF4JNQPG"/>
    <s v="Reference by neelamrajput06@gmail.com"/>
    <s v="Done. Good feedback."/>
    <x v="0"/>
    <x v="2"/>
  </r>
  <r>
    <x v="408"/>
    <s v="Deepanshu Dheer"/>
    <x v="1"/>
    <x v="24"/>
    <x v="19"/>
    <s v="Won"/>
    <s v="18-19 June 2022"/>
    <n v="40061"/>
    <n v="458.7837837837838"/>
    <d v="2022-06-16T00:00:00"/>
    <s v="S10"/>
    <d v="2022-06-16T00:00:00"/>
    <s v="CSTM_2W6KNN17I66"/>
    <s v="Pragya K - Pending"/>
    <s v="Done. Good feedback."/>
    <x v="0"/>
    <x v="2"/>
  </r>
  <r>
    <x v="409"/>
    <s v="Chandra Reddy"/>
    <x v="2"/>
    <x v="9"/>
    <x v="19"/>
    <s v="Won"/>
    <s v="18-19 June 2022"/>
    <n v="40061"/>
    <n v="458.7837837837838"/>
    <d v="2022-06-17T00:00:00"/>
    <s v="S10"/>
    <d v="2022-06-17T00:00:00"/>
    <s v="CSTM_2MIJ5LKK87S"/>
    <m/>
    <s v="Done. Good feedback."/>
    <x v="0"/>
    <x v="2"/>
  </r>
  <r>
    <x v="409"/>
    <s v="Karthi Sudar"/>
    <x v="13"/>
    <x v="32"/>
    <x v="19"/>
    <s v="Won"/>
    <d v="2022-06-18T00:00:00"/>
    <n v="36000"/>
    <n v="412.27668346312413"/>
    <d v="2022-06-17T00:00:00"/>
    <s v="S10"/>
    <d v="2022-06-17T00:00:00"/>
    <s v="CSTM_5URZVLBQD7U"/>
    <m/>
    <s v="Pending"/>
    <x v="2"/>
    <x v="2"/>
  </r>
  <r>
    <x v="410"/>
    <s v="Tripti Jadli"/>
    <x v="7"/>
    <x v="14"/>
    <x v="19"/>
    <s v="Won"/>
    <s v="25-26 June 2022"/>
    <n v="21000"/>
    <n v="240.49473202015577"/>
    <d v="2022-06-19T00:00:00"/>
    <s v="S10"/>
    <d v="2022-06-19T00:00:00"/>
    <s v="CSTM_5X95D4Q3A6"/>
    <m/>
    <s v="Done. Good feedback."/>
    <x v="0"/>
    <x v="2"/>
  </r>
  <r>
    <x v="411"/>
    <s v="Reena Verma"/>
    <x v="2"/>
    <x v="9"/>
    <x v="19"/>
    <s v="Won"/>
    <s v="25-26 June 2022"/>
    <n v="42000"/>
    <n v="480.98946404031153"/>
    <d v="2022-06-20T00:00:00"/>
    <s v="S10"/>
    <d v="2022-06-20T00:00:00"/>
    <s v="CSTM_9PFGCA2FCTJ"/>
    <m/>
    <s v="Done. Good feedback."/>
    <x v="0"/>
    <x v="2"/>
  </r>
  <r>
    <x v="411"/>
    <s v="Navaneetham"/>
    <x v="2"/>
    <x v="0"/>
    <x v="19"/>
    <s v="Won"/>
    <s v="25-26 June 2022"/>
    <n v="21000"/>
    <n v="240.49473202015577"/>
    <d v="2022-06-20T00:00:00"/>
    <s v="S10"/>
    <d v="2022-06-20T00:00:00"/>
    <s v="CSTM_3S53MEBHJ67"/>
    <m/>
    <s v="Pending"/>
    <x v="0"/>
    <x v="2"/>
  </r>
  <r>
    <x v="411"/>
    <s v="Arunanshu Pandey"/>
    <x v="1"/>
    <x v="24"/>
    <x v="19"/>
    <s v="Won"/>
    <s v="4-5 July 2022"/>
    <n v="40061"/>
    <n v="458.7837837837838"/>
    <d v="2022-06-20T00:00:00"/>
    <s v="S10"/>
    <d v="2022-06-20T00:00:00"/>
    <s v="CSTM_3C5G4W6U21T"/>
    <s v="Reference by Mayura P Joshi"/>
    <s v="Pending"/>
    <x v="0"/>
    <x v="2"/>
  </r>
  <r>
    <x v="411"/>
    <s v="Ritu Sharma"/>
    <x v="1"/>
    <x v="24"/>
    <x v="19"/>
    <s v="Won"/>
    <s v="4-5 July 2022"/>
    <n v="40061"/>
    <n v="458.7837837837838"/>
    <d v="2022-06-20T00:00:00"/>
    <s v="T10"/>
    <d v="2022-06-21T00:00:00"/>
    <s v="CSTM_YD43SX7O48"/>
    <s v="Reference by Mayura P Joshi"/>
    <s v="Pending"/>
    <x v="0"/>
    <x v="2"/>
  </r>
  <r>
    <x v="411"/>
    <s v="Aarish Gumber"/>
    <x v="1"/>
    <x v="24"/>
    <x v="19"/>
    <s v="Won"/>
    <s v="4-5 July 2022"/>
    <n v="40061"/>
    <n v="458.7837837837838"/>
    <d v="2022-06-20T00:00:00"/>
    <s v="T10"/>
    <d v="2022-06-21T00:00:00"/>
    <s v="CSTM_4Q7MJDM5OH4"/>
    <s v="Reference by Mayura P Joshi"/>
    <s v="Pending"/>
    <x v="0"/>
    <x v="2"/>
  </r>
  <r>
    <x v="411"/>
    <s v="Sonal Singh"/>
    <x v="1"/>
    <x v="24"/>
    <x v="19"/>
    <s v="Won"/>
    <s v="4-5 July 2022"/>
    <n v="40061"/>
    <n v="458.7837837837838"/>
    <d v="2022-06-20T00:00:00"/>
    <s v="T10"/>
    <d v="2022-06-27T00:00:00"/>
    <s v="CSTM_DNVBJ17SV8M"/>
    <s v="Reference by Mayura P Joshi"/>
    <s v="Pending"/>
    <x v="0"/>
    <x v="2"/>
  </r>
  <r>
    <x v="412"/>
    <s v="Anamika Chaumal"/>
    <x v="6"/>
    <x v="9"/>
    <x v="19"/>
    <s v="Won"/>
    <s v="25-26 June 2022"/>
    <n v="40061"/>
    <n v="458.7837837837838"/>
    <d v="2022-06-21T00:00:00"/>
    <s v="T10"/>
    <d v="2022-06-22T00:00:00"/>
    <s v="CSTM_J42NNFQFYZB"/>
    <m/>
    <s v="Done. Good feedback."/>
    <x v="0"/>
    <x v="2"/>
  </r>
  <r>
    <x v="413"/>
    <s v="VijayKrishnan"/>
    <x v="5"/>
    <x v="14"/>
    <x v="19"/>
    <s v="Won"/>
    <s v="25-26 June 2022"/>
    <n v="21000"/>
    <n v="240.49473202015577"/>
    <d v="2022-06-23T00:00:00"/>
    <s v="T10"/>
    <d v="2022-06-23T00:00:00"/>
    <s v="CSTM_5D2RKVZ287V"/>
    <m/>
    <s v="Done. Good feedback."/>
    <x v="0"/>
    <x v="2"/>
  </r>
  <r>
    <x v="413"/>
    <s v="Tamil Mani"/>
    <x v="1"/>
    <x v="14"/>
    <x v="19"/>
    <s v="Won"/>
    <s v="25-26 June 2022"/>
    <n v="21000"/>
    <n v="240.49473202015577"/>
    <d v="2022-06-23T00:00:00"/>
    <s v="T10"/>
    <d v="2022-06-23T00:00:00"/>
    <s v="CSTM_JLVSB74WUCQ"/>
    <s v="Reference by vijaykrishs@gmail.com"/>
    <s v="Done. Good feedback."/>
    <x v="0"/>
    <x v="2"/>
  </r>
  <r>
    <x v="413"/>
    <s v="Kartik VS"/>
    <x v="5"/>
    <x v="0"/>
    <x v="19"/>
    <s v="Won"/>
    <s v="25-26 June 2022"/>
    <n v="21000"/>
    <n v="240.49473202015577"/>
    <d v="2022-06-23T00:00:00"/>
    <s v="T10"/>
    <d v="2022-06-23T00:00:00"/>
    <s v="CSTM_BQRKYEIMQFA"/>
    <m/>
    <s v="Pending"/>
    <x v="0"/>
    <x v="2"/>
  </r>
  <r>
    <x v="413"/>
    <s v="Priya Bhatnagar"/>
    <x v="5"/>
    <x v="9"/>
    <x v="19"/>
    <s v="Won"/>
    <s v="25-26 June 2022"/>
    <n v="40061"/>
    <n v="458.7837837837838"/>
    <d v="2022-06-23T00:00:00"/>
    <s v="T10"/>
    <d v="2022-06-23T00:00:00"/>
    <s v="CSTM_CMCUTHY3FEF"/>
    <m/>
    <s v="Done. Good feedback."/>
    <x v="0"/>
    <x v="2"/>
  </r>
  <r>
    <x v="414"/>
    <s v="Ujjwal Dobhal"/>
    <x v="13"/>
    <x v="53"/>
    <x v="19"/>
    <s v="Won"/>
    <s v="OSL"/>
    <n v="26000"/>
    <n v="297.75538250114522"/>
    <d v="2022-06-24T00:00:00"/>
    <s v="T10"/>
    <d v="2022-06-25T00:00:00"/>
    <s v="CSTM_HPENIVASCJ9"/>
    <m/>
    <s v="Pending"/>
    <x v="2"/>
    <x v="2"/>
  </r>
  <r>
    <x v="415"/>
    <s v="Prathit Vyas"/>
    <x v="2"/>
    <x v="0"/>
    <x v="19"/>
    <s v="Won"/>
    <s v="30-31 July 2022"/>
    <n v="21000"/>
    <n v="240.49473202015577"/>
    <d v="2022-06-26T00:00:00"/>
    <s v="T10"/>
    <d v="2022-06-26T00:00:00"/>
    <s v="CSTM_I99G063CYOB"/>
    <m/>
    <s v="Done. Good feedback."/>
    <x v="0"/>
    <x v="2"/>
  </r>
  <r>
    <x v="416"/>
    <s v="Janani Krishnan"/>
    <x v="3"/>
    <x v="31"/>
    <x v="19"/>
    <s v="Won"/>
    <s v="2-3 July 2022"/>
    <n v="40061"/>
    <n v="458.7837837837838"/>
    <d v="2022-06-26T00:00:00"/>
    <s v="T10"/>
    <d v="2022-06-28T00:00:00"/>
    <s v="CSTM_CEIAHPT5QYN"/>
    <m/>
    <s v="Pending"/>
    <x v="0"/>
    <x v="2"/>
  </r>
  <r>
    <x v="416"/>
    <s v="Saurabh Garg"/>
    <x v="7"/>
    <x v="0"/>
    <x v="19"/>
    <s v="Won"/>
    <s v="2-3 July 2022"/>
    <n v="21000"/>
    <n v="240.49473202015577"/>
    <d v="2022-06-28T00:00:00"/>
    <s v="T10"/>
    <d v="2022-06-29T00:00:00"/>
    <s v="CSTM_7JWHT3WC4F9"/>
    <m/>
    <s v="Done. Good feedback."/>
    <x v="0"/>
    <x v="2"/>
  </r>
  <r>
    <x v="417"/>
    <s v="Sekar Jayabal"/>
    <x v="2"/>
    <x v="24"/>
    <x v="19"/>
    <s v="Won"/>
    <s v="4-5 July 2022"/>
    <n v="42000"/>
    <n v="480.98946404031153"/>
    <d v="2022-06-29T00:00:00"/>
    <s v="T10"/>
    <d v="2022-06-29T00:00:00"/>
    <s v="CSTM_8592JEISID3"/>
    <m/>
    <s v="Pending"/>
    <x v="0"/>
    <x v="2"/>
  </r>
  <r>
    <x v="417"/>
    <s v="Radhika Santosh"/>
    <x v="13"/>
    <x v="9"/>
    <x v="19"/>
    <s v="Won"/>
    <s v="9-10 July 2022"/>
    <n v="42000"/>
    <n v="480.98946404031153"/>
    <d v="2022-06-29T00:00:00"/>
    <s v="T10"/>
    <d v="2022-06-29T00:00:00"/>
    <s v="CSTM_FMZ5SRWVDAO"/>
    <m/>
    <s v="Done. Good feedback."/>
    <x v="0"/>
    <x v="2"/>
  </r>
  <r>
    <x v="417"/>
    <s v="Kaushik S"/>
    <x v="1"/>
    <x v="9"/>
    <x v="19"/>
    <s v="Won"/>
    <s v="9-10 July 2022"/>
    <n v="40061"/>
    <n v="458.7837837837838"/>
    <d v="2022-06-29T00:00:00"/>
    <s v="T10"/>
    <d v="2022-06-29T00:00:00"/>
    <s v="CSTM_8WYFCHJ0G7C"/>
    <s v="Reference by amit.gmat1@gmail.com"/>
    <s v="Done. Good feedback."/>
    <x v="0"/>
    <x v="2"/>
  </r>
  <r>
    <x v="418"/>
    <s v="Malcolm Lewis"/>
    <x v="3"/>
    <x v="0"/>
    <x v="19"/>
    <s v="Won"/>
    <s v="2-3 July 2022"/>
    <n v="21000"/>
    <n v="240.49473202015577"/>
    <d v="2022-06-30T00:00:00"/>
    <s v="T10"/>
    <d v="2022-06-30T00:00:00"/>
    <s v="CSTM_9JUQHBKPH6J"/>
    <m/>
    <s v="Done. Good feedback."/>
    <x v="0"/>
    <x v="2"/>
  </r>
  <r>
    <x v="419"/>
    <s v="Ramakrishna Reddy"/>
    <x v="4"/>
    <x v="31"/>
    <x v="20"/>
    <s v="Won"/>
    <s v="2-3 July 2022"/>
    <n v="42000"/>
    <n v="480.98946404031153"/>
    <d v="2022-07-01T00:00:00"/>
    <s v="F10"/>
    <d v="2022-07-01T00:00:00"/>
    <s v="CSTM_7JPVA9GD7ZH"/>
    <m/>
    <s v="Done. Good feedback."/>
    <x v="0"/>
    <x v="2"/>
  </r>
  <r>
    <x v="419"/>
    <s v="Chetan Malavade"/>
    <x v="28"/>
    <x v="35"/>
    <x v="20"/>
    <s v="Won"/>
    <s v="23-24 July 2022"/>
    <n v="24000"/>
    <n v="274.85112230874944"/>
    <d v="2022-07-01T00:00:00"/>
    <s v="F10"/>
    <d v="2022-07-01T00:00:00"/>
    <s v="CSTM_7CNR7ES7B9P"/>
    <m/>
    <s v="Done. Good feedback."/>
    <x v="0"/>
    <x v="2"/>
  </r>
  <r>
    <x v="419"/>
    <s v="Bhavin Shah"/>
    <x v="2"/>
    <x v="1"/>
    <x v="20"/>
    <s v="Won"/>
    <s v="2-3 July 2022"/>
    <n v="20000"/>
    <n v="229.04260192395787"/>
    <d v="2022-07-01T00:00:00"/>
    <s v="F10"/>
    <d v="2022-07-01T00:00:00"/>
    <s v="CSTM_HWETG6KPHLX"/>
    <m/>
    <s v="Done. Good feedback."/>
    <x v="1"/>
    <x v="2"/>
  </r>
  <r>
    <x v="420"/>
    <s v="Mandeep"/>
    <x v="6"/>
    <x v="2"/>
    <x v="20"/>
    <s v="Won"/>
    <s v="6-8 July 2022"/>
    <n v="20000"/>
    <n v="229.04260192395787"/>
    <d v="2022-07-02T00:00:00"/>
    <s v="F10"/>
    <d v="2022-07-02T00:00:00"/>
    <s v="CSTM_4PCU5RL3WSG"/>
    <m/>
    <s v="Pending"/>
    <x v="1"/>
    <x v="2"/>
  </r>
  <r>
    <x v="420"/>
    <s v="Shramana Kundu"/>
    <x v="5"/>
    <x v="14"/>
    <x v="20"/>
    <s v="Won"/>
    <s v="9-10 July 2022"/>
    <n v="21000"/>
    <n v="240.49473202015577"/>
    <d v="2022-07-02T00:00:00"/>
    <s v="F10"/>
    <d v="2022-07-02T00:00:00"/>
    <s v="CSTM_FPVM3V68G66"/>
    <m/>
    <s v="Done. Good feedback."/>
    <x v="0"/>
    <x v="2"/>
  </r>
  <r>
    <x v="420"/>
    <s v="Kiran"/>
    <x v="2"/>
    <x v="9"/>
    <x v="20"/>
    <s v="Won"/>
    <s v="9-10 July 2022"/>
    <n v="42000"/>
    <n v="480.98946404031153"/>
    <d v="2022-07-02T00:00:00"/>
    <s v="F10"/>
    <d v="2022-07-02T00:00:00"/>
    <s v="CSTM_3Y4MPGQ1AIS"/>
    <m/>
    <s v="Done. Good feedback."/>
    <x v="0"/>
    <x v="2"/>
  </r>
  <r>
    <x v="421"/>
    <s v="Varun Gupta"/>
    <x v="6"/>
    <x v="0"/>
    <x v="20"/>
    <s v="Won"/>
    <s v="13-14 Aug 2022"/>
    <n v="20500"/>
    <n v="234.76866697205682"/>
    <d v="2022-07-04T00:00:00"/>
    <s v="F10"/>
    <d v="2022-07-05T00:00:00"/>
    <s v="CSTM_7FED1VD7H53"/>
    <m/>
    <s v="Done. Good feedback."/>
    <x v="0"/>
    <x v="2"/>
  </r>
  <r>
    <x v="422"/>
    <s v="Venugopal"/>
    <x v="1"/>
    <x v="26"/>
    <x v="20"/>
    <s v="Won"/>
    <d v="2022-07-09T00:00:00"/>
    <n v="37000"/>
    <n v="423.72881355932202"/>
    <d v="2022-07-05T00:00:00"/>
    <s v="F10"/>
    <d v="2022-07-05T00:00:00"/>
    <s v="CSTM_83DN9KMS4FE"/>
    <s v="Pragya K - Pending"/>
    <s v="Pending"/>
    <x v="2"/>
    <x v="2"/>
  </r>
  <r>
    <x v="423"/>
    <s v="Sudhir Valluri"/>
    <x v="29"/>
    <x v="9"/>
    <x v="20"/>
    <s v="Won"/>
    <s v="23-24 July 2022"/>
    <n v="40000"/>
    <n v="458.08520384791575"/>
    <d v="2022-07-07T00:00:00"/>
    <s v="F10"/>
    <d v="2022-07-07T00:00:00"/>
    <s v="CSTM_A3B3VKHKNKE"/>
    <m/>
    <s v="Pending"/>
    <x v="0"/>
    <x v="2"/>
  </r>
  <r>
    <x v="408"/>
    <s v="Prabhu Jaganathan"/>
    <x v="2"/>
    <x v="24"/>
    <x v="19"/>
    <s v="Won"/>
    <s v="9-10 July 2022"/>
    <n v="42000"/>
    <n v="480.98946404031153"/>
    <d v="2022-07-16T00:00:00"/>
    <s v="S10"/>
    <d v="2022-06-16T00:00:00"/>
    <s v="CSTM_5V3OSUNUYYX"/>
    <m/>
    <s v="Done. Good feedback."/>
    <x v="0"/>
    <x v="2"/>
  </r>
  <r>
    <x v="424"/>
    <s v="Sumukh Haritasa"/>
    <x v="3"/>
    <x v="2"/>
    <x v="20"/>
    <s v="Won"/>
    <s v="9-10 July 2022"/>
    <n v="20000"/>
    <n v="229.04260192395787"/>
    <d v="2022-07-08T00:00:00"/>
    <s v="F10"/>
    <d v="2022-07-08T00:00:00"/>
    <s v="CSTM_7P4QQKEJ9CF"/>
    <m/>
    <s v="Done. Good feedback."/>
    <x v="1"/>
    <x v="2"/>
  </r>
  <r>
    <x v="424"/>
    <s v="David Irwin"/>
    <x v="1"/>
    <x v="0"/>
    <x v="20"/>
    <s v="Won"/>
    <s v="9-10 July 2022"/>
    <n v="21000"/>
    <n v="240.49473202015577"/>
    <d v="2022-07-08T00:00:00"/>
    <s v="F10"/>
    <d v="2022-07-08T00:00:00"/>
    <s v="CSTM_BG0KFGX8QQI"/>
    <m/>
    <s v="Done. Good feedback."/>
    <x v="0"/>
    <x v="2"/>
  </r>
  <r>
    <x v="424"/>
    <s v="Sagar Rajwani"/>
    <x v="7"/>
    <x v="0"/>
    <x v="20"/>
    <s v="Won"/>
    <s v="16-17 July 2022"/>
    <n v="21000"/>
    <n v="240.49473202015577"/>
    <d v="2022-07-08T00:00:00"/>
    <s v="F10"/>
    <d v="2022-07-08T00:00:00"/>
    <s v="CSTM_E6BG26JSSN1"/>
    <m/>
    <s v="Done. Good feedback."/>
    <x v="0"/>
    <x v="2"/>
  </r>
  <r>
    <x v="424"/>
    <s v="Sujata Halakarni"/>
    <x v="4"/>
    <x v="14"/>
    <x v="20"/>
    <s v="Won"/>
    <s v="9-10 July 2022"/>
    <n v="28558"/>
    <n v="327.04993128721947"/>
    <d v="2022-07-08T00:00:00"/>
    <s v="F10"/>
    <d v="2022-07-08T00:00:00"/>
    <s v="SMPL_5JC1FO8Z0FX"/>
    <m/>
    <s v="Done. Good feedback."/>
    <x v="0"/>
    <x v="2"/>
  </r>
  <r>
    <x v="425"/>
    <s v="Renuka Prajapati"/>
    <x v="1"/>
    <x v="1"/>
    <x v="20"/>
    <s v="Won"/>
    <s v="13-14 July 2022"/>
    <n v="20000"/>
    <n v="229.04260192395787"/>
    <d v="2022-07-09T00:00:00"/>
    <s v="S10"/>
    <d v="2022-07-11T00:00:00"/>
    <s v="CSTM_AU0LUNN9CA4"/>
    <m/>
    <s v="Pending"/>
    <x v="1"/>
    <x v="2"/>
  </r>
  <r>
    <x v="426"/>
    <s v="Tanya Singla"/>
    <x v="1"/>
    <x v="2"/>
    <x v="20"/>
    <s v="Won"/>
    <s v="23-24 July 2022"/>
    <n v="20000"/>
    <n v="229.04260192395787"/>
    <d v="2022-07-11T00:00:00"/>
    <s v="S10"/>
    <d v="2022-07-11T00:00:00"/>
    <s v="CSTM_9DQJ4W98XF3"/>
    <m/>
    <s v="Done. Good feedback."/>
    <x v="1"/>
    <x v="2"/>
  </r>
  <r>
    <x v="426"/>
    <s v="Rinku Kumari"/>
    <x v="2"/>
    <x v="35"/>
    <x v="20"/>
    <s v="Won"/>
    <s v="23-24 July 2022"/>
    <n v="24000"/>
    <n v="274.85112230874944"/>
    <d v="2022-07-11T00:00:00"/>
    <s v="S10"/>
    <d v="2022-07-11T00:00:00"/>
    <s v="CSTM_EE4G9J83VEF"/>
    <m/>
    <s v="Done. Good feedback."/>
    <x v="0"/>
    <x v="2"/>
  </r>
  <r>
    <x v="426"/>
    <s v="Arpit Shri"/>
    <x v="7"/>
    <x v="9"/>
    <x v="20"/>
    <s v="Won"/>
    <s v="16-17 July 2022"/>
    <n v="40061"/>
    <n v="458.7837837837838"/>
    <d v="2022-07-11T00:00:00"/>
    <s v="S10"/>
    <d v="2022-07-11T00:00:00"/>
    <s v="CSTM_HKJNR1XE6LK"/>
    <m/>
    <s v="Done. Good feedback."/>
    <x v="0"/>
    <x v="2"/>
  </r>
  <r>
    <x v="427"/>
    <s v="Santosh Rathnalu"/>
    <x v="1"/>
    <x v="18"/>
    <x v="20"/>
    <s v="Won"/>
    <d v="2022-07-16T00:00:00"/>
    <n v="20000"/>
    <n v="229.04260192395787"/>
    <d v="2022-07-12T00:00:00"/>
    <s v="S10"/>
    <d v="2022-07-14T00:00:00"/>
    <s v="CSTM_EAY98P1SGOL"/>
    <m/>
    <s v="Pending"/>
    <x v="2"/>
    <x v="2"/>
  </r>
  <r>
    <x v="427"/>
    <s v="Radhika N"/>
    <x v="1"/>
    <x v="35"/>
    <x v="20"/>
    <s v="Won"/>
    <s v="23-24 July 2022"/>
    <n v="24000"/>
    <n v="274.85112230874944"/>
    <d v="2022-07-12T00:00:00"/>
    <s v="S10"/>
    <d v="2022-07-12T00:00:00"/>
    <s v="CSTM_AVBRKT1M5P0"/>
    <m/>
    <s v="Done. Good feedback."/>
    <x v="0"/>
    <x v="2"/>
  </r>
  <r>
    <x v="427"/>
    <s v="Pragya Nagar"/>
    <x v="1"/>
    <x v="18"/>
    <x v="20"/>
    <s v="Won"/>
    <d v="2022-07-16T00:00:00"/>
    <n v="21000"/>
    <n v="240.49473202015577"/>
    <d v="2022-07-12T00:00:00"/>
    <s v="S10"/>
    <d v="2022-07-13T00:00:00"/>
    <s v="CSTM_DVG552X452O"/>
    <m/>
    <s v="Pending"/>
    <x v="2"/>
    <x v="2"/>
  </r>
  <r>
    <x v="427"/>
    <s v="Sai Vinayak"/>
    <x v="26"/>
    <x v="2"/>
    <x v="20"/>
    <s v="Won"/>
    <d v="2022-07-18T00:00:00"/>
    <n v="49000"/>
    <n v="561.15437471369682"/>
    <d v="2022-07-12T00:00:00"/>
    <s v="S10"/>
    <d v="2022-07-15T00:00:00"/>
    <s v="CSTM_448G2REEDM2"/>
    <m/>
    <s v="Pending"/>
    <x v="1"/>
    <x v="2"/>
  </r>
  <r>
    <x v="428"/>
    <s v="Sanjit Desai"/>
    <x v="2"/>
    <x v="35"/>
    <x v="20"/>
    <s v="Won"/>
    <s v="23-24 July 2022"/>
    <n v="24000"/>
    <n v="274.85112230874944"/>
    <d v="2022-07-13T00:00:00"/>
    <s v="S10"/>
    <d v="2022-07-13T00:00:00"/>
    <s v="CSTM_60GM5L9HE4E"/>
    <m/>
    <s v="Done. Good feedback."/>
    <x v="0"/>
    <x v="2"/>
  </r>
  <r>
    <x v="429"/>
    <s v="Prashant Mhetar"/>
    <x v="5"/>
    <x v="14"/>
    <x v="20"/>
    <s v="Won"/>
    <s v="23-24 July 2022"/>
    <n v="21000"/>
    <n v="240.49473202015577"/>
    <d v="2022-07-14T00:00:00"/>
    <s v="S10"/>
    <d v="2022-07-14T00:00:00"/>
    <s v="CSTM_41YLLXV6Q3B"/>
    <m/>
    <s v="Done. Good feedback."/>
    <x v="0"/>
    <x v="2"/>
  </r>
  <r>
    <x v="429"/>
    <s v="Narendra Nanna"/>
    <x v="2"/>
    <x v="9"/>
    <x v="20"/>
    <s v="Won"/>
    <s v="6-7 Aug 2022"/>
    <n v="42000"/>
    <n v="480.98946404031153"/>
    <d v="2022-07-14T00:00:00"/>
    <s v="S10"/>
    <d v="2022-07-16T00:00:00"/>
    <s v="CSTM_64HZP3AATJA"/>
    <m/>
    <s v="Done. Good feedback."/>
    <x v="0"/>
    <x v="2"/>
  </r>
  <r>
    <x v="429"/>
    <s v="Pranshu Khare"/>
    <x v="2"/>
    <x v="9"/>
    <x v="20"/>
    <s v="Won"/>
    <s v="16-17 July 2022"/>
    <n v="42000"/>
    <n v="480.98946404031153"/>
    <d v="2022-07-14T00:00:00"/>
    <s v="S10"/>
    <d v="2022-07-14T00:00:00"/>
    <s v="CSTM_5O4P2TFRVYC"/>
    <m/>
    <s v="Pending"/>
    <x v="0"/>
    <x v="2"/>
  </r>
  <r>
    <x v="430"/>
    <s v="Omesh Jadia"/>
    <x v="7"/>
    <x v="9"/>
    <x v="20"/>
    <s v="Won"/>
    <s v="16-17 July 2022"/>
    <n v="40061"/>
    <n v="458.7837837837838"/>
    <d v="2022-07-15T00:00:00"/>
    <s v="S10"/>
    <d v="2022-07-15T00:00:00"/>
    <s v="CSTM_GLANJ721PCU"/>
    <m/>
    <s v="Done. Good feedback."/>
    <x v="0"/>
    <x v="2"/>
  </r>
  <r>
    <x v="430"/>
    <s v="Anju TR"/>
    <x v="5"/>
    <x v="14"/>
    <x v="20"/>
    <s v="Won"/>
    <s v="16-17 July 2022"/>
    <n v="21000"/>
    <n v="240.49473202015577"/>
    <d v="2022-07-15T00:00:00"/>
    <s v="S10"/>
    <d v="2022-07-15T00:00:00"/>
    <s v="CSTM_FMEI9YG2977"/>
    <m/>
    <s v="Pending"/>
    <x v="0"/>
    <x v="2"/>
  </r>
  <r>
    <x v="431"/>
    <s v="Kaustubh Varadkar"/>
    <x v="5"/>
    <x v="2"/>
    <x v="20"/>
    <s v="Won"/>
    <s v="20-22 July 2022"/>
    <n v="20000"/>
    <n v="229.04260192395787"/>
    <d v="2022-07-18T00:00:00"/>
    <s v="S10"/>
    <d v="2022-07-18T00:00:00"/>
    <s v="CSTM_33IFO4HU4OW"/>
    <m/>
    <s v="Pending"/>
    <x v="1"/>
    <x v="2"/>
  </r>
  <r>
    <x v="431"/>
    <s v="Asha Devi H"/>
    <x v="24"/>
    <x v="0"/>
    <x v="20"/>
    <s v="Won"/>
    <s v="13-14 Aug 2022"/>
    <n v="21000"/>
    <n v="240.49473202015577"/>
    <d v="2022-07-18T00:00:00"/>
    <s v="S10"/>
    <d v="2022-07-20T00:00:00"/>
    <s v="CSTM_6NJ5U4T4T1W"/>
    <m/>
    <s v="Done. Good feedback."/>
    <x v="0"/>
    <x v="2"/>
  </r>
  <r>
    <x v="432"/>
    <s v="Arup Mohanty"/>
    <x v="2"/>
    <x v="1"/>
    <x v="20"/>
    <s v="Won"/>
    <s v="13-14 Aug 2022"/>
    <n v="20000"/>
    <n v="229.04260192395787"/>
    <d v="2022-07-19T00:00:00"/>
    <s v="S10"/>
    <d v="2022-07-19T00:00:00"/>
    <s v="CSTM_2E8DRDTSVQE"/>
    <m/>
    <s v="Done. Good feedback."/>
    <x v="1"/>
    <x v="2"/>
  </r>
  <r>
    <x v="432"/>
    <s v="Sneha Guzraty"/>
    <x v="7"/>
    <x v="14"/>
    <x v="20"/>
    <s v="Won"/>
    <s v="23-24 July 2022"/>
    <n v="21000"/>
    <n v="240.49473202015577"/>
    <d v="2022-07-19T00:00:00"/>
    <s v="S10"/>
    <d v="2022-07-19T00:00:00"/>
    <s v="CSTM_F4DZ14ULHTA"/>
    <m/>
    <s v="Done. Good feedback."/>
    <x v="0"/>
    <x v="2"/>
  </r>
  <r>
    <x v="433"/>
    <s v="Arun GK"/>
    <x v="3"/>
    <x v="0"/>
    <x v="20"/>
    <s v="Won"/>
    <s v="23-24 July 2022"/>
    <n v="21000"/>
    <n v="240.49473202015577"/>
    <d v="2022-07-20T00:00:00"/>
    <s v="S10"/>
    <d v="2022-07-20T00:00:00"/>
    <s v="CSTM_JLUMBTIUDN3"/>
    <m/>
    <s v="Done. Good feedback."/>
    <x v="0"/>
    <x v="2"/>
  </r>
  <r>
    <x v="433"/>
    <s v="Aakash Bhadoria"/>
    <x v="3"/>
    <x v="0"/>
    <x v="20"/>
    <s v="Won"/>
    <s v="30-31 July 2022"/>
    <n v="20500"/>
    <n v="234.76866697205682"/>
    <d v="2022-07-20T00:00:00"/>
    <s v="S10"/>
    <d v="2022-07-20T00:00:00"/>
    <s v="CSTM_C24TEGBMQ6F"/>
    <m/>
    <s v="Pending"/>
    <x v="0"/>
    <x v="2"/>
  </r>
  <r>
    <x v="433"/>
    <s v="Heena Rahurikar"/>
    <x v="1"/>
    <x v="0"/>
    <x v="20"/>
    <s v="Won"/>
    <s v="30-31 July 2022"/>
    <n v="20500"/>
    <n v="234.76866697205682"/>
    <d v="2022-07-20T00:00:00"/>
    <s v="S10"/>
    <d v="2022-07-20T00:00:00"/>
    <s v="CSTM_E5FHL8SGMOX"/>
    <s v="Reference by Akash Bhadoria"/>
    <s v="Pending"/>
    <x v="0"/>
    <x v="2"/>
  </r>
  <r>
    <x v="434"/>
    <s v="Avinash Hingmire"/>
    <x v="4"/>
    <x v="14"/>
    <x v="20"/>
    <s v="Won"/>
    <s v="23-24 July 2022"/>
    <n v="21000"/>
    <n v="240.49473202015577"/>
    <d v="2022-07-21T00:00:00"/>
    <s v="T10"/>
    <d v="2022-07-21T00:00:00"/>
    <s v="CSTM_EZCCOHVBQDQ"/>
    <m/>
    <s v="Pending"/>
    <x v="0"/>
    <x v="2"/>
  </r>
  <r>
    <x v="434"/>
    <s v="Sai Prasad"/>
    <x v="2"/>
    <x v="35"/>
    <x v="20"/>
    <s v="Won"/>
    <s v="23-24 July 2022"/>
    <n v="24000"/>
    <n v="274.85112230874944"/>
    <d v="2022-07-21T00:00:00"/>
    <s v="T10"/>
    <d v="2022-07-21T00:00:00"/>
    <s v="CSTM_285CGBAER78"/>
    <m/>
    <s v="Pending"/>
    <x v="0"/>
    <x v="2"/>
  </r>
  <r>
    <x v="435"/>
    <s v="Lankesh Shekhar"/>
    <x v="6"/>
    <x v="35"/>
    <x v="20"/>
    <s v="Won"/>
    <s v="13-14 Aug 2022"/>
    <n v="24000"/>
    <n v="274.85112230874944"/>
    <d v="2022-07-23T00:00:00"/>
    <s v="T10"/>
    <d v="2022-07-23T00:00:00"/>
    <s v="CSTM_BRK1BAACPF1"/>
    <m/>
    <s v="Done. Good feedback."/>
    <x v="0"/>
    <x v="2"/>
  </r>
  <r>
    <x v="436"/>
    <s v="Abhishek Jain"/>
    <x v="5"/>
    <x v="18"/>
    <x v="20"/>
    <s v="Won"/>
    <d v="2022-07-28T00:00:00"/>
    <n v="21000"/>
    <n v="240.49473202015577"/>
    <d v="2022-07-25T00:00:00"/>
    <s v="T10"/>
    <d v="2022-07-25T00:00:00"/>
    <s v="CSTM_9Z3VZDRHVH2"/>
    <m/>
    <s v="Pending"/>
    <x v="2"/>
    <x v="2"/>
  </r>
  <r>
    <x v="436"/>
    <s v="Alok Tripathi"/>
    <x v="1"/>
    <x v="0"/>
    <x v="20"/>
    <s v="Won"/>
    <s v="13-14 Aug 2022"/>
    <n v="20500"/>
    <n v="234.76866697205682"/>
    <d v="2022-07-25T00:00:00"/>
    <s v="T10"/>
    <d v="2022-07-25T00:00:00"/>
    <s v="CSTM_C7R3DUSTLYK"/>
    <s v="Reference by tripathialok3@gmail.com"/>
    <s v="Pending"/>
    <x v="0"/>
    <x v="2"/>
  </r>
  <r>
    <x v="436"/>
    <s v="Pratyush Shukla"/>
    <x v="1"/>
    <x v="0"/>
    <x v="20"/>
    <s v="Won"/>
    <s v="13-14 Aug 2022"/>
    <n v="20500"/>
    <n v="234.76866697205682"/>
    <d v="2022-07-25T00:00:00"/>
    <s v="T10"/>
    <d v="2022-07-25T00:00:00"/>
    <s v="CSTM_GLTD0F2E6XU"/>
    <s v="Reference by tripathialok3@gmail.com"/>
    <s v="Done. Good feedback."/>
    <x v="0"/>
    <x v="2"/>
  </r>
  <r>
    <x v="437"/>
    <s v="Ranjitha Malatkar"/>
    <x v="1"/>
    <x v="2"/>
    <x v="20"/>
    <s v="Won"/>
    <s v="30-31 July 2022"/>
    <n v="20000"/>
    <n v="229.04260192395787"/>
    <d v="2022-07-26T00:00:00"/>
    <s v="T10"/>
    <d v="2022-07-26T00:00:00"/>
    <s v="CSTM_7G6FBOAFBFS"/>
    <s v="Keerti - Pending"/>
    <s v="Done. Good feedback."/>
    <x v="1"/>
    <x v="2"/>
  </r>
  <r>
    <x v="438"/>
    <s v="Darshana Juvekar"/>
    <x v="1"/>
    <x v="54"/>
    <x v="20"/>
    <s v="Won"/>
    <d v="2022-08-30T00:00:00"/>
    <n v="15000"/>
    <n v="171.78195144296839"/>
    <d v="2022-07-27T00:00:00"/>
    <s v="T10"/>
    <d v="2022-07-28T00:00:00"/>
    <s v="CSTM_PARTIAL_FIRST_BYA2HQJYERR"/>
    <s v="Reference by Mayura - ZS"/>
    <s v="Pending"/>
    <x v="2"/>
    <x v="2"/>
  </r>
  <r>
    <x v="438"/>
    <s v="Darshana Juvekar"/>
    <x v="1"/>
    <x v="54"/>
    <x v="20"/>
    <s v="Won"/>
    <d v="2022-08-30T00:00:00"/>
    <n v="85000"/>
    <n v="973.4310581768209"/>
    <d v="2022-07-27T00:00:00"/>
    <s v="T10"/>
    <d v="2022-07-29T00:00:00"/>
    <s v="CSTM_PARTIAL_SUBS_1HMV35J7C25"/>
    <s v="Reference by Mayura - ZS"/>
    <s v="Pending"/>
    <x v="2"/>
    <x v="2"/>
  </r>
  <r>
    <x v="438"/>
    <s v="Rajiv Adepu"/>
    <x v="1"/>
    <x v="0"/>
    <x v="20"/>
    <s v="Won"/>
    <s v="6-7 Aug 2022"/>
    <n v="20500"/>
    <n v="234.76866697205682"/>
    <d v="2022-07-27T00:00:00"/>
    <s v="T10"/>
    <d v="2022-07-27T00:00:00"/>
    <s v="CSTM_ZVAJTT1Z0H"/>
    <s v="Reference by Shashank"/>
    <s v="Done. Good feedback."/>
    <x v="0"/>
    <x v="2"/>
  </r>
  <r>
    <x v="439"/>
    <s v="Gaurav Sinha"/>
    <x v="7"/>
    <x v="0"/>
    <x v="20"/>
    <s v="Won"/>
    <s v="6-7 Aug 2022"/>
    <n v="21000"/>
    <n v="240.49473202015577"/>
    <d v="2022-07-28T00:00:00"/>
    <s v="T10"/>
    <d v="2022-07-28T00:00:00"/>
    <s v="CSTM_JD7LT2MLX8S"/>
    <m/>
    <s v="Done. Good feedback."/>
    <x v="0"/>
    <x v="2"/>
  </r>
  <r>
    <x v="439"/>
    <s v="Anurag"/>
    <x v="13"/>
    <x v="2"/>
    <x v="20"/>
    <s v="Won"/>
    <s v="30-31 Aug 2022"/>
    <n v="20000"/>
    <n v="229.04260192395787"/>
    <d v="2022-07-28T00:00:00"/>
    <s v="T10"/>
    <d v="2022-07-28T00:00:00"/>
    <s v="CSTM_19K4434PJ4Y"/>
    <m/>
    <s v="Done. Good feedback."/>
    <x v="1"/>
    <x v="2"/>
  </r>
  <r>
    <x v="440"/>
    <s v="Ryan Pinto"/>
    <x v="13"/>
    <x v="1"/>
    <x v="20"/>
    <s v="Won"/>
    <s v="13-14 Aug 2022"/>
    <n v="20000"/>
    <n v="229.04260192395787"/>
    <d v="2022-07-29T00:00:00"/>
    <s v="T10"/>
    <d v="2022-07-30T00:00:00"/>
    <s v="CSTM_33MQ2AK4NZ3"/>
    <m/>
    <s v="Done. Good feedback."/>
    <x v="1"/>
    <x v="2"/>
  </r>
  <r>
    <x v="440"/>
    <s v="Anirban Sarkar"/>
    <x v="1"/>
    <x v="35"/>
    <x v="20"/>
    <s v="Won"/>
    <s v="27-28 Aug 2022"/>
    <n v="24000"/>
    <n v="274.85112230874944"/>
    <d v="2022-07-29T00:00:00"/>
    <s v="T10"/>
    <d v="2022-07-29T00:00:00"/>
    <s v="CSTM_95AJ82RIQIC"/>
    <s v="Reference by ani.cbs@gmail.com"/>
    <s v="Done. Good feedback."/>
    <x v="0"/>
    <x v="2"/>
  </r>
  <r>
    <x v="440"/>
    <s v="Rabi Saha"/>
    <x v="1"/>
    <x v="35"/>
    <x v="20"/>
    <s v="Won"/>
    <s v="27-28 Aug 2022"/>
    <n v="24000"/>
    <n v="274.85112230874944"/>
    <d v="2022-07-29T00:00:00"/>
    <s v="T10"/>
    <d v="2022-07-29T00:00:00"/>
    <s v="CSTM_DTDBC5P4VSG"/>
    <s v="Reference by ani.cbs@gmail.com"/>
    <s v="Done. Good feedback."/>
    <x v="0"/>
    <x v="2"/>
  </r>
  <r>
    <x v="440"/>
    <s v="Kaushik Ray"/>
    <x v="1"/>
    <x v="35"/>
    <x v="20"/>
    <s v="Won"/>
    <s v="27-28 Aug 2022"/>
    <n v="24000"/>
    <n v="274.85112230874944"/>
    <d v="2022-07-29T00:00:00"/>
    <s v="T10"/>
    <d v="2022-07-30T00:00:00"/>
    <s v="CSTM_2T9CK6RQDDK"/>
    <s v="Reference by ani.cbs@gmail.com"/>
    <s v="Done. Good feedback."/>
    <x v="0"/>
    <x v="2"/>
  </r>
  <r>
    <x v="440"/>
    <s v="Aritra Sinha"/>
    <x v="1"/>
    <x v="35"/>
    <x v="20"/>
    <s v="Won"/>
    <s v="27-28 Aug 2022"/>
    <n v="24000"/>
    <n v="274.85112230874944"/>
    <d v="2022-07-29T00:00:00"/>
    <s v="T10"/>
    <d v="2022-07-29T00:00:00"/>
    <s v="CSTM_GR01TFSL81Z"/>
    <s v="Reference by ani.cbs@gmail.com"/>
    <s v="Done. Good feedback."/>
    <x v="0"/>
    <x v="2"/>
  </r>
  <r>
    <x v="440"/>
    <s v="Rajdip Garai"/>
    <x v="1"/>
    <x v="35"/>
    <x v="21"/>
    <s v="Won"/>
    <s v="27-28 Aug 2022"/>
    <n v="24000"/>
    <n v="274.85112230874944"/>
    <d v="2022-07-29T00:00:00"/>
    <s v="F10"/>
    <d v="2022-08-05T00:00:00"/>
    <s v="CSTM_6JN8U3HJ1QN"/>
    <s v="Reference by ani.cbs@gmail.com"/>
    <s v="Done. Good feedback."/>
    <x v="0"/>
    <x v="2"/>
  </r>
  <r>
    <x v="440"/>
    <s v="Soumyadip C"/>
    <x v="1"/>
    <x v="35"/>
    <x v="21"/>
    <s v="Won"/>
    <s v="27-28 Aug 2022"/>
    <n v="24000"/>
    <n v="274.85112230874944"/>
    <d v="2022-07-29T00:00:00"/>
    <s v="F10"/>
    <d v="2022-08-01T00:00:00"/>
    <s v="CSTM_5P8GBUDZ4JN"/>
    <s v="Reference by ani.cbs@gmail.com"/>
    <s v="Done. Good feedback."/>
    <x v="0"/>
    <x v="2"/>
  </r>
  <r>
    <x v="440"/>
    <s v="Anjana K"/>
    <x v="6"/>
    <x v="31"/>
    <x v="20"/>
    <s v="Won"/>
    <s v="13-14 Aug 2022"/>
    <n v="42000"/>
    <n v="480.98946404031153"/>
    <d v="2022-07-29T00:00:00"/>
    <s v="T10"/>
    <d v="2022-07-29T00:00:00"/>
    <s v="CSTM_DLSHS38XLTK"/>
    <m/>
    <s v="Pending"/>
    <x v="0"/>
    <x v="2"/>
  </r>
  <r>
    <x v="441"/>
    <s v="Indu Shukla"/>
    <x v="1"/>
    <x v="1"/>
    <x v="20"/>
    <s v="Won"/>
    <s v="13-14 Aug 2022"/>
    <n v="20000"/>
    <n v="229.04260192395787"/>
    <d v="2022-07-30T00:00:00"/>
    <s v="T10"/>
    <d v="2022-07-30T00:00:00"/>
    <s v="CSTM_FYSDK8YCS8Y"/>
    <s v="Reference by er.mayankmishra@outlook.com"/>
    <s v="Done. Good feedback."/>
    <x v="1"/>
    <x v="2"/>
  </r>
  <r>
    <x v="442"/>
    <s v="Arpit B Agarwal"/>
    <x v="3"/>
    <x v="0"/>
    <x v="21"/>
    <s v="Won"/>
    <s v="6-7 Aug 2022"/>
    <n v="21000"/>
    <n v="240.49473202015577"/>
    <d v="2022-08-01T00:00:00"/>
    <s v="F10"/>
    <d v="2022-08-01T00:00:00"/>
    <s v="CSTM_B28TD6TUG7F"/>
    <m/>
    <s v="Done. Good feedback."/>
    <x v="0"/>
    <x v="2"/>
  </r>
  <r>
    <x v="442"/>
    <s v="Sejal Muralidhar"/>
    <x v="7"/>
    <x v="24"/>
    <x v="21"/>
    <s v="Won"/>
    <s v="6-7 Aug 2022"/>
    <n v="42000"/>
    <n v="480.98946404031153"/>
    <d v="2022-08-01T00:00:00"/>
    <s v="F10"/>
    <d v="2022-08-01T00:00:00"/>
    <s v="CSTM_6O4LL307M1N"/>
    <m/>
    <s v="Done. Good feedback."/>
    <x v="0"/>
    <x v="2"/>
  </r>
  <r>
    <x v="443"/>
    <s v="Viswanathan"/>
    <x v="13"/>
    <x v="9"/>
    <x v="21"/>
    <s v="Won"/>
    <s v="6-7 Aug 2022"/>
    <n v="40000"/>
    <n v="458.08520384791575"/>
    <d v="2022-08-02T00:00:00"/>
    <s v="F10"/>
    <d v="2022-08-02T00:00:00"/>
    <s v="CSTM_EBWK2794E1X"/>
    <m/>
    <s v="Pending"/>
    <x v="0"/>
    <x v="2"/>
  </r>
  <r>
    <x v="444"/>
    <s v="Balaji Venkataraju"/>
    <x v="5"/>
    <x v="36"/>
    <x v="21"/>
    <s v="Won"/>
    <s v="5-7 Aug 2022"/>
    <n v="57230"/>
    <n v="655.40540540540542"/>
    <d v="2022-08-03T00:00:00"/>
    <s v="F10"/>
    <d v="2022-08-04T00:00:00"/>
    <s v="CSTM_JH9DBPWJ6LA"/>
    <m/>
    <s v="Pending"/>
    <x v="0"/>
    <x v="2"/>
  </r>
  <r>
    <x v="444"/>
    <s v="Balaji Venkataraju"/>
    <x v="5"/>
    <x v="36"/>
    <x v="21"/>
    <s v="Won"/>
    <s v="5-7 Aug 2022"/>
    <n v="67770"/>
    <n v="776.11085661933123"/>
    <d v="2022-08-03T00:00:00"/>
    <s v="F10"/>
    <d v="2022-08-04T00:00:00"/>
    <s v="CSTM_1P3EB143HH2"/>
    <m/>
    <s v="Pending"/>
    <x v="0"/>
    <x v="2"/>
  </r>
  <r>
    <x v="444"/>
    <s v="Rajat Doshi"/>
    <x v="13"/>
    <x v="9"/>
    <x v="21"/>
    <s v="Won"/>
    <s v="13-14 Aug 2022"/>
    <n v="40000"/>
    <n v="458.08520384791575"/>
    <d v="2022-08-03T00:00:00"/>
    <s v="F10"/>
    <d v="2022-08-03T00:00:00"/>
    <s v="CSTM_6GLQ6K5HV7B"/>
    <m/>
    <s v="Done. Good feedback."/>
    <x v="0"/>
    <x v="2"/>
  </r>
  <r>
    <x v="445"/>
    <s v="Vaishnavi"/>
    <x v="5"/>
    <x v="2"/>
    <x v="21"/>
    <s v="Won"/>
    <s v="11-12 Aug 2022"/>
    <n v="20000"/>
    <n v="229.04260192395787"/>
    <d v="2022-08-04T00:00:00"/>
    <s v="F10"/>
    <d v="2022-08-04T00:00:00"/>
    <s v="CSTM_IC4QBVXQ8TT"/>
    <m/>
    <s v="Pending"/>
    <x v="1"/>
    <x v="2"/>
  </r>
  <r>
    <x v="445"/>
    <s v="Ramanai Venkata"/>
    <x v="2"/>
    <x v="2"/>
    <x v="21"/>
    <s v="Won"/>
    <s v="20-21 Aug 2022"/>
    <n v="21000"/>
    <n v="240.49473202015577"/>
    <d v="2022-08-04T00:00:00"/>
    <s v="F10"/>
    <d v="2022-08-04T00:00:00"/>
    <s v="CSTM_D8671DZUGMD"/>
    <m/>
    <s v="Done. Good feedback."/>
    <x v="1"/>
    <x v="2"/>
  </r>
  <r>
    <x v="446"/>
    <s v="Deepti Malukani"/>
    <x v="5"/>
    <x v="24"/>
    <x v="21"/>
    <s v="Won"/>
    <s v="6-7 Aug 2022"/>
    <n v="40061"/>
    <n v="458.7837837837838"/>
    <d v="2022-08-05T00:00:00"/>
    <s v="F10"/>
    <d v="2022-08-05T00:00:00"/>
    <s v="CSTM_8GN33N4MPXD"/>
    <m/>
    <s v="Pending"/>
    <x v="0"/>
    <x v="2"/>
  </r>
  <r>
    <x v="447"/>
    <s v="Anil Khetmalis"/>
    <x v="1"/>
    <x v="35"/>
    <x v="21"/>
    <s v="Won"/>
    <s v="10-11 Sep 2022"/>
    <n v="24000"/>
    <n v="274.85112230874944"/>
    <d v="2022-08-08T00:00:00"/>
    <s v="S10"/>
    <d v="2022-08-18T00:00:00"/>
    <s v="CSTM_RLJ2S8JJ7H"/>
    <s v="Reference by Chetan"/>
    <s v="Done. Good feedback."/>
    <x v="0"/>
    <x v="2"/>
  </r>
  <r>
    <x v="447"/>
    <s v="Aditya Soti"/>
    <x v="6"/>
    <x v="14"/>
    <x v="21"/>
    <s v="Won"/>
    <s v="27-28 Aug 2022"/>
    <n v="21000"/>
    <n v="240.49473202015577"/>
    <d v="2022-08-08T00:00:00"/>
    <s v="F10"/>
    <d v="2022-08-09T00:00:00"/>
    <s v="CSTM_HRK7VDVA4Q2"/>
    <m/>
    <s v="Done. Good feedback."/>
    <x v="0"/>
    <x v="2"/>
  </r>
  <r>
    <x v="447"/>
    <s v="Sophia Reena"/>
    <x v="2"/>
    <x v="35"/>
    <x v="21"/>
    <s v="Won"/>
    <s v="26-27 Nov 2022"/>
    <n v="24000"/>
    <n v="274.85112230874944"/>
    <d v="2022-08-08T00:00:00"/>
    <s v="F10"/>
    <d v="2022-08-09T00:00:00"/>
    <s v="CSTM_FJEXVWSI1XB"/>
    <m/>
    <s v="Pending"/>
    <x v="0"/>
    <x v="2"/>
  </r>
  <r>
    <x v="447"/>
    <s v="Devanand Parathikkadu"/>
    <x v="7"/>
    <x v="9"/>
    <x v="21"/>
    <s v="Won"/>
    <s v="13-14 Aug 2022"/>
    <n v="42000"/>
    <n v="480.98946404031153"/>
    <d v="2022-08-08T00:00:00"/>
    <s v="F10"/>
    <d v="2022-08-08T00:00:00"/>
    <s v="CSTM_2IYBAPGLB0I"/>
    <m/>
    <s v="Done. Good feedback."/>
    <x v="0"/>
    <x v="2"/>
  </r>
  <r>
    <x v="448"/>
    <s v="Sharika S"/>
    <x v="1"/>
    <x v="0"/>
    <x v="21"/>
    <s v="Won"/>
    <s v="13-14 Aug 2022"/>
    <n v="21000"/>
    <n v="240.49473202015577"/>
    <d v="2022-08-09T00:00:00"/>
    <s v="F10"/>
    <d v="2022-08-09T00:00:00"/>
    <s v="CSTM_IFX55W133XJ"/>
    <s v="Reference by Vivek"/>
    <s v="Done. Good feedback."/>
    <x v="0"/>
    <x v="2"/>
  </r>
  <r>
    <x v="448"/>
    <s v="Shaiwal Mahajan"/>
    <x v="1"/>
    <x v="9"/>
    <x v="21"/>
    <s v="Won"/>
    <s v="13-14 Aug 2022"/>
    <n v="40061"/>
    <n v="458.7837837837838"/>
    <d v="2022-08-09T00:00:00"/>
    <s v="F10"/>
    <d v="2022-08-09T00:00:00"/>
    <s v="CSTM_5IUA7B6JCI"/>
    <s v="Reference by Amit Purohit"/>
    <s v="Done. Good feedback."/>
    <x v="0"/>
    <x v="2"/>
  </r>
  <r>
    <x v="448"/>
    <s v="Arun Kadalayil"/>
    <x v="5"/>
    <x v="9"/>
    <x v="21"/>
    <s v="Won"/>
    <s v="27-28 Aug 2022"/>
    <n v="42000"/>
    <n v="480.98946404031153"/>
    <d v="2022-08-09T00:00:00"/>
    <s v="F10"/>
    <d v="2022-08-09T00:00:00"/>
    <s v="CSTM_B916QAMR5L9"/>
    <m/>
    <s v="Done. Good feedback."/>
    <x v="0"/>
    <x v="2"/>
  </r>
  <r>
    <x v="449"/>
    <s v="Chinna Gupta"/>
    <x v="1"/>
    <x v="2"/>
    <x v="21"/>
    <s v="Won"/>
    <s v="27-28 Aug 2022"/>
    <n v="20000"/>
    <n v="229.04260192395787"/>
    <d v="2022-08-10T00:00:00"/>
    <s v="F10"/>
    <d v="2022-08-10T00:00:00"/>
    <s v="CSTM_FYGANUOJY1S"/>
    <s v="Reference by Garima Gupta"/>
    <s v="Done. Good feedback."/>
    <x v="1"/>
    <x v="2"/>
  </r>
  <r>
    <x v="450"/>
    <s v="Eleeta Rodrigues"/>
    <x v="1"/>
    <x v="0"/>
    <x v="21"/>
    <s v="Won"/>
    <s v="13-14 Aug 2022"/>
    <n v="21000"/>
    <n v="240.49473202015577"/>
    <d v="2022-08-11T00:00:00"/>
    <s v="S10"/>
    <d v="2022-08-11T00:00:00"/>
    <s v="CSTM_1VTTILC67LT"/>
    <s v="Reference by Priti Kotian"/>
    <s v="Done. Good feedback."/>
    <x v="0"/>
    <x v="2"/>
  </r>
  <r>
    <x v="450"/>
    <s v="Akshata TL"/>
    <x v="5"/>
    <x v="9"/>
    <x v="21"/>
    <s v="Won"/>
    <s v="13-14 Aug 2022"/>
    <n v="42000"/>
    <n v="480.98946404031153"/>
    <d v="2022-08-11T00:00:00"/>
    <s v="S10"/>
    <d v="2022-08-11T00:00:00"/>
    <s v="CSTM_5PJR9YTMBNQ"/>
    <m/>
    <s v="Done. Good feedback."/>
    <x v="0"/>
    <x v="2"/>
  </r>
  <r>
    <x v="451"/>
    <s v="Parul"/>
    <x v="2"/>
    <x v="35"/>
    <x v="21"/>
    <s v="Won"/>
    <s v="27-28 Aug 2022"/>
    <n v="24000"/>
    <n v="274.85112230874944"/>
    <d v="2022-08-16T00:00:00"/>
    <s v="S10"/>
    <d v="2022-08-16T00:00:00"/>
    <s v="CSTM_3VFZ8FT80VQ"/>
    <m/>
    <s v="Done. Good feedback."/>
    <x v="0"/>
    <x v="2"/>
  </r>
  <r>
    <x v="451"/>
    <s v="Gaurav"/>
    <x v="1"/>
    <x v="0"/>
    <x v="21"/>
    <s v="Won"/>
    <s v="20-21 Aug 2022"/>
    <n v="21000"/>
    <n v="240.49473202015577"/>
    <d v="2022-08-16T00:00:00"/>
    <s v="S10"/>
    <d v="2022-08-16T00:00:00"/>
    <s v="CSTM_88OMIQRIMMM"/>
    <m/>
    <s v="Pending"/>
    <x v="0"/>
    <x v="2"/>
  </r>
  <r>
    <x v="451"/>
    <s v="Ankita Mohanty"/>
    <x v="24"/>
    <x v="2"/>
    <x v="21"/>
    <s v="Won"/>
    <s v="3-4 Sep 2022"/>
    <n v="20000"/>
    <n v="229.04260192395787"/>
    <d v="2022-08-16T00:00:00"/>
    <s v="S10"/>
    <d v="2022-08-16T00:00:00"/>
    <s v="CSTM_365XBP4JMXJ"/>
    <m/>
    <s v="Pending"/>
    <x v="1"/>
    <x v="2"/>
  </r>
  <r>
    <x v="452"/>
    <s v="Sreedhar Babu"/>
    <x v="5"/>
    <x v="24"/>
    <x v="21"/>
    <s v="Won"/>
    <s v="3-4 Sep 2022"/>
    <n v="42000"/>
    <n v="480.98946404031153"/>
    <d v="2022-08-17T00:00:00"/>
    <s v="S10"/>
    <d v="2022-08-17T00:00:00"/>
    <s v="CSTM_7WJPZXCOHEO"/>
    <m/>
    <s v="Done. Good feedback."/>
    <x v="0"/>
    <x v="2"/>
  </r>
  <r>
    <x v="453"/>
    <s v="Seemoni"/>
    <x v="13"/>
    <x v="9"/>
    <x v="21"/>
    <s v="Won"/>
    <s v="17-18 Sep 2022"/>
    <n v="42000"/>
    <n v="480.98946404031153"/>
    <d v="2022-08-24T00:00:00"/>
    <s v="T10"/>
    <d v="2022-08-25T00:00:00"/>
    <s v="CSTM_GN8F5LLL1N0"/>
    <m/>
    <s v="Done. Good feedback."/>
    <x v="0"/>
    <x v="2"/>
  </r>
  <r>
    <x v="454"/>
    <s v="Vivek Mouli"/>
    <x v="7"/>
    <x v="1"/>
    <x v="21"/>
    <s v="Won"/>
    <s v="1-2 Oct 2022"/>
    <n v="20000"/>
    <n v="229.04260192395787"/>
    <d v="2022-08-19T00:00:00"/>
    <s v="S10"/>
    <d v="2022-08-19T00:00:00"/>
    <s v="CSTM_3Q84E29FF77"/>
    <m/>
    <s v="Pending"/>
    <x v="1"/>
    <x v="2"/>
  </r>
  <r>
    <x v="455"/>
    <s v="Sathesh TK"/>
    <x v="3"/>
    <x v="0"/>
    <x v="21"/>
    <s v="Won"/>
    <s v="27-28 Aug 2022"/>
    <n v="21000"/>
    <n v="240.49473202015577"/>
    <d v="2022-08-20T00:00:00"/>
    <s v="S10"/>
    <d v="2022-08-20T00:00:00"/>
    <s v="CSTM_GEAHRT11K2S"/>
    <m/>
    <s v="Done. Good feedback."/>
    <x v="0"/>
    <x v="2"/>
  </r>
  <r>
    <x v="456"/>
    <s v="Vaishnavi Shantaram"/>
    <x v="13"/>
    <x v="10"/>
    <x v="21"/>
    <s v="Won"/>
    <d v="2022-08-27T00:00:00"/>
    <n v="14000"/>
    <n v="160.3298213467705"/>
    <d v="2022-08-22T00:00:00"/>
    <s v="T10"/>
    <d v="2022-08-22T00:00:00"/>
    <s v="CSTM_6M6U6KQ57O7"/>
    <m/>
    <s v="Pending"/>
    <x v="2"/>
    <x v="2"/>
  </r>
  <r>
    <x v="456"/>
    <s v="Snehal Mahajan"/>
    <x v="1"/>
    <x v="0"/>
    <x v="21"/>
    <s v="Won"/>
    <s v="10-11 Sep 2022"/>
    <n v="20500"/>
    <n v="234.76866697205682"/>
    <d v="2022-08-22T00:00:00"/>
    <s v="T10"/>
    <d v="2022-08-22T00:00:00"/>
    <s v="CSTM_1GC3I261T7N"/>
    <s v="Reference by aakash.bhadoria@gmail.com"/>
    <s v="Done. Good feedback."/>
    <x v="0"/>
    <x v="2"/>
  </r>
  <r>
    <x v="457"/>
    <s v="Ajit Patwardhan"/>
    <x v="1"/>
    <x v="35"/>
    <x v="21"/>
    <s v="Won"/>
    <s v="10-11 Sep 2022"/>
    <n v="24000"/>
    <n v="274.85112230874944"/>
    <d v="2022-08-23T00:00:00"/>
    <s v="T10"/>
    <d v="2022-08-24T00:00:00"/>
    <s v="CSTM_BLCBSTR0864"/>
    <s v="Reference by Chetan"/>
    <s v="Done. Good feedback."/>
    <x v="0"/>
    <x v="2"/>
  </r>
  <r>
    <x v="457"/>
    <s v="Chandana Poojari"/>
    <x v="7"/>
    <x v="2"/>
    <x v="21"/>
    <s v="Won"/>
    <s v="10-11 Aug 2022"/>
    <n v="18000"/>
    <n v="206.13834173156206"/>
    <d v="2022-08-23T00:00:00"/>
    <s v="T10"/>
    <d v="2022-08-24T00:00:00"/>
    <s v="CSTM_GEIADZD2LWN"/>
    <m/>
    <s v="Done. Good feedback."/>
    <x v="1"/>
    <x v="2"/>
  </r>
  <r>
    <x v="457"/>
    <s v="Tushar VP"/>
    <x v="1"/>
    <x v="2"/>
    <x v="21"/>
    <s v="Won"/>
    <s v="10-11 Aug 2022"/>
    <n v="18000"/>
    <n v="206.13834173156206"/>
    <d v="2022-08-23T00:00:00"/>
    <s v="T10"/>
    <d v="2022-08-24T00:00:00"/>
    <s v="CSTM_JBZKFQOTZVB"/>
    <s v="Reference by Chandana"/>
    <s v="Done. Good feedback."/>
    <x v="1"/>
    <x v="2"/>
  </r>
  <r>
    <x v="458"/>
    <s v="Sanjiv"/>
    <x v="13"/>
    <x v="55"/>
    <x v="21"/>
    <s v="Won"/>
    <d v="2022-08-27T00:00:00"/>
    <n v="50000"/>
    <n v="572.60650480989466"/>
    <d v="2022-08-26T00:00:00"/>
    <s v="T10"/>
    <d v="2022-08-26T00:00:00"/>
    <s v="CSTM_JG589GYTST5"/>
    <m/>
    <s v="Pending"/>
    <x v="2"/>
    <x v="2"/>
  </r>
  <r>
    <x v="458"/>
    <s v="Anuradha Krishna"/>
    <x v="13"/>
    <x v="9"/>
    <x v="22"/>
    <s v="Won"/>
    <s v="10-11 Sep 2022"/>
    <n v="42000"/>
    <n v="480.98946404031153"/>
    <d v="2022-08-26T00:00:00"/>
    <s v="F10"/>
    <d v="2022-09-05T00:00:00"/>
    <s v="CSTM_8IRH8W059AR"/>
    <m/>
    <s v="Done. Good feedback."/>
    <x v="0"/>
    <x v="2"/>
  </r>
  <r>
    <x v="459"/>
    <s v="Akshay Kumar"/>
    <x v="7"/>
    <x v="0"/>
    <x v="21"/>
    <s v="Won"/>
    <s v="3-4 Sep 2022"/>
    <n v="21000"/>
    <n v="240.49473202015577"/>
    <d v="2022-08-28T00:00:00"/>
    <s v="T10"/>
    <d v="2022-08-28T00:00:00"/>
    <s v="CSTM_BM37XBS70VJ"/>
    <m/>
    <s v="Done. Good feedback."/>
    <x v="0"/>
    <x v="2"/>
  </r>
  <r>
    <x v="460"/>
    <s v="Dhivya Arunachalarajan"/>
    <x v="6"/>
    <x v="2"/>
    <x v="21"/>
    <s v="Won"/>
    <s v="10-11 Sep 2022"/>
    <n v="20000"/>
    <n v="229.04260192395787"/>
    <d v="2022-08-30T00:00:00"/>
    <s v="T10"/>
    <d v="2022-08-30T00:00:00"/>
    <s v="CSTM_2ZOGXKV271T"/>
    <m/>
    <s v="Pending"/>
    <x v="1"/>
    <x v="2"/>
  </r>
  <r>
    <x v="460"/>
    <s v="Apurva Gawande"/>
    <x v="3"/>
    <x v="0"/>
    <x v="21"/>
    <s v="Won"/>
    <s v="3-4 Sep 2022"/>
    <n v="21000"/>
    <n v="240.49473202015577"/>
    <d v="2022-08-30T00:00:00"/>
    <s v="T10"/>
    <d v="2022-08-30T00:00:00"/>
    <s v="CSTM_GU1YM18IVNL"/>
    <m/>
    <s v="Done. Good feedback."/>
    <x v="0"/>
    <x v="2"/>
  </r>
  <r>
    <x v="460"/>
    <s v="Adnan Dabir"/>
    <x v="7"/>
    <x v="0"/>
    <x v="21"/>
    <s v="Won"/>
    <s v="3-4 Sep 2022"/>
    <n v="21000"/>
    <n v="240.49473202015577"/>
    <d v="2022-08-30T00:00:00"/>
    <s v="T10"/>
    <d v="2022-08-30T00:00:00"/>
    <s v="CSTM_37LRH4I5YZM"/>
    <m/>
    <s v="Done. Good feedback."/>
    <x v="0"/>
    <x v="2"/>
  </r>
  <r>
    <x v="461"/>
    <s v="Rashee Rana"/>
    <x v="7"/>
    <x v="0"/>
    <x v="21"/>
    <s v="Won"/>
    <s v="17-18 Sep 2022"/>
    <n v="21000"/>
    <n v="240.49473202015577"/>
    <d v="2022-08-31T00:00:00"/>
    <s v="T10"/>
    <d v="2022-08-31T00:00:00"/>
    <s v="CSTM_YV1SOA8TRD"/>
    <m/>
    <s v="Pending"/>
    <x v="0"/>
    <x v="2"/>
  </r>
  <r>
    <x v="462"/>
    <s v="Ashrut Awasthi"/>
    <x v="7"/>
    <x v="14"/>
    <x v="22"/>
    <s v="Won"/>
    <s v="3-4 Sep 2022"/>
    <n v="21000"/>
    <n v="240.49473202015577"/>
    <d v="2022-09-02T00:00:00"/>
    <s v="F10"/>
    <d v="2022-09-02T00:00:00"/>
    <s v="CSTM_1SSP03YSRMD"/>
    <m/>
    <s v="Done. Good feedback."/>
    <x v="0"/>
    <x v="2"/>
  </r>
  <r>
    <x v="462"/>
    <s v="Prashant Saduwale"/>
    <x v="5"/>
    <x v="0"/>
    <x v="22"/>
    <s v="Won"/>
    <s v="10-11 Sep 2022"/>
    <n v="21000"/>
    <n v="240.49473202015577"/>
    <d v="2022-09-02T00:00:00"/>
    <s v="F10"/>
    <d v="2022-09-02T00:00:00"/>
    <s v="CSTM_88738SMCXI2"/>
    <m/>
    <s v="Done. Good feedback."/>
    <x v="0"/>
    <x v="2"/>
  </r>
  <r>
    <x v="463"/>
    <s v="Imay Bhishma"/>
    <x v="1"/>
    <x v="35"/>
    <x v="22"/>
    <s v="Won"/>
    <s v="24-25 Sep 2022"/>
    <n v="24000"/>
    <n v="274.85112230874944"/>
    <d v="2022-09-03T00:00:00"/>
    <s v="F10"/>
    <d v="2022-09-03T00:00:00"/>
    <s v="CSTM_80W0GFZR2RX"/>
    <s v="Reference by lan.myth@gmail.com"/>
    <s v="Done. Good feedback."/>
    <x v="0"/>
    <x v="2"/>
  </r>
  <r>
    <x v="464"/>
    <s v="Varun Dudani"/>
    <x v="5"/>
    <x v="14"/>
    <x v="22"/>
    <s v="Won"/>
    <s v="10-11 Sep 2022"/>
    <n v="21000"/>
    <n v="240.49473202015577"/>
    <d v="2022-09-05T00:00:00"/>
    <s v="F10"/>
    <d v="2022-09-05T00:00:00"/>
    <s v="CSTM_AEELPTI5XVI"/>
    <m/>
    <s v="Done. Good feedback."/>
    <x v="0"/>
    <x v="2"/>
  </r>
  <r>
    <x v="464"/>
    <s v="Preeti Smita"/>
    <x v="1"/>
    <x v="24"/>
    <x v="22"/>
    <s v="Won"/>
    <s v="17-18 Sep 2022"/>
    <n v="40061"/>
    <n v="458.7837837837838"/>
    <d v="2022-09-05T00:00:00"/>
    <s v="F10"/>
    <d v="2022-09-05T00:00:00"/>
    <s v="CSTM_8BSVHZEQJEN"/>
    <s v="Reference by Pragya"/>
    <s v="Done. Good feedback."/>
    <x v="0"/>
    <x v="2"/>
  </r>
  <r>
    <x v="464"/>
    <s v="Subodh Chandran"/>
    <x v="27"/>
    <x v="7"/>
    <x v="22"/>
    <s v="Won"/>
    <d v="2022-09-17T00:00:00"/>
    <n v="10000"/>
    <n v="114.52130096197894"/>
    <d v="2022-09-06T00:00:00"/>
    <s v="F10"/>
    <d v="2022-09-06T00:00:00"/>
    <s v="CSTM_C6UR1Q3KE9O"/>
    <m/>
    <s v="Pending"/>
    <x v="2"/>
    <x v="2"/>
  </r>
  <r>
    <x v="465"/>
    <s v="Subodh Chandran"/>
    <x v="27"/>
    <x v="56"/>
    <x v="22"/>
    <s v="Won"/>
    <d v="2022-09-17T00:00:00"/>
    <n v="47125"/>
    <n v="539.68163078332566"/>
    <d v="2022-09-07T00:00:00"/>
    <s v="F10"/>
    <d v="2022-09-07T00:00:00"/>
    <s v="CSTM_C6UR1Q3KE9O"/>
    <m/>
    <s v="Pending"/>
    <x v="2"/>
    <x v="2"/>
  </r>
  <r>
    <x v="466"/>
    <s v="Divya S"/>
    <x v="5"/>
    <x v="31"/>
    <x v="22"/>
    <s v="Won"/>
    <s v="10-11 Sep 2022"/>
    <n v="40061"/>
    <n v="458.7837837837838"/>
    <d v="2022-09-08T00:00:00"/>
    <s v="F10"/>
    <d v="2022-09-09T00:00:00"/>
    <s v="CSTM_BREL3NLV17A"/>
    <m/>
    <s v="Pending"/>
    <x v="0"/>
    <x v="2"/>
  </r>
  <r>
    <x v="466"/>
    <s v="Kishor Italiya"/>
    <x v="5"/>
    <x v="2"/>
    <x v="22"/>
    <s v="Won"/>
    <s v="10-11 Sep 2022"/>
    <n v="20000"/>
    <n v="229.04260192395787"/>
    <d v="2022-09-08T00:00:00"/>
    <s v="F10"/>
    <d v="2022-09-08T00:00:00"/>
    <s v="CSTM_4J8904OBHS9"/>
    <m/>
    <s v="Done. Good feedback."/>
    <x v="1"/>
    <x v="2"/>
  </r>
  <r>
    <x v="466"/>
    <s v="Kavitha Purushotham"/>
    <x v="3"/>
    <x v="2"/>
    <x v="22"/>
    <s v="Won"/>
    <s v="10-11 Sep 2022"/>
    <n v="20000"/>
    <n v="229.04260192395787"/>
    <d v="2022-09-08T00:00:00"/>
    <s v="F10"/>
    <d v="2022-09-08T00:00:00"/>
    <s v="CSTM_CXFYOM70LG8"/>
    <m/>
    <s v="Done. Good feedback."/>
    <x v="1"/>
    <x v="2"/>
  </r>
  <r>
    <x v="467"/>
    <s v="Shweta Sengar"/>
    <x v="5"/>
    <x v="9"/>
    <x v="22"/>
    <s v="Won"/>
    <s v="1-2 Oct 2022"/>
    <n v="42000"/>
    <n v="480.98946404031153"/>
    <d v="2022-09-11T00:00:00"/>
    <s v="S10"/>
    <d v="2022-09-11T00:00:00"/>
    <s v="CSTM_2DNCBETR8GG"/>
    <m/>
    <s v="Pending"/>
    <x v="0"/>
    <x v="2"/>
  </r>
  <r>
    <x v="467"/>
    <s v="Ratika Sharma"/>
    <x v="1"/>
    <x v="9"/>
    <x v="22"/>
    <s v="Won"/>
    <s v="1-2 Oct 2022"/>
    <n v="42000"/>
    <n v="480.98946404031153"/>
    <d v="2022-09-11T00:00:00"/>
    <s v="S10"/>
    <d v="2022-09-11T00:00:00"/>
    <s v="CSTM_AZSCJFZCMWU"/>
    <s v="Pragya K"/>
    <s v="Pending"/>
    <x v="0"/>
    <x v="2"/>
  </r>
  <r>
    <x v="468"/>
    <s v="Darshani Tripathy"/>
    <x v="6"/>
    <x v="7"/>
    <x v="22"/>
    <s v="Won"/>
    <d v="2022-09-17T00:00:00"/>
    <n v="10000"/>
    <n v="114.52130096197894"/>
    <d v="2022-09-12T00:00:00"/>
    <s v="S10"/>
    <d v="2022-09-12T00:00:00"/>
    <s v="CSTM_93M4M5OEJMM"/>
    <m/>
    <s v="Pending"/>
    <x v="2"/>
    <x v="2"/>
  </r>
  <r>
    <x v="468"/>
    <s v="Vinay Aggarwal"/>
    <x v="22"/>
    <x v="24"/>
    <x v="22"/>
    <s v="Won"/>
    <s v="1-2 Oct 2022"/>
    <n v="40061"/>
    <n v="458.7837837837838"/>
    <d v="2022-09-12T00:00:00"/>
    <s v="S10"/>
    <d v="2022-09-13T00:00:00"/>
    <s v="CSTM_8N2LM2T2K7G"/>
    <m/>
    <s v="Pending"/>
    <x v="0"/>
    <x v="2"/>
  </r>
  <r>
    <x v="469"/>
    <s v="Anoop"/>
    <x v="1"/>
    <x v="0"/>
    <x v="22"/>
    <s v="Won"/>
    <s v="24-25 Sep 2022"/>
    <n v="21000"/>
    <n v="240.49473202015577"/>
    <d v="2022-09-13T00:00:00"/>
    <s v="S10"/>
    <d v="2022-09-12T00:00:00"/>
    <s v="CSTM_4I1DO57JZGH"/>
    <s v="Pragya K"/>
    <s v="Done. Good feedback."/>
    <x v="0"/>
    <x v="2"/>
  </r>
  <r>
    <x v="469"/>
    <s v="Namitha"/>
    <x v="1"/>
    <x v="0"/>
    <x v="22"/>
    <s v="Won"/>
    <s v="24-25 Sep 2022"/>
    <n v="21000"/>
    <n v="240.49473202015577"/>
    <d v="2022-09-13T00:00:00"/>
    <s v="S10"/>
    <d v="2022-09-12T00:00:00"/>
    <s v="CSTM_EQQIGYRNVMF"/>
    <s v="Reference by anuanooptv@gmail.com"/>
    <s v="Done. Good feedback."/>
    <x v="0"/>
    <x v="2"/>
  </r>
  <r>
    <x v="470"/>
    <s v="Sanaul Haq"/>
    <x v="5"/>
    <x v="35"/>
    <x v="22"/>
    <s v="Won"/>
    <s v="24-25 Sep 2022"/>
    <n v="24000"/>
    <n v="274.85112230874944"/>
    <d v="2022-09-14T00:00:00"/>
    <s v="S10"/>
    <d v="2022-09-14T00:00:00"/>
    <s v="CSTM_8X343LHVQEK"/>
    <m/>
    <s v="Done. Good feedback."/>
    <x v="0"/>
    <x v="2"/>
  </r>
  <r>
    <x v="470"/>
    <s v="Veena Avula"/>
    <x v="1"/>
    <x v="0"/>
    <x v="22"/>
    <s v="Won"/>
    <s v="17-18 Sep 2022"/>
    <n v="20500"/>
    <n v="234.76866697205682"/>
    <d v="2022-09-14T00:00:00"/>
    <s v="S10"/>
    <d v="2022-09-14T00:00:00"/>
    <s v="CSTM_IELLKJUBOV7"/>
    <s v="Reference by vavula10@gmail.com"/>
    <s v="Done. Good feedback."/>
    <x v="0"/>
    <x v="2"/>
  </r>
  <r>
    <x v="471"/>
    <s v="Deepak Sharma"/>
    <x v="7"/>
    <x v="0"/>
    <x v="22"/>
    <s v="Won"/>
    <s v="17-18 Sep 2022"/>
    <n v="21000"/>
    <n v="240.49473202015577"/>
    <d v="2022-09-15T00:00:00"/>
    <s v="S10"/>
    <d v="2022-09-15T00:00:00"/>
    <s v="CSTM_9MTJAWINX7T"/>
    <m/>
    <s v="Pending"/>
    <x v="0"/>
    <x v="2"/>
  </r>
  <r>
    <x v="471"/>
    <s v="Latika"/>
    <x v="1"/>
    <x v="1"/>
    <x v="22"/>
    <s v="Won"/>
    <s v="1-2 Oct 2022"/>
    <n v="20000"/>
    <n v="229.04260192395787"/>
    <d v="2022-09-15T00:00:00"/>
    <s v="S10"/>
    <d v="2022-09-15T00:00:00"/>
    <s v="CSTM_EDKL0TQOZB3"/>
    <s v="Reference by itsmerathanraj@gmail.com"/>
    <s v="Pending"/>
    <x v="1"/>
    <x v="2"/>
  </r>
  <r>
    <x v="472"/>
    <s v="Abhijit Patil"/>
    <x v="13"/>
    <x v="0"/>
    <x v="22"/>
    <s v="Won"/>
    <s v="17-18 Sep 2022"/>
    <n v="20500"/>
    <n v="234.76866697205682"/>
    <d v="2022-09-16T00:00:00"/>
    <s v="S10"/>
    <d v="2022-09-16T00:00:00"/>
    <s v="CSTM_CFM20LXXQL4"/>
    <m/>
    <s v="Done. Good feedback."/>
    <x v="0"/>
    <x v="2"/>
  </r>
  <r>
    <x v="473"/>
    <s v="Arun Kumar"/>
    <x v="13"/>
    <x v="7"/>
    <x v="22"/>
    <s v="Won"/>
    <d v="2022-09-17T00:00:00"/>
    <n v="49000"/>
    <n v="561.15437471369682"/>
    <d v="2022-09-17T00:00:00"/>
    <s v="S10"/>
    <d v="2022-09-17T00:00:00"/>
    <s v="CSTM_H7L57T8RB3K"/>
    <m/>
    <s v="Pending"/>
    <x v="2"/>
    <x v="2"/>
  </r>
  <r>
    <x v="473"/>
    <s v="Vetri Kumar"/>
    <x v="6"/>
    <x v="14"/>
    <x v="22"/>
    <s v="Won"/>
    <s v="15-16 Oct 2022"/>
    <n v="21000"/>
    <n v="240.49473202015577"/>
    <d v="2022-09-17T00:00:00"/>
    <s v="S10"/>
    <d v="2022-09-17T00:00:00"/>
    <s v="CSTM_AN6APTB04GA"/>
    <m/>
    <s v="Pending"/>
    <x v="0"/>
    <x v="2"/>
  </r>
  <r>
    <x v="473"/>
    <s v="Krishnananda Bhatt"/>
    <x v="1"/>
    <x v="2"/>
    <x v="22"/>
    <s v="Won"/>
    <s v="24-25 Sep 2022"/>
    <n v="20500"/>
    <n v="234.76866697205682"/>
    <d v="2022-09-17T00:00:00"/>
    <s v="S10"/>
    <d v="2022-09-17T00:00:00"/>
    <s v="CSTM_1O7U1496MTR"/>
    <s v="Referred by Amar"/>
    <s v="Done. Good feedback."/>
    <x v="1"/>
    <x v="2"/>
  </r>
  <r>
    <x v="473"/>
    <s v="Anubhav Bhatnagar"/>
    <x v="1"/>
    <x v="2"/>
    <x v="22"/>
    <s v="Won"/>
    <s v="24-25 Sep 2022"/>
    <n v="20000"/>
    <n v="229.04260192395787"/>
    <d v="2022-09-17T00:00:00"/>
    <s v="S10"/>
    <d v="2022-09-17T00:00:00"/>
    <s v="CSTM_FGME3SMPSQO"/>
    <s v="Referred by Mandeep"/>
    <s v="Done. Good feedback."/>
    <x v="1"/>
    <x v="2"/>
  </r>
  <r>
    <x v="474"/>
    <s v="Minal Golatkar"/>
    <x v="1"/>
    <x v="9"/>
    <x v="22"/>
    <s v="Won"/>
    <s v="24-25 Sep 2022"/>
    <n v="40061"/>
    <n v="458.7837837837838"/>
    <d v="2022-09-18T00:00:00"/>
    <s v="S10"/>
    <d v="2022-09-18T00:00:00"/>
    <s v="CSTM_CT2IAOP0ICG"/>
    <s v="Keerti"/>
    <s v="Done. Good feedback."/>
    <x v="0"/>
    <x v="2"/>
  </r>
  <r>
    <x v="474"/>
    <s v="Kishore Battineni"/>
    <x v="1"/>
    <x v="2"/>
    <x v="22"/>
    <s v="Won"/>
    <s v="24-25 Sep 2022"/>
    <n v="20000"/>
    <n v="229.04260192395787"/>
    <d v="2022-09-18T00:00:00"/>
    <s v="S10"/>
    <d v="2022-09-18T00:00:00"/>
    <s v="CSTM_7A123T8D5V1"/>
    <s v="Ravi Krishnan"/>
    <s v="Done. Good feedback."/>
    <x v="1"/>
    <x v="2"/>
  </r>
  <r>
    <x v="475"/>
    <s v="Richi Sancheti"/>
    <x v="3"/>
    <x v="14"/>
    <x v="22"/>
    <s v="Won"/>
    <s v="24-25 Sep 2022"/>
    <n v="21000"/>
    <n v="240.49473202015577"/>
    <d v="2022-09-20T00:00:00"/>
    <s v="S10"/>
    <d v="2022-09-20T00:00:00"/>
    <s v="CSTM_CZ89TIPFUC1"/>
    <m/>
    <s v="Pending"/>
    <x v="0"/>
    <x v="2"/>
  </r>
  <r>
    <x v="475"/>
    <s v="Aditi Bistwork"/>
    <x v="1"/>
    <x v="1"/>
    <x v="22"/>
    <s v="Won"/>
    <s v="24-25 Sep 2022"/>
    <n v="20000"/>
    <n v="229.04260192395787"/>
    <d v="2022-09-20T00:00:00"/>
    <s v="S10"/>
    <d v="2022-09-20T00:00:00"/>
    <s v="CSTM_9WWDZ2RTVUO"/>
    <s v="Keerti"/>
    <s v="Done. Good feedback."/>
    <x v="1"/>
    <x v="2"/>
  </r>
  <r>
    <x v="475"/>
    <s v="Asra Khan"/>
    <x v="6"/>
    <x v="0"/>
    <x v="22"/>
    <s v="Won"/>
    <s v="24-25 Sep 2022"/>
    <n v="20500"/>
    <n v="234.76866697205682"/>
    <d v="2022-09-20T00:00:00"/>
    <s v="S10"/>
    <d v="2022-09-20T00:00:00"/>
    <s v="CSTM_BONZD4VVY9M"/>
    <m/>
    <s v="Done. Good feedback."/>
    <x v="0"/>
    <x v="2"/>
  </r>
  <r>
    <x v="475"/>
    <s v="Kaushal Kishor"/>
    <x v="1"/>
    <x v="0"/>
    <x v="22"/>
    <s v="Won"/>
    <s v="24-25 Sep 2022"/>
    <n v="21000"/>
    <n v="240.49473202015577"/>
    <d v="2022-09-20T00:00:00"/>
    <s v="S10"/>
    <d v="2022-09-20T00:00:00"/>
    <s v="CSTM_6ZHU52TYTVG"/>
    <s v="Reference by arpit.b.agarwal@gmail.com"/>
    <s v="Done. Good feedback."/>
    <x v="0"/>
    <x v="2"/>
  </r>
  <r>
    <x v="475"/>
    <s v="Pratibha Ruth Berister"/>
    <x v="3"/>
    <x v="2"/>
    <x v="22"/>
    <s v="Won"/>
    <s v="24-25 Sep 2022"/>
    <n v="20000"/>
    <n v="229.04260192395787"/>
    <d v="2022-09-20T00:00:00"/>
    <s v="S10"/>
    <d v="2022-09-20T00:00:00"/>
    <s v="CSTM_2Q885NMBRDL"/>
    <m/>
    <s v="Pending"/>
    <x v="1"/>
    <x v="2"/>
  </r>
  <r>
    <x v="476"/>
    <s v="Pragya Shri"/>
    <x v="1"/>
    <x v="1"/>
    <x v="22"/>
    <s v="Won"/>
    <s v="1-2 Oct 2022"/>
    <n v="20000"/>
    <n v="229.04260192395787"/>
    <d v="2022-09-21T00:00:00"/>
    <s v="T10"/>
    <d v="2022-09-21T00:00:00"/>
    <s v="CSTM_H7DQMR07TQE"/>
    <s v="Aurko"/>
    <s v="Pending"/>
    <x v="1"/>
    <x v="2"/>
  </r>
  <r>
    <x v="476"/>
    <s v="Shashi Purohit"/>
    <x v="27"/>
    <x v="0"/>
    <x v="22"/>
    <s v="Won"/>
    <s v="24-25 Sep 2022"/>
    <n v="21000"/>
    <n v="240.49473202015577"/>
    <d v="2022-09-21T00:00:00"/>
    <s v="T10"/>
    <d v="2022-09-21T00:00:00"/>
    <s v="CSTM_GWREF59OHXD"/>
    <m/>
    <s v="Done. Good feedback."/>
    <x v="0"/>
    <x v="2"/>
  </r>
  <r>
    <x v="477"/>
    <s v="Veerasingam"/>
    <x v="13"/>
    <x v="0"/>
    <x v="22"/>
    <s v="Won"/>
    <s v="1-2 Oct 2022"/>
    <n v="20500"/>
    <n v="234.76866697205682"/>
    <d v="2022-09-22T00:00:00"/>
    <s v="T10"/>
    <d v="2022-09-22T00:00:00"/>
    <s v="CSTM_9CKU63UUN0U"/>
    <m/>
    <s v="Pending"/>
    <x v="0"/>
    <x v="2"/>
  </r>
  <r>
    <x v="477"/>
    <s v="Srikanth"/>
    <x v="5"/>
    <x v="14"/>
    <x v="22"/>
    <s v="Won"/>
    <s v="24-25 Sep 2022"/>
    <n v="21000"/>
    <n v="240.49473202015577"/>
    <d v="2022-09-22T00:00:00"/>
    <s v="T10"/>
    <d v="2022-09-22T00:00:00"/>
    <s v="CSTM_884R44CQOQS"/>
    <m/>
    <s v="Done. Good feedback."/>
    <x v="0"/>
    <x v="2"/>
  </r>
  <r>
    <x v="478"/>
    <s v="Sheetal Salunke"/>
    <x v="9"/>
    <x v="0"/>
    <x v="22"/>
    <s v="Won"/>
    <s v="24-25 Sep 2022"/>
    <n v="21000"/>
    <n v="240.49473202015577"/>
    <d v="2022-09-23T00:00:00"/>
    <s v="T10"/>
    <d v="2022-09-23T00:00:00"/>
    <s v="CSTM_ELTKHMX1ZOM"/>
    <m/>
    <s v="Pending"/>
    <x v="0"/>
    <x v="2"/>
  </r>
  <r>
    <x v="478"/>
    <s v="Ashwini"/>
    <x v="2"/>
    <x v="0"/>
    <x v="22"/>
    <s v="Won"/>
    <s v="1-2 Oct 2022"/>
    <n v="20500"/>
    <n v="234.76866697205682"/>
    <d v="2022-09-23T00:00:00"/>
    <s v="T10"/>
    <d v="2022-09-23T00:00:00"/>
    <s v="CSTM_9M83LXJKGAK"/>
    <m/>
    <s v="Pending"/>
    <x v="0"/>
    <x v="2"/>
  </r>
  <r>
    <x v="478"/>
    <s v="Bharathi Bandi"/>
    <x v="1"/>
    <x v="35"/>
    <x v="22"/>
    <s v="Won"/>
    <s v="24-25 Sep 2022"/>
    <n v="24000"/>
    <n v="274.85112230874944"/>
    <d v="2022-09-23T00:00:00"/>
    <s v="T10"/>
    <d v="2022-09-23T00:00:00"/>
    <s v="CSTM_HIDPX5Q6QTY"/>
    <s v="Reference by glsaiprasad2018@gmail.com"/>
    <s v="Pending"/>
    <x v="0"/>
    <x v="2"/>
  </r>
  <r>
    <x v="479"/>
    <s v="Pallavi Agrawal"/>
    <x v="6"/>
    <x v="2"/>
    <x v="22"/>
    <s v="Won"/>
    <s v="8-9 Oct 2022"/>
    <n v="20000"/>
    <n v="229.04260192395787"/>
    <d v="2022-09-24T00:00:00"/>
    <s v="T10"/>
    <d v="2022-09-24T00:00:00"/>
    <s v="CSTM_GFFF463N0I5"/>
    <m/>
    <s v="Pending"/>
    <x v="1"/>
    <x v="2"/>
  </r>
  <r>
    <x v="479"/>
    <s v="Vignesh"/>
    <x v="7"/>
    <x v="14"/>
    <x v="22"/>
    <s v="Won"/>
    <s v="8-9 Oct 2022"/>
    <n v="21000"/>
    <n v="240.49473202015577"/>
    <d v="2022-09-24T00:00:00"/>
    <s v="T10"/>
    <d v="2022-09-25T00:00:00"/>
    <s v="CSTM_6G9NG32TTWX"/>
    <m/>
    <s v="Pending"/>
    <x v="0"/>
    <x v="2"/>
  </r>
  <r>
    <x v="480"/>
    <s v="Ajin R K"/>
    <x v="5"/>
    <x v="2"/>
    <x v="22"/>
    <s v="Won"/>
    <s v="17-18 Oct 2022"/>
    <n v="20000"/>
    <n v="229.04260192395787"/>
    <d v="2022-09-26T00:00:00"/>
    <s v="T10"/>
    <d v="2022-09-26T00:00:00"/>
    <s v="CSTM_K502SPW77U"/>
    <m/>
    <s v="Pending"/>
    <x v="1"/>
    <x v="2"/>
  </r>
  <r>
    <x v="480"/>
    <s v="Renuka Shinde"/>
    <x v="5"/>
    <x v="24"/>
    <x v="22"/>
    <s v="Won"/>
    <s v="12-13 Nov 2022"/>
    <n v="42000"/>
    <n v="480.98946404031153"/>
    <d v="2022-09-26T00:00:00"/>
    <s v="T10"/>
    <d v="2022-09-30T00:00:00"/>
    <s v="CSTM_GUNSI1AB0HA"/>
    <m/>
    <s v="Pending"/>
    <x v="0"/>
    <x v="2"/>
  </r>
  <r>
    <x v="481"/>
    <s v="Neha Rampal"/>
    <x v="13"/>
    <x v="35"/>
    <x v="22"/>
    <s v="Won"/>
    <s v="5-6 Nov 2022"/>
    <n v="24000"/>
    <n v="274.85112230874944"/>
    <d v="2022-09-27T00:00:00"/>
    <s v="T10"/>
    <d v="2022-09-27T00:00:00"/>
    <s v="CSTM_13VI7WGDUQO"/>
    <m/>
    <s v="Pending"/>
    <x v="0"/>
    <x v="2"/>
  </r>
  <r>
    <x v="481"/>
    <s v="Kunal S"/>
    <x v="1"/>
    <x v="0"/>
    <x v="22"/>
    <s v="Won"/>
    <s v="1-2 Oct 2022"/>
    <n v="21000"/>
    <n v="240.49473202015577"/>
    <d v="2022-09-27T00:00:00"/>
    <s v="T10"/>
    <d v="2022-09-27T00:00:00"/>
    <s v="CSTM_3X0HX31JB2C"/>
    <s v="Reference by psaduwale@gmail.com"/>
    <s v="Pending"/>
    <x v="0"/>
    <x v="2"/>
  </r>
  <r>
    <x v="482"/>
    <s v="Sasidhar"/>
    <x v="13"/>
    <x v="9"/>
    <x v="22"/>
    <s v="Won"/>
    <s v="1-2 Oct 2022"/>
    <n v="40061"/>
    <n v="458.7837837837838"/>
    <d v="2022-09-28T00:00:00"/>
    <s v="T10"/>
    <d v="2022-09-28T00:00:00"/>
    <s v="CSTM_DMUB1HVR50N"/>
    <m/>
    <s v="Pending"/>
    <x v="0"/>
    <x v="2"/>
  </r>
  <r>
    <x v="483"/>
    <s v="Sujoy"/>
    <x v="13"/>
    <x v="36"/>
    <x v="22"/>
    <s v="Won"/>
    <s v="7-9 Oct 2022"/>
    <n v="57230"/>
    <n v="655.40540540540542"/>
    <d v="2022-09-30T00:00:00"/>
    <s v="T10"/>
    <d v="2022-09-30T00:00:00"/>
    <s v="CSTM_23HRJF8O761"/>
    <m/>
    <s v="Pending"/>
    <x v="0"/>
    <x v="2"/>
  </r>
  <r>
    <x v="483"/>
    <s v="Sujoy"/>
    <x v="13"/>
    <x v="36"/>
    <x v="22"/>
    <s v="Won"/>
    <s v="7-9 Oct 2022"/>
    <n v="67770"/>
    <n v="776.11085661933123"/>
    <d v="2022-09-30T00:00:00"/>
    <s v="T10"/>
    <d v="2022-09-30T00:00:00"/>
    <s v="CSTM_3BW3U2NHFEV"/>
    <m/>
    <s v="Pending"/>
    <x v="0"/>
    <x v="2"/>
  </r>
  <r>
    <x v="483"/>
    <s v="Akanksha"/>
    <x v="6"/>
    <x v="2"/>
    <x v="22"/>
    <s v="Won"/>
    <s v="15-17 Oct 2022"/>
    <n v="20000"/>
    <n v="229.04260192395787"/>
    <d v="2022-09-30T00:00:00"/>
    <s v="T10"/>
    <d v="2022-09-30T00:00:00"/>
    <s v="CSTM_E2A2YGJD3WG"/>
    <m/>
    <s v="Pending"/>
    <x v="1"/>
    <x v="2"/>
  </r>
  <r>
    <x v="483"/>
    <s v="Padma Mesa"/>
    <x v="1"/>
    <x v="14"/>
    <x v="22"/>
    <s v="Won"/>
    <s v="8-9 Oct 2022"/>
    <n v="21000"/>
    <n v="240.49473202015577"/>
    <d v="2022-09-30T00:00:00"/>
    <s v="T10"/>
    <d v="2022-09-30T00:00:00"/>
    <s v="CSTM_H6V17I6VD72"/>
    <s v="Aurko"/>
    <s v="Pending"/>
    <x v="0"/>
    <x v="2"/>
  </r>
  <r>
    <x v="484"/>
    <s v="Shamsu"/>
    <x v="5"/>
    <x v="0"/>
    <x v="23"/>
    <s v="Won"/>
    <s v="15-16 Oct 2022"/>
    <n v="20500"/>
    <n v="234.76866697205682"/>
    <d v="2022-10-01T00:00:00"/>
    <s v="F10"/>
    <d v="2022-10-03T00:00:00"/>
    <s v="CSTM_2Z0B6RCOSNQ"/>
    <m/>
    <s v="Pending"/>
    <x v="0"/>
    <x v="2"/>
  </r>
  <r>
    <x v="484"/>
    <s v="Akhtar Waseem"/>
    <x v="7"/>
    <x v="14"/>
    <x v="23"/>
    <s v="Won"/>
    <s v="8-9 Oct 2022"/>
    <n v="21000"/>
    <n v="240.49473202015577"/>
    <d v="2022-10-01T00:00:00"/>
    <s v="F10"/>
    <d v="2022-10-01T00:00:00"/>
    <s v="CSTM_8633CJXNTXN"/>
    <m/>
    <s v="Pending"/>
    <x v="0"/>
    <x v="2"/>
  </r>
  <r>
    <x v="485"/>
    <s v="Hymavathy Chokanath"/>
    <x v="7"/>
    <x v="9"/>
    <x v="23"/>
    <s v="Won"/>
    <s v="8-9 Oct 2022"/>
    <n v="42000"/>
    <n v="480.98946404031153"/>
    <d v="2022-10-03T00:00:00"/>
    <s v="F10"/>
    <d v="2022-10-03T00:00:00"/>
    <s v="CSTM_C6GQ1RDP0EQ"/>
    <m/>
    <s v="Pending"/>
    <x v="0"/>
    <x v="2"/>
  </r>
  <r>
    <x v="485"/>
    <s v="Ranjitha"/>
    <x v="3"/>
    <x v="0"/>
    <x v="23"/>
    <s v="Won"/>
    <s v="8-9 Oct 2022"/>
    <n v="21000"/>
    <n v="240.49473202015577"/>
    <d v="2022-10-03T00:00:00"/>
    <s v="F10"/>
    <d v="2022-10-03T00:00:00"/>
    <s v="CSTM_AZYZ68HTY5D"/>
    <m/>
    <s v="Pending"/>
    <x v="0"/>
    <x v="2"/>
  </r>
  <r>
    <x v="485"/>
    <s v="Anuja"/>
    <x v="13"/>
    <x v="0"/>
    <x v="23"/>
    <s v="Won"/>
    <s v="8-9 Oct 2022"/>
    <n v="21000"/>
    <n v="240.49473202015577"/>
    <d v="2022-10-03T00:00:00"/>
    <s v="F10"/>
    <d v="2022-10-03T00:00:00"/>
    <s v="CSTM_3GKH50QJNXH"/>
    <m/>
    <s v="Pending"/>
    <x v="0"/>
    <x v="2"/>
  </r>
  <r>
    <x v="485"/>
    <s v="Gokul Kadium"/>
    <x v="1"/>
    <x v="0"/>
    <x v="23"/>
    <s v="Won"/>
    <s v="8-9 Oct 2022"/>
    <n v="21000"/>
    <n v="240.49473202015577"/>
    <d v="2022-10-03T00:00:00"/>
    <s v="F10"/>
    <d v="2022-10-07T00:00:00"/>
    <s v="CSTM_BE38YRUU7V"/>
    <s v="Reference by shewaleanuja@ymail.com"/>
    <s v="Pending"/>
    <x v="0"/>
    <x v="2"/>
  </r>
  <r>
    <x v="485"/>
    <s v="Satyam Kalekar"/>
    <x v="1"/>
    <x v="0"/>
    <x v="23"/>
    <s v="Won"/>
    <s v="8-9 Oct 2022"/>
    <n v="21000"/>
    <n v="240.49473202015577"/>
    <d v="2022-10-03T00:00:00"/>
    <s v="F10"/>
    <d v="2022-10-03T00:00:00"/>
    <s v="CSTM_54W4QIT5QQM"/>
    <s v="Reference by Adnan"/>
    <s v="Pending"/>
    <x v="0"/>
    <x v="2"/>
  </r>
  <r>
    <x v="486"/>
    <s v="Anil Panama"/>
    <x v="1"/>
    <x v="35"/>
    <x v="23"/>
    <s v="Won"/>
    <s v="26-27 Nov 2022"/>
    <n v="24000"/>
    <n v="274.85112230874944"/>
    <d v="2022-10-04T00:00:00"/>
    <s v="F10"/>
    <d v="2022-10-06T00:00:00"/>
    <s v="CSTM_5W6ODH7KK32"/>
    <m/>
    <s v="Pending"/>
    <x v="0"/>
    <x v="2"/>
  </r>
  <r>
    <x v="487"/>
    <s v="Prabhakar Jeewitesh"/>
    <x v="5"/>
    <x v="10"/>
    <x v="23"/>
    <s v="Won"/>
    <d v="2022-10-06T00:00:00"/>
    <n v="13500"/>
    <n v="154.60375629867156"/>
    <d v="2022-10-06T00:00:00"/>
    <s v="F10"/>
    <d v="2022-10-06T00:00:00"/>
    <s v="CSTM_32LBDQBFUXG"/>
    <m/>
    <s v="Pending"/>
    <x v="2"/>
    <x v="2"/>
  </r>
  <r>
    <x v="487"/>
    <s v="Gopal Udayak"/>
    <x v="3"/>
    <x v="34"/>
    <x v="23"/>
    <s v="Won"/>
    <s v="21-22 Nov 2022"/>
    <n v="24000"/>
    <n v="274.85112230874944"/>
    <d v="2022-10-06T00:00:00"/>
    <s v="F10"/>
    <d v="2022-10-06T00:00:00"/>
    <s v="CSTM_4JDBIHO88L9"/>
    <m/>
    <s v="Pending"/>
    <x v="0"/>
    <x v="2"/>
  </r>
  <r>
    <x v="487"/>
    <s v="Livinstone Newton"/>
    <x v="3"/>
    <x v="14"/>
    <x v="23"/>
    <s v="Won"/>
    <s v="8-9 Oct 2022"/>
    <n v="21000"/>
    <n v="240.49473202015577"/>
    <d v="2022-10-06T00:00:00"/>
    <s v="F10"/>
    <d v="2022-10-06T00:00:00"/>
    <s v="CSTM_H3BL4Z2XJF9"/>
    <m/>
    <s v="Pending"/>
    <x v="0"/>
    <x v="2"/>
  </r>
  <r>
    <x v="488"/>
    <s v="M Tejal"/>
    <x v="1"/>
    <x v="35"/>
    <x v="23"/>
    <s v="Won"/>
    <s v="15-16 Oct 2022"/>
    <n v="24000"/>
    <n v="274.85112230874944"/>
    <d v="2022-10-10T00:00:00"/>
    <s v="S10"/>
    <d v="2022-10-13T00:00:00"/>
    <s v="CSTM_G98VN26SP8P"/>
    <s v="Reference by Anil Khetmalis"/>
    <s v="Pending"/>
    <x v="0"/>
    <x v="2"/>
  </r>
  <r>
    <x v="488"/>
    <s v="Barathi Jayakumar"/>
    <x v="3"/>
    <x v="0"/>
    <x v="23"/>
    <s v="Won"/>
    <s v="15-16 Oct 2022"/>
    <n v="21000"/>
    <n v="240.49473202015577"/>
    <d v="2022-10-10T00:00:00"/>
    <s v="S10"/>
    <d v="2022-10-11T00:00:00"/>
    <s v="CSTM_3V2QGLUJ2XK"/>
    <m/>
    <s v="Pending"/>
    <x v="0"/>
    <x v="2"/>
  </r>
  <r>
    <x v="488"/>
    <s v="Apoorva Singh"/>
    <x v="13"/>
    <x v="9"/>
    <x v="23"/>
    <s v="Won"/>
    <s v="15-16 Oct 2022"/>
    <n v="40061"/>
    <n v="458.7837837837838"/>
    <d v="2022-10-10T00:00:00"/>
    <s v="F10"/>
    <d v="2022-10-10T00:00:00"/>
    <s v="CSTM_6OT5URKT63K"/>
    <m/>
    <s v="Pending"/>
    <x v="0"/>
    <x v="2"/>
  </r>
  <r>
    <x v="488"/>
    <s v="Ravi Sankart"/>
    <x v="1"/>
    <x v="2"/>
    <x v="23"/>
    <s v="Won"/>
    <s v="15-16 Oct 2022"/>
    <n v="20000"/>
    <n v="229.04260192395787"/>
    <d v="2022-10-10T00:00:00"/>
    <s v="F10"/>
    <d v="2022-10-10T00:00:00"/>
    <s v="CSTM_FHYC03ULTI3"/>
    <m/>
    <s v="Pending"/>
    <x v="1"/>
    <x v="2"/>
  </r>
  <r>
    <x v="488"/>
    <s v="Melanified Sebastian"/>
    <x v="1"/>
    <x v="2"/>
    <x v="23"/>
    <s v="Won"/>
    <s v="15-16 Oct 2022"/>
    <n v="20000"/>
    <n v="229.04260192395787"/>
    <d v="2022-10-10T00:00:00"/>
    <s v="F10"/>
    <d v="2022-10-10T00:00:00"/>
    <s v="CSTM_4DK113QOZ43"/>
    <m/>
    <s v="Pending"/>
    <x v="1"/>
    <x v="2"/>
  </r>
  <r>
    <x v="489"/>
    <s v="Sandeep Dhruve"/>
    <x v="5"/>
    <x v="0"/>
    <x v="23"/>
    <s v="Won"/>
    <s v="5-6 Nov 2022"/>
    <n v="21000"/>
    <n v="240.49473202015577"/>
    <d v="2022-10-11T00:00:00"/>
    <s v="S10"/>
    <d v="2022-10-11T00:00:00"/>
    <s v="CSTM_4DK113QOZ43"/>
    <m/>
    <s v="Pending"/>
    <x v="0"/>
    <x v="2"/>
  </r>
  <r>
    <x v="489"/>
    <s v="Geetanjali Gupta"/>
    <x v="3"/>
    <x v="0"/>
    <x v="23"/>
    <s v="Won"/>
    <s v="19-20 Nov 2022"/>
    <n v="21000"/>
    <n v="240.49473202015577"/>
    <d v="2022-10-11T00:00:00"/>
    <s v="S10"/>
    <d v="2022-10-11T00:00:00"/>
    <s v="CSTM_4ARV46CS43P"/>
    <m/>
    <s v="Pending"/>
    <x v="0"/>
    <x v="2"/>
  </r>
  <r>
    <x v="490"/>
    <s v="Shreepurna Das"/>
    <x v="5"/>
    <x v="57"/>
    <x v="23"/>
    <s v="Won"/>
    <d v="2022-10-15T00:00:00"/>
    <n v="6500"/>
    <n v="74.438845625286305"/>
    <d v="2022-10-12T00:00:00"/>
    <s v="S10"/>
    <d v="2022-10-13T00:00:00"/>
    <s v="CSTM_PARTIAL_FIRST_CWEJW3O0DRE"/>
    <m/>
    <s v="Pending"/>
    <x v="2"/>
    <x v="2"/>
  </r>
  <r>
    <x v="490"/>
    <s v="Shreepurna Das"/>
    <x v="5"/>
    <x v="57"/>
    <x v="23"/>
    <s v="Won"/>
    <d v="2022-10-15T00:00:00"/>
    <n v="35500"/>
    <n v="406.55061841502521"/>
    <d v="2022-10-12T00:00:00"/>
    <s v="S10"/>
    <d v="2022-10-17T00:00:00"/>
    <s v="CSTM_PARTIAL_SUBS_367VR3S22SE"/>
    <m/>
    <s v="Pending"/>
    <x v="2"/>
    <x v="2"/>
  </r>
  <r>
    <x v="491"/>
    <s v="Niranjan"/>
    <x v="13"/>
    <x v="0"/>
    <x v="23"/>
    <s v="Won"/>
    <s v="15-16 Oct 2022"/>
    <n v="21000"/>
    <n v="240.49473202015577"/>
    <d v="2022-10-13T00:00:00"/>
    <s v="S10"/>
    <d v="2022-10-13T00:00:00"/>
    <s v="CSTM_47UMSU587EP"/>
    <m/>
    <s v="Pending"/>
    <x v="0"/>
    <x v="2"/>
  </r>
  <r>
    <x v="492"/>
    <s v="Sandeep Kumar Mangu"/>
    <x v="13"/>
    <x v="2"/>
    <x v="23"/>
    <s v="Won"/>
    <s v="15-16 Oct 2022"/>
    <n v="20000"/>
    <n v="229.04260192395787"/>
    <d v="2022-10-14T00:00:00"/>
    <s v="S10"/>
    <d v="2022-10-14T00:00:00"/>
    <s v="CSTM_EEU6QHMCUB8"/>
    <m/>
    <s v="Pending"/>
    <x v="1"/>
    <x v="2"/>
  </r>
  <r>
    <x v="492"/>
    <s v="Praveen Mesa"/>
    <x v="1"/>
    <x v="2"/>
    <x v="23"/>
    <s v="Won"/>
    <s v="15-16 Oct 2022"/>
    <n v="20000"/>
    <n v="229.04260192395787"/>
    <d v="2022-10-14T00:00:00"/>
    <s v="S10"/>
    <d v="2022-10-14T00:00:00"/>
    <s v="CSTM_E9EXB1O6CLO"/>
    <s v="Reference by Sandeep"/>
    <s v="Pending"/>
    <x v="1"/>
    <x v="2"/>
  </r>
  <r>
    <x v="488"/>
    <s v="Kanchan Kumari"/>
    <x v="13"/>
    <x v="0"/>
    <x v="23"/>
    <s v="Won"/>
    <s v="15-16 Oct 2022"/>
    <n v="21000"/>
    <n v="240.49473202015577"/>
    <d v="2022-10-10T00:00:00"/>
    <s v="S10"/>
    <d v="2022-10-10T00:00:00"/>
    <s v="CSTM_68D52P51UPW"/>
    <m/>
    <s v="Pending"/>
    <x v="0"/>
    <x v="2"/>
  </r>
  <r>
    <x v="493"/>
    <s v="Abhipsa Behera"/>
    <x v="5"/>
    <x v="18"/>
    <x v="23"/>
    <s v="Won"/>
    <d v="2022-10-17T00:00:00"/>
    <n v="19200"/>
    <n v="219.88089784699957"/>
    <d v="2022-10-17T00:00:00"/>
    <s v="S10"/>
    <d v="2022-10-17T00:00:00"/>
    <s v="CSTM_12JYIME401S"/>
    <m/>
    <s v="Pending"/>
    <x v="2"/>
    <x v="2"/>
  </r>
  <r>
    <x v="493"/>
    <s v="Pratik Desai"/>
    <x v="7"/>
    <x v="14"/>
    <x v="23"/>
    <s v="Won"/>
    <s v="29-30 Oct 2022"/>
    <n v="21000"/>
    <n v="240.49473202015577"/>
    <d v="2022-10-17T00:00:00"/>
    <s v="S10"/>
    <d v="2022-10-18T00:00:00"/>
    <s v="CSTM_AWD6Z0UTK8Y"/>
    <m/>
    <s v="Pending"/>
    <x v="0"/>
    <x v="2"/>
  </r>
  <r>
    <x v="494"/>
    <s v="Shalini Singh"/>
    <x v="5"/>
    <x v="7"/>
    <x v="23"/>
    <s v="Won"/>
    <d v="2022-10-31T00:00:00"/>
    <n v="49000"/>
    <n v="561.15437471369682"/>
    <d v="2022-10-18T00:00:00"/>
    <s v="S10"/>
    <d v="2022-10-18T00:00:00"/>
    <s v="CSTM_1TXMEG1UAPC"/>
    <m/>
    <s v="Pending"/>
    <x v="2"/>
    <x v="2"/>
  </r>
  <r>
    <x v="495"/>
    <s v="Piu Chatterjee"/>
    <x v="1"/>
    <x v="35"/>
    <x v="23"/>
    <s v="Won"/>
    <s v="5-6 Nov 2022"/>
    <n v="24000"/>
    <n v="274.85112230874944"/>
    <d v="2022-10-21T00:00:00"/>
    <s v="T10"/>
    <d v="2022-10-21T00:00:00"/>
    <s v="CSTM_JD785RXNV0B"/>
    <m/>
    <s v="Pending"/>
    <x v="0"/>
    <x v="2"/>
  </r>
  <r>
    <x v="496"/>
    <s v="Pushkala B"/>
    <x v="5"/>
    <x v="58"/>
    <x v="23"/>
    <s v="Won"/>
    <s v="OSL"/>
    <n v="35000"/>
    <n v="400.8245533669263"/>
    <d v="2022-10-24T00:00:00"/>
    <s v="T10"/>
    <d v="2022-10-24T00:00:00"/>
    <s v="CSTM_AUFTJNEX96Z"/>
    <m/>
    <s v="Pending"/>
    <x v="2"/>
    <x v="2"/>
  </r>
  <r>
    <x v="497"/>
    <s v="John Rose"/>
    <x v="2"/>
    <x v="59"/>
    <x v="23"/>
    <s v="Won"/>
    <d v="2022-10-31T00:00:00"/>
    <n v="20000"/>
    <n v="229.04260192395787"/>
    <d v="2022-10-25T00:00:00"/>
    <s v="T10"/>
    <d v="2022-10-25T00:00:00"/>
    <s v="CSTM_PARTIAL_FIRST_EKEWNFCBDCM"/>
    <m/>
    <s v="Pending"/>
    <x v="2"/>
    <x v="2"/>
  </r>
  <r>
    <x v="497"/>
    <s v="Ashif Rahaman"/>
    <x v="1"/>
    <x v="35"/>
    <x v="23"/>
    <s v="Won"/>
    <s v="26-27 Nov 2022"/>
    <n v="24000"/>
    <n v="274.85112230874944"/>
    <d v="2022-10-25T00:00:00"/>
    <s v="T10"/>
    <d v="2022-10-25T00:00:00"/>
    <s v="CSTM_ATFYPNIZWQ3"/>
    <m/>
    <s v="Pending"/>
    <x v="0"/>
    <x v="2"/>
  </r>
  <r>
    <x v="498"/>
    <s v="Anupreet"/>
    <x v="6"/>
    <x v="9"/>
    <x v="23"/>
    <s v="Won"/>
    <s v="29-30 Oct 2022"/>
    <n v="40061"/>
    <n v="458.7837837837838"/>
    <d v="2022-10-26T00:00:00"/>
    <s v="T10"/>
    <d v="2022-10-26T00:00:00"/>
    <s v="CSTM_787L3H4S40I"/>
    <m/>
    <s v="Pending"/>
    <x v="0"/>
    <x v="2"/>
  </r>
  <r>
    <x v="498"/>
    <s v="Ravi Muragani"/>
    <x v="1"/>
    <x v="0"/>
    <x v="23"/>
    <s v="Won"/>
    <s v="29-30 Oct 2022"/>
    <n v="21000"/>
    <n v="240.49473202015577"/>
    <d v="2022-10-26T00:00:00"/>
    <s v="T10"/>
    <d v="2022-10-26T00:00:00"/>
    <s v="CSTM_152RQWV61CY"/>
    <s v="Reference by Ravi Murugani"/>
    <s v="Pending"/>
    <x v="0"/>
    <x v="2"/>
  </r>
  <r>
    <x v="498"/>
    <s v="Sai Dinesh Narisetti"/>
    <x v="1"/>
    <x v="0"/>
    <x v="23"/>
    <s v="Won"/>
    <s v="29-30 Oct 2022"/>
    <n v="21000"/>
    <n v="240.49473202015577"/>
    <d v="2022-10-26T00:00:00"/>
    <s v="T10"/>
    <d v="2022-10-26T00:00:00"/>
    <s v="CSTM_4GEJ6NQG7V9"/>
    <s v="Reference by Dinesh Narisetti"/>
    <s v="Pending"/>
    <x v="0"/>
    <x v="2"/>
  </r>
  <r>
    <x v="499"/>
    <s v="Nupur Jamthe"/>
    <x v="1"/>
    <x v="60"/>
    <x v="23"/>
    <s v="Won"/>
    <s v="LVC"/>
    <n v="17000"/>
    <n v="194.68621163536417"/>
    <d v="2022-10-27T00:00:00"/>
    <s v="T10"/>
    <d v="2022-10-31T00:00:00"/>
    <s v="CSTM_GWV0D53GNI"/>
    <m/>
    <s v="Pending"/>
    <x v="2"/>
    <x v="2"/>
  </r>
  <r>
    <x v="500"/>
    <s v="Anoop"/>
    <x v="3"/>
    <x v="7"/>
    <x v="24"/>
    <s v="Won"/>
    <d v="2022-11-07T00:00:00"/>
    <n v="10000"/>
    <n v="114.52130096197894"/>
    <d v="2022-10-29T00:00:00"/>
    <s v="F10"/>
    <d v="2022-11-01T00:00:00"/>
    <s v="CSTM_8A59095DS7K"/>
    <m/>
    <s v="Pending"/>
    <x v="2"/>
    <x v="2"/>
  </r>
  <r>
    <x v="501"/>
    <s v="Nagesh"/>
    <x v="5"/>
    <x v="0"/>
    <x v="23"/>
    <s v="Won"/>
    <s v="5-6 Nov 2022"/>
    <n v="21000"/>
    <n v="240.49473202015577"/>
    <d v="2022-10-31T00:00:00"/>
    <s v="T10"/>
    <d v="2022-10-31T00:00:00"/>
    <s v="CSTM_BEHMKWQFJVM"/>
    <m/>
    <s v="Pending"/>
    <x v="0"/>
    <x v="2"/>
  </r>
  <r>
    <x v="501"/>
    <s v="Angeline Diviya"/>
    <x v="24"/>
    <x v="2"/>
    <x v="23"/>
    <s v="Won"/>
    <s v="10-11 Nov 2022"/>
    <n v="22000"/>
    <n v="251.94686211635369"/>
    <d v="2022-10-31T00:00:00"/>
    <s v="T10"/>
    <d v="2022-10-31T00:00:00"/>
    <s v="CSTM_1U2ATQ1IVKZ"/>
    <m/>
    <s v="Pending"/>
    <x v="1"/>
    <x v="2"/>
  </r>
  <r>
    <x v="501"/>
    <s v="Mithu Ghos"/>
    <x v="1"/>
    <x v="35"/>
    <x v="23"/>
    <s v="Won"/>
    <s v="5-6 Nov 2022"/>
    <n v="24000"/>
    <n v="274.85112230874944"/>
    <d v="2022-10-31T00:00:00"/>
    <s v="T10"/>
    <d v="2022-10-31T00:00:00"/>
    <s v="CSTM_IS7WH6KHBT0"/>
    <s v="Reference by Rinku"/>
    <s v="Pending"/>
    <x v="0"/>
    <x v="2"/>
  </r>
  <r>
    <x v="502"/>
    <s v="Stuti Baliyan"/>
    <x v="13"/>
    <x v="2"/>
    <x v="24"/>
    <s v="Won"/>
    <s v="12-13 Nov 2022"/>
    <n v="20000"/>
    <n v="229.04260192395787"/>
    <d v="2022-11-01T00:00:00"/>
    <s v="F10"/>
    <d v="2022-11-01T00:00:00"/>
    <s v="CSTM_CSNPCG241YL"/>
    <m/>
    <s v="Pending"/>
    <x v="1"/>
    <x v="2"/>
  </r>
  <r>
    <x v="503"/>
    <s v="Shyam Mass"/>
    <x v="1"/>
    <x v="1"/>
    <x v="24"/>
    <s v="Won"/>
    <s v="5-6 Nov 2022"/>
    <n v="20000"/>
    <n v="229.04260192395787"/>
    <d v="2022-11-02T00:00:00"/>
    <s v="F10"/>
    <d v="2022-11-02T00:00:00"/>
    <s v="CSTM_7M9V5LTSKFK"/>
    <m/>
    <s v="Pending"/>
    <x v="1"/>
    <x v="2"/>
  </r>
  <r>
    <x v="504"/>
    <s v="Avneesh Kularia"/>
    <x v="7"/>
    <x v="9"/>
    <x v="24"/>
    <s v="Won"/>
    <s v="19-20 Nov 2022"/>
    <n v="42000"/>
    <n v="480.98946404031153"/>
    <d v="2022-11-03T00:00:00"/>
    <s v="F10"/>
    <d v="2022-11-03T00:00:00"/>
    <s v="CSTM_E0OEKALG14M"/>
    <m/>
    <s v="Pending"/>
    <x v="0"/>
    <x v="2"/>
  </r>
  <r>
    <x v="504"/>
    <s v="Divya Garg"/>
    <x v="13"/>
    <x v="2"/>
    <x v="24"/>
    <s v="Won"/>
    <s v="22-23 Dec 2022"/>
    <n v="20000"/>
    <n v="229.04260192395787"/>
    <d v="2022-11-03T00:00:00"/>
    <s v="F10"/>
    <d v="2022-11-03T00:00:00"/>
    <s v="CSTM_DA738HNOO35"/>
    <m/>
    <s v="Pending"/>
    <x v="1"/>
    <x v="2"/>
  </r>
  <r>
    <x v="504"/>
    <s v="Aisha Bhanu"/>
    <x v="5"/>
    <x v="0"/>
    <x v="24"/>
    <s v="Won"/>
    <s v="26-27 Nov 2022"/>
    <n v="21000"/>
    <n v="240.49473202015577"/>
    <d v="2022-11-03T00:00:00"/>
    <s v="F10"/>
    <d v="2022-11-03T00:00:00"/>
    <s v="CSTM_6ZNASHM8KZJ"/>
    <m/>
    <s v="Pending"/>
    <x v="0"/>
    <x v="2"/>
  </r>
  <r>
    <x v="504"/>
    <s v="Jui Kale"/>
    <x v="7"/>
    <x v="2"/>
    <x v="24"/>
    <s v="Won"/>
    <s v="19-20 Nov 2022"/>
    <n v="20000"/>
    <n v="229.04260192395787"/>
    <d v="2022-11-03T00:00:00"/>
    <s v="F10"/>
    <d v="2022-11-03T00:00:00"/>
    <s v="CSTM_D2DP0156EL5"/>
    <m/>
    <s v="Pending"/>
    <x v="1"/>
    <x v="2"/>
  </r>
  <r>
    <x v="505"/>
    <s v="Namitha"/>
    <x v="13"/>
    <x v="35"/>
    <x v="24"/>
    <s v="Won"/>
    <s v="5-6 Nov 2022"/>
    <n v="24000"/>
    <n v="274.85112230874944"/>
    <d v="2022-11-04T00:00:00"/>
    <s v="F10"/>
    <d v="2022-11-04T00:00:00"/>
    <s v="CSTM_EZR6CDQ8BLQ"/>
    <m/>
    <s v="Pending"/>
    <x v="0"/>
    <x v="2"/>
  </r>
  <r>
    <x v="506"/>
    <s v="Nalini Kumari"/>
    <x v="1"/>
    <x v="34"/>
    <x v="24"/>
    <s v="Won"/>
    <s v="21-22 Nov 2022"/>
    <n v="24000"/>
    <n v="274.85112230874944"/>
    <d v="2022-11-05T00:00:00"/>
    <s v="F10"/>
    <d v="2022-11-05T00:00:00"/>
    <s v="CSTM_JC331K37F82"/>
    <m/>
    <s v="Pending"/>
    <x v="0"/>
    <x v="2"/>
  </r>
  <r>
    <x v="507"/>
    <s v="Shruthi Vijayendra Kumar"/>
    <x v="1"/>
    <x v="34"/>
    <x v="24"/>
    <s v="Won"/>
    <s v="21-22 Nov 2022"/>
    <n v="24000"/>
    <n v="274.85112230874944"/>
    <d v="2022-11-07T00:00:00"/>
    <s v="F10"/>
    <d v="2022-11-07T00:00:00"/>
    <s v="CSTM_4PBOM6B32E8"/>
    <s v="Reference by Amrapali Ashoka"/>
    <s v="Pending"/>
    <x v="0"/>
    <x v="2"/>
  </r>
  <r>
    <x v="507"/>
    <s v="Sriram"/>
    <x v="2"/>
    <x v="9"/>
    <x v="24"/>
    <s v="Won"/>
    <s v="10-11 Dec 2022"/>
    <n v="42000"/>
    <n v="480.98946404031153"/>
    <d v="2022-11-07T00:00:00"/>
    <s v="F10"/>
    <d v="2022-11-07T00:00:00"/>
    <s v="CSTM_GQ4HRF91TJA"/>
    <m/>
    <s v="Pending"/>
    <x v="0"/>
    <x v="2"/>
  </r>
  <r>
    <x v="507"/>
    <s v="Venisha Griffin"/>
    <x v="1"/>
    <x v="2"/>
    <x v="24"/>
    <s v="Won"/>
    <s v="10-11 Nov 2022"/>
    <n v="20000"/>
    <n v="229.04260192395787"/>
    <d v="2022-11-07T00:00:00"/>
    <s v="F10"/>
    <d v="2022-11-07T00:00:00"/>
    <s v="CSTM_GSB7ZDHQZIS"/>
    <s v="Reference by Griffin"/>
    <s v="Pending"/>
    <x v="1"/>
    <x v="2"/>
  </r>
  <r>
    <x v="508"/>
    <s v="Pramod Mulhar"/>
    <x v="5"/>
    <x v="0"/>
    <x v="24"/>
    <s v="Won"/>
    <s v="19-20 Nov 2022"/>
    <n v="21000"/>
    <n v="240.49473202015577"/>
    <d v="2022-11-08T00:00:00"/>
    <s v="F10"/>
    <d v="2022-11-08T00:00:00"/>
    <s v="CSTM_103HMWCXQUN"/>
    <m/>
    <s v="Pending"/>
    <x v="0"/>
    <x v="2"/>
  </r>
  <r>
    <x v="509"/>
    <s v="Bharathi"/>
    <x v="3"/>
    <x v="0"/>
    <x v="24"/>
    <s v="Won"/>
    <s v="24-25 Dec 2022"/>
    <n v="21000"/>
    <n v="240.49473202015577"/>
    <d v="2022-11-10T00:00:00"/>
    <s v="F10"/>
    <d v="2022-11-10T00:00:00"/>
    <s v="CSTM_H98E484PC7T"/>
    <m/>
    <s v="Pending"/>
    <x v="0"/>
    <x v="2"/>
  </r>
  <r>
    <x v="510"/>
    <s v="Vani Priyanka"/>
    <x v="6"/>
    <x v="0"/>
    <x v="24"/>
    <s v="Won"/>
    <s v="12-13 Nov 2022"/>
    <n v="21000"/>
    <n v="240.49473202015577"/>
    <d v="2022-11-11T00:00:00"/>
    <s v="S10"/>
    <d v="2022-11-11T00:00:00"/>
    <s v="CSTM_4KKZ4KWXRUC"/>
    <m/>
    <s v="Pending"/>
    <x v="0"/>
    <x v="2"/>
  </r>
  <r>
    <x v="510"/>
    <s v="Samir Dighe"/>
    <x v="5"/>
    <x v="14"/>
    <x v="24"/>
    <s v="Won"/>
    <s v="12-13 Nov 2022"/>
    <n v="21000"/>
    <n v="240.49473202015577"/>
    <d v="2022-11-11T00:00:00"/>
    <s v="S10"/>
    <d v="2022-11-11T00:00:00"/>
    <s v="CSTM_JN5EIMD4RG1"/>
    <m/>
    <s v="Pending"/>
    <x v="0"/>
    <x v="2"/>
  </r>
  <r>
    <x v="510"/>
    <s v="Sailaja Kandula"/>
    <x v="1"/>
    <x v="24"/>
    <x v="24"/>
    <s v="Won"/>
    <s v="19-20 Nov 2022"/>
    <n v="42000"/>
    <n v="480.98946404031153"/>
    <d v="2022-11-11T00:00:00"/>
    <s v="S10"/>
    <d v="2022-11-11T00:00:00"/>
    <s v="CSTM_77CEORAGT83"/>
    <m/>
    <s v="Pending"/>
    <x v="0"/>
    <x v="2"/>
  </r>
  <r>
    <x v="510"/>
    <s v="Syed Shahid"/>
    <x v="7"/>
    <x v="35"/>
    <x v="24"/>
    <s v="Won"/>
    <s v="26-27 Nov 2022"/>
    <n v="24000"/>
    <n v="274.85112230874944"/>
    <d v="2022-11-11T00:00:00"/>
    <s v="S10"/>
    <d v="2022-11-14T00:00:00"/>
    <s v="CSTM_EIKNIW8ZNQB"/>
    <m/>
    <s v="Pending"/>
    <x v="0"/>
    <x v="2"/>
  </r>
  <r>
    <x v="511"/>
    <s v="Akshat C"/>
    <x v="2"/>
    <x v="0"/>
    <x v="24"/>
    <s v="Won"/>
    <s v="19-20 Nov 2022"/>
    <n v="21000"/>
    <n v="240.49473202015577"/>
    <d v="2022-11-12T00:00:00"/>
    <s v="S10"/>
    <d v="2022-11-14T00:00:00"/>
    <s v="CSTM_NOGB9B1CMR"/>
    <m/>
    <s v="Pending"/>
    <x v="0"/>
    <x v="2"/>
  </r>
  <r>
    <x v="512"/>
    <s v="Anitha Madhusudhan"/>
    <x v="1"/>
    <x v="14"/>
    <x v="24"/>
    <s v="Won"/>
    <s v="19-20 Nov 2022"/>
    <n v="21000"/>
    <n v="240.49473202015577"/>
    <d v="2022-11-13T00:00:00"/>
    <s v="S10"/>
    <d v="2022-11-14T00:00:00"/>
    <s v="CSTM_8C83122T1B5"/>
    <m/>
    <s v="Pending"/>
    <x v="0"/>
    <x v="2"/>
  </r>
  <r>
    <x v="513"/>
    <s v="Anamika Sharma"/>
    <x v="13"/>
    <x v="35"/>
    <x v="24"/>
    <s v="Won"/>
    <s v="26-27 Nov 2022"/>
    <n v="24000"/>
    <n v="274.85112230874944"/>
    <d v="2022-11-14T00:00:00"/>
    <s v="S10"/>
    <d v="2022-11-14T00:00:00"/>
    <s v="CSTM_IIXI5VTX7TK"/>
    <m/>
    <s v="Pending"/>
    <x v="0"/>
    <x v="2"/>
  </r>
  <r>
    <x v="513"/>
    <s v="Swatranjan Lahiri"/>
    <x v="1"/>
    <x v="35"/>
    <x v="24"/>
    <s v="Won"/>
    <s v="17-18 Dec 2022"/>
    <n v="24000"/>
    <n v="274.85112230874944"/>
    <d v="2022-11-14T00:00:00"/>
    <s v="S10"/>
    <d v="2022-11-14T00:00:00"/>
    <s v="CSTM_19Y5PR8HDUN"/>
    <s v="Reference by Anirban"/>
    <s v="Pending"/>
    <x v="0"/>
    <x v="2"/>
  </r>
  <r>
    <x v="513"/>
    <s v="Anindita De"/>
    <x v="1"/>
    <x v="35"/>
    <x v="24"/>
    <s v="Won"/>
    <s v="17-18 Dec 2022"/>
    <n v="24000"/>
    <n v="274.85112230874944"/>
    <d v="2022-11-15T00:00:00"/>
    <s v="S10"/>
    <d v="2022-11-14T00:00:00"/>
    <s v="CSTM_FNSERLIKYJL"/>
    <s v="Reference by Anirban"/>
    <s v="Pending"/>
    <x v="0"/>
    <x v="2"/>
  </r>
  <r>
    <x v="514"/>
    <s v="Ramandeep Dhir"/>
    <x v="23"/>
    <x v="2"/>
    <x v="24"/>
    <s v="Won"/>
    <s v="19-20 Nov 2022"/>
    <n v="20000"/>
    <n v="229.04260192395787"/>
    <d v="2022-11-15T00:00:00"/>
    <s v="S10"/>
    <d v="2022-11-15T00:00:00"/>
    <s v="CSTM_CH9AYZPOHFL"/>
    <m/>
    <s v="Pending"/>
    <x v="1"/>
    <x v="2"/>
  </r>
  <r>
    <x v="515"/>
    <s v="Apurva Gawande"/>
    <x v="13"/>
    <x v="61"/>
    <x v="24"/>
    <s v="Won"/>
    <d v="2022-11-19T00:00:00"/>
    <n v="21000"/>
    <n v="240.49473202015577"/>
    <d v="2022-11-16T00:00:00"/>
    <s v="S10"/>
    <d v="2022-11-16T00:00:00"/>
    <s v="CSTM_J82VPBMEUQK"/>
    <m/>
    <s v="Pending"/>
    <x v="2"/>
    <x v="2"/>
  </r>
  <r>
    <x v="515"/>
    <s v="Vijay Baskar"/>
    <x v="7"/>
    <x v="35"/>
    <x v="24"/>
    <s v="Won"/>
    <s v="26-27 Nov 2022"/>
    <n v="24000"/>
    <n v="274.85112230874944"/>
    <d v="2022-11-16T00:00:00"/>
    <s v="S10"/>
    <d v="2022-11-16T00:00:00"/>
    <s v="CSTM_5K6UGYL4ZXU"/>
    <m/>
    <s v="Pending"/>
    <x v="0"/>
    <x v="2"/>
  </r>
  <r>
    <x v="515"/>
    <s v="Manasdhar"/>
    <x v="1"/>
    <x v="35"/>
    <x v="24"/>
    <s v="Won"/>
    <s v="26-27 Nov 2022"/>
    <n v="24000"/>
    <n v="274.85112230874944"/>
    <d v="2022-11-16T00:00:00"/>
    <s v="S10"/>
    <d v="2022-11-16T00:00:00"/>
    <s v="CSTM_DIA8AN1AGZD"/>
    <s v="Reference by Vijay Bhasker"/>
    <s v="Pending"/>
    <x v="0"/>
    <x v="2"/>
  </r>
  <r>
    <x v="516"/>
    <s v="Rahul Vishwarupe"/>
    <x v="13"/>
    <x v="9"/>
    <x v="24"/>
    <s v="Won"/>
    <s v="19-20 Nov 2022"/>
    <n v="42000"/>
    <n v="480.98946404031153"/>
    <d v="2022-11-17T00:00:00"/>
    <s v="S10"/>
    <d v="2022-11-17T00:00:00"/>
    <s v="CSTM_2N6BQVI2447"/>
    <m/>
    <s v="Pending"/>
    <x v="0"/>
    <x v="2"/>
  </r>
  <r>
    <x v="516"/>
    <s v="Radhika"/>
    <x v="1"/>
    <x v="0"/>
    <x v="24"/>
    <s v="Won"/>
    <s v="3-4 Dec 2022"/>
    <n v="21000"/>
    <n v="240.49473202015577"/>
    <d v="2022-11-17T00:00:00"/>
    <s v="S10"/>
    <d v="2022-11-17T00:00:00"/>
    <s v="CSTM_BW4WVZB6KVQ"/>
    <s v="Reference by Prashant Saduwale"/>
    <s v="Pending"/>
    <x v="0"/>
    <x v="2"/>
  </r>
  <r>
    <x v="516"/>
    <s v="Shailesh Kumar"/>
    <x v="1"/>
    <x v="0"/>
    <x v="24"/>
    <s v="Won"/>
    <s v="19-20 Nov 2022"/>
    <n v="21000"/>
    <n v="240.49473202015577"/>
    <d v="2022-11-17T00:00:00"/>
    <s v="S10"/>
    <d v="2022-11-17T00:00:00"/>
    <s v="CSTM_HW9DOC0W7OP"/>
    <s v="Reference by satya.kalekar@gmail.com"/>
    <s v="Pending"/>
    <x v="0"/>
    <x v="2"/>
  </r>
  <r>
    <x v="516"/>
    <s v="Akhil"/>
    <x v="13"/>
    <x v="0"/>
    <x v="24"/>
    <s v="Won"/>
    <s v="19-20 Nov 2022"/>
    <n v="21000"/>
    <n v="240.49473202015577"/>
    <d v="2022-11-17T00:00:00"/>
    <s v="S10"/>
    <d v="2022-11-17T00:00:00"/>
    <s v="CSTM_2P61EVBU37E"/>
    <m/>
    <s v="Pending"/>
    <x v="0"/>
    <x v="2"/>
  </r>
  <r>
    <x v="517"/>
    <s v="Suma Namburi"/>
    <x v="5"/>
    <x v="9"/>
    <x v="24"/>
    <s v="Won"/>
    <s v="19-20 Nov 2022"/>
    <n v="40000"/>
    <n v="458.08520384791575"/>
    <d v="2022-11-18T00:00:00"/>
    <s v="S10"/>
    <d v="2022-11-18T00:00:00"/>
    <s v="CSTM_257CMHHH1BS"/>
    <m/>
    <s v="Pending"/>
    <x v="0"/>
    <x v="2"/>
  </r>
  <r>
    <x v="517"/>
    <s v="Jino Mathew"/>
    <x v="2"/>
    <x v="0"/>
    <x v="24"/>
    <s v="Won"/>
    <s v="26-27 Nov 2022"/>
    <n v="21000"/>
    <n v="240.49473202015577"/>
    <d v="2022-11-18T00:00:00"/>
    <s v="S10"/>
    <d v="2022-11-18T00:00:00"/>
    <s v="CSTM_GQ0ZJF1R7EO"/>
    <m/>
    <s v="Pending"/>
    <x v="0"/>
    <x v="2"/>
  </r>
  <r>
    <x v="517"/>
    <s v="Sanjyot Singh"/>
    <x v="5"/>
    <x v="0"/>
    <x v="24"/>
    <s v="Won"/>
    <s v="19-20 Nov 2022"/>
    <n v="21000"/>
    <n v="240.49473202015577"/>
    <d v="2022-11-18T00:00:00"/>
    <s v="S10"/>
    <d v="2022-11-18T00:00:00"/>
    <s v="CSTM_6AM7N8058FO"/>
    <m/>
    <s v="Pending"/>
    <x v="0"/>
    <x v="2"/>
  </r>
  <r>
    <x v="518"/>
    <s v="Subhadip Bhattacharya"/>
    <x v="1"/>
    <x v="35"/>
    <x v="24"/>
    <s v="Won"/>
    <s v="26-27 Nov 2022"/>
    <n v="24000"/>
    <n v="274.85112230874944"/>
    <d v="2022-11-20T00:00:00"/>
    <s v="T10"/>
    <d v="2022-11-21T00:00:00"/>
    <s v="CSTM_CQ3Q4RZ4RPC"/>
    <s v="Reference by rabi.saha@tcs.com"/>
    <s v="Pending"/>
    <x v="0"/>
    <x v="2"/>
  </r>
  <r>
    <x v="519"/>
    <s v="Parul Kansal"/>
    <x v="2"/>
    <x v="35"/>
    <x v="24"/>
    <s v="Won"/>
    <s v="26-27 Nov 2022"/>
    <n v="24000"/>
    <n v="274.85112230874944"/>
    <d v="2022-11-21T00:00:00"/>
    <s v="T10"/>
    <d v="2022-11-21T00:00:00"/>
    <s v="CSTM_AMI52Y0C1TV"/>
    <m/>
    <s v="Pending"/>
    <x v="0"/>
    <x v="2"/>
  </r>
  <r>
    <x v="519"/>
    <s v="Karthikeyan Raj"/>
    <x v="2"/>
    <x v="24"/>
    <x v="24"/>
    <s v="Won"/>
    <s v="3-4 Dec 2022"/>
    <n v="40061"/>
    <n v="458.7837837837838"/>
    <d v="2022-11-21T00:00:00"/>
    <s v="T10"/>
    <d v="2022-11-22T00:00:00"/>
    <s v="CSTM_D1PJ59S1YRQ"/>
    <m/>
    <s v="Pending"/>
    <x v="0"/>
    <x v="2"/>
  </r>
  <r>
    <x v="520"/>
    <s v="Ranjith Kumar"/>
    <x v="1"/>
    <x v="35"/>
    <x v="24"/>
    <s v="Won"/>
    <s v="26-27 Nov 2022"/>
    <n v="24000"/>
    <n v="274.85112230874944"/>
    <d v="2022-11-22T00:00:00"/>
    <s v="T10"/>
    <d v="2022-11-22T00:00:00"/>
    <s v="CSTM_EM0LBGH1MG0"/>
    <s v="Reference by kishore77in@yahoo.com"/>
    <s v="Pending"/>
    <x v="0"/>
    <x v="2"/>
  </r>
  <r>
    <x v="520"/>
    <s v="Ashish Awandkar"/>
    <x v="13"/>
    <x v="35"/>
    <x v="24"/>
    <s v="Won"/>
    <s v="17-18 Dec 2022"/>
    <n v="24000"/>
    <n v="274.85112230874944"/>
    <d v="2022-11-22T00:00:00"/>
    <s v="T10"/>
    <d v="2022-11-22T00:00:00"/>
    <s v="CSTM_7E92E270K8I"/>
    <m/>
    <s v="Pending"/>
    <x v="0"/>
    <x v="2"/>
  </r>
  <r>
    <x v="520"/>
    <s v="Arun Kumar Jeyaseelan"/>
    <x v="1"/>
    <x v="61"/>
    <x v="24"/>
    <s v="Won"/>
    <d v="2022-11-26T00:00:00"/>
    <n v="32000"/>
    <n v="366.46816307833262"/>
    <d v="2022-11-22T00:00:00"/>
    <s v="T10"/>
    <d v="2022-11-24T00:00:00"/>
    <s v="CSTM_6M0M2NIFWT2"/>
    <s v="Reference by apurvagawande1997@gmail.com"/>
    <s v="Pending"/>
    <x v="2"/>
    <x v="2"/>
  </r>
  <r>
    <x v="520"/>
    <s v="Bala Maha G"/>
    <x v="1"/>
    <x v="0"/>
    <x v="24"/>
    <s v="Won"/>
    <s v="26-27 Nov 2022"/>
    <n v="21000"/>
    <n v="240.49473202015577"/>
    <d v="2022-11-22T00:00:00"/>
    <s v="T10"/>
    <d v="2022-11-22T00:00:00"/>
    <s v="CSTM_75D33UDRSOG"/>
    <s v="Reference by Shyamanair"/>
    <s v="Pending"/>
    <x v="0"/>
    <x v="2"/>
  </r>
  <r>
    <x v="520"/>
    <s v="Jyoti Rathore"/>
    <x v="1"/>
    <x v="0"/>
    <x v="24"/>
    <s v="Won"/>
    <s v="26-27 Nov 2022"/>
    <n v="21000"/>
    <n v="250"/>
    <d v="2022-11-22T00:00:00"/>
    <s v="T10"/>
    <d v="2022-11-22T00:00:00"/>
    <s v="CSTM_6ZW9JYSAH8P"/>
    <s v="Reference by balamaha007@gmail.com"/>
    <s v="Pending"/>
    <x v="0"/>
    <x v="2"/>
  </r>
  <r>
    <x v="520"/>
    <s v="Amit Sharma"/>
    <x v="1"/>
    <x v="35"/>
    <x v="24"/>
    <s v="Won"/>
    <s v="26-27 Nov 2022"/>
    <n v="24000"/>
    <n v="274.85112230874944"/>
    <d v="2022-11-22T00:00:00"/>
    <s v="T10"/>
    <d v="2022-11-23T00:00:00"/>
    <s v="CSTM_B4ES0OMH4QR"/>
    <s v="Reference by Anamika Sharma"/>
    <s v="Pending"/>
    <x v="0"/>
    <x v="2"/>
  </r>
  <r>
    <x v="521"/>
    <s v="Kumarjit Hazra"/>
    <x v="5"/>
    <x v="34"/>
    <x v="24"/>
    <s v="Won"/>
    <s v="3-4 Dec 2022"/>
    <n v="24000"/>
    <n v="274.85112230874944"/>
    <d v="2022-11-23T00:00:00"/>
    <s v="T10"/>
    <d v="2022-11-23T00:00:00"/>
    <s v="CSTM_IPQ9I4TJ0P6"/>
    <m/>
    <s v="Pending"/>
    <x v="0"/>
    <x v="2"/>
  </r>
  <r>
    <x v="521"/>
    <s v="Meenakshi"/>
    <x v="3"/>
    <x v="9"/>
    <x v="24"/>
    <s v="Won"/>
    <s v="17-18 Dec 2022"/>
    <n v="42000"/>
    <n v="480.98946404031153"/>
    <d v="2022-11-23T00:00:00"/>
    <s v="T10"/>
    <d v="2022-11-24T00:00:00"/>
    <s v="CSTM_V1VC8FN6L9"/>
    <m/>
    <s v="Pending"/>
    <x v="0"/>
    <x v="2"/>
  </r>
  <r>
    <x v="522"/>
    <s v="Syed Rafi Ahmad"/>
    <x v="1"/>
    <x v="14"/>
    <x v="24"/>
    <s v="Won"/>
    <s v="26-27 Nov 2022"/>
    <n v="21000"/>
    <n v="240.49473202015577"/>
    <d v="2022-11-24T00:00:00"/>
    <s v="T10"/>
    <d v="2022-11-24T00:00:00"/>
    <s v="CSTM_A2JGAK7WV2D"/>
    <s v="Reference by Asra"/>
    <s v="Pending"/>
    <x v="0"/>
    <x v="2"/>
  </r>
  <r>
    <x v="523"/>
    <s v="John Rose"/>
    <x v="13"/>
    <x v="62"/>
    <x v="24"/>
    <s v="Won"/>
    <d v="2022-11-25T00:00:00"/>
    <n v="29000"/>
    <n v="332.11177278973895"/>
    <d v="2022-11-25T00:00:00"/>
    <s v="T10"/>
    <d v="2022-11-24T00:00:00"/>
    <s v="CSTM_PARTIAL_SUBS_JFV3UGL4LJS"/>
    <m/>
    <s v="Pending"/>
    <x v="2"/>
    <x v="2"/>
  </r>
  <r>
    <x v="523"/>
    <s v="Salman Syed"/>
    <x v="2"/>
    <x v="35"/>
    <x v="24"/>
    <s v="Won"/>
    <s v="26-27 Nov 2022"/>
    <n v="24000"/>
    <n v="274.85112230874944"/>
    <d v="2022-11-25T00:00:00"/>
    <s v="T10"/>
    <d v="2022-11-25T00:00:00"/>
    <s v="CSTM_C4LK8X8ODE"/>
    <m/>
    <s v="Pending"/>
    <x v="0"/>
    <x v="2"/>
  </r>
  <r>
    <x v="523"/>
    <s v="Mohit Pandey Kirtiya"/>
    <x v="2"/>
    <x v="35"/>
    <x v="24"/>
    <s v="Won"/>
    <s v="26-27 Nov 2022"/>
    <n v="24000"/>
    <n v="274.85112230874944"/>
    <d v="2022-11-25T00:00:00"/>
    <s v="T10"/>
    <d v="2022-11-25T00:00:00"/>
    <s v="CSTM_8CKY3M72UHH"/>
    <m/>
    <s v="Pending"/>
    <x v="0"/>
    <x v="2"/>
  </r>
  <r>
    <x v="524"/>
    <s v="Renu Solanki"/>
    <x v="5"/>
    <x v="9"/>
    <x v="24"/>
    <s v="Won"/>
    <s v="3-4 Dec 2022"/>
    <n v="42000"/>
    <n v="480.98946404031153"/>
    <d v="2022-11-28T00:00:00"/>
    <s v="T10"/>
    <d v="2022-11-28T00:00:00"/>
    <s v="CSTM_7PTBC36FOXL"/>
    <m/>
    <s v="Pending"/>
    <x v="0"/>
    <x v="2"/>
  </r>
  <r>
    <x v="524"/>
    <s v="Anu Changi"/>
    <x v="7"/>
    <x v="0"/>
    <x v="25"/>
    <s v="Won"/>
    <s v="3-4 Dec 2022"/>
    <n v="21000"/>
    <n v="240.49473202015577"/>
    <d v="2022-11-28T00:00:00"/>
    <s v="F10"/>
    <d v="2022-12-02T00:00:00"/>
    <s v="CSTM_13T6B46OB0Q"/>
    <m/>
    <s v="Pending"/>
    <x v="0"/>
    <x v="2"/>
  </r>
  <r>
    <x v="524"/>
    <s v="Amrutha Rathod"/>
    <x v="1"/>
    <x v="9"/>
    <x v="24"/>
    <s v="Won"/>
    <s v="3-4 Dec 2022"/>
    <n v="42000"/>
    <n v="480.98946404031153"/>
    <d v="2022-11-28T00:00:00"/>
    <s v="T10"/>
    <d v="2022-11-28T00:00:00"/>
    <s v="CSTM_CD68N2ALTO"/>
    <s v="Reference by tushargulati3007@gmail.com"/>
    <s v="Pending"/>
    <x v="0"/>
    <x v="2"/>
  </r>
  <r>
    <x v="524"/>
    <s v="Arshad Ansari"/>
    <x v="1"/>
    <x v="29"/>
    <x v="24"/>
    <s v="Won"/>
    <d v="2022-12-03T00:00:00"/>
    <n v="40000"/>
    <n v="458.08520384791575"/>
    <d v="2022-11-28T00:00:00"/>
    <s v="T10"/>
    <d v="2022-11-30T00:00:00"/>
    <s v="CSTM_7KSH1O0WMRJ"/>
    <s v="Reference by ravindra2bisht@gmail.com"/>
    <s v="Pending"/>
    <x v="2"/>
    <x v="2"/>
  </r>
  <r>
    <x v="524"/>
    <s v="Abhijeet Chakravorty"/>
    <x v="7"/>
    <x v="0"/>
    <x v="24"/>
    <s v="Won"/>
    <s v="10-11 Dec 2022"/>
    <n v="21000"/>
    <n v="240.49473202015577"/>
    <d v="2022-11-28T00:00:00"/>
    <s v="T10"/>
    <d v="2022-11-28T00:00:00"/>
    <s v="CSTM_38GYDLK51F3"/>
    <m/>
    <s v="Pending"/>
    <x v="0"/>
    <x v="2"/>
  </r>
  <r>
    <x v="525"/>
    <s v="Vignesh Kumar Mani"/>
    <x v="3"/>
    <x v="2"/>
    <x v="24"/>
    <s v="Won"/>
    <s v="14-15 Dec 2022"/>
    <n v="20000"/>
    <n v="229.04260192395787"/>
    <d v="2022-11-29T00:00:00"/>
    <s v="T10"/>
    <d v="2022-11-29T00:00:00"/>
    <s v="CSTM_CKA1MA98QKT"/>
    <m/>
    <s v="Pending"/>
    <x v="1"/>
    <x v="2"/>
  </r>
  <r>
    <x v="526"/>
    <s v="Smita Misal"/>
    <x v="1"/>
    <x v="35"/>
    <x v="24"/>
    <s v="Won"/>
    <s v="17-18 Dec 2022"/>
    <n v="24000"/>
    <n v="274.85112230874944"/>
    <d v="2022-11-30T00:00:00"/>
    <s v="T10"/>
    <d v="2022-11-30T00:00:00"/>
    <s v="CSTM_2ORMBTMPMPY"/>
    <s v="Reference by chetan.malavade@tcs.com"/>
    <s v="Pending"/>
    <x v="0"/>
    <x v="2"/>
  </r>
  <r>
    <x v="526"/>
    <s v="Priyanka Kevaliya"/>
    <x v="7"/>
    <x v="34"/>
    <x v="24"/>
    <s v="Won"/>
    <s v="3-4 Dec 2022"/>
    <n v="24000"/>
    <n v="274.85112230874944"/>
    <d v="2022-11-30T00:00:00"/>
    <s v="T10"/>
    <d v="2022-11-30T00:00:00"/>
    <s v="CSTM_BKJHYKJ7OO7"/>
    <m/>
    <s v="Pending"/>
    <x v="0"/>
    <x v="2"/>
  </r>
  <r>
    <x v="527"/>
    <s v="Smita Dahiwase"/>
    <x v="1"/>
    <x v="35"/>
    <x v="25"/>
    <s v="Won"/>
    <s v="5-6 Dec 2022"/>
    <n v="24000"/>
    <n v="274.85112230874944"/>
    <d v="2022-12-01T00:00:00"/>
    <s v="F10"/>
    <d v="2022-12-01T00:00:00"/>
    <s v="CSTM_5QEK7B7NHER"/>
    <m/>
    <s v="Pending"/>
    <x v="0"/>
    <x v="2"/>
  </r>
  <r>
    <x v="527"/>
    <s v="Ranjitha Malatkar"/>
    <x v="13"/>
    <x v="35"/>
    <x v="25"/>
    <s v="Won"/>
    <s v="17-18 Dec 2022"/>
    <n v="24000"/>
    <n v="274.85112230874944"/>
    <d v="2022-12-01T00:00:00"/>
    <s v="F10"/>
    <d v="2022-12-01T00:00:00"/>
    <s v="CSTM_AC5JP11Y8RT"/>
    <m/>
    <s v="Pending"/>
    <x v="0"/>
    <x v="2"/>
  </r>
  <r>
    <x v="527"/>
    <s v="Md. Taheer"/>
    <x v="7"/>
    <x v="14"/>
    <x v="25"/>
    <s v="Won"/>
    <s v="7-8 Jan 2022"/>
    <n v="21000"/>
    <n v="240.49473202015577"/>
    <d v="2022-12-01T00:00:00"/>
    <s v="F10"/>
    <d v="2022-12-01T00:00:00"/>
    <s v="CSTM_3WWLVV6ANQU"/>
    <m/>
    <s v="Pending"/>
    <x v="0"/>
    <x v="2"/>
  </r>
  <r>
    <x v="527"/>
    <s v="Kamlesh Sethi"/>
    <x v="1"/>
    <x v="35"/>
    <x v="25"/>
    <s v="Won"/>
    <s v="17-18 Dec 2022"/>
    <n v="24000"/>
    <n v="274.85112230874944"/>
    <d v="2022-12-01T00:00:00"/>
    <s v="F10"/>
    <d v="2022-12-01T00:00:00"/>
    <s v="CSTM_AR3S83MNH2Q"/>
    <s v="Reference by swatranjan.lahiri@tcs.com"/>
    <s v="Pending"/>
    <x v="0"/>
    <x v="2"/>
  </r>
  <r>
    <x v="528"/>
    <s v="Yukti Parmar"/>
    <x v="1"/>
    <x v="0"/>
    <x v="25"/>
    <s v="Won"/>
    <s v="3-4 Dec 2022"/>
    <n v="21000"/>
    <n v="240.49473202015577"/>
    <d v="2022-12-02T00:00:00"/>
    <s v="F10"/>
    <d v="2022-12-02T00:00:00"/>
    <s v="CSTM_CBMN0GKT5AL"/>
    <s v="Reference by harshalrdc@gmail.com"/>
    <s v="Pending"/>
    <x v="0"/>
    <x v="2"/>
  </r>
  <r>
    <x v="528"/>
    <s v="Jojo George"/>
    <x v="7"/>
    <x v="2"/>
    <x v="25"/>
    <s v="Won"/>
    <s v="3-4 Dec 2022"/>
    <n v="20000"/>
    <n v="229.04260192395787"/>
    <d v="2022-12-02T00:00:00"/>
    <s v="F10"/>
    <d v="2022-12-02T00:00:00"/>
    <s v="CSTM_FYS02VFJ6PG"/>
    <m/>
    <s v="Pending"/>
    <x v="1"/>
    <x v="2"/>
  </r>
  <r>
    <x v="528"/>
    <s v="Sunil Kumar"/>
    <x v="5"/>
    <x v="0"/>
    <x v="25"/>
    <s v="Won"/>
    <s v="24-25 Dec 2022"/>
    <n v="21000"/>
    <n v="240.49473202015577"/>
    <d v="2022-12-02T00:00:00"/>
    <s v="F10"/>
    <d v="2022-12-02T00:00:00"/>
    <s v="CSTM_4B9EPYLRA7O"/>
    <m/>
    <s v="Pending"/>
    <x v="0"/>
    <x v="2"/>
  </r>
  <r>
    <x v="528"/>
    <s v="Suchita Avsare"/>
    <x v="1"/>
    <x v="14"/>
    <x v="25"/>
    <s v="Won"/>
    <s v="3-4 Dec 2022"/>
    <n v="21000"/>
    <n v="240.49473202015577"/>
    <d v="2022-12-02T00:00:00"/>
    <s v="F10"/>
    <d v="2022-12-02T00:00:00"/>
    <s v="CSTM_8W9I36IBSXI"/>
    <s v="Reference by samir_nov122002@yahoo.co.in"/>
    <s v="Pending"/>
    <x v="0"/>
    <x v="2"/>
  </r>
  <r>
    <x v="528"/>
    <s v="Rakesh Shah"/>
    <x v="1"/>
    <x v="35"/>
    <x v="25"/>
    <s v="Won"/>
    <s v="17-18 Dec 2022"/>
    <n v="24000"/>
    <n v="274.85112230874944"/>
    <d v="2022-12-02T00:00:00"/>
    <s v="F10"/>
    <d v="2022-12-02T00:00:00"/>
    <s v="CSTM_852GQ7DSW0D"/>
    <s v="Reference by priyanka5sep@gmail.com"/>
    <s v="Pending"/>
    <x v="0"/>
    <x v="2"/>
  </r>
  <r>
    <x v="528"/>
    <s v="Banahansi Gantayat"/>
    <x v="1"/>
    <x v="35"/>
    <x v="25"/>
    <s v="Won"/>
    <s v="10-11 Dec 2022"/>
    <n v="24000"/>
    <n v="274.85112230874944"/>
    <d v="2022-12-02T00:00:00"/>
    <s v="S10"/>
    <d v="2022-12-09T00:00:00"/>
    <s v="CSTM_8HZFITEIQF1"/>
    <s v="Reference by rakesh_bluemoon@yahoo.co.in"/>
    <s v="Pending"/>
    <x v="0"/>
    <x v="2"/>
  </r>
  <r>
    <x v="529"/>
    <s v="Ravi Kumar"/>
    <x v="1"/>
    <x v="35"/>
    <x v="25"/>
    <s v="Won"/>
    <s v="17-18 Dec 2022"/>
    <n v="24000"/>
    <n v="274.85112230874944"/>
    <d v="2022-12-05T00:00:00"/>
    <s v="F10"/>
    <d v="2022-12-05T00:00:00"/>
    <s v="CSTM_QRJ769W8WZ"/>
    <s v="Reference by manasdhara1@gmail.com"/>
    <s v="Pending"/>
    <x v="0"/>
    <x v="2"/>
  </r>
  <r>
    <x v="529"/>
    <s v="Manoj Gandhi"/>
    <x v="7"/>
    <x v="9"/>
    <x v="25"/>
    <s v="Won"/>
    <s v="10-11 Dec 2022"/>
    <n v="42000"/>
    <n v="480.98946404031153"/>
    <d v="2022-12-05T00:00:00"/>
    <s v="F10"/>
    <d v="2022-12-05T00:00:00"/>
    <s v="CSTM_FAOFIZ87R59"/>
    <m/>
    <s v="Pending"/>
    <x v="0"/>
    <x v="2"/>
  </r>
  <r>
    <x v="529"/>
    <s v="Karthick Jayaraman"/>
    <x v="1"/>
    <x v="2"/>
    <x v="25"/>
    <s v="Won"/>
    <s v="17-18 Dec 2022"/>
    <n v="20000"/>
    <n v="229.04260192395787"/>
    <d v="2022-12-05T00:00:00"/>
    <s v="F10"/>
    <d v="2022-12-05T00:00:00"/>
    <s v="CSTM_B82WIHUL942"/>
    <s v="Reference by Ashoka Amrapali"/>
    <s v="Pending"/>
    <x v="1"/>
    <x v="2"/>
  </r>
  <r>
    <x v="529"/>
    <s v="Sunil Sharma"/>
    <x v="1"/>
    <x v="0"/>
    <x v="25"/>
    <s v="Won"/>
    <s v="7-8 Jan 2023"/>
    <n v="21000"/>
    <n v="240.49473202015577"/>
    <d v="2022-12-06T00:00:00"/>
    <s v="F10"/>
    <d v="2022-12-06T00:00:00"/>
    <s v="CSTM_1MJTM84MJ1I"/>
    <s v="Reference by sunnyagra@hotmail.com"/>
    <s v="Pending"/>
    <x v="0"/>
    <x v="2"/>
  </r>
  <r>
    <x v="529"/>
    <s v="Anoop Singh"/>
    <x v="1"/>
    <x v="35"/>
    <x v="25"/>
    <s v="Won"/>
    <s v="17-18 Dec 2022"/>
    <n v="24000"/>
    <n v="274.85112230874944"/>
    <d v="2022-12-05T00:00:00"/>
    <s v="F10"/>
    <d v="2022-12-07T00:00:00"/>
    <s v="CSTM_F4TKV6ST5ME"/>
    <s v="Reference by amrapaliashoka@gmail.com"/>
    <s v="Pending"/>
    <x v="0"/>
    <x v="2"/>
  </r>
  <r>
    <x v="530"/>
    <s v="Siddhika Mathur"/>
    <x v="1"/>
    <x v="63"/>
    <x v="25"/>
    <s v="Won"/>
    <d v="2022-12-10T00:00:00"/>
    <n v="27000"/>
    <n v="309.20751259734311"/>
    <d v="2022-12-06T00:00:00"/>
    <s v="F10"/>
    <d v="2022-12-06T00:00:00"/>
    <s v="CSTM_PARTIAL_FIRST_AJ9LXFEBY8E"/>
    <s v="Reference by amitsaha0908@gmail.com"/>
    <s v="Pending"/>
    <x v="2"/>
    <x v="2"/>
  </r>
  <r>
    <x v="530"/>
    <s v="Raghul M"/>
    <x v="1"/>
    <x v="2"/>
    <x v="25"/>
    <s v="Won"/>
    <s v="14-15 Dec 2022"/>
    <n v="20000"/>
    <n v="229.04260192395787"/>
    <d v="2022-12-06T00:00:00"/>
    <s v="F10"/>
    <d v="2022-12-06T00:00:00"/>
    <s v="CSTM_4SEDGZIC5XO"/>
    <s v="Reference by dhanushree.bj@gmail.com"/>
    <s v="Pending"/>
    <x v="1"/>
    <x v="2"/>
  </r>
  <r>
    <x v="530"/>
    <s v="Misha Pious"/>
    <x v="2"/>
    <x v="0"/>
    <x v="25"/>
    <s v="Won"/>
    <s v="10-11 Dec 2022"/>
    <n v="21000"/>
    <n v="240.49473202015577"/>
    <d v="2022-12-06T00:00:00"/>
    <s v="F10"/>
    <d v="2022-12-06T00:00:00"/>
    <s v="CSTM_AF2S0DFH0CA"/>
    <m/>
    <s v="Pending"/>
    <x v="0"/>
    <x v="2"/>
  </r>
  <r>
    <x v="531"/>
    <s v="Sujith KG"/>
    <x v="24"/>
    <x v="9"/>
    <x v="25"/>
    <s v="Won"/>
    <s v="10-11 Dec 2022"/>
    <n v="40061"/>
    <n v="458.7837837837838"/>
    <d v="2022-12-07T00:00:00"/>
    <s v="F10"/>
    <d v="2022-12-07T00:00:00"/>
    <s v="CSTM_965C9D3IQBJ"/>
    <m/>
    <s v="Pending"/>
    <x v="0"/>
    <x v="2"/>
  </r>
  <r>
    <x v="531"/>
    <s v="Kiranmayi Tumuluri"/>
    <x v="24"/>
    <x v="9"/>
    <x v="25"/>
    <s v="Won"/>
    <s v="10-11 Dec 2022"/>
    <n v="40061"/>
    <n v="458.7837837837838"/>
    <d v="2022-12-07T00:00:00"/>
    <s v="F10"/>
    <d v="2022-12-07T00:00:00"/>
    <s v="CSTM_ESU4TUXK3HJ"/>
    <m/>
    <s v="Pending"/>
    <x v="0"/>
    <x v="2"/>
  </r>
  <r>
    <x v="531"/>
    <s v="Sandeep MSR"/>
    <x v="2"/>
    <x v="35"/>
    <x v="25"/>
    <s v="Won"/>
    <s v="10-11 Dec 2022"/>
    <n v="24000"/>
    <n v="274.85112230874944"/>
    <d v="2022-12-07T00:00:00"/>
    <s v="F10"/>
    <d v="2022-12-07T00:00:00"/>
    <s v="CSTM_9RK96B6KZE5"/>
    <m/>
    <s v="Pending"/>
    <x v="0"/>
    <x v="2"/>
  </r>
  <r>
    <x v="532"/>
    <s v="Rajendiran Ramalingam"/>
    <x v="3"/>
    <x v="0"/>
    <x v="25"/>
    <s v="Won"/>
    <s v="7-8 Jan 2023"/>
    <n v="21000"/>
    <n v="240.49473202015577"/>
    <d v="2022-12-12T00:00:00"/>
    <s v="S10"/>
    <d v="2022-12-09T00:00:00"/>
    <s v="CSTM_4L7L2SRZR7L"/>
    <m/>
    <s v="Pending"/>
    <x v="0"/>
    <x v="2"/>
  </r>
  <r>
    <x v="532"/>
    <s v="Dhivya M"/>
    <x v="7"/>
    <x v="35"/>
    <x v="25"/>
    <s v="Won"/>
    <s v="17-18 Dec 2022"/>
    <n v="24000"/>
    <n v="274.85112230874944"/>
    <d v="2022-12-12T00:00:00"/>
    <s v="S10"/>
    <d v="2022-12-12T00:00:00"/>
    <s v="CSTM_87HROINY7HN"/>
    <m/>
    <s v="Pending"/>
    <x v="0"/>
    <x v="2"/>
  </r>
  <r>
    <x v="532"/>
    <s v="Jayanta Anand"/>
    <x v="1"/>
    <x v="0"/>
    <x v="25"/>
    <s v="Won"/>
    <s v="17-18 Dec 2022"/>
    <n v="21000"/>
    <n v="240.49473202015577"/>
    <d v="2022-12-12T00:00:00"/>
    <s v="S10"/>
    <d v="2022-12-12T00:00:00"/>
    <s v="CSTM_HMX17HZE16F"/>
    <s v="Reference by psaduwale@gmail.com"/>
    <s v="Pending"/>
    <x v="0"/>
    <x v="2"/>
  </r>
  <r>
    <x v="532"/>
    <s v="Ankita Agrawal"/>
    <x v="13"/>
    <x v="1"/>
    <x v="25"/>
    <s v="Won"/>
    <s v="29-30 Dec 2022"/>
    <n v="20000"/>
    <n v="229.04260192395787"/>
    <d v="2022-12-12T00:00:00"/>
    <s v="S10"/>
    <d v="2022-12-12T00:00:00"/>
    <s v="CSTM_H1VRDCTPOZ8"/>
    <m/>
    <s v="Pending"/>
    <x v="1"/>
    <x v="2"/>
  </r>
  <r>
    <x v="532"/>
    <s v="Raj Kunwar"/>
    <x v="1"/>
    <x v="35"/>
    <x v="25"/>
    <s v="Won"/>
    <s v="17-18 Dec 2022"/>
    <n v="24000"/>
    <n v="274.85112230874944"/>
    <d v="2022-12-12T00:00:00"/>
    <s v="S10"/>
    <d v="2022-12-14T00:00:00"/>
    <s v="CSTM_6U79GR1JA5J"/>
    <m/>
    <s v="Pending"/>
    <x v="0"/>
    <x v="2"/>
  </r>
  <r>
    <x v="533"/>
    <s v="Suprava Suta"/>
    <x v="1"/>
    <x v="35"/>
    <x v="25"/>
    <s v="Won"/>
    <s v="17-18 Dec 2022"/>
    <n v="24000"/>
    <n v="274.85112230874944"/>
    <d v="2022-12-13T00:00:00"/>
    <s v="S10"/>
    <d v="2022-12-13T00:00:00"/>
    <s v="CSTM_4DTS2ORMW0P"/>
    <s v="Reference by Innovative Amit"/>
    <s v="Pending"/>
    <x v="0"/>
    <x v="2"/>
  </r>
  <r>
    <x v="533"/>
    <s v="Nirmala Avula"/>
    <x v="1"/>
    <x v="35"/>
    <x v="25"/>
    <s v="Won"/>
    <s v="17-18 Dec 2022"/>
    <n v="24000"/>
    <n v="274.85112230874944"/>
    <d v="2022-12-13T00:00:00"/>
    <s v="S10"/>
    <d v="2022-12-15T00:00:00"/>
    <s v="CSTM_AT5U4PY3RKI"/>
    <s v="Reference by keerti1895@gmail.com"/>
    <s v="Pending"/>
    <x v="0"/>
    <x v="2"/>
  </r>
  <r>
    <x v="533"/>
    <s v="Neha Chhabra"/>
    <x v="7"/>
    <x v="35"/>
    <x v="25"/>
    <s v="Won"/>
    <s v="17-18 Dec 2022"/>
    <n v="24000"/>
    <n v="274.85112230874944"/>
    <d v="2022-12-13T00:00:00"/>
    <s v="S10"/>
    <d v="2022-12-13T00:00:00"/>
    <s v="CSTM_4N8UV89YD21"/>
    <m/>
    <s v="Pending"/>
    <x v="0"/>
    <x v="2"/>
  </r>
  <r>
    <x v="533"/>
    <s v="Prakash"/>
    <x v="1"/>
    <x v="2"/>
    <x v="25"/>
    <s v="Won"/>
    <s v="22-23 Dec 2022"/>
    <n v="20000"/>
    <n v="229.04260192395787"/>
    <d v="2022-12-13T00:00:00"/>
    <s v="S10"/>
    <d v="2022-12-13T00:00:00"/>
    <s v="CSTM_F6A72TV60DP"/>
    <s v="Reference by divyapriya0194@gmail.com"/>
    <s v="Pending"/>
    <x v="1"/>
    <x v="2"/>
  </r>
  <r>
    <x v="534"/>
    <s v="Manjula Basavaraj"/>
    <x v="2"/>
    <x v="35"/>
    <x v="25"/>
    <s v="Won"/>
    <s v="17-18 Dec 2022"/>
    <n v="21000"/>
    <n v="240.49473202015577"/>
    <d v="2022-12-14T00:00:00"/>
    <s v="S10"/>
    <d v="2022-12-14T00:00:00"/>
    <s v="CSTM_86UDTZZHHMJ"/>
    <m/>
    <s v="Pending"/>
    <x v="0"/>
    <x v="2"/>
  </r>
  <r>
    <x v="534"/>
    <s v="Sheel Hegde"/>
    <x v="2"/>
    <x v="35"/>
    <x v="25"/>
    <s v="Won"/>
    <s v="17-18 Dec 2022"/>
    <n v="21000"/>
    <n v="240.49473202015577"/>
    <d v="2022-12-14T00:00:00"/>
    <s v="S10"/>
    <d v="2022-12-14T00:00:00"/>
    <s v="CSTM_5VT1MIDUGOA"/>
    <m/>
    <s v="Pending"/>
    <x v="0"/>
    <x v="2"/>
  </r>
  <r>
    <x v="534"/>
    <s v="Madhumitha"/>
    <x v="13"/>
    <x v="7"/>
    <x v="25"/>
    <s v="Won"/>
    <d v="2022-12-17T00:00:00"/>
    <n v="10000"/>
    <n v="114.52130096197894"/>
    <d v="2022-12-14T00:00:00"/>
    <s v="S10"/>
    <d v="2022-12-14T00:00:00"/>
    <s v="CSTM_1GE25D3Z04Q"/>
    <m/>
    <s v="Pending"/>
    <x v="2"/>
    <x v="2"/>
  </r>
  <r>
    <x v="534"/>
    <s v="Ayushi Mohanty"/>
    <x v="1"/>
    <x v="0"/>
    <x v="25"/>
    <s v="Won"/>
    <s v="17-18 Dec 2022"/>
    <n v="21000"/>
    <n v="240.49473202015577"/>
    <d v="2022-12-14T00:00:00"/>
    <s v="S10"/>
    <d v="2022-12-14T00:00:00"/>
    <s v="CSTM_4JRQZCIOBXT"/>
    <s v="Reference by sriradhika@gmail.com"/>
    <s v="Pending"/>
    <x v="0"/>
    <x v="2"/>
  </r>
  <r>
    <x v="534"/>
    <s v="Suresh Babu"/>
    <x v="13"/>
    <x v="18"/>
    <x v="25"/>
    <s v="Won"/>
    <d v="2022-12-14T00:00:00"/>
    <n v="17700"/>
    <n v="202.70270270270271"/>
    <d v="2022-12-14T00:00:00"/>
    <s v="S10"/>
    <d v="2022-12-14T00:00:00"/>
    <s v="CSTM_4OD01F8LEFB"/>
    <m/>
    <s v="Pending"/>
    <x v="2"/>
    <x v="2"/>
  </r>
  <r>
    <x v="534"/>
    <s v="Thillai"/>
    <x v="6"/>
    <x v="34"/>
    <x v="25"/>
    <s v="Won"/>
    <s v="20-21 Dec 2022"/>
    <n v="24000"/>
    <n v="274.85112230874944"/>
    <d v="2022-12-14T00:00:00"/>
    <s v="S10"/>
    <d v="2022-12-14T00:00:00"/>
    <s v="CSTM_IK0HCP8GTP8"/>
    <m/>
    <s v="Pending"/>
    <x v="0"/>
    <x v="2"/>
  </r>
  <r>
    <x v="534"/>
    <s v="Ashok Poojary"/>
    <x v="5"/>
    <x v="34"/>
    <x v="25"/>
    <s v="Won"/>
    <s v="20-21 Dec 2022"/>
    <n v="24000"/>
    <n v="274.85112230874944"/>
    <d v="2022-12-14T00:00:00"/>
    <s v="S10"/>
    <d v="2022-12-14T00:00:00"/>
    <s v="CSTM_XH6CIQ27IX"/>
    <m/>
    <s v="Pending"/>
    <x v="0"/>
    <x v="2"/>
  </r>
  <r>
    <x v="534"/>
    <s v="Sharika"/>
    <x v="13"/>
    <x v="34"/>
    <x v="25"/>
    <s v="Won"/>
    <s v="20-21 Dec 2022"/>
    <n v="24000"/>
    <n v="274.85112230874944"/>
    <d v="2022-12-14T00:00:00"/>
    <s v="S10"/>
    <d v="2022-12-14T00:00:00"/>
    <s v="CSTM_10QVNC64H61"/>
    <m/>
    <s v="Pending"/>
    <x v="0"/>
    <x v="2"/>
  </r>
  <r>
    <x v="534"/>
    <s v="Pallavi Daje"/>
    <x v="1"/>
    <x v="35"/>
    <x v="25"/>
    <s v="Won"/>
    <s v="17-18 Dec 2022"/>
    <n v="24000"/>
    <n v="274.85112230874944"/>
    <d v="2022-12-14T00:00:00"/>
    <s v="S10"/>
    <d v="2022-12-15T00:00:00"/>
    <s v="CSTM_15RBWNGRTLB"/>
    <s v="Reference by anamika.sharma07@gmail.com"/>
    <s v="Pending"/>
    <x v="0"/>
    <x v="2"/>
  </r>
  <r>
    <x v="535"/>
    <s v="Vishal Ingle"/>
    <x v="7"/>
    <x v="0"/>
    <x v="25"/>
    <s v="Won"/>
    <s v="24-25 Dec 2022"/>
    <n v="21000"/>
    <n v="240.49473202015577"/>
    <d v="2022-12-15T00:00:00"/>
    <s v="S10"/>
    <d v="2022-12-15T00:00:00"/>
    <s v="CSTM_5CIIQV3DBWO"/>
    <m/>
    <s v="Pending"/>
    <x v="0"/>
    <x v="2"/>
  </r>
  <r>
    <x v="535"/>
    <s v="Lipika Chakraborty"/>
    <x v="7"/>
    <x v="35"/>
    <x v="25"/>
    <s v="Won"/>
    <s v="17-18 Dec 2022"/>
    <n v="24000"/>
    <n v="274.85112230874944"/>
    <d v="2022-12-15T00:00:00"/>
    <s v="S10"/>
    <d v="2022-12-15T00:00:00"/>
    <s v="CSTM_3CCVHL4KHRA"/>
    <m/>
    <s v="Pending"/>
    <x v="0"/>
    <x v="2"/>
  </r>
  <r>
    <x v="535"/>
    <s v="Abhishek M P"/>
    <x v="5"/>
    <x v="2"/>
    <x v="25"/>
    <s v="Won"/>
    <s v="24-25 Dec 2022"/>
    <n v="20000"/>
    <n v="229.04260192395787"/>
    <d v="2022-12-15T00:00:00"/>
    <s v="S10"/>
    <d v="2022-12-15T00:00:00"/>
    <s v="CSTM_2LLTE2E7BRE"/>
    <m/>
    <s v="Pending"/>
    <x v="1"/>
    <x v="2"/>
  </r>
  <r>
    <x v="536"/>
    <s v="Shweta Shri"/>
    <x v="2"/>
    <x v="0"/>
    <x v="25"/>
    <s v="Won"/>
    <s v="17-18 Dec 2022"/>
    <n v="21000"/>
    <n v="240.49473202015577"/>
    <d v="2022-12-16T00:00:00"/>
    <s v="S10"/>
    <d v="2022-12-16T00:00:00"/>
    <s v="CSTM_9PBYTXI2CG5"/>
    <m/>
    <s v="Pending"/>
    <x v="0"/>
    <x v="2"/>
  </r>
  <r>
    <x v="536"/>
    <s v="Sachin Yadav"/>
    <x v="5"/>
    <x v="0"/>
    <x v="25"/>
    <s v="Won"/>
    <s v="7-8 Jan 2022"/>
    <n v="21000"/>
    <n v="240.49473202015577"/>
    <d v="2022-12-16T00:00:00"/>
    <s v="S10"/>
    <d v="2022-12-16T00:00:00"/>
    <s v="CSTM_GO4S9CKSZNU"/>
    <m/>
    <s v="Pending"/>
    <x v="0"/>
    <x v="2"/>
  </r>
  <r>
    <x v="536"/>
    <s v="Sachin Yadav"/>
    <x v="5"/>
    <x v="35"/>
    <x v="25"/>
    <s v="Won"/>
    <s v="28-29 Jan 2022"/>
    <n v="24000"/>
    <n v="274.85112230874944"/>
    <d v="2022-12-16T00:00:00"/>
    <s v="S10"/>
    <d v="2022-12-16T00:00:00"/>
    <s v="CSTM_A1VOIVL407F"/>
    <m/>
    <s v="Pending"/>
    <x v="0"/>
    <x v="2"/>
  </r>
  <r>
    <x v="537"/>
    <s v="Darsh Savsani"/>
    <x v="2"/>
    <x v="2"/>
    <x v="25"/>
    <s v="Won"/>
    <s v="31 Dec 2022 - 1 Jan 2023"/>
    <n v="20000"/>
    <n v="229.04260192395787"/>
    <d v="2022-12-17T00:00:00"/>
    <s v="S10"/>
    <d v="2022-12-17T00:00:00"/>
    <s v="CSTM_2KZLMVGD1PK"/>
    <m/>
    <s v="Pending"/>
    <x v="1"/>
    <x v="2"/>
  </r>
  <r>
    <x v="538"/>
    <s v="Natesh Kumar"/>
    <x v="1"/>
    <x v="14"/>
    <x v="25"/>
    <s v="Won"/>
    <s v="21-22 Jan 2023"/>
    <n v="21000"/>
    <n v="240.49473202015577"/>
    <d v="2022-12-19T00:00:00"/>
    <s v="S10"/>
    <d v="2022-12-19T00:00:00"/>
    <s v="CSTM_446IOU0AFX0"/>
    <s v="Reference by vtjanaranjani@gmail.com"/>
    <s v="Pending"/>
    <x v="0"/>
    <x v="2"/>
  </r>
  <r>
    <x v="538"/>
    <s v="Anju T R"/>
    <x v="13"/>
    <x v="34"/>
    <x v="25"/>
    <s v="Won"/>
    <s v="20-21 Dec 2022"/>
    <n v="24000"/>
    <n v="274.85112230874944"/>
    <d v="2022-12-19T00:00:00"/>
    <s v="S10"/>
    <d v="2022-12-19T00:00:00"/>
    <s v="CSTM_2PQP7JNVNWX"/>
    <m/>
    <s v="Pending"/>
    <x v="0"/>
    <x v="2"/>
  </r>
  <r>
    <x v="539"/>
    <s v="Renuka Chitluri"/>
    <x v="2"/>
    <x v="2"/>
    <x v="25"/>
    <s v="Won"/>
    <s v="24-25 Dec 2022"/>
    <n v="20000"/>
    <n v="229.04260192395787"/>
    <d v="2022-12-20T00:00:00"/>
    <s v="S10"/>
    <d v="2022-12-20T00:00:00"/>
    <s v="CSTM_1FR2DX71L0Z"/>
    <m/>
    <s v="Pending"/>
    <x v="1"/>
    <x v="2"/>
  </r>
  <r>
    <x v="539"/>
    <s v="Manu Vats"/>
    <x v="2"/>
    <x v="35"/>
    <x v="25"/>
    <s v="Won"/>
    <s v="24-25 Dec 2022"/>
    <n v="24000"/>
    <n v="274.85112230874944"/>
    <d v="2022-12-20T00:00:00"/>
    <s v="S10"/>
    <d v="2022-12-20T00:00:00"/>
    <s v="CSTM_7G8S7YX4Z8O"/>
    <m/>
    <s v="Pending"/>
    <x v="0"/>
    <x v="2"/>
  </r>
  <r>
    <x v="540"/>
    <s v="Anjali Maurya"/>
    <x v="7"/>
    <x v="0"/>
    <x v="25"/>
    <s v="Won"/>
    <s v="24-25 Dec 2022"/>
    <n v="21000"/>
    <n v="240.49473202015577"/>
    <d v="2022-12-21T00:00:00"/>
    <s v="T10"/>
    <d v="2022-12-21T00:00:00"/>
    <s v="CSTM_5K9YVQXUSYF"/>
    <m/>
    <s v="Pending"/>
    <x v="0"/>
    <x v="2"/>
  </r>
  <r>
    <x v="541"/>
    <s v="Priya Sathyanarayana"/>
    <x v="1"/>
    <x v="35"/>
    <x v="25"/>
    <s v="Won"/>
    <s v="24-25 Dec 2022"/>
    <n v="24000"/>
    <n v="274.85112230874944"/>
    <d v="2022-12-21T00:00:00"/>
    <s v="S10"/>
    <d v="2022-12-21T00:00:00"/>
    <s v="CSTM_EF2DPLUMQRK"/>
    <m/>
    <s v="Pending"/>
    <x v="0"/>
    <x v="2"/>
  </r>
  <r>
    <x v="542"/>
    <s v="Reena Thomas"/>
    <x v="2"/>
    <x v="14"/>
    <x v="25"/>
    <s v="Won"/>
    <s v="7-8 Jan 2023"/>
    <n v="21000"/>
    <n v="240.49473202015577"/>
    <d v="2022-12-22T00:00:00"/>
    <s v="T10"/>
    <d v="2022-12-22T00:00:00"/>
    <s v="CSTM_ITHICR8CUBE"/>
    <m/>
    <s v="Pending"/>
    <x v="0"/>
    <x v="2"/>
  </r>
  <r>
    <x v="541"/>
    <s v="Himanshu Bhatia"/>
    <x v="1"/>
    <x v="35"/>
    <x v="25"/>
    <s v="Won"/>
    <s v="24-25 Dec 2022"/>
    <n v="24000"/>
    <n v="274.85112230874944"/>
    <d v="2022-12-23T00:00:00"/>
    <s v="T10"/>
    <d v="2022-12-23T00:00:00"/>
    <s v="CSTM_967AGVS3NKB"/>
    <s v="Reference by amrapaliashoka@gmail.com"/>
    <s v="Pending"/>
    <x v="0"/>
    <x v="2"/>
  </r>
  <r>
    <x v="543"/>
    <s v="Masood"/>
    <x v="6"/>
    <x v="9"/>
    <x v="25"/>
    <s v="Won"/>
    <s v="24-25 Dec 2022"/>
    <n v="48811"/>
    <n v="558.98992212551536"/>
    <d v="2022-12-24T00:00:00"/>
    <s v="T10"/>
    <d v="2022-12-24T00:00:00"/>
    <s v="CSTM_3XYEZCOC3EY"/>
    <m/>
    <s v="Pending"/>
    <x v="0"/>
    <x v="2"/>
  </r>
  <r>
    <x v="544"/>
    <s v="Sweta Kashyap"/>
    <x v="7"/>
    <x v="2"/>
    <x v="25"/>
    <s v="Won"/>
    <s v="26-27 Dec 2022"/>
    <n v="20000"/>
    <n v="229.04260192395787"/>
    <d v="2022-12-26T00:00:00"/>
    <s v="T10"/>
    <d v="2022-12-26T00:00:00"/>
    <s v="CSTM_J2UMZR9M1RI"/>
    <m/>
    <s v="Pending"/>
    <x v="1"/>
    <x v="2"/>
  </r>
  <r>
    <x v="544"/>
    <s v="Brinda"/>
    <x v="6"/>
    <x v="14"/>
    <x v="25"/>
    <s v="Won"/>
    <s v="7-8 Jan 2023"/>
    <n v="21000"/>
    <n v="240.49473202015577"/>
    <d v="2022-12-26T00:00:00"/>
    <s v="T10"/>
    <d v="2022-12-26T00:00:00"/>
    <s v="CSTM_6EMF7CLKADB"/>
    <m/>
    <s v="Pending"/>
    <x v="0"/>
    <x v="2"/>
  </r>
  <r>
    <x v="544"/>
    <s v="Brinda"/>
    <x v="6"/>
    <x v="0"/>
    <x v="25"/>
    <s v="Won"/>
    <s v="28-29 Jan 2023"/>
    <n v="21000"/>
    <n v="240.49473202015577"/>
    <d v="2022-12-26T00:00:00"/>
    <s v="T10"/>
    <d v="2022-12-26T00:00:00"/>
    <s v="CSTM_DI92D8GT5XG"/>
    <m/>
    <s v="Pending"/>
    <x v="0"/>
    <x v="2"/>
  </r>
  <r>
    <x v="544"/>
    <s v="Jayasree Narayana"/>
    <x v="5"/>
    <x v="35"/>
    <x v="25"/>
    <s v="Won"/>
    <s v="28-29 Jan 2023"/>
    <n v="24000"/>
    <n v="274.85112230874944"/>
    <d v="2022-12-26T00:00:00"/>
    <s v="T10"/>
    <d v="2022-12-26T00:00:00"/>
    <s v="CSTM_6G5DJO7G4D8"/>
    <m/>
    <s v="Pending"/>
    <x v="0"/>
    <x v="2"/>
  </r>
  <r>
    <x v="544"/>
    <s v="Kiran Yakkala"/>
    <x v="1"/>
    <x v="35"/>
    <x v="25"/>
    <s v="Won"/>
    <s v="28-29 Jan 2023"/>
    <n v="24000"/>
    <n v="274.85112230874944"/>
    <d v="2022-12-26T00:00:00"/>
    <s v="T10"/>
    <d v="2022-12-26T00:00:00"/>
    <s v="CSTM_1ITR4SD2F6H"/>
    <s v="Reference by yakkalak@gmail.com"/>
    <s v="Pending"/>
    <x v="0"/>
    <x v="2"/>
  </r>
  <r>
    <x v="545"/>
    <s v="Anjurana"/>
    <x v="13"/>
    <x v="7"/>
    <x v="26"/>
    <s v="Won"/>
    <d v="2023-01-23T00:00:00"/>
    <n v="46000"/>
    <n v="526.7979844251031"/>
    <d v="2022-12-27T00:00:00"/>
    <s v="S10"/>
    <d v="2023-01-13T00:00:00"/>
    <s v="CSTM_88MP2UF8XRT"/>
    <m/>
    <s v="Pending"/>
    <x v="2"/>
    <x v="3"/>
  </r>
  <r>
    <x v="546"/>
    <s v="Mohammad Rouff"/>
    <x v="6"/>
    <x v="34"/>
    <x v="25"/>
    <s v="Won"/>
    <s v="14-15 Jan 2023"/>
    <n v="24000"/>
    <n v="274.85112230874944"/>
    <d v="2022-12-28T00:00:00"/>
    <s v="T10"/>
    <d v="2022-12-28T00:00:00"/>
    <s v="CSTM_3H9FHSCK3YD"/>
    <m/>
    <s v="Pending"/>
    <x v="0"/>
    <x v="2"/>
  </r>
  <r>
    <x v="546"/>
    <s v="Achyuth Raju"/>
    <x v="1"/>
    <x v="2"/>
    <x v="25"/>
    <s v="Won"/>
    <s v="31 Dec 2022 - 1 Jan 2023"/>
    <n v="19824"/>
    <n v="227.02702702702703"/>
    <d v="2022-12-28T00:00:00"/>
    <s v="T10"/>
    <d v="2022-12-28T00:00:00"/>
    <s v="CSTM_GJH72LF5YEI"/>
    <m/>
    <s v="Pending"/>
    <x v="1"/>
    <x v="2"/>
  </r>
  <r>
    <x v="547"/>
    <s v="Anant Gupta"/>
    <x v="13"/>
    <x v="7"/>
    <x v="26"/>
    <s v="Won"/>
    <d v="2023-12-07T00:00:00"/>
    <n v="48567"/>
    <n v="556.19560238204315"/>
    <d v="2023-01-02T00:00:00"/>
    <s v="F10"/>
    <d v="2023-01-02T00:00:00"/>
    <s v="CSTM_GYDHI3AVWUJ"/>
    <m/>
    <s v="Pending"/>
    <x v="2"/>
    <x v="3"/>
  </r>
  <r>
    <x v="547"/>
    <s v="Sneha Poduri"/>
    <x v="13"/>
    <x v="24"/>
    <x v="26"/>
    <s v="Won"/>
    <s v="7-8 Jan 2023"/>
    <n v="40061"/>
    <n v="458.7837837837838"/>
    <d v="2023-01-02T00:00:00"/>
    <s v="F10"/>
    <d v="2023-01-02T00:00:00"/>
    <s v="CSTM_A6WWYCLTCIN"/>
    <m/>
    <s v="Pending"/>
    <x v="0"/>
    <x v="3"/>
  </r>
  <r>
    <x v="548"/>
    <s v="Mukesh Karod"/>
    <x v="1"/>
    <x v="18"/>
    <x v="26"/>
    <s v="Won"/>
    <s v="OSL"/>
    <n v="21000"/>
    <n v="240.49473202015577"/>
    <d v="2023-01-03T00:00:00"/>
    <s v="F10"/>
    <d v="2023-01-03T00:00:00"/>
    <s v="CSTM_G29I5S484PO"/>
    <s v="Reference by amrapaliashoka@gmail.com (Sanjit Desai)"/>
    <s v="Pending"/>
    <x v="2"/>
    <x v="3"/>
  </r>
  <r>
    <x v="548"/>
    <s v="Bijayini Sahoo"/>
    <x v="2"/>
    <x v="24"/>
    <x v="26"/>
    <s v="Won"/>
    <s v="7-8 Jan 2023"/>
    <n v="40061"/>
    <n v="458.7837837837838"/>
    <d v="2023-01-03T00:00:00"/>
    <s v="F10"/>
    <d v="2023-01-03T00:00:00"/>
    <s v="CSTM_FRTEFWYIH7N"/>
    <m/>
    <s v="Pending"/>
    <x v="0"/>
    <x v="3"/>
  </r>
  <r>
    <x v="548"/>
    <s v="Himanshu Aggarwal"/>
    <x v="1"/>
    <x v="0"/>
    <x v="26"/>
    <s v="Won"/>
    <s v="7-8 Jan 2023"/>
    <n v="21000"/>
    <n v="240.49473202015577"/>
    <d v="2023-01-03T00:00:00"/>
    <s v="F10"/>
    <d v="2023-01-03T00:00:00"/>
    <s v="CSTM_6PQAUTBK2ZR"/>
    <s v="Reference by amrapaliashoka@gmail.com"/>
    <s v="Pending"/>
    <x v="0"/>
    <x v="3"/>
  </r>
  <r>
    <x v="548"/>
    <s v="Poomica"/>
    <x v="13"/>
    <x v="0"/>
    <x v="26"/>
    <s v="Won"/>
    <s v="18-19 Feb 2023"/>
    <n v="21000"/>
    <n v="240.49473202015577"/>
    <d v="2023-01-03T00:00:00"/>
    <s v="F10"/>
    <d v="2023-01-03T00:00:00"/>
    <s v="CSTM_E4RQH8IMB13"/>
    <m/>
    <s v="Pending"/>
    <x v="0"/>
    <x v="3"/>
  </r>
  <r>
    <x v="548"/>
    <s v="Anish Bhandari"/>
    <x v="5"/>
    <x v="35"/>
    <x v="26"/>
    <s v="Won"/>
    <s v="14-15 Jan 2023"/>
    <n v="24000"/>
    <n v="274.85112230874944"/>
    <d v="2023-01-03T00:00:00"/>
    <s v="F10"/>
    <d v="2023-01-03T00:00:00"/>
    <s v="CSTM_B30I9JX5FY6"/>
    <m/>
    <s v="Pending"/>
    <x v="0"/>
    <x v="3"/>
  </r>
  <r>
    <x v="549"/>
    <s v="Megha Satish"/>
    <x v="13"/>
    <x v="18"/>
    <x v="26"/>
    <s v="Won"/>
    <d v="2023-01-07T00:00:00"/>
    <n v="21200"/>
    <n v="242.78515803939533"/>
    <d v="2023-01-05T00:00:00"/>
    <s v="F10"/>
    <d v="2023-01-05T00:00:00"/>
    <s v="CSTM_4TL90US4JBE"/>
    <m/>
    <s v="Pending"/>
    <x v="2"/>
    <x v="3"/>
  </r>
  <r>
    <x v="550"/>
    <s v="Reena Kotian"/>
    <x v="1"/>
    <x v="18"/>
    <x v="26"/>
    <s v="Won"/>
    <d v="2023-01-07T00:00:00"/>
    <n v="22000"/>
    <n v="251.94686211635369"/>
    <d v="2023-01-06T00:00:00"/>
    <s v="F10"/>
    <d v="2023-01-06T00:00:00"/>
    <s v="CSTM_DJH3WHJDSIR"/>
    <m/>
    <s v="Pending"/>
    <x v="2"/>
    <x v="3"/>
  </r>
  <r>
    <x v="550"/>
    <s v="Gaurav Helix"/>
    <x v="13"/>
    <x v="1"/>
    <x v="26"/>
    <s v="Won"/>
    <s v="7-8 Jan 2023"/>
    <n v="20000"/>
    <n v="229.04260192395787"/>
    <d v="2023-01-06T00:00:00"/>
    <s v="F10"/>
    <d v="2023-01-06T00:00:00"/>
    <s v="CSTM_1JR9U3SWTBF"/>
    <m/>
    <s v="Pending"/>
    <x v="1"/>
    <x v="3"/>
  </r>
  <r>
    <x v="550"/>
    <s v="Ashwini Poonacha"/>
    <x v="30"/>
    <x v="24"/>
    <x v="26"/>
    <s v="Won"/>
    <s v="28-29 Jan 2023"/>
    <n v="42000"/>
    <n v="480.98946404031153"/>
    <d v="2023-01-06T00:00:00"/>
    <s v="F10"/>
    <d v="2023-01-07T00:00:00"/>
    <s v="CSTM_71IQE5N4BUR"/>
    <m/>
    <s v="Pending"/>
    <x v="0"/>
    <x v="3"/>
  </r>
  <r>
    <x v="551"/>
    <s v="Prathap Suriaprakash"/>
    <x v="5"/>
    <x v="24"/>
    <x v="26"/>
    <s v="Won"/>
    <s v="21-22 Jan 2023"/>
    <n v="40061"/>
    <n v="458.7837837837838"/>
    <d v="2023-01-07T00:00:00"/>
    <s v="F10"/>
    <d v="2023-01-07T00:00:00"/>
    <s v="CSTM_ED8IK7UGJMX"/>
    <s v="Reference by Siddharth - Lalit"/>
    <s v="Pending"/>
    <x v="0"/>
    <x v="3"/>
  </r>
  <r>
    <x v="552"/>
    <s v="Nidhi Jauhari"/>
    <x v="1"/>
    <x v="35"/>
    <x v="26"/>
    <s v="Won"/>
    <s v="14-15 Jan 2023"/>
    <n v="24000"/>
    <n v="274.85112230874944"/>
    <d v="2023-01-09T00:00:00"/>
    <s v="F10"/>
    <d v="2023-01-09T00:00:00"/>
    <s v="CSTM_7DWZNL126U2"/>
    <s v="Reference by ashishawandkar@gmail.com"/>
    <s v="Pending"/>
    <x v="0"/>
    <x v="3"/>
  </r>
  <r>
    <x v="552"/>
    <s v="Shantaram Dhumal"/>
    <x v="6"/>
    <x v="35"/>
    <x v="26"/>
    <s v="Won"/>
    <s v="14-15 Jan 2023"/>
    <n v="24000"/>
    <n v="274.85112230874944"/>
    <d v="2023-01-09T00:00:00"/>
    <s v="F10"/>
    <d v="2023-01-09T00:00:00"/>
    <s v="CSTM_DI03PPKBI3Y"/>
    <m/>
    <s v="Pending"/>
    <x v="0"/>
    <x v="3"/>
  </r>
  <r>
    <x v="552"/>
    <s v="Jyoti Jayprakash"/>
    <x v="1"/>
    <x v="35"/>
    <x v="26"/>
    <s v="Won"/>
    <s v="14-15 Jan 2023"/>
    <n v="24000"/>
    <n v="274.85112230874944"/>
    <d v="2023-01-09T00:00:00"/>
    <s v="F10"/>
    <d v="2023-01-09T00:00:00"/>
    <s v="CSTM_C4ZRA4MK59"/>
    <s v="Reference by shantaram.dhumal11@gmail.com"/>
    <s v="Pending"/>
    <x v="0"/>
    <x v="3"/>
  </r>
  <r>
    <x v="552"/>
    <s v="Lakshmi Priya Nataraj"/>
    <x v="1"/>
    <x v="35"/>
    <x v="26"/>
    <s v="Won"/>
    <s v="14-15 Jan 2023"/>
    <n v="24000"/>
    <n v="274.85112230874944"/>
    <d v="2023-01-09T00:00:00"/>
    <s v="F10"/>
    <d v="2023-01-09T00:00:00"/>
    <s v="CSTM_3O26W05TWAG"/>
    <s v="Ashoka Amrapali"/>
    <s v="Pending"/>
    <x v="0"/>
    <x v="3"/>
  </r>
  <r>
    <x v="552"/>
    <s v="Monica Garg"/>
    <x v="6"/>
    <x v="35"/>
    <x v="26"/>
    <s v="Won"/>
    <s v="14-15 Jan 2023"/>
    <n v="24000"/>
    <n v="274.85112230874944"/>
    <d v="2023-01-10T00:00:00"/>
    <s v="F10"/>
    <d v="2023-01-10T00:00:00"/>
    <s v="CSTM_ALY9QAMSH7I"/>
    <m/>
    <s v="Pending"/>
    <x v="0"/>
    <x v="3"/>
  </r>
  <r>
    <x v="553"/>
    <s v="Linsha Saulfeer"/>
    <x v="5"/>
    <x v="2"/>
    <x v="26"/>
    <s v="Won"/>
    <s v="17-18 Jan 2023"/>
    <n v="20000"/>
    <n v="229.04260192395787"/>
    <d v="2023-01-10T00:00:00"/>
    <s v="F10"/>
    <d v="2023-01-10T00:00:00"/>
    <s v="CSTM_3KIQTGXLEFW"/>
    <m/>
    <s v="Pending"/>
    <x v="1"/>
    <x v="3"/>
  </r>
  <r>
    <x v="553"/>
    <s v="Aayush Mathur"/>
    <x v="13"/>
    <x v="64"/>
    <x v="26"/>
    <s v="Won"/>
    <s v="10-12 Jan 2023"/>
    <n v="31000"/>
    <n v="355.01603298213467"/>
    <d v="2023-01-10T00:00:00"/>
    <s v="F10"/>
    <d v="2023-01-10T00:00:00"/>
    <s v="CSTM_DMXTR9HOGBT"/>
    <m/>
    <s v="Pending"/>
    <x v="2"/>
    <x v="3"/>
  </r>
  <r>
    <x v="553"/>
    <s v="Mamata Kulk"/>
    <x v="1"/>
    <x v="35"/>
    <x v="26"/>
    <s v="Won"/>
    <s v="14-15 Jan 2023"/>
    <n v="24000"/>
    <n v="274.85112230874944"/>
    <d v="2023-01-10T00:00:00"/>
    <s v="F10"/>
    <d v="2023-01-10T00:00:00"/>
    <s v="CSTM_U36TGD8QDR"/>
    <m/>
    <s v="Pending"/>
    <x v="0"/>
    <x v="3"/>
  </r>
  <r>
    <x v="553"/>
    <s v="Neeraj Bhatt"/>
    <x v="1"/>
    <x v="14"/>
    <x v="26"/>
    <s v="Won"/>
    <s v="14-15 Jan 2023"/>
    <n v="21000"/>
    <n v="240.49473202015577"/>
    <d v="2023-01-10T00:00:00"/>
    <s v="F10"/>
    <d v="2023-01-10T00:00:00"/>
    <s v="CSTM_FM3N5XFB5O"/>
    <s v="Reference by samir_nov122002@yahoo.co.in"/>
    <s v="Pending"/>
    <x v="0"/>
    <x v="3"/>
  </r>
  <r>
    <x v="554"/>
    <s v="Prasanna Sesh"/>
    <x v="4"/>
    <x v="24"/>
    <x v="26"/>
    <s v="Won"/>
    <s v="4-5 Feb 2023"/>
    <n v="42000"/>
    <n v="480.98946404031153"/>
    <d v="2023-01-11T00:00:00"/>
    <s v="S10"/>
    <d v="2023-01-11T00:00:00"/>
    <s v="CSTM_HDJWOG8FPCP"/>
    <m/>
    <s v="Pending"/>
    <x v="0"/>
    <x v="3"/>
  </r>
  <r>
    <x v="554"/>
    <s v="Deepsikha Ghose"/>
    <x v="5"/>
    <x v="0"/>
    <x v="26"/>
    <s v="Won"/>
    <s v="14-15 Jan 2023"/>
    <n v="21000"/>
    <n v="240.49473202015577"/>
    <d v="2023-01-11T00:00:00"/>
    <s v="S10"/>
    <d v="2023-01-11T00:00:00"/>
    <s v="CSTM_7PZ5YN4PEG5"/>
    <m/>
    <s v="Pending"/>
    <x v="0"/>
    <x v="3"/>
  </r>
  <r>
    <x v="554"/>
    <s v="Rajarshi Datta"/>
    <x v="1"/>
    <x v="35"/>
    <x v="26"/>
    <s v="Won"/>
    <s v="11-12 Feb 2023"/>
    <n v="24000"/>
    <n v="274.85112230874944"/>
    <d v="2023-01-11T00:00:00"/>
    <s v="S10"/>
    <d v="2023-01-12T00:00:00"/>
    <s v="CSTM_FNWBAKZ8TK1"/>
    <s v="Reference by swatranjan.lahiri@bt.com"/>
    <s v="Pending"/>
    <x v="0"/>
    <x v="3"/>
  </r>
  <r>
    <x v="555"/>
    <s v="Nisha Iyer"/>
    <x v="1"/>
    <x v="35"/>
    <x v="26"/>
    <s v="Won"/>
    <s v="28-29 Jan 2023"/>
    <n v="24000"/>
    <n v="274.85112230874944"/>
    <d v="2023-01-12T00:00:00"/>
    <s v="S10"/>
    <d v="2023-01-12T00:00:00"/>
    <s v="CSTM_4TTFO539SZ5"/>
    <s v="Reference by sheela.hegde@gmail.com"/>
    <s v="Pending"/>
    <x v="0"/>
    <x v="3"/>
  </r>
  <r>
    <x v="556"/>
    <s v="Kush Maheshwari"/>
    <x v="3"/>
    <x v="14"/>
    <x v="26"/>
    <s v="Won"/>
    <s v="14-15 Jan 2023"/>
    <n v="21000"/>
    <n v="240.49473202015577"/>
    <d v="2023-01-13T00:00:00"/>
    <s v="S10"/>
    <d v="2023-01-13T00:00:00"/>
    <s v="CSTM_DAU3DQM2I4I"/>
    <m/>
    <s v="Pending"/>
    <x v="0"/>
    <x v="3"/>
  </r>
  <r>
    <x v="556"/>
    <s v="Rohan Erande"/>
    <x v="1"/>
    <x v="9"/>
    <x v="26"/>
    <s v="Won"/>
    <s v="21-22 Jan 2023"/>
    <n v="42000"/>
    <n v="480.98946404031153"/>
    <d v="2023-01-13T00:00:00"/>
    <s v="S10"/>
    <d v="2023-01-13T00:00:00"/>
    <s v="CSTM_46347WLR14J"/>
    <s v="Reference by ashishawandkar@gmail.com"/>
    <s v="Pending"/>
    <x v="0"/>
    <x v="3"/>
  </r>
  <r>
    <x v="556"/>
    <s v="Aparna Gupta"/>
    <x v="1"/>
    <x v="35"/>
    <x v="26"/>
    <s v="Won"/>
    <s v="11-12 Feb 2023"/>
    <n v="24000"/>
    <n v="274.85112230874944"/>
    <d v="2023-01-13T00:00:00"/>
    <s v="S10"/>
    <d v="2023-01-16T00:00:00"/>
    <s v="CSTM_97IUC31FPQS"/>
    <s v="Reference by keerti1895@gmail.com"/>
    <s v="Pending"/>
    <x v="0"/>
    <x v="3"/>
  </r>
  <r>
    <x v="556"/>
    <s v="Amey Tambe"/>
    <x v="3"/>
    <x v="14"/>
    <x v="26"/>
    <s v="Won"/>
    <s v="14-15 Jan 2023"/>
    <n v="21000"/>
    <n v="240.49473202015577"/>
    <d v="2023-01-13T00:00:00"/>
    <s v="S10"/>
    <d v="2023-01-13T00:00:00"/>
    <s v="CSTM_H5NE937UWNR"/>
    <m/>
    <s v="Pending"/>
    <x v="0"/>
    <x v="3"/>
  </r>
  <r>
    <x v="554"/>
    <s v="Siddhika Mathur"/>
    <x v="1"/>
    <x v="65"/>
    <x v="26"/>
    <s v="Won"/>
    <s v="LVC"/>
    <n v="27000"/>
    <n v="309.20751259734311"/>
    <d v="2023-01-11T00:00:00"/>
    <s v="S10"/>
    <d v="2023-01-11T00:00:00"/>
    <s v="CSTM_PARTIAL_SUBS_HSIJ8MKYSXG"/>
    <m/>
    <s v="Pending"/>
    <x v="2"/>
    <x v="3"/>
  </r>
  <r>
    <x v="557"/>
    <s v="Rinisha"/>
    <x v="13"/>
    <x v="1"/>
    <x v="26"/>
    <s v="Won"/>
    <s v="21-22 Jan 2023"/>
    <n v="20000"/>
    <n v="229.04260192395787"/>
    <d v="2023-01-17T00:00:00"/>
    <s v="S10"/>
    <d v="2023-01-17T00:00:00"/>
    <s v="CSTM_DZROB07H9QB"/>
    <m/>
    <s v="Pending"/>
    <x v="1"/>
    <x v="3"/>
  </r>
  <r>
    <x v="557"/>
    <s v="Atul Khare"/>
    <x v="7"/>
    <x v="0"/>
    <x v="26"/>
    <s v="Won"/>
    <s v="21-22 Jan 2023"/>
    <n v="21000"/>
    <n v="240.49473202015577"/>
    <d v="2023-01-17T00:00:00"/>
    <s v="S10"/>
    <d v="2023-01-17T00:00:00"/>
    <s v="CSTM_2DLSSODXL6C"/>
    <m/>
    <s v="Pending"/>
    <x v="0"/>
    <x v="3"/>
  </r>
  <r>
    <x v="557"/>
    <s v="Rajeev Jha"/>
    <x v="6"/>
    <x v="14"/>
    <x v="26"/>
    <s v="Won"/>
    <s v="21-22 Jan 2023"/>
    <n v="21000"/>
    <n v="240.49473202015577"/>
    <d v="2023-01-17T00:00:00"/>
    <s v="S10"/>
    <d v="2023-01-17T00:00:00"/>
    <s v="CSTM_CSLRIQS350X"/>
    <m/>
    <s v="Pending"/>
    <x v="0"/>
    <x v="3"/>
  </r>
  <r>
    <x v="557"/>
    <s v="Sandeep Verma"/>
    <x v="6"/>
    <x v="35"/>
    <x v="26"/>
    <s v="Won"/>
    <s v="28-29 Jan 2023"/>
    <n v="24000"/>
    <n v="274.85112230874944"/>
    <d v="2023-01-17T00:00:00"/>
    <s v="S10"/>
    <d v="2023-01-17T00:00:00"/>
    <s v="CSTM_6735VNT6BF7"/>
    <m/>
    <s v="Pending"/>
    <x v="0"/>
    <x v="3"/>
  </r>
  <r>
    <x v="557"/>
    <s v="Shaily Soni"/>
    <x v="5"/>
    <x v="24"/>
    <x v="26"/>
    <s v="Won"/>
    <s v="21-22 Jan 2023"/>
    <n v="40061"/>
    <n v="458.7837837837838"/>
    <d v="2023-01-17T00:00:00"/>
    <s v="S10"/>
    <d v="2023-01-17T00:00:00"/>
    <s v="CSTM_JE0UVUJJB5L"/>
    <m/>
    <s v="Pending"/>
    <x v="0"/>
    <x v="3"/>
  </r>
  <r>
    <x v="558"/>
    <s v="Moonmoon"/>
    <x v="1"/>
    <x v="9"/>
    <x v="26"/>
    <s v="Won"/>
    <s v="21-22 Jan 2023"/>
    <n v="41000"/>
    <n v="469.53733394411364"/>
    <d v="2023-01-19T00:00:00"/>
    <s v="S10"/>
    <d v="2023-01-19T00:00:00"/>
    <s v="CSTM_ER3E1ABRI3P"/>
    <m/>
    <s v="Pending"/>
    <x v="0"/>
    <x v="3"/>
  </r>
  <r>
    <x v="558"/>
    <s v="Riaz"/>
    <x v="13"/>
    <x v="18"/>
    <x v="26"/>
    <s v="Won"/>
    <s v="OSL"/>
    <n v="20000"/>
    <n v="229.04260192395787"/>
    <d v="2023-01-19T00:00:00"/>
    <s v="T10"/>
    <d v="2023-01-25T00:00:00"/>
    <s v="CSTM_7GVE480GA4Y"/>
    <m/>
    <s v="Pending"/>
    <x v="2"/>
    <x v="3"/>
  </r>
  <r>
    <x v="559"/>
    <s v="Nidhi Arora"/>
    <x v="1"/>
    <x v="9"/>
    <x v="26"/>
    <s v="Won"/>
    <s v="4-5 Feb 2023"/>
    <n v="42000"/>
    <n v="480.98946404031153"/>
    <d v="2023-01-20T00:00:00"/>
    <s v="S10"/>
    <d v="2023-01-20T00:00:00"/>
    <s v="CSTM_6GQFBHJ1DYA"/>
    <m/>
    <s v="Pending"/>
    <x v="0"/>
    <x v="3"/>
  </r>
  <r>
    <x v="559"/>
    <s v="Nandhini PS"/>
    <x v="7"/>
    <x v="9"/>
    <x v="26"/>
    <s v="Won"/>
    <s v="4-5 Feb 2023"/>
    <n v="42000"/>
    <n v="480.98946404031153"/>
    <d v="2023-01-20T00:00:00"/>
    <s v="S10"/>
    <d v="2023-01-20T00:00:00"/>
    <s v="CSTM_HQTCGJHCU7K"/>
    <m/>
    <s v="Pending"/>
    <x v="0"/>
    <x v="3"/>
  </r>
  <r>
    <x v="559"/>
    <s v="Renu Sharma"/>
    <x v="5"/>
    <x v="66"/>
    <x v="26"/>
    <s v="Won"/>
    <d v="2023-01-28T00:00:00"/>
    <n v="45000"/>
    <n v="515.34585432890515"/>
    <d v="2023-01-20T00:00:00"/>
    <s v="S10"/>
    <d v="2023-01-20T00:00:00"/>
    <s v="CSTM_HLW0G3HMIFL"/>
    <m/>
    <s v="Pending"/>
    <x v="2"/>
    <x v="3"/>
  </r>
  <r>
    <x v="560"/>
    <s v="Anu Apoorva"/>
    <x v="5"/>
    <x v="14"/>
    <x v="26"/>
    <s v="Won"/>
    <s v="18-19 Feb 2023"/>
    <n v="21000"/>
    <n v="240.49473202015577"/>
    <d v="2023-01-21T00:00:00"/>
    <s v="T10"/>
    <d v="2023-01-21T00:00:00"/>
    <s v="CSTM_DL9T2I1A85S"/>
    <m/>
    <s v="Pending"/>
    <x v="0"/>
    <x v="3"/>
  </r>
  <r>
    <x v="560"/>
    <s v="Deepti Mishra"/>
    <x v="5"/>
    <x v="35"/>
    <x v="26"/>
    <s v="Won"/>
    <s v="28-29 Jan 2023"/>
    <n v="24000"/>
    <n v="274.85112230874944"/>
    <d v="2023-01-21T00:00:00"/>
    <s v="T10"/>
    <d v="2023-01-23T00:00:00"/>
    <s v="CSTM_AKC772R9CVB"/>
    <m/>
    <s v="Pending"/>
    <x v="0"/>
    <x v="3"/>
  </r>
  <r>
    <x v="560"/>
    <s v="Krupa Padmanaban"/>
    <x v="24"/>
    <x v="35"/>
    <x v="26"/>
    <s v="Won"/>
    <s v="28-29 Jan 2023"/>
    <n v="24000"/>
    <n v="274.85112230874944"/>
    <d v="2023-01-21T00:00:00"/>
    <s v="T10"/>
    <d v="2023-01-23T00:00:00"/>
    <s v="CSTM_5UC1LNH6WVM"/>
    <m/>
    <s v="Pending"/>
    <x v="0"/>
    <x v="3"/>
  </r>
  <r>
    <x v="561"/>
    <s v="Lazarus Imanuel"/>
    <x v="1"/>
    <x v="2"/>
    <x v="26"/>
    <s v="Won"/>
    <s v="23-25 Jan 2023"/>
    <n v="20000"/>
    <n v="229.04260192395787"/>
    <d v="2023-01-22T00:00:00"/>
    <s v="T10"/>
    <d v="2023-01-22T00:00:00"/>
    <s v="CSTM_CBUTVMX6IMY"/>
    <s v="Reference by pragyak491@gmail.com"/>
    <s v="Pending"/>
    <x v="1"/>
    <x v="3"/>
  </r>
  <r>
    <x v="562"/>
    <s v="Rakesh Anand"/>
    <x v="13"/>
    <x v="1"/>
    <x v="26"/>
    <s v="Won"/>
    <s v="28-29 Jan 2023"/>
    <n v="20000"/>
    <n v="229.04260192395787"/>
    <d v="2023-01-23T00:00:00"/>
    <s v="T10"/>
    <d v="2023-01-23T00:00:00"/>
    <s v="CSTM_AGLQKL50B4N"/>
    <m/>
    <s v="Pending"/>
    <x v="1"/>
    <x v="3"/>
  </r>
  <r>
    <x v="563"/>
    <s v="Ben Lawrence"/>
    <x v="5"/>
    <x v="35"/>
    <x v="26"/>
    <s v="Won"/>
    <s v="28-29 Jan 2023"/>
    <n v="24000"/>
    <n v="274.85112230874944"/>
    <d v="2023-01-24T00:00:00"/>
    <s v="T10"/>
    <d v="2023-01-24T00:00:00"/>
    <s v="CSTM_H83V8RI9PVC"/>
    <m/>
    <s v="Pending"/>
    <x v="0"/>
    <x v="3"/>
  </r>
  <r>
    <x v="563"/>
    <s v="Dharmendra"/>
    <x v="7"/>
    <x v="35"/>
    <x v="26"/>
    <s v="Won"/>
    <s v="28-29 Jan 2023"/>
    <n v="24000"/>
    <n v="274.85112230874944"/>
    <d v="2023-01-24T00:00:00"/>
    <s v="T10"/>
    <d v="2023-01-24T00:00:00"/>
    <s v="CSTM_5Y9IS3MMWY9"/>
    <m/>
    <s v="Pending"/>
    <x v="0"/>
    <x v="3"/>
  </r>
  <r>
    <x v="563"/>
    <s v="Madhavi"/>
    <x v="1"/>
    <x v="35"/>
    <x v="26"/>
    <s v="Won"/>
    <s v="28-29 Jan 2023"/>
    <n v="24000"/>
    <n v="274.85112230874944"/>
    <d v="2023-01-24T00:00:00"/>
    <s v="T10"/>
    <d v="2023-01-24T00:00:00"/>
    <s v="CSTM_8AFE6W313KW"/>
    <s v="Reference by suprava.cutee@gmail.com"/>
    <s v="Pending"/>
    <x v="0"/>
    <x v="3"/>
  </r>
  <r>
    <x v="564"/>
    <s v="Subhashree Gururajan"/>
    <x v="1"/>
    <x v="35"/>
    <x v="26"/>
    <s v="Won"/>
    <s v="11-12 Feb 2023"/>
    <n v="24000"/>
    <n v="274.85112230874944"/>
    <d v="2023-01-25T00:00:00"/>
    <s v="T10"/>
    <d v="2023-01-25T00:00:00"/>
    <s v="CSTM_IYEUJ49M1NR"/>
    <s v="Reference by pragyak491@gmail.com"/>
    <s v="Pending"/>
    <x v="0"/>
    <x v="3"/>
  </r>
  <r>
    <x v="564"/>
    <s v="Manoj Gosain"/>
    <x v="1"/>
    <x v="14"/>
    <x v="26"/>
    <s v="Won"/>
    <s v="28-29 Jan 2023"/>
    <n v="21000"/>
    <n v="240.49473202015577"/>
    <d v="2023-01-25T00:00:00"/>
    <s v="T10"/>
    <d v="2023-01-25T00:00:00"/>
    <s v="CSTM_5SYJQTHLTOG"/>
    <s v="Reference by samir_nov122002@yahoo.co.in"/>
    <s v="Pending"/>
    <x v="0"/>
    <x v="3"/>
  </r>
  <r>
    <x v="565"/>
    <s v="Lavanya Akkineni"/>
    <x v="3"/>
    <x v="14"/>
    <x v="26"/>
    <s v="Won"/>
    <s v="28-29 Jan 2023"/>
    <n v="21000"/>
    <n v="240.49473202015577"/>
    <d v="2023-01-26T00:00:00"/>
    <s v="T10"/>
    <d v="2023-01-26T00:00:00"/>
    <s v="CSTM_CBS3PUDGRM4"/>
    <m/>
    <s v="Pending"/>
    <x v="0"/>
    <x v="3"/>
  </r>
  <r>
    <x v="566"/>
    <s v="Devroop Moulik"/>
    <x v="2"/>
    <x v="14"/>
    <x v="26"/>
    <s v="Won"/>
    <s v="28-29 Jan 2023"/>
    <n v="21000"/>
    <n v="240.49473202015577"/>
    <d v="2023-01-27T00:00:00"/>
    <s v="T10"/>
    <d v="2023-01-27T00:00:00"/>
    <s v="CSTM_J559OPMCONE"/>
    <m/>
    <s v="Pending"/>
    <x v="0"/>
    <x v="3"/>
  </r>
  <r>
    <x v="566"/>
    <s v="Parth"/>
    <x v="5"/>
    <x v="14"/>
    <x v="26"/>
    <s v="Won"/>
    <s v="18-19 Feb 2023"/>
    <n v="21000"/>
    <n v="240.49473202015577"/>
    <d v="2023-01-27T00:00:00"/>
    <s v="T10"/>
    <d v="2023-01-27T00:00:00"/>
    <s v="CSTM_8Z0W7R500QA"/>
    <m/>
    <s v="Pending"/>
    <x v="0"/>
    <x v="3"/>
  </r>
  <r>
    <x v="566"/>
    <s v="Krishanu"/>
    <x v="1"/>
    <x v="14"/>
    <x v="26"/>
    <s v="Won"/>
    <s v="18-19 Feb 2023"/>
    <n v="21000"/>
    <n v="240.49473202015577"/>
    <d v="2023-01-27T00:00:00"/>
    <s v="T10"/>
    <d v="2023-01-27T00:00:00"/>
    <s v="CSTM_6IGE9QGVL2T"/>
    <s v="Reference by 13202212@ksom.ac.in"/>
    <s v="Pending"/>
    <x v="0"/>
    <x v="3"/>
  </r>
  <r>
    <x v="566"/>
    <s v="Trisha Sharma"/>
    <x v="2"/>
    <x v="9"/>
    <x v="26"/>
    <s v="Won"/>
    <s v="4-5 Feb 2023"/>
    <n v="40061"/>
    <n v="458.7837837837838"/>
    <d v="2023-01-27T00:00:00"/>
    <s v="T10"/>
    <d v="2023-01-27T00:00:00"/>
    <s v="CSTM_DN58G9Q0IWL"/>
    <m/>
    <s v="Pending"/>
    <x v="0"/>
    <x v="3"/>
  </r>
  <r>
    <x v="567"/>
    <s v="Nagaraj T D"/>
    <x v="1"/>
    <x v="18"/>
    <x v="27"/>
    <s v="Won"/>
    <d v="2023-02-04T00:00:00"/>
    <n v="21200"/>
    <n v="242.78515803939533"/>
    <d v="2023-01-31T00:00:00"/>
    <s v="F10"/>
    <d v="2023-02-01T00:00:00"/>
    <s v="CSTM_5TN3OO3TBRF"/>
    <s v="Reference by terdalravikumar@gmail.com"/>
    <s v="Pending"/>
    <x v="2"/>
    <x v="3"/>
  </r>
  <r>
    <x v="567"/>
    <s v="Sukanya Misra"/>
    <x v="1"/>
    <x v="14"/>
    <x v="26"/>
    <s v="Won"/>
    <s v="18-19 Feb 2023"/>
    <n v="21000"/>
    <n v="240.49473202015577"/>
    <d v="2023-01-31T00:00:00"/>
    <s v="T10"/>
    <d v="2023-01-31T00:00:00"/>
    <s v="CSTM_C9S00QR9ALN"/>
    <s v="Reference by static.virtue@gmail.com"/>
    <s v="Pending"/>
    <x v="0"/>
    <x v="3"/>
  </r>
  <r>
    <x v="567"/>
    <s v="Ganesh Shetty"/>
    <x v="13"/>
    <x v="67"/>
    <x v="26"/>
    <s v="Won"/>
    <s v="23-26 Feb 2023"/>
    <n v="690000"/>
    <n v="7901.9697663765464"/>
    <d v="2023-01-27T00:00:00"/>
    <s v="T10"/>
    <d v="2023-01-31T00:00:00"/>
    <s v="64755/ 00064755_01"/>
    <m/>
    <s v="Pending"/>
    <x v="0"/>
    <x v="3"/>
  </r>
  <r>
    <x v="567"/>
    <s v="Shashwat Kumar"/>
    <x v="7"/>
    <x v="24"/>
    <x v="26"/>
    <s v="Won"/>
    <s v="4-5 Feb 2023"/>
    <n v="40061"/>
    <n v="458.7837837837838"/>
    <d v="2023-01-31T00:00:00"/>
    <s v="T10"/>
    <d v="2023-01-31T00:00:00"/>
    <s v="CSTM_AJCQG5QW7QH"/>
    <m/>
    <s v="Pending"/>
    <x v="0"/>
    <x v="3"/>
  </r>
  <r>
    <x v="568"/>
    <s v="Sumi Paramesh"/>
    <x v="2"/>
    <x v="9"/>
    <x v="27"/>
    <s v="Won"/>
    <s v="11-12 Feb 2023"/>
    <n v="42000"/>
    <n v="480.98946404031153"/>
    <d v="2023-02-01T00:00:00"/>
    <s v="F10"/>
    <d v="2023-02-01T00:00:00"/>
    <s v="CSTM_BCSU7QLME8D"/>
    <m/>
    <s v="Pending"/>
    <x v="0"/>
    <x v="3"/>
  </r>
  <r>
    <x v="568"/>
    <s v="Vaibhav Bhatia"/>
    <x v="3"/>
    <x v="2"/>
    <x v="27"/>
    <s v="Won"/>
    <s v="11-12 Feb 2023"/>
    <n v="20000"/>
    <n v="229.04260192395787"/>
    <d v="2023-02-01T00:00:00"/>
    <s v="F10"/>
    <d v="2023-02-01T00:00:00"/>
    <s v="CSTM_GGV9TBO3LFY"/>
    <m/>
    <s v="Pending"/>
    <x v="1"/>
    <x v="3"/>
  </r>
  <r>
    <x v="569"/>
    <s v="Sushil Nair"/>
    <x v="30"/>
    <x v="0"/>
    <x v="27"/>
    <s v="Won"/>
    <s v="4-5 Feb 2023"/>
    <n v="21000"/>
    <n v="240.49473202015577"/>
    <d v="2023-02-02T00:00:00"/>
    <s v="F10"/>
    <d v="2023-02-02T00:00:00"/>
    <s v="CSTM_4LE7TJHQM5X"/>
    <m/>
    <s v="Pending"/>
    <x v="0"/>
    <x v="3"/>
  </r>
  <r>
    <x v="569"/>
    <s v="Sreelakshmi Pillai"/>
    <x v="7"/>
    <x v="64"/>
    <x v="27"/>
    <s v="Won"/>
    <s v="10-12 Feb 2023"/>
    <n v="31000"/>
    <n v="355.01603298213467"/>
    <d v="2023-02-02T00:00:00"/>
    <s v="F10"/>
    <d v="2023-02-02T00:00:00"/>
    <s v="CSTM_1WCXSJKVYKF"/>
    <m/>
    <s v="Pending"/>
    <x v="2"/>
    <x v="3"/>
  </r>
  <r>
    <x v="569"/>
    <s v="Prem Ananth"/>
    <x v="6"/>
    <x v="9"/>
    <x v="27"/>
    <s v="Won"/>
    <s v="4-5 Feb 2023"/>
    <n v="40061"/>
    <n v="458.7837837837838"/>
    <d v="2023-02-02T00:00:00"/>
    <s v="F10"/>
    <d v="2023-02-02T00:00:00"/>
    <s v="CSTM_8OLKK3Y3JQV"/>
    <m/>
    <s v="Pending"/>
    <x v="0"/>
    <x v="3"/>
  </r>
  <r>
    <x v="570"/>
    <s v="Vidhya Soma"/>
    <x v="6"/>
    <x v="0"/>
    <x v="27"/>
    <s v="Won"/>
    <s v="18-19 Feb 2023"/>
    <n v="21000"/>
    <n v="240.49473202015577"/>
    <d v="2023-02-03T00:00:00"/>
    <s v="F10"/>
    <d v="2023-02-03T00:00:00"/>
    <s v="CSTM_787ZKDCUBJ3"/>
    <m/>
    <s v="Pending"/>
    <x v="0"/>
    <x v="3"/>
  </r>
  <r>
    <x v="570"/>
    <s v="Gaurav Vipani"/>
    <x v="7"/>
    <x v="14"/>
    <x v="27"/>
    <s v="Won"/>
    <s v="4-5 Feb 2023"/>
    <n v="21000"/>
    <n v="240.49473202015577"/>
    <d v="2023-02-03T00:00:00"/>
    <s v="F10"/>
    <d v="2023-02-03T00:00:00"/>
    <s v="CSTM_ENIRXEFZH1Z"/>
    <m/>
    <s v="Pending"/>
    <x v="0"/>
    <x v="3"/>
  </r>
  <r>
    <x v="571"/>
    <s v="Shivakumar Manju"/>
    <x v="1"/>
    <x v="35"/>
    <x v="27"/>
    <s v="Won"/>
    <s v="11-12 Feb 2023"/>
    <n v="24000"/>
    <n v="274.85112230874944"/>
    <d v="2023-02-04T00:00:00"/>
    <s v="F10"/>
    <d v="2023-02-04T00:00:00"/>
    <s v="CSTM_3H7HI5WZJFG"/>
    <s v="Reference by amrapaliashoka@gmail.com - aks.rec05@gmail.com"/>
    <s v="Pending"/>
    <x v="0"/>
    <x v="3"/>
  </r>
  <r>
    <x v="572"/>
    <s v="Akanksha"/>
    <x v="1"/>
    <x v="9"/>
    <x v="27"/>
    <s v="Won"/>
    <s v="18-19 Feb 2023"/>
    <n v="41000"/>
    <n v="469.53733394411364"/>
    <d v="2023-02-06T00:00:00"/>
    <s v="F10"/>
    <d v="2023-02-06T00:00:00"/>
    <s v="CSTM_11PYOZ984OX"/>
    <m/>
    <s v="Pending"/>
    <x v="0"/>
    <x v="3"/>
  </r>
  <r>
    <x v="572"/>
    <s v="Pooja Subramanian"/>
    <x v="1"/>
    <x v="2"/>
    <x v="27"/>
    <s v="Won"/>
    <s v="11-12 Feb 2023"/>
    <n v="20000"/>
    <n v="229.04260192395787"/>
    <d v="2023-02-06T00:00:00"/>
    <s v="F10"/>
    <d v="2023-02-06T00:00:00"/>
    <s v="CSTM_B094KRDNJSP"/>
    <s v="Reference by amrapaliashoka@gmail.com - divyapriya0194@gmail.com"/>
    <s v="Pending"/>
    <x v="1"/>
    <x v="3"/>
  </r>
  <r>
    <x v="572"/>
    <s v="Swati Jain"/>
    <x v="6"/>
    <x v="9"/>
    <x v="27"/>
    <s v="Won"/>
    <s v="11-12 Feb 2023"/>
    <n v="42000"/>
    <n v="480.98946404031153"/>
    <d v="2023-02-06T00:00:00"/>
    <s v="F10"/>
    <d v="2023-02-06T00:00:00"/>
    <s v="CSTM_DOGS9HZ148C"/>
    <m/>
    <s v="Pending"/>
    <x v="0"/>
    <x v="3"/>
  </r>
  <r>
    <x v="573"/>
    <s v="Imran Shak"/>
    <x v="1"/>
    <x v="34"/>
    <x v="27"/>
    <s v="Won"/>
    <s v="11-12 Feb 2023"/>
    <n v="24000"/>
    <n v="274.85112230874944"/>
    <d v="2023-02-07T00:00:00"/>
    <s v="F10"/>
    <d v="2023-02-07T00:00:00"/>
    <s v="CSTM_IH8BPMUQOGY"/>
    <s v="Reference by amrapaliashoka@gmail.com"/>
    <s v="Pending"/>
    <x v="0"/>
    <x v="3"/>
  </r>
  <r>
    <x v="573"/>
    <s v="Abdul S K"/>
    <x v="13"/>
    <x v="18"/>
    <x v="27"/>
    <s v="Won"/>
    <s v="11-12 Feb 2023"/>
    <n v="21100"/>
    <n v="241.63994502977556"/>
    <d v="2023-02-07T00:00:00"/>
    <s v="F10"/>
    <d v="2023-02-07T00:00:00"/>
    <s v="CSTM_4DAOU84GXT0"/>
    <m/>
    <s v="Pending"/>
    <x v="2"/>
    <x v="3"/>
  </r>
  <r>
    <x v="573"/>
    <s v="Bibhu Mohan"/>
    <x v="1"/>
    <x v="34"/>
    <x v="27"/>
    <s v="Won"/>
    <s v="11-12 Feb 2023"/>
    <n v="24000"/>
    <n v="274.85112230874944"/>
    <d v="2023-02-07T00:00:00"/>
    <s v="F10"/>
    <d v="2023-02-08T00:00:00"/>
    <s v="CSTM_9329R9CEMO6"/>
    <s v="Reference by sahoo.subha1024@gmail.com"/>
    <s v="Pending"/>
    <x v="0"/>
    <x v="3"/>
  </r>
  <r>
    <x v="573"/>
    <s v="Subhashree Sahoo"/>
    <x v="1"/>
    <x v="34"/>
    <x v="27"/>
    <s v="Won"/>
    <s v="11-12 Feb 2023"/>
    <n v="24000"/>
    <n v="274.85112230874944"/>
    <d v="2023-02-07T00:00:00"/>
    <s v="F10"/>
    <d v="2023-02-08T00:00:00"/>
    <s v="CSTM_I676BWGDK2Z"/>
    <s v="Reference by mail2bibhu@gmail.com"/>
    <s v="Pending"/>
    <x v="0"/>
    <x v="3"/>
  </r>
  <r>
    <x v="574"/>
    <s v="Anindita Biswas"/>
    <x v="6"/>
    <x v="9"/>
    <x v="27"/>
    <s v="Won"/>
    <s v="18-19 Feb 2023"/>
    <n v="40061"/>
    <n v="458.7837837837838"/>
    <d v="2023-02-08T00:00:00"/>
    <s v="F10"/>
    <d v="2023-02-08T00:00:00"/>
    <s v="CSTM_D5GE6OEVRKT"/>
    <m/>
    <s v="Pending"/>
    <x v="0"/>
    <x v="3"/>
  </r>
  <r>
    <x v="574"/>
    <s v="Swarnendu Kundu"/>
    <x v="5"/>
    <x v="9"/>
    <x v="27"/>
    <s v="Won"/>
    <s v="11-12 Feb 2023"/>
    <n v="42000"/>
    <n v="480.98946404031153"/>
    <d v="2023-02-08T00:00:00"/>
    <s v="F10"/>
    <d v="2023-02-08T00:00:00"/>
    <s v="CSTM_9KSO79C6952"/>
    <m/>
    <s v="Pending"/>
    <x v="0"/>
    <x v="3"/>
  </r>
  <r>
    <x v="574"/>
    <s v="Spandana Gaddam"/>
    <x v="6"/>
    <x v="34"/>
    <x v="27"/>
    <s v="Won"/>
    <s v="27-28 Feb 2023"/>
    <n v="24000"/>
    <n v="274.85112230874944"/>
    <d v="2023-02-08T00:00:00"/>
    <s v="F10"/>
    <d v="2023-02-08T00:00:00"/>
    <s v="CSTM_22TM8DZ3OAY"/>
    <m/>
    <s v="Pending"/>
    <x v="0"/>
    <x v="3"/>
  </r>
  <r>
    <x v="574"/>
    <s v="Pratyusha Chakrabarti"/>
    <x v="7"/>
    <x v="35"/>
    <x v="27"/>
    <s v="Won"/>
    <s v="11-12 Feb 2023"/>
    <n v="24000"/>
    <n v="274.85112230874944"/>
    <d v="2023-02-08T00:00:00"/>
    <s v="F10"/>
    <d v="2023-02-08T00:00:00"/>
    <s v="CSTM_ISQ8F1HYTH9"/>
    <m/>
    <s v="Pending"/>
    <x v="0"/>
    <x v="3"/>
  </r>
  <r>
    <x v="575"/>
    <s v="Shishir Shrivastava"/>
    <x v="1"/>
    <x v="2"/>
    <x v="27"/>
    <s v="Won"/>
    <s v="11-12 Feb 2023"/>
    <n v="20000"/>
    <n v="229.04260192395787"/>
    <d v="2023-02-09T00:00:00"/>
    <s v="F10"/>
    <d v="2023-02-09T00:00:00"/>
    <s v="CSTM_15WEKXDSTV4"/>
    <s v="Reference by Mihir - keerti1895@gmail.com"/>
    <s v="Pending"/>
    <x v="1"/>
    <x v="3"/>
  </r>
  <r>
    <x v="575"/>
    <s v="Shailesh Junghare"/>
    <x v="1"/>
    <x v="9"/>
    <x v="27"/>
    <s v="Won"/>
    <s v="18-19 Feb 2023"/>
    <n v="40061"/>
    <n v="458.7837837837838"/>
    <d v="2023-02-09T00:00:00"/>
    <s v="F10"/>
    <d v="2023-02-09T00:00:00"/>
    <s v="CSTM_6T8Z11UQUEM"/>
    <s v="Reference by Shailesh - pragyak491@gmail.com"/>
    <s v="Pending"/>
    <x v="0"/>
    <x v="3"/>
  </r>
  <r>
    <x v="575"/>
    <s v="Arun Kumar Arumughan"/>
    <x v="1"/>
    <x v="35"/>
    <x v="27"/>
    <s v="Won"/>
    <s v="11-12 Feb 2023"/>
    <n v="24000"/>
    <n v="274.85112230874944"/>
    <d v="2023-02-09T00:00:00"/>
    <s v="F10"/>
    <d v="2023-02-09T00:00:00"/>
    <s v="CSTM_6KYFFT7K3A7"/>
    <s v="Reference by arunkumar.arumughan@gmail.com"/>
    <s v="Pending"/>
    <x v="0"/>
    <x v="3"/>
  </r>
  <r>
    <x v="575"/>
    <s v="Vipin Tripathi"/>
    <x v="1"/>
    <x v="14"/>
    <x v="27"/>
    <s v="Won"/>
    <s v="18-19 Feb 2023"/>
    <n v="21000"/>
    <n v="240.49473202015577"/>
    <d v="2023-02-09T00:00:00"/>
    <s v="F10"/>
    <d v="2023-02-09T00:00:00"/>
    <s v="CSTM_FRK8LN8N2Y"/>
    <s v="Reference by samir_nov122002@yahoo.co.in"/>
    <s v="Pending"/>
    <x v="0"/>
    <x v="3"/>
  </r>
  <r>
    <x v="575"/>
    <s v="Vipin Tripathi"/>
    <x v="1"/>
    <x v="14"/>
    <x v="27"/>
    <s v="Won"/>
    <s v="18-19 Feb 2023"/>
    <n v="21000"/>
    <n v="240.49473202015577"/>
    <d v="2023-02-09T00:00:00"/>
    <s v="F10"/>
    <d v="2023-02-09T00:00:00"/>
    <s v="CSTM_FRK8LN8N2Y"/>
    <s v="Reference by samir_nov122002@yahoo.co.in"/>
    <s v="Pending"/>
    <x v="0"/>
    <x v="3"/>
  </r>
  <r>
    <x v="576"/>
    <s v="Prashant Saduwale"/>
    <x v="13"/>
    <x v="35"/>
    <x v="27"/>
    <s v="Won"/>
    <s v="25-26 Feb 2023"/>
    <n v="24000"/>
    <n v="274.85112230874944"/>
    <d v="2023-02-10T00:00:00"/>
    <s v="S10"/>
    <d v="2023-02-11T00:00:00"/>
    <s v="CSTM_7EOO07T0745"/>
    <m/>
    <s v="Pending"/>
    <x v="0"/>
    <x v="3"/>
  </r>
  <r>
    <x v="577"/>
    <s v="Sunil Kumar"/>
    <x v="13"/>
    <x v="35"/>
    <x v="27"/>
    <s v="Won"/>
    <s v="25-26 Feb 2023"/>
    <n v="24000"/>
    <n v="274.85112230874944"/>
    <d v="2023-02-11T00:00:00"/>
    <s v="S10"/>
    <d v="2023-02-11T00:00:00"/>
    <s v="CSTM_FSDO7HJFE5A"/>
    <m/>
    <s v="Pending"/>
    <x v="0"/>
    <x v="3"/>
  </r>
  <r>
    <x v="578"/>
    <s v="Hari Krishna"/>
    <x v="3"/>
    <x v="14"/>
    <x v="27"/>
    <s v="Won"/>
    <s v="18-19 Feb 2023"/>
    <n v="21000"/>
    <n v="240.49473202015577"/>
    <d v="2023-02-13T00:00:00"/>
    <s v="S10"/>
    <d v="2023-02-13T00:00:00"/>
    <s v="CSTM_9XT57VRKBZ3"/>
    <m/>
    <s v="Pending"/>
    <x v="0"/>
    <x v="3"/>
  </r>
  <r>
    <x v="578"/>
    <s v="Sachin Prasanna"/>
    <x v="7"/>
    <x v="0"/>
    <x v="27"/>
    <s v="Won"/>
    <s v="18-19 Feb 2023"/>
    <n v="21000"/>
    <n v="240.49473202015577"/>
    <d v="2023-02-13T00:00:00"/>
    <s v="S10"/>
    <d v="2023-02-13T00:00:00"/>
    <s v="CSTM_74XI9B2IVBW"/>
    <m/>
    <s v="Pending"/>
    <x v="0"/>
    <x v="3"/>
  </r>
  <r>
    <x v="578"/>
    <s v="Geetha"/>
    <x v="2"/>
    <x v="35"/>
    <x v="27"/>
    <s v="Won"/>
    <s v="25-26 Feb 2023"/>
    <n v="24000"/>
    <n v="274.85112230874944"/>
    <d v="2023-02-13T00:00:00"/>
    <s v="S10"/>
    <d v="2023-02-13T00:00:00"/>
    <s v="CSTM_8XDNL7N6IT2"/>
    <m/>
    <s v="Pending"/>
    <x v="0"/>
    <x v="3"/>
  </r>
  <r>
    <x v="579"/>
    <s v="Balaji T K"/>
    <x v="1"/>
    <x v="35"/>
    <x v="27"/>
    <s v="Won"/>
    <s v="25-26 Feb 2023"/>
    <n v="24000"/>
    <n v="274.85112230874944"/>
    <d v="2023-02-14T00:00:00"/>
    <s v="S10"/>
    <d v="2023-02-14T00:00:00"/>
    <s v="CSTM_87816O3BMCZ"/>
    <s v="Reference by verma.sandeep01@yahoo.com"/>
    <s v="Pending"/>
    <x v="0"/>
    <x v="3"/>
  </r>
  <r>
    <x v="579"/>
    <s v="Annal Metilda"/>
    <x v="6"/>
    <x v="9"/>
    <x v="27"/>
    <s v="Won"/>
    <s v="25-26 Feb 2023"/>
    <n v="42000"/>
    <n v="480.98946404031153"/>
    <d v="2023-02-14T00:00:00"/>
    <s v="S10"/>
    <d v="2023-02-14T00:00:00"/>
    <s v="CSTM_FJJ91PG3HDS"/>
    <m/>
    <s v="Pending"/>
    <x v="0"/>
    <x v="3"/>
  </r>
  <r>
    <x v="579"/>
    <s v="Vikram Sujith"/>
    <x v="5"/>
    <x v="9"/>
    <x v="27"/>
    <s v="Won"/>
    <s v="25-26 Feb 2023"/>
    <n v="40061"/>
    <n v="458.7837837837838"/>
    <d v="2023-02-14T00:00:00"/>
    <s v="S10"/>
    <d v="2023-02-14T00:00:00"/>
    <s v="CSTM_6ZUPTCBYN1A"/>
    <m/>
    <s v="Pending"/>
    <x v="0"/>
    <x v="3"/>
  </r>
  <r>
    <x v="580"/>
    <s v="Sandeep"/>
    <x v="1"/>
    <x v="2"/>
    <x v="27"/>
    <s v="Won"/>
    <s v="25-26 Feb 2023"/>
    <n v="20000"/>
    <n v="229.04260192395787"/>
    <d v="2023-02-16T00:00:00"/>
    <s v="S10"/>
    <d v="2023-02-16T00:00:00"/>
    <s v="CSTM_7DU9LQRWN8K"/>
    <s v="Reference by pranavbarve15@gmail.com"/>
    <s v="Pending"/>
    <x v="1"/>
    <x v="3"/>
  </r>
  <r>
    <x v="580"/>
    <s v="Abubakkar Sithick"/>
    <x v="9"/>
    <x v="9"/>
    <x v="27"/>
    <s v="Won"/>
    <s v="4-5 March 2023"/>
    <n v="40061"/>
    <n v="458.7837837837838"/>
    <d v="2023-02-16T00:00:00"/>
    <s v="S10"/>
    <d v="2023-02-16T00:00:00"/>
    <s v="CSTM_3TA8MVC0Y2"/>
    <m/>
    <s v="Pending"/>
    <x v="0"/>
    <x v="3"/>
  </r>
  <r>
    <x v="580"/>
    <s v="Spandana Sidharth"/>
    <x v="5"/>
    <x v="0"/>
    <x v="27"/>
    <s v="Won"/>
    <s v="18-19 Feb 2023"/>
    <n v="21000"/>
    <n v="240.49473202015577"/>
    <d v="2023-02-16T00:00:00"/>
    <s v="S10"/>
    <d v="2023-02-16T00:00:00"/>
    <s v="CSTM_950FATPXWQE"/>
    <m/>
    <s v="Pending"/>
    <x v="0"/>
    <x v="3"/>
  </r>
  <r>
    <x v="580"/>
    <s v="Pooja Bhardwaj"/>
    <x v="1"/>
    <x v="1"/>
    <x v="27"/>
    <s v="Won"/>
    <s v="4-5 March 2023"/>
    <n v="20000"/>
    <n v="229.04260192395787"/>
    <d v="2023-02-16T00:00:00"/>
    <s v="S10"/>
    <d v="2023-02-16T00:00:00"/>
    <s v="CSTM_8ETMSYF168X"/>
    <s v="Reference by krishnendu.97274@homecredit.co.in"/>
    <s v="Pending"/>
    <x v="1"/>
    <x v="3"/>
  </r>
  <r>
    <x v="580"/>
    <s v="Vinayak Jaksan"/>
    <x v="2"/>
    <x v="0"/>
    <x v="27"/>
    <s v="Won"/>
    <s v="18-19 Feb 2023"/>
    <n v="21000"/>
    <n v="240.49473202015577"/>
    <d v="2023-02-16T00:00:00"/>
    <s v="S10"/>
    <d v="2023-02-16T00:00:00"/>
    <s v="CSTM_H2DP2820YI5"/>
    <m/>
    <s v="Pending"/>
    <x v="0"/>
    <x v="3"/>
  </r>
  <r>
    <x v="580"/>
    <s v="Arnab Kumar"/>
    <x v="1"/>
    <x v="35"/>
    <x v="27"/>
    <s v="Won"/>
    <s v="25-26 Feb 2023"/>
    <n v="24000"/>
    <n v="274.85112230874944"/>
    <d v="2023-02-16T00:00:00"/>
    <s v="S10"/>
    <d v="2023-02-16T00:00:00"/>
    <s v="CSTM_CJIDRETX5F4"/>
    <m/>
    <s v="Pending"/>
    <x v="0"/>
    <x v="3"/>
  </r>
  <r>
    <x v="581"/>
    <s v="Pubalee Kalita"/>
    <x v="1"/>
    <x v="35"/>
    <x v="27"/>
    <s v="Won"/>
    <s v="25-26 Feb 2023"/>
    <n v="24000"/>
    <n v="274.85112230874944"/>
    <d v="2023-02-17T00:00:00"/>
    <s v="S10"/>
    <d v="2023-02-17T00:00:00"/>
    <s v="CSTM_38COD8W8NPT"/>
    <s v="Reference by amrapaliashoka@gmail.com"/>
    <s v="Pending"/>
    <x v="0"/>
    <x v="3"/>
  </r>
  <r>
    <x v="581"/>
    <s v="Ayush Vyas"/>
    <x v="30"/>
    <x v="0"/>
    <x v="27"/>
    <s v="Won"/>
    <s v="18-19 Feb 2023"/>
    <n v="21000"/>
    <n v="240.49473202015577"/>
    <d v="2023-02-17T00:00:00"/>
    <s v="S10"/>
    <d v="2023-02-17T00:00:00"/>
    <s v="CSTM_5UDZV55W78G"/>
    <m/>
    <s v="Pending"/>
    <x v="0"/>
    <x v="3"/>
  </r>
  <r>
    <x v="582"/>
    <s v="Vibha Yadav"/>
    <x v="1"/>
    <x v="35"/>
    <x v="27"/>
    <s v="Won"/>
    <s v="25-26 Feb 2023"/>
    <n v="24000"/>
    <n v="274.85112230874944"/>
    <d v="2023-02-20T00:00:00"/>
    <s v="S10"/>
    <d v="2023-02-20T00:00:00"/>
    <s v="CSTM_3QVJ459O5CS"/>
    <s v="Reference by hbhatia1987@hotmail.com"/>
    <s v="Pending"/>
    <x v="0"/>
    <x v="3"/>
  </r>
  <r>
    <x v="582"/>
    <s v="Kamaldeep Sharma"/>
    <x v="5"/>
    <x v="1"/>
    <x v="27"/>
    <s v="Won"/>
    <s v="4-5 March 2023"/>
    <n v="20000"/>
    <n v="229.04260192395787"/>
    <d v="2023-02-20T00:00:00"/>
    <s v="S10"/>
    <d v="2023-02-20T00:00:00"/>
    <s v="CSTM_5A9UP7CNYHS"/>
    <m/>
    <s v="Pending"/>
    <x v="1"/>
    <x v="3"/>
  </r>
  <r>
    <x v="582"/>
    <s v="Sri Radhika"/>
    <x v="13"/>
    <x v="35"/>
    <x v="27"/>
    <s v="Won"/>
    <s v="25-26 Feb 2023"/>
    <n v="24000"/>
    <n v="274.85112230874944"/>
    <d v="2023-02-20T00:00:00"/>
    <s v="S10"/>
    <d v="2023-02-20T00:00:00"/>
    <s v="CSTM_HV0YLQ8TLBD"/>
    <m/>
    <s v="Pending"/>
    <x v="0"/>
    <x v="3"/>
  </r>
  <r>
    <x v="582"/>
    <s v="Shweta Patekar"/>
    <x v="6"/>
    <x v="14"/>
    <x v="27"/>
    <s v="Won"/>
    <s v="25-26 Feb 2023"/>
    <n v="21000"/>
    <n v="240.49473202015577"/>
    <d v="2023-02-20T00:00:00"/>
    <s v="S10"/>
    <d v="2023-02-20T00:00:00"/>
    <s v="CSTM_6NFOJO2OUAH"/>
    <m/>
    <s v="Pending"/>
    <x v="0"/>
    <x v="3"/>
  </r>
  <r>
    <x v="582"/>
    <s v="Anand Chamy"/>
    <x v="1"/>
    <x v="35"/>
    <x v="27"/>
    <s v="Won"/>
    <s v="11-12 March 2023"/>
    <n v="24000"/>
    <n v="274.85112230874944"/>
    <d v="2023-02-20T00:00:00"/>
    <s v="S10"/>
    <d v="2023-02-20T00:00:00"/>
    <s v="CSTM_HC6EZJBT4G3"/>
    <s v="Reference by nataraj.priya@gmail.com"/>
    <s v="Pending"/>
    <x v="0"/>
    <x v="3"/>
  </r>
  <r>
    <x v="582"/>
    <s v="Shivani Jain"/>
    <x v="7"/>
    <x v="1"/>
    <x v="27"/>
    <s v="Won"/>
    <s v="25-26 Feb 2023"/>
    <n v="20000"/>
    <n v="229.04260192395787"/>
    <d v="2023-02-20T00:00:00"/>
    <s v="S10"/>
    <d v="2023-02-20T00:00:00"/>
    <s v="CSTM_A3N7VFAIL6Z"/>
    <m/>
    <s v="Pending"/>
    <x v="1"/>
    <x v="3"/>
  </r>
  <r>
    <x v="582"/>
    <s v="Kalyani Reddy"/>
    <x v="2"/>
    <x v="35"/>
    <x v="27"/>
    <s v="Won"/>
    <s v="25-26 Feb 2023"/>
    <n v="24000"/>
    <n v="274.85112230874944"/>
    <d v="2023-02-20T00:00:00"/>
    <s v="S10"/>
    <d v="2023-02-20T00:00:00"/>
    <s v="CSTM_X35KFYRVWQ"/>
    <m/>
    <s v="Pending"/>
    <x v="0"/>
    <x v="3"/>
  </r>
  <r>
    <x v="582"/>
    <s v="Anjum Naziya"/>
    <x v="23"/>
    <x v="35"/>
    <x v="27"/>
    <s v="Won"/>
    <s v="25-26 Feb 2023"/>
    <n v="24000"/>
    <n v="274.85112230874944"/>
    <d v="2023-02-20T00:00:00"/>
    <s v="T10"/>
    <d v="2023-02-21T00:00:00"/>
    <s v="CSTM_FUJMF6X4U3L"/>
    <m/>
    <s v="Pending"/>
    <x v="0"/>
    <x v="3"/>
  </r>
  <r>
    <x v="582"/>
    <s v="Sherin Mohamed"/>
    <x v="1"/>
    <x v="7"/>
    <x v="27"/>
    <s v="Won"/>
    <d v="2023-02-25T00:00:00"/>
    <n v="10000"/>
    <n v="114.52130096197894"/>
    <d v="2023-02-20T00:00:00"/>
    <s v="T10"/>
    <d v="2023-02-22T00:00:00"/>
    <s v="CSTM_GS8I9DC3407"/>
    <s v="Reference by amrapaliashoka@gmail.com"/>
    <s v="Pending"/>
    <x v="2"/>
    <x v="3"/>
  </r>
  <r>
    <x v="583"/>
    <s v="Shivaram Shastry"/>
    <x v="1"/>
    <x v="35"/>
    <x v="27"/>
    <s v="Won"/>
    <s v="25-26 Feb 2023"/>
    <n v="24000"/>
    <n v="274.85112230874944"/>
    <d v="2023-02-21T00:00:00"/>
    <s v="T10"/>
    <d v="2023-02-21T00:00:00"/>
    <s v="CSTM_52PT7CQRDXD"/>
    <s v="Reference by pubalee1.kalita@gmail.com"/>
    <s v="Pending"/>
    <x v="0"/>
    <x v="3"/>
  </r>
  <r>
    <x v="584"/>
    <s v="Mrudula Menon"/>
    <x v="6"/>
    <x v="0"/>
    <x v="27"/>
    <s v="Won"/>
    <s v="25-26 Feb 2023"/>
    <n v="21000"/>
    <n v="240.49473202015577"/>
    <d v="2023-02-22T00:00:00"/>
    <s v="T10"/>
    <d v="2023-02-22T00:00:00"/>
    <s v="CSTM_ASX9S60SV57"/>
    <m/>
    <s v="Pending"/>
    <x v="0"/>
    <x v="3"/>
  </r>
  <r>
    <x v="584"/>
    <s v="Saravanan"/>
    <x v="1"/>
    <x v="1"/>
    <x v="27"/>
    <s v="Won"/>
    <s v="25-26 Feb 2023"/>
    <n v="20000"/>
    <n v="229.04260192395787"/>
    <d v="2023-02-22T00:00:00"/>
    <s v="T10"/>
    <d v="2023-02-22T00:00:00"/>
    <s v="CSTM_5A0HYLIEWUI"/>
    <s v="Reference by anandanrakesh@gmail.com"/>
    <s v="Pending"/>
    <x v="1"/>
    <x v="3"/>
  </r>
  <r>
    <x v="584"/>
    <s v="Manpreet Singh"/>
    <x v="1"/>
    <x v="9"/>
    <x v="27"/>
    <s v="Won"/>
    <s v="4-5 March 2023"/>
    <n v="42000"/>
    <n v="480.98946404031153"/>
    <d v="2023-02-22T00:00:00"/>
    <s v="T10"/>
    <d v="2023-02-27T00:00:00"/>
    <s v="CSTM_2ANEJXHDUJ9"/>
    <s v="Reference by amrapaliashoka@gmail.com"/>
    <s v="Pending"/>
    <x v="0"/>
    <x v="3"/>
  </r>
  <r>
    <x v="585"/>
    <s v="Shrinidhi"/>
    <x v="1"/>
    <x v="0"/>
    <x v="27"/>
    <s v="Won"/>
    <s v="25-26 Feb 2023"/>
    <n v="21000"/>
    <n v="240.49473202015577"/>
    <d v="2023-02-23T00:00:00"/>
    <s v="T10"/>
    <d v="2023-02-23T00:00:00"/>
    <s v="CSTM_563SUD9OZIU"/>
    <s v="Reference by amrapaliashoka@gmail.com"/>
    <s v="Pending"/>
    <x v="0"/>
    <x v="3"/>
  </r>
  <r>
    <x v="585"/>
    <s v="Ashish M"/>
    <x v="1"/>
    <x v="35"/>
    <x v="27"/>
    <s v="Won"/>
    <s v="25-26 Feb 2023"/>
    <n v="24000"/>
    <n v="274.85112230874944"/>
    <d v="2023-02-23T00:00:00"/>
    <s v="T10"/>
    <d v="2023-02-23T00:00:00"/>
    <s v="CSTM_9F76C1W8CCR"/>
    <s v="Reference by rakeshjiddewar@gmail.com"/>
    <s v="Pending"/>
    <x v="0"/>
    <x v="3"/>
  </r>
  <r>
    <x v="586"/>
    <s v="Akshay Sasidharan"/>
    <x v="1"/>
    <x v="1"/>
    <x v="27"/>
    <s v="Won"/>
    <s v="25-26 Feb 2023"/>
    <n v="20000"/>
    <n v="229.04260192395787"/>
    <d v="2023-02-24T00:00:00"/>
    <s v="T10"/>
    <d v="2023-02-24T00:00:00"/>
    <s v="CSTM_CGVOBZ4Q9AD"/>
    <s v="Reference by amrapaliashoka@gmail.com"/>
    <s v="Pending"/>
    <x v="1"/>
    <x v="3"/>
  </r>
  <r>
    <x v="586"/>
    <s v="Greeshma"/>
    <x v="3"/>
    <x v="9"/>
    <x v="27"/>
    <s v="Won"/>
    <s v="4-5 March 2023"/>
    <n v="40061"/>
    <n v="458.7837837837838"/>
    <d v="2023-02-24T00:00:00"/>
    <s v="T10"/>
    <d v="2023-02-24T00:00:00"/>
    <s v="CSTM_75Y57HTELQV"/>
    <m/>
    <s v="Pending"/>
    <x v="0"/>
    <x v="3"/>
  </r>
  <r>
    <x v="587"/>
    <s v="Kokila Sengottaian"/>
    <x v="1"/>
    <x v="34"/>
    <x v="27"/>
    <s v="Won"/>
    <s v="11-12 March 2023"/>
    <n v="24000"/>
    <n v="274.85112230874944"/>
    <d v="2023-02-27T00:00:00"/>
    <s v="T10"/>
    <d v="2023-02-27T00:00:00"/>
    <s v="CSTM_8CEPZP0Z0W5"/>
    <s v="Referencey by vthillai89@gmail.com"/>
    <s v="Pending"/>
    <x v="0"/>
    <x v="3"/>
  </r>
  <r>
    <x v="587"/>
    <s v="Abhijeet Chakravorty"/>
    <x v="13"/>
    <x v="14"/>
    <x v="27"/>
    <s v="Won"/>
    <s v="4-5 March 2023"/>
    <n v="21000"/>
    <n v="240.49473202015577"/>
    <d v="2023-02-27T00:00:00"/>
    <s v="T10"/>
    <d v="2023-02-27T00:00:00"/>
    <s v="CSTM_2ISVQRDUEGY"/>
    <m/>
    <s v="Pending"/>
    <x v="0"/>
    <x v="3"/>
  </r>
  <r>
    <x v="587"/>
    <s v="Sowbhagya Vallich"/>
    <x v="7"/>
    <x v="0"/>
    <x v="28"/>
    <s v="Won"/>
    <s v="4-5 March 2023"/>
    <n v="21000"/>
    <n v="240.49473202015577"/>
    <d v="2023-02-27T00:00:00"/>
    <s v="F10"/>
    <d v="2023-03-01T00:00:00"/>
    <s v="CSTM_78XBODPCUEW"/>
    <m/>
    <s v="Pending"/>
    <x v="0"/>
    <x v="3"/>
  </r>
  <r>
    <x v="588"/>
    <s v="Niladri Sekhar"/>
    <x v="1"/>
    <x v="35"/>
    <x v="27"/>
    <s v="Won"/>
    <s v="11-12 March 2023"/>
    <n v="24000"/>
    <n v="274.85112230874944"/>
    <d v="2023-02-28T00:00:00"/>
    <s v="T10"/>
    <d v="2023-02-28T00:00:00"/>
    <s v="CSTM_7WXRZEP2SPM"/>
    <s v="Reference by ashif.tcs@gmail.com"/>
    <s v="Pending"/>
    <x v="0"/>
    <x v="3"/>
  </r>
  <r>
    <x v="588"/>
    <s v="Saranya Mathiyalagan"/>
    <x v="13"/>
    <x v="0"/>
    <x v="27"/>
    <s v="Won"/>
    <s v="4-5 March 2023"/>
    <n v="21000"/>
    <n v="240.49473202015577"/>
    <d v="2023-02-28T00:00:00"/>
    <s v="T10"/>
    <d v="2023-02-28T00:00:00"/>
    <s v="CSTM_PM8BGT9CBS"/>
    <m/>
    <s v="Pending"/>
    <x v="0"/>
    <x v="3"/>
  </r>
  <r>
    <x v="588"/>
    <s v="Poornima"/>
    <x v="6"/>
    <x v="20"/>
    <x v="27"/>
    <s v="Won"/>
    <d v="2023-03-11T00:00:00"/>
    <n v="16911"/>
    <n v="193.66697205680256"/>
    <d v="2023-02-28T00:00:00"/>
    <s v="T10"/>
    <d v="2023-02-28T00:00:00"/>
    <s v="CSTM_EG6J5O4RS9N"/>
    <m/>
    <s v="Pending"/>
    <x v="2"/>
    <x v="3"/>
  </r>
  <r>
    <x v="588"/>
    <s v="Sankar Balakrishnan"/>
    <x v="1"/>
    <x v="0"/>
    <x v="27"/>
    <s v="Won"/>
    <s v="11-12 March 2023"/>
    <n v="21000"/>
    <n v="240.49473202015577"/>
    <d v="2023-02-28T00:00:00"/>
    <s v="T10"/>
    <d v="2023-02-28T00:00:00"/>
    <s v="CSTM_2D7RUORW0U8"/>
    <s v="Reference by balamaha007@gmail.com"/>
    <s v="Pending"/>
    <x v="0"/>
    <x v="3"/>
  </r>
  <r>
    <x v="588"/>
    <s v="Abhianaya"/>
    <x v="1"/>
    <x v="34"/>
    <x v="27"/>
    <s v="Won"/>
    <s v="11-12 March 2023"/>
    <n v="24000"/>
    <n v="274.85112230874944"/>
    <d v="2023-02-28T00:00:00"/>
    <s v="T10"/>
    <d v="2023-02-28T00:00:00"/>
    <s v="CSTM_2UG8VOSOETC"/>
    <s v="Reference by koki.sengottaian@gmail.com"/>
    <s v="Pending"/>
    <x v="0"/>
    <x v="3"/>
  </r>
  <r>
    <x v="589"/>
    <s v="Sameer"/>
    <x v="1"/>
    <x v="35"/>
    <x v="28"/>
    <s v="Won"/>
    <s v="11-12 March 2023"/>
    <n v="24000"/>
    <n v="274.85112230874944"/>
    <d v="2023-03-01T00:00:00"/>
    <s v="F10"/>
    <d v="2023-03-01T00:00:00"/>
    <s v="CSTM_7GDGV58Y24O"/>
    <s v="Reference by kalyanireddyk@gmail.com"/>
    <s v="Pending"/>
    <x v="0"/>
    <x v="3"/>
  </r>
  <r>
    <x v="589"/>
    <s v="Praveen Kumar"/>
    <x v="5"/>
    <x v="9"/>
    <x v="28"/>
    <s v="Won"/>
    <s v="4-5 March 2023"/>
    <n v="40061"/>
    <n v="458.7837837837838"/>
    <d v="2023-03-01T00:00:00"/>
    <s v="F10"/>
    <d v="2023-03-01T00:00:00"/>
    <s v="CSTM_EKS68USFOOO"/>
    <m/>
    <s v="Pending"/>
    <x v="0"/>
    <x v="3"/>
  </r>
  <r>
    <x v="589"/>
    <s v="Subrat Kumar Pattnaik"/>
    <x v="4"/>
    <x v="0"/>
    <x v="28"/>
    <s v="Won"/>
    <s v="4-5 March 2023"/>
    <n v="21000"/>
    <n v="240.49473202015577"/>
    <d v="2023-03-01T00:00:00"/>
    <s v="F10"/>
    <d v="2023-03-01T00:00:00"/>
    <s v="CSTM_47N8THA3F4X"/>
    <m/>
    <s v="Pending"/>
    <x v="0"/>
    <x v="3"/>
  </r>
  <r>
    <x v="589"/>
    <s v="Amit Nair"/>
    <x v="13"/>
    <x v="33"/>
    <x v="28"/>
    <s v="Won"/>
    <s v="OSL"/>
    <n v="23714"/>
    <n v="271.57581310123686"/>
    <d v="2023-03-01T00:00:00"/>
    <s v="F10"/>
    <d v="2023-03-01T00:00:00"/>
    <s v="CSTM_5P8VAHYEOZJ"/>
    <m/>
    <s v="Pending"/>
    <x v="2"/>
    <x v="3"/>
  </r>
  <r>
    <x v="589"/>
    <s v="Vijay Raman"/>
    <x v="1"/>
    <x v="18"/>
    <x v="28"/>
    <s v="Won"/>
    <d v="2023-03-11T00:00:00"/>
    <n v="21100"/>
    <n v="241.63994502977556"/>
    <d v="2023-03-01T00:00:00"/>
    <s v="F10"/>
    <d v="2023-03-01T00:00:00"/>
    <s v="CSTM_DNMDX043TQD"/>
    <s v="Reference by Balaji - amrapaliashoka@gmail.com"/>
    <s v="Pending"/>
    <x v="2"/>
    <x v="3"/>
  </r>
  <r>
    <x v="590"/>
    <s v="Shreedharan Nair"/>
    <x v="1"/>
    <x v="36"/>
    <x v="28"/>
    <s v="Won"/>
    <s v="3-5 March 2023"/>
    <n v="57230"/>
    <n v="655.40540540540542"/>
    <d v="2023-03-02T00:00:00"/>
    <s v="F10"/>
    <d v="2023-03-02T00:00:00"/>
    <s v="CSTM_F3ZKXLKX61Q"/>
    <s v="Reference by pragyak491@gmail.com"/>
    <s v="Pending"/>
    <x v="0"/>
    <x v="3"/>
  </r>
  <r>
    <x v="590"/>
    <s v="Shreedharan Nair"/>
    <x v="1"/>
    <x v="36"/>
    <x v="28"/>
    <s v="Won"/>
    <s v="3-5 March 2023"/>
    <n v="67770"/>
    <n v="776.11085661933123"/>
    <d v="2023-03-02T00:00:00"/>
    <s v="F10"/>
    <d v="2023-03-02T00:00:00"/>
    <s v="CSTM_6HNY6PX3EOM"/>
    <m/>
    <s v="Pending"/>
    <x v="0"/>
    <x v="3"/>
  </r>
  <r>
    <x v="590"/>
    <s v="Neha"/>
    <x v="5"/>
    <x v="14"/>
    <x v="28"/>
    <s v="Won"/>
    <s v="4-5 March 2023"/>
    <n v="21000"/>
    <n v="240.49473202015577"/>
    <d v="2023-03-02T00:00:00"/>
    <s v="F10"/>
    <d v="2023-03-02T00:00:00"/>
    <s v="CSTM_4IIJSJS0B6S"/>
    <m/>
    <s v="Pending"/>
    <x v="0"/>
    <x v="3"/>
  </r>
  <r>
    <x v="590"/>
    <s v="Shrinidhi"/>
    <x v="13"/>
    <x v="14"/>
    <x v="28"/>
    <s v="Won"/>
    <s v="4-5 March 2023"/>
    <n v="21000"/>
    <n v="240.49473202015577"/>
    <d v="2023-03-02T00:00:00"/>
    <s v="F10"/>
    <d v="2023-03-02T00:00:00"/>
    <s v="CSTM_4D4GGFKD6E5"/>
    <m/>
    <s v="Pending"/>
    <x v="0"/>
    <x v="3"/>
  </r>
  <r>
    <x v="590"/>
    <s v="Astha Jain"/>
    <x v="3"/>
    <x v="0"/>
    <x v="28"/>
    <s v="Won"/>
    <s v="4-5 March 2023"/>
    <n v="21000"/>
    <n v="240.49473202015577"/>
    <d v="2023-03-02T00:00:00"/>
    <s v="F10"/>
    <d v="2023-03-02T00:00:00"/>
    <s v="CSTM_BOMQKS333L"/>
    <m/>
    <s v="Pending"/>
    <x v="0"/>
    <x v="3"/>
  </r>
  <r>
    <x v="591"/>
    <s v="Manish Dixit"/>
    <x v="1"/>
    <x v="34"/>
    <x v="28"/>
    <s v="Won"/>
    <s v="11-12 March 2023"/>
    <n v="24000"/>
    <n v="274.85112230874944"/>
    <d v="2023-03-03T00:00:00"/>
    <s v="F10"/>
    <d v="2023-03-03T00:00:00"/>
    <s v="CSTM_36NHN4IV8OC"/>
    <s v="Reference by abinayabio@gmail.com"/>
    <s v="Pending"/>
    <x v="0"/>
    <x v="3"/>
  </r>
  <r>
    <x v="591"/>
    <s v="Humesh Kumar"/>
    <x v="13"/>
    <x v="1"/>
    <x v="28"/>
    <s v="Won"/>
    <s v="4-5 March 2023"/>
    <n v="20000"/>
    <n v="229.04260192395787"/>
    <d v="2023-03-03T00:00:00"/>
    <s v="F10"/>
    <d v="2023-03-03T00:00:00"/>
    <s v="CSTM_CCAFBVBRJ8G"/>
    <m/>
    <s v="Pending"/>
    <x v="1"/>
    <x v="3"/>
  </r>
  <r>
    <x v="591"/>
    <s v="Shilpa Dixit"/>
    <x v="1"/>
    <x v="34"/>
    <x v="28"/>
    <s v="Won"/>
    <s v="11-12 March 2023"/>
    <n v="24000"/>
    <n v="274.85112230874944"/>
    <d v="2023-03-03T00:00:00"/>
    <s v="F10"/>
    <d v="2023-03-03T00:00:00"/>
    <s v="CSTM_1OGFH4OUWCP"/>
    <s v="Reference by manish4984@gmail.com"/>
    <s v="Pending"/>
    <x v="0"/>
    <x v="3"/>
  </r>
  <r>
    <x v="591"/>
    <s v="Navin Nair"/>
    <x v="7"/>
    <x v="9"/>
    <x v="28"/>
    <s v="Won"/>
    <s v="4-5 March 2023"/>
    <n v="40061"/>
    <n v="458.7837837837838"/>
    <d v="2023-03-03T00:00:00"/>
    <s v="F10"/>
    <d v="2023-03-03T00:00:00"/>
    <s v="CSTM_5PYZEQV8C6B"/>
    <m/>
    <s v="Pending"/>
    <x v="0"/>
    <x v="3"/>
  </r>
  <r>
    <x v="591"/>
    <s v="Supriya"/>
    <x v="1"/>
    <x v="2"/>
    <x v="28"/>
    <s v="Won"/>
    <s v="18-19 March 2023"/>
    <n v="20000"/>
    <n v="229.04260192395787"/>
    <d v="2023-03-03T00:00:00"/>
    <s v="F10"/>
    <d v="2023-03-06T00:00:00"/>
    <s v="CSTM_B5UMLW02DYC"/>
    <s v="Reference by pragyak491@gmail.com"/>
    <s v="Pending"/>
    <x v="1"/>
    <x v="3"/>
  </r>
  <r>
    <x v="591"/>
    <s v="Vijayanath Ramesh"/>
    <x v="30"/>
    <x v="2"/>
    <x v="28"/>
    <s v="Won"/>
    <s v="6-7 March 2023"/>
    <n v="20000"/>
    <n v="229.04260192395787"/>
    <d v="2023-03-03T00:00:00"/>
    <s v="F10"/>
    <d v="2023-03-03T00:00:00"/>
    <s v="CSTM_FRQOI0P52S2"/>
    <m/>
    <s v="Pending"/>
    <x v="1"/>
    <x v="3"/>
  </r>
  <r>
    <x v="592"/>
    <s v="Jino Mathew"/>
    <x v="13"/>
    <x v="14"/>
    <x v="28"/>
    <s v="Won"/>
    <s v="18-19 March 2023"/>
    <n v="21000"/>
    <n v="240.49473202015577"/>
    <d v="2023-03-04T00:00:00"/>
    <s v="F10"/>
    <d v="2023-03-04T00:00:00"/>
    <s v="CSTM_4CGOKSZ765S"/>
    <m/>
    <s v="Pending"/>
    <x v="0"/>
    <x v="3"/>
  </r>
  <r>
    <x v="593"/>
    <s v="Nithin"/>
    <x v="2"/>
    <x v="0"/>
    <x v="28"/>
    <s v="Won"/>
    <s v="18-19 March 2023"/>
    <n v="21000"/>
    <n v="240.49473202015577"/>
    <d v="2023-03-07T00:00:00"/>
    <s v="F10"/>
    <d v="2023-03-07T00:00:00"/>
    <s v="CSTM_B7V4C3QMFY3"/>
    <m/>
    <s v="Pending"/>
    <x v="0"/>
    <x v="3"/>
  </r>
  <r>
    <x v="594"/>
    <s v="Rajkumar Rajarajan"/>
    <x v="1"/>
    <x v="35"/>
    <x v="28"/>
    <s v="Won"/>
    <s v="11-12 March 2023"/>
    <n v="24000"/>
    <n v="274.85112230874944"/>
    <d v="2023-03-08T00:00:00"/>
    <s v="F10"/>
    <d v="2023-03-08T00:00:00"/>
    <s v="CSTM_31ID0IEH6WP"/>
    <s v="Reference by madhavi.507@gmail.com"/>
    <s v="Pending"/>
    <x v="0"/>
    <x v="3"/>
  </r>
  <r>
    <x v="595"/>
    <s v="Debabrata Das"/>
    <x v="5"/>
    <x v="34"/>
    <x v="28"/>
    <s v="Won"/>
    <s v="11-12 March 2023"/>
    <n v="24000"/>
    <n v="274.85112230874944"/>
    <d v="2023-03-09T00:00:00"/>
    <s v="F10"/>
    <d v="2023-03-09T00:00:00"/>
    <s v="CSTM_D7FPXIHTIQB"/>
    <m/>
    <s v="Pending"/>
    <x v="0"/>
    <x v="3"/>
  </r>
  <r>
    <x v="595"/>
    <s v="Shikha Chugh"/>
    <x v="1"/>
    <x v="35"/>
    <x v="28"/>
    <s v="Won"/>
    <s v="11-12 March 2023"/>
    <n v="24000"/>
    <n v="274.85112230874944"/>
    <d v="2023-03-09T00:00:00"/>
    <s v="F10"/>
    <d v="2023-03-09T00:00:00"/>
    <s v="CSTM_I56JJMWQK7Q"/>
    <s v="Reference by nehchhabra@deloitte.com"/>
    <s v="Pending"/>
    <x v="0"/>
    <x v="3"/>
  </r>
  <r>
    <x v="595"/>
    <s v="Kalpana Palaniappan"/>
    <x v="1"/>
    <x v="34"/>
    <x v="28"/>
    <s v="Won"/>
    <s v="11-12 March 2023"/>
    <n v="24000"/>
    <n v="274.85112230874944"/>
    <d v="2023-03-09T00:00:00"/>
    <s v="F10"/>
    <d v="2023-03-10T00:00:00"/>
    <s v="CSTM_BE0HTTUX03M"/>
    <s v="Reference by lakshmi_das25@yahoo.com"/>
    <s v="Pending"/>
    <x v="0"/>
    <x v="3"/>
  </r>
  <r>
    <x v="595"/>
    <s v="Lakshmi Das"/>
    <x v="1"/>
    <x v="34"/>
    <x v="28"/>
    <s v="Won"/>
    <s v="11-12 March 2023"/>
    <n v="24000"/>
    <n v="274.85112230874944"/>
    <d v="2023-03-09T00:00:00"/>
    <s v="F10"/>
    <d v="2023-03-09T00:00:00"/>
    <s v="CSTM_7FD820D6RIF"/>
    <s v="Reference by kalpanappp@yahoo.co.in"/>
    <s v="Pending"/>
    <x v="0"/>
    <x v="3"/>
  </r>
  <r>
    <x v="595"/>
    <s v="Zorawar Purohit"/>
    <x v="3"/>
    <x v="9"/>
    <x v="28"/>
    <s v="Won"/>
    <s v="11-12 March 2023"/>
    <n v="42000"/>
    <n v="480.98946404031153"/>
    <d v="2023-03-09T00:00:00"/>
    <s v="F10"/>
    <d v="2023-03-09T00:00:00"/>
    <s v="CSTM_5V9YHZX3MQV"/>
    <m/>
    <s v="Pending"/>
    <x v="0"/>
    <x v="3"/>
  </r>
  <r>
    <x v="596"/>
    <s v="Monika Sharma"/>
    <x v="1"/>
    <x v="14"/>
    <x v="28"/>
    <s v="Won"/>
    <s v="18-19 March 2023"/>
    <n v="21000"/>
    <n v="240.49473202015577"/>
    <d v="2023-03-10T00:00:00"/>
    <s v="F10"/>
    <d v="2023-03-10T00:00:00"/>
    <s v="CSTM_GDWHJGVAZGZ"/>
    <m/>
    <s v="Pending"/>
    <x v="0"/>
    <x v="3"/>
  </r>
  <r>
    <x v="596"/>
    <s v="Raghavender Annasarapu"/>
    <x v="1"/>
    <x v="35"/>
    <x v="28"/>
    <s v="Won"/>
    <s v="11-12 March 2023"/>
    <n v="24000"/>
    <n v="274.85112230874944"/>
    <d v="2023-03-10T00:00:00"/>
    <s v="F10"/>
    <d v="2023-03-10T00:00:00"/>
    <s v="CSTM_JH35THUYSO4"/>
    <s v="Reference by balajitk1983@gmail.com"/>
    <s v="Pending"/>
    <x v="0"/>
    <x v="3"/>
  </r>
  <r>
    <x v="597"/>
    <s v="Shashank Segu"/>
    <x v="1"/>
    <x v="14"/>
    <x v="28"/>
    <s v="Won"/>
    <s v="18-19 March 2023"/>
    <n v="21000"/>
    <n v="240.49473202015577"/>
    <d v="2023-03-13T00:00:00"/>
    <s v="S10"/>
    <d v="2023-03-13T00:00:00"/>
    <s v="CSTM_15WEOVMGMQZ"/>
    <s v="Reference by Taheer"/>
    <s v="Pending"/>
    <x v="0"/>
    <x v="3"/>
  </r>
  <r>
    <x v="598"/>
    <s v="Nitin Jain"/>
    <x v="6"/>
    <x v="35"/>
    <x v="28"/>
    <s v="Won"/>
    <s v="25-26 March 2023"/>
    <n v="24000"/>
    <n v="274.85112230874944"/>
    <d v="2023-03-14T00:00:00"/>
    <s v="S10"/>
    <d v="2023-03-14T00:00:00"/>
    <s v="CSTM_7WDWIT0B867"/>
    <m/>
    <s v="Pending"/>
    <x v="0"/>
    <x v="3"/>
  </r>
  <r>
    <x v="598"/>
    <s v="Gaurav Patnaik"/>
    <x v="1"/>
    <x v="14"/>
    <x v="28"/>
    <s v="Won"/>
    <s v="18-19 March 2023"/>
    <n v="21000"/>
    <n v="240.49473202015577"/>
    <d v="2023-03-14T00:00:00"/>
    <s v="S10"/>
    <d v="2023-03-14T00:00:00"/>
    <s v="CSTM_NLQP6ZXIG2"/>
    <s v="Reference by amrita.jena91@gmail.com"/>
    <s v="Pending"/>
    <x v="0"/>
    <x v="3"/>
  </r>
  <r>
    <x v="598"/>
    <s v="Amrita Jena"/>
    <x v="6"/>
    <x v="14"/>
    <x v="28"/>
    <s v="Won"/>
    <s v="18-19 March 2023"/>
    <n v="21000"/>
    <n v="240.49473202015577"/>
    <d v="2023-03-14T00:00:00"/>
    <s v="S10"/>
    <d v="2023-03-14T00:00:00"/>
    <s v="CSTM_FOACQBQY13F"/>
    <m/>
    <s v="Pending"/>
    <x v="0"/>
    <x v="3"/>
  </r>
  <r>
    <x v="599"/>
    <s v="Swati Chavan"/>
    <x v="1"/>
    <x v="35"/>
    <x v="28"/>
    <s v="Won"/>
    <s v="25-26 March 2023"/>
    <n v="24000"/>
    <n v="274.85112230874944"/>
    <d v="2023-03-16T00:00:00"/>
    <s v="S10"/>
    <d v="2023-03-16T00:00:00"/>
    <s v="CSTM_4GPUQHFXH6K"/>
    <s v="Reference by amrapaliashoka@gmail.com - Someone else"/>
    <s v="Pending"/>
    <x v="0"/>
    <x v="3"/>
  </r>
  <r>
    <x v="599"/>
    <s v="Snehal Kulkarni"/>
    <x v="1"/>
    <x v="0"/>
    <x v="28"/>
    <s v="Won"/>
    <s v="18-19 March 2023"/>
    <n v="21000"/>
    <n v="240.49473202015577"/>
    <d v="2023-03-16T00:00:00"/>
    <s v="S10"/>
    <d v="2023-03-16T00:00:00"/>
    <s v="CSTM_6K4F8D19AIM"/>
    <s v="Reference by amrapaliashoka@gmail.com"/>
    <s v="Pending"/>
    <x v="0"/>
    <x v="3"/>
  </r>
  <r>
    <x v="599"/>
    <s v="Kunal"/>
    <x v="13"/>
    <x v="14"/>
    <x v="28"/>
    <s v="Won"/>
    <s v="18-19 March 2023"/>
    <n v="21000"/>
    <n v="240.49473202015577"/>
    <d v="2023-03-16T00:00:00"/>
    <s v="S10"/>
    <d v="2023-03-16T00:00:00"/>
    <s v="CSTM_BL98HHXG2A3"/>
    <m/>
    <s v="Pending"/>
    <x v="0"/>
    <x v="3"/>
  </r>
  <r>
    <x v="599"/>
    <s v="Waseem Akhtar"/>
    <x v="13"/>
    <x v="14"/>
    <x v="28"/>
    <s v="Won"/>
    <s v="18-19 March 2023"/>
    <n v="21000"/>
    <n v="240.49473202015577"/>
    <d v="2023-03-16T00:00:00"/>
    <s v="S10"/>
    <d v="2023-03-16T00:00:00"/>
    <s v="CSTM_F6DBRHBB6GO"/>
    <m/>
    <s v="Pending"/>
    <x v="0"/>
    <x v="3"/>
  </r>
  <r>
    <x v="599"/>
    <s v="Tripti Jadli"/>
    <x v="13"/>
    <x v="7"/>
    <x v="28"/>
    <s v="Won"/>
    <d v="2023-03-20T00:00:00"/>
    <n v="45000"/>
    <n v="515.34585432890515"/>
    <d v="2023-03-16T00:00:00"/>
    <s v="S10"/>
    <d v="2023-03-16T00:00:00"/>
    <s v="CSTM_33XNYTNE9TX"/>
    <m/>
    <s v="Pending"/>
    <x v="2"/>
    <x v="3"/>
  </r>
  <r>
    <x v="599"/>
    <s v="Ganga"/>
    <x v="1"/>
    <x v="14"/>
    <x v="28"/>
    <s v="Won"/>
    <s v="18-19 March 2023"/>
    <n v="21000"/>
    <n v="240.49473202015577"/>
    <d v="2023-03-16T00:00:00"/>
    <s v="S10"/>
    <d v="2023-03-16T00:00:00"/>
    <s v="CSTM_62ZUIG538UZ"/>
    <s v="Reference by t06adam25@gmail.com"/>
    <s v="Pending"/>
    <x v="0"/>
    <x v="3"/>
  </r>
  <r>
    <x v="599"/>
    <s v="Sohrab Ahmad"/>
    <x v="7"/>
    <x v="2"/>
    <x v="28"/>
    <s v="Won"/>
    <s v="25-26 March 2023"/>
    <n v="20000"/>
    <n v="229.04260192395787"/>
    <d v="2023-03-16T00:00:00"/>
    <s v="S10"/>
    <d v="2023-03-16T00:00:00"/>
    <s v="CSTM_VEQWJNHHVO"/>
    <m/>
    <s v="Pending"/>
    <x v="1"/>
    <x v="3"/>
  </r>
  <r>
    <x v="600"/>
    <s v="Snehal Tambe"/>
    <x v="1"/>
    <x v="2"/>
    <x v="28"/>
    <s v="Won"/>
    <s v="18-19 March 2023"/>
    <n v="20000"/>
    <n v="229.04260192395787"/>
    <d v="2023-03-17T00:00:00"/>
    <s v="S10"/>
    <d v="2023-03-17T00:00:00"/>
    <s v="CSTM_FLLB29PRXCW"/>
    <s v="Reference by nid.sharma255@gmail.com"/>
    <s v="Pending"/>
    <x v="1"/>
    <x v="3"/>
  </r>
  <r>
    <x v="601"/>
    <s v="Mrunmayee Deshpande"/>
    <x v="5"/>
    <x v="9"/>
    <x v="28"/>
    <s v="Won"/>
    <s v="25-26 March 2023"/>
    <n v="40061"/>
    <n v="458.7837837837838"/>
    <d v="2023-03-18T00:00:00"/>
    <s v="S10"/>
    <d v="2023-03-18T00:00:00"/>
    <s v="CSTM_GMJI65MVXL2"/>
    <m/>
    <s v="Pending"/>
    <x v="0"/>
    <x v="3"/>
  </r>
  <r>
    <x v="601"/>
    <s v="Jatin K"/>
    <x v="1"/>
    <x v="68"/>
    <x v="28"/>
    <s v="Won"/>
    <d v="2023-04-01T00:00:00"/>
    <n v="369750"/>
    <n v="4234.4251030691712"/>
    <d v="2023-03-22T00:00:00"/>
    <s v="T10"/>
    <d v="2023-03-21T00:00:00"/>
    <s v="CSTM_4SIA9TQKHDO"/>
    <s v="Reference by priverma205@gmail.com"/>
    <s v="Pending"/>
    <x v="2"/>
    <x v="3"/>
  </r>
  <r>
    <x v="601"/>
    <s v="Priya Verma"/>
    <x v="1"/>
    <x v="69"/>
    <x v="28"/>
    <s v="Won"/>
    <d v="2023-03-01T00:00:00"/>
    <n v="38000"/>
    <n v="435.18094365551997"/>
    <d v="2023-03-20T00:00:00"/>
    <s v="S10"/>
    <d v="2023-03-18T00:00:00"/>
    <s v="CSTM_JHA6FF7RPOO"/>
    <s v="Reference by coolshrinidhi8@gmail.com"/>
    <s v="Pending"/>
    <x v="2"/>
    <x v="3"/>
  </r>
  <r>
    <x v="601"/>
    <s v="Pavani G"/>
    <x v="1"/>
    <x v="35"/>
    <x v="28"/>
    <s v="Won"/>
    <s v="25-26 March 2023"/>
    <n v="24000"/>
    <n v="274.85112230874944"/>
    <d v="2023-03-18T00:00:00"/>
    <s v="S10"/>
    <d v="2023-03-18T00:00:00"/>
    <s v="CSTM_E3ZOL928S0H"/>
    <s v="Reference by lucky.pav@gmail.com"/>
    <s v="Pending"/>
    <x v="0"/>
    <x v="3"/>
  </r>
  <r>
    <x v="602"/>
    <s v="Shinjhini Ghatak"/>
    <x v="30"/>
    <x v="14"/>
    <x v="28"/>
    <s v="Won"/>
    <s v="1-2 April 2023"/>
    <n v="21000"/>
    <n v="240.49473202015577"/>
    <d v="2023-03-20T00:00:00"/>
    <s v="S10"/>
    <d v="2023-03-20T00:00:00"/>
    <s v="CSTM_6D67GLKRT1K"/>
    <m/>
    <s v="Pending"/>
    <x v="0"/>
    <x v="3"/>
  </r>
  <r>
    <x v="602"/>
    <s v="Nileema Reddy"/>
    <x v="7"/>
    <x v="35"/>
    <x v="28"/>
    <s v="Won"/>
    <s v="25-26 March 2023"/>
    <n v="24000"/>
    <n v="274.85112230874944"/>
    <d v="2023-03-20T00:00:00"/>
    <s v="S10"/>
    <d v="2023-03-20T00:00:00"/>
    <s v="CSTM_82NKCQ8O0YM"/>
    <m/>
    <s v="Pending"/>
    <x v="0"/>
    <x v="3"/>
  </r>
  <r>
    <x v="603"/>
    <s v="Arpana T G"/>
    <x v="1"/>
    <x v="35"/>
    <x v="28"/>
    <s v="Won"/>
    <s v="25-26 March 2023"/>
    <n v="24000"/>
    <n v="274.85112230874944"/>
    <d v="2023-03-21T00:00:00"/>
    <s v="T10"/>
    <d v="2023-03-21T00:00:00"/>
    <s v="CSTM_FDFFUC3KJC9"/>
    <s v="Reference by kaushik.ray81@gmail.com"/>
    <s v="Pending"/>
    <x v="0"/>
    <x v="3"/>
  </r>
  <r>
    <x v="603"/>
    <s v="Pooja Dey"/>
    <x v="1"/>
    <x v="9"/>
    <x v="28"/>
    <s v="Won"/>
    <s v="25-26 March 2023"/>
    <n v="42000"/>
    <n v="480.98946404031153"/>
    <d v="2023-03-21T00:00:00"/>
    <s v="T10"/>
    <d v="2023-03-21T00:00:00"/>
    <s v="CSTM_JJBG7UR6PY2"/>
    <s v="Reference by Suchita Avsare"/>
    <s v="Pending"/>
    <x v="0"/>
    <x v="3"/>
  </r>
  <r>
    <x v="604"/>
    <s v="Nagaraj T D"/>
    <x v="13"/>
    <x v="18"/>
    <x v="28"/>
    <s v="Won"/>
    <s v="Retake OSL"/>
    <n v="19500"/>
    <n v="223.3165368758589"/>
    <d v="2023-03-22T00:00:00"/>
    <s v="T10"/>
    <d v="2023-03-21T00:00:00"/>
    <s v="CSTM_7HSVI0FVCM"/>
    <m/>
    <s v="Pending"/>
    <x v="2"/>
    <x v="3"/>
  </r>
  <r>
    <x v="604"/>
    <s v="Abhijit Patil"/>
    <x v="1"/>
    <x v="35"/>
    <x v="28"/>
    <s v="Won"/>
    <s v="25-26 March 2023"/>
    <n v="24000"/>
    <n v="274.85112230874944"/>
    <d v="2023-03-22T00:00:00"/>
    <s v="T10"/>
    <d v="2023-03-22T00:00:00"/>
    <s v="CSTM_7JU6TV3RYGI"/>
    <s v="Reference by abhikpatil9641@gmail.com"/>
    <s v="Pending"/>
    <x v="0"/>
    <x v="3"/>
  </r>
  <r>
    <x v="604"/>
    <s v="Dhanashree Deshpande"/>
    <x v="1"/>
    <x v="35"/>
    <x v="28"/>
    <s v="Won"/>
    <s v="25-26 March 2023"/>
    <n v="24000"/>
    <n v="274.85112230874944"/>
    <d v="2023-03-22T00:00:00"/>
    <s v="T10"/>
    <d v="2023-03-23T00:00:00"/>
    <s v="CSTM_1YPIP0M3GXC"/>
    <s v="Reference by aks.rec05@gmail.com"/>
    <s v="Pending"/>
    <x v="0"/>
    <x v="3"/>
  </r>
  <r>
    <x v="605"/>
    <s v="Veveknath"/>
    <x v="3"/>
    <x v="0"/>
    <x v="28"/>
    <s v="Won"/>
    <s v="25-26 March 2023"/>
    <n v="21000"/>
    <n v="240.49473202015577"/>
    <d v="2023-03-24T00:00:00"/>
    <s v="T10"/>
    <d v="2023-03-24T00:00:00"/>
    <s v="CSTM_KMY9FBH3WS"/>
    <m/>
    <s v="Pending"/>
    <x v="0"/>
    <x v="3"/>
  </r>
  <r>
    <x v="606"/>
    <s v="Sreekanth Putta"/>
    <x v="2"/>
    <x v="0"/>
    <x v="28"/>
    <s v="Won"/>
    <s v="1-2 April 2023"/>
    <n v="21000"/>
    <n v="240.49473202015577"/>
    <d v="2023-03-27T00:00:00"/>
    <s v="T10"/>
    <d v="2023-03-27T00:00:00"/>
    <s v="CSTM_DDGF5VIYUWQ"/>
    <m/>
    <s v="Pending"/>
    <x v="0"/>
    <x v="3"/>
  </r>
  <r>
    <x v="607"/>
    <s v="Poornima Tadankar"/>
    <x v="2"/>
    <x v="7"/>
    <x v="28"/>
    <s v="Won"/>
    <d v="2023-04-01T00:00:00"/>
    <n v="10000"/>
    <n v="114.52130096197894"/>
    <d v="2023-03-30T00:00:00"/>
    <s v="T10"/>
    <d v="2023-03-30T00:00:00"/>
    <s v="CSTM_Z93W3I4C2I"/>
    <m/>
    <s v="Pending"/>
    <x v="2"/>
    <x v="3"/>
  </r>
  <r>
    <x v="607"/>
    <s v="Vanitha G A"/>
    <x v="13"/>
    <x v="2"/>
    <x v="28"/>
    <s v="Won"/>
    <s v="1-2 April 2023"/>
    <n v="20000"/>
    <n v="229.04260192395787"/>
    <d v="2023-03-30T00:00:00"/>
    <s v="T10"/>
    <d v="2023-03-30T00:00:00"/>
    <s v="CSTM_3RKVA4OOFF0"/>
    <m/>
    <s v="Pending"/>
    <x v="1"/>
    <x v="3"/>
  </r>
  <r>
    <x v="607"/>
    <s v="Jasaswini Rath"/>
    <x v="5"/>
    <x v="14"/>
    <x v="28"/>
    <s v="Won"/>
    <s v="1-2 April 2023"/>
    <n v="21000"/>
    <n v="240.49473202015577"/>
    <d v="2023-03-30T00:00:00"/>
    <s v="T10"/>
    <d v="2023-03-30T00:00:00"/>
    <s v="CSTM_BDJCKZOY8QM"/>
    <m/>
    <s v="Pending"/>
    <x v="0"/>
    <x v="3"/>
  </r>
  <r>
    <x v="607"/>
    <s v="Govind Talasu"/>
    <x v="1"/>
    <x v="0"/>
    <x v="28"/>
    <s v="Won"/>
    <s v="1-2 April 2023"/>
    <n v="21000"/>
    <n v="240.49473202015577"/>
    <d v="2023-03-30T00:00:00"/>
    <s v="T10"/>
    <d v="2023-03-31T00:00:00"/>
    <s v="CSTM_9KPY7E4SKFP"/>
    <s v="Reference by alekhyad145@gmail.com"/>
    <s v="Pending"/>
    <x v="0"/>
    <x v="3"/>
  </r>
  <r>
    <x v="608"/>
    <s v="Vaishnavi Rao"/>
    <x v="7"/>
    <x v="14"/>
    <x v="28"/>
    <s v="Won"/>
    <s v="15-16 April 2023"/>
    <n v="21000"/>
    <n v="240.49473202015577"/>
    <d v="2023-03-31T00:00:00"/>
    <s v="T10"/>
    <d v="2023-03-31T00:00:00"/>
    <s v="CSTM_IRFGXW8BDFL"/>
    <m/>
    <s v="Pending"/>
    <x v="0"/>
    <x v="3"/>
  </r>
  <r>
    <x v="608"/>
    <s v="Prerit Jain"/>
    <x v="7"/>
    <x v="9"/>
    <x v="28"/>
    <s v="Won"/>
    <s v="1-2 April 2023"/>
    <n v="40061"/>
    <n v="458.7837837837838"/>
    <d v="2023-03-31T00:00:00"/>
    <s v="T10"/>
    <d v="2023-03-31T00:00:00"/>
    <s v="CSTM_HJV50M1RZ5B"/>
    <m/>
    <s v="Pending"/>
    <x v="0"/>
    <x v="3"/>
  </r>
  <r>
    <x v="609"/>
    <s v="Prerana P"/>
    <x v="6"/>
    <x v="35"/>
    <x v="29"/>
    <s v="Won"/>
    <s v="22-23 April 2023"/>
    <n v="24000"/>
    <n v="274.85112230874944"/>
    <d v="2023-04-03T00:00:00"/>
    <s v="FH"/>
    <d v="2023-04-03T00:00:00"/>
    <s v="CSTM_H571AD97C7N"/>
    <m/>
    <s v="Pending"/>
    <x v="0"/>
    <x v="3"/>
  </r>
  <r>
    <x v="609"/>
    <s v="Saurabh Kumar"/>
    <x v="7"/>
    <x v="14"/>
    <x v="29"/>
    <s v="Won"/>
    <s v="15-16 April 2023"/>
    <n v="21000"/>
    <n v="240.49473202015577"/>
    <d v="2023-04-03T00:00:00"/>
    <s v="FH"/>
    <d v="2023-04-03T00:00:00"/>
    <s v="CSTM_2KEYHVCEERR"/>
    <m/>
    <s v="Pending"/>
    <x v="0"/>
    <x v="3"/>
  </r>
  <r>
    <x v="609"/>
    <s v="Avinash Rangari"/>
    <x v="1"/>
    <x v="2"/>
    <x v="29"/>
    <s v="Won"/>
    <s v="15-16 April 2023"/>
    <n v="20000"/>
    <n v="229.04260192395787"/>
    <d v="2023-04-03T00:00:00"/>
    <s v="FH"/>
    <d v="2023-04-04T00:00:00"/>
    <s v="CSTM_8QARO1ACPU0"/>
    <s v="Reference by amrapaliashoka@gmail.com"/>
    <s v="Pending"/>
    <x v="1"/>
    <x v="3"/>
  </r>
  <r>
    <x v="610"/>
    <s v="Sachin Malvadkar"/>
    <x v="1"/>
    <x v="9"/>
    <x v="29"/>
    <s v="Won"/>
    <s v="8-9 April 2023"/>
    <n v="42000"/>
    <n v="480.98946404031153"/>
    <d v="2023-04-04T00:00:00"/>
    <s v="FH"/>
    <d v="2023-04-04T00:00:00"/>
    <s v="CSTM_GF97HZYASGL"/>
    <s v="Reference by snehal.malvadkar@gmail.com"/>
    <s v="Pending"/>
    <x v="0"/>
    <x v="3"/>
  </r>
  <r>
    <x v="611"/>
    <s v="Rishin Mitra"/>
    <x v="13"/>
    <x v="7"/>
    <x v="29"/>
    <s v="Won"/>
    <d v="2023-04-08T00:00:00"/>
    <n v="10000"/>
    <n v="114.52130096197894"/>
    <d v="2023-04-06T00:00:00"/>
    <s v="FH"/>
    <d v="2023-04-07T00:00:00"/>
    <s v="CSTM_7XY10FNF03D"/>
    <m/>
    <s v="Pending"/>
    <x v="2"/>
    <x v="3"/>
  </r>
  <r>
    <x v="611"/>
    <s v="Rajkumar Nadimuthu"/>
    <x v="7"/>
    <x v="14"/>
    <x v="29"/>
    <s v="Won"/>
    <s v="15-16 April 2023"/>
    <n v="21000"/>
    <n v="240.49473202015577"/>
    <d v="2023-04-06T00:00:00"/>
    <s v="FH"/>
    <d v="2023-04-06T00:00:00"/>
    <s v="CSTM_DPSC8NLYA0F"/>
    <m/>
    <s v="Pending"/>
    <x v="0"/>
    <x v="3"/>
  </r>
  <r>
    <x v="612"/>
    <s v="Manoj Jadhav Rao"/>
    <x v="9"/>
    <x v="2"/>
    <x v="29"/>
    <s v="Won"/>
    <s v="29-30 April 2023"/>
    <n v="20000"/>
    <n v="229.04260192395787"/>
    <d v="2023-04-07T00:00:00"/>
    <s v="FH"/>
    <d v="2023-04-07T00:00:00"/>
    <s v="CSTM_2VFBTE0HOVD"/>
    <m/>
    <s v="Feedback done."/>
    <x v="1"/>
    <x v="3"/>
  </r>
  <r>
    <x v="612"/>
    <s v="Joy Palle"/>
    <x v="3"/>
    <x v="35"/>
    <x v="29"/>
    <s v="Won"/>
    <s v="13-14 May 2023"/>
    <n v="24000"/>
    <n v="274.85112230874944"/>
    <d v="2023-04-07T00:00:00"/>
    <s v="FH"/>
    <d v="2023-04-07T00:00:00"/>
    <s v="CSTM_4V1HL74S4I6"/>
    <m/>
    <s v="Pending"/>
    <x v="0"/>
    <x v="3"/>
  </r>
  <r>
    <x v="613"/>
    <s v="Sushil"/>
    <x v="7"/>
    <x v="24"/>
    <x v="29"/>
    <s v="Won"/>
    <s v="15-16 April 2023"/>
    <n v="40061"/>
    <n v="458.7837837837838"/>
    <d v="2023-04-10T00:00:00"/>
    <s v="FH"/>
    <d v="2023-04-10T00:00:00"/>
    <s v="CSTM_1TE5OLQ3YLI"/>
    <m/>
    <s v="Pending"/>
    <x v="0"/>
    <x v="3"/>
  </r>
  <r>
    <x v="613"/>
    <s v="Poonam Mahajan"/>
    <x v="1"/>
    <x v="0"/>
    <x v="29"/>
    <s v="Won"/>
    <s v="27-28 May 2023"/>
    <n v="21000"/>
    <n v="240.49473202015577"/>
    <d v="2023-04-10T00:00:00"/>
    <s v="FH"/>
    <d v="2023-04-10T00:00:00"/>
    <s v="CSTM_15NG5AJU04R"/>
    <s v="Reference by amrapaliashoka@gmail.com - Ashish Awandkar"/>
    <s v="Pending"/>
    <x v="0"/>
    <x v="3"/>
  </r>
  <r>
    <x v="614"/>
    <s v="Elesh Maurya"/>
    <x v="7"/>
    <x v="2"/>
    <x v="29"/>
    <s v="Won"/>
    <s v="15-16 April 2023"/>
    <n v="20000"/>
    <n v="229.04260192395787"/>
    <d v="2023-04-13T00:00:00"/>
    <s v="FH"/>
    <d v="2023-04-13T00:00:00"/>
    <s v="CSTM_4EZHX1NYW9R"/>
    <m/>
    <s v="Pending"/>
    <x v="1"/>
    <x v="3"/>
  </r>
  <r>
    <x v="615"/>
    <s v="Suchita Khare"/>
    <x v="30"/>
    <x v="0"/>
    <x v="29"/>
    <s v="Won"/>
    <s v="15-16 April 2023"/>
    <n v="21000"/>
    <n v="240.49473202015577"/>
    <d v="2023-04-14T00:00:00"/>
    <s v="FH"/>
    <d v="2023-04-14T00:00:00"/>
    <s v="CSTM_87FG1LJK4FT"/>
    <m/>
    <s v="Pending"/>
    <x v="0"/>
    <x v="3"/>
  </r>
  <r>
    <x v="616"/>
    <s v="Purna Chandra M"/>
    <x v="1"/>
    <x v="18"/>
    <x v="29"/>
    <s v="Won"/>
    <s v="OSL"/>
    <n v="47939"/>
    <n v="549.00366468163088"/>
    <d v="2023-04-17T00:00:00"/>
    <s v="SH"/>
    <d v="2023-04-17T00:00:00"/>
    <s v="CSTM_91SOFEZ93D7"/>
    <m/>
    <s v="Pending"/>
    <x v="2"/>
    <x v="3"/>
  </r>
  <r>
    <x v="617"/>
    <s v="Jitendra Sananse"/>
    <x v="1"/>
    <x v="2"/>
    <x v="29"/>
    <s v="Won"/>
    <s v="4-5 May 2023"/>
    <n v="20000"/>
    <n v="229.04260192395787"/>
    <d v="2023-04-18T00:00:00"/>
    <s v="SH"/>
    <d v="2023-04-18T00:00:00"/>
    <s v="CSTM_9VKV5D3WURW"/>
    <m/>
    <s v="Pending"/>
    <x v="1"/>
    <x v="3"/>
  </r>
  <r>
    <x v="617"/>
    <s v="Avinash Kale"/>
    <x v="1"/>
    <x v="35"/>
    <x v="29"/>
    <s v="Won"/>
    <s v="22-23 April 2023"/>
    <n v="24000"/>
    <n v="274.85112230874944"/>
    <d v="2023-04-18T00:00:00"/>
    <s v="SH"/>
    <d v="2023-04-18T00:00:00"/>
    <s v="CSTM_DESD07YSBIP"/>
    <s v="Reference by mahesh.mahajan13@gmail.com"/>
    <s v="Pending"/>
    <x v="0"/>
    <x v="3"/>
  </r>
  <r>
    <x v="618"/>
    <s v="Vrinda Mohan"/>
    <x v="3"/>
    <x v="14"/>
    <x v="29"/>
    <s v="Won"/>
    <s v="29-30 April 2023"/>
    <n v="20000"/>
    <n v="229.04260192395787"/>
    <d v="2023-04-20T00:00:00"/>
    <s v="SH"/>
    <d v="2023-04-20T00:00:00"/>
    <s v="CSTM_DABSDEZO334"/>
    <m/>
    <s v="Feedback done."/>
    <x v="0"/>
    <x v="3"/>
  </r>
  <r>
    <x v="618"/>
    <s v="Pooja Singh"/>
    <x v="1"/>
    <x v="2"/>
    <x v="29"/>
    <s v="Won"/>
    <s v="22-23 April 2023"/>
    <n v="20000"/>
    <n v="229.04260192395787"/>
    <d v="2023-04-20T00:00:00"/>
    <s v="SH"/>
    <d v="2023-04-20T00:00:00"/>
    <s v="CSTM_4539TOXW4ND"/>
    <m/>
    <s v="Pending"/>
    <x v="1"/>
    <x v="3"/>
  </r>
  <r>
    <x v="619"/>
    <s v="Pankaj Agrawal"/>
    <x v="7"/>
    <x v="0"/>
    <x v="29"/>
    <s v="Won"/>
    <s v="6-7 May 2023"/>
    <n v="21000"/>
    <n v="240.49473202015577"/>
    <d v="2023-04-21T00:00:00"/>
    <s v="SH"/>
    <d v="2023-04-21T00:00:00"/>
    <s v="CSTM_ESR16P07OYC"/>
    <m/>
    <s v="Pending"/>
    <x v="0"/>
    <x v="3"/>
  </r>
  <r>
    <x v="619"/>
    <s v="Niteen Mahajan"/>
    <x v="7"/>
    <x v="35"/>
    <x v="29"/>
    <s v="Won"/>
    <s v="22-23 April 2023"/>
    <n v="24000"/>
    <n v="274.85112230874944"/>
    <d v="2023-04-21T00:00:00"/>
    <s v="SH"/>
    <d v="2023-04-21T00:00:00"/>
    <s v="CSTM_3P089TOLVZ"/>
    <m/>
    <s v="Pending"/>
    <x v="0"/>
    <x v="3"/>
  </r>
  <r>
    <x v="620"/>
    <s v="Shelly Sood"/>
    <x v="9"/>
    <x v="2"/>
    <x v="29"/>
    <s v="Won"/>
    <s v="6-7 May 2023"/>
    <n v="20000"/>
    <n v="229.04260192395787"/>
    <d v="2023-04-26T00:00:00"/>
    <s v="SH"/>
    <d v="2023-04-26T00:00:00"/>
    <s v="CSTM_GTR2UG85RLN"/>
    <m/>
    <s v="Pending"/>
    <x v="1"/>
    <x v="3"/>
  </r>
  <r>
    <x v="621"/>
    <s v="Prasun Nag"/>
    <x v="13"/>
    <x v="24"/>
    <x v="29"/>
    <s v="Won"/>
    <s v="27-28 May 2023"/>
    <n v="40061"/>
    <n v="458.7837837837838"/>
    <d v="2023-04-27T00:00:00"/>
    <s v="SH"/>
    <d v="2023-04-27T00:00:00"/>
    <s v="CSTM_4XA60O55O1V"/>
    <m/>
    <s v="Pending"/>
    <x v="0"/>
    <x v="3"/>
  </r>
  <r>
    <x v="622"/>
    <s v="Shamshad Shaik"/>
    <x v="7"/>
    <x v="24"/>
    <x v="30"/>
    <s v="Won"/>
    <s v="6-7 May 2023"/>
    <n v="40061"/>
    <n v="458.7837837837838"/>
    <d v="2023-05-01T00:00:00"/>
    <s v="F10"/>
    <d v="2023-05-01T00:00:00"/>
    <s v="CSTM_82JO7KCD65F"/>
    <m/>
    <s v="Pending"/>
    <x v="0"/>
    <x v="3"/>
  </r>
  <r>
    <x v="622"/>
    <s v="Chethana"/>
    <x v="1"/>
    <x v="24"/>
    <x v="30"/>
    <s v="Won"/>
    <s v="6-7 May 2023"/>
    <n v="40061"/>
    <n v="458.7837837837838"/>
    <d v="2023-05-01T00:00:00"/>
    <s v="F10"/>
    <d v="2023-05-01T00:00:00"/>
    <s v="CSTM_2WQHNHFMRUX"/>
    <m/>
    <s v="Pending"/>
    <x v="0"/>
    <x v="3"/>
  </r>
  <r>
    <x v="623"/>
    <s v="Pooja Shinde"/>
    <x v="3"/>
    <x v="0"/>
    <x v="30"/>
    <s v="Won"/>
    <s v="6-7 May 2023"/>
    <n v="21000"/>
    <n v="240.49473202015577"/>
    <d v="2023-05-02T00:00:00"/>
    <s v="F10"/>
    <d v="2023-05-02T00:00:00"/>
    <s v="CSTM_7C1KVID2AWG"/>
    <m/>
    <s v="Pending"/>
    <x v="0"/>
    <x v="3"/>
  </r>
  <r>
    <x v="623"/>
    <s v="Rahul Bidwe"/>
    <x v="1"/>
    <x v="0"/>
    <x v="30"/>
    <s v="Won"/>
    <s v="6-7 May 2023"/>
    <n v="21000"/>
    <n v="240.49473202015577"/>
    <d v="2023-05-02T00:00:00"/>
    <s v="F10"/>
    <d v="2023-05-02T00:00:00"/>
    <s v="CSTM_4LD25ZTF1PD"/>
    <s v="Reference by mulharpramod@gmail.com"/>
    <s v="Pending"/>
    <x v="0"/>
    <x v="3"/>
  </r>
  <r>
    <x v="624"/>
    <s v="Chandra Mouli"/>
    <x v="1"/>
    <x v="2"/>
    <x v="30"/>
    <s v="Won"/>
    <s v="4-5 May 2023"/>
    <n v="18000"/>
    <n v="206.13834173156206"/>
    <d v="2023-05-03T00:00:00"/>
    <s v="F10"/>
    <d v="2023-05-03T00:00:00"/>
    <s v="CSTM_516H5RDFMI5"/>
    <s v="Reference by ranganath79@yahoo.com"/>
    <s v="Pending"/>
    <x v="1"/>
    <x v="3"/>
  </r>
  <r>
    <x v="624"/>
    <s v="Stella Chettiar"/>
    <x v="3"/>
    <x v="14"/>
    <x v="30"/>
    <s v="Won"/>
    <s v="6-7 May 2023"/>
    <n v="21000"/>
    <n v="240.49473202015577"/>
    <d v="2023-05-03T00:00:00"/>
    <s v="F10"/>
    <d v="2023-05-03T00:00:00"/>
    <s v="CSTM_4FZCUZJG5QW"/>
    <m/>
    <s v="Pending"/>
    <x v="0"/>
    <x v="3"/>
  </r>
  <r>
    <x v="625"/>
    <s v="Mikelson"/>
    <x v="1"/>
    <x v="18"/>
    <x v="30"/>
    <s v="Won"/>
    <d v="2023-05-08T00:00:00"/>
    <n v="62721"/>
    <n v="718.28905176362809"/>
    <d v="2023-05-04T00:00:00"/>
    <s v="F10"/>
    <d v="2023-05-04T00:00:00"/>
    <s v="CSTM_87BXVKALPBG"/>
    <s v="Reference by dmr.tech90@gmail.com"/>
    <s v="Pending"/>
    <x v="2"/>
    <x v="3"/>
  </r>
  <r>
    <x v="625"/>
    <s v="Jay Kompella"/>
    <x v="1"/>
    <x v="24"/>
    <x v="30"/>
    <s v="Won"/>
    <s v="3-4 June 2023"/>
    <n v="42000"/>
    <n v="480.98946404031153"/>
    <d v="2023-05-04T00:00:00"/>
    <s v="F10"/>
    <d v="2023-05-04T00:00:00"/>
    <s v="CSTM_C258QWW8KZR"/>
    <s v="Reference by t06adam25@gmail.com"/>
    <s v="Pending"/>
    <x v="0"/>
    <x v="3"/>
  </r>
  <r>
    <x v="626"/>
    <s v="Mownaguru"/>
    <x v="5"/>
    <x v="1"/>
    <x v="30"/>
    <s v="Won"/>
    <s v="3-4 June 2023"/>
    <n v="20000"/>
    <n v="229.04260192395787"/>
    <d v="2023-05-05T00:00:00"/>
    <s v="F10"/>
    <d v="2023-05-05T00:00:00"/>
    <s v="CSTM_4P1KMXZFZYY"/>
    <m/>
    <s v="Pending"/>
    <x v="1"/>
    <x v="3"/>
  </r>
  <r>
    <x v="626"/>
    <s v="Sumit Kamal"/>
    <x v="1"/>
    <x v="10"/>
    <x v="30"/>
    <s v="Won"/>
    <d v="2023-05-15T00:00:00"/>
    <n v="14000"/>
    <n v="160.3298213467705"/>
    <d v="2023-05-05T00:00:00"/>
    <s v="F10"/>
    <d v="2023-05-05T00:00:00"/>
    <s v="CSTM_BPS5KTC79TC"/>
    <s v="Reference by nehadreams1@gmail.com"/>
    <s v="Pending"/>
    <x v="2"/>
    <x v="3"/>
  </r>
  <r>
    <x v="626"/>
    <s v="Rohini Goverdhan"/>
    <x v="1"/>
    <x v="2"/>
    <x v="30"/>
    <s v="Won"/>
    <s v="8-10 May 2023"/>
    <n v="43393"/>
    <n v="496.94228126431523"/>
    <d v="2023-05-05T00:00:00"/>
    <s v="F10"/>
    <d v="2023-05-05T00:00:00"/>
    <s v="CSTM_99Y5Q6ORVBN"/>
    <s v="Reference by cindrella324@gmail.com"/>
    <s v="Pending"/>
    <x v="1"/>
    <x v="3"/>
  </r>
  <r>
    <x v="627"/>
    <s v="Alekhya"/>
    <x v="5"/>
    <x v="0"/>
    <x v="30"/>
    <s v="Won"/>
    <s v="13-14 May 2023"/>
    <n v="21000"/>
    <n v="240.49473202015577"/>
    <d v="2023-05-08T00:00:00"/>
    <s v="F10"/>
    <d v="2023-05-09T00:00:00"/>
    <s v="CSTM_G8RR7TORBWL"/>
    <m/>
    <s v="Pending"/>
    <x v="0"/>
    <x v="3"/>
  </r>
  <r>
    <x v="628"/>
    <s v="Manisha Chaubey"/>
    <x v="6"/>
    <x v="14"/>
    <x v="30"/>
    <s v="Won"/>
    <s v="3-4 June 2023"/>
    <n v="21000"/>
    <n v="240.49473202015577"/>
    <d v="2023-05-09T00:00:00"/>
    <s v="F10"/>
    <d v="2023-05-09T00:00:00"/>
    <s v="CSTM_FFGBTJSKZN7"/>
    <m/>
    <s v="Pending"/>
    <x v="0"/>
    <x v="3"/>
  </r>
  <r>
    <x v="629"/>
    <s v="Samir Dighe"/>
    <x v="13"/>
    <x v="35"/>
    <x v="30"/>
    <s v="Won"/>
    <s v="13-14 May 2023"/>
    <n v="24000"/>
    <n v="274.85112230874944"/>
    <d v="2023-05-11T00:00:00"/>
    <s v="S10"/>
    <d v="2023-05-11T00:00:00"/>
    <s v="CSTM_6LVYGYZUCDE"/>
    <m/>
    <s v="Pending"/>
    <x v="0"/>
    <x v="3"/>
  </r>
  <r>
    <x v="630"/>
    <s v="Vasanta"/>
    <x v="7"/>
    <x v="14"/>
    <x v="30"/>
    <s v="Won"/>
    <s v="20-21 May 2023"/>
    <n v="21000"/>
    <n v="240.49473202015577"/>
    <d v="2023-05-12T00:00:00"/>
    <s v="S10"/>
    <d v="2023-05-12T00:00:00"/>
    <s v="CSTM_HJ85D4GFCIL"/>
    <m/>
    <s v="Pending"/>
    <x v="0"/>
    <x v="3"/>
  </r>
  <r>
    <x v="630"/>
    <s v="Lakshmi Priya"/>
    <x v="13"/>
    <x v="9"/>
    <x v="30"/>
    <s v="Won"/>
    <s v="20-21 May 2023"/>
    <n v="42000"/>
    <n v="480.98946404031153"/>
    <d v="2023-05-12T00:00:00"/>
    <s v="S10"/>
    <d v="2023-05-12T00:00:00"/>
    <s v="CSTM_4Y28AGWPQ00"/>
    <m/>
    <s v="Pending"/>
    <x v="0"/>
    <x v="3"/>
  </r>
  <r>
    <x v="631"/>
    <s v="Srivatsan"/>
    <x v="2"/>
    <x v="9"/>
    <x v="30"/>
    <s v="Won"/>
    <s v="27-28 May 2023"/>
    <n v="42000"/>
    <n v="480.98946404031153"/>
    <d v="2023-05-18T00:00:00"/>
    <s v="S10"/>
    <d v="2023-05-18T00:00:00"/>
    <s v="CSTM_5VODYUS9IAY"/>
    <m/>
    <s v="Pending"/>
    <x v="0"/>
    <x v="3"/>
  </r>
  <r>
    <x v="631"/>
    <s v="Priya Pandey"/>
    <x v="13"/>
    <x v="57"/>
    <x v="30"/>
    <s v="Won"/>
    <d v="2023-05-27T00:00:00"/>
    <n v="38000"/>
    <n v="435.18094365551997"/>
    <d v="2023-05-18T00:00:00"/>
    <s v="S10"/>
    <d v="2023-05-18T00:00:00"/>
    <s v="CSTM_H1EMQ82SYR1"/>
    <m/>
    <s v="Pending"/>
    <x v="2"/>
    <x v="3"/>
  </r>
  <r>
    <x v="632"/>
    <s v="Usha Raman"/>
    <x v="13"/>
    <x v="35"/>
    <x v="30"/>
    <s v="Won"/>
    <s v="27-28 May 2023"/>
    <n v="24000"/>
    <n v="274.85112230874944"/>
    <d v="2023-05-19T00:00:00"/>
    <s v="S10"/>
    <d v="2023-05-19T00:00:00"/>
    <s v="CSTM_TR4GSBWUYE"/>
    <m/>
    <s v="Pending"/>
    <x v="0"/>
    <x v="3"/>
  </r>
  <r>
    <x v="633"/>
    <s v="Madan B A M"/>
    <x v="13"/>
    <x v="70"/>
    <x v="30"/>
    <s v="Won"/>
    <d v="2023-05-27T00:00:00"/>
    <n v="43000"/>
    <n v="492.44159413650942"/>
    <d v="2023-05-23T00:00:00"/>
    <s v="T10"/>
    <d v="2023-05-23T00:00:00"/>
    <s v="CSTM_17U6J60Y3VT"/>
    <m/>
    <s v="Pending"/>
    <x v="2"/>
    <x v="3"/>
  </r>
  <r>
    <x v="634"/>
    <s v="Saheli Guha"/>
    <x v="1"/>
    <x v="0"/>
    <x v="30"/>
    <s v="Won"/>
    <s v="27-28 May 2023"/>
    <n v="21000"/>
    <n v="240.49473202015577"/>
    <d v="2023-05-24T00:00:00"/>
    <s v="T10"/>
    <d v="2023-05-24T00:00:00"/>
    <s v="CSTM_B4CUOQJ147P"/>
    <s v="Reference by static.virtue@gmail.com"/>
    <s v="Pending"/>
    <x v="0"/>
    <x v="3"/>
  </r>
  <r>
    <x v="635"/>
    <s v="Aditya Jha"/>
    <x v="7"/>
    <x v="1"/>
    <x v="30"/>
    <s v="Won"/>
    <s v="3-4 June 2023"/>
    <n v="20000"/>
    <n v="229.04260192395787"/>
    <d v="2023-05-25T00:00:00"/>
    <s v="T10"/>
    <d v="2023-05-25T00:00:00"/>
    <s v="CSTM_1S3S6LH05S6"/>
    <m/>
    <s v="Pending"/>
    <x v="1"/>
    <x v="3"/>
  </r>
  <r>
    <x v="635"/>
    <s v="Vibhu Mishra"/>
    <x v="24"/>
    <x v="2"/>
    <x v="30"/>
    <s v="Won"/>
    <s v="27-28 May 2023"/>
    <n v="18000"/>
    <n v="206.13834173156206"/>
    <d v="2023-05-25T00:00:00"/>
    <s v="T10"/>
    <d v="2023-05-26T00:00:00"/>
    <s v="CSTM_EE07CN1MZSF"/>
    <m/>
    <s v="Pending"/>
    <x v="1"/>
    <x v="3"/>
  </r>
  <r>
    <x v="636"/>
    <s v="Megha Singhal"/>
    <x v="7"/>
    <x v="2"/>
    <x v="30"/>
    <s v="Won"/>
    <s v="27-28 May 2023"/>
    <n v="18000"/>
    <n v="206.13834173156206"/>
    <d v="2023-05-26T00:00:00"/>
    <s v="T10"/>
    <d v="2023-05-26T00:00:00"/>
    <s v="CSTM_SBOGEULAP4"/>
    <m/>
    <s v="Pending"/>
    <x v="1"/>
    <x v="3"/>
  </r>
  <r>
    <x v="637"/>
    <s v="Rupesh H T"/>
    <x v="1"/>
    <x v="2"/>
    <x v="30"/>
    <s v="Won"/>
    <s v="27-28 May 2023"/>
    <n v="20000"/>
    <n v="229.04260192395787"/>
    <d v="2023-05-26T00:00:00"/>
    <s v="T10"/>
    <d v="2023-05-26T00:00:00"/>
    <s v="CSTM_BRPX77KYG77"/>
    <s v="Reference by dhiraj21hbti@gmail.com"/>
    <s v="Pending"/>
    <x v="1"/>
    <x v="3"/>
  </r>
  <r>
    <x v="637"/>
    <s v="Santosh Kumar"/>
    <x v="2"/>
    <x v="2"/>
    <x v="30"/>
    <s v="Won"/>
    <s v="27-28 May 2023"/>
    <n v="18000"/>
    <n v="206.13834173156206"/>
    <d v="2023-05-26T00:00:00"/>
    <s v="T10"/>
    <d v="2023-05-26T00:00:00"/>
    <s v="CSTM_275J1M1A92G"/>
    <m/>
    <s v="Pending"/>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3A2466-5212-49C6-A04C-07F0B99BCF4D}"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6">
  <location ref="A3:C47" firstHeaderRow="1" firstDataRow="1" firstDataCol="2"/>
  <pivotFields count="19">
    <pivotField compact="0" numFmtId="174" showAll="0" defaultSubtotal="0">
      <items count="638">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compact="0" showAll="0" defaultSubtotal="0"/>
    <pivotField compact="0" showAll="0" defaultSubtotal="0"/>
    <pivotField compact="0" showAll="0" defaultSubtotal="0"/>
    <pivotField axis="axisRow" compact="0" numFmtId="168" showAll="0" defaultSubtotal="0">
      <items count="31">
        <item x="2"/>
        <item x="3"/>
        <item x="4"/>
        <item x="0"/>
        <item x="5"/>
        <item x="1"/>
        <item x="6"/>
        <item x="8"/>
        <item x="7"/>
        <item x="10"/>
        <item x="9"/>
        <item x="11"/>
        <item x="12"/>
        <item x="13"/>
        <item x="14"/>
        <item x="15"/>
        <item x="16"/>
        <item x="17"/>
        <item x="18"/>
        <item x="19"/>
        <item x="20"/>
        <item x="21"/>
        <item x="22"/>
        <item x="23"/>
        <item x="24"/>
        <item x="25"/>
        <item x="26"/>
        <item x="27"/>
        <item x="28"/>
        <item x="29"/>
        <item x="30"/>
      </items>
    </pivotField>
    <pivotField compact="0" showAll="0" defaultSubtotal="0"/>
    <pivotField compact="0" showAll="0" defaultSubtotal="0"/>
    <pivotField compact="0" numFmtId="175" showAll="0" defaultSubtotal="0"/>
    <pivotField dataField="1" compact="0" numFmtId="176" showAll="0" defaultSubtotal="0"/>
    <pivotField compact="0" showAll="0" defaultSubtotal="0"/>
    <pivotField compact="0" showAll="0" defaultSubtotal="0"/>
    <pivotField compact="0" numFmtId="174" showAll="0" defaultSubtotal="0"/>
    <pivotField compact="0" showAll="0" defaultSubtotal="0"/>
    <pivotField compact="0" showAll="0" defaultSubtotal="0"/>
    <pivotField compact="0" showAll="0" defaultSubtotal="0"/>
    <pivotField compact="0" showAll="0" defaultSubtotal="0">
      <items count="4">
        <item x="1"/>
        <item m="1" x="3"/>
        <item x="2"/>
        <item x="0"/>
      </items>
    </pivotField>
    <pivotField compact="0" subtotalTop="0" showAll="0" defaultSubtotal="0"/>
    <pivotField compact="0" subtotalTop="0" showAll="0" defaultSubtotal="0">
      <items count="6">
        <item x="0"/>
        <item x="1"/>
        <item x="2"/>
        <item x="3"/>
        <item x="4"/>
        <item x="5"/>
      </items>
    </pivotField>
    <pivotField axis="axisRow" compact="0" subtotalTop="0" showAll="0" defaultSubtotal="0">
      <items count="14">
        <item x="0"/>
        <item x="1"/>
        <item x="2"/>
        <item x="3"/>
        <item x="4"/>
        <item x="5"/>
        <item x="6"/>
        <item x="7"/>
        <item x="8"/>
        <item x="9"/>
        <item x="10"/>
        <item x="11"/>
        <item x="12"/>
        <item x="13"/>
      </items>
    </pivotField>
  </pivotFields>
  <rowFields count="2">
    <field x="18"/>
    <field x="4"/>
  </rowFields>
  <rowItems count="44">
    <i>
      <x v="1"/>
    </i>
    <i r="1">
      <x v="2"/>
    </i>
    <i r="1">
      <x v="14"/>
    </i>
    <i r="1">
      <x v="26"/>
    </i>
    <i>
      <x v="2"/>
    </i>
    <i r="1">
      <x v="3"/>
    </i>
    <i r="1">
      <x v="15"/>
    </i>
    <i r="1">
      <x v="27"/>
    </i>
    <i>
      <x v="3"/>
    </i>
    <i r="1">
      <x v="4"/>
    </i>
    <i r="1">
      <x v="16"/>
    </i>
    <i r="1">
      <x v="28"/>
    </i>
    <i>
      <x v="4"/>
    </i>
    <i r="1">
      <x v="5"/>
    </i>
    <i r="1">
      <x v="17"/>
    </i>
    <i r="1">
      <x v="29"/>
    </i>
    <i>
      <x v="5"/>
    </i>
    <i r="1">
      <x v="6"/>
    </i>
    <i r="1">
      <x v="18"/>
    </i>
    <i r="1">
      <x v="30"/>
    </i>
    <i>
      <x v="6"/>
    </i>
    <i r="1">
      <x v="7"/>
    </i>
    <i r="1">
      <x v="19"/>
    </i>
    <i>
      <x v="7"/>
    </i>
    <i r="1">
      <x v="8"/>
    </i>
    <i r="1">
      <x v="20"/>
    </i>
    <i>
      <x v="8"/>
    </i>
    <i r="1">
      <x v="9"/>
    </i>
    <i r="1">
      <x v="21"/>
    </i>
    <i>
      <x v="9"/>
    </i>
    <i r="1">
      <x v="10"/>
    </i>
    <i r="1">
      <x v="22"/>
    </i>
    <i>
      <x v="10"/>
    </i>
    <i r="1">
      <x v="11"/>
    </i>
    <i r="1">
      <x v="23"/>
    </i>
    <i>
      <x v="11"/>
    </i>
    <i r="1">
      <x/>
    </i>
    <i r="1">
      <x v="12"/>
    </i>
    <i r="1">
      <x v="24"/>
    </i>
    <i>
      <x v="12"/>
    </i>
    <i r="1">
      <x v="1"/>
    </i>
    <i r="1">
      <x v="13"/>
    </i>
    <i r="1">
      <x v="25"/>
    </i>
    <i t="grand">
      <x/>
    </i>
  </rowItems>
  <colItems count="1">
    <i/>
  </colItems>
  <dataFields count="1">
    <dataField name="Sum of In $" fld="8" baseField="0" baseItem="0" numFmtId="176"/>
  </dataFields>
  <formats count="1">
    <format dxfId="26">
      <pivotArea outline="0"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690B4F2-F4C3-4F9B-9955-AAAF282338E1}"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11">
  <location ref="A3:B26" firstHeaderRow="1" firstDataRow="1" firstDataCol="1"/>
  <pivotFields count="19">
    <pivotField compact="0" numFmtId="174" showAll="0" defaultSubtotal="0">
      <items count="638">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compact="0" showAll="0" defaultSubtotal="0"/>
    <pivotField compact="0" showAll="0" defaultSubtotal="0"/>
    <pivotField axis="axisRow" compact="0" showAll="0" measureFilter="1" sortType="ascending" defaultSubtotal="0">
      <items count="80">
        <item x="70"/>
        <item x="58"/>
        <item x="55"/>
        <item x="47"/>
        <item x="16"/>
        <item x="15"/>
        <item x="31"/>
        <item x="36"/>
        <item x="24"/>
        <item x="41"/>
        <item x="9"/>
        <item x="34"/>
        <item x="14"/>
        <item x="35"/>
        <item x="0"/>
        <item m="1" x="71"/>
        <item m="1" x="74"/>
        <item m="1" x="72"/>
        <item m="1" x="73"/>
        <item x="66"/>
        <item x="22"/>
        <item x="65"/>
        <item x="63"/>
        <item x="13"/>
        <item x="11"/>
        <item x="38"/>
        <item x="56"/>
        <item x="62"/>
        <item x="51"/>
        <item x="59"/>
        <item x="49"/>
        <item x="45"/>
        <item x="7"/>
        <item x="3"/>
        <item x="37"/>
        <item x="50"/>
        <item x="48"/>
        <item x="27"/>
        <item x="54"/>
        <item x="12"/>
        <item x="29"/>
        <item m="1" x="75"/>
        <item x="43"/>
        <item x="68"/>
        <item x="25"/>
        <item x="8"/>
        <item m="1" x="77"/>
        <item m="1" x="79"/>
        <item m="1" x="78"/>
        <item x="53"/>
        <item x="18"/>
        <item m="1" x="76"/>
        <item x="17"/>
        <item x="67"/>
        <item x="23"/>
        <item x="64"/>
        <item x="5"/>
        <item x="30"/>
        <item x="44"/>
        <item x="69"/>
        <item x="61"/>
        <item x="26"/>
        <item x="1"/>
        <item x="2"/>
        <item x="40"/>
        <item x="46"/>
        <item x="19"/>
        <item x="52"/>
        <item x="32"/>
        <item x="10"/>
        <item x="39"/>
        <item x="57"/>
        <item x="6"/>
        <item x="21"/>
        <item x="28"/>
        <item x="20"/>
        <item x="60"/>
        <item x="4"/>
        <item x="42"/>
        <item x="33"/>
      </items>
      <autoSortScope>
        <pivotArea dataOnly="0" outline="0" fieldPosition="0">
          <references count="1">
            <reference field="4294967294" count="1" selected="0">
              <x v="0"/>
            </reference>
          </references>
        </pivotArea>
      </autoSortScope>
    </pivotField>
    <pivotField compact="0" numFmtId="168" showAll="0" defaultSubtotal="0">
      <items count="31">
        <item x="2"/>
        <item x="3"/>
        <item x="4"/>
        <item x="0"/>
        <item x="5"/>
        <item x="1"/>
        <item x="6"/>
        <item x="8"/>
        <item x="7"/>
        <item x="10"/>
        <item x="9"/>
        <item x="11"/>
        <item x="12"/>
        <item x="13"/>
        <item x="14"/>
        <item x="15"/>
        <item x="16"/>
        <item x="17"/>
        <item x="18"/>
        <item x="19"/>
        <item x="20"/>
        <item x="21"/>
        <item x="22"/>
        <item x="23"/>
        <item x="24"/>
        <item x="25"/>
        <item x="26"/>
        <item x="27"/>
        <item x="28"/>
        <item x="29"/>
        <item x="30"/>
      </items>
    </pivotField>
    <pivotField compact="0" showAll="0" defaultSubtotal="0"/>
    <pivotField compact="0" showAll="0" defaultSubtotal="0"/>
    <pivotField compact="0" numFmtId="175" showAll="0" defaultSubtotal="0"/>
    <pivotField dataField="1" compact="0" numFmtId="176" showAll="0" defaultSubtotal="0"/>
    <pivotField compact="0" showAll="0" defaultSubtotal="0"/>
    <pivotField compact="0" showAll="0" defaultSubtotal="0"/>
    <pivotField compact="0" numFmtId="174" showAll="0" defaultSubtotal="0"/>
    <pivotField compact="0" showAll="0" defaultSubtotal="0"/>
    <pivotField compact="0" showAll="0" defaultSubtotal="0"/>
    <pivotField compact="0" showAll="0" defaultSubtotal="0"/>
    <pivotField compact="0" showAll="0" defaultSubtotal="0">
      <items count="4">
        <item x="1"/>
        <item m="1" x="3"/>
        <item x="2"/>
        <item x="0"/>
      </items>
    </pivotField>
    <pivotField compact="0" subtotalTop="0" showAll="0" defaultSubtotal="0">
      <items count="4">
        <item x="1"/>
        <item x="0"/>
        <item x="2"/>
        <item x="3"/>
      </items>
    </pivotField>
    <pivotField compact="0" subtotalTop="0" showAll="0" defaultSubtotal="0">
      <items count="6">
        <item x="0"/>
        <item x="1"/>
        <item x="2"/>
        <item x="3"/>
        <item x="4"/>
        <item x="5"/>
      </items>
    </pivotField>
    <pivotField compact="0" subtotalTop="0" showAll="0" defaultSubtotal="0">
      <items count="14">
        <item x="0"/>
        <item x="1"/>
        <item x="2"/>
        <item x="3"/>
        <item x="4"/>
        <item x="5"/>
        <item x="6"/>
        <item x="7"/>
        <item x="8"/>
        <item x="9"/>
        <item x="10"/>
        <item x="11"/>
        <item x="12"/>
        <item x="13"/>
      </items>
    </pivotField>
  </pivotFields>
  <rowFields count="1">
    <field x="3"/>
  </rowFields>
  <rowItems count="23">
    <i>
      <x v="36"/>
    </i>
    <i>
      <x v="79"/>
    </i>
    <i>
      <x v="38"/>
    </i>
    <i>
      <x v="34"/>
    </i>
    <i>
      <x v="9"/>
    </i>
    <i>
      <x v="54"/>
    </i>
    <i>
      <x v="37"/>
    </i>
    <i>
      <x v="43"/>
    </i>
    <i>
      <x v="40"/>
    </i>
    <i>
      <x v="7"/>
    </i>
    <i>
      <x v="50"/>
    </i>
    <i>
      <x v="11"/>
    </i>
    <i>
      <x v="32"/>
    </i>
    <i>
      <x v="53"/>
    </i>
    <i>
      <x v="6"/>
    </i>
    <i>
      <x v="62"/>
    </i>
    <i>
      <x v="8"/>
    </i>
    <i>
      <x v="12"/>
    </i>
    <i>
      <x v="13"/>
    </i>
    <i>
      <x v="63"/>
    </i>
    <i>
      <x v="14"/>
    </i>
    <i>
      <x v="10"/>
    </i>
    <i t="grand">
      <x/>
    </i>
  </rowItems>
  <colItems count="1">
    <i/>
  </colItems>
  <dataFields count="1">
    <dataField name="Sum of In $" fld="8" baseField="0" baseItem="0" numFmtId="179"/>
  </dataFields>
  <formats count="2">
    <format dxfId="25">
      <pivotArea fieldPosition="0">
        <references count="1">
          <reference field="3" count="22">
            <x v="6"/>
            <x v="7"/>
            <x v="8"/>
            <x v="9"/>
            <x v="10"/>
            <x v="11"/>
            <x v="12"/>
            <x v="13"/>
            <x v="14"/>
            <x v="17"/>
            <x v="32"/>
            <x v="34"/>
            <x v="36"/>
            <x v="37"/>
            <x v="38"/>
            <x v="40"/>
            <x v="43"/>
            <x v="48"/>
            <x v="53"/>
            <x v="54"/>
            <x v="62"/>
            <x v="63"/>
          </reference>
        </references>
      </pivotArea>
    </format>
    <format dxfId="24">
      <pivotArea outline="0" collapsedLevelsAreSubtotals="1" fieldPosition="0"/>
    </format>
  </formats>
  <chartFormats count="2">
    <chartFormat chart="7" format="1"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OrEqual" evalOrder="-1" id="4"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1EF0ED8-1E2F-469A-AF3F-DFF3E7F8858A}"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1">
  <location ref="A3:D36" firstHeaderRow="1" firstDataRow="2" firstDataCol="1"/>
  <pivotFields count="19">
    <pivotField compact="0" numFmtId="174" showAll="0" defaultSubtotal="0">
      <items count="638">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s>
    </pivotField>
    <pivotField compact="0" showAll="0" defaultSubtotal="0"/>
    <pivotField compact="0" showAll="0" defaultSubtotal="0"/>
    <pivotField dataField="1" compact="0" showAll="0" defaultSubtotal="0"/>
    <pivotField axis="axisRow" compact="0" numFmtId="168" showAll="0" defaultSubtotal="0">
      <items count="31">
        <item x="2"/>
        <item x="3"/>
        <item x="4"/>
        <item x="0"/>
        <item x="5"/>
        <item x="1"/>
        <item x="6"/>
        <item x="8"/>
        <item x="7"/>
        <item x="10"/>
        <item x="9"/>
        <item x="11"/>
        <item x="12"/>
        <item x="13"/>
        <item x="14"/>
        <item x="15"/>
        <item x="16"/>
        <item x="17"/>
        <item x="18"/>
        <item x="19"/>
        <item x="20"/>
        <item x="21"/>
        <item x="22"/>
        <item x="23"/>
        <item x="24"/>
        <item x="25"/>
        <item x="26"/>
        <item x="27"/>
        <item x="28"/>
        <item x="29"/>
        <item x="30"/>
      </items>
    </pivotField>
    <pivotField compact="0" showAll="0" defaultSubtotal="0"/>
    <pivotField compact="0" showAll="0" defaultSubtotal="0"/>
    <pivotField compact="0" numFmtId="175" showAll="0" defaultSubtotal="0"/>
    <pivotField compact="0" numFmtId="176" showAll="0" defaultSubtotal="0"/>
    <pivotField compact="0" showAll="0" defaultSubtotal="0"/>
    <pivotField compact="0" showAll="0" defaultSubtotal="0"/>
    <pivotField compact="0" numFmtId="174" showAll="0" defaultSubtotal="0"/>
    <pivotField compact="0" showAll="0" defaultSubtotal="0"/>
    <pivotField compact="0" showAll="0" defaultSubtotal="0"/>
    <pivotField compact="0" showAll="0" defaultSubtotal="0"/>
    <pivotField axis="axisCol" compact="0" showAll="0" defaultSubtotal="0">
      <items count="4">
        <item x="1"/>
        <item m="1" x="3"/>
        <item x="2"/>
        <item x="0"/>
      </items>
    </pivotField>
    <pivotField compact="0" subtotalTop="0" showAll="0" defaultSubtotal="0">
      <items count="4">
        <item x="1"/>
        <item x="0"/>
        <item x="2"/>
        <item x="3"/>
      </items>
    </pivotField>
    <pivotField compact="0" subtotalTop="0" showAll="0" defaultSubtotal="0">
      <items count="6">
        <item x="0"/>
        <item x="1"/>
        <item x="2"/>
        <item x="3"/>
        <item x="4"/>
        <item x="5"/>
      </items>
    </pivotField>
    <pivotField compact="0" subtotalTop="0" showAll="0" defaultSubtotal="0">
      <items count="14">
        <item x="0"/>
        <item x="1"/>
        <item x="2"/>
        <item x="3"/>
        <item x="4"/>
        <item x="5"/>
        <item x="6"/>
        <item x="7"/>
        <item x="8"/>
        <item x="9"/>
        <item x="10"/>
        <item x="11"/>
        <item x="12"/>
        <item x="13"/>
      </items>
    </pivotField>
  </pivotFields>
  <rowFields count="1">
    <field x="4"/>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Fields count="1">
    <field x="15"/>
  </colFields>
  <colItems count="3">
    <i>
      <x/>
    </i>
    <i>
      <x v="2"/>
    </i>
    <i>
      <x v="3"/>
    </i>
  </colItems>
  <dataFields count="1">
    <dataField name="Count of Course" fld="3" subtotal="count" baseField="0" baseItem="0"/>
  </dataFields>
  <chartFormats count="12">
    <chartFormat chart="17" format="12" series="1">
      <pivotArea type="data" outline="0" fieldPosition="0">
        <references count="2">
          <reference field="4294967294" count="1" selected="0">
            <x v="0"/>
          </reference>
          <reference field="15" count="1" selected="0">
            <x v="2"/>
          </reference>
        </references>
      </pivotArea>
    </chartFormat>
    <chartFormat chart="17" format="13" series="1">
      <pivotArea type="data" outline="0" fieldPosition="0">
        <references count="2">
          <reference field="4294967294" count="1" selected="0">
            <x v="0"/>
          </reference>
          <reference field="15" count="1" selected="0">
            <x v="3"/>
          </reference>
        </references>
      </pivotArea>
    </chartFormat>
    <chartFormat chart="17" format="14" series="1">
      <pivotArea type="data" outline="0" fieldPosition="0">
        <references count="2">
          <reference field="4294967294" count="1" selected="0">
            <x v="0"/>
          </reference>
          <reference field="15" count="1" selected="0">
            <x v="0"/>
          </reference>
        </references>
      </pivotArea>
    </chartFormat>
    <chartFormat chart="8" format="6" series="1">
      <pivotArea type="data" outline="0" fieldPosition="0">
        <references count="2">
          <reference field="4294967294" count="1" selected="0">
            <x v="0"/>
          </reference>
          <reference field="15" count="1" selected="0">
            <x v="2"/>
          </reference>
        </references>
      </pivotArea>
    </chartFormat>
    <chartFormat chart="8" format="7" series="1">
      <pivotArea type="data" outline="0" fieldPosition="0">
        <references count="2">
          <reference field="4294967294" count="1" selected="0">
            <x v="0"/>
          </reference>
          <reference field="15" count="1" selected="0">
            <x v="3"/>
          </reference>
        </references>
      </pivotArea>
    </chartFormat>
    <chartFormat chart="8" format="8" series="1">
      <pivotArea type="data" outline="0" fieldPosition="0">
        <references count="2">
          <reference field="4294967294" count="1" selected="0">
            <x v="0"/>
          </reference>
          <reference field="15" count="1" selected="0">
            <x v="0"/>
          </reference>
        </references>
      </pivotArea>
    </chartFormat>
    <chartFormat chart="20" format="12" series="1">
      <pivotArea type="data" outline="0" fieldPosition="0">
        <references count="2">
          <reference field="4294967294" count="1" selected="0">
            <x v="0"/>
          </reference>
          <reference field="15" count="1" selected="0">
            <x v="0"/>
          </reference>
        </references>
      </pivotArea>
    </chartFormat>
    <chartFormat chart="20" format="13" series="1">
      <pivotArea type="data" outline="0" fieldPosition="0">
        <references count="2">
          <reference field="4294967294" count="1" selected="0">
            <x v="0"/>
          </reference>
          <reference field="15" count="1" selected="0">
            <x v="2"/>
          </reference>
        </references>
      </pivotArea>
    </chartFormat>
    <chartFormat chart="20" format="14" series="1">
      <pivotArea type="data" outline="0" fieldPosition="0">
        <references count="2">
          <reference field="4294967294" count="1" selected="0">
            <x v="0"/>
          </reference>
          <reference field="15" count="1" selected="0">
            <x v="3"/>
          </reference>
        </references>
      </pivotArea>
    </chartFormat>
    <chartFormat chart="20" format="15" series="1">
      <pivotArea type="data" outline="0" fieldPosition="0">
        <references count="1">
          <reference field="4294967294" count="1" selected="0">
            <x v="0"/>
          </reference>
        </references>
      </pivotArea>
    </chartFormat>
    <chartFormat chart="17" format="15" series="1">
      <pivotArea type="data" outline="0" fieldPosition="0">
        <references count="1">
          <reference field="4294967294" count="1" selected="0">
            <x v="0"/>
          </reference>
        </references>
      </pivotArea>
    </chartFormat>
    <chartFormat chart="8"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3EE293-3020-4CFB-9874-3BE7D1191F2D}"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17">
  <location ref="A3:B16"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axis="axisRow" compact="0" subtotalTop="0" showAll="0" measureFilter="1" sortType="ascending">
      <items count="32">
        <item x="15"/>
        <item x="16"/>
        <item x="18"/>
        <item x="0"/>
        <item x="20"/>
        <item x="30"/>
        <item x="11"/>
        <item x="17"/>
        <item x="25"/>
        <item x="22"/>
        <item x="2"/>
        <item x="5"/>
        <item x="3"/>
        <item x="9"/>
        <item x="12"/>
        <item x="14"/>
        <item x="13"/>
        <item x="26"/>
        <item x="19"/>
        <item x="29"/>
        <item x="28"/>
        <item x="4"/>
        <item x="8"/>
        <item x="7"/>
        <item x="27"/>
        <item x="21"/>
        <item x="24"/>
        <item x="1"/>
        <item x="23"/>
        <item x="10"/>
        <item x="6"/>
        <item t="default"/>
      </items>
      <autoSortScope>
        <pivotArea dataOnly="0" outline="0" fieldPosition="0">
          <references count="1">
            <reference field="4294967294" count="1" selected="0">
              <x v="0"/>
            </reference>
          </references>
        </pivotArea>
      </autoSortScope>
    </pivotField>
    <pivotField dataField="1" compact="0" subtotalTop="0" showAll="0"/>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items count="5">
        <item x="1"/>
        <item x="0"/>
        <item x="2"/>
        <item x="3"/>
        <item t="default"/>
      </items>
    </pivotField>
    <pivotField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2"/>
  </rowFields>
  <rowItems count="13">
    <i>
      <x v="26"/>
    </i>
    <i>
      <x v="28"/>
    </i>
    <i>
      <x v="13"/>
    </i>
    <i>
      <x v="21"/>
    </i>
    <i>
      <x v="3"/>
    </i>
    <i>
      <x v="30"/>
    </i>
    <i>
      <x v="12"/>
    </i>
    <i>
      <x v="16"/>
    </i>
    <i>
      <x v="10"/>
    </i>
    <i>
      <x v="23"/>
    </i>
    <i>
      <x v="11"/>
    </i>
    <i>
      <x v="27"/>
    </i>
    <i t="grand">
      <x/>
    </i>
  </rowItems>
  <colItems count="1">
    <i/>
  </colItems>
  <dataFields count="1">
    <dataField name="Count of Course" fld="3" subtotal="count" baseField="0" baseItem="0"/>
  </dataFields>
  <chartFormats count="2">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valueGreaterThanOrEqual" evalOrder="-1" id="4" iMeasureFld="0">
      <autoFilter ref="A1">
        <filterColumn colId="0">
          <customFilters>
            <customFilter operator="greaterThanOrEqual" val="1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C6E3C5-AB62-4F8E-841B-0F69EA1303DC}"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2">
  <location ref="A3:B16"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compact="0" subtotalTop="0" showAll="0"/>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compact="0" subtotalTop="0" showAll="0">
      <items count="7">
        <item x="0"/>
        <item x="1"/>
        <item x="2"/>
        <item x="3"/>
        <item x="4"/>
        <item x="5"/>
        <item t="default"/>
      </items>
    </pivotField>
    <pivotField axis="axisRow" compact="0" subtotalTop="0" showAll="0">
      <items count="15">
        <item x="0"/>
        <item x="1"/>
        <item x="2"/>
        <item x="3"/>
        <item x="4"/>
        <item x="5"/>
        <item x="6"/>
        <item x="7"/>
        <item x="8"/>
        <item x="9"/>
        <item x="10"/>
        <item x="11"/>
        <item x="12"/>
        <item x="13"/>
        <item t="default"/>
      </items>
    </pivotField>
  </pivotFields>
  <rowFields count="1">
    <field x="18"/>
  </rowFields>
  <rowItems count="13">
    <i>
      <x v="1"/>
    </i>
    <i>
      <x v="2"/>
    </i>
    <i>
      <x v="3"/>
    </i>
    <i>
      <x v="4"/>
    </i>
    <i>
      <x v="5"/>
    </i>
    <i>
      <x v="6"/>
    </i>
    <i>
      <x v="7"/>
    </i>
    <i>
      <x v="8"/>
    </i>
    <i>
      <x v="9"/>
    </i>
    <i>
      <x v="10"/>
    </i>
    <i>
      <x v="11"/>
    </i>
    <i>
      <x v="12"/>
    </i>
    <i t="grand">
      <x/>
    </i>
  </rowItems>
  <colItems count="1">
    <i/>
  </colItems>
  <dataFields count="1">
    <dataField name="Sum of In $" fld="8" baseField="0" baseItem="0"/>
  </dataFields>
  <formats count="1">
    <format dxfId="23">
      <pivotArea outline="0" collapsedLevelsAreSubtotals="1" fieldPosition="0"/>
    </format>
  </formats>
  <chartFormats count="2">
    <chartFormat chart="18" format="1"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803371-03D2-4D8E-8108-76F45A94214C}"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4">
  <location ref="A3:B8"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compact="0" subtotalTop="0" showAll="0"/>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axis="axisRow"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17"/>
  </rowFields>
  <rowItems count="5">
    <i>
      <x v="1"/>
    </i>
    <i>
      <x v="2"/>
    </i>
    <i>
      <x v="3"/>
    </i>
    <i>
      <x v="4"/>
    </i>
    <i t="grand">
      <x/>
    </i>
  </rowItems>
  <colItems count="1">
    <i/>
  </colItems>
  <dataFields count="1">
    <dataField name="Sum of In $" fld="8" baseField="0" baseItem="0"/>
  </dataFields>
  <formats count="1">
    <format dxfId="22">
      <pivotArea outline="0" collapsedLevelsAreSubtotals="1" fieldPosition="0"/>
    </format>
  </formats>
  <chartFormats count="2">
    <chartFormat chart="20"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EC5179E-918F-4A28-932C-4BB24A5F9F06}"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9">
  <location ref="A3:B25"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axis="axisRow" dataField="1" compact="0" subtotalTop="0" showAll="0" measureFilter="1" sortType="descending">
      <items count="81">
        <item x="42"/>
        <item x="4"/>
        <item x="60"/>
        <item x="20"/>
        <item x="28"/>
        <item x="21"/>
        <item x="6"/>
        <item x="57"/>
        <item x="39"/>
        <item x="10"/>
        <item x="32"/>
        <item x="52"/>
        <item x="19"/>
        <item x="46"/>
        <item x="40"/>
        <item x="2"/>
        <item x="1"/>
        <item x="26"/>
        <item x="61"/>
        <item x="69"/>
        <item x="44"/>
        <item x="30"/>
        <item x="5"/>
        <item x="64"/>
        <item x="23"/>
        <item x="67"/>
        <item x="17"/>
        <item m="1" x="76"/>
        <item x="18"/>
        <item x="53"/>
        <item m="1" x="78"/>
        <item m="1" x="79"/>
        <item m="1" x="77"/>
        <item x="8"/>
        <item x="25"/>
        <item x="68"/>
        <item x="43"/>
        <item m="1" x="75"/>
        <item x="29"/>
        <item x="12"/>
        <item x="54"/>
        <item x="27"/>
        <item x="48"/>
        <item x="50"/>
        <item x="37"/>
        <item x="3"/>
        <item x="7"/>
        <item x="45"/>
        <item x="49"/>
        <item x="59"/>
        <item x="51"/>
        <item x="62"/>
        <item x="56"/>
        <item x="38"/>
        <item x="11"/>
        <item x="13"/>
        <item x="63"/>
        <item x="65"/>
        <item x="22"/>
        <item x="66"/>
        <item m="1" x="73"/>
        <item m="1" x="72"/>
        <item m="1" x="74"/>
        <item m="1" x="71"/>
        <item x="0"/>
        <item x="35"/>
        <item x="14"/>
        <item x="34"/>
        <item x="9"/>
        <item x="41"/>
        <item x="24"/>
        <item x="36"/>
        <item x="31"/>
        <item x="15"/>
        <item x="16"/>
        <item x="47"/>
        <item x="55"/>
        <item x="58"/>
        <item x="70"/>
        <item x="33"/>
        <item t="default"/>
      </items>
      <autoSortScope>
        <pivotArea dataOnly="0" outline="0" fieldPosition="0">
          <references count="1">
            <reference field="4294967294" count="1" selected="0">
              <x v="0"/>
            </reference>
          </references>
        </pivotArea>
      </autoSortScope>
    </pivotField>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3"/>
  </rowFields>
  <rowItems count="22">
    <i>
      <x v="15"/>
    </i>
    <i>
      <x v="64"/>
    </i>
    <i>
      <x v="68"/>
    </i>
    <i>
      <x v="66"/>
    </i>
    <i>
      <x v="65"/>
    </i>
    <i>
      <x v="16"/>
    </i>
    <i>
      <x v="70"/>
    </i>
    <i>
      <x v="46"/>
    </i>
    <i>
      <x v="28"/>
    </i>
    <i>
      <x v="67"/>
    </i>
    <i>
      <x v="72"/>
    </i>
    <i>
      <x v="38"/>
    </i>
    <i>
      <x v="24"/>
    </i>
    <i>
      <x v="71"/>
    </i>
    <i>
      <x v="9"/>
    </i>
    <i>
      <x v="79"/>
    </i>
    <i>
      <x v="41"/>
    </i>
    <i>
      <x v="7"/>
    </i>
    <i>
      <x v="1"/>
    </i>
    <i>
      <x v="3"/>
    </i>
    <i>
      <x v="45"/>
    </i>
    <i t="grand">
      <x/>
    </i>
  </rowItems>
  <colItems count="1">
    <i/>
  </colItems>
  <dataFields count="1">
    <dataField name="Count of Course" fld="3" subtotal="count" baseField="0" baseItem="0" numFmtId="1"/>
  </dataFields>
  <formats count="1">
    <format dxfId="21">
      <pivotArea outline="0" collapsedLevelsAreSubtotals="1" fieldPosition="0"/>
    </format>
  </formats>
  <chartFormats count="2">
    <chartFormat chart="22" format="1"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7"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20BF8E-BDA3-4831-B05E-3A0E6C6FA66C}"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33">
  <location ref="A3:B26"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axis="axisRow" compact="0" subtotalTop="0" showAll="0" measureFilter="1" sortType="descending">
      <items count="81">
        <item x="42"/>
        <item x="4"/>
        <item x="60"/>
        <item x="20"/>
        <item x="28"/>
        <item x="21"/>
        <item x="6"/>
        <item x="57"/>
        <item x="39"/>
        <item x="10"/>
        <item x="32"/>
        <item x="52"/>
        <item x="19"/>
        <item x="46"/>
        <item x="40"/>
        <item x="2"/>
        <item x="1"/>
        <item x="26"/>
        <item x="61"/>
        <item x="69"/>
        <item x="44"/>
        <item x="30"/>
        <item x="5"/>
        <item x="64"/>
        <item x="23"/>
        <item x="67"/>
        <item x="17"/>
        <item m="1" x="76"/>
        <item x="18"/>
        <item x="53"/>
        <item m="1" x="78"/>
        <item m="1" x="79"/>
        <item m="1" x="77"/>
        <item x="8"/>
        <item x="25"/>
        <item x="68"/>
        <item x="43"/>
        <item m="1" x="75"/>
        <item x="29"/>
        <item x="12"/>
        <item x="54"/>
        <item x="27"/>
        <item x="48"/>
        <item x="50"/>
        <item x="37"/>
        <item x="3"/>
        <item x="7"/>
        <item x="45"/>
        <item x="49"/>
        <item x="59"/>
        <item x="51"/>
        <item x="62"/>
        <item x="56"/>
        <item x="38"/>
        <item x="11"/>
        <item x="13"/>
        <item x="63"/>
        <item x="65"/>
        <item x="22"/>
        <item x="66"/>
        <item m="1" x="73"/>
        <item m="1" x="72"/>
        <item m="1" x="74"/>
        <item m="1" x="71"/>
        <item x="0"/>
        <item x="35"/>
        <item x="14"/>
        <item x="34"/>
        <item x="9"/>
        <item x="41"/>
        <item x="24"/>
        <item x="36"/>
        <item x="31"/>
        <item x="15"/>
        <item x="16"/>
        <item x="47"/>
        <item x="55"/>
        <item x="58"/>
        <item x="70"/>
        <item x="33"/>
        <item t="default"/>
      </items>
      <autoSortScope>
        <pivotArea dataOnly="0" outline="0" fieldPosition="0">
          <references count="1">
            <reference field="4294967294" count="1" selected="0">
              <x v="0"/>
            </reference>
          </references>
        </pivotArea>
      </autoSortScope>
    </pivotField>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compact="0" subtotalTop="0" showAll="0"/>
    <pivotField compact="0" subtotalTop="0" showAll="0">
      <items count="7">
        <item x="0"/>
        <item x="1"/>
        <item x="2"/>
        <item x="3"/>
        <item x="4"/>
        <item x="5"/>
        <item t="default"/>
      </items>
    </pivotField>
    <pivotField compact="0" subtotalTop="0" showAll="0">
      <items count="15">
        <item x="0"/>
        <item x="1"/>
        <item x="2"/>
        <item x="3"/>
        <item x="4"/>
        <item x="5"/>
        <item x="6"/>
        <item x="7"/>
        <item x="8"/>
        <item x="9"/>
        <item x="10"/>
        <item x="11"/>
        <item x="12"/>
        <item x="13"/>
        <item t="default"/>
      </items>
    </pivotField>
  </pivotFields>
  <rowFields count="1">
    <field x="3"/>
  </rowFields>
  <rowItems count="23">
    <i>
      <x v="68"/>
    </i>
    <i>
      <x v="64"/>
    </i>
    <i>
      <x v="15"/>
    </i>
    <i>
      <x v="65"/>
    </i>
    <i>
      <x v="66"/>
    </i>
    <i>
      <x v="70"/>
    </i>
    <i>
      <x v="16"/>
    </i>
    <i>
      <x v="72"/>
    </i>
    <i>
      <x v="25"/>
    </i>
    <i>
      <x v="46"/>
    </i>
    <i>
      <x v="67"/>
    </i>
    <i>
      <x v="28"/>
    </i>
    <i>
      <x v="71"/>
    </i>
    <i>
      <x v="38"/>
    </i>
    <i>
      <x v="35"/>
    </i>
    <i>
      <x v="41"/>
    </i>
    <i>
      <x v="24"/>
    </i>
    <i>
      <x v="69"/>
    </i>
    <i>
      <x v="44"/>
    </i>
    <i>
      <x v="40"/>
    </i>
    <i>
      <x v="79"/>
    </i>
    <i>
      <x v="42"/>
    </i>
    <i t="grand">
      <x/>
    </i>
  </rowItems>
  <colItems count="1">
    <i/>
  </colItems>
  <dataFields count="1">
    <dataField name="Sum of In $" fld="8" baseField="0" baseItem="0" numFmtId="179"/>
  </dataFields>
  <formats count="1">
    <format dxfId="20">
      <pivotArea outline="0" collapsedLevelsAreSubtotals="1" fieldPosition="0"/>
    </format>
  </formats>
  <chartFormats count="2">
    <chartFormat chart="29" format="3" series="1">
      <pivotArea type="data" outline="0" fieldPosition="0">
        <references count="1">
          <reference field="4294967294" count="1" selected="0">
            <x v="0"/>
          </reference>
        </references>
      </pivotArea>
    </chartFormat>
    <chartFormat chart="3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OrEqual" evalOrder="-1" id="8"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DB87D23-F808-400D-915F-A17EBF51FA13}" name="AgileSales" cacheId="0" applyNumberFormats="0" applyBorderFormats="0" applyFontFormats="0" applyPatternFormats="0" applyAlignmentFormats="0" applyWidthHeightFormats="1" dataCaption="Values" updatedVersion="8" minRefreshableVersion="3" useAutoFormatting="1" colGrandTotals="0" itemPrintTitles="1" createdVersion="8" indent="0" compact="0" outline="1" outlineData="1" compactData="0" multipleFieldFilters="0" chartFormat="29">
  <location ref="A3:B8" firstHeaderRow="1" firstDataRow="1" firstDataCol="1"/>
  <pivotFields count="19">
    <pivotField compact="0" numFmtId="174" subtotalTop="0" showAll="0">
      <items count="639">
        <item x="2"/>
        <item x="3"/>
        <item x="4"/>
        <item x="5"/>
        <item x="10"/>
        <item x="6"/>
        <item x="7"/>
        <item x="14"/>
        <item x="8"/>
        <item x="22"/>
        <item x="9"/>
        <item x="23"/>
        <item x="20"/>
        <item x="11"/>
        <item x="15"/>
        <item x="16"/>
        <item x="12"/>
        <item x="13"/>
        <item x="17"/>
        <item x="18"/>
        <item x="19"/>
        <item x="21"/>
        <item x="34"/>
        <item x="25"/>
        <item x="24"/>
        <item x="26"/>
        <item x="29"/>
        <item x="28"/>
        <item x="27"/>
        <item x="30"/>
        <item x="44"/>
        <item x="31"/>
        <item x="86"/>
        <item x="32"/>
        <item x="33"/>
        <item x="35"/>
        <item x="36"/>
        <item x="37"/>
        <item x="38"/>
        <item x="39"/>
        <item x="61"/>
        <item x="40"/>
        <item x="42"/>
        <item x="41"/>
        <item x="43"/>
        <item x="46"/>
        <item x="45"/>
        <item x="47"/>
        <item x="48"/>
        <item x="51"/>
        <item x="49"/>
        <item x="50"/>
        <item x="52"/>
        <item x="53"/>
        <item x="54"/>
        <item x="55"/>
        <item x="56"/>
        <item x="57"/>
        <item x="58"/>
        <item x="59"/>
        <item x="60"/>
        <item x="62"/>
        <item x="131"/>
        <item x="63"/>
        <item x="64"/>
        <item x="65"/>
        <item x="67"/>
        <item x="66"/>
        <item x="68"/>
        <item x="73"/>
        <item x="70"/>
        <item x="72"/>
        <item x="69"/>
        <item x="71"/>
        <item x="74"/>
        <item x="75"/>
        <item x="77"/>
        <item x="76"/>
        <item x="78"/>
        <item x="79"/>
        <item x="82"/>
        <item x="80"/>
        <item x="81"/>
        <item x="83"/>
        <item x="85"/>
        <item x="84"/>
        <item x="88"/>
        <item x="87"/>
        <item x="89"/>
        <item x="90"/>
        <item x="91"/>
        <item x="92"/>
        <item x="93"/>
        <item x="95"/>
        <item x="107"/>
        <item x="94"/>
        <item x="96"/>
        <item x="97"/>
        <item x="98"/>
        <item x="0"/>
        <item x="99"/>
        <item x="100"/>
        <item x="101"/>
        <item x="102"/>
        <item x="104"/>
        <item x="103"/>
        <item x="105"/>
        <item x="106"/>
        <item x="108"/>
        <item x="109"/>
        <item x="111"/>
        <item x="110"/>
        <item x="112"/>
        <item x="1"/>
        <item x="113"/>
        <item x="114"/>
        <item x="115"/>
        <item x="116"/>
        <item x="117"/>
        <item x="118"/>
        <item x="119"/>
        <item x="120"/>
        <item x="121"/>
        <item x="122"/>
        <item x="123"/>
        <item x="124"/>
        <item x="125"/>
        <item x="126"/>
        <item x="127"/>
        <item x="128"/>
        <item x="129"/>
        <item x="130"/>
        <item x="132"/>
        <item x="133"/>
        <item x="134"/>
        <item x="135"/>
        <item x="136"/>
        <item x="137"/>
        <item x="138"/>
        <item x="139"/>
        <item x="140"/>
        <item x="141"/>
        <item x="142"/>
        <item x="143"/>
        <item x="144"/>
        <item x="145"/>
        <item x="151"/>
        <item x="147"/>
        <item x="148"/>
        <item x="158"/>
        <item x="149"/>
        <item x="157"/>
        <item x="150"/>
        <item x="152"/>
        <item x="146"/>
        <item x="153"/>
        <item x="154"/>
        <item x="159"/>
        <item x="155"/>
        <item x="161"/>
        <item x="156"/>
        <item x="160"/>
        <item x="162"/>
        <item x="163"/>
        <item x="164"/>
        <item x="165"/>
        <item x="166"/>
        <item x="167"/>
        <item x="168"/>
        <item x="169"/>
        <item x="170"/>
        <item x="171"/>
        <item x="172"/>
        <item x="173"/>
        <item x="174"/>
        <item x="175"/>
        <item x="176"/>
        <item x="178"/>
        <item x="179"/>
        <item x="180"/>
        <item x="181"/>
        <item x="182"/>
        <item x="177"/>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2"/>
        <item x="541"/>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t="default"/>
      </items>
    </pivotField>
    <pivotField compact="0" subtotalTop="0" showAll="0"/>
    <pivotField compact="0" subtotalTop="0" showAll="0"/>
    <pivotField compact="0" subtotalTop="0" showAll="0" measureFilter="1" sortType="descending">
      <autoSortScope>
        <pivotArea dataOnly="0" outline="0" fieldPosition="0">
          <references count="1">
            <reference field="4294967294" count="1" selected="0">
              <x v="0"/>
            </reference>
          </references>
        </pivotArea>
      </autoSortScope>
    </pivotField>
    <pivotField compact="0" numFmtId="168" subtotalTop="0" showAll="0">
      <items count="32">
        <item x="2"/>
        <item x="3"/>
        <item x="4"/>
        <item x="0"/>
        <item x="5"/>
        <item x="1"/>
        <item x="6"/>
        <item x="8"/>
        <item x="7"/>
        <item x="10"/>
        <item x="9"/>
        <item x="11"/>
        <item x="12"/>
        <item x="13"/>
        <item x="14"/>
        <item x="15"/>
        <item x="16"/>
        <item x="17"/>
        <item x="18"/>
        <item x="19"/>
        <item x="20"/>
        <item x="21"/>
        <item x="22"/>
        <item x="23"/>
        <item x="24"/>
        <item x="25"/>
        <item x="26"/>
        <item x="27"/>
        <item x="28"/>
        <item x="29"/>
        <item x="30"/>
        <item t="default"/>
      </items>
    </pivotField>
    <pivotField compact="0" subtotalTop="0" showAll="0"/>
    <pivotField compact="0" subtotalTop="0" showAll="0"/>
    <pivotField compact="0" numFmtId="175" subtotalTop="0" showAll="0"/>
    <pivotField dataField="1" compact="0" numFmtId="176" subtotalTop="0" showAll="0"/>
    <pivotField compact="0" subtotalTop="0" showAll="0"/>
    <pivotField compact="0" subtotalTop="0" showAll="0"/>
    <pivotField compact="0" numFmtId="174" subtotalTop="0" showAll="0"/>
    <pivotField compact="0" subtotalTop="0" showAll="0"/>
    <pivotField compact="0" subtotalTop="0" showAll="0"/>
    <pivotField compact="0" subtotalTop="0" showAll="0"/>
    <pivotField compact="0" subtotalTop="0" showAll="0">
      <items count="5">
        <item x="1"/>
        <item m="1" x="3"/>
        <item x="2"/>
        <item x="0"/>
        <item t="default"/>
      </items>
    </pivotField>
    <pivotField axis="axisRow" compact="0" subtotalTop="0" showAll="0">
      <items count="5">
        <item x="1"/>
        <item x="0"/>
        <item x="2"/>
        <item x="3"/>
        <item t="default"/>
      </items>
    </pivotField>
    <pivotField compact="0" subtotalTop="0" showAll="0">
      <items count="7">
        <item x="0"/>
        <item x="1"/>
        <item x="2"/>
        <item x="3"/>
        <item x="4"/>
        <item x="5"/>
        <item t="default"/>
      </items>
    </pivotField>
    <pivotField compact="0" subtotalTop="0" showAll="0">
      <items count="15">
        <item sd="0" x="0"/>
        <item sd="0" x="1"/>
        <item sd="0" x="2"/>
        <item sd="0" x="3"/>
        <item sd="0" x="4"/>
        <item sd="0" x="5"/>
        <item sd="0" x="6"/>
        <item sd="0" x="7"/>
        <item sd="0" x="8"/>
        <item sd="0" x="9"/>
        <item sd="0" x="10"/>
        <item sd="0" x="11"/>
        <item sd="0" x="12"/>
        <item sd="0" x="13"/>
        <item t="default"/>
      </items>
    </pivotField>
  </pivotFields>
  <rowFields count="1">
    <field x="16"/>
  </rowFields>
  <rowItems count="5">
    <i>
      <x/>
    </i>
    <i>
      <x v="1"/>
    </i>
    <i>
      <x v="2"/>
    </i>
    <i>
      <x v="3"/>
    </i>
    <i t="grand">
      <x/>
    </i>
  </rowItems>
  <colItems count="1">
    <i/>
  </colItems>
  <dataFields count="1">
    <dataField name="Sum of In $" fld="8" baseField="0" baseItem="0" numFmtId="177"/>
  </dataFields>
  <formats count="2">
    <format dxfId="19">
      <pivotArea outline="0" collapsedLevelsAreSubtotals="1" fieldPosition="0"/>
    </format>
    <format dxfId="18">
      <pivotArea dataOnly="0" labelOnly="1" outline="0" axis="axisValues" fieldPosition="0"/>
    </format>
  </formats>
  <chartFormats count="2">
    <chartFormat chart="24" format="0"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valueGreaterThanOrEqual" evalOrder="-1" id="8" iMeasureFld="0">
      <autoFilter ref="A1">
        <filterColumn colId="0">
          <customFilters>
            <customFilter operator="greaterThanOrEqual"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698F89B-AB0C-45D4-BC2E-06E8F49FB291}" sourceName="Category">
  <pivotTables>
    <pivotTable tabId="20" name="AgileSales"/>
    <pivotTable tabId="21" name="AgileSales"/>
    <pivotTable tabId="22" name="AgileSales"/>
    <pivotTable tabId="18" name="AgileSales"/>
  </pivotTables>
  <data>
    <tabular pivotCacheId="2091744916">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59AC8D73-A726-4447-88B2-A54AD9AEAB07}" sourceName="Category">
  <pivotTables>
    <pivotTable tabId="24" name="AgileSales"/>
    <pivotTable tabId="25" name="AgileSales"/>
    <pivotTable tabId="28" name="AgileSales"/>
    <pivotTable tabId="29" name="AgileSales"/>
    <pivotTable tabId="30" name="AgileSales"/>
  </pivotTables>
  <data>
    <tabular pivotCacheId="2091744916">
      <items count="4">
        <i x="1" s="1"/>
        <i x="2" s="1"/>
        <i x="0" s="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8656F59-FC7F-4869-8672-FB5F15A855FA}" sourceName="Month">
  <pivotTables>
    <pivotTable tabId="24" name="AgileSales"/>
    <pivotTable tabId="25" name="AgileSales"/>
    <pivotTable tabId="28" name="AgileSales"/>
    <pivotTable tabId="29" name="AgileSales"/>
    <pivotTable tabId="30" name="AgileSales"/>
  </pivotTables>
  <data>
    <tabular pivotCacheId="2091744916">
      <items count="31">
        <i x="2" s="1"/>
        <i x="3" s="1"/>
        <i x="4" s="1"/>
        <i x="0" s="1"/>
        <i x="5" s="1"/>
        <i x="1" s="1"/>
        <i x="6" s="1"/>
        <i x="8" s="1"/>
        <i x="7" s="1"/>
        <i x="10" s="1"/>
        <i x="9" s="1"/>
        <i x="11" s="1"/>
        <i x="12" s="1"/>
        <i x="13" s="1"/>
        <i x="14" s="1"/>
        <i x="15" s="1"/>
        <i x="16" s="1"/>
        <i x="17" s="1"/>
        <i x="18" s="1"/>
        <i x="19" s="1"/>
        <i x="20" s="1"/>
        <i x="21" s="1"/>
        <i x="22" s="1"/>
        <i x="23" s="1"/>
        <i x="24" s="1"/>
        <i x="25" s="1"/>
        <i x="26" s="1"/>
        <i x="27" s="1"/>
        <i x="28" s="1"/>
        <i x="29" s="1"/>
        <i x="3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51A4310-7C05-4E3E-AEA9-890C8A74FFD2}" sourceName="Year">
  <pivotTables>
    <pivotTable tabId="20" name="AgileSales"/>
    <pivotTable tabId="21" name="AgileSales"/>
    <pivotTable tabId="22" name="AgileSales"/>
  </pivotTables>
  <data>
    <tabular pivotCacheId="2091744916">
      <items count="4">
        <i x="1" s="1"/>
        <i x="0"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63C6D4-B6E1-496A-915C-727C34F001E4}" cache="Slicer_Category" caption="Category" style="Modified_style_1" rowHeight="222250"/>
  <slicer name="Year 1" xr10:uid="{FC1CFBDE-7CC9-4BE9-A8AB-AB44BA81EA92}" cache="Slicer_Year" caption="Year" style="Modified_style_1" rowHeight="2222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88B9292E-1B91-42D1-86E6-7F268799A26E}" cache="Slicer_Category1" caption="Category" columnCount="3" style="Modified_style_1" rowHeight="216000"/>
  <slicer name="Month 1" xr10:uid="{E714B66C-F378-4D5B-B383-39ED992B8E6E}" cache="Slicer_Month" caption="Month" columnCount="12" style="Modified_style_1" rowHeight="2222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CE89BC6-4417-4062-B0D0-5E7D173B643C}" cache="Slicer_Category" caption="Category" rowHeight="222250"/>
  <slicer name="Year" xr10:uid="{16191F01-74EC-4759-84F4-BA05BC36DA53}" cache="Slicer_Year" caption="Year" rowHeight="2222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2" xr10:uid="{45124EB9-C62D-40CC-B334-7997BDE14CAB}" cache="Slicer_Category1" caption="Category" rowHeight="222250"/>
  <slicer name="Month" xr10:uid="{E87875CC-42C6-4572-970A-D4B91C19C55D}" cache="Slicer_Month" caption="Month" startItem="20" columnCount="4"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671E325-F532-4E6A-8750-56DB5C6D272E}" name="AgileSales" displayName="AgileSales" ref="A1:Q1443" totalsRowShown="0" headerRowDxfId="44">
  <autoFilter ref="A1:Q1443" xr:uid="{4671E325-F532-4E6A-8750-56DB5C6D272E}"/>
  <tableColumns count="17">
    <tableColumn id="1" xr3:uid="{81240745-4936-479F-AFD3-60B7D3CE597D}" name="Date" dataDxfId="43"/>
    <tableColumn id="2" xr3:uid="{8EB01479-DB23-4B60-931E-3B7660C87776}" name="Name" dataDxfId="42"/>
    <tableColumn id="3" xr3:uid="{42719C86-79BB-41F5-BC9C-70012351F1D9}" name="PSM" dataDxfId="41"/>
    <tableColumn id="4" xr3:uid="{34A9935C-DF4A-4F56-A52A-52AA502E4179}" name="Course" dataDxfId="40"/>
    <tableColumn id="5" xr3:uid="{A49235B5-9D45-4AD8-A065-37388D49EB30}" name="Month" dataDxfId="39"/>
    <tableColumn id="6" xr3:uid="{1871E99F-8F3B-40BA-9B0C-143D1A66EA51}" name="Status" dataDxfId="38"/>
    <tableColumn id="7" xr3:uid="{C9CD1AD1-57CD-4A0E-89C7-151163B57FE8}" name="Batch" dataDxfId="37"/>
    <tableColumn id="8" xr3:uid="{935EEB31-1ACD-4E9A-9214-66FC6794F44C}" name="Amount" dataDxfId="36"/>
    <tableColumn id="9" xr3:uid="{E6484872-E8BE-4FC8-802E-4D810148BC91}" name="In $" dataDxfId="35">
      <calculatedColumnFormula>IFERROR((($H2/1.18))/74,"")</calculatedColumnFormula>
    </tableColumn>
    <tableColumn id="10" xr3:uid="{8E6AEFAA-3BC7-450F-BD85-C262407C4793}" name="Payment expected Date" dataDxfId="34"/>
    <tableColumn id="11" xr3:uid="{3798EEDE-BA2F-447A-9729-B9AC7BD509AD}" name="Week" dataDxfId="33"/>
    <tableColumn id="12" xr3:uid="{A78CBE3E-9924-4FBB-A9C0-39B57A24131B}" name="Paid On" dataDxfId="32"/>
    <tableColumn id="13" xr3:uid="{3412C686-922B-4AD3-B5C4-A22C0CFC047A}" name="Order No." dataDxfId="31"/>
    <tableColumn id="14" xr3:uid="{B7FABA0C-B609-469B-A967-15A183B07F37}" name="Comments" dataDxfId="30"/>
    <tableColumn id="15" xr3:uid="{B386AB3A-1CE7-4C76-B3B9-5147A205A71F}" name="Program Details" dataDxfId="29"/>
    <tableColumn id="16" xr3:uid="{0EDFA763-7F9D-4467-BDCC-239662A4BC25}" name="Category" dataDxfId="28">
      <calculatedColumnFormula>IFERROR(_xlfn.IFS($D2="CSM","Category",$D2="CSPO","Category", $D2="PSM","SAFe que",$D2="PSPO","SAFe que",$D2="SAFe Agile","SAFe que",$D2="SAFe SSM","SAFe que",$D2="SAFe POPM","SAFe que",$D2="SASM","SAFe que",$D2="PMI-ACP","Category",$D2="ICP-ACC","SAFe que",$D2="PSM 2","SAFe que",$D2="SAFe RTE","SAFe que",$D2="Implementing SAFe","SAFe que",$D2="SAFe for Government","SAFe que",$D2="PSPO 2","SAFe que",$D2="",""),"NonCategory")</calculatedColumnFormula>
    </tableColumn>
    <tableColumn id="17" xr3:uid="{206BB441-760A-4D4F-91A0-A0E30C4617B4}" name="Year" dataDxfId="27">
      <calculatedColumnFormula>TEXT(E2, "yyyy")</calculatedColumnFormula>
    </tableColumn>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79"/>
  <sheetViews>
    <sheetView workbookViewId="0"/>
  </sheetViews>
  <sheetFormatPr defaultRowHeight="13.8"/>
  <sheetData>
    <row r="1" spans="1:24">
      <c r="A1" s="19"/>
      <c r="B1" s="19" t="s">
        <v>29</v>
      </c>
      <c r="C1" s="19"/>
      <c r="D1" s="19"/>
      <c r="E1" s="19"/>
      <c r="I1" s="18" t="s">
        <v>30</v>
      </c>
      <c r="J1" s="18" t="s">
        <v>31</v>
      </c>
    </row>
    <row r="2" spans="1:24">
      <c r="A2" s="20">
        <v>1</v>
      </c>
      <c r="B2" s="21" t="s">
        <v>32</v>
      </c>
      <c r="C2" s="21" t="s">
        <v>33</v>
      </c>
      <c r="D2" s="22" t="s">
        <v>33</v>
      </c>
      <c r="E2" s="6">
        <f t="shared" ref="E2:E50" si="0">MATCH($C2,$D$2:$D$50,0)</f>
        <v>1</v>
      </c>
      <c r="F2" s="6" t="s">
        <v>34</v>
      </c>
      <c r="G2" s="21">
        <v>140000</v>
      </c>
      <c r="I2" s="6" t="s">
        <v>25</v>
      </c>
      <c r="M2" s="6" t="s">
        <v>6</v>
      </c>
    </row>
    <row r="3" spans="1:24">
      <c r="A3" s="23">
        <v>2</v>
      </c>
      <c r="B3" s="21" t="s">
        <v>35</v>
      </c>
      <c r="C3" s="21" t="s">
        <v>36</v>
      </c>
      <c r="D3" s="22" t="s">
        <v>36</v>
      </c>
      <c r="E3" s="6">
        <f t="shared" si="0"/>
        <v>2</v>
      </c>
      <c r="F3" s="6" t="s">
        <v>37</v>
      </c>
      <c r="G3" s="21">
        <v>84180</v>
      </c>
      <c r="I3" s="6" t="s">
        <v>38</v>
      </c>
      <c r="J3" s="6" t="s">
        <v>39</v>
      </c>
      <c r="K3" s="6" t="s">
        <v>40</v>
      </c>
      <c r="M3" s="6" t="s">
        <v>38</v>
      </c>
      <c r="N3" s="24" t="s">
        <v>41</v>
      </c>
    </row>
    <row r="4" spans="1:24">
      <c r="A4" s="20">
        <v>3</v>
      </c>
      <c r="B4" s="21" t="s">
        <v>42</v>
      </c>
      <c r="C4" s="21" t="s">
        <v>43</v>
      </c>
      <c r="D4" s="20" t="s">
        <v>44</v>
      </c>
      <c r="E4" s="6">
        <f t="shared" si="0"/>
        <v>4</v>
      </c>
      <c r="F4" s="6" t="s">
        <v>45</v>
      </c>
      <c r="G4" s="25">
        <f>G3/G2</f>
        <v>0.60128571428571431</v>
      </c>
      <c r="I4" s="6" t="s">
        <v>46</v>
      </c>
      <c r="J4" s="6" t="s">
        <v>39</v>
      </c>
      <c r="K4" s="6" t="s">
        <v>47</v>
      </c>
      <c r="M4" s="6" t="s">
        <v>48</v>
      </c>
      <c r="N4" s="24" t="s">
        <v>49</v>
      </c>
    </row>
    <row r="5" spans="1:24">
      <c r="A5" s="23">
        <v>4</v>
      </c>
      <c r="B5" s="21" t="s">
        <v>50</v>
      </c>
      <c r="C5" s="21" t="s">
        <v>51</v>
      </c>
      <c r="D5" s="22" t="s">
        <v>43</v>
      </c>
      <c r="E5" s="6">
        <f t="shared" si="0"/>
        <v>6</v>
      </c>
      <c r="I5" s="6" t="s">
        <v>52</v>
      </c>
      <c r="J5" s="6" t="s">
        <v>39</v>
      </c>
      <c r="K5" s="6" t="s">
        <v>47</v>
      </c>
    </row>
    <row r="6" spans="1:24">
      <c r="A6" s="20">
        <v>5</v>
      </c>
      <c r="B6" s="21" t="s">
        <v>53</v>
      </c>
      <c r="C6" s="21" t="s">
        <v>54</v>
      </c>
      <c r="D6" s="22" t="s">
        <v>54</v>
      </c>
      <c r="E6" s="6">
        <f t="shared" si="0"/>
        <v>5</v>
      </c>
      <c r="F6" s="6" t="s">
        <v>55</v>
      </c>
      <c r="G6" s="7">
        <v>6</v>
      </c>
      <c r="I6" s="6" t="s">
        <v>56</v>
      </c>
      <c r="J6" s="6" t="s">
        <v>39</v>
      </c>
      <c r="K6" s="6" t="s">
        <v>40</v>
      </c>
    </row>
    <row r="7" spans="1:24">
      <c r="A7" s="23">
        <v>6</v>
      </c>
      <c r="B7" s="21" t="s">
        <v>57</v>
      </c>
      <c r="C7" s="21" t="s">
        <v>44</v>
      </c>
      <c r="D7" s="22" t="s">
        <v>51</v>
      </c>
      <c r="E7" s="6">
        <f t="shared" si="0"/>
        <v>3</v>
      </c>
      <c r="F7" s="6" t="s">
        <v>58</v>
      </c>
      <c r="G7" s="21">
        <f>G9*G2</f>
        <v>119000</v>
      </c>
      <c r="I7" s="6" t="s">
        <v>59</v>
      </c>
      <c r="J7" s="6" t="s">
        <v>39</v>
      </c>
      <c r="K7" s="6" t="s">
        <v>47</v>
      </c>
      <c r="W7" s="26"/>
    </row>
    <row r="8" spans="1:24">
      <c r="A8" s="20">
        <v>7</v>
      </c>
      <c r="B8" s="21" t="s">
        <v>60</v>
      </c>
      <c r="C8" s="21" t="s">
        <v>61</v>
      </c>
      <c r="D8" s="22" t="s">
        <v>61</v>
      </c>
      <c r="E8" s="6">
        <f t="shared" si="0"/>
        <v>7</v>
      </c>
      <c r="F8" s="6" t="s">
        <v>62</v>
      </c>
      <c r="G8" s="6">
        <f>G7-G3</f>
        <v>34820</v>
      </c>
      <c r="I8" s="6" t="s">
        <v>63</v>
      </c>
      <c r="J8" s="6" t="s">
        <v>39</v>
      </c>
      <c r="K8" s="6" t="s">
        <v>47</v>
      </c>
      <c r="W8" s="5"/>
      <c r="X8" s="5"/>
    </row>
    <row r="9" spans="1:24" ht="15.6">
      <c r="A9" s="23">
        <v>8</v>
      </c>
      <c r="B9" s="21" t="s">
        <v>64</v>
      </c>
      <c r="C9" s="21" t="s">
        <v>65</v>
      </c>
      <c r="D9" s="20" t="s">
        <v>65</v>
      </c>
      <c r="E9" s="6">
        <f t="shared" si="0"/>
        <v>8</v>
      </c>
      <c r="F9" s="6" t="s">
        <v>66</v>
      </c>
      <c r="G9" s="25">
        <v>0.85</v>
      </c>
      <c r="W9" s="27" t="s">
        <v>67</v>
      </c>
      <c r="X9" s="5" t="s">
        <v>68</v>
      </c>
    </row>
    <row r="10" spans="1:24" ht="15.6">
      <c r="A10" s="20">
        <v>9</v>
      </c>
      <c r="B10" s="21" t="s">
        <v>69</v>
      </c>
      <c r="C10" s="21" t="s">
        <v>70</v>
      </c>
      <c r="D10" s="22" t="s">
        <v>70</v>
      </c>
      <c r="E10" s="6">
        <f t="shared" si="0"/>
        <v>9</v>
      </c>
      <c r="F10" s="6" t="s">
        <v>71</v>
      </c>
      <c r="G10" s="6">
        <f>$G$8/$G$6</f>
        <v>5803.333333333333</v>
      </c>
      <c r="I10" s="6" t="s">
        <v>72</v>
      </c>
      <c r="J10" s="6" t="s">
        <v>73</v>
      </c>
      <c r="L10" s="6" t="s">
        <v>74</v>
      </c>
      <c r="W10" s="27" t="s">
        <v>75</v>
      </c>
      <c r="X10" s="5" t="s">
        <v>76</v>
      </c>
    </row>
    <row r="11" spans="1:24" ht="15.6">
      <c r="A11" s="23">
        <v>10</v>
      </c>
      <c r="B11" s="21" t="s">
        <v>77</v>
      </c>
      <c r="C11" s="21" t="s">
        <v>78</v>
      </c>
      <c r="D11" s="22" t="s">
        <v>79</v>
      </c>
      <c r="E11" s="6">
        <f t="shared" si="0"/>
        <v>11</v>
      </c>
      <c r="I11" s="6" t="s">
        <v>80</v>
      </c>
      <c r="J11" s="24" t="s">
        <v>81</v>
      </c>
      <c r="L11" s="6" t="s">
        <v>82</v>
      </c>
      <c r="M11" s="6" t="s">
        <v>39</v>
      </c>
      <c r="N11" s="6" t="s">
        <v>83</v>
      </c>
      <c r="W11" s="27" t="s">
        <v>84</v>
      </c>
      <c r="X11" s="28" t="s">
        <v>85</v>
      </c>
    </row>
    <row r="12" spans="1:24" ht="15.6">
      <c r="A12" s="20">
        <v>11</v>
      </c>
      <c r="B12" s="21" t="s">
        <v>86</v>
      </c>
      <c r="C12" s="21" t="s">
        <v>79</v>
      </c>
      <c r="D12" s="22" t="s">
        <v>78</v>
      </c>
      <c r="E12" s="6">
        <f t="shared" si="0"/>
        <v>10</v>
      </c>
      <c r="J12" s="6" t="s">
        <v>87</v>
      </c>
      <c r="L12" s="6" t="s">
        <v>88</v>
      </c>
      <c r="M12" s="6" t="s">
        <v>39</v>
      </c>
      <c r="N12" s="6" t="s">
        <v>40</v>
      </c>
      <c r="W12" s="27" t="s">
        <v>89</v>
      </c>
      <c r="X12" s="29" t="s">
        <v>90</v>
      </c>
    </row>
    <row r="13" spans="1:24" ht="15.6">
      <c r="A13" s="23">
        <v>12</v>
      </c>
      <c r="B13" s="21" t="s">
        <v>91</v>
      </c>
      <c r="C13" s="21" t="s">
        <v>92</v>
      </c>
      <c r="D13" s="22" t="s">
        <v>93</v>
      </c>
      <c r="E13" s="6">
        <f t="shared" si="0"/>
        <v>13</v>
      </c>
      <c r="F13" s="21"/>
      <c r="G13" s="21"/>
      <c r="W13" s="27" t="s">
        <v>94</v>
      </c>
      <c r="X13" s="30">
        <v>44859</v>
      </c>
    </row>
    <row r="14" spans="1:24" ht="15.6">
      <c r="A14" s="20">
        <v>13</v>
      </c>
      <c r="B14" s="21" t="s">
        <v>95</v>
      </c>
      <c r="C14" s="21" t="s">
        <v>93</v>
      </c>
      <c r="D14" s="22" t="s">
        <v>92</v>
      </c>
      <c r="E14" s="6">
        <f t="shared" si="0"/>
        <v>12</v>
      </c>
      <c r="F14" s="21"/>
      <c r="G14" s="21"/>
      <c r="I14" s="6" t="s">
        <v>96</v>
      </c>
      <c r="L14" s="6" t="s">
        <v>97</v>
      </c>
      <c r="W14" s="27" t="s">
        <v>98</v>
      </c>
      <c r="X14" s="29">
        <v>20000</v>
      </c>
    </row>
    <row r="15" spans="1:24" ht="15.6">
      <c r="A15" s="23">
        <v>14</v>
      </c>
      <c r="B15" s="21" t="s">
        <v>99</v>
      </c>
      <c r="C15" s="21" t="s">
        <v>100</v>
      </c>
      <c r="D15" s="22" t="s">
        <v>101</v>
      </c>
      <c r="E15" s="6">
        <f t="shared" si="0"/>
        <v>15</v>
      </c>
      <c r="F15" s="6" t="s">
        <v>102</v>
      </c>
      <c r="G15" s="6" t="s">
        <v>103</v>
      </c>
      <c r="I15" s="6" t="s">
        <v>104</v>
      </c>
      <c r="J15" s="6" t="s">
        <v>105</v>
      </c>
      <c r="W15" s="27" t="s">
        <v>106</v>
      </c>
      <c r="X15" s="5" t="s">
        <v>107</v>
      </c>
    </row>
    <row r="16" spans="1:24" ht="15.6">
      <c r="A16" s="20">
        <v>15</v>
      </c>
      <c r="B16" s="21" t="s">
        <v>108</v>
      </c>
      <c r="C16" s="21" t="s">
        <v>101</v>
      </c>
      <c r="D16" s="22" t="s">
        <v>100</v>
      </c>
      <c r="E16" s="6">
        <f t="shared" si="0"/>
        <v>14</v>
      </c>
      <c r="F16" s="6" t="s">
        <v>109</v>
      </c>
      <c r="G16" s="6" t="s">
        <v>103</v>
      </c>
      <c r="I16" s="6" t="s">
        <v>110</v>
      </c>
      <c r="J16" s="6" t="s">
        <v>111</v>
      </c>
      <c r="W16" s="27" t="s">
        <v>112</v>
      </c>
      <c r="X16" s="5" t="s">
        <v>113</v>
      </c>
    </row>
    <row r="17" spans="1:26" ht="15.6">
      <c r="A17" s="23">
        <v>16</v>
      </c>
      <c r="B17" s="21" t="s">
        <v>114</v>
      </c>
      <c r="C17" s="21" t="s">
        <v>115</v>
      </c>
      <c r="D17" s="22" t="s">
        <v>116</v>
      </c>
      <c r="E17" s="6">
        <f t="shared" si="0"/>
        <v>17</v>
      </c>
      <c r="F17" s="6" t="s">
        <v>117</v>
      </c>
      <c r="G17" s="6" t="s">
        <v>103</v>
      </c>
      <c r="I17" s="6" t="s">
        <v>118</v>
      </c>
      <c r="J17" s="6" t="s">
        <v>119</v>
      </c>
      <c r="L17" s="6" t="s">
        <v>120</v>
      </c>
      <c r="M17" s="6" t="s">
        <v>39</v>
      </c>
      <c r="W17" s="27" t="s">
        <v>121</v>
      </c>
      <c r="X17" s="5"/>
    </row>
    <row r="18" spans="1:26" ht="15.6">
      <c r="A18" s="20">
        <v>17</v>
      </c>
      <c r="B18" s="21" t="s">
        <v>122</v>
      </c>
      <c r="C18" s="21" t="s">
        <v>116</v>
      </c>
      <c r="D18" s="22" t="s">
        <v>115</v>
      </c>
      <c r="E18" s="6">
        <f t="shared" si="0"/>
        <v>16</v>
      </c>
      <c r="F18" s="6" t="s">
        <v>123</v>
      </c>
      <c r="G18" s="6" t="s">
        <v>103</v>
      </c>
      <c r="W18" s="27" t="s">
        <v>124</v>
      </c>
      <c r="X18" s="31" t="s">
        <v>125</v>
      </c>
    </row>
    <row r="19" spans="1:26">
      <c r="A19" s="23">
        <v>18</v>
      </c>
      <c r="B19" s="21" t="s">
        <v>126</v>
      </c>
      <c r="C19" s="21" t="s">
        <v>127</v>
      </c>
      <c r="D19" s="22" t="s">
        <v>128</v>
      </c>
      <c r="E19" s="6">
        <f t="shared" si="0"/>
        <v>19</v>
      </c>
      <c r="F19" s="6" t="s">
        <v>129</v>
      </c>
      <c r="G19" s="6" t="s">
        <v>103</v>
      </c>
      <c r="W19" s="26"/>
    </row>
    <row r="20" spans="1:26">
      <c r="A20" s="20">
        <v>19</v>
      </c>
      <c r="B20" s="21" t="s">
        <v>130</v>
      </c>
      <c r="C20" s="21" t="s">
        <v>131</v>
      </c>
      <c r="D20" s="22" t="s">
        <v>127</v>
      </c>
      <c r="E20" s="6">
        <f t="shared" si="0"/>
        <v>20</v>
      </c>
      <c r="F20" s="6"/>
      <c r="G20" s="6"/>
      <c r="W20" s="32"/>
    </row>
    <row r="21" spans="1:26">
      <c r="A21" s="23">
        <v>20</v>
      </c>
      <c r="B21" s="21" t="s">
        <v>122</v>
      </c>
      <c r="C21" s="21" t="s">
        <v>128</v>
      </c>
      <c r="D21" s="22" t="s">
        <v>131</v>
      </c>
      <c r="E21" s="6">
        <f t="shared" si="0"/>
        <v>18</v>
      </c>
      <c r="F21" s="21"/>
      <c r="G21" s="21"/>
      <c r="V21" s="16" t="s">
        <v>8</v>
      </c>
      <c r="W21" s="16" t="s">
        <v>132</v>
      </c>
    </row>
    <row r="22" spans="1:26" ht="14.4">
      <c r="A22" s="20">
        <v>21</v>
      </c>
      <c r="B22" s="21" t="s">
        <v>133</v>
      </c>
      <c r="C22" s="21" t="s">
        <v>134</v>
      </c>
      <c r="D22" s="22" t="s">
        <v>134</v>
      </c>
      <c r="E22" s="6">
        <f t="shared" si="0"/>
        <v>21</v>
      </c>
      <c r="F22" s="21"/>
      <c r="G22" s="21"/>
      <c r="V22" s="16" t="s">
        <v>135</v>
      </c>
      <c r="W22" s="33" t="s">
        <v>136</v>
      </c>
    </row>
    <row r="23" spans="1:26">
      <c r="A23" s="23">
        <v>22</v>
      </c>
      <c r="B23" s="21" t="s">
        <v>137</v>
      </c>
      <c r="C23" s="21" t="s">
        <v>138</v>
      </c>
      <c r="D23" s="22" t="s">
        <v>138</v>
      </c>
      <c r="E23" s="6">
        <f t="shared" si="0"/>
        <v>22</v>
      </c>
      <c r="F23" s="21"/>
      <c r="G23" s="21"/>
      <c r="V23" s="16" t="s">
        <v>139</v>
      </c>
      <c r="W23" s="5"/>
    </row>
    <row r="24" spans="1:26">
      <c r="A24" s="20">
        <v>23</v>
      </c>
      <c r="B24" s="21" t="s">
        <v>140</v>
      </c>
      <c r="C24" s="21" t="s">
        <v>141</v>
      </c>
      <c r="D24" s="22" t="s">
        <v>141</v>
      </c>
      <c r="E24" s="6">
        <f t="shared" si="0"/>
        <v>23</v>
      </c>
      <c r="F24" s="21"/>
      <c r="G24" s="21"/>
      <c r="H24" s="6" t="s">
        <v>142</v>
      </c>
      <c r="V24" s="16" t="s">
        <v>143</v>
      </c>
      <c r="W24" s="16" t="s">
        <v>144</v>
      </c>
    </row>
    <row r="25" spans="1:26">
      <c r="A25" s="23">
        <v>24</v>
      </c>
      <c r="B25" s="21" t="s">
        <v>145</v>
      </c>
      <c r="C25" s="21" t="s">
        <v>146</v>
      </c>
      <c r="D25" s="22" t="s">
        <v>146</v>
      </c>
      <c r="E25" s="6">
        <f t="shared" si="0"/>
        <v>24</v>
      </c>
      <c r="F25" s="21"/>
      <c r="G25" s="21"/>
      <c r="V25" s="16" t="s">
        <v>147</v>
      </c>
      <c r="W25" s="16" t="s">
        <v>73</v>
      </c>
    </row>
    <row r="26" spans="1:26">
      <c r="A26" s="20">
        <v>25</v>
      </c>
      <c r="B26" s="21" t="s">
        <v>148</v>
      </c>
      <c r="C26" s="21" t="s">
        <v>149</v>
      </c>
      <c r="D26" s="20" t="s">
        <v>149</v>
      </c>
      <c r="E26" s="6">
        <f t="shared" si="0"/>
        <v>25</v>
      </c>
      <c r="F26" s="21"/>
      <c r="G26" s="21"/>
      <c r="I26" s="6" t="s">
        <v>150</v>
      </c>
      <c r="L26" s="6" t="s">
        <v>151</v>
      </c>
      <c r="V26" s="16" t="s">
        <v>152</v>
      </c>
      <c r="W26" s="5">
        <v>3</v>
      </c>
    </row>
    <row r="27" spans="1:26">
      <c r="A27" s="23">
        <v>26</v>
      </c>
      <c r="B27" s="21" t="s">
        <v>153</v>
      </c>
      <c r="C27" s="21" t="s">
        <v>154</v>
      </c>
      <c r="D27" s="22" t="s">
        <v>155</v>
      </c>
      <c r="E27" s="6">
        <f t="shared" si="0"/>
        <v>28</v>
      </c>
      <c r="F27" s="21"/>
      <c r="G27" s="34"/>
      <c r="I27" s="6" t="s">
        <v>88</v>
      </c>
      <c r="J27" s="24" t="s">
        <v>156</v>
      </c>
      <c r="L27" s="6" t="s">
        <v>88</v>
      </c>
      <c r="M27" s="6" t="s">
        <v>157</v>
      </c>
      <c r="V27" s="16" t="s">
        <v>158</v>
      </c>
      <c r="W27" s="16" t="s">
        <v>159</v>
      </c>
      <c r="Y27" s="6">
        <v>165000</v>
      </c>
    </row>
    <row r="28" spans="1:26">
      <c r="A28" s="20">
        <v>27</v>
      </c>
      <c r="B28" s="21" t="s">
        <v>160</v>
      </c>
      <c r="C28" s="21" t="s">
        <v>161</v>
      </c>
      <c r="D28" s="20" t="s">
        <v>162</v>
      </c>
      <c r="E28" s="6">
        <f t="shared" si="0"/>
        <v>29</v>
      </c>
      <c r="F28" s="21"/>
      <c r="G28" s="21"/>
      <c r="H28" s="21"/>
      <c r="I28" s="6" t="s">
        <v>38</v>
      </c>
      <c r="J28" s="6" t="s">
        <v>163</v>
      </c>
      <c r="L28" s="6" t="s">
        <v>46</v>
      </c>
      <c r="M28" s="6" t="s">
        <v>157</v>
      </c>
      <c r="V28" s="35" t="s">
        <v>164</v>
      </c>
      <c r="W28" s="36" t="s">
        <v>165</v>
      </c>
      <c r="Y28" s="6">
        <f>Y27*1.18</f>
        <v>194700</v>
      </c>
    </row>
    <row r="29" spans="1:26">
      <c r="A29" s="23">
        <v>28</v>
      </c>
      <c r="B29" s="21" t="s">
        <v>166</v>
      </c>
      <c r="C29" s="21" t="s">
        <v>162</v>
      </c>
      <c r="D29" s="22" t="s">
        <v>154</v>
      </c>
      <c r="E29" s="6">
        <f t="shared" si="0"/>
        <v>27</v>
      </c>
      <c r="F29" s="21"/>
      <c r="G29" s="21"/>
      <c r="I29" s="6" t="s">
        <v>46</v>
      </c>
      <c r="J29" s="6" t="s">
        <v>163</v>
      </c>
      <c r="L29" s="6" t="s">
        <v>52</v>
      </c>
      <c r="M29" s="6" t="s">
        <v>157</v>
      </c>
      <c r="N29" s="6" t="s">
        <v>167</v>
      </c>
      <c r="V29" s="35" t="s">
        <v>168</v>
      </c>
      <c r="W29" s="37">
        <v>194915</v>
      </c>
      <c r="Y29" s="6">
        <f>Y28*3</f>
        <v>584100</v>
      </c>
      <c r="Z29" s="6">
        <v>690000</v>
      </c>
    </row>
    <row r="30" spans="1:26">
      <c r="A30" s="20">
        <v>29</v>
      </c>
      <c r="B30" s="21" t="s">
        <v>169</v>
      </c>
      <c r="C30" s="21" t="s">
        <v>155</v>
      </c>
      <c r="D30" s="22" t="s">
        <v>161</v>
      </c>
      <c r="E30" s="6">
        <f t="shared" si="0"/>
        <v>26</v>
      </c>
      <c r="F30" s="21"/>
      <c r="G30" s="21"/>
      <c r="L30" s="6" t="s">
        <v>170</v>
      </c>
      <c r="M30" s="24" t="s">
        <v>171</v>
      </c>
      <c r="N30" s="6" t="s">
        <v>167</v>
      </c>
      <c r="V30" s="35" t="s">
        <v>172</v>
      </c>
      <c r="W30" s="5"/>
      <c r="Y30" s="6">
        <f>(Z29-Y29)/Z29</f>
        <v>0.15347826086956523</v>
      </c>
    </row>
    <row r="31" spans="1:26">
      <c r="A31" s="23">
        <v>30</v>
      </c>
      <c r="B31" s="21" t="s">
        <v>173</v>
      </c>
      <c r="C31" s="21" t="s">
        <v>174</v>
      </c>
      <c r="D31" s="22" t="s">
        <v>175</v>
      </c>
      <c r="E31" s="6">
        <f t="shared" si="0"/>
        <v>31</v>
      </c>
      <c r="F31" s="21"/>
      <c r="G31" s="21"/>
      <c r="J31" s="6"/>
      <c r="V31" s="35" t="s">
        <v>176</v>
      </c>
      <c r="W31" s="38">
        <v>0.15</v>
      </c>
    </row>
    <row r="32" spans="1:26">
      <c r="A32" s="20">
        <v>31</v>
      </c>
      <c r="B32" s="21" t="s">
        <v>177</v>
      </c>
      <c r="C32" s="21" t="s">
        <v>175</v>
      </c>
      <c r="D32" s="22" t="s">
        <v>174</v>
      </c>
      <c r="E32" s="6">
        <f t="shared" si="0"/>
        <v>30</v>
      </c>
      <c r="F32" s="21"/>
      <c r="G32" s="21"/>
      <c r="V32" s="16" t="s">
        <v>178</v>
      </c>
      <c r="W32" s="15" t="s">
        <v>179</v>
      </c>
    </row>
    <row r="33" spans="1:24">
      <c r="A33" s="23">
        <v>32</v>
      </c>
      <c r="B33" s="21" t="s">
        <v>180</v>
      </c>
      <c r="C33" s="21" t="s">
        <v>181</v>
      </c>
      <c r="D33" s="22" t="s">
        <v>181</v>
      </c>
      <c r="E33" s="6">
        <f t="shared" si="0"/>
        <v>32</v>
      </c>
      <c r="F33" s="21"/>
      <c r="G33" s="21"/>
      <c r="V33" s="16" t="s">
        <v>182</v>
      </c>
      <c r="W33" s="16" t="s">
        <v>183</v>
      </c>
    </row>
    <row r="34" spans="1:24">
      <c r="A34" s="20">
        <v>33</v>
      </c>
      <c r="B34" s="21" t="s">
        <v>184</v>
      </c>
      <c r="C34" s="21" t="s">
        <v>185</v>
      </c>
      <c r="D34" s="22" t="s">
        <v>185</v>
      </c>
      <c r="E34" s="6">
        <f t="shared" si="0"/>
        <v>33</v>
      </c>
      <c r="F34" s="21"/>
      <c r="G34" s="21"/>
      <c r="U34" s="6" t="s">
        <v>186</v>
      </c>
      <c r="V34" s="16" t="s">
        <v>187</v>
      </c>
      <c r="W34" s="5" t="s">
        <v>188</v>
      </c>
    </row>
    <row r="35" spans="1:24">
      <c r="A35" s="23">
        <v>34</v>
      </c>
      <c r="B35" s="21" t="s">
        <v>189</v>
      </c>
      <c r="C35" s="21" t="s">
        <v>190</v>
      </c>
      <c r="D35" s="22" t="s">
        <v>190</v>
      </c>
      <c r="E35" s="6">
        <f t="shared" si="0"/>
        <v>34</v>
      </c>
      <c r="G35" s="21"/>
      <c r="U35" s="6" t="s">
        <v>191</v>
      </c>
      <c r="V35" s="16" t="s">
        <v>192</v>
      </c>
      <c r="W35" s="5"/>
    </row>
    <row r="36" spans="1:24" ht="14.4">
      <c r="A36" s="20">
        <v>35</v>
      </c>
      <c r="B36" s="21" t="s">
        <v>193</v>
      </c>
      <c r="C36" s="21" t="s">
        <v>194</v>
      </c>
      <c r="D36" s="22" t="s">
        <v>194</v>
      </c>
      <c r="E36" s="6">
        <f t="shared" si="0"/>
        <v>35</v>
      </c>
      <c r="G36" s="21"/>
      <c r="I36" s="6" t="s">
        <v>195</v>
      </c>
      <c r="U36" s="39" t="s">
        <v>196</v>
      </c>
      <c r="V36" s="16" t="s">
        <v>197</v>
      </c>
      <c r="W36" s="40" t="s">
        <v>198</v>
      </c>
    </row>
    <row r="37" spans="1:24">
      <c r="A37" s="23">
        <v>36</v>
      </c>
      <c r="B37" s="21" t="s">
        <v>199</v>
      </c>
      <c r="C37" s="21" t="s">
        <v>200</v>
      </c>
      <c r="D37" s="22" t="s">
        <v>201</v>
      </c>
      <c r="E37" s="6">
        <f t="shared" si="0"/>
        <v>37</v>
      </c>
      <c r="G37" s="21"/>
      <c r="I37" s="6" t="s">
        <v>202</v>
      </c>
    </row>
    <row r="38" spans="1:24">
      <c r="A38" s="20">
        <v>37</v>
      </c>
      <c r="B38" s="21" t="s">
        <v>203</v>
      </c>
      <c r="C38" s="21" t="s">
        <v>201</v>
      </c>
      <c r="D38" s="22" t="s">
        <v>200</v>
      </c>
      <c r="E38" s="6">
        <f t="shared" si="0"/>
        <v>36</v>
      </c>
      <c r="G38" s="21"/>
    </row>
    <row r="39" spans="1:24">
      <c r="A39" s="23">
        <v>38</v>
      </c>
      <c r="B39" s="21" t="s">
        <v>204</v>
      </c>
      <c r="C39" s="21" t="s">
        <v>205</v>
      </c>
      <c r="D39" s="22" t="s">
        <v>206</v>
      </c>
      <c r="E39" s="6">
        <f t="shared" si="0"/>
        <v>39</v>
      </c>
      <c r="G39" s="21"/>
    </row>
    <row r="40" spans="1:24">
      <c r="A40" s="20">
        <v>39</v>
      </c>
      <c r="B40" s="21" t="s">
        <v>207</v>
      </c>
      <c r="C40" s="21" t="s">
        <v>208</v>
      </c>
      <c r="D40" s="22" t="s">
        <v>205</v>
      </c>
      <c r="E40" s="6" t="e">
        <f t="shared" si="0"/>
        <v>#N/A</v>
      </c>
      <c r="G40" s="21"/>
    </row>
    <row r="41" spans="1:24">
      <c r="A41" s="23">
        <v>40</v>
      </c>
      <c r="B41" s="21"/>
      <c r="C41" s="21"/>
      <c r="D41" s="20"/>
      <c r="E41" s="6" t="e">
        <f t="shared" si="0"/>
        <v>#N/A</v>
      </c>
      <c r="F41" s="41" t="s">
        <v>209</v>
      </c>
      <c r="V41" s="16" t="s">
        <v>8</v>
      </c>
      <c r="W41" s="42" t="s">
        <v>210</v>
      </c>
    </row>
    <row r="42" spans="1:24" ht="14.4">
      <c r="A42" s="20">
        <v>41</v>
      </c>
      <c r="B42" s="21"/>
      <c r="C42" s="21"/>
      <c r="D42" s="20"/>
      <c r="E42" s="6" t="e">
        <f t="shared" si="0"/>
        <v>#N/A</v>
      </c>
      <c r="F42" s="6" t="s">
        <v>211</v>
      </c>
      <c r="H42" s="6">
        <v>160000</v>
      </c>
      <c r="V42" s="43" t="s">
        <v>135</v>
      </c>
      <c r="W42" s="44" t="s">
        <v>212</v>
      </c>
      <c r="X42" s="45"/>
    </row>
    <row r="43" spans="1:24">
      <c r="A43" s="23">
        <v>42</v>
      </c>
      <c r="B43" s="21"/>
      <c r="C43" s="21"/>
      <c r="D43" s="20"/>
      <c r="E43" s="6" t="e">
        <f t="shared" si="0"/>
        <v>#N/A</v>
      </c>
      <c r="F43" s="6">
        <v>7838060695</v>
      </c>
      <c r="H43" s="14" t="s">
        <v>213</v>
      </c>
      <c r="I43" s="6" t="s">
        <v>214</v>
      </c>
      <c r="V43" s="43" t="s">
        <v>139</v>
      </c>
      <c r="W43" s="46">
        <v>9561448995</v>
      </c>
      <c r="X43" s="45"/>
    </row>
    <row r="44" spans="1:24">
      <c r="A44" s="20"/>
      <c r="B44" s="21"/>
      <c r="C44" s="21"/>
      <c r="D44" s="20"/>
      <c r="E44" s="6" t="e">
        <f t="shared" si="0"/>
        <v>#N/A</v>
      </c>
      <c r="F44" s="47" t="s">
        <v>215</v>
      </c>
      <c r="I44" s="6" t="s">
        <v>216</v>
      </c>
      <c r="V44" s="43" t="s">
        <v>143</v>
      </c>
      <c r="W44" s="48" t="s">
        <v>217</v>
      </c>
      <c r="X44" s="45"/>
    </row>
    <row r="45" spans="1:24">
      <c r="A45" s="20"/>
      <c r="B45" s="21"/>
      <c r="C45" s="21"/>
      <c r="D45" s="20"/>
      <c r="E45" s="6" t="e">
        <f t="shared" si="0"/>
        <v>#N/A</v>
      </c>
      <c r="I45" s="6" t="s">
        <v>218</v>
      </c>
      <c r="V45" s="43" t="s">
        <v>147</v>
      </c>
      <c r="W45" s="48" t="s">
        <v>219</v>
      </c>
      <c r="X45" s="45"/>
    </row>
    <row r="46" spans="1:24">
      <c r="A46" s="20"/>
      <c r="B46" s="21"/>
      <c r="C46" s="21"/>
      <c r="D46" s="20"/>
      <c r="E46" s="6" t="e">
        <f t="shared" si="0"/>
        <v>#N/A</v>
      </c>
      <c r="F46" s="14" t="s">
        <v>220</v>
      </c>
      <c r="I46" s="6" t="s">
        <v>221</v>
      </c>
      <c r="V46" s="43" t="s">
        <v>152</v>
      </c>
      <c r="W46" s="46" t="s">
        <v>222</v>
      </c>
      <c r="X46" s="49"/>
    </row>
    <row r="47" spans="1:24">
      <c r="A47" s="20"/>
      <c r="B47" s="21"/>
      <c r="C47" s="21"/>
      <c r="D47" s="20"/>
      <c r="E47" s="6" t="e">
        <f t="shared" si="0"/>
        <v>#N/A</v>
      </c>
      <c r="I47" s="6" t="s">
        <v>223</v>
      </c>
      <c r="V47" s="43" t="s">
        <v>158</v>
      </c>
      <c r="W47" s="48" t="s">
        <v>224</v>
      </c>
      <c r="X47" s="50"/>
    </row>
    <row r="48" spans="1:24">
      <c r="A48" s="20"/>
      <c r="B48" s="21"/>
      <c r="C48" s="21"/>
      <c r="D48" s="20"/>
      <c r="E48" s="6" t="e">
        <f t="shared" si="0"/>
        <v>#N/A</v>
      </c>
      <c r="F48" s="6" t="s">
        <v>225</v>
      </c>
      <c r="H48" s="41">
        <v>7840043816</v>
      </c>
      <c r="I48" s="6" t="s">
        <v>226</v>
      </c>
      <c r="V48" s="51" t="s">
        <v>164</v>
      </c>
      <c r="W48" s="52" t="s">
        <v>227</v>
      </c>
      <c r="X48" s="49"/>
    </row>
    <row r="49" spans="1:24">
      <c r="A49" s="20"/>
      <c r="B49" s="21"/>
      <c r="C49" s="21"/>
      <c r="D49" s="20"/>
      <c r="E49" s="6" t="e">
        <f t="shared" si="0"/>
        <v>#N/A</v>
      </c>
      <c r="F49" s="6">
        <v>9036925519</v>
      </c>
      <c r="H49" s="41" t="s">
        <v>228</v>
      </c>
      <c r="I49" s="6" t="s">
        <v>229</v>
      </c>
      <c r="V49" s="51" t="s">
        <v>168</v>
      </c>
      <c r="W49" s="53"/>
      <c r="X49" s="45"/>
    </row>
    <row r="50" spans="1:24">
      <c r="A50" s="20"/>
      <c r="B50" s="21"/>
      <c r="C50" s="54"/>
      <c r="D50" s="20"/>
      <c r="E50" s="6" t="e">
        <f t="shared" si="0"/>
        <v>#N/A</v>
      </c>
      <c r="I50" s="6" t="s">
        <v>230</v>
      </c>
      <c r="V50" s="51" t="s">
        <v>172</v>
      </c>
      <c r="W50" s="46"/>
      <c r="X50" s="45"/>
    </row>
    <row r="51" spans="1:24">
      <c r="A51" s="20"/>
      <c r="B51" s="20"/>
      <c r="I51" s="6" t="s">
        <v>231</v>
      </c>
      <c r="V51" s="51" t="s">
        <v>176</v>
      </c>
      <c r="W51" s="55"/>
      <c r="X51" s="45"/>
    </row>
    <row r="52" spans="1:24">
      <c r="A52" s="20"/>
      <c r="B52" s="20"/>
      <c r="I52" s="6" t="s">
        <v>232</v>
      </c>
      <c r="V52" s="43" t="s">
        <v>178</v>
      </c>
      <c r="W52" s="56" t="s">
        <v>233</v>
      </c>
      <c r="X52" s="57"/>
    </row>
    <row r="53" spans="1:24">
      <c r="A53" s="20"/>
      <c r="B53" s="20"/>
      <c r="I53" s="6" t="s">
        <v>234</v>
      </c>
      <c r="V53" s="43" t="s">
        <v>182</v>
      </c>
      <c r="W53" s="58" t="s">
        <v>183</v>
      </c>
    </row>
    <row r="54" spans="1:24">
      <c r="A54" s="20"/>
      <c r="B54" s="20"/>
      <c r="V54" s="43" t="s">
        <v>187</v>
      </c>
      <c r="W54" s="59"/>
    </row>
    <row r="55" spans="1:24">
      <c r="A55" s="20"/>
      <c r="B55" s="20"/>
      <c r="V55" s="43" t="s">
        <v>192</v>
      </c>
      <c r="W55" s="59"/>
    </row>
    <row r="56" spans="1:24">
      <c r="A56" s="20"/>
      <c r="B56" s="20"/>
      <c r="V56" s="43" t="s">
        <v>197</v>
      </c>
      <c r="W56" s="60" t="s">
        <v>235</v>
      </c>
    </row>
    <row r="57" spans="1:24">
      <c r="A57" s="20"/>
      <c r="B57" s="20"/>
    </row>
    <row r="58" spans="1:24" ht="15.6">
      <c r="A58" s="20"/>
      <c r="B58" s="20"/>
      <c r="V58" s="27" t="s">
        <v>67</v>
      </c>
      <c r="W58" s="5"/>
    </row>
    <row r="59" spans="1:24" ht="15.6">
      <c r="A59" s="20"/>
      <c r="B59" s="20"/>
      <c r="F59" s="14"/>
      <c r="V59" s="27" t="s">
        <v>75</v>
      </c>
      <c r="W59" s="5"/>
    </row>
    <row r="60" spans="1:24" ht="15.6">
      <c r="A60" s="20"/>
      <c r="B60" s="20"/>
      <c r="F60" s="14"/>
      <c r="V60" s="27" t="s">
        <v>84</v>
      </c>
      <c r="W60" s="61"/>
    </row>
    <row r="61" spans="1:24" ht="15.6">
      <c r="A61" s="20"/>
      <c r="B61" s="20"/>
      <c r="V61" s="27" t="s">
        <v>89</v>
      </c>
      <c r="W61" s="29"/>
    </row>
    <row r="62" spans="1:24" ht="15.6">
      <c r="A62" s="20"/>
      <c r="B62" s="20"/>
      <c r="V62" s="27" t="s">
        <v>94</v>
      </c>
      <c r="W62" s="30"/>
    </row>
    <row r="63" spans="1:24" ht="15.6">
      <c r="A63" s="20"/>
      <c r="B63" s="20"/>
      <c r="V63" s="27" t="s">
        <v>98</v>
      </c>
      <c r="W63" s="29"/>
    </row>
    <row r="64" spans="1:24" ht="15.6">
      <c r="A64" s="20"/>
      <c r="B64" s="20"/>
      <c r="V64" s="27" t="s">
        <v>106</v>
      </c>
      <c r="W64" s="5"/>
    </row>
    <row r="65" spans="1:23" ht="15.6">
      <c r="A65" s="20"/>
      <c r="B65" s="20"/>
      <c r="V65" s="27" t="s">
        <v>112</v>
      </c>
      <c r="W65" s="5"/>
    </row>
    <row r="66" spans="1:23" ht="15.6">
      <c r="A66" s="20"/>
      <c r="B66" s="20"/>
      <c r="V66" s="27" t="s">
        <v>121</v>
      </c>
      <c r="W66" s="5"/>
    </row>
    <row r="67" spans="1:23" ht="15.6">
      <c r="A67" s="20"/>
      <c r="B67" s="20"/>
      <c r="V67" s="27" t="s">
        <v>124</v>
      </c>
      <c r="W67" s="62"/>
    </row>
    <row r="68" spans="1:23">
      <c r="A68" s="20"/>
      <c r="B68" s="20"/>
      <c r="V68" s="63"/>
      <c r="W68" s="64"/>
    </row>
    <row r="69" spans="1:23">
      <c r="A69" s="20"/>
      <c r="B69" s="20"/>
      <c r="V69" s="63"/>
      <c r="W69" s="4"/>
    </row>
    <row r="70" spans="1:23">
      <c r="A70" s="20"/>
      <c r="B70" s="20"/>
      <c r="V70" s="63"/>
      <c r="W70" s="65"/>
    </row>
    <row r="71" spans="1:23">
      <c r="A71" s="20"/>
      <c r="B71" s="20"/>
      <c r="V71" s="66"/>
      <c r="W71" s="67"/>
    </row>
    <row r="72" spans="1:23">
      <c r="A72" s="20"/>
      <c r="B72" s="20"/>
      <c r="V72" s="66"/>
      <c r="W72" s="66"/>
    </row>
    <row r="73" spans="1:23">
      <c r="A73" s="20"/>
      <c r="B73" s="20"/>
      <c r="V73" s="66"/>
      <c r="W73" s="4"/>
    </row>
    <row r="74" spans="1:23">
      <c r="A74" s="20"/>
      <c r="B74" s="20"/>
      <c r="V74" s="66"/>
      <c r="W74" s="4"/>
    </row>
    <row r="75" spans="1:23">
      <c r="A75" s="20"/>
      <c r="B75" s="20"/>
      <c r="V75" s="66"/>
      <c r="W75" s="68"/>
    </row>
    <row r="76" spans="1:23">
      <c r="A76" s="20"/>
      <c r="B76" s="20"/>
    </row>
    <row r="77" spans="1:23">
      <c r="A77" s="20"/>
      <c r="B77" s="20"/>
    </row>
    <row r="78" spans="1:23">
      <c r="A78" s="20"/>
      <c r="B78" s="20"/>
    </row>
    <row r="79" spans="1:23">
      <c r="A79" s="20"/>
      <c r="B79"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000"/>
  <sheetViews>
    <sheetView workbookViewId="0"/>
  </sheetViews>
  <sheetFormatPr defaultRowHeight="13.8"/>
  <sheetData>
    <row r="1" spans="1:9">
      <c r="A1" s="11" t="s">
        <v>236</v>
      </c>
      <c r="B1" s="11" t="s">
        <v>34</v>
      </c>
      <c r="C1" s="11" t="s">
        <v>237</v>
      </c>
      <c r="D1" s="11" t="s">
        <v>238</v>
      </c>
      <c r="E1" s="11" t="s">
        <v>239</v>
      </c>
      <c r="F1" s="11" t="s">
        <v>240</v>
      </c>
      <c r="G1" s="11" t="s">
        <v>241</v>
      </c>
      <c r="H1" s="11" t="s">
        <v>242</v>
      </c>
      <c r="I1" s="11" t="s">
        <v>243</v>
      </c>
    </row>
    <row r="2" spans="1:9">
      <c r="A2" s="69">
        <v>44136</v>
      </c>
      <c r="B2" s="70">
        <v>3061</v>
      </c>
      <c r="C2" s="70">
        <f t="shared" ref="C2:C29" si="0">$B2/230</f>
        <v>13.308695652173913</v>
      </c>
      <c r="D2" s="70">
        <f>SUMIFS('Sales Data'!$J$2:$J$986,'Sales Data'!$F$2:$F$986,"Nov 2020",'Sales Data'!$G$2:$G$986,"Won")/1.18</f>
        <v>271285.59322033898</v>
      </c>
      <c r="E2" s="71">
        <f t="shared" ref="E2:E29" si="1">D2/74</f>
        <v>3666.0215300045807</v>
      </c>
      <c r="F2" s="20">
        <f>COUNTIFS('Sales Data'!$F$2:$F$986,"Nov 2020",'Sales Data'!$G$2:$G$986,"Won")</f>
        <v>16</v>
      </c>
      <c r="G2" s="72">
        <f t="shared" ref="G2:G29" si="2">($E2/$B2)</f>
        <v>1.1976548611579814</v>
      </c>
      <c r="H2" s="70">
        <f t="shared" ref="H2:H29" si="3">$B2-$E2</f>
        <v>-605.02153000458065</v>
      </c>
      <c r="I2" s="70">
        <f t="shared" ref="I2:I6" si="4">$C2-$F2</f>
        <v>-2.6913043478260867</v>
      </c>
    </row>
    <row r="3" spans="1:9">
      <c r="A3" s="69">
        <v>44166</v>
      </c>
      <c r="B3" s="70">
        <v>10204</v>
      </c>
      <c r="C3" s="70">
        <f t="shared" si="0"/>
        <v>44.365217391304348</v>
      </c>
      <c r="D3" s="70">
        <f>SUMIFS('Sales Data'!$J$2:$J$986,'Sales Data'!$F$2:$F$986,"Dec 2020",'Sales Data'!$G$2:$G$986,"Won")/1.18</f>
        <v>636016.94915254239</v>
      </c>
      <c r="E3" s="71">
        <f t="shared" si="1"/>
        <v>8594.8236371965195</v>
      </c>
      <c r="F3" s="20">
        <f>COUNTIFS('Sales Data'!$F$2:$F$986,"Dec 2020",'Sales Data'!$G$2:$G$986,"Won")</f>
        <v>38</v>
      </c>
      <c r="G3" s="72">
        <f t="shared" si="2"/>
        <v>0.84229945484089763</v>
      </c>
      <c r="H3" s="70">
        <f t="shared" si="3"/>
        <v>1609.1763628034805</v>
      </c>
      <c r="I3" s="70">
        <f t="shared" si="4"/>
        <v>6.3652173913043484</v>
      </c>
    </row>
    <row r="4" spans="1:9">
      <c r="A4" s="69">
        <v>44197</v>
      </c>
      <c r="B4" s="70">
        <v>10204</v>
      </c>
      <c r="C4" s="70">
        <f t="shared" si="0"/>
        <v>44.365217391304348</v>
      </c>
      <c r="D4" s="70">
        <f>SUMIFS('Sales Data'!$J$2:$J$986,'Sales Data'!$F$2:$F$986,"Jan 2021",'Sales Data'!$G$2:$G$986,"Won")/1.18</f>
        <v>762847.45762711868</v>
      </c>
      <c r="E4" s="71">
        <f t="shared" si="1"/>
        <v>10308.749427393495</v>
      </c>
      <c r="F4" s="20">
        <f>COUNTIFS('Sales Data'!$F$2:$F$986,"Jan 2021",'Sales Data'!$G$2:$G$986,"Won")</f>
        <v>43</v>
      </c>
      <c r="G4" s="72">
        <f t="shared" si="2"/>
        <v>1.0102655260087705</v>
      </c>
      <c r="H4" s="70">
        <f t="shared" si="3"/>
        <v>-104.74942739349535</v>
      </c>
      <c r="I4" s="70">
        <f t="shared" si="4"/>
        <v>1.3652173913043484</v>
      </c>
    </row>
    <row r="5" spans="1:9">
      <c r="A5" s="69">
        <v>44228</v>
      </c>
      <c r="B5" s="70">
        <v>10204</v>
      </c>
      <c r="C5" s="70">
        <f t="shared" si="0"/>
        <v>44.365217391304348</v>
      </c>
      <c r="D5" s="70">
        <f>SUMIFS('Sales Data'!$J$2:$J$986,'Sales Data'!$F$2:$F$986,"Feb 2021",'Sales Data'!$G$2:$G$986,"Won")/1.18</f>
        <v>609557.62711864407</v>
      </c>
      <c r="E5" s="71">
        <f t="shared" si="1"/>
        <v>8237.2652313330273</v>
      </c>
      <c r="F5" s="20">
        <f>COUNTIFS('Sales Data'!$F$2:$F$986,"Feb 2021",'Sales Data'!$G$2:$G$986,"Won")</f>
        <v>33</v>
      </c>
      <c r="G5" s="72">
        <f t="shared" si="2"/>
        <v>0.80725845073824254</v>
      </c>
      <c r="H5" s="70">
        <f t="shared" si="3"/>
        <v>1966.7347686669727</v>
      </c>
      <c r="I5" s="70">
        <f t="shared" si="4"/>
        <v>11.365217391304348</v>
      </c>
    </row>
    <row r="6" spans="1:9">
      <c r="A6" s="73">
        <v>44256</v>
      </c>
      <c r="B6" s="70">
        <v>10204</v>
      </c>
      <c r="C6" s="70">
        <f t="shared" si="0"/>
        <v>44.365217391304348</v>
      </c>
      <c r="D6" s="70">
        <f>SUMIFS('Sales Data'!$J$2:$J$1985,'Sales Data'!$F$2:$F$1985,"March 2021",'Sales Data'!$G$2:$G$1985,"Won")/1.18</f>
        <v>1011990.6779661018</v>
      </c>
      <c r="E6" s="70">
        <f t="shared" si="1"/>
        <v>13675.549702244618</v>
      </c>
      <c r="F6" s="20">
        <f>COUNTIFS('Sales Data'!$F$2:$F$1985,"March 2021",'Sales Data'!$G$2:$G$1985,"Won")</f>
        <v>48</v>
      </c>
      <c r="G6" s="72">
        <f t="shared" si="2"/>
        <v>1.3402145925367128</v>
      </c>
      <c r="H6" s="70">
        <f t="shared" si="3"/>
        <v>-3471.5497022446179</v>
      </c>
      <c r="I6" s="70">
        <f t="shared" si="4"/>
        <v>-3.6347826086956516</v>
      </c>
    </row>
    <row r="7" spans="1:9">
      <c r="A7" s="73">
        <v>44287</v>
      </c>
      <c r="B7" s="70">
        <v>10204</v>
      </c>
      <c r="C7" s="70">
        <f t="shared" si="0"/>
        <v>44.365217391304348</v>
      </c>
      <c r="D7" s="70">
        <f>SUMIFS('Sales Data'!$J$2:$J$1985,'Sales Data'!$F$2:$F$1985,"April 2021",'Sales Data'!$G$2:$G$1985,"Won")/1.18</f>
        <v>877118.64406779665</v>
      </c>
      <c r="E7" s="70">
        <f t="shared" si="1"/>
        <v>11852.954649564819</v>
      </c>
      <c r="F7" s="20">
        <f>COUNTIFS('Sales Data'!$F$2:$F$1985,"April 2021",'Sales Data'!$G$2:$G$1985,"Won")</f>
        <v>36</v>
      </c>
      <c r="G7" s="74">
        <f t="shared" si="2"/>
        <v>1.1615988484481399</v>
      </c>
      <c r="H7" s="70">
        <f t="shared" si="3"/>
        <v>-1648.9546495648192</v>
      </c>
    </row>
    <row r="8" spans="1:9">
      <c r="A8" s="73">
        <v>44317</v>
      </c>
      <c r="B8" s="70">
        <v>12093</v>
      </c>
      <c r="C8" s="70">
        <f t="shared" si="0"/>
        <v>52.57826086956522</v>
      </c>
      <c r="D8" s="70">
        <f>SUMIFS('Sales Data'!$J$2:$J$1985,'Sales Data'!$F$2:$F$1985,"May 2021",'Sales Data'!$G$2:$G$1985,"Won")/1.18</f>
        <v>1041101.6949152543</v>
      </c>
      <c r="E8" s="70">
        <f t="shared" si="1"/>
        <v>14068.941823179111</v>
      </c>
      <c r="F8" s="20">
        <f>COUNTIFS('Sales Data'!$F$2:$F$1985,"May 2021",'Sales Data'!$G$2:$G$1985,"Won")</f>
        <v>39</v>
      </c>
      <c r="G8" s="74">
        <f t="shared" si="2"/>
        <v>1.1633955034465486</v>
      </c>
      <c r="H8" s="70">
        <f t="shared" si="3"/>
        <v>-1975.9418231791115</v>
      </c>
    </row>
    <row r="9" spans="1:9">
      <c r="A9" s="73">
        <v>44348</v>
      </c>
      <c r="B9" s="70">
        <v>12093</v>
      </c>
      <c r="C9" s="70">
        <f t="shared" si="0"/>
        <v>52.57826086956522</v>
      </c>
      <c r="D9" s="70">
        <f>SUMIFS('Sales Data'!$J$2:$J$1985,'Sales Data'!$F$2:$F$1985,"June 2021",'Sales Data'!$G$2:$G$1985,"Won")/1.18</f>
        <v>1110084.7457627119</v>
      </c>
      <c r="E9" s="70">
        <f t="shared" si="1"/>
        <v>15001.14521300962</v>
      </c>
      <c r="F9" s="20">
        <f>COUNTIFS('Sales Data'!$F$2:$F$1985,$A$9,'Sales Data'!$G$2:$G$1985,"Won")</f>
        <v>49</v>
      </c>
      <c r="G9" s="74">
        <f t="shared" si="2"/>
        <v>1.2404817012329132</v>
      </c>
      <c r="H9" s="70">
        <f t="shared" si="3"/>
        <v>-2908.1452130096204</v>
      </c>
    </row>
    <row r="10" spans="1:9">
      <c r="A10" s="73">
        <v>44378</v>
      </c>
      <c r="B10" s="70">
        <v>12093</v>
      </c>
      <c r="C10" s="70">
        <f t="shared" si="0"/>
        <v>52.57826086956522</v>
      </c>
      <c r="D10" s="70">
        <f>SUMIFS('Sales Data'!$J$2:$J$1985,'Sales Data'!$F$2:$F$1985,"July 2021",'Sales Data'!$G$2:$G$1985,"Won")/1.18</f>
        <v>962949.15254237293</v>
      </c>
      <c r="E10" s="70">
        <f t="shared" si="1"/>
        <v>13012.826385707742</v>
      </c>
      <c r="F10" s="20">
        <f>COUNTIFS('Sales Data'!$F$2:$F$1985,$A$10,'Sales Data'!$G$2:$G$1985,"Won")</f>
        <v>39</v>
      </c>
      <c r="G10" s="74">
        <f t="shared" si="2"/>
        <v>1.0760627127848956</v>
      </c>
      <c r="H10" s="70">
        <f t="shared" si="3"/>
        <v>-919.82638570774179</v>
      </c>
    </row>
    <row r="11" spans="1:9">
      <c r="A11" s="75">
        <v>44409</v>
      </c>
      <c r="B11" s="70">
        <v>12093</v>
      </c>
      <c r="C11" s="70">
        <f t="shared" si="0"/>
        <v>52.57826086956522</v>
      </c>
      <c r="D11" s="70">
        <f>SUMIFS('Sales Data'!$J$2:$J$1985,'Sales Data'!$F$2:$F$1985,"Aug 2021",'Sales Data'!$G$2:$G$1985,"Won")/1.18</f>
        <v>1142601.6949152544</v>
      </c>
      <c r="E11" s="70">
        <f t="shared" si="1"/>
        <v>15440.563444800735</v>
      </c>
      <c r="F11" s="20">
        <f>COUNTIFS('Sales Data'!$F$2:$F$1985,$A$11,'Sales Data'!$G$2:$G$1985,"Won")</f>
        <v>44</v>
      </c>
      <c r="G11" s="74">
        <f t="shared" si="2"/>
        <v>1.2768182787398277</v>
      </c>
      <c r="H11" s="70">
        <f t="shared" si="3"/>
        <v>-3347.5634448007349</v>
      </c>
    </row>
    <row r="12" spans="1:9">
      <c r="A12" s="75">
        <v>44440</v>
      </c>
      <c r="B12" s="70">
        <v>13605</v>
      </c>
      <c r="C12" s="70">
        <f t="shared" si="0"/>
        <v>59.152173913043477</v>
      </c>
      <c r="D12" s="70">
        <f>SUMIFS('Sales Data'!$J$2:$J$1985,'Sales Data'!$F$2:$F$1985,"Sep 2021",'Sales Data'!$G$2:$G$1985,"Won")/1.18</f>
        <v>1453210.1694915255</v>
      </c>
      <c r="E12" s="70">
        <f t="shared" si="1"/>
        <v>19637.975263398992</v>
      </c>
      <c r="F12" s="20">
        <f>COUNTIFS('Sales Data'!$F$2:$F$1985,$A$12,'Sales Data'!$G$2:$G$1985,"Won")</f>
        <v>72</v>
      </c>
      <c r="G12" s="74">
        <f t="shared" si="2"/>
        <v>1.4434380935978679</v>
      </c>
      <c r="H12" s="70">
        <f t="shared" si="3"/>
        <v>-6032.975263398992</v>
      </c>
    </row>
    <row r="13" spans="1:9">
      <c r="A13" s="75">
        <v>44470</v>
      </c>
      <c r="B13" s="70">
        <v>13605</v>
      </c>
      <c r="C13" s="70">
        <f t="shared" si="0"/>
        <v>59.152173913043477</v>
      </c>
      <c r="D13" s="70">
        <f>SUMIFS('Sales Data'!$J$2:$J$1985,'Sales Data'!$F$2:$F$1985,"Oct 2021",'Sales Data'!$G$2:$G$1985,"Won")/1.18</f>
        <v>1438796.6101694915</v>
      </c>
      <c r="E13" s="70">
        <f t="shared" si="1"/>
        <v>19443.197434722857</v>
      </c>
      <c r="F13" s="20">
        <f>COUNTIFS('Sales Data'!$F$2:$F$1985,$A$13,'Sales Data'!$G$2:$G$1985,"Won")</f>
        <v>49</v>
      </c>
      <c r="G13" s="74">
        <f t="shared" si="2"/>
        <v>1.4291214578995117</v>
      </c>
      <c r="H13" s="70">
        <f t="shared" si="3"/>
        <v>-5838.197434722857</v>
      </c>
    </row>
    <row r="14" spans="1:9">
      <c r="A14" s="75">
        <v>44501</v>
      </c>
      <c r="B14" s="70">
        <v>14292</v>
      </c>
      <c r="C14" s="70">
        <f t="shared" si="0"/>
        <v>62.139130434782608</v>
      </c>
      <c r="D14" s="70">
        <f>SUMIFS('Sales Data'!$J$2:$J$1985,'Sales Data'!$F$2:$F$1985,"Nov 2021",'Sales Data'!$G$2:$G$1985,"Won")/1.18</f>
        <v>1107288.1355932204</v>
      </c>
      <c r="E14" s="70">
        <f t="shared" si="1"/>
        <v>14963.353183692167</v>
      </c>
      <c r="F14" s="20">
        <f>COUNTIFS('Sales Data'!$F$2:$F$1985,$A$14,'Sales Data'!$G$2:$G$1985,"Won")</f>
        <v>45</v>
      </c>
      <c r="G14" s="74">
        <f t="shared" si="2"/>
        <v>1.0469740542745709</v>
      </c>
      <c r="H14" s="70">
        <f t="shared" si="3"/>
        <v>-671.35318369216657</v>
      </c>
    </row>
    <row r="15" spans="1:9">
      <c r="A15" s="75">
        <v>44531</v>
      </c>
      <c r="B15" s="70">
        <v>14292</v>
      </c>
      <c r="C15" s="70">
        <f t="shared" si="0"/>
        <v>62.139130434782608</v>
      </c>
      <c r="D15" s="70">
        <f>SUMIFS('Sales Data'!$J$2:$J$1985,'Sales Data'!$F$2:$F$1985,"Dec 2021",'Sales Data'!$G$2:$G$1985,"Won")/1.18</f>
        <v>1199576.2711864407</v>
      </c>
      <c r="E15" s="70">
        <f t="shared" si="1"/>
        <v>16210.490151168118</v>
      </c>
      <c r="F15" s="20">
        <f>COUNTIFS('Sales Data'!$F$2:$F$1985,$A15,'Sales Data'!$G$2:$G$1985,"Won")</f>
        <v>54</v>
      </c>
      <c r="G15" s="74">
        <f t="shared" si="2"/>
        <v>1.1342352470730561</v>
      </c>
      <c r="H15" s="70">
        <f t="shared" si="3"/>
        <v>-1918.4901511681182</v>
      </c>
    </row>
    <row r="16" spans="1:9">
      <c r="A16" s="75">
        <v>44562</v>
      </c>
      <c r="B16" s="70">
        <v>14292</v>
      </c>
      <c r="C16" s="70">
        <f t="shared" si="0"/>
        <v>62.139130434782608</v>
      </c>
      <c r="D16" s="70">
        <f>SUMIFS('Sales Data'!$J$2:$J$1985,'Sales Data'!$F$2:$F$1985,"Jan 2022",'Sales Data'!$G$2:$G$1985,"Won")/1.18</f>
        <v>1031864.4067796611</v>
      </c>
      <c r="E16" s="70">
        <f t="shared" si="1"/>
        <v>13944.113605130555</v>
      </c>
      <c r="F16" s="20">
        <f>COUNTIFS('Sales Data'!$F$2:$F$1985,$A16,'Sales Data'!$G$2:$G$1985,"Won")</f>
        <v>48</v>
      </c>
      <c r="G16" s="74">
        <f t="shared" si="2"/>
        <v>0.97565866254761791</v>
      </c>
      <c r="H16" s="70">
        <f t="shared" si="3"/>
        <v>347.88639486944521</v>
      </c>
    </row>
    <row r="17" spans="1:10">
      <c r="A17" s="75">
        <v>44593</v>
      </c>
      <c r="B17" s="70">
        <v>14292</v>
      </c>
      <c r="C17" s="70">
        <f t="shared" si="0"/>
        <v>62.139130434782608</v>
      </c>
      <c r="D17" s="70">
        <f>SUMIFS('Sales Data'!$J$2:$J$1985,'Sales Data'!$F$2:$F$1985,"Feb 2022",'Sales Data'!$G$2:$G$1985,"Won")/1.18</f>
        <v>1125732.2033898307</v>
      </c>
      <c r="E17" s="70">
        <f t="shared" si="1"/>
        <v>15212.597343105819</v>
      </c>
      <c r="F17" s="20">
        <f>COUNTIFS('Sales Data'!$F$2:$F$1985,$A17,'Sales Data'!$G$2:$G$1985,"Won")</f>
        <v>55</v>
      </c>
      <c r="G17" s="74">
        <f t="shared" si="2"/>
        <v>1.0644134720896878</v>
      </c>
      <c r="H17" s="70">
        <f t="shared" si="3"/>
        <v>-920.59734310581916</v>
      </c>
    </row>
    <row r="18" spans="1:10">
      <c r="A18" s="75">
        <v>44621</v>
      </c>
      <c r="B18" s="70">
        <v>14292</v>
      </c>
      <c r="C18" s="70">
        <f t="shared" si="0"/>
        <v>62.139130434782608</v>
      </c>
      <c r="D18" s="70">
        <f>SUMIFS('Sales Data'!$J$2:$J$1985,'Sales Data'!$F$2:$F$1985,"March 2022",'Sales Data'!$G$2:$G$1985,"Won")/1.18</f>
        <v>1078177.9661016951</v>
      </c>
      <c r="E18" s="70">
        <f t="shared" si="1"/>
        <v>14569.972514887771</v>
      </c>
      <c r="F18" s="20">
        <f>COUNTIFS('Sales Data'!$F$2:$F$1985,$A18,'Sales Data'!$G$2:$G$1985,"Won")</f>
        <v>48</v>
      </c>
      <c r="G18" s="74">
        <f t="shared" si="2"/>
        <v>1.0194495182541121</v>
      </c>
      <c r="H18" s="70">
        <f t="shared" si="3"/>
        <v>-277.97251488777147</v>
      </c>
      <c r="J18" s="74"/>
    </row>
    <row r="19" spans="1:10">
      <c r="A19" s="75">
        <v>44652</v>
      </c>
      <c r="B19" s="70">
        <v>14292</v>
      </c>
      <c r="C19" s="70">
        <f t="shared" si="0"/>
        <v>62.139130434782608</v>
      </c>
      <c r="D19" s="70">
        <f>SUMIFS('Sales Data'!$J$2:$J$1985,'Sales Data'!$F$2:$F$1985,"April 2022",'Sales Data'!$G$2:$G$1985,"Won")/1.18</f>
        <v>1083314.4067796611</v>
      </c>
      <c r="E19" s="70">
        <f t="shared" si="1"/>
        <v>14639.383875400825</v>
      </c>
      <c r="F19" s="20">
        <f>COUNTIFS('Sales Data'!$F$2:$F$1985,$A19,'Sales Data'!$G$2:$G$1985,"Won")</f>
        <v>49</v>
      </c>
      <c r="G19" s="74">
        <f t="shared" si="2"/>
        <v>1.0243061765603712</v>
      </c>
      <c r="H19" s="70">
        <f t="shared" si="3"/>
        <v>-347.38387540082476</v>
      </c>
    </row>
    <row r="20" spans="1:10">
      <c r="A20" s="75">
        <v>44682</v>
      </c>
      <c r="B20" s="70">
        <v>14292</v>
      </c>
      <c r="C20" s="70">
        <f t="shared" si="0"/>
        <v>62.139130434782608</v>
      </c>
      <c r="D20" s="70">
        <f>SUMIFS('Sales Data'!$J$2:$J$1985,'Sales Data'!$F$2:$F$1985,"May 2022",'Sales Data'!$G$2:$G$1985,"Won")/1.18</f>
        <v>1160588.1355932204</v>
      </c>
      <c r="E20" s="70">
        <f t="shared" si="1"/>
        <v>15683.623453962437</v>
      </c>
      <c r="F20" s="20">
        <f>COUNTIFS('Sales Data'!$F$2:$F$1985,$A20,'Sales Data'!$G$2:$G$1985,"Won")</f>
        <v>52</v>
      </c>
      <c r="G20" s="74">
        <f t="shared" si="2"/>
        <v>1.0973707986259751</v>
      </c>
      <c r="H20" s="70">
        <f t="shared" si="3"/>
        <v>-1391.6234539624365</v>
      </c>
    </row>
    <row r="21" spans="1:10" ht="15.6">
      <c r="A21" s="73">
        <v>44713</v>
      </c>
      <c r="B21" s="70">
        <v>14292</v>
      </c>
      <c r="C21" s="70">
        <f t="shared" si="0"/>
        <v>62.139130434782608</v>
      </c>
      <c r="D21" s="70">
        <f>SUMIFS('Sales Data'!$J$2:$J$1985,'Sales Data'!$F$2:$F$1985,"June 2022",'Sales Data'!$G$2:$G$1985,"Won")/1.18</f>
        <v>1357503.3898305085</v>
      </c>
      <c r="E21" s="70">
        <f t="shared" si="1"/>
        <v>18344.64040311498</v>
      </c>
      <c r="F21" s="20">
        <f>COUNTIFS('Sales Data'!$F$2:$F$1985,$A21,'Sales Data'!$G$2:$G$1985,"Won")</f>
        <v>55</v>
      </c>
      <c r="G21" s="74">
        <f t="shared" si="2"/>
        <v>1.2835600617908607</v>
      </c>
      <c r="H21" s="70">
        <f t="shared" si="3"/>
        <v>-4052.6404031149796</v>
      </c>
      <c r="I21" s="76"/>
    </row>
    <row r="22" spans="1:10" ht="15.6">
      <c r="A22" s="73">
        <v>44743</v>
      </c>
      <c r="B22" s="70">
        <v>15392</v>
      </c>
      <c r="C22" s="70">
        <f t="shared" si="0"/>
        <v>66.921739130434787</v>
      </c>
      <c r="D22" s="70">
        <f>SUMIFS('Sales Data'!$J$2:$J$1985,'Sales Data'!$F$2:$F$1985,"July 2022",'Sales Data'!$G$2:$G$1985,"Won")/1.18</f>
        <v>1186169.4915254237</v>
      </c>
      <c r="E22" s="70">
        <f t="shared" si="1"/>
        <v>16029.317453046266</v>
      </c>
      <c r="F22" s="20">
        <f>COUNTIFS('Sales Data'!$F$2:$F$1985,$A22,'Sales Data'!$G$2:$G$1985,"Won")</f>
        <v>53</v>
      </c>
      <c r="G22" s="74">
        <f t="shared" si="2"/>
        <v>1.0414057596833592</v>
      </c>
      <c r="H22" s="70">
        <f t="shared" si="3"/>
        <v>-637.31745304626565</v>
      </c>
      <c r="I22" s="76"/>
    </row>
    <row r="23" spans="1:10" ht="15.6">
      <c r="A23" s="75">
        <v>44774</v>
      </c>
      <c r="B23" s="70">
        <v>14700</v>
      </c>
      <c r="C23" s="70">
        <f t="shared" si="0"/>
        <v>63.913043478260867</v>
      </c>
      <c r="D23" s="70">
        <f>SUMIFS('Sales Data'!$J$2:$J$1985,'Sales Data'!$F$2:$F$1985,"Aug 2022",'Sales Data'!$G$2:$G$1985,"Won")/1.18</f>
        <v>959849.15254237293</v>
      </c>
      <c r="E23" s="70">
        <f t="shared" si="1"/>
        <v>12970.93449381585</v>
      </c>
      <c r="F23" s="20">
        <f>COUNTIFS('Sales Data'!$F$2:$F$1985,$A23,'Sales Data'!$G$2:$G$1985,"Won")</f>
        <v>39</v>
      </c>
      <c r="G23" s="74">
        <f t="shared" si="2"/>
        <v>0.882376496177949</v>
      </c>
      <c r="H23" s="70">
        <f t="shared" si="3"/>
        <v>1729.0655061841499</v>
      </c>
      <c r="I23" s="76"/>
    </row>
    <row r="24" spans="1:10" ht="15.6">
      <c r="A24" s="75">
        <v>44805</v>
      </c>
      <c r="B24" s="70">
        <v>15005</v>
      </c>
      <c r="C24" s="70">
        <f t="shared" si="0"/>
        <v>65.239130434782609</v>
      </c>
      <c r="D24" s="70">
        <f>SUMIFS('Sales Data'!$J$2:$J$1985,'Sales Data'!$F$2:$F$1985,"Sep 2022",'Sales Data'!$G$2:$G$1985,"Won")/1.18</f>
        <v>1155449.1525423729</v>
      </c>
      <c r="E24" s="70">
        <f t="shared" si="1"/>
        <v>15614.177737059093</v>
      </c>
      <c r="F24" s="20">
        <f>COUNTIFS('Sales Data'!$F$2:$F$1985,$A24,'Sales Data'!$G$2:$G$1985,"Won")</f>
        <v>51</v>
      </c>
      <c r="G24" s="74">
        <f t="shared" si="2"/>
        <v>1.0405983163651511</v>
      </c>
      <c r="H24" s="70">
        <f t="shared" si="3"/>
        <v>-609.17773705909349</v>
      </c>
      <c r="I24" s="76"/>
    </row>
    <row r="25" spans="1:10" ht="15.6">
      <c r="A25" s="75">
        <v>44835</v>
      </c>
      <c r="B25" s="70">
        <v>15005</v>
      </c>
      <c r="C25" s="70">
        <f t="shared" si="0"/>
        <v>65.239130434782609</v>
      </c>
      <c r="D25" s="70">
        <f>SUMIFS('Sales Data'!$J$2:$J$1985,'Sales Data'!$F$2:$F$1985,"Oct 2022",'Sales Data'!$G$2:$G$1985,"Won")/1.18</f>
        <v>762137.28813559329</v>
      </c>
      <c r="E25" s="70">
        <f t="shared" si="1"/>
        <v>10299.152542372882</v>
      </c>
      <c r="F25" s="20">
        <f>COUNTIFS('Sales Data'!$F$2:$F$1985,$A25,'Sales Data'!$G$2:$G$1985,"Won")</f>
        <v>38</v>
      </c>
      <c r="G25" s="74">
        <f t="shared" si="2"/>
        <v>0.68638137569962554</v>
      </c>
      <c r="H25" s="70">
        <f t="shared" si="3"/>
        <v>4705.8474576271183</v>
      </c>
      <c r="I25" s="76"/>
    </row>
    <row r="26" spans="1:10" ht="15.6">
      <c r="A26" s="75">
        <v>44866</v>
      </c>
      <c r="B26" s="70">
        <v>16125</v>
      </c>
      <c r="C26" s="70">
        <f t="shared" si="0"/>
        <v>70.108695652173907</v>
      </c>
      <c r="D26" s="70">
        <f>SUMIFS('Sales Data'!$J$2:$J$1985,'Sales Data'!$F$2:$F$1985,"Nov 2022",'Sales Data'!$G$2:$G$1985,"Won")/1.18</f>
        <v>1200899.1525423729</v>
      </c>
      <c r="E26" s="70">
        <f t="shared" si="1"/>
        <v>16228.366926248284</v>
      </c>
      <c r="F26" s="20">
        <f>COUNTIFS('Sales Data'!$F$2:$F$1985,$A26,'Sales Data'!$G$2:$G$1985,"Won")</f>
        <v>56</v>
      </c>
      <c r="G26" s="74">
        <f t="shared" si="2"/>
        <v>1.0064103520153975</v>
      </c>
      <c r="H26" s="70">
        <f t="shared" si="3"/>
        <v>-103.36692624828356</v>
      </c>
      <c r="I26" s="76"/>
    </row>
    <row r="27" spans="1:10" ht="15.6">
      <c r="A27" s="75">
        <v>44896</v>
      </c>
      <c r="B27" s="70">
        <v>16125</v>
      </c>
      <c r="C27" s="70">
        <f t="shared" si="0"/>
        <v>70.108695652173907</v>
      </c>
      <c r="D27" s="70">
        <f>SUMIFS('Sales Data'!$J$2:$J$1985,'Sales Data'!$F$2:$F$1985,"Dec 2022",'Sales Data'!$G$2:$G$1985,"Won")/1.18</f>
        <v>1245302.5423728814</v>
      </c>
      <c r="E27" s="70">
        <f t="shared" si="1"/>
        <v>16828.412734768666</v>
      </c>
      <c r="F27" s="20">
        <f>COUNTIFS('Sales Data'!$F$2:$F$1985,$A27,'Sales Data'!$G$2:$G$1985,"Won")</f>
        <v>63</v>
      </c>
      <c r="G27" s="74">
        <f t="shared" si="2"/>
        <v>1.0436224951794522</v>
      </c>
      <c r="H27" s="70">
        <f t="shared" si="3"/>
        <v>-703.41273476866627</v>
      </c>
      <c r="I27" s="76"/>
    </row>
    <row r="28" spans="1:10" ht="15.6">
      <c r="A28" s="75">
        <v>44927</v>
      </c>
      <c r="B28" s="70">
        <v>17100</v>
      </c>
      <c r="C28" s="70">
        <f t="shared" si="0"/>
        <v>74.347826086956516</v>
      </c>
      <c r="D28" s="70">
        <f>SUMIFS('Sales Data'!$J$2:$J$1985,'Sales Data'!$F$2:$F$1985,"Jan 2023",'Sales Data'!$G$2:$G$1985,"Won")/1.18</f>
        <v>1937400.8474576273</v>
      </c>
      <c r="E28" s="70">
        <f t="shared" si="1"/>
        <v>26181.09253321118</v>
      </c>
      <c r="F28" s="20">
        <f>COUNTIFS('Sales Data'!$F$2:$F$1985,$A28,'Sales Data'!$G$2:$G$1985,"Won")</f>
        <v>59</v>
      </c>
      <c r="G28" s="74">
        <f t="shared" si="2"/>
        <v>1.5310580428778469</v>
      </c>
      <c r="H28" s="70">
        <f t="shared" si="3"/>
        <v>-9081.0925332111801</v>
      </c>
      <c r="I28" s="76"/>
    </row>
    <row r="29" spans="1:10" ht="15.6">
      <c r="A29" s="75">
        <v>44958</v>
      </c>
      <c r="B29" s="70">
        <v>17100</v>
      </c>
      <c r="C29" s="70">
        <f t="shared" si="0"/>
        <v>74.347826086956516</v>
      </c>
      <c r="D29" s="70">
        <f>SUMIFS('Sales Data'!$J$2:$J$1985,'Sales Data'!$F$2:$F$1985,"Feb 2023",'Sales Data'!$G$2:$G$1985,"Won")/1.18</f>
        <v>1406421.1864406781</v>
      </c>
      <c r="E29" s="70">
        <f t="shared" si="1"/>
        <v>19005.691708657811</v>
      </c>
      <c r="F29" s="20">
        <f>COUNTIFS('Sales Data'!$F$2:$F$1985,$A29,'Sales Data'!$G$2:$G$1985,"Won")</f>
        <v>65</v>
      </c>
      <c r="G29" s="74">
        <f t="shared" si="2"/>
        <v>1.1114439595706322</v>
      </c>
      <c r="H29" s="70">
        <f t="shared" si="3"/>
        <v>-1905.6917086578105</v>
      </c>
      <c r="I29" s="76"/>
      <c r="J29" s="74">
        <f t="shared" ref="J29:J33" si="5">($E19/$B19)</f>
        <v>1.0243061765603712</v>
      </c>
    </row>
    <row r="30" spans="1:10">
      <c r="A30" s="69"/>
      <c r="B30" s="20"/>
      <c r="C30" s="20"/>
      <c r="D30" s="20"/>
      <c r="E30" s="20"/>
      <c r="F30" s="20"/>
      <c r="J30" s="74">
        <f t="shared" si="5"/>
        <v>1.0973707986259751</v>
      </c>
    </row>
    <row r="31" spans="1:10">
      <c r="A31" s="69"/>
      <c r="B31" s="20"/>
      <c r="C31" s="20"/>
      <c r="D31" s="20"/>
      <c r="E31" s="20"/>
      <c r="F31" s="20"/>
      <c r="J31" s="74">
        <f t="shared" si="5"/>
        <v>1.2835600617908607</v>
      </c>
    </row>
    <row r="32" spans="1:10">
      <c r="A32" s="69"/>
      <c r="B32" s="20"/>
      <c r="C32" s="20"/>
      <c r="D32" s="20"/>
      <c r="E32" s="20"/>
      <c r="F32" s="20"/>
      <c r="J32" s="74">
        <f t="shared" si="5"/>
        <v>1.0414057596833592</v>
      </c>
    </row>
    <row r="33" spans="2:10">
      <c r="J33" s="74">
        <f t="shared" si="5"/>
        <v>0.882376496177949</v>
      </c>
    </row>
    <row r="34" spans="2:10">
      <c r="J34" s="74">
        <v>1.04</v>
      </c>
    </row>
    <row r="35" spans="2:10">
      <c r="B35" s="8"/>
      <c r="C35" s="77"/>
      <c r="D35" s="6"/>
      <c r="J35" s="74">
        <f>AVERAGE(J29:J34)</f>
        <v>1.0615032154730859</v>
      </c>
    </row>
    <row r="36" spans="2:10" ht="16.2">
      <c r="B36" s="8"/>
      <c r="C36" s="77"/>
      <c r="D36" s="6"/>
      <c r="G36" s="78" t="s">
        <v>244</v>
      </c>
    </row>
    <row r="37" spans="2:10">
      <c r="B37" s="8"/>
      <c r="C37" s="77"/>
      <c r="D37" s="6"/>
    </row>
    <row r="38" spans="2:10">
      <c r="B38" s="8"/>
      <c r="C38" s="77"/>
      <c r="D38" s="12"/>
      <c r="G38" s="12"/>
    </row>
    <row r="39" spans="2:10">
      <c r="B39" s="8"/>
      <c r="C39" s="77"/>
      <c r="D39" s="12"/>
      <c r="G39" s="12"/>
    </row>
    <row r="40" spans="2:10">
      <c r="B40" s="8"/>
      <c r="C40" s="77"/>
      <c r="D40" s="12"/>
      <c r="G40" s="12"/>
    </row>
    <row r="41" spans="2:10">
      <c r="B41" s="8"/>
      <c r="C41" s="77"/>
      <c r="D41" s="12"/>
      <c r="G41" s="12"/>
    </row>
    <row r="42" spans="2:10">
      <c r="B42" s="8"/>
      <c r="C42" s="77"/>
      <c r="D42" s="12"/>
      <c r="G42" s="12"/>
    </row>
    <row r="43" spans="2:10">
      <c r="B43" s="8"/>
      <c r="C43" s="77"/>
      <c r="D43" s="12"/>
      <c r="G43" s="12"/>
    </row>
    <row r="44" spans="2:10">
      <c r="B44" s="8"/>
      <c r="C44" s="77"/>
      <c r="D44" s="12"/>
      <c r="G44" s="12"/>
    </row>
    <row r="45" spans="2:10">
      <c r="B45" s="8"/>
      <c r="C45" s="77"/>
      <c r="D45" s="12"/>
      <c r="G45" s="12"/>
    </row>
    <row r="46" spans="2:10">
      <c r="B46" s="8"/>
      <c r="C46" s="77"/>
      <c r="D46" s="12"/>
      <c r="G46" s="12"/>
    </row>
    <row r="47" spans="2:10">
      <c r="B47" s="8"/>
      <c r="C47" s="77"/>
      <c r="D47" s="12"/>
      <c r="G47" s="12"/>
    </row>
    <row r="48" spans="2:10">
      <c r="B48" s="8"/>
      <c r="C48" s="77"/>
      <c r="D48" s="12"/>
      <c r="G48" s="12"/>
    </row>
    <row r="49" spans="2:7">
      <c r="B49" s="8"/>
      <c r="C49" s="77"/>
      <c r="D49" s="12"/>
      <c r="G49" s="12"/>
    </row>
    <row r="50" spans="2:7">
      <c r="B50" s="8"/>
      <c r="C50" s="77"/>
      <c r="D50" s="12"/>
      <c r="G50" s="12"/>
    </row>
    <row r="51" spans="2:7">
      <c r="B51" s="8"/>
      <c r="C51" s="77"/>
      <c r="D51" s="12"/>
      <c r="G51" s="12"/>
    </row>
    <row r="52" spans="2:7">
      <c r="B52" s="8"/>
      <c r="C52" s="77"/>
      <c r="D52" s="12"/>
      <c r="G52" s="12"/>
    </row>
    <row r="53" spans="2:7">
      <c r="B53" s="8"/>
      <c r="C53" s="77"/>
      <c r="D53" s="12"/>
      <c r="G53" s="12"/>
    </row>
    <row r="54" spans="2:7">
      <c r="B54" s="8"/>
      <c r="C54" s="77"/>
      <c r="D54" s="12"/>
      <c r="G54" s="12"/>
    </row>
    <row r="55" spans="2:7">
      <c r="B55" s="8"/>
      <c r="C55" s="77"/>
      <c r="D55" s="12"/>
      <c r="G55" s="12"/>
    </row>
    <row r="56" spans="2:7">
      <c r="B56" s="8"/>
      <c r="C56" s="77"/>
      <c r="D56" s="12"/>
      <c r="G56" s="12"/>
    </row>
    <row r="57" spans="2:7">
      <c r="B57" s="8"/>
      <c r="C57" s="77"/>
      <c r="D57" s="12"/>
      <c r="G57" s="12"/>
    </row>
    <row r="58" spans="2:7">
      <c r="B58" s="8"/>
      <c r="C58" s="77"/>
      <c r="D58" s="12"/>
      <c r="G58" s="12"/>
    </row>
    <row r="59" spans="2:7">
      <c r="B59" s="8"/>
      <c r="C59" s="77"/>
      <c r="D59" s="12"/>
      <c r="G59" s="12"/>
    </row>
    <row r="60" spans="2:7">
      <c r="B60" s="8"/>
      <c r="C60" s="77"/>
      <c r="D60" s="12"/>
      <c r="G60" s="12"/>
    </row>
    <row r="61" spans="2:7">
      <c r="B61" s="8"/>
      <c r="C61" s="77"/>
      <c r="D61" s="12"/>
      <c r="G61" s="12"/>
    </row>
    <row r="62" spans="2:7">
      <c r="B62" s="8"/>
      <c r="C62" s="77"/>
      <c r="D62" s="12"/>
      <c r="G62" s="12"/>
    </row>
    <row r="63" spans="2:7">
      <c r="B63" s="8"/>
      <c r="C63" s="77"/>
      <c r="D63" s="12"/>
      <c r="G63" s="12"/>
    </row>
    <row r="64" spans="2:7">
      <c r="B64" s="8"/>
      <c r="C64" s="77"/>
      <c r="D64" s="12"/>
      <c r="G64" s="12"/>
    </row>
    <row r="65" spans="2:7">
      <c r="B65" s="8"/>
      <c r="C65" s="77"/>
      <c r="D65" s="12"/>
      <c r="G65" s="12"/>
    </row>
    <row r="66" spans="2:7">
      <c r="B66" s="8"/>
      <c r="C66" s="77"/>
      <c r="D66" s="12"/>
      <c r="G66" s="12"/>
    </row>
    <row r="67" spans="2:7">
      <c r="B67" s="8"/>
      <c r="C67" s="77"/>
      <c r="D67" s="12"/>
      <c r="G67" s="12"/>
    </row>
    <row r="68" spans="2:7">
      <c r="B68" s="8"/>
      <c r="C68" s="77"/>
      <c r="D68" s="12"/>
      <c r="G68" s="12"/>
    </row>
    <row r="69" spans="2:7">
      <c r="B69" s="8"/>
      <c r="C69" s="77"/>
      <c r="D69" s="12"/>
      <c r="G69" s="12"/>
    </row>
    <row r="70" spans="2:7">
      <c r="B70" s="8"/>
      <c r="C70" s="77"/>
      <c r="D70" s="12"/>
      <c r="G70" s="12"/>
    </row>
    <row r="71" spans="2:7">
      <c r="B71" s="8"/>
      <c r="C71" s="77"/>
      <c r="D71" s="12"/>
      <c r="G71" s="12"/>
    </row>
    <row r="72" spans="2:7">
      <c r="B72" s="8"/>
      <c r="C72" s="77"/>
      <c r="D72" s="12"/>
      <c r="G72" s="12"/>
    </row>
    <row r="73" spans="2:7">
      <c r="B73" s="8"/>
      <c r="C73" s="77"/>
      <c r="D73" s="12"/>
      <c r="G73" s="12"/>
    </row>
    <row r="74" spans="2:7">
      <c r="B74" s="8"/>
      <c r="C74" s="77"/>
      <c r="D74" s="12"/>
      <c r="G74" s="12"/>
    </row>
    <row r="75" spans="2:7">
      <c r="B75" s="8"/>
      <c r="C75" s="77"/>
      <c r="D75" s="12"/>
      <c r="G75" s="12"/>
    </row>
    <row r="76" spans="2:7">
      <c r="B76" s="8"/>
      <c r="C76" s="77"/>
      <c r="D76" s="12"/>
      <c r="G76" s="12"/>
    </row>
    <row r="77" spans="2:7">
      <c r="B77" s="8"/>
      <c r="C77" s="77"/>
      <c r="D77" s="12"/>
      <c r="G77" s="12"/>
    </row>
    <row r="78" spans="2:7">
      <c r="B78" s="8"/>
      <c r="C78" s="77"/>
      <c r="D78" s="12"/>
      <c r="G78" s="12"/>
    </row>
    <row r="79" spans="2:7">
      <c r="B79" s="8"/>
      <c r="C79" s="77"/>
      <c r="D79" s="12"/>
      <c r="G79" s="12"/>
    </row>
    <row r="80" spans="2:7">
      <c r="B80" s="8"/>
      <c r="C80" s="77"/>
      <c r="D80" s="12"/>
      <c r="G80" s="12"/>
    </row>
    <row r="81" spans="2:7">
      <c r="B81" s="8"/>
      <c r="C81" s="77"/>
      <c r="D81" s="12"/>
      <c r="G81" s="12"/>
    </row>
    <row r="82" spans="2:7">
      <c r="B82" s="8"/>
      <c r="C82" s="77"/>
      <c r="D82" s="12"/>
      <c r="G82" s="12"/>
    </row>
    <row r="83" spans="2:7">
      <c r="B83" s="8"/>
      <c r="C83" s="77"/>
      <c r="D83" s="12"/>
      <c r="G83" s="12"/>
    </row>
    <row r="84" spans="2:7">
      <c r="B84" s="8"/>
      <c r="C84" s="77"/>
      <c r="D84" s="12"/>
      <c r="G84" s="12"/>
    </row>
    <row r="85" spans="2:7">
      <c r="B85" s="8"/>
      <c r="C85" s="77"/>
      <c r="D85" s="12"/>
      <c r="G85" s="12"/>
    </row>
    <row r="86" spans="2:7">
      <c r="B86" s="8"/>
      <c r="C86" s="77"/>
      <c r="D86" s="12"/>
      <c r="G86" s="12"/>
    </row>
    <row r="87" spans="2:7">
      <c r="B87" s="8"/>
      <c r="C87" s="77"/>
      <c r="D87" s="12"/>
      <c r="G87" s="12"/>
    </row>
    <row r="88" spans="2:7">
      <c r="B88" s="8"/>
      <c r="C88" s="77"/>
      <c r="D88" s="12"/>
      <c r="G88" s="12"/>
    </row>
    <row r="89" spans="2:7">
      <c r="B89" s="8"/>
      <c r="C89" s="77"/>
      <c r="D89" s="12"/>
      <c r="G89" s="12"/>
    </row>
    <row r="90" spans="2:7">
      <c r="B90" s="8"/>
      <c r="C90" s="77"/>
      <c r="D90" s="12"/>
      <c r="G90" s="12"/>
    </row>
    <row r="91" spans="2:7">
      <c r="B91" s="8"/>
      <c r="C91" s="77"/>
      <c r="D91" s="12"/>
      <c r="G91" s="12"/>
    </row>
    <row r="92" spans="2:7">
      <c r="B92" s="8"/>
      <c r="C92" s="77"/>
      <c r="D92" s="12"/>
      <c r="G92" s="12"/>
    </row>
    <row r="93" spans="2:7">
      <c r="B93" s="8"/>
      <c r="C93" s="77"/>
      <c r="D93" s="12"/>
      <c r="G93" s="12"/>
    </row>
    <row r="94" spans="2:7">
      <c r="B94" s="8"/>
      <c r="C94" s="77"/>
      <c r="D94" s="12"/>
      <c r="G94" s="12"/>
    </row>
    <row r="95" spans="2:7">
      <c r="B95" s="8"/>
      <c r="C95" s="77"/>
      <c r="D95" s="12"/>
      <c r="G95" s="12"/>
    </row>
    <row r="96" spans="2:7">
      <c r="B96" s="8"/>
      <c r="C96" s="77"/>
      <c r="D96" s="12"/>
      <c r="G96" s="12"/>
    </row>
    <row r="97" spans="2:7">
      <c r="B97" s="8"/>
      <c r="C97" s="77"/>
      <c r="D97" s="12"/>
      <c r="G97" s="12"/>
    </row>
    <row r="98" spans="2:7">
      <c r="B98" s="8"/>
      <c r="C98" s="77"/>
      <c r="D98" s="12"/>
      <c r="G98" s="12"/>
    </row>
    <row r="99" spans="2:7">
      <c r="B99" s="8"/>
      <c r="C99" s="77"/>
      <c r="D99" s="12"/>
      <c r="G99" s="12"/>
    </row>
    <row r="100" spans="2:7">
      <c r="B100" s="8"/>
      <c r="C100" s="77"/>
      <c r="D100" s="12"/>
      <c r="G100" s="12"/>
    </row>
    <row r="101" spans="2:7">
      <c r="B101" s="8"/>
      <c r="C101" s="77"/>
      <c r="D101" s="12"/>
      <c r="G101" s="12"/>
    </row>
    <row r="102" spans="2:7">
      <c r="B102" s="8"/>
      <c r="C102" s="77"/>
      <c r="D102" s="12"/>
      <c r="G102" s="12"/>
    </row>
    <row r="103" spans="2:7">
      <c r="B103" s="8"/>
      <c r="C103" s="77"/>
      <c r="D103" s="12"/>
      <c r="G103" s="12"/>
    </row>
    <row r="104" spans="2:7">
      <c r="B104" s="8"/>
      <c r="C104" s="77"/>
      <c r="D104" s="12"/>
      <c r="G104" s="12"/>
    </row>
    <row r="105" spans="2:7">
      <c r="B105" s="8"/>
      <c r="C105" s="77"/>
      <c r="D105" s="12"/>
      <c r="G105" s="12"/>
    </row>
    <row r="106" spans="2:7">
      <c r="B106" s="8"/>
      <c r="C106" s="77"/>
      <c r="D106" s="12"/>
      <c r="G106" s="12"/>
    </row>
    <row r="107" spans="2:7">
      <c r="B107" s="8"/>
      <c r="C107" s="77"/>
      <c r="D107" s="12"/>
      <c r="G107" s="12"/>
    </row>
    <row r="108" spans="2:7">
      <c r="B108" s="8"/>
      <c r="C108" s="77"/>
      <c r="D108" s="12"/>
      <c r="G108" s="12"/>
    </row>
    <row r="109" spans="2:7">
      <c r="B109" s="8"/>
      <c r="C109" s="77"/>
      <c r="D109" s="12"/>
      <c r="G109" s="12"/>
    </row>
    <row r="110" spans="2:7">
      <c r="B110" s="8"/>
      <c r="C110" s="77"/>
      <c r="D110" s="12"/>
      <c r="G110" s="12"/>
    </row>
    <row r="111" spans="2:7">
      <c r="B111" s="8"/>
      <c r="C111" s="77"/>
      <c r="D111" s="12"/>
      <c r="G111" s="12"/>
    </row>
    <row r="112" spans="2:7">
      <c r="B112" s="8"/>
      <c r="C112" s="77"/>
      <c r="D112" s="12"/>
      <c r="G112" s="12"/>
    </row>
    <row r="113" spans="2:7">
      <c r="B113" s="8"/>
      <c r="C113" s="77"/>
      <c r="D113" s="12"/>
      <c r="G113" s="12"/>
    </row>
    <row r="114" spans="2:7">
      <c r="B114" s="8"/>
      <c r="C114" s="77"/>
      <c r="D114" s="12"/>
      <c r="G114" s="12"/>
    </row>
    <row r="115" spans="2:7">
      <c r="B115" s="8"/>
      <c r="C115" s="77"/>
      <c r="D115" s="12"/>
      <c r="G115" s="12"/>
    </row>
    <row r="116" spans="2:7">
      <c r="B116" s="8"/>
      <c r="C116" s="77"/>
      <c r="D116" s="12"/>
      <c r="G116" s="12"/>
    </row>
    <row r="117" spans="2:7">
      <c r="B117" s="8"/>
      <c r="C117" s="77"/>
      <c r="D117" s="12"/>
      <c r="G117" s="12"/>
    </row>
    <row r="118" spans="2:7">
      <c r="B118" s="8"/>
      <c r="C118" s="77"/>
      <c r="D118" s="12"/>
      <c r="G118" s="12"/>
    </row>
    <row r="119" spans="2:7">
      <c r="B119" s="8"/>
      <c r="C119" s="77"/>
      <c r="D119" s="12"/>
      <c r="G119" s="12"/>
    </row>
    <row r="120" spans="2:7">
      <c r="B120" s="8"/>
      <c r="C120" s="77"/>
      <c r="D120" s="12"/>
      <c r="G120" s="12"/>
    </row>
    <row r="121" spans="2:7">
      <c r="B121" s="8"/>
      <c r="C121" s="77"/>
      <c r="D121" s="12"/>
      <c r="G121" s="12"/>
    </row>
    <row r="122" spans="2:7">
      <c r="B122" s="8"/>
      <c r="C122" s="77"/>
      <c r="D122" s="12"/>
      <c r="G122" s="12"/>
    </row>
    <row r="123" spans="2:7">
      <c r="B123" s="8"/>
      <c r="C123" s="77"/>
      <c r="D123" s="12"/>
      <c r="G123" s="12"/>
    </row>
    <row r="124" spans="2:7">
      <c r="B124" s="8"/>
      <c r="C124" s="77"/>
      <c r="D124" s="12"/>
      <c r="G124" s="12"/>
    </row>
    <row r="125" spans="2:7">
      <c r="B125" s="8"/>
      <c r="C125" s="77"/>
      <c r="D125" s="12"/>
      <c r="G125" s="12"/>
    </row>
    <row r="126" spans="2:7">
      <c r="B126" s="8"/>
      <c r="C126" s="77"/>
      <c r="D126" s="12"/>
      <c r="G126" s="12"/>
    </row>
    <row r="127" spans="2:7">
      <c r="B127" s="8"/>
      <c r="C127" s="77"/>
      <c r="D127" s="12"/>
      <c r="G127" s="12"/>
    </row>
    <row r="128" spans="2:7">
      <c r="B128" s="8"/>
      <c r="C128" s="77"/>
      <c r="D128" s="12"/>
      <c r="G128" s="12"/>
    </row>
    <row r="129" spans="2:7">
      <c r="B129" s="8"/>
      <c r="C129" s="77"/>
      <c r="D129" s="12"/>
      <c r="G129" s="12"/>
    </row>
    <row r="130" spans="2:7">
      <c r="B130" s="8"/>
      <c r="C130" s="77"/>
      <c r="D130" s="12"/>
      <c r="G130" s="12"/>
    </row>
    <row r="131" spans="2:7">
      <c r="B131" s="8"/>
      <c r="C131" s="77"/>
      <c r="D131" s="12"/>
      <c r="G131" s="12"/>
    </row>
    <row r="132" spans="2:7">
      <c r="B132" s="8"/>
      <c r="C132" s="77"/>
      <c r="D132" s="12"/>
      <c r="G132" s="12"/>
    </row>
    <row r="133" spans="2:7">
      <c r="B133" s="8"/>
      <c r="C133" s="77"/>
      <c r="D133" s="12"/>
      <c r="G133" s="12"/>
    </row>
    <row r="134" spans="2:7">
      <c r="B134" s="8"/>
      <c r="C134" s="77"/>
      <c r="D134" s="12"/>
      <c r="G134" s="12"/>
    </row>
    <row r="135" spans="2:7">
      <c r="B135" s="8"/>
      <c r="C135" s="77"/>
      <c r="D135" s="12"/>
      <c r="G135" s="12"/>
    </row>
    <row r="136" spans="2:7">
      <c r="B136" s="8"/>
      <c r="C136" s="77"/>
      <c r="D136" s="12"/>
      <c r="G136" s="12"/>
    </row>
    <row r="137" spans="2:7">
      <c r="B137" s="8"/>
      <c r="C137" s="77"/>
      <c r="D137" s="12"/>
      <c r="G137" s="12"/>
    </row>
    <row r="138" spans="2:7">
      <c r="B138" s="8"/>
      <c r="C138" s="77"/>
      <c r="D138" s="12"/>
      <c r="G138" s="12"/>
    </row>
    <row r="139" spans="2:7">
      <c r="B139" s="8"/>
      <c r="C139" s="77"/>
      <c r="D139" s="12"/>
      <c r="G139" s="12"/>
    </row>
    <row r="140" spans="2:7">
      <c r="B140" s="8"/>
      <c r="C140" s="77"/>
      <c r="D140" s="12"/>
      <c r="G140" s="12"/>
    </row>
    <row r="141" spans="2:7">
      <c r="B141" s="8"/>
      <c r="C141" s="77"/>
      <c r="D141" s="12"/>
      <c r="G141" s="12"/>
    </row>
    <row r="142" spans="2:7">
      <c r="B142" s="8"/>
      <c r="C142" s="77"/>
      <c r="D142" s="12"/>
      <c r="G142" s="12"/>
    </row>
    <row r="143" spans="2:7">
      <c r="B143" s="8"/>
      <c r="C143" s="77"/>
      <c r="D143" s="12"/>
      <c r="G143" s="12"/>
    </row>
    <row r="144" spans="2:7">
      <c r="B144" s="8"/>
      <c r="C144" s="77"/>
      <c r="D144" s="12"/>
      <c r="G144" s="12"/>
    </row>
    <row r="145" spans="2:7">
      <c r="B145" s="8"/>
      <c r="C145" s="77"/>
      <c r="D145" s="12"/>
      <c r="G145" s="12"/>
    </row>
    <row r="146" spans="2:7">
      <c r="B146" s="8"/>
      <c r="C146" s="77"/>
      <c r="D146" s="12"/>
      <c r="G146" s="12"/>
    </row>
    <row r="147" spans="2:7">
      <c r="B147" s="8"/>
      <c r="C147" s="77"/>
      <c r="D147" s="12"/>
      <c r="G147" s="12"/>
    </row>
    <row r="148" spans="2:7">
      <c r="B148" s="8"/>
      <c r="C148" s="77"/>
      <c r="D148" s="12"/>
      <c r="G148" s="12"/>
    </row>
    <row r="149" spans="2:7">
      <c r="B149" s="8"/>
      <c r="C149" s="77"/>
      <c r="D149" s="12"/>
      <c r="G149" s="12"/>
    </row>
    <row r="150" spans="2:7">
      <c r="B150" s="8"/>
      <c r="C150" s="77"/>
      <c r="D150" s="12"/>
      <c r="G150" s="12"/>
    </row>
    <row r="151" spans="2:7">
      <c r="B151" s="8"/>
      <c r="C151" s="77"/>
      <c r="D151" s="12"/>
      <c r="G151" s="12"/>
    </row>
    <row r="152" spans="2:7">
      <c r="B152" s="8"/>
      <c r="C152" s="77"/>
      <c r="D152" s="12"/>
      <c r="G152" s="12"/>
    </row>
    <row r="153" spans="2:7">
      <c r="B153" s="8"/>
      <c r="C153" s="77"/>
      <c r="D153" s="12"/>
      <c r="G153" s="12"/>
    </row>
    <row r="154" spans="2:7">
      <c r="B154" s="8"/>
      <c r="C154" s="77"/>
      <c r="D154" s="12"/>
      <c r="G154" s="12"/>
    </row>
    <row r="155" spans="2:7">
      <c r="B155" s="8"/>
      <c r="C155" s="77"/>
      <c r="D155" s="12"/>
      <c r="G155" s="12"/>
    </row>
    <row r="156" spans="2:7">
      <c r="B156" s="8"/>
      <c r="C156" s="77"/>
      <c r="D156" s="12"/>
      <c r="G156" s="12"/>
    </row>
    <row r="157" spans="2:7">
      <c r="B157" s="8"/>
      <c r="C157" s="77"/>
      <c r="D157" s="12"/>
      <c r="G157" s="12"/>
    </row>
    <row r="158" spans="2:7">
      <c r="B158" s="8"/>
      <c r="C158" s="77"/>
      <c r="D158" s="12"/>
      <c r="G158" s="12"/>
    </row>
    <row r="159" spans="2:7">
      <c r="B159" s="8"/>
      <c r="C159" s="77"/>
      <c r="D159" s="12"/>
      <c r="G159" s="12"/>
    </row>
    <row r="160" spans="2:7">
      <c r="B160" s="8"/>
      <c r="C160" s="77"/>
      <c r="D160" s="12"/>
      <c r="G160" s="12"/>
    </row>
    <row r="161" spans="2:7">
      <c r="B161" s="8"/>
      <c r="C161" s="77"/>
      <c r="D161" s="12"/>
      <c r="G161" s="12"/>
    </row>
    <row r="162" spans="2:7">
      <c r="B162" s="8"/>
      <c r="C162" s="77"/>
      <c r="D162" s="12"/>
      <c r="G162" s="12"/>
    </row>
    <row r="163" spans="2:7">
      <c r="B163" s="8"/>
      <c r="C163" s="77"/>
      <c r="D163" s="12"/>
      <c r="G163" s="12"/>
    </row>
    <row r="164" spans="2:7">
      <c r="B164" s="8"/>
      <c r="C164" s="77"/>
      <c r="D164" s="12"/>
      <c r="G164" s="12"/>
    </row>
    <row r="165" spans="2:7">
      <c r="B165" s="8"/>
      <c r="C165" s="77"/>
      <c r="D165" s="12"/>
      <c r="G165" s="12"/>
    </row>
    <row r="166" spans="2:7">
      <c r="B166" s="8"/>
      <c r="C166" s="77"/>
      <c r="D166" s="12"/>
      <c r="G166" s="12"/>
    </row>
    <row r="167" spans="2:7">
      <c r="B167" s="8"/>
      <c r="C167" s="77"/>
      <c r="D167" s="12"/>
      <c r="G167" s="12"/>
    </row>
    <row r="168" spans="2:7">
      <c r="B168" s="8"/>
      <c r="C168" s="77"/>
      <c r="D168" s="12"/>
      <c r="G168" s="12"/>
    </row>
    <row r="169" spans="2:7">
      <c r="B169" s="8"/>
      <c r="C169" s="77"/>
      <c r="D169" s="12"/>
      <c r="G169" s="12"/>
    </row>
    <row r="170" spans="2:7">
      <c r="B170" s="8"/>
      <c r="C170" s="77"/>
      <c r="D170" s="12"/>
      <c r="G170" s="12"/>
    </row>
    <row r="171" spans="2:7">
      <c r="B171" s="8"/>
      <c r="C171" s="77"/>
      <c r="D171" s="12"/>
      <c r="G171" s="12"/>
    </row>
    <row r="172" spans="2:7">
      <c r="B172" s="8"/>
      <c r="C172" s="77"/>
      <c r="D172" s="12"/>
      <c r="G172" s="12"/>
    </row>
    <row r="173" spans="2:7">
      <c r="B173" s="8"/>
      <c r="C173" s="77"/>
      <c r="D173" s="12"/>
      <c r="G173" s="12"/>
    </row>
    <row r="174" spans="2:7">
      <c r="B174" s="8"/>
      <c r="C174" s="77"/>
      <c r="D174" s="12"/>
      <c r="G174" s="12"/>
    </row>
    <row r="175" spans="2:7">
      <c r="B175" s="8"/>
      <c r="C175" s="77"/>
      <c r="D175" s="12"/>
      <c r="G175" s="12"/>
    </row>
    <row r="176" spans="2:7">
      <c r="B176" s="8"/>
      <c r="C176" s="77"/>
      <c r="D176" s="12"/>
      <c r="G176" s="12"/>
    </row>
    <row r="177" spans="2:7">
      <c r="B177" s="8"/>
      <c r="C177" s="77"/>
      <c r="D177" s="12"/>
      <c r="G177" s="12"/>
    </row>
    <row r="178" spans="2:7">
      <c r="B178" s="8"/>
      <c r="C178" s="77"/>
      <c r="D178" s="12"/>
      <c r="G178" s="12"/>
    </row>
    <row r="179" spans="2:7">
      <c r="B179" s="8"/>
      <c r="C179" s="77"/>
      <c r="D179" s="12"/>
      <c r="G179" s="12"/>
    </row>
    <row r="180" spans="2:7">
      <c r="B180" s="8"/>
      <c r="C180" s="77"/>
      <c r="D180" s="12"/>
      <c r="G180" s="12"/>
    </row>
    <row r="181" spans="2:7">
      <c r="B181" s="8"/>
      <c r="C181" s="77"/>
      <c r="D181" s="12"/>
      <c r="G181" s="12"/>
    </row>
    <row r="182" spans="2:7">
      <c r="B182" s="8"/>
      <c r="C182" s="77"/>
      <c r="D182" s="12"/>
      <c r="G182" s="12"/>
    </row>
    <row r="183" spans="2:7">
      <c r="B183" s="8"/>
      <c r="C183" s="77"/>
      <c r="D183" s="12"/>
      <c r="G183" s="12"/>
    </row>
    <row r="184" spans="2:7">
      <c r="B184" s="8"/>
      <c r="C184" s="77"/>
      <c r="D184" s="12"/>
      <c r="G184" s="12"/>
    </row>
    <row r="185" spans="2:7">
      <c r="B185" s="8"/>
      <c r="C185" s="77"/>
      <c r="D185" s="12"/>
      <c r="G185" s="12"/>
    </row>
    <row r="186" spans="2:7">
      <c r="B186" s="8"/>
      <c r="C186" s="77"/>
      <c r="D186" s="12"/>
      <c r="G186" s="12"/>
    </row>
    <row r="187" spans="2:7">
      <c r="B187" s="8"/>
      <c r="C187" s="77"/>
      <c r="D187" s="12"/>
      <c r="G187" s="12"/>
    </row>
    <row r="188" spans="2:7">
      <c r="B188" s="8"/>
      <c r="C188" s="77"/>
      <c r="D188" s="12"/>
      <c r="G188" s="12"/>
    </row>
    <row r="189" spans="2:7">
      <c r="B189" s="8"/>
      <c r="C189" s="77"/>
      <c r="D189" s="12"/>
      <c r="G189" s="12"/>
    </row>
    <row r="190" spans="2:7">
      <c r="B190" s="8"/>
      <c r="C190" s="77"/>
      <c r="D190" s="12"/>
      <c r="G190" s="12"/>
    </row>
    <row r="191" spans="2:7">
      <c r="B191" s="8"/>
      <c r="C191" s="77"/>
      <c r="D191" s="12"/>
      <c r="G191" s="12"/>
    </row>
    <row r="192" spans="2:7">
      <c r="B192" s="8"/>
      <c r="C192" s="77"/>
      <c r="D192" s="12"/>
      <c r="G192" s="12"/>
    </row>
    <row r="193" spans="2:7">
      <c r="B193" s="8"/>
      <c r="C193" s="77"/>
      <c r="D193" s="12"/>
      <c r="G193" s="12"/>
    </row>
    <row r="194" spans="2:7">
      <c r="B194" s="8"/>
      <c r="C194" s="77"/>
      <c r="D194" s="12"/>
      <c r="G194" s="12"/>
    </row>
    <row r="195" spans="2:7">
      <c r="B195" s="8"/>
      <c r="C195" s="77"/>
      <c r="D195" s="12"/>
      <c r="G195" s="12"/>
    </row>
    <row r="196" spans="2:7">
      <c r="B196" s="8"/>
      <c r="C196" s="77"/>
      <c r="D196" s="12"/>
      <c r="G196" s="12"/>
    </row>
    <row r="197" spans="2:7">
      <c r="B197" s="8"/>
      <c r="C197" s="77"/>
      <c r="D197" s="12"/>
      <c r="G197" s="12"/>
    </row>
    <row r="198" spans="2:7">
      <c r="B198" s="8"/>
      <c r="C198" s="77"/>
      <c r="D198" s="12"/>
      <c r="G198" s="12"/>
    </row>
    <row r="199" spans="2:7">
      <c r="B199" s="8"/>
      <c r="C199" s="77"/>
      <c r="D199" s="12"/>
      <c r="G199" s="12"/>
    </row>
    <row r="200" spans="2:7">
      <c r="B200" s="8"/>
      <c r="C200" s="77"/>
      <c r="D200" s="12"/>
      <c r="G200" s="12"/>
    </row>
    <row r="201" spans="2:7">
      <c r="B201" s="8"/>
      <c r="C201" s="77"/>
      <c r="D201" s="12"/>
      <c r="G201" s="12"/>
    </row>
    <row r="202" spans="2:7">
      <c r="B202" s="8"/>
      <c r="C202" s="77"/>
      <c r="D202" s="12"/>
      <c r="G202" s="12"/>
    </row>
    <row r="203" spans="2:7">
      <c r="B203" s="8"/>
      <c r="C203" s="77"/>
      <c r="D203" s="12"/>
      <c r="G203" s="12"/>
    </row>
    <row r="204" spans="2:7">
      <c r="B204" s="8"/>
      <c r="C204" s="77"/>
      <c r="D204" s="12"/>
      <c r="G204" s="12"/>
    </row>
    <row r="205" spans="2:7">
      <c r="B205" s="8"/>
      <c r="C205" s="77"/>
      <c r="D205" s="12"/>
      <c r="G205" s="12"/>
    </row>
    <row r="206" spans="2:7">
      <c r="B206" s="8"/>
      <c r="C206" s="77"/>
      <c r="D206" s="12"/>
      <c r="G206" s="12"/>
    </row>
    <row r="207" spans="2:7">
      <c r="B207" s="8"/>
      <c r="C207" s="77"/>
      <c r="D207" s="12"/>
      <c r="G207" s="12"/>
    </row>
    <row r="208" spans="2:7">
      <c r="B208" s="8"/>
      <c r="C208" s="77"/>
      <c r="D208" s="12"/>
      <c r="G208" s="12"/>
    </row>
    <row r="209" spans="2:7">
      <c r="B209" s="8"/>
      <c r="C209" s="77"/>
      <c r="D209" s="12"/>
      <c r="G209" s="12"/>
    </row>
    <row r="210" spans="2:7">
      <c r="B210" s="8"/>
      <c r="C210" s="77"/>
      <c r="D210" s="12"/>
      <c r="G210" s="12"/>
    </row>
    <row r="211" spans="2:7">
      <c r="B211" s="8"/>
      <c r="C211" s="77"/>
      <c r="D211" s="12"/>
      <c r="G211" s="12"/>
    </row>
    <row r="212" spans="2:7">
      <c r="B212" s="8"/>
      <c r="C212" s="77"/>
      <c r="D212" s="12"/>
      <c r="G212" s="12"/>
    </row>
    <row r="213" spans="2:7">
      <c r="B213" s="8"/>
      <c r="C213" s="77"/>
      <c r="D213" s="12"/>
      <c r="G213" s="12"/>
    </row>
    <row r="214" spans="2:7">
      <c r="B214" s="8"/>
      <c r="C214" s="77"/>
      <c r="D214" s="12"/>
      <c r="G214" s="12"/>
    </row>
    <row r="215" spans="2:7">
      <c r="B215" s="8"/>
      <c r="C215" s="77"/>
      <c r="D215" s="12"/>
      <c r="G215" s="12"/>
    </row>
    <row r="216" spans="2:7">
      <c r="B216" s="8"/>
      <c r="C216" s="77"/>
      <c r="D216" s="12"/>
      <c r="G216" s="12"/>
    </row>
    <row r="217" spans="2:7">
      <c r="B217" s="8"/>
      <c r="C217" s="77"/>
      <c r="D217" s="12"/>
      <c r="G217" s="12"/>
    </row>
    <row r="218" spans="2:7">
      <c r="B218" s="8"/>
      <c r="C218" s="77"/>
      <c r="D218" s="12"/>
      <c r="G218" s="12"/>
    </row>
    <row r="219" spans="2:7">
      <c r="B219" s="8"/>
      <c r="C219" s="77"/>
      <c r="D219" s="12"/>
      <c r="G219" s="12"/>
    </row>
    <row r="220" spans="2:7">
      <c r="B220" s="8"/>
      <c r="C220" s="77"/>
      <c r="D220" s="12"/>
      <c r="G220" s="12"/>
    </row>
    <row r="221" spans="2:7">
      <c r="B221" s="8"/>
      <c r="C221" s="77"/>
      <c r="D221" s="12"/>
      <c r="G221" s="12"/>
    </row>
    <row r="222" spans="2:7">
      <c r="B222" s="8"/>
      <c r="C222" s="77"/>
      <c r="D222" s="12"/>
      <c r="G222" s="12"/>
    </row>
    <row r="223" spans="2:7">
      <c r="B223" s="8"/>
      <c r="C223" s="77"/>
      <c r="D223" s="12"/>
      <c r="G223" s="12"/>
    </row>
    <row r="224" spans="2:7">
      <c r="B224" s="8"/>
      <c r="C224" s="77"/>
      <c r="D224" s="12"/>
      <c r="G224" s="12"/>
    </row>
    <row r="225" spans="2:7">
      <c r="B225" s="8"/>
      <c r="C225" s="77"/>
      <c r="D225" s="12"/>
      <c r="G225" s="12"/>
    </row>
    <row r="226" spans="2:7">
      <c r="B226" s="8"/>
      <c r="C226" s="77"/>
      <c r="D226" s="12"/>
      <c r="G226" s="12"/>
    </row>
    <row r="227" spans="2:7">
      <c r="B227" s="8"/>
      <c r="C227" s="77"/>
      <c r="D227" s="12"/>
      <c r="G227" s="12"/>
    </row>
    <row r="228" spans="2:7">
      <c r="B228" s="8"/>
      <c r="C228" s="77"/>
      <c r="D228" s="12"/>
      <c r="G228" s="12"/>
    </row>
    <row r="229" spans="2:7">
      <c r="B229" s="8"/>
      <c r="C229" s="77"/>
      <c r="D229" s="12"/>
      <c r="G229" s="12"/>
    </row>
    <row r="230" spans="2:7">
      <c r="B230" s="8"/>
      <c r="C230" s="77"/>
      <c r="D230" s="12"/>
      <c r="G230" s="12"/>
    </row>
    <row r="231" spans="2:7">
      <c r="B231" s="8"/>
      <c r="C231" s="77"/>
      <c r="D231" s="12"/>
      <c r="G231" s="12"/>
    </row>
    <row r="232" spans="2:7">
      <c r="B232" s="8"/>
      <c r="C232" s="77"/>
      <c r="D232" s="12"/>
      <c r="G232" s="12"/>
    </row>
    <row r="233" spans="2:7">
      <c r="B233" s="8"/>
      <c r="C233" s="77"/>
      <c r="D233" s="12"/>
      <c r="G233" s="12"/>
    </row>
    <row r="234" spans="2:7">
      <c r="B234" s="8"/>
      <c r="C234" s="77"/>
      <c r="D234" s="12"/>
      <c r="G234" s="12"/>
    </row>
    <row r="235" spans="2:7">
      <c r="B235" s="8"/>
      <c r="C235" s="77"/>
      <c r="D235" s="12"/>
      <c r="G235" s="12"/>
    </row>
    <row r="236" spans="2:7">
      <c r="B236" s="8"/>
      <c r="C236" s="77"/>
      <c r="D236" s="12"/>
      <c r="G236" s="12"/>
    </row>
    <row r="237" spans="2:7">
      <c r="B237" s="8"/>
      <c r="C237" s="77"/>
      <c r="D237" s="12"/>
      <c r="G237" s="12"/>
    </row>
    <row r="238" spans="2:7">
      <c r="B238" s="8"/>
      <c r="C238" s="77"/>
      <c r="D238" s="12"/>
      <c r="G238" s="12"/>
    </row>
    <row r="239" spans="2:7">
      <c r="B239" s="8"/>
      <c r="C239" s="77"/>
      <c r="D239" s="12"/>
      <c r="G239" s="12"/>
    </row>
    <row r="240" spans="2:7">
      <c r="B240" s="8"/>
      <c r="C240" s="77"/>
      <c r="D240" s="12"/>
      <c r="G240" s="12"/>
    </row>
    <row r="241" spans="2:7">
      <c r="B241" s="8"/>
      <c r="C241" s="77"/>
      <c r="D241" s="12"/>
      <c r="G241" s="12"/>
    </row>
    <row r="242" spans="2:7">
      <c r="B242" s="8"/>
      <c r="C242" s="77"/>
      <c r="D242" s="12"/>
      <c r="G242" s="12"/>
    </row>
    <row r="243" spans="2:7">
      <c r="B243" s="8"/>
      <c r="C243" s="77"/>
      <c r="D243" s="12"/>
      <c r="G243" s="12"/>
    </row>
    <row r="244" spans="2:7">
      <c r="B244" s="8"/>
      <c r="C244" s="77"/>
      <c r="D244" s="12"/>
      <c r="G244" s="12"/>
    </row>
    <row r="245" spans="2:7">
      <c r="B245" s="8"/>
      <c r="C245" s="77"/>
      <c r="D245" s="12"/>
      <c r="G245" s="12"/>
    </row>
    <row r="246" spans="2:7">
      <c r="B246" s="8"/>
      <c r="C246" s="77"/>
      <c r="D246" s="12"/>
      <c r="G246" s="12"/>
    </row>
    <row r="247" spans="2:7">
      <c r="B247" s="8"/>
      <c r="C247" s="77"/>
      <c r="D247" s="12"/>
      <c r="G247" s="12"/>
    </row>
    <row r="248" spans="2:7">
      <c r="B248" s="8"/>
      <c r="C248" s="77"/>
      <c r="D248" s="12"/>
      <c r="G248" s="12"/>
    </row>
    <row r="249" spans="2:7">
      <c r="B249" s="8"/>
      <c r="C249" s="77"/>
      <c r="D249" s="12"/>
      <c r="G249" s="12"/>
    </row>
    <row r="250" spans="2:7">
      <c r="B250" s="8"/>
      <c r="C250" s="77"/>
      <c r="D250" s="12"/>
      <c r="G250" s="12"/>
    </row>
    <row r="251" spans="2:7">
      <c r="B251" s="8"/>
      <c r="C251" s="77"/>
      <c r="D251" s="12"/>
      <c r="G251" s="12"/>
    </row>
    <row r="252" spans="2:7">
      <c r="B252" s="8"/>
      <c r="C252" s="77"/>
      <c r="D252" s="12"/>
      <c r="G252" s="12"/>
    </row>
    <row r="253" spans="2:7">
      <c r="B253" s="8"/>
      <c r="C253" s="77"/>
      <c r="D253" s="12"/>
      <c r="G253" s="12"/>
    </row>
    <row r="254" spans="2:7">
      <c r="B254" s="8"/>
      <c r="C254" s="77"/>
      <c r="D254" s="12"/>
      <c r="G254" s="12"/>
    </row>
    <row r="255" spans="2:7">
      <c r="B255" s="8"/>
      <c r="C255" s="77"/>
      <c r="D255" s="12"/>
      <c r="G255" s="12"/>
    </row>
    <row r="256" spans="2:7">
      <c r="B256" s="8"/>
      <c r="C256" s="77"/>
      <c r="D256" s="12"/>
      <c r="G256" s="12"/>
    </row>
    <row r="257" spans="2:7">
      <c r="B257" s="8"/>
      <c r="C257" s="77"/>
      <c r="D257" s="12"/>
      <c r="G257" s="12"/>
    </row>
    <row r="258" spans="2:7">
      <c r="B258" s="8"/>
      <c r="C258" s="77"/>
      <c r="D258" s="12"/>
      <c r="G258" s="12"/>
    </row>
    <row r="259" spans="2:7">
      <c r="B259" s="8"/>
      <c r="C259" s="77"/>
      <c r="D259" s="12"/>
      <c r="G259" s="12"/>
    </row>
    <row r="260" spans="2:7">
      <c r="B260" s="8"/>
      <c r="C260" s="77"/>
      <c r="D260" s="12"/>
      <c r="G260" s="12"/>
    </row>
    <row r="261" spans="2:7">
      <c r="B261" s="8"/>
      <c r="C261" s="77"/>
      <c r="D261" s="12"/>
      <c r="G261" s="12"/>
    </row>
    <row r="262" spans="2:7">
      <c r="B262" s="8"/>
      <c r="C262" s="77"/>
      <c r="D262" s="12"/>
      <c r="G262" s="12"/>
    </row>
    <row r="263" spans="2:7">
      <c r="B263" s="8"/>
      <c r="C263" s="77"/>
      <c r="D263" s="12"/>
      <c r="G263" s="12"/>
    </row>
    <row r="264" spans="2:7">
      <c r="B264" s="8"/>
      <c r="C264" s="77"/>
      <c r="D264" s="12"/>
      <c r="G264" s="12"/>
    </row>
    <row r="265" spans="2:7">
      <c r="B265" s="8"/>
      <c r="C265" s="77"/>
      <c r="D265" s="12"/>
      <c r="G265" s="12"/>
    </row>
    <row r="266" spans="2:7">
      <c r="B266" s="8"/>
      <c r="C266" s="77"/>
      <c r="D266" s="12"/>
      <c r="G266" s="12"/>
    </row>
    <row r="267" spans="2:7">
      <c r="B267" s="8"/>
      <c r="C267" s="77"/>
      <c r="D267" s="12"/>
      <c r="G267" s="12"/>
    </row>
    <row r="268" spans="2:7">
      <c r="B268" s="8"/>
      <c r="C268" s="77"/>
      <c r="D268" s="12"/>
      <c r="G268" s="12"/>
    </row>
    <row r="269" spans="2:7">
      <c r="B269" s="8"/>
      <c r="C269" s="77"/>
      <c r="D269" s="12"/>
      <c r="G269" s="12"/>
    </row>
    <row r="270" spans="2:7">
      <c r="B270" s="8"/>
      <c r="C270" s="77"/>
      <c r="D270" s="12"/>
      <c r="G270" s="12"/>
    </row>
    <row r="271" spans="2:7">
      <c r="B271" s="8"/>
      <c r="C271" s="77"/>
      <c r="D271" s="12"/>
      <c r="G271" s="12"/>
    </row>
    <row r="272" spans="2:7">
      <c r="B272" s="8"/>
      <c r="C272" s="77"/>
      <c r="D272" s="12"/>
      <c r="G272" s="12"/>
    </row>
    <row r="273" spans="2:7">
      <c r="B273" s="8"/>
      <c r="C273" s="77"/>
      <c r="D273" s="12"/>
      <c r="G273" s="12"/>
    </row>
    <row r="274" spans="2:7">
      <c r="B274" s="8"/>
      <c r="C274" s="77"/>
      <c r="D274" s="12"/>
      <c r="G274" s="12"/>
    </row>
    <row r="275" spans="2:7">
      <c r="B275" s="8"/>
      <c r="C275" s="77"/>
      <c r="D275" s="12"/>
      <c r="G275" s="12"/>
    </row>
    <row r="276" spans="2:7">
      <c r="B276" s="8"/>
      <c r="C276" s="77"/>
      <c r="D276" s="12"/>
      <c r="G276" s="12"/>
    </row>
    <row r="277" spans="2:7">
      <c r="B277" s="8"/>
      <c r="C277" s="77"/>
      <c r="D277" s="12"/>
      <c r="G277" s="12"/>
    </row>
    <row r="278" spans="2:7">
      <c r="B278" s="8"/>
      <c r="C278" s="77"/>
      <c r="D278" s="12"/>
      <c r="G278" s="12"/>
    </row>
    <row r="279" spans="2:7">
      <c r="B279" s="8"/>
      <c r="C279" s="77"/>
      <c r="D279" s="12"/>
      <c r="G279" s="12"/>
    </row>
    <row r="280" spans="2:7">
      <c r="B280" s="8"/>
      <c r="C280" s="77"/>
      <c r="D280" s="12"/>
      <c r="G280" s="12"/>
    </row>
    <row r="281" spans="2:7">
      <c r="B281" s="8"/>
      <c r="C281" s="77"/>
      <c r="D281" s="12"/>
      <c r="G281" s="12"/>
    </row>
    <row r="282" spans="2:7">
      <c r="B282" s="8"/>
      <c r="C282" s="77"/>
      <c r="D282" s="12"/>
      <c r="G282" s="12"/>
    </row>
    <row r="283" spans="2:7">
      <c r="B283" s="8"/>
      <c r="C283" s="77"/>
      <c r="D283" s="12"/>
      <c r="G283" s="12"/>
    </row>
    <row r="284" spans="2:7">
      <c r="B284" s="8"/>
      <c r="C284" s="77"/>
      <c r="D284" s="12"/>
      <c r="G284" s="12"/>
    </row>
    <row r="285" spans="2:7">
      <c r="B285" s="8"/>
      <c r="C285" s="77"/>
      <c r="D285" s="12"/>
      <c r="G285" s="12"/>
    </row>
    <row r="286" spans="2:7">
      <c r="B286" s="8"/>
      <c r="C286" s="77"/>
      <c r="D286" s="12"/>
      <c r="G286" s="12"/>
    </row>
    <row r="287" spans="2:7">
      <c r="B287" s="8"/>
      <c r="C287" s="77"/>
      <c r="D287" s="12"/>
      <c r="G287" s="12"/>
    </row>
    <row r="288" spans="2:7">
      <c r="B288" s="8"/>
      <c r="C288" s="77"/>
      <c r="D288" s="12"/>
      <c r="G288" s="12"/>
    </row>
    <row r="289" spans="2:7">
      <c r="B289" s="8"/>
      <c r="C289" s="77"/>
      <c r="D289" s="12"/>
      <c r="G289" s="12"/>
    </row>
    <row r="290" spans="2:7">
      <c r="B290" s="8"/>
      <c r="C290" s="77"/>
      <c r="D290" s="12"/>
      <c r="G290" s="12"/>
    </row>
    <row r="291" spans="2:7">
      <c r="B291" s="8"/>
      <c r="C291" s="77"/>
      <c r="D291" s="12"/>
      <c r="G291" s="12"/>
    </row>
    <row r="292" spans="2:7">
      <c r="B292" s="8"/>
      <c r="C292" s="77"/>
      <c r="D292" s="12"/>
      <c r="G292" s="12"/>
    </row>
    <row r="293" spans="2:7">
      <c r="B293" s="8"/>
      <c r="C293" s="77"/>
      <c r="D293" s="12"/>
      <c r="G293" s="12"/>
    </row>
    <row r="294" spans="2:7">
      <c r="B294" s="8"/>
      <c r="C294" s="77"/>
      <c r="D294" s="12"/>
      <c r="G294" s="12"/>
    </row>
    <row r="295" spans="2:7">
      <c r="B295" s="8"/>
      <c r="C295" s="77"/>
      <c r="D295" s="12"/>
      <c r="G295" s="12"/>
    </row>
    <row r="296" spans="2:7">
      <c r="B296" s="8"/>
      <c r="C296" s="77"/>
      <c r="D296" s="12"/>
      <c r="G296" s="12"/>
    </row>
    <row r="297" spans="2:7">
      <c r="B297" s="8"/>
      <c r="C297" s="77"/>
      <c r="D297" s="12"/>
      <c r="G297" s="12"/>
    </row>
    <row r="298" spans="2:7">
      <c r="B298" s="8"/>
      <c r="C298" s="77"/>
      <c r="D298" s="12"/>
      <c r="G298" s="12"/>
    </row>
    <row r="299" spans="2:7">
      <c r="B299" s="8"/>
      <c r="C299" s="77"/>
      <c r="D299" s="12"/>
      <c r="G299" s="12"/>
    </row>
    <row r="300" spans="2:7">
      <c r="B300" s="8"/>
      <c r="C300" s="77"/>
      <c r="D300" s="12"/>
      <c r="G300" s="12"/>
    </row>
    <row r="301" spans="2:7">
      <c r="B301" s="8"/>
      <c r="C301" s="77"/>
      <c r="D301" s="12"/>
      <c r="G301" s="12"/>
    </row>
    <row r="302" spans="2:7">
      <c r="B302" s="8"/>
      <c r="C302" s="77"/>
      <c r="D302" s="12"/>
      <c r="G302" s="12"/>
    </row>
    <row r="303" spans="2:7">
      <c r="B303" s="8"/>
      <c r="C303" s="77"/>
      <c r="D303" s="12"/>
      <c r="G303" s="12"/>
    </row>
    <row r="304" spans="2:7">
      <c r="B304" s="8"/>
      <c r="C304" s="77"/>
      <c r="D304" s="12"/>
      <c r="G304" s="12"/>
    </row>
    <row r="305" spans="2:7">
      <c r="B305" s="8"/>
      <c r="C305" s="77"/>
      <c r="D305" s="12"/>
      <c r="G305" s="12"/>
    </row>
    <row r="306" spans="2:7">
      <c r="B306" s="8"/>
      <c r="C306" s="77"/>
      <c r="D306" s="12"/>
      <c r="G306" s="12"/>
    </row>
    <row r="307" spans="2:7">
      <c r="B307" s="8"/>
      <c r="C307" s="77"/>
      <c r="D307" s="12"/>
      <c r="G307" s="12"/>
    </row>
    <row r="308" spans="2:7">
      <c r="B308" s="8"/>
      <c r="C308" s="77"/>
      <c r="D308" s="12"/>
      <c r="G308" s="12"/>
    </row>
    <row r="309" spans="2:7">
      <c r="B309" s="8"/>
      <c r="C309" s="77"/>
      <c r="D309" s="12"/>
      <c r="G309" s="12"/>
    </row>
    <row r="310" spans="2:7">
      <c r="B310" s="8"/>
      <c r="C310" s="77"/>
      <c r="D310" s="12"/>
      <c r="G310" s="12"/>
    </row>
    <row r="311" spans="2:7">
      <c r="B311" s="8"/>
      <c r="C311" s="77"/>
      <c r="D311" s="12"/>
      <c r="G311" s="12"/>
    </row>
    <row r="312" spans="2:7">
      <c r="B312" s="8"/>
      <c r="C312" s="77"/>
      <c r="D312" s="12"/>
      <c r="G312" s="12"/>
    </row>
    <row r="313" spans="2:7">
      <c r="B313" s="8"/>
      <c r="C313" s="77"/>
      <c r="D313" s="12"/>
      <c r="G313" s="12"/>
    </row>
    <row r="314" spans="2:7">
      <c r="B314" s="8"/>
      <c r="C314" s="77"/>
      <c r="D314" s="12"/>
      <c r="G314" s="12"/>
    </row>
    <row r="315" spans="2:7">
      <c r="B315" s="8"/>
      <c r="C315" s="77"/>
      <c r="D315" s="12"/>
      <c r="G315" s="12"/>
    </row>
    <row r="316" spans="2:7">
      <c r="B316" s="8"/>
      <c r="C316" s="77"/>
      <c r="D316" s="12"/>
      <c r="G316" s="12"/>
    </row>
    <row r="317" spans="2:7">
      <c r="B317" s="8"/>
      <c r="C317" s="77"/>
      <c r="D317" s="12"/>
      <c r="G317" s="12"/>
    </row>
    <row r="318" spans="2:7">
      <c r="B318" s="8"/>
      <c r="C318" s="77"/>
      <c r="D318" s="12"/>
      <c r="G318" s="12"/>
    </row>
    <row r="319" spans="2:7">
      <c r="B319" s="8"/>
      <c r="C319" s="77"/>
      <c r="D319" s="12"/>
      <c r="G319" s="12"/>
    </row>
    <row r="320" spans="2:7">
      <c r="B320" s="8"/>
      <c r="C320" s="77"/>
      <c r="D320" s="12"/>
      <c r="G320" s="12"/>
    </row>
    <row r="321" spans="2:7">
      <c r="B321" s="8"/>
      <c r="C321" s="77"/>
      <c r="D321" s="12"/>
      <c r="G321" s="12"/>
    </row>
    <row r="322" spans="2:7">
      <c r="B322" s="8"/>
      <c r="C322" s="77"/>
      <c r="D322" s="12"/>
      <c r="G322" s="12"/>
    </row>
    <row r="323" spans="2:7">
      <c r="B323" s="8"/>
      <c r="C323" s="77"/>
      <c r="D323" s="12"/>
      <c r="G323" s="12"/>
    </row>
    <row r="324" spans="2:7">
      <c r="B324" s="8"/>
      <c r="C324" s="77"/>
      <c r="D324" s="12"/>
      <c r="G324" s="12"/>
    </row>
    <row r="325" spans="2:7">
      <c r="B325" s="8"/>
      <c r="C325" s="77"/>
      <c r="D325" s="12"/>
      <c r="G325" s="12"/>
    </row>
    <row r="326" spans="2:7">
      <c r="B326" s="8"/>
      <c r="C326" s="77"/>
      <c r="D326" s="12"/>
      <c r="G326" s="12"/>
    </row>
    <row r="327" spans="2:7">
      <c r="B327" s="8"/>
      <c r="C327" s="77"/>
      <c r="D327" s="12"/>
      <c r="G327" s="12"/>
    </row>
    <row r="328" spans="2:7">
      <c r="B328" s="8"/>
      <c r="C328" s="77"/>
      <c r="D328" s="12"/>
      <c r="G328" s="12"/>
    </row>
    <row r="329" spans="2:7">
      <c r="B329" s="8"/>
      <c r="C329" s="77"/>
      <c r="D329" s="12"/>
      <c r="G329" s="12"/>
    </row>
    <row r="330" spans="2:7">
      <c r="B330" s="8"/>
      <c r="C330" s="77"/>
      <c r="D330" s="12"/>
      <c r="G330" s="12"/>
    </row>
    <row r="331" spans="2:7">
      <c r="B331" s="8"/>
      <c r="C331" s="77"/>
      <c r="D331" s="12"/>
      <c r="G331" s="12"/>
    </row>
    <row r="332" spans="2:7">
      <c r="B332" s="8"/>
      <c r="C332" s="77"/>
      <c r="D332" s="12"/>
      <c r="G332" s="12"/>
    </row>
    <row r="333" spans="2:7">
      <c r="B333" s="8"/>
      <c r="C333" s="77"/>
      <c r="D333" s="12"/>
      <c r="G333" s="12"/>
    </row>
    <row r="334" spans="2:7">
      <c r="B334" s="8"/>
      <c r="C334" s="77"/>
      <c r="D334" s="12"/>
      <c r="G334" s="12"/>
    </row>
    <row r="335" spans="2:7">
      <c r="B335" s="8"/>
      <c r="C335" s="77"/>
      <c r="D335" s="12"/>
      <c r="G335" s="12"/>
    </row>
    <row r="336" spans="2:7">
      <c r="B336" s="8"/>
      <c r="C336" s="77"/>
      <c r="D336" s="12"/>
      <c r="G336" s="12"/>
    </row>
    <row r="337" spans="2:7">
      <c r="B337" s="8"/>
      <c r="C337" s="77"/>
      <c r="D337" s="12"/>
      <c r="G337" s="12"/>
    </row>
    <row r="338" spans="2:7">
      <c r="B338" s="8"/>
      <c r="C338" s="77"/>
      <c r="D338" s="12"/>
      <c r="G338" s="12"/>
    </row>
    <row r="339" spans="2:7">
      <c r="B339" s="8"/>
      <c r="C339" s="77"/>
      <c r="D339" s="12"/>
      <c r="G339" s="12"/>
    </row>
    <row r="340" spans="2:7">
      <c r="B340" s="8"/>
      <c r="C340" s="77"/>
      <c r="D340" s="12"/>
      <c r="G340" s="12"/>
    </row>
    <row r="341" spans="2:7">
      <c r="B341" s="8"/>
      <c r="C341" s="77"/>
      <c r="D341" s="12"/>
      <c r="G341" s="12"/>
    </row>
    <row r="342" spans="2:7">
      <c r="B342" s="8"/>
      <c r="C342" s="77"/>
      <c r="D342" s="12"/>
      <c r="G342" s="12"/>
    </row>
    <row r="343" spans="2:7">
      <c r="B343" s="8"/>
      <c r="C343" s="77"/>
      <c r="D343" s="12"/>
      <c r="G343" s="12"/>
    </row>
    <row r="344" spans="2:7">
      <c r="B344" s="8"/>
      <c r="C344" s="77"/>
      <c r="D344" s="12"/>
      <c r="G344" s="12"/>
    </row>
    <row r="345" spans="2:7">
      <c r="B345" s="8"/>
      <c r="C345" s="77"/>
      <c r="D345" s="12"/>
      <c r="G345" s="12"/>
    </row>
    <row r="346" spans="2:7">
      <c r="B346" s="8"/>
      <c r="C346" s="77"/>
      <c r="D346" s="12"/>
      <c r="G346" s="12"/>
    </row>
    <row r="347" spans="2:7">
      <c r="B347" s="8"/>
      <c r="C347" s="77"/>
      <c r="D347" s="12"/>
      <c r="G347" s="12"/>
    </row>
    <row r="348" spans="2:7">
      <c r="B348" s="8"/>
      <c r="C348" s="77"/>
      <c r="D348" s="12"/>
      <c r="G348" s="12"/>
    </row>
    <row r="349" spans="2:7">
      <c r="B349" s="8"/>
      <c r="C349" s="77"/>
      <c r="D349" s="12"/>
      <c r="G349" s="12"/>
    </row>
    <row r="350" spans="2:7">
      <c r="B350" s="8"/>
      <c r="C350" s="77"/>
      <c r="D350" s="12"/>
      <c r="G350" s="12"/>
    </row>
    <row r="351" spans="2:7">
      <c r="B351" s="8"/>
      <c r="C351" s="77"/>
      <c r="D351" s="12"/>
      <c r="G351" s="12"/>
    </row>
    <row r="352" spans="2:7">
      <c r="B352" s="8"/>
      <c r="C352" s="77"/>
      <c r="D352" s="12"/>
      <c r="G352" s="12"/>
    </row>
    <row r="353" spans="2:7">
      <c r="B353" s="8"/>
      <c r="C353" s="77"/>
      <c r="D353" s="12"/>
      <c r="G353" s="12"/>
    </row>
    <row r="354" spans="2:7">
      <c r="B354" s="8"/>
      <c r="C354" s="77"/>
      <c r="D354" s="12"/>
      <c r="G354" s="12"/>
    </row>
    <row r="355" spans="2:7">
      <c r="B355" s="8"/>
      <c r="C355" s="77"/>
      <c r="D355" s="12"/>
      <c r="G355" s="12"/>
    </row>
    <row r="356" spans="2:7">
      <c r="B356" s="8"/>
      <c r="C356" s="77"/>
      <c r="D356" s="12"/>
      <c r="G356" s="12"/>
    </row>
    <row r="357" spans="2:7">
      <c r="B357" s="8"/>
      <c r="C357" s="77"/>
      <c r="D357" s="12"/>
      <c r="G357" s="12"/>
    </row>
    <row r="358" spans="2:7">
      <c r="B358" s="8"/>
      <c r="C358" s="77"/>
      <c r="D358" s="12"/>
      <c r="G358" s="12"/>
    </row>
    <row r="359" spans="2:7">
      <c r="B359" s="8"/>
      <c r="C359" s="77"/>
      <c r="D359" s="12"/>
      <c r="G359" s="12"/>
    </row>
    <row r="360" spans="2:7">
      <c r="B360" s="8"/>
      <c r="C360" s="77"/>
      <c r="D360" s="12"/>
      <c r="G360" s="12"/>
    </row>
    <row r="361" spans="2:7">
      <c r="B361" s="8"/>
      <c r="C361" s="77"/>
      <c r="D361" s="12"/>
      <c r="G361" s="12"/>
    </row>
    <row r="362" spans="2:7">
      <c r="B362" s="8"/>
      <c r="C362" s="77"/>
      <c r="D362" s="12"/>
      <c r="G362" s="12"/>
    </row>
    <row r="363" spans="2:7">
      <c r="B363" s="8"/>
      <c r="C363" s="77"/>
      <c r="D363" s="12"/>
      <c r="G363" s="12"/>
    </row>
    <row r="364" spans="2:7">
      <c r="B364" s="8"/>
      <c r="C364" s="77"/>
      <c r="D364" s="12"/>
      <c r="G364" s="12"/>
    </row>
    <row r="365" spans="2:7">
      <c r="B365" s="8"/>
      <c r="C365" s="77"/>
      <c r="D365" s="12"/>
      <c r="G365" s="12"/>
    </row>
    <row r="366" spans="2:7">
      <c r="B366" s="8"/>
      <c r="C366" s="77"/>
      <c r="D366" s="12"/>
      <c r="G366" s="12"/>
    </row>
    <row r="367" spans="2:7">
      <c r="B367" s="8"/>
      <c r="C367" s="77"/>
      <c r="D367" s="12"/>
      <c r="G367" s="12"/>
    </row>
    <row r="368" spans="2:7">
      <c r="B368" s="8"/>
      <c r="C368" s="77"/>
      <c r="D368" s="12"/>
      <c r="G368" s="12"/>
    </row>
    <row r="369" spans="2:7">
      <c r="B369" s="8"/>
      <c r="C369" s="77"/>
      <c r="D369" s="12"/>
      <c r="G369" s="12"/>
    </row>
    <row r="370" spans="2:7">
      <c r="B370" s="8"/>
      <c r="C370" s="77"/>
      <c r="D370" s="12"/>
      <c r="G370" s="12"/>
    </row>
    <row r="371" spans="2:7">
      <c r="B371" s="8"/>
      <c r="C371" s="77"/>
      <c r="D371" s="12"/>
      <c r="G371" s="12"/>
    </row>
    <row r="372" spans="2:7">
      <c r="B372" s="8"/>
      <c r="C372" s="77"/>
      <c r="D372" s="12"/>
      <c r="G372" s="12"/>
    </row>
    <row r="373" spans="2:7">
      <c r="B373" s="8"/>
      <c r="C373" s="77"/>
      <c r="D373" s="12"/>
      <c r="G373" s="12"/>
    </row>
    <row r="374" spans="2:7">
      <c r="B374" s="8"/>
      <c r="C374" s="77"/>
      <c r="D374" s="12"/>
      <c r="G374" s="12"/>
    </row>
    <row r="375" spans="2:7">
      <c r="B375" s="8"/>
      <c r="C375" s="77"/>
      <c r="D375" s="12"/>
      <c r="G375" s="12"/>
    </row>
    <row r="376" spans="2:7">
      <c r="B376" s="8"/>
      <c r="C376" s="77"/>
      <c r="D376" s="12"/>
      <c r="G376" s="12"/>
    </row>
    <row r="377" spans="2:7">
      <c r="B377" s="8"/>
      <c r="C377" s="77"/>
      <c r="D377" s="12"/>
      <c r="G377" s="12"/>
    </row>
    <row r="378" spans="2:7">
      <c r="B378" s="8"/>
      <c r="C378" s="77"/>
      <c r="D378" s="12"/>
      <c r="G378" s="12"/>
    </row>
    <row r="379" spans="2:7">
      <c r="B379" s="8"/>
      <c r="C379" s="77"/>
      <c r="D379" s="12"/>
      <c r="G379" s="12"/>
    </row>
    <row r="380" spans="2:7">
      <c r="B380" s="8"/>
      <c r="C380" s="77"/>
      <c r="D380" s="12"/>
      <c r="G380" s="12"/>
    </row>
    <row r="381" spans="2:7">
      <c r="B381" s="8"/>
      <c r="C381" s="77"/>
      <c r="D381" s="12"/>
      <c r="G381" s="12"/>
    </row>
    <row r="382" spans="2:7">
      <c r="B382" s="8"/>
      <c r="C382" s="77"/>
      <c r="D382" s="12"/>
      <c r="G382" s="12"/>
    </row>
    <row r="383" spans="2:7">
      <c r="B383" s="8"/>
      <c r="C383" s="77"/>
      <c r="D383" s="12"/>
      <c r="G383" s="12"/>
    </row>
    <row r="384" spans="2:7">
      <c r="B384" s="8"/>
      <c r="C384" s="77"/>
      <c r="D384" s="12"/>
      <c r="G384" s="12"/>
    </row>
    <row r="385" spans="2:7">
      <c r="B385" s="8"/>
      <c r="C385" s="77"/>
      <c r="D385" s="12"/>
      <c r="G385" s="12"/>
    </row>
    <row r="386" spans="2:7">
      <c r="B386" s="8"/>
      <c r="C386" s="77"/>
      <c r="D386" s="12"/>
      <c r="G386" s="12"/>
    </row>
    <row r="387" spans="2:7">
      <c r="B387" s="8"/>
      <c r="C387" s="77"/>
      <c r="D387" s="12"/>
      <c r="G387" s="12"/>
    </row>
    <row r="388" spans="2:7">
      <c r="B388" s="8"/>
      <c r="C388" s="77"/>
      <c r="D388" s="12"/>
      <c r="G388" s="12"/>
    </row>
    <row r="389" spans="2:7">
      <c r="B389" s="8"/>
      <c r="C389" s="77"/>
      <c r="D389" s="12"/>
      <c r="G389" s="12"/>
    </row>
    <row r="390" spans="2:7">
      <c r="B390" s="8"/>
      <c r="C390" s="77"/>
      <c r="D390" s="12"/>
      <c r="G390" s="12"/>
    </row>
    <row r="391" spans="2:7">
      <c r="B391" s="8"/>
      <c r="C391" s="77"/>
      <c r="D391" s="12"/>
      <c r="G391" s="12"/>
    </row>
    <row r="392" spans="2:7">
      <c r="B392" s="8"/>
      <c r="C392" s="77"/>
      <c r="D392" s="12"/>
      <c r="G392" s="12"/>
    </row>
    <row r="393" spans="2:7">
      <c r="B393" s="8"/>
      <c r="C393" s="77"/>
      <c r="D393" s="12"/>
      <c r="G393" s="12"/>
    </row>
    <row r="394" spans="2:7">
      <c r="B394" s="8"/>
      <c r="C394" s="77"/>
      <c r="D394" s="12"/>
      <c r="G394" s="12"/>
    </row>
    <row r="395" spans="2:7">
      <c r="B395" s="8"/>
      <c r="C395" s="77"/>
      <c r="D395" s="12"/>
      <c r="G395" s="12"/>
    </row>
    <row r="396" spans="2:7">
      <c r="B396" s="8"/>
      <c r="C396" s="77"/>
      <c r="D396" s="12"/>
      <c r="G396" s="12"/>
    </row>
    <row r="397" spans="2:7">
      <c r="B397" s="8"/>
      <c r="C397" s="77"/>
      <c r="D397" s="12"/>
      <c r="G397" s="12"/>
    </row>
    <row r="398" spans="2:7">
      <c r="B398" s="8"/>
      <c r="C398" s="77"/>
      <c r="D398" s="12"/>
      <c r="G398" s="12"/>
    </row>
    <row r="399" spans="2:7">
      <c r="B399" s="8"/>
      <c r="C399" s="77"/>
      <c r="D399" s="12"/>
      <c r="G399" s="12"/>
    </row>
    <row r="400" spans="2:7">
      <c r="B400" s="8"/>
      <c r="C400" s="77"/>
      <c r="D400" s="12"/>
      <c r="G400" s="12"/>
    </row>
    <row r="401" spans="2:7">
      <c r="B401" s="8"/>
      <c r="C401" s="77"/>
      <c r="D401" s="12"/>
      <c r="G401" s="12"/>
    </row>
    <row r="402" spans="2:7">
      <c r="B402" s="8"/>
      <c r="C402" s="77"/>
      <c r="D402" s="12"/>
      <c r="G402" s="12"/>
    </row>
    <row r="403" spans="2:7">
      <c r="B403" s="8"/>
      <c r="C403" s="77"/>
      <c r="D403" s="12"/>
      <c r="G403" s="12"/>
    </row>
    <row r="404" spans="2:7">
      <c r="B404" s="8"/>
      <c r="C404" s="77"/>
      <c r="D404" s="12"/>
      <c r="G404" s="12"/>
    </row>
    <row r="405" spans="2:7">
      <c r="B405" s="8"/>
      <c r="C405" s="77"/>
      <c r="D405" s="12"/>
      <c r="G405" s="12"/>
    </row>
    <row r="406" spans="2:7">
      <c r="B406" s="8"/>
      <c r="C406" s="77"/>
      <c r="D406" s="12"/>
      <c r="G406" s="12"/>
    </row>
    <row r="407" spans="2:7">
      <c r="B407" s="8"/>
      <c r="C407" s="77"/>
      <c r="D407" s="12"/>
      <c r="G407" s="12"/>
    </row>
    <row r="408" spans="2:7">
      <c r="B408" s="8"/>
      <c r="C408" s="77"/>
      <c r="D408" s="12"/>
      <c r="G408" s="12"/>
    </row>
    <row r="409" spans="2:7">
      <c r="B409" s="8"/>
      <c r="C409" s="77"/>
      <c r="D409" s="12"/>
      <c r="G409" s="12"/>
    </row>
    <row r="410" spans="2:7">
      <c r="B410" s="8"/>
      <c r="C410" s="77"/>
      <c r="D410" s="12"/>
      <c r="G410" s="12"/>
    </row>
    <row r="411" spans="2:7">
      <c r="B411" s="8"/>
      <c r="C411" s="77"/>
      <c r="D411" s="12"/>
      <c r="G411" s="12"/>
    </row>
    <row r="412" spans="2:7">
      <c r="B412" s="8"/>
      <c r="C412" s="77"/>
      <c r="D412" s="12"/>
      <c r="G412" s="12"/>
    </row>
    <row r="413" spans="2:7">
      <c r="B413" s="8"/>
      <c r="C413" s="77"/>
      <c r="D413" s="12"/>
      <c r="G413" s="12"/>
    </row>
    <row r="414" spans="2:7">
      <c r="B414" s="8"/>
      <c r="C414" s="77"/>
      <c r="D414" s="12"/>
      <c r="G414" s="12"/>
    </row>
    <row r="415" spans="2:7">
      <c r="B415" s="8"/>
      <c r="C415" s="77"/>
      <c r="D415" s="12"/>
      <c r="G415" s="12"/>
    </row>
    <row r="416" spans="2:7">
      <c r="B416" s="8"/>
      <c r="C416" s="77"/>
      <c r="D416" s="12"/>
      <c r="G416" s="12"/>
    </row>
    <row r="417" spans="2:7">
      <c r="B417" s="8"/>
      <c r="C417" s="77"/>
      <c r="D417" s="12"/>
      <c r="G417" s="12"/>
    </row>
    <row r="418" spans="2:7">
      <c r="B418" s="8"/>
      <c r="C418" s="77"/>
      <c r="D418" s="12"/>
      <c r="G418" s="12"/>
    </row>
    <row r="419" spans="2:7">
      <c r="B419" s="8"/>
      <c r="C419" s="77"/>
      <c r="D419" s="12"/>
      <c r="G419" s="12"/>
    </row>
    <row r="420" spans="2:7">
      <c r="B420" s="8"/>
      <c r="C420" s="77"/>
      <c r="D420" s="12"/>
      <c r="G420" s="12"/>
    </row>
    <row r="421" spans="2:7">
      <c r="B421" s="8"/>
      <c r="C421" s="77"/>
      <c r="D421" s="12"/>
      <c r="G421" s="12"/>
    </row>
    <row r="422" spans="2:7">
      <c r="B422" s="8"/>
      <c r="C422" s="77"/>
      <c r="D422" s="12"/>
      <c r="G422" s="12"/>
    </row>
    <row r="423" spans="2:7">
      <c r="B423" s="8"/>
      <c r="C423" s="77"/>
      <c r="D423" s="12"/>
      <c r="G423" s="12"/>
    </row>
    <row r="424" spans="2:7">
      <c r="B424" s="8"/>
      <c r="C424" s="77"/>
      <c r="D424" s="12"/>
      <c r="G424" s="12"/>
    </row>
    <row r="425" spans="2:7">
      <c r="B425" s="8"/>
      <c r="C425" s="77"/>
      <c r="D425" s="12"/>
      <c r="G425" s="12"/>
    </row>
    <row r="426" spans="2:7">
      <c r="B426" s="8"/>
      <c r="C426" s="77"/>
      <c r="D426" s="12"/>
      <c r="G426" s="12"/>
    </row>
    <row r="427" spans="2:7">
      <c r="B427" s="8"/>
      <c r="C427" s="77"/>
      <c r="D427" s="12"/>
      <c r="G427" s="12"/>
    </row>
    <row r="428" spans="2:7">
      <c r="B428" s="8"/>
      <c r="C428" s="77"/>
      <c r="D428" s="12"/>
      <c r="G428" s="12"/>
    </row>
    <row r="429" spans="2:7">
      <c r="B429" s="8"/>
      <c r="C429" s="77"/>
      <c r="D429" s="12"/>
      <c r="G429" s="12"/>
    </row>
    <row r="430" spans="2:7">
      <c r="B430" s="8"/>
      <c r="C430" s="77"/>
      <c r="D430" s="12"/>
      <c r="G430" s="12"/>
    </row>
    <row r="431" spans="2:7">
      <c r="B431" s="8"/>
      <c r="C431" s="77"/>
      <c r="D431" s="12"/>
      <c r="G431" s="12"/>
    </row>
    <row r="432" spans="2:7">
      <c r="B432" s="8"/>
      <c r="C432" s="77"/>
      <c r="D432" s="12"/>
      <c r="G432" s="12"/>
    </row>
    <row r="433" spans="2:7">
      <c r="B433" s="8"/>
      <c r="C433" s="77"/>
      <c r="D433" s="12"/>
      <c r="G433" s="12"/>
    </row>
    <row r="434" spans="2:7">
      <c r="B434" s="8"/>
      <c r="C434" s="77"/>
      <c r="D434" s="12"/>
      <c r="G434" s="12"/>
    </row>
    <row r="435" spans="2:7">
      <c r="B435" s="8"/>
      <c r="C435" s="77"/>
      <c r="D435" s="12"/>
      <c r="G435" s="12"/>
    </row>
    <row r="436" spans="2:7">
      <c r="B436" s="8"/>
      <c r="C436" s="77"/>
      <c r="D436" s="12"/>
      <c r="G436" s="12"/>
    </row>
    <row r="437" spans="2:7">
      <c r="B437" s="8"/>
      <c r="C437" s="77"/>
      <c r="D437" s="12"/>
      <c r="G437" s="12"/>
    </row>
    <row r="438" spans="2:7">
      <c r="B438" s="8"/>
      <c r="C438" s="77"/>
      <c r="D438" s="12"/>
      <c r="G438" s="12"/>
    </row>
    <row r="439" spans="2:7">
      <c r="B439" s="8"/>
      <c r="C439" s="77"/>
      <c r="D439" s="12"/>
      <c r="G439" s="12"/>
    </row>
    <row r="440" spans="2:7">
      <c r="B440" s="8"/>
      <c r="C440" s="77"/>
      <c r="D440" s="12"/>
      <c r="G440" s="12"/>
    </row>
    <row r="441" spans="2:7">
      <c r="B441" s="8"/>
      <c r="C441" s="77"/>
      <c r="D441" s="12"/>
      <c r="G441" s="12"/>
    </row>
    <row r="442" spans="2:7">
      <c r="B442" s="8"/>
      <c r="C442" s="77"/>
      <c r="D442" s="12"/>
      <c r="G442" s="12"/>
    </row>
    <row r="443" spans="2:7">
      <c r="B443" s="8"/>
      <c r="C443" s="77"/>
      <c r="D443" s="12"/>
      <c r="G443" s="12"/>
    </row>
    <row r="444" spans="2:7">
      <c r="B444" s="8"/>
      <c r="C444" s="77"/>
      <c r="D444" s="12"/>
      <c r="G444" s="12"/>
    </row>
    <row r="445" spans="2:7">
      <c r="B445" s="8"/>
      <c r="C445" s="77"/>
      <c r="D445" s="12"/>
      <c r="G445" s="12"/>
    </row>
    <row r="446" spans="2:7">
      <c r="B446" s="8"/>
      <c r="C446" s="77"/>
      <c r="D446" s="12"/>
      <c r="G446" s="12"/>
    </row>
    <row r="447" spans="2:7">
      <c r="B447" s="8"/>
      <c r="C447" s="77"/>
      <c r="D447" s="12"/>
      <c r="G447" s="12"/>
    </row>
    <row r="448" spans="2:7">
      <c r="B448" s="8"/>
      <c r="C448" s="77"/>
      <c r="D448" s="12"/>
      <c r="G448" s="12"/>
    </row>
    <row r="449" spans="2:7">
      <c r="B449" s="8"/>
      <c r="C449" s="77"/>
      <c r="D449" s="12"/>
      <c r="G449" s="12"/>
    </row>
    <row r="450" spans="2:7">
      <c r="B450" s="8"/>
      <c r="C450" s="77"/>
      <c r="D450" s="12"/>
      <c r="G450" s="12"/>
    </row>
    <row r="451" spans="2:7">
      <c r="B451" s="8"/>
      <c r="C451" s="77"/>
      <c r="D451" s="12"/>
      <c r="G451" s="12"/>
    </row>
    <row r="452" spans="2:7">
      <c r="B452" s="8"/>
      <c r="C452" s="77"/>
      <c r="D452" s="12"/>
      <c r="G452" s="12"/>
    </row>
    <row r="453" spans="2:7">
      <c r="B453" s="8"/>
      <c r="C453" s="77"/>
      <c r="D453" s="12"/>
      <c r="G453" s="12"/>
    </row>
    <row r="454" spans="2:7">
      <c r="B454" s="8"/>
      <c r="C454" s="77"/>
      <c r="D454" s="12"/>
      <c r="G454" s="12"/>
    </row>
    <row r="455" spans="2:7">
      <c r="B455" s="8"/>
      <c r="C455" s="77"/>
      <c r="D455" s="12"/>
      <c r="G455" s="12"/>
    </row>
    <row r="456" spans="2:7">
      <c r="B456" s="8"/>
      <c r="C456" s="77"/>
      <c r="D456" s="12"/>
      <c r="G456" s="12"/>
    </row>
    <row r="457" spans="2:7">
      <c r="B457" s="8"/>
      <c r="C457" s="77"/>
      <c r="D457" s="12"/>
      <c r="G457" s="12"/>
    </row>
    <row r="458" spans="2:7">
      <c r="B458" s="8"/>
      <c r="C458" s="77"/>
      <c r="D458" s="12"/>
      <c r="G458" s="12"/>
    </row>
    <row r="459" spans="2:7">
      <c r="B459" s="8"/>
      <c r="C459" s="77"/>
      <c r="D459" s="12"/>
      <c r="G459" s="12"/>
    </row>
    <row r="460" spans="2:7">
      <c r="B460" s="8"/>
      <c r="C460" s="77"/>
      <c r="D460" s="12"/>
      <c r="G460" s="12"/>
    </row>
    <row r="461" spans="2:7">
      <c r="B461" s="8"/>
      <c r="C461" s="77"/>
      <c r="D461" s="12"/>
      <c r="G461" s="12"/>
    </row>
    <row r="462" spans="2:7">
      <c r="B462" s="8"/>
      <c r="C462" s="77"/>
      <c r="D462" s="12"/>
      <c r="G462" s="12"/>
    </row>
    <row r="463" spans="2:7">
      <c r="B463" s="8"/>
      <c r="C463" s="77"/>
      <c r="D463" s="12"/>
      <c r="G463" s="12"/>
    </row>
    <row r="464" spans="2:7">
      <c r="B464" s="8"/>
      <c r="C464" s="77"/>
      <c r="D464" s="12"/>
      <c r="G464" s="12"/>
    </row>
    <row r="465" spans="2:7">
      <c r="B465" s="8"/>
      <c r="C465" s="77"/>
      <c r="D465" s="12"/>
      <c r="G465" s="12"/>
    </row>
    <row r="466" spans="2:7">
      <c r="B466" s="8"/>
      <c r="C466" s="77"/>
      <c r="D466" s="12"/>
      <c r="G466" s="12"/>
    </row>
    <row r="467" spans="2:7">
      <c r="B467" s="8"/>
      <c r="C467" s="77"/>
      <c r="D467" s="12"/>
      <c r="G467" s="12"/>
    </row>
    <row r="468" spans="2:7">
      <c r="B468" s="8"/>
      <c r="C468" s="77"/>
      <c r="D468" s="12"/>
      <c r="G468" s="12"/>
    </row>
    <row r="469" spans="2:7">
      <c r="B469" s="8"/>
      <c r="C469" s="77"/>
      <c r="D469" s="12"/>
      <c r="G469" s="12"/>
    </row>
    <row r="470" spans="2:7">
      <c r="B470" s="8"/>
      <c r="C470" s="77"/>
      <c r="D470" s="12"/>
      <c r="G470" s="12"/>
    </row>
    <row r="471" spans="2:7">
      <c r="B471" s="8"/>
      <c r="C471" s="77"/>
      <c r="D471" s="12"/>
      <c r="G471" s="12"/>
    </row>
    <row r="472" spans="2:7">
      <c r="B472" s="8"/>
      <c r="C472" s="77"/>
      <c r="D472" s="12"/>
      <c r="G472" s="12"/>
    </row>
    <row r="473" spans="2:7">
      <c r="B473" s="8"/>
      <c r="C473" s="77"/>
      <c r="D473" s="12"/>
      <c r="G473" s="12"/>
    </row>
    <row r="474" spans="2:7">
      <c r="B474" s="8"/>
      <c r="C474" s="77"/>
      <c r="D474" s="12"/>
      <c r="G474" s="12"/>
    </row>
    <row r="475" spans="2:7">
      <c r="B475" s="8"/>
      <c r="C475" s="77"/>
      <c r="D475" s="12"/>
      <c r="G475" s="12"/>
    </row>
    <row r="476" spans="2:7">
      <c r="B476" s="8"/>
      <c r="C476" s="77"/>
      <c r="D476" s="12"/>
      <c r="G476" s="12"/>
    </row>
    <row r="477" spans="2:7">
      <c r="B477" s="8"/>
      <c r="C477" s="77"/>
      <c r="D477" s="12"/>
      <c r="G477" s="12"/>
    </row>
    <row r="478" spans="2:7">
      <c r="B478" s="8"/>
      <c r="C478" s="77"/>
      <c r="D478" s="12"/>
      <c r="G478" s="12"/>
    </row>
    <row r="479" spans="2:7">
      <c r="B479" s="8"/>
      <c r="C479" s="77"/>
      <c r="D479" s="12"/>
      <c r="G479" s="12"/>
    </row>
    <row r="480" spans="2:7">
      <c r="B480" s="8"/>
      <c r="C480" s="77"/>
      <c r="D480" s="12"/>
      <c r="G480" s="12"/>
    </row>
    <row r="481" spans="2:7">
      <c r="B481" s="8"/>
      <c r="C481" s="77"/>
      <c r="D481" s="12"/>
      <c r="G481" s="12"/>
    </row>
    <row r="482" spans="2:7">
      <c r="B482" s="8"/>
      <c r="C482" s="77"/>
      <c r="D482" s="12"/>
      <c r="G482" s="12"/>
    </row>
    <row r="483" spans="2:7">
      <c r="B483" s="8"/>
      <c r="C483" s="77"/>
      <c r="D483" s="12"/>
      <c r="G483" s="12"/>
    </row>
    <row r="484" spans="2:7">
      <c r="B484" s="8"/>
      <c r="C484" s="77"/>
      <c r="D484" s="12"/>
      <c r="G484" s="12"/>
    </row>
    <row r="485" spans="2:7">
      <c r="B485" s="8"/>
      <c r="C485" s="77"/>
      <c r="D485" s="12"/>
      <c r="G485" s="12"/>
    </row>
    <row r="486" spans="2:7">
      <c r="B486" s="8"/>
      <c r="C486" s="77"/>
      <c r="D486" s="12"/>
      <c r="G486" s="12"/>
    </row>
    <row r="487" spans="2:7">
      <c r="B487" s="8"/>
      <c r="C487" s="77"/>
      <c r="D487" s="12"/>
      <c r="G487" s="12"/>
    </row>
    <row r="488" spans="2:7">
      <c r="B488" s="8"/>
      <c r="C488" s="77"/>
      <c r="D488" s="12"/>
      <c r="G488" s="12"/>
    </row>
    <row r="489" spans="2:7">
      <c r="B489" s="8"/>
      <c r="C489" s="77"/>
      <c r="D489" s="12"/>
      <c r="G489" s="12"/>
    </row>
    <row r="490" spans="2:7">
      <c r="B490" s="8"/>
      <c r="C490" s="77"/>
      <c r="D490" s="12"/>
      <c r="G490" s="12"/>
    </row>
    <row r="491" spans="2:7">
      <c r="B491" s="8"/>
      <c r="C491" s="77"/>
      <c r="D491" s="12"/>
      <c r="G491" s="12"/>
    </row>
    <row r="492" spans="2:7">
      <c r="B492" s="8"/>
      <c r="C492" s="77"/>
      <c r="D492" s="12"/>
      <c r="G492" s="12"/>
    </row>
    <row r="493" spans="2:7">
      <c r="B493" s="8"/>
      <c r="C493" s="77"/>
      <c r="D493" s="12"/>
      <c r="G493" s="12"/>
    </row>
    <row r="494" spans="2:7">
      <c r="B494" s="8"/>
      <c r="C494" s="77"/>
      <c r="D494" s="12"/>
      <c r="G494" s="12"/>
    </row>
    <row r="495" spans="2:7">
      <c r="B495" s="8"/>
      <c r="C495" s="77"/>
      <c r="D495" s="12"/>
      <c r="G495" s="12"/>
    </row>
    <row r="496" spans="2:7">
      <c r="B496" s="8"/>
      <c r="C496" s="77"/>
      <c r="D496" s="12"/>
      <c r="G496" s="12"/>
    </row>
    <row r="497" spans="2:7">
      <c r="B497" s="8"/>
      <c r="C497" s="77"/>
      <c r="D497" s="12"/>
      <c r="G497" s="12"/>
    </row>
    <row r="498" spans="2:7">
      <c r="B498" s="8"/>
      <c r="C498" s="77"/>
      <c r="D498" s="12"/>
      <c r="G498" s="12"/>
    </row>
    <row r="499" spans="2:7">
      <c r="B499" s="8"/>
      <c r="C499" s="77"/>
      <c r="D499" s="12"/>
      <c r="G499" s="12"/>
    </row>
    <row r="500" spans="2:7">
      <c r="B500" s="8"/>
      <c r="C500" s="77"/>
      <c r="D500" s="12"/>
      <c r="G500" s="12"/>
    </row>
    <row r="501" spans="2:7">
      <c r="B501" s="8"/>
      <c r="C501" s="77"/>
      <c r="D501" s="12"/>
      <c r="G501" s="12"/>
    </row>
    <row r="502" spans="2:7">
      <c r="B502" s="8"/>
      <c r="C502" s="77"/>
      <c r="D502" s="12"/>
      <c r="G502" s="12"/>
    </row>
    <row r="503" spans="2:7">
      <c r="B503" s="8"/>
      <c r="C503" s="77"/>
      <c r="D503" s="12"/>
      <c r="G503" s="12"/>
    </row>
    <row r="504" spans="2:7">
      <c r="B504" s="8"/>
      <c r="C504" s="77"/>
      <c r="D504" s="12"/>
      <c r="G504" s="12"/>
    </row>
    <row r="505" spans="2:7">
      <c r="B505" s="8"/>
      <c r="C505" s="77"/>
      <c r="D505" s="12"/>
      <c r="G505" s="12"/>
    </row>
    <row r="506" spans="2:7">
      <c r="B506" s="8"/>
      <c r="C506" s="77"/>
      <c r="D506" s="12"/>
      <c r="G506" s="12"/>
    </row>
    <row r="507" spans="2:7">
      <c r="B507" s="8"/>
      <c r="C507" s="77"/>
      <c r="D507" s="12"/>
      <c r="G507" s="12"/>
    </row>
    <row r="508" spans="2:7">
      <c r="B508" s="8"/>
      <c r="C508" s="77"/>
      <c r="D508" s="12"/>
      <c r="G508" s="12"/>
    </row>
    <row r="509" spans="2:7">
      <c r="B509" s="8"/>
      <c r="C509" s="77"/>
      <c r="D509" s="12"/>
      <c r="G509" s="12"/>
    </row>
    <row r="510" spans="2:7">
      <c r="B510" s="8"/>
      <c r="C510" s="77"/>
      <c r="D510" s="12"/>
      <c r="G510" s="12"/>
    </row>
    <row r="511" spans="2:7">
      <c r="B511" s="8"/>
      <c r="C511" s="77"/>
      <c r="D511" s="12"/>
      <c r="G511" s="12"/>
    </row>
    <row r="512" spans="2:7">
      <c r="B512" s="8"/>
      <c r="C512" s="77"/>
      <c r="D512" s="12"/>
      <c r="G512" s="12"/>
    </row>
    <row r="513" spans="2:7">
      <c r="B513" s="8"/>
      <c r="C513" s="77"/>
      <c r="D513" s="12"/>
      <c r="G513" s="12"/>
    </row>
    <row r="514" spans="2:7">
      <c r="B514" s="8"/>
      <c r="C514" s="77"/>
      <c r="D514" s="12"/>
      <c r="G514" s="12"/>
    </row>
    <row r="515" spans="2:7">
      <c r="B515" s="8"/>
      <c r="C515" s="77"/>
      <c r="D515" s="12"/>
      <c r="G515" s="12"/>
    </row>
    <row r="516" spans="2:7">
      <c r="B516" s="8"/>
      <c r="C516" s="77"/>
      <c r="D516" s="12"/>
      <c r="G516" s="12"/>
    </row>
    <row r="517" spans="2:7">
      <c r="B517" s="8"/>
      <c r="C517" s="77"/>
      <c r="D517" s="12"/>
      <c r="G517" s="12"/>
    </row>
    <row r="518" spans="2:7">
      <c r="B518" s="8"/>
      <c r="C518" s="77"/>
      <c r="D518" s="12"/>
      <c r="G518" s="12"/>
    </row>
    <row r="519" spans="2:7">
      <c r="B519" s="8"/>
      <c r="C519" s="77"/>
      <c r="D519" s="12"/>
      <c r="G519" s="12"/>
    </row>
    <row r="520" spans="2:7">
      <c r="B520" s="8"/>
      <c r="C520" s="77"/>
      <c r="D520" s="12"/>
      <c r="G520" s="12"/>
    </row>
    <row r="521" spans="2:7">
      <c r="B521" s="8"/>
      <c r="C521" s="77"/>
      <c r="D521" s="12"/>
      <c r="G521" s="12"/>
    </row>
    <row r="522" spans="2:7">
      <c r="B522" s="8"/>
      <c r="C522" s="77"/>
      <c r="D522" s="12"/>
      <c r="G522" s="12"/>
    </row>
    <row r="523" spans="2:7">
      <c r="B523" s="8"/>
      <c r="C523" s="77"/>
      <c r="D523" s="12"/>
      <c r="G523" s="12"/>
    </row>
    <row r="524" spans="2:7">
      <c r="B524" s="8"/>
      <c r="C524" s="77"/>
      <c r="D524" s="12"/>
      <c r="G524" s="12"/>
    </row>
    <row r="525" spans="2:7">
      <c r="B525" s="8"/>
      <c r="C525" s="77"/>
      <c r="D525" s="12"/>
      <c r="G525" s="12"/>
    </row>
    <row r="526" spans="2:7">
      <c r="B526" s="8"/>
      <c r="C526" s="77"/>
      <c r="D526" s="12"/>
      <c r="G526" s="12"/>
    </row>
    <row r="527" spans="2:7">
      <c r="B527" s="8"/>
      <c r="C527" s="77"/>
      <c r="D527" s="12"/>
      <c r="G527" s="12"/>
    </row>
    <row r="528" spans="2:7">
      <c r="B528" s="8"/>
      <c r="C528" s="77"/>
      <c r="D528" s="12"/>
      <c r="G528" s="12"/>
    </row>
    <row r="529" spans="2:7">
      <c r="B529" s="8"/>
      <c r="C529" s="77"/>
      <c r="D529" s="12"/>
      <c r="G529" s="12"/>
    </row>
    <row r="530" spans="2:7">
      <c r="B530" s="8"/>
      <c r="C530" s="77"/>
      <c r="D530" s="12"/>
      <c r="G530" s="12"/>
    </row>
    <row r="531" spans="2:7">
      <c r="B531" s="8"/>
      <c r="C531" s="77"/>
      <c r="D531" s="12"/>
      <c r="G531" s="12"/>
    </row>
    <row r="532" spans="2:7">
      <c r="B532" s="8"/>
      <c r="C532" s="77"/>
      <c r="D532" s="12"/>
      <c r="G532" s="12"/>
    </row>
    <row r="533" spans="2:7">
      <c r="B533" s="8"/>
      <c r="C533" s="77"/>
      <c r="D533" s="12"/>
      <c r="G533" s="12"/>
    </row>
    <row r="534" spans="2:7">
      <c r="B534" s="8"/>
      <c r="C534" s="77"/>
      <c r="D534" s="12"/>
      <c r="G534" s="12"/>
    </row>
    <row r="535" spans="2:7">
      <c r="B535" s="8"/>
      <c r="C535" s="77"/>
      <c r="D535" s="12"/>
      <c r="G535" s="12"/>
    </row>
    <row r="536" spans="2:7">
      <c r="B536" s="8"/>
      <c r="C536" s="77"/>
      <c r="D536" s="12"/>
      <c r="G536" s="12"/>
    </row>
    <row r="537" spans="2:7">
      <c r="B537" s="8"/>
      <c r="C537" s="77"/>
      <c r="D537" s="12"/>
      <c r="G537" s="12"/>
    </row>
    <row r="538" spans="2:7">
      <c r="B538" s="8"/>
      <c r="C538" s="77"/>
      <c r="D538" s="12"/>
      <c r="G538" s="12"/>
    </row>
    <row r="539" spans="2:7">
      <c r="B539" s="8"/>
      <c r="C539" s="77"/>
      <c r="D539" s="12"/>
      <c r="G539" s="12"/>
    </row>
    <row r="540" spans="2:7">
      <c r="B540" s="8"/>
      <c r="C540" s="77"/>
      <c r="D540" s="12"/>
      <c r="G540" s="12"/>
    </row>
    <row r="541" spans="2:7">
      <c r="B541" s="8"/>
      <c r="C541" s="77"/>
      <c r="D541" s="12"/>
      <c r="G541" s="12"/>
    </row>
    <row r="542" spans="2:7">
      <c r="B542" s="8"/>
      <c r="C542" s="77"/>
      <c r="D542" s="12"/>
      <c r="G542" s="12"/>
    </row>
    <row r="543" spans="2:7">
      <c r="B543" s="8"/>
      <c r="C543" s="77"/>
      <c r="D543" s="12"/>
      <c r="G543" s="12"/>
    </row>
    <row r="544" spans="2:7">
      <c r="B544" s="8"/>
      <c r="C544" s="77"/>
      <c r="D544" s="12"/>
      <c r="G544" s="12"/>
    </row>
    <row r="545" spans="2:7">
      <c r="B545" s="8"/>
      <c r="C545" s="77"/>
      <c r="D545" s="12"/>
      <c r="G545" s="12"/>
    </row>
    <row r="546" spans="2:7">
      <c r="B546" s="8"/>
      <c r="C546" s="77"/>
      <c r="D546" s="12"/>
      <c r="G546" s="12"/>
    </row>
    <row r="547" spans="2:7">
      <c r="B547" s="8"/>
      <c r="C547" s="77"/>
      <c r="D547" s="12"/>
      <c r="G547" s="12"/>
    </row>
    <row r="548" spans="2:7">
      <c r="B548" s="8"/>
      <c r="C548" s="77"/>
      <c r="D548" s="12"/>
      <c r="G548" s="12"/>
    </row>
    <row r="549" spans="2:7">
      <c r="B549" s="8"/>
      <c r="C549" s="77"/>
      <c r="D549" s="12"/>
      <c r="G549" s="12"/>
    </row>
    <row r="550" spans="2:7">
      <c r="B550" s="8"/>
      <c r="C550" s="77"/>
      <c r="D550" s="12"/>
      <c r="G550" s="12"/>
    </row>
    <row r="551" spans="2:7">
      <c r="B551" s="8"/>
      <c r="C551" s="77"/>
      <c r="D551" s="12"/>
      <c r="G551" s="12"/>
    </row>
    <row r="552" spans="2:7">
      <c r="B552" s="8"/>
      <c r="C552" s="77"/>
      <c r="D552" s="12"/>
      <c r="G552" s="12"/>
    </row>
    <row r="553" spans="2:7">
      <c r="B553" s="8"/>
      <c r="C553" s="77"/>
      <c r="D553" s="12"/>
      <c r="G553" s="12"/>
    </row>
    <row r="554" spans="2:7">
      <c r="B554" s="8"/>
      <c r="C554" s="77"/>
      <c r="D554" s="12"/>
      <c r="G554" s="12"/>
    </row>
    <row r="555" spans="2:7">
      <c r="B555" s="8"/>
      <c r="C555" s="77"/>
      <c r="D555" s="12"/>
      <c r="G555" s="12"/>
    </row>
    <row r="556" spans="2:7">
      <c r="B556" s="8"/>
      <c r="C556" s="77"/>
      <c r="D556" s="12"/>
      <c r="G556" s="12"/>
    </row>
    <row r="557" spans="2:7">
      <c r="B557" s="8"/>
      <c r="C557" s="77"/>
      <c r="D557" s="12"/>
      <c r="G557" s="12"/>
    </row>
    <row r="558" spans="2:7">
      <c r="B558" s="8"/>
      <c r="C558" s="77"/>
      <c r="D558" s="12"/>
      <c r="G558" s="12"/>
    </row>
    <row r="559" spans="2:7">
      <c r="B559" s="8"/>
      <c r="C559" s="77"/>
      <c r="D559" s="12"/>
      <c r="G559" s="12"/>
    </row>
    <row r="560" spans="2:7">
      <c r="B560" s="8"/>
      <c r="C560" s="77"/>
      <c r="D560" s="12"/>
      <c r="G560" s="12"/>
    </row>
    <row r="561" spans="2:7">
      <c r="B561" s="8"/>
      <c r="C561" s="77"/>
      <c r="D561" s="12"/>
      <c r="G561" s="12"/>
    </row>
    <row r="562" spans="2:7">
      <c r="B562" s="8"/>
      <c r="C562" s="77"/>
      <c r="D562" s="12"/>
      <c r="G562" s="12"/>
    </row>
    <row r="563" spans="2:7">
      <c r="B563" s="8"/>
      <c r="C563" s="77"/>
      <c r="D563" s="12"/>
      <c r="G563" s="12"/>
    </row>
    <row r="564" spans="2:7">
      <c r="B564" s="8"/>
      <c r="C564" s="77"/>
      <c r="D564" s="12"/>
      <c r="G564" s="12"/>
    </row>
    <row r="565" spans="2:7">
      <c r="B565" s="8"/>
      <c r="C565" s="77"/>
      <c r="D565" s="12"/>
      <c r="G565" s="12"/>
    </row>
    <row r="566" spans="2:7">
      <c r="B566" s="8"/>
      <c r="C566" s="77"/>
      <c r="D566" s="12"/>
      <c r="G566" s="12"/>
    </row>
    <row r="567" spans="2:7">
      <c r="B567" s="8"/>
      <c r="C567" s="77"/>
      <c r="D567" s="12"/>
      <c r="G567" s="12"/>
    </row>
    <row r="568" spans="2:7">
      <c r="B568" s="8"/>
      <c r="C568" s="77"/>
      <c r="D568" s="12"/>
      <c r="G568" s="12"/>
    </row>
    <row r="569" spans="2:7">
      <c r="B569" s="8"/>
      <c r="C569" s="77"/>
      <c r="D569" s="12"/>
      <c r="G569" s="12"/>
    </row>
    <row r="570" spans="2:7">
      <c r="B570" s="8"/>
      <c r="C570" s="77"/>
      <c r="D570" s="12"/>
      <c r="G570" s="12"/>
    </row>
    <row r="571" spans="2:7">
      <c r="B571" s="8"/>
      <c r="C571" s="77"/>
      <c r="D571" s="12"/>
      <c r="G571" s="12"/>
    </row>
    <row r="572" spans="2:7">
      <c r="B572" s="8"/>
      <c r="C572" s="77"/>
      <c r="D572" s="12"/>
      <c r="G572" s="12"/>
    </row>
    <row r="573" spans="2:7">
      <c r="B573" s="8"/>
      <c r="C573" s="77"/>
      <c r="D573" s="12"/>
      <c r="G573" s="12"/>
    </row>
    <row r="574" spans="2:7">
      <c r="B574" s="8"/>
      <c r="C574" s="77"/>
      <c r="D574" s="12"/>
      <c r="G574" s="12"/>
    </row>
    <row r="575" spans="2:7">
      <c r="B575" s="8"/>
      <c r="C575" s="77"/>
      <c r="D575" s="12"/>
      <c r="G575" s="12"/>
    </row>
    <row r="576" spans="2:7">
      <c r="B576" s="8"/>
      <c r="C576" s="77"/>
      <c r="D576" s="12"/>
      <c r="G576" s="12"/>
    </row>
    <row r="577" spans="2:7">
      <c r="B577" s="8"/>
      <c r="C577" s="77"/>
      <c r="D577" s="12"/>
      <c r="G577" s="12"/>
    </row>
    <row r="578" spans="2:7">
      <c r="B578" s="8"/>
      <c r="C578" s="77"/>
      <c r="D578" s="12"/>
      <c r="G578" s="12"/>
    </row>
    <row r="579" spans="2:7">
      <c r="B579" s="8"/>
      <c r="C579" s="77"/>
      <c r="D579" s="12"/>
      <c r="G579" s="12"/>
    </row>
    <row r="580" spans="2:7">
      <c r="B580" s="8"/>
      <c r="C580" s="77"/>
      <c r="D580" s="12"/>
      <c r="G580" s="12"/>
    </row>
    <row r="581" spans="2:7">
      <c r="B581" s="8"/>
      <c r="C581" s="77"/>
      <c r="D581" s="12"/>
      <c r="G581" s="12"/>
    </row>
    <row r="582" spans="2:7">
      <c r="B582" s="8"/>
      <c r="C582" s="77"/>
      <c r="D582" s="12"/>
      <c r="G582" s="12"/>
    </row>
    <row r="583" spans="2:7">
      <c r="B583" s="8"/>
      <c r="C583" s="77"/>
      <c r="D583" s="12"/>
      <c r="G583" s="12"/>
    </row>
    <row r="584" spans="2:7">
      <c r="B584" s="8"/>
      <c r="C584" s="77"/>
      <c r="D584" s="12"/>
      <c r="G584" s="12"/>
    </row>
    <row r="585" spans="2:7">
      <c r="B585" s="8"/>
      <c r="C585" s="77"/>
      <c r="D585" s="12"/>
      <c r="G585" s="12"/>
    </row>
    <row r="586" spans="2:7">
      <c r="B586" s="8"/>
      <c r="C586" s="77"/>
      <c r="D586" s="12"/>
      <c r="G586" s="12"/>
    </row>
    <row r="587" spans="2:7">
      <c r="B587" s="8"/>
      <c r="C587" s="77"/>
      <c r="D587" s="12"/>
      <c r="G587" s="12"/>
    </row>
    <row r="588" spans="2:7">
      <c r="B588" s="8"/>
      <c r="C588" s="77"/>
      <c r="D588" s="12"/>
      <c r="G588" s="12"/>
    </row>
    <row r="589" spans="2:7">
      <c r="B589" s="8"/>
      <c r="C589" s="77"/>
      <c r="D589" s="12"/>
      <c r="G589" s="12"/>
    </row>
    <row r="590" spans="2:7">
      <c r="B590" s="8"/>
      <c r="C590" s="77"/>
      <c r="D590" s="12"/>
      <c r="G590" s="12"/>
    </row>
    <row r="591" spans="2:7">
      <c r="B591" s="8"/>
      <c r="C591" s="77"/>
      <c r="D591" s="12"/>
      <c r="G591" s="12"/>
    </row>
    <row r="592" spans="2:7">
      <c r="B592" s="8"/>
      <c r="C592" s="77"/>
      <c r="D592" s="12"/>
      <c r="G592" s="12"/>
    </row>
    <row r="593" spans="2:7">
      <c r="B593" s="8"/>
      <c r="C593" s="77"/>
      <c r="D593" s="12"/>
      <c r="G593" s="12"/>
    </row>
    <row r="594" spans="2:7">
      <c r="B594" s="8"/>
      <c r="C594" s="77"/>
      <c r="D594" s="12"/>
      <c r="G594" s="12"/>
    </row>
    <row r="595" spans="2:7">
      <c r="B595" s="8"/>
      <c r="C595" s="77"/>
      <c r="D595" s="12"/>
      <c r="G595" s="12"/>
    </row>
    <row r="596" spans="2:7">
      <c r="B596" s="8"/>
      <c r="C596" s="77"/>
      <c r="D596" s="12"/>
      <c r="G596" s="12"/>
    </row>
    <row r="597" spans="2:7">
      <c r="B597" s="8"/>
      <c r="C597" s="77"/>
      <c r="D597" s="12"/>
      <c r="G597" s="12"/>
    </row>
    <row r="598" spans="2:7">
      <c r="B598" s="8"/>
      <c r="C598" s="77"/>
      <c r="D598" s="12"/>
      <c r="G598" s="12"/>
    </row>
    <row r="599" spans="2:7">
      <c r="B599" s="8"/>
      <c r="C599" s="77"/>
      <c r="D599" s="12"/>
      <c r="G599" s="12"/>
    </row>
    <row r="600" spans="2:7">
      <c r="B600" s="8"/>
      <c r="C600" s="77"/>
      <c r="D600" s="12"/>
      <c r="G600" s="12"/>
    </row>
    <row r="601" spans="2:7">
      <c r="B601" s="8"/>
      <c r="C601" s="77"/>
      <c r="D601" s="12"/>
      <c r="G601" s="12"/>
    </row>
    <row r="602" spans="2:7">
      <c r="B602" s="8"/>
      <c r="C602" s="77"/>
      <c r="D602" s="12"/>
      <c r="G602" s="12"/>
    </row>
    <row r="603" spans="2:7">
      <c r="B603" s="8"/>
      <c r="C603" s="77"/>
      <c r="D603" s="12"/>
      <c r="G603" s="12"/>
    </row>
    <row r="604" spans="2:7">
      <c r="B604" s="8"/>
      <c r="C604" s="77"/>
      <c r="D604" s="12"/>
      <c r="G604" s="12"/>
    </row>
    <row r="605" spans="2:7">
      <c r="B605" s="8"/>
      <c r="C605" s="77"/>
      <c r="D605" s="12"/>
      <c r="G605" s="12"/>
    </row>
    <row r="606" spans="2:7">
      <c r="B606" s="8"/>
      <c r="C606" s="77"/>
      <c r="D606" s="12"/>
      <c r="G606" s="12"/>
    </row>
    <row r="607" spans="2:7">
      <c r="B607" s="8"/>
      <c r="C607" s="77"/>
      <c r="D607" s="12"/>
      <c r="G607" s="12"/>
    </row>
    <row r="608" spans="2:7">
      <c r="B608" s="8"/>
      <c r="C608" s="77"/>
      <c r="D608" s="12"/>
      <c r="G608" s="12"/>
    </row>
    <row r="609" spans="2:7">
      <c r="B609" s="8"/>
      <c r="C609" s="77"/>
      <c r="D609" s="12"/>
      <c r="G609" s="12"/>
    </row>
    <row r="610" spans="2:7">
      <c r="B610" s="8"/>
      <c r="C610" s="77"/>
      <c r="D610" s="12"/>
      <c r="G610" s="12"/>
    </row>
    <row r="611" spans="2:7">
      <c r="B611" s="8"/>
      <c r="C611" s="77"/>
      <c r="D611" s="12"/>
      <c r="G611" s="12"/>
    </row>
    <row r="612" spans="2:7">
      <c r="B612" s="8"/>
      <c r="C612" s="77"/>
      <c r="D612" s="12"/>
      <c r="G612" s="12"/>
    </row>
    <row r="613" spans="2:7">
      <c r="B613" s="8"/>
      <c r="C613" s="77"/>
      <c r="D613" s="12"/>
      <c r="G613" s="12"/>
    </row>
    <row r="614" spans="2:7">
      <c r="B614" s="8"/>
      <c r="C614" s="77"/>
      <c r="D614" s="12"/>
      <c r="G614" s="12"/>
    </row>
    <row r="615" spans="2:7">
      <c r="B615" s="8"/>
      <c r="C615" s="77"/>
      <c r="D615" s="12"/>
      <c r="G615" s="12"/>
    </row>
    <row r="616" spans="2:7">
      <c r="B616" s="8"/>
      <c r="C616" s="77"/>
      <c r="D616" s="12"/>
      <c r="G616" s="12"/>
    </row>
    <row r="617" spans="2:7">
      <c r="B617" s="8"/>
      <c r="C617" s="77"/>
      <c r="D617" s="12"/>
      <c r="G617" s="12"/>
    </row>
    <row r="618" spans="2:7">
      <c r="B618" s="8"/>
      <c r="C618" s="77"/>
      <c r="D618" s="12"/>
      <c r="G618" s="12"/>
    </row>
    <row r="619" spans="2:7">
      <c r="B619" s="8"/>
      <c r="C619" s="77"/>
      <c r="D619" s="12"/>
      <c r="G619" s="12"/>
    </row>
    <row r="620" spans="2:7">
      <c r="B620" s="8"/>
      <c r="C620" s="77"/>
      <c r="D620" s="12"/>
      <c r="G620" s="12"/>
    </row>
    <row r="621" spans="2:7">
      <c r="B621" s="8"/>
      <c r="C621" s="77"/>
      <c r="D621" s="12"/>
      <c r="G621" s="12"/>
    </row>
    <row r="622" spans="2:7">
      <c r="B622" s="8"/>
      <c r="C622" s="77"/>
      <c r="D622" s="12"/>
      <c r="G622" s="12"/>
    </row>
    <row r="623" spans="2:7">
      <c r="B623" s="8"/>
      <c r="C623" s="77"/>
      <c r="D623" s="12"/>
      <c r="G623" s="12"/>
    </row>
    <row r="624" spans="2:7">
      <c r="B624" s="8"/>
      <c r="C624" s="77"/>
      <c r="D624" s="12"/>
      <c r="G624" s="12"/>
    </row>
    <row r="625" spans="2:7">
      <c r="B625" s="8"/>
      <c r="C625" s="77"/>
      <c r="D625" s="12"/>
      <c r="G625" s="12"/>
    </row>
    <row r="626" spans="2:7">
      <c r="B626" s="8"/>
      <c r="C626" s="77"/>
      <c r="D626" s="12"/>
      <c r="G626" s="12"/>
    </row>
    <row r="627" spans="2:7">
      <c r="B627" s="8"/>
      <c r="C627" s="77"/>
      <c r="D627" s="12"/>
      <c r="G627" s="12"/>
    </row>
    <row r="628" spans="2:7">
      <c r="B628" s="8"/>
      <c r="C628" s="77"/>
      <c r="D628" s="12"/>
      <c r="G628" s="12"/>
    </row>
    <row r="629" spans="2:7">
      <c r="B629" s="8"/>
      <c r="C629" s="77"/>
      <c r="D629" s="12"/>
      <c r="G629" s="12"/>
    </row>
    <row r="630" spans="2:7">
      <c r="B630" s="8"/>
      <c r="C630" s="77"/>
      <c r="D630" s="12"/>
      <c r="G630" s="12"/>
    </row>
    <row r="631" spans="2:7">
      <c r="B631" s="8"/>
      <c r="C631" s="77"/>
      <c r="D631" s="12"/>
      <c r="G631" s="12"/>
    </row>
    <row r="632" spans="2:7">
      <c r="B632" s="8"/>
      <c r="C632" s="77"/>
      <c r="D632" s="12"/>
      <c r="G632" s="12"/>
    </row>
    <row r="633" spans="2:7">
      <c r="B633" s="8"/>
      <c r="C633" s="77"/>
      <c r="D633" s="12"/>
      <c r="G633" s="12"/>
    </row>
    <row r="634" spans="2:7">
      <c r="B634" s="8"/>
      <c r="C634" s="77"/>
      <c r="D634" s="12"/>
      <c r="G634" s="12"/>
    </row>
    <row r="635" spans="2:7">
      <c r="B635" s="8"/>
      <c r="C635" s="77"/>
      <c r="D635" s="12"/>
      <c r="G635" s="12"/>
    </row>
    <row r="636" spans="2:7">
      <c r="B636" s="8"/>
      <c r="C636" s="77"/>
      <c r="D636" s="12"/>
      <c r="G636" s="12"/>
    </row>
    <row r="637" spans="2:7">
      <c r="B637" s="8"/>
      <c r="C637" s="77"/>
      <c r="D637" s="12"/>
      <c r="G637" s="12"/>
    </row>
    <row r="638" spans="2:7">
      <c r="B638" s="8"/>
      <c r="C638" s="77"/>
      <c r="D638" s="12"/>
      <c r="G638" s="12"/>
    </row>
    <row r="639" spans="2:7">
      <c r="B639" s="8"/>
      <c r="C639" s="77"/>
      <c r="D639" s="12"/>
      <c r="G639" s="12"/>
    </row>
    <row r="640" spans="2:7">
      <c r="B640" s="8"/>
      <c r="C640" s="77"/>
      <c r="D640" s="12"/>
      <c r="G640" s="12"/>
    </row>
    <row r="641" spans="2:7">
      <c r="B641" s="8"/>
      <c r="C641" s="77"/>
      <c r="D641" s="12"/>
      <c r="G641" s="12"/>
    </row>
    <row r="642" spans="2:7">
      <c r="B642" s="8"/>
      <c r="C642" s="77"/>
      <c r="D642" s="12"/>
      <c r="G642" s="12"/>
    </row>
    <row r="643" spans="2:7">
      <c r="B643" s="8"/>
      <c r="C643" s="77"/>
      <c r="D643" s="12"/>
      <c r="G643" s="12"/>
    </row>
    <row r="644" spans="2:7">
      <c r="B644" s="8"/>
      <c r="C644" s="77"/>
      <c r="D644" s="12"/>
      <c r="G644" s="12"/>
    </row>
    <row r="645" spans="2:7">
      <c r="B645" s="8"/>
      <c r="C645" s="77"/>
      <c r="D645" s="12"/>
      <c r="G645" s="12"/>
    </row>
    <row r="646" spans="2:7">
      <c r="B646" s="8"/>
      <c r="C646" s="77"/>
      <c r="D646" s="12"/>
      <c r="G646" s="12"/>
    </row>
    <row r="647" spans="2:7">
      <c r="B647" s="8"/>
      <c r="C647" s="77"/>
      <c r="D647" s="12"/>
      <c r="G647" s="12"/>
    </row>
    <row r="648" spans="2:7">
      <c r="B648" s="8"/>
      <c r="C648" s="77"/>
      <c r="D648" s="12"/>
      <c r="G648" s="12"/>
    </row>
    <row r="649" spans="2:7">
      <c r="B649" s="8"/>
      <c r="C649" s="77"/>
      <c r="D649" s="12"/>
      <c r="G649" s="12"/>
    </row>
    <row r="650" spans="2:7">
      <c r="B650" s="8"/>
      <c r="C650" s="77"/>
      <c r="D650" s="12"/>
      <c r="G650" s="12"/>
    </row>
    <row r="651" spans="2:7">
      <c r="B651" s="8"/>
      <c r="C651" s="77"/>
      <c r="D651" s="12"/>
      <c r="G651" s="12"/>
    </row>
    <row r="652" spans="2:7">
      <c r="B652" s="8"/>
      <c r="C652" s="77"/>
      <c r="D652" s="12"/>
      <c r="G652" s="12"/>
    </row>
    <row r="653" spans="2:7">
      <c r="B653" s="8"/>
      <c r="C653" s="77"/>
      <c r="D653" s="12"/>
      <c r="G653" s="12"/>
    </row>
    <row r="654" spans="2:7">
      <c r="B654" s="8"/>
      <c r="C654" s="77"/>
      <c r="D654" s="12"/>
      <c r="G654" s="12"/>
    </row>
    <row r="655" spans="2:7">
      <c r="B655" s="8"/>
      <c r="C655" s="77"/>
      <c r="D655" s="12"/>
      <c r="G655" s="12"/>
    </row>
    <row r="656" spans="2:7">
      <c r="B656" s="8"/>
      <c r="C656" s="77"/>
      <c r="D656" s="12"/>
      <c r="G656" s="12"/>
    </row>
    <row r="657" spans="2:7">
      <c r="B657" s="8"/>
      <c r="C657" s="77"/>
      <c r="D657" s="12"/>
      <c r="G657" s="12"/>
    </row>
    <row r="658" spans="2:7">
      <c r="B658" s="8"/>
      <c r="C658" s="77"/>
      <c r="D658" s="12"/>
      <c r="G658" s="12"/>
    </row>
    <row r="659" spans="2:7">
      <c r="B659" s="8"/>
      <c r="C659" s="77"/>
      <c r="D659" s="12"/>
      <c r="G659" s="12"/>
    </row>
    <row r="660" spans="2:7">
      <c r="B660" s="8"/>
      <c r="C660" s="77"/>
      <c r="D660" s="12"/>
      <c r="G660" s="12"/>
    </row>
    <row r="661" spans="2:7">
      <c r="B661" s="8"/>
      <c r="C661" s="77"/>
      <c r="D661" s="12"/>
      <c r="G661" s="12"/>
    </row>
    <row r="662" spans="2:7">
      <c r="B662" s="8"/>
      <c r="C662" s="77"/>
      <c r="D662" s="12"/>
      <c r="G662" s="12"/>
    </row>
    <row r="663" spans="2:7">
      <c r="B663" s="8"/>
      <c r="C663" s="77"/>
      <c r="D663" s="12"/>
      <c r="G663" s="12"/>
    </row>
    <row r="664" spans="2:7">
      <c r="B664" s="8"/>
      <c r="C664" s="77"/>
      <c r="D664" s="12"/>
      <c r="G664" s="12"/>
    </row>
    <row r="665" spans="2:7">
      <c r="B665" s="8"/>
      <c r="C665" s="77"/>
      <c r="D665" s="12"/>
      <c r="G665" s="12"/>
    </row>
    <row r="666" spans="2:7">
      <c r="B666" s="8"/>
      <c r="C666" s="77"/>
      <c r="D666" s="12"/>
      <c r="G666" s="12"/>
    </row>
    <row r="667" spans="2:7">
      <c r="B667" s="8"/>
      <c r="C667" s="77"/>
      <c r="D667" s="12"/>
      <c r="G667" s="12"/>
    </row>
    <row r="668" spans="2:7">
      <c r="B668" s="8"/>
      <c r="C668" s="77"/>
      <c r="D668" s="12"/>
      <c r="G668" s="12"/>
    </row>
    <row r="669" spans="2:7">
      <c r="B669" s="8"/>
      <c r="C669" s="77"/>
      <c r="D669" s="12"/>
      <c r="G669" s="12"/>
    </row>
    <row r="670" spans="2:7">
      <c r="B670" s="8"/>
      <c r="C670" s="77"/>
      <c r="D670" s="12"/>
      <c r="G670" s="12"/>
    </row>
    <row r="671" spans="2:7">
      <c r="B671" s="8"/>
      <c r="C671" s="77"/>
      <c r="D671" s="12"/>
      <c r="G671" s="12"/>
    </row>
    <row r="672" spans="2:7">
      <c r="B672" s="8"/>
      <c r="C672" s="77"/>
      <c r="D672" s="12"/>
      <c r="G672" s="12"/>
    </row>
    <row r="673" spans="2:7">
      <c r="B673" s="8"/>
      <c r="C673" s="77"/>
      <c r="D673" s="12"/>
      <c r="G673" s="12"/>
    </row>
    <row r="674" spans="2:7">
      <c r="B674" s="8"/>
      <c r="C674" s="77"/>
      <c r="D674" s="12"/>
      <c r="G674" s="12"/>
    </row>
    <row r="675" spans="2:7">
      <c r="B675" s="8"/>
      <c r="C675" s="77"/>
      <c r="D675" s="12"/>
      <c r="G675" s="12"/>
    </row>
    <row r="676" spans="2:7">
      <c r="B676" s="8"/>
      <c r="C676" s="77"/>
      <c r="D676" s="12"/>
      <c r="G676" s="12"/>
    </row>
    <row r="677" spans="2:7">
      <c r="B677" s="8"/>
      <c r="C677" s="77"/>
      <c r="D677" s="12"/>
      <c r="G677" s="12"/>
    </row>
    <row r="678" spans="2:7">
      <c r="B678" s="8"/>
      <c r="C678" s="77"/>
      <c r="D678" s="12"/>
      <c r="G678" s="12"/>
    </row>
    <row r="679" spans="2:7">
      <c r="B679" s="8"/>
      <c r="C679" s="77"/>
      <c r="D679" s="12"/>
      <c r="G679" s="12"/>
    </row>
    <row r="680" spans="2:7">
      <c r="B680" s="8"/>
      <c r="C680" s="77"/>
      <c r="D680" s="12"/>
      <c r="G680" s="12"/>
    </row>
    <row r="681" spans="2:7">
      <c r="B681" s="8"/>
      <c r="C681" s="77"/>
      <c r="D681" s="12"/>
      <c r="G681" s="12"/>
    </row>
    <row r="682" spans="2:7">
      <c r="B682" s="8"/>
      <c r="C682" s="77"/>
      <c r="D682" s="12"/>
      <c r="G682" s="12"/>
    </row>
    <row r="683" spans="2:7">
      <c r="B683" s="8"/>
      <c r="C683" s="77"/>
      <c r="D683" s="12"/>
      <c r="G683" s="12"/>
    </row>
    <row r="684" spans="2:7">
      <c r="B684" s="8"/>
      <c r="C684" s="77"/>
      <c r="D684" s="12"/>
      <c r="G684" s="12"/>
    </row>
    <row r="685" spans="2:7">
      <c r="B685" s="8"/>
      <c r="C685" s="77"/>
      <c r="D685" s="12"/>
      <c r="G685" s="12"/>
    </row>
    <row r="686" spans="2:7">
      <c r="B686" s="8"/>
      <c r="C686" s="77"/>
      <c r="D686" s="12"/>
      <c r="G686" s="12"/>
    </row>
    <row r="687" spans="2:7">
      <c r="B687" s="8"/>
      <c r="C687" s="77"/>
      <c r="D687" s="12"/>
      <c r="G687" s="12"/>
    </row>
    <row r="688" spans="2:7">
      <c r="B688" s="8"/>
      <c r="C688" s="77"/>
      <c r="D688" s="12"/>
      <c r="G688" s="12"/>
    </row>
    <row r="689" spans="2:7">
      <c r="B689" s="8"/>
      <c r="C689" s="77"/>
      <c r="D689" s="12"/>
      <c r="G689" s="12"/>
    </row>
    <row r="690" spans="2:7">
      <c r="B690" s="8"/>
      <c r="C690" s="77"/>
      <c r="D690" s="12"/>
      <c r="G690" s="12"/>
    </row>
    <row r="691" spans="2:7">
      <c r="B691" s="8"/>
      <c r="C691" s="77"/>
      <c r="D691" s="12"/>
      <c r="G691" s="12"/>
    </row>
    <row r="692" spans="2:7">
      <c r="B692" s="8"/>
      <c r="C692" s="77"/>
      <c r="D692" s="12"/>
      <c r="G692" s="12"/>
    </row>
    <row r="693" spans="2:7">
      <c r="B693" s="8"/>
      <c r="C693" s="77"/>
      <c r="D693" s="12"/>
      <c r="G693" s="12"/>
    </row>
    <row r="694" spans="2:7">
      <c r="B694" s="8"/>
      <c r="C694" s="77"/>
      <c r="D694" s="12"/>
      <c r="G694" s="12"/>
    </row>
    <row r="695" spans="2:7">
      <c r="B695" s="8"/>
      <c r="C695" s="77"/>
      <c r="D695" s="12"/>
      <c r="G695" s="12"/>
    </row>
    <row r="696" spans="2:7">
      <c r="B696" s="8"/>
      <c r="C696" s="77"/>
      <c r="D696" s="12"/>
      <c r="G696" s="12"/>
    </row>
    <row r="697" spans="2:7">
      <c r="B697" s="8"/>
      <c r="C697" s="77"/>
      <c r="D697" s="12"/>
      <c r="G697" s="12"/>
    </row>
    <row r="698" spans="2:7">
      <c r="B698" s="8"/>
      <c r="C698" s="77"/>
      <c r="D698" s="12"/>
      <c r="G698" s="12"/>
    </row>
    <row r="699" spans="2:7">
      <c r="B699" s="8"/>
      <c r="C699" s="77"/>
      <c r="D699" s="12"/>
      <c r="G699" s="12"/>
    </row>
    <row r="700" spans="2:7">
      <c r="B700" s="8"/>
      <c r="C700" s="77"/>
      <c r="D700" s="12"/>
      <c r="G700" s="12"/>
    </row>
    <row r="701" spans="2:7">
      <c r="B701" s="8"/>
      <c r="C701" s="77"/>
      <c r="D701" s="12"/>
      <c r="G701" s="12"/>
    </row>
    <row r="702" spans="2:7">
      <c r="B702" s="8"/>
      <c r="C702" s="77"/>
      <c r="D702" s="12"/>
      <c r="G702" s="12"/>
    </row>
    <row r="703" spans="2:7">
      <c r="B703" s="8"/>
      <c r="C703" s="77"/>
      <c r="D703" s="12"/>
      <c r="G703" s="12"/>
    </row>
    <row r="704" spans="2:7">
      <c r="B704" s="8"/>
      <c r="C704" s="77"/>
      <c r="D704" s="12"/>
      <c r="G704" s="12"/>
    </row>
    <row r="705" spans="2:7">
      <c r="B705" s="8"/>
      <c r="C705" s="77"/>
      <c r="D705" s="12"/>
      <c r="G705" s="12"/>
    </row>
    <row r="706" spans="2:7">
      <c r="B706" s="8"/>
      <c r="C706" s="77"/>
      <c r="D706" s="12"/>
      <c r="G706" s="12"/>
    </row>
    <row r="707" spans="2:7">
      <c r="B707" s="8"/>
      <c r="C707" s="77"/>
      <c r="D707" s="12"/>
      <c r="G707" s="12"/>
    </row>
    <row r="708" spans="2:7">
      <c r="B708" s="8"/>
      <c r="C708" s="77"/>
      <c r="D708" s="12"/>
      <c r="G708" s="12"/>
    </row>
    <row r="709" spans="2:7">
      <c r="B709" s="8"/>
      <c r="C709" s="77"/>
      <c r="D709" s="12"/>
      <c r="G709" s="12"/>
    </row>
    <row r="710" spans="2:7">
      <c r="B710" s="8"/>
      <c r="C710" s="77"/>
      <c r="D710" s="12"/>
      <c r="G710" s="12"/>
    </row>
    <row r="711" spans="2:7">
      <c r="B711" s="8"/>
      <c r="C711" s="77"/>
      <c r="D711" s="12"/>
      <c r="G711" s="12"/>
    </row>
    <row r="712" spans="2:7">
      <c r="B712" s="8"/>
      <c r="C712" s="77"/>
      <c r="D712" s="12"/>
      <c r="G712" s="12"/>
    </row>
    <row r="713" spans="2:7">
      <c r="B713" s="8"/>
      <c r="C713" s="77"/>
      <c r="D713" s="12"/>
      <c r="G713" s="12"/>
    </row>
    <row r="714" spans="2:7">
      <c r="B714" s="8"/>
      <c r="C714" s="77"/>
      <c r="D714" s="12"/>
      <c r="G714" s="12"/>
    </row>
    <row r="715" spans="2:7">
      <c r="B715" s="8"/>
      <c r="C715" s="77"/>
      <c r="D715" s="12"/>
      <c r="G715" s="12"/>
    </row>
    <row r="716" spans="2:7">
      <c r="B716" s="8"/>
      <c r="C716" s="77"/>
      <c r="D716" s="12"/>
      <c r="G716" s="12"/>
    </row>
    <row r="717" spans="2:7">
      <c r="B717" s="8"/>
      <c r="C717" s="77"/>
      <c r="D717" s="12"/>
      <c r="G717" s="12"/>
    </row>
    <row r="718" spans="2:7">
      <c r="B718" s="8"/>
      <c r="C718" s="77"/>
      <c r="D718" s="12"/>
      <c r="G718" s="12"/>
    </row>
    <row r="719" spans="2:7">
      <c r="B719" s="8"/>
      <c r="C719" s="77"/>
      <c r="D719" s="12"/>
      <c r="G719" s="12"/>
    </row>
    <row r="720" spans="2:7">
      <c r="B720" s="8"/>
      <c r="C720" s="77"/>
      <c r="D720" s="12"/>
      <c r="G720" s="12"/>
    </row>
    <row r="721" spans="2:7">
      <c r="B721" s="8"/>
      <c r="C721" s="77"/>
      <c r="D721" s="12"/>
      <c r="G721" s="12"/>
    </row>
    <row r="722" spans="2:7">
      <c r="B722" s="8"/>
      <c r="C722" s="77"/>
      <c r="D722" s="12"/>
      <c r="G722" s="12"/>
    </row>
    <row r="723" spans="2:7">
      <c r="B723" s="8"/>
      <c r="C723" s="77"/>
      <c r="D723" s="12"/>
      <c r="G723" s="12"/>
    </row>
    <row r="724" spans="2:7">
      <c r="B724" s="8"/>
      <c r="C724" s="77"/>
      <c r="D724" s="12"/>
      <c r="G724" s="12"/>
    </row>
    <row r="725" spans="2:7">
      <c r="B725" s="8"/>
      <c r="C725" s="77"/>
      <c r="D725" s="12"/>
      <c r="G725" s="12"/>
    </row>
    <row r="726" spans="2:7">
      <c r="B726" s="8"/>
      <c r="C726" s="77"/>
      <c r="D726" s="12"/>
      <c r="G726" s="12"/>
    </row>
    <row r="727" spans="2:7">
      <c r="B727" s="8"/>
      <c r="C727" s="77"/>
      <c r="D727" s="12"/>
      <c r="G727" s="12"/>
    </row>
    <row r="728" spans="2:7">
      <c r="B728" s="8"/>
      <c r="C728" s="77"/>
      <c r="D728" s="12"/>
      <c r="G728" s="12"/>
    </row>
    <row r="729" spans="2:7">
      <c r="B729" s="8"/>
      <c r="C729" s="77"/>
      <c r="D729" s="12"/>
      <c r="G729" s="12"/>
    </row>
    <row r="730" spans="2:7">
      <c r="B730" s="8"/>
      <c r="C730" s="77"/>
      <c r="D730" s="12"/>
      <c r="G730" s="12"/>
    </row>
    <row r="731" spans="2:7">
      <c r="B731" s="8"/>
      <c r="C731" s="77"/>
      <c r="D731" s="12"/>
      <c r="G731" s="12"/>
    </row>
    <row r="732" spans="2:7">
      <c r="B732" s="8"/>
      <c r="C732" s="77"/>
      <c r="D732" s="12"/>
      <c r="G732" s="12"/>
    </row>
    <row r="733" spans="2:7">
      <c r="B733" s="8"/>
      <c r="C733" s="77"/>
      <c r="D733" s="12"/>
      <c r="G733" s="12"/>
    </row>
    <row r="734" spans="2:7">
      <c r="B734" s="8"/>
      <c r="C734" s="77"/>
      <c r="D734" s="12"/>
      <c r="G734" s="12"/>
    </row>
    <row r="735" spans="2:7">
      <c r="B735" s="8"/>
      <c r="C735" s="77"/>
      <c r="D735" s="12"/>
      <c r="G735" s="12"/>
    </row>
    <row r="736" spans="2:7">
      <c r="B736" s="8"/>
      <c r="C736" s="77"/>
      <c r="D736" s="12"/>
      <c r="G736" s="12"/>
    </row>
    <row r="737" spans="2:7">
      <c r="B737" s="8"/>
      <c r="C737" s="77"/>
      <c r="D737" s="12"/>
      <c r="G737" s="12"/>
    </row>
    <row r="738" spans="2:7">
      <c r="B738" s="8"/>
      <c r="C738" s="77"/>
      <c r="D738" s="12"/>
      <c r="G738" s="12"/>
    </row>
    <row r="739" spans="2:7">
      <c r="B739" s="8"/>
      <c r="C739" s="77"/>
      <c r="D739" s="12"/>
      <c r="G739" s="12"/>
    </row>
    <row r="740" spans="2:7">
      <c r="B740" s="8"/>
      <c r="C740" s="77"/>
      <c r="D740" s="12"/>
      <c r="G740" s="12"/>
    </row>
    <row r="741" spans="2:7">
      <c r="B741" s="8"/>
      <c r="C741" s="77"/>
      <c r="D741" s="12"/>
      <c r="G741" s="12"/>
    </row>
    <row r="742" spans="2:7">
      <c r="B742" s="8"/>
      <c r="C742" s="77"/>
      <c r="D742" s="12"/>
      <c r="G742" s="12"/>
    </row>
    <row r="743" spans="2:7">
      <c r="B743" s="8"/>
      <c r="C743" s="77"/>
      <c r="D743" s="12"/>
      <c r="G743" s="12"/>
    </row>
    <row r="744" spans="2:7">
      <c r="B744" s="8"/>
      <c r="C744" s="77"/>
      <c r="D744" s="12"/>
      <c r="G744" s="12"/>
    </row>
    <row r="745" spans="2:7">
      <c r="B745" s="8"/>
      <c r="C745" s="77"/>
      <c r="D745" s="12"/>
      <c r="G745" s="12"/>
    </row>
    <row r="746" spans="2:7">
      <c r="B746" s="8"/>
      <c r="C746" s="77"/>
      <c r="D746" s="12"/>
      <c r="G746" s="12"/>
    </row>
    <row r="747" spans="2:7">
      <c r="B747" s="8"/>
      <c r="C747" s="77"/>
      <c r="D747" s="12"/>
      <c r="G747" s="12"/>
    </row>
    <row r="748" spans="2:7">
      <c r="B748" s="8"/>
      <c r="C748" s="77"/>
      <c r="D748" s="12"/>
      <c r="G748" s="12"/>
    </row>
    <row r="749" spans="2:7">
      <c r="B749" s="8"/>
      <c r="C749" s="77"/>
      <c r="D749" s="12"/>
      <c r="G749" s="12"/>
    </row>
    <row r="750" spans="2:7">
      <c r="B750" s="8"/>
      <c r="C750" s="77"/>
      <c r="D750" s="12"/>
      <c r="G750" s="12"/>
    </row>
    <row r="751" spans="2:7">
      <c r="B751" s="8"/>
      <c r="C751" s="77"/>
      <c r="D751" s="12"/>
      <c r="G751" s="12"/>
    </row>
    <row r="752" spans="2:7">
      <c r="B752" s="8"/>
      <c r="C752" s="77"/>
      <c r="D752" s="12"/>
      <c r="G752" s="12"/>
    </row>
    <row r="753" spans="2:7">
      <c r="B753" s="8"/>
      <c r="C753" s="77"/>
      <c r="D753" s="12"/>
      <c r="G753" s="12"/>
    </row>
    <row r="754" spans="2:7">
      <c r="B754" s="8"/>
      <c r="C754" s="77"/>
      <c r="D754" s="12"/>
      <c r="G754" s="12"/>
    </row>
    <row r="755" spans="2:7">
      <c r="B755" s="8"/>
      <c r="C755" s="77"/>
      <c r="D755" s="12"/>
      <c r="G755" s="12"/>
    </row>
    <row r="756" spans="2:7">
      <c r="B756" s="8"/>
      <c r="C756" s="77"/>
      <c r="D756" s="12"/>
      <c r="G756" s="12"/>
    </row>
    <row r="757" spans="2:7">
      <c r="B757" s="8"/>
      <c r="C757" s="77"/>
      <c r="D757" s="12"/>
      <c r="G757" s="12"/>
    </row>
    <row r="758" spans="2:7">
      <c r="B758" s="8"/>
      <c r="C758" s="77"/>
      <c r="D758" s="12"/>
      <c r="G758" s="12"/>
    </row>
    <row r="759" spans="2:7">
      <c r="B759" s="8"/>
      <c r="C759" s="77"/>
      <c r="D759" s="12"/>
      <c r="G759" s="12"/>
    </row>
    <row r="760" spans="2:7">
      <c r="B760" s="8"/>
      <c r="C760" s="77"/>
      <c r="D760" s="12"/>
      <c r="G760" s="12"/>
    </row>
    <row r="761" spans="2:7">
      <c r="B761" s="8"/>
      <c r="C761" s="77"/>
      <c r="D761" s="12"/>
      <c r="G761" s="12"/>
    </row>
    <row r="762" spans="2:7">
      <c r="B762" s="8"/>
      <c r="C762" s="77"/>
      <c r="D762" s="12"/>
      <c r="G762" s="12"/>
    </row>
    <row r="763" spans="2:7">
      <c r="B763" s="8"/>
      <c r="C763" s="77"/>
      <c r="D763" s="12"/>
      <c r="G763" s="12"/>
    </row>
    <row r="764" spans="2:7">
      <c r="B764" s="8"/>
      <c r="C764" s="77"/>
      <c r="D764" s="12"/>
      <c r="G764" s="12"/>
    </row>
    <row r="765" spans="2:7">
      <c r="B765" s="8"/>
      <c r="C765" s="77"/>
      <c r="D765" s="12"/>
      <c r="G765" s="12"/>
    </row>
    <row r="766" spans="2:7">
      <c r="B766" s="8"/>
      <c r="C766" s="77"/>
      <c r="D766" s="12"/>
      <c r="G766" s="12"/>
    </row>
    <row r="767" spans="2:7">
      <c r="B767" s="8"/>
      <c r="C767" s="77"/>
      <c r="D767" s="12"/>
      <c r="G767" s="12"/>
    </row>
    <row r="768" spans="2:7">
      <c r="B768" s="8"/>
      <c r="C768" s="77"/>
      <c r="D768" s="12"/>
      <c r="G768" s="12"/>
    </row>
    <row r="769" spans="2:7">
      <c r="B769" s="8"/>
      <c r="C769" s="77"/>
      <c r="D769" s="12"/>
      <c r="G769" s="12"/>
    </row>
    <row r="770" spans="2:7">
      <c r="B770" s="8"/>
      <c r="C770" s="77"/>
      <c r="D770" s="12"/>
      <c r="G770" s="12"/>
    </row>
    <row r="771" spans="2:7">
      <c r="B771" s="8"/>
      <c r="C771" s="77"/>
      <c r="D771" s="12"/>
      <c r="G771" s="12"/>
    </row>
    <row r="772" spans="2:7">
      <c r="B772" s="8"/>
      <c r="C772" s="77"/>
      <c r="D772" s="12"/>
      <c r="G772" s="12"/>
    </row>
    <row r="773" spans="2:7">
      <c r="B773" s="8"/>
      <c r="C773" s="77"/>
      <c r="D773" s="12"/>
      <c r="G773" s="12"/>
    </row>
    <row r="774" spans="2:7">
      <c r="B774" s="8"/>
      <c r="C774" s="77"/>
      <c r="D774" s="12"/>
      <c r="G774" s="12"/>
    </row>
    <row r="775" spans="2:7">
      <c r="B775" s="8"/>
      <c r="C775" s="77"/>
      <c r="D775" s="12"/>
      <c r="G775" s="12"/>
    </row>
    <row r="776" spans="2:7">
      <c r="B776" s="8"/>
      <c r="C776" s="77"/>
      <c r="D776" s="12"/>
      <c r="G776" s="12"/>
    </row>
    <row r="777" spans="2:7">
      <c r="B777" s="8"/>
      <c r="C777" s="77"/>
      <c r="D777" s="12"/>
      <c r="G777" s="12"/>
    </row>
    <row r="778" spans="2:7">
      <c r="B778" s="8"/>
      <c r="C778" s="77"/>
      <c r="D778" s="12"/>
      <c r="G778" s="12"/>
    </row>
    <row r="779" spans="2:7">
      <c r="B779" s="8"/>
      <c r="C779" s="77"/>
      <c r="D779" s="12"/>
      <c r="G779" s="12"/>
    </row>
    <row r="780" spans="2:7">
      <c r="B780" s="8"/>
      <c r="C780" s="77"/>
      <c r="D780" s="12"/>
      <c r="G780" s="12"/>
    </row>
    <row r="781" spans="2:7">
      <c r="B781" s="8"/>
      <c r="C781" s="77"/>
      <c r="D781" s="12"/>
      <c r="G781" s="12"/>
    </row>
    <row r="782" spans="2:7">
      <c r="B782" s="8"/>
      <c r="C782" s="77"/>
      <c r="D782" s="12"/>
      <c r="G782" s="12"/>
    </row>
    <row r="783" spans="2:7">
      <c r="B783" s="8"/>
      <c r="C783" s="77"/>
      <c r="D783" s="12"/>
      <c r="G783" s="12"/>
    </row>
    <row r="784" spans="2:7">
      <c r="B784" s="8"/>
      <c r="C784" s="77"/>
      <c r="D784" s="12"/>
      <c r="G784" s="12"/>
    </row>
    <row r="785" spans="2:7">
      <c r="B785" s="8"/>
      <c r="C785" s="77"/>
      <c r="D785" s="12"/>
      <c r="G785" s="12"/>
    </row>
    <row r="786" spans="2:7">
      <c r="B786" s="8"/>
      <c r="C786" s="77"/>
      <c r="D786" s="12"/>
      <c r="G786" s="12"/>
    </row>
    <row r="787" spans="2:7">
      <c r="B787" s="8"/>
      <c r="C787" s="77"/>
      <c r="D787" s="12"/>
      <c r="G787" s="12"/>
    </row>
    <row r="788" spans="2:7">
      <c r="B788" s="8"/>
      <c r="C788" s="77"/>
      <c r="D788" s="12"/>
      <c r="G788" s="12"/>
    </row>
    <row r="789" spans="2:7">
      <c r="B789" s="8"/>
      <c r="C789" s="77"/>
      <c r="D789" s="12"/>
      <c r="G789" s="12"/>
    </row>
    <row r="790" spans="2:7">
      <c r="B790" s="8"/>
      <c r="C790" s="77"/>
      <c r="D790" s="12"/>
      <c r="G790" s="12"/>
    </row>
    <row r="791" spans="2:7">
      <c r="B791" s="8"/>
      <c r="C791" s="77"/>
      <c r="D791" s="12"/>
      <c r="G791" s="12"/>
    </row>
    <row r="792" spans="2:7">
      <c r="B792" s="8"/>
      <c r="C792" s="77"/>
      <c r="D792" s="12"/>
      <c r="G792" s="12"/>
    </row>
    <row r="793" spans="2:7">
      <c r="B793" s="8"/>
      <c r="C793" s="77"/>
      <c r="D793" s="12"/>
      <c r="G793" s="12"/>
    </row>
    <row r="794" spans="2:7">
      <c r="B794" s="8"/>
      <c r="C794" s="77"/>
      <c r="D794" s="12"/>
      <c r="G794" s="12"/>
    </row>
    <row r="795" spans="2:7">
      <c r="B795" s="8"/>
      <c r="C795" s="77"/>
      <c r="D795" s="12"/>
      <c r="G795" s="12"/>
    </row>
    <row r="796" spans="2:7">
      <c r="B796" s="8"/>
      <c r="C796" s="77"/>
      <c r="D796" s="12"/>
      <c r="G796" s="12"/>
    </row>
    <row r="797" spans="2:7">
      <c r="B797" s="8"/>
      <c r="C797" s="77"/>
      <c r="D797" s="12"/>
      <c r="G797" s="12"/>
    </row>
    <row r="798" spans="2:7">
      <c r="B798" s="8"/>
      <c r="C798" s="77"/>
      <c r="D798" s="12"/>
      <c r="G798" s="12"/>
    </row>
    <row r="799" spans="2:7">
      <c r="B799" s="8"/>
      <c r="C799" s="77"/>
      <c r="D799" s="12"/>
      <c r="G799" s="12"/>
    </row>
    <row r="800" spans="2:7">
      <c r="B800" s="8"/>
      <c r="C800" s="77"/>
      <c r="D800" s="12"/>
      <c r="G800" s="12"/>
    </row>
    <row r="801" spans="2:7">
      <c r="B801" s="8"/>
      <c r="C801" s="77"/>
      <c r="D801" s="12"/>
      <c r="G801" s="12"/>
    </row>
    <row r="802" spans="2:7">
      <c r="B802" s="8"/>
      <c r="C802" s="77"/>
      <c r="D802" s="12"/>
      <c r="G802" s="12"/>
    </row>
    <row r="803" spans="2:7">
      <c r="B803" s="8"/>
      <c r="C803" s="77"/>
      <c r="D803" s="12"/>
      <c r="G803" s="12"/>
    </row>
    <row r="804" spans="2:7">
      <c r="B804" s="8"/>
      <c r="C804" s="77"/>
      <c r="D804" s="12"/>
      <c r="G804" s="12"/>
    </row>
    <row r="805" spans="2:7">
      <c r="B805" s="8"/>
      <c r="C805" s="77"/>
      <c r="D805" s="12"/>
      <c r="G805" s="12"/>
    </row>
    <row r="806" spans="2:7">
      <c r="B806" s="8"/>
      <c r="C806" s="77"/>
      <c r="D806" s="12"/>
      <c r="G806" s="12"/>
    </row>
    <row r="807" spans="2:7">
      <c r="B807" s="8"/>
      <c r="C807" s="77"/>
      <c r="D807" s="12"/>
      <c r="G807" s="12"/>
    </row>
    <row r="808" spans="2:7">
      <c r="B808" s="8"/>
      <c r="C808" s="77"/>
      <c r="D808" s="12"/>
      <c r="G808" s="12"/>
    </row>
    <row r="809" spans="2:7">
      <c r="B809" s="8"/>
      <c r="C809" s="77"/>
      <c r="D809" s="12"/>
      <c r="G809" s="12"/>
    </row>
    <row r="810" spans="2:7">
      <c r="B810" s="8"/>
      <c r="C810" s="77"/>
      <c r="D810" s="12"/>
      <c r="G810" s="12"/>
    </row>
    <row r="811" spans="2:7">
      <c r="B811" s="8"/>
      <c r="C811" s="77"/>
      <c r="D811" s="12"/>
      <c r="G811" s="12"/>
    </row>
    <row r="812" spans="2:7">
      <c r="B812" s="8"/>
      <c r="C812" s="77"/>
      <c r="D812" s="12"/>
      <c r="G812" s="12"/>
    </row>
    <row r="813" spans="2:7">
      <c r="B813" s="8"/>
      <c r="C813" s="77"/>
      <c r="D813" s="12"/>
      <c r="G813" s="12"/>
    </row>
    <row r="814" spans="2:7">
      <c r="B814" s="8"/>
      <c r="C814" s="77"/>
      <c r="D814" s="12"/>
      <c r="G814" s="12"/>
    </row>
    <row r="815" spans="2:7">
      <c r="B815" s="8"/>
      <c r="C815" s="77"/>
      <c r="D815" s="12"/>
      <c r="G815" s="12"/>
    </row>
    <row r="816" spans="2:7">
      <c r="B816" s="8"/>
      <c r="C816" s="77"/>
      <c r="D816" s="12"/>
      <c r="G816" s="12"/>
    </row>
    <row r="817" spans="2:7">
      <c r="B817" s="8"/>
      <c r="C817" s="77"/>
      <c r="D817" s="12"/>
      <c r="G817" s="12"/>
    </row>
    <row r="818" spans="2:7">
      <c r="B818" s="8"/>
      <c r="C818" s="77"/>
      <c r="D818" s="12"/>
      <c r="G818" s="12"/>
    </row>
    <row r="819" spans="2:7">
      <c r="B819" s="8"/>
      <c r="C819" s="77"/>
      <c r="D819" s="12"/>
      <c r="G819" s="12"/>
    </row>
    <row r="820" spans="2:7">
      <c r="B820" s="8"/>
      <c r="C820" s="77"/>
      <c r="D820" s="12"/>
      <c r="G820" s="12"/>
    </row>
    <row r="821" spans="2:7">
      <c r="B821" s="8"/>
      <c r="C821" s="77"/>
      <c r="D821" s="12"/>
      <c r="G821" s="12"/>
    </row>
    <row r="822" spans="2:7">
      <c r="B822" s="8"/>
      <c r="C822" s="77"/>
      <c r="D822" s="12"/>
      <c r="G822" s="12"/>
    </row>
    <row r="823" spans="2:7">
      <c r="B823" s="8"/>
      <c r="C823" s="77"/>
      <c r="D823" s="12"/>
      <c r="G823" s="12"/>
    </row>
    <row r="824" spans="2:7">
      <c r="B824" s="8"/>
      <c r="C824" s="77"/>
      <c r="D824" s="12"/>
      <c r="G824" s="12"/>
    </row>
    <row r="825" spans="2:7">
      <c r="B825" s="8"/>
      <c r="C825" s="77"/>
      <c r="D825" s="12"/>
      <c r="G825" s="12"/>
    </row>
    <row r="826" spans="2:7">
      <c r="B826" s="8"/>
      <c r="C826" s="77"/>
      <c r="D826" s="12"/>
      <c r="G826" s="12"/>
    </row>
    <row r="827" spans="2:7">
      <c r="B827" s="8"/>
      <c r="C827" s="77"/>
      <c r="D827" s="12"/>
      <c r="G827" s="12"/>
    </row>
    <row r="828" spans="2:7">
      <c r="B828" s="8"/>
      <c r="C828" s="77"/>
      <c r="D828" s="12"/>
      <c r="G828" s="12"/>
    </row>
    <row r="829" spans="2:7">
      <c r="B829" s="8"/>
      <c r="C829" s="77"/>
      <c r="D829" s="12"/>
      <c r="G829" s="12"/>
    </row>
    <row r="830" spans="2:7">
      <c r="B830" s="8"/>
      <c r="C830" s="77"/>
      <c r="D830" s="12"/>
      <c r="G830" s="12"/>
    </row>
    <row r="831" spans="2:7">
      <c r="B831" s="8"/>
      <c r="C831" s="77"/>
      <c r="D831" s="12"/>
      <c r="G831" s="12"/>
    </row>
    <row r="832" spans="2:7">
      <c r="B832" s="8"/>
      <c r="C832" s="77"/>
      <c r="D832" s="12"/>
      <c r="G832" s="12"/>
    </row>
    <row r="833" spans="2:7">
      <c r="B833" s="8"/>
      <c r="C833" s="77"/>
      <c r="D833" s="12"/>
      <c r="G833" s="12"/>
    </row>
    <row r="834" spans="2:7">
      <c r="B834" s="8"/>
      <c r="C834" s="77"/>
      <c r="D834" s="12"/>
      <c r="G834" s="12"/>
    </row>
    <row r="835" spans="2:7">
      <c r="B835" s="8"/>
      <c r="C835" s="77"/>
      <c r="D835" s="12"/>
      <c r="G835" s="12"/>
    </row>
    <row r="836" spans="2:7">
      <c r="B836" s="8"/>
      <c r="C836" s="77"/>
      <c r="D836" s="12"/>
      <c r="G836" s="12"/>
    </row>
    <row r="837" spans="2:7">
      <c r="B837" s="8"/>
      <c r="C837" s="77"/>
      <c r="D837" s="12"/>
      <c r="G837" s="12"/>
    </row>
    <row r="838" spans="2:7">
      <c r="B838" s="8"/>
      <c r="C838" s="77"/>
      <c r="D838" s="12"/>
      <c r="G838" s="12"/>
    </row>
    <row r="839" spans="2:7">
      <c r="B839" s="8"/>
      <c r="C839" s="77"/>
      <c r="D839" s="12"/>
      <c r="G839" s="12"/>
    </row>
    <row r="840" spans="2:7">
      <c r="B840" s="8"/>
      <c r="C840" s="77"/>
      <c r="D840" s="12"/>
      <c r="G840" s="12"/>
    </row>
    <row r="841" spans="2:7">
      <c r="B841" s="8"/>
      <c r="C841" s="77"/>
      <c r="D841" s="12"/>
      <c r="G841" s="12"/>
    </row>
    <row r="842" spans="2:7">
      <c r="B842" s="8"/>
      <c r="C842" s="77"/>
      <c r="D842" s="12"/>
      <c r="G842" s="12"/>
    </row>
    <row r="843" spans="2:7">
      <c r="B843" s="8"/>
      <c r="C843" s="77"/>
      <c r="D843" s="12"/>
      <c r="G843" s="12"/>
    </row>
    <row r="844" spans="2:7">
      <c r="B844" s="8"/>
      <c r="C844" s="77"/>
      <c r="D844" s="12"/>
      <c r="G844" s="12"/>
    </row>
    <row r="845" spans="2:7">
      <c r="B845" s="8"/>
      <c r="C845" s="77"/>
      <c r="D845" s="12"/>
      <c r="G845" s="12"/>
    </row>
    <row r="846" spans="2:7">
      <c r="B846" s="8"/>
      <c r="C846" s="77"/>
      <c r="D846" s="12"/>
      <c r="G846" s="12"/>
    </row>
    <row r="847" spans="2:7">
      <c r="B847" s="8"/>
      <c r="C847" s="77"/>
      <c r="D847" s="12"/>
      <c r="G847" s="12"/>
    </row>
    <row r="848" spans="2:7">
      <c r="B848" s="8"/>
      <c r="C848" s="77"/>
      <c r="D848" s="12"/>
      <c r="G848" s="12"/>
    </row>
    <row r="849" spans="2:7">
      <c r="B849" s="8"/>
      <c r="C849" s="77"/>
      <c r="D849" s="12"/>
      <c r="G849" s="12"/>
    </row>
    <row r="850" spans="2:7">
      <c r="B850" s="8"/>
      <c r="C850" s="77"/>
      <c r="D850" s="12"/>
      <c r="G850" s="12"/>
    </row>
    <row r="851" spans="2:7">
      <c r="B851" s="8"/>
      <c r="C851" s="77"/>
      <c r="D851" s="12"/>
      <c r="G851" s="12"/>
    </row>
    <row r="852" spans="2:7">
      <c r="B852" s="8"/>
      <c r="C852" s="77"/>
      <c r="D852" s="12"/>
      <c r="G852" s="12"/>
    </row>
    <row r="853" spans="2:7">
      <c r="B853" s="8"/>
      <c r="C853" s="77"/>
      <c r="D853" s="12"/>
      <c r="G853" s="12"/>
    </row>
    <row r="854" spans="2:7">
      <c r="B854" s="8"/>
      <c r="C854" s="77"/>
      <c r="D854" s="12"/>
      <c r="G854" s="12"/>
    </row>
    <row r="855" spans="2:7">
      <c r="B855" s="8"/>
      <c r="C855" s="77"/>
      <c r="D855" s="12"/>
      <c r="G855" s="12"/>
    </row>
    <row r="856" spans="2:7">
      <c r="B856" s="8"/>
      <c r="C856" s="77"/>
      <c r="D856" s="12"/>
      <c r="G856" s="12"/>
    </row>
    <row r="857" spans="2:7">
      <c r="B857" s="8"/>
      <c r="C857" s="77"/>
      <c r="D857" s="12"/>
      <c r="G857" s="12"/>
    </row>
    <row r="858" spans="2:7">
      <c r="B858" s="8"/>
      <c r="C858" s="77"/>
      <c r="D858" s="12"/>
      <c r="G858" s="12"/>
    </row>
    <row r="859" spans="2:7">
      <c r="B859" s="8"/>
      <c r="C859" s="77"/>
      <c r="D859" s="12"/>
      <c r="G859" s="12"/>
    </row>
    <row r="860" spans="2:7">
      <c r="B860" s="8"/>
      <c r="C860" s="77"/>
      <c r="D860" s="12"/>
      <c r="G860" s="12"/>
    </row>
    <row r="861" spans="2:7">
      <c r="B861" s="8"/>
      <c r="C861" s="77"/>
      <c r="D861" s="12"/>
      <c r="G861" s="12"/>
    </row>
    <row r="862" spans="2:7">
      <c r="B862" s="8"/>
      <c r="C862" s="77"/>
      <c r="D862" s="12"/>
      <c r="G862" s="12"/>
    </row>
    <row r="863" spans="2:7">
      <c r="B863" s="8"/>
      <c r="C863" s="77"/>
      <c r="D863" s="12"/>
      <c r="G863" s="12"/>
    </row>
    <row r="864" spans="2:7">
      <c r="B864" s="8"/>
      <c r="C864" s="77"/>
      <c r="D864" s="12"/>
      <c r="G864" s="12"/>
    </row>
    <row r="865" spans="2:7">
      <c r="B865" s="8"/>
      <c r="C865" s="77"/>
      <c r="D865" s="12"/>
      <c r="G865" s="12"/>
    </row>
    <row r="866" spans="2:7">
      <c r="B866" s="8"/>
      <c r="C866" s="77"/>
      <c r="D866" s="12"/>
      <c r="G866" s="12"/>
    </row>
    <row r="867" spans="2:7">
      <c r="B867" s="8"/>
      <c r="C867" s="77"/>
      <c r="D867" s="12"/>
      <c r="G867" s="12"/>
    </row>
    <row r="868" spans="2:7">
      <c r="B868" s="8"/>
      <c r="C868" s="77"/>
      <c r="D868" s="12"/>
      <c r="G868" s="12"/>
    </row>
    <row r="869" spans="2:7">
      <c r="B869" s="8"/>
      <c r="C869" s="77"/>
      <c r="D869" s="12"/>
      <c r="G869" s="12"/>
    </row>
    <row r="870" spans="2:7">
      <c r="B870" s="8"/>
      <c r="C870" s="77"/>
      <c r="D870" s="12"/>
      <c r="G870" s="12"/>
    </row>
    <row r="871" spans="2:7">
      <c r="B871" s="8"/>
      <c r="C871" s="77"/>
      <c r="D871" s="12"/>
      <c r="G871" s="12"/>
    </row>
    <row r="872" spans="2:7">
      <c r="B872" s="8"/>
      <c r="C872" s="77"/>
      <c r="D872" s="12"/>
      <c r="G872" s="12"/>
    </row>
    <row r="873" spans="2:7">
      <c r="B873" s="8"/>
      <c r="C873" s="77"/>
      <c r="D873" s="12"/>
      <c r="G873" s="12"/>
    </row>
    <row r="874" spans="2:7">
      <c r="B874" s="8"/>
      <c r="C874" s="77"/>
      <c r="D874" s="12"/>
      <c r="G874" s="12"/>
    </row>
    <row r="875" spans="2:7">
      <c r="B875" s="8"/>
      <c r="C875" s="77"/>
      <c r="D875" s="12"/>
      <c r="G875" s="12"/>
    </row>
    <row r="876" spans="2:7">
      <c r="B876" s="8"/>
      <c r="C876" s="77"/>
      <c r="D876" s="12"/>
      <c r="G876" s="12"/>
    </row>
    <row r="877" spans="2:7">
      <c r="B877" s="8"/>
      <c r="C877" s="77"/>
      <c r="D877" s="12"/>
      <c r="G877" s="12"/>
    </row>
    <row r="878" spans="2:7">
      <c r="B878" s="8"/>
      <c r="C878" s="77"/>
      <c r="D878" s="12"/>
      <c r="G878" s="12"/>
    </row>
    <row r="879" spans="2:7">
      <c r="B879" s="8"/>
      <c r="C879" s="77"/>
      <c r="D879" s="12"/>
      <c r="G879" s="12"/>
    </row>
    <row r="880" spans="2:7">
      <c r="B880" s="8"/>
      <c r="C880" s="77"/>
      <c r="D880" s="12"/>
      <c r="G880" s="12"/>
    </row>
    <row r="881" spans="2:7">
      <c r="B881" s="8"/>
      <c r="C881" s="77"/>
      <c r="D881" s="12"/>
      <c r="G881" s="12"/>
    </row>
    <row r="882" spans="2:7">
      <c r="B882" s="8"/>
      <c r="C882" s="77"/>
      <c r="D882" s="12"/>
      <c r="G882" s="12"/>
    </row>
    <row r="883" spans="2:7">
      <c r="B883" s="8"/>
      <c r="C883" s="77"/>
      <c r="D883" s="12"/>
      <c r="G883" s="12"/>
    </row>
    <row r="884" spans="2:7">
      <c r="B884" s="8"/>
      <c r="C884" s="77"/>
      <c r="D884" s="12"/>
      <c r="G884" s="12"/>
    </row>
    <row r="885" spans="2:7">
      <c r="B885" s="8"/>
      <c r="C885" s="77"/>
      <c r="D885" s="12"/>
      <c r="G885" s="12"/>
    </row>
    <row r="886" spans="2:7">
      <c r="B886" s="8"/>
      <c r="C886" s="77"/>
      <c r="D886" s="12"/>
      <c r="G886" s="12"/>
    </row>
    <row r="887" spans="2:7">
      <c r="B887" s="8"/>
      <c r="C887" s="77"/>
      <c r="D887" s="12"/>
      <c r="G887" s="12"/>
    </row>
    <row r="888" spans="2:7">
      <c r="B888" s="8"/>
      <c r="C888" s="77"/>
      <c r="D888" s="12"/>
      <c r="G888" s="12"/>
    </row>
    <row r="889" spans="2:7">
      <c r="B889" s="8"/>
      <c r="C889" s="77"/>
      <c r="D889" s="12"/>
      <c r="G889" s="12"/>
    </row>
    <row r="890" spans="2:7">
      <c r="B890" s="8"/>
      <c r="C890" s="77"/>
      <c r="D890" s="12"/>
      <c r="G890" s="12"/>
    </row>
    <row r="891" spans="2:7">
      <c r="B891" s="8"/>
      <c r="C891" s="77"/>
      <c r="D891" s="12"/>
      <c r="G891" s="12"/>
    </row>
    <row r="892" spans="2:7">
      <c r="B892" s="8"/>
      <c r="C892" s="77"/>
      <c r="D892" s="12"/>
      <c r="G892" s="12"/>
    </row>
    <row r="893" spans="2:7">
      <c r="B893" s="8"/>
      <c r="C893" s="77"/>
      <c r="D893" s="12"/>
      <c r="G893" s="12"/>
    </row>
    <row r="894" spans="2:7">
      <c r="B894" s="8"/>
      <c r="C894" s="77"/>
      <c r="D894" s="12"/>
      <c r="G894" s="12"/>
    </row>
    <row r="895" spans="2:7">
      <c r="B895" s="8"/>
      <c r="C895" s="77"/>
      <c r="D895" s="12"/>
      <c r="G895" s="12"/>
    </row>
    <row r="896" spans="2:7">
      <c r="B896" s="8"/>
      <c r="C896" s="77"/>
      <c r="D896" s="12"/>
      <c r="G896" s="12"/>
    </row>
    <row r="897" spans="2:7">
      <c r="B897" s="8"/>
      <c r="C897" s="77"/>
      <c r="D897" s="12"/>
      <c r="G897" s="12"/>
    </row>
    <row r="898" spans="2:7">
      <c r="B898" s="8"/>
      <c r="C898" s="77"/>
      <c r="D898" s="12"/>
      <c r="G898" s="12"/>
    </row>
    <row r="899" spans="2:7">
      <c r="B899" s="8"/>
      <c r="C899" s="77"/>
      <c r="D899" s="12"/>
      <c r="G899" s="12"/>
    </row>
    <row r="900" spans="2:7">
      <c r="B900" s="8"/>
      <c r="C900" s="77"/>
      <c r="D900" s="12"/>
      <c r="G900" s="12"/>
    </row>
    <row r="901" spans="2:7">
      <c r="B901" s="8"/>
      <c r="C901" s="77"/>
      <c r="D901" s="12"/>
      <c r="G901" s="12"/>
    </row>
    <row r="902" spans="2:7">
      <c r="B902" s="8"/>
      <c r="C902" s="77"/>
      <c r="D902" s="12"/>
      <c r="G902" s="12"/>
    </row>
    <row r="903" spans="2:7">
      <c r="B903" s="8"/>
      <c r="C903" s="77"/>
      <c r="D903" s="12"/>
      <c r="G903" s="12"/>
    </row>
    <row r="904" spans="2:7">
      <c r="B904" s="8"/>
      <c r="C904" s="77"/>
      <c r="D904" s="12"/>
      <c r="G904" s="12"/>
    </row>
    <row r="905" spans="2:7">
      <c r="B905" s="8"/>
      <c r="C905" s="77"/>
      <c r="D905" s="12"/>
      <c r="G905" s="12"/>
    </row>
    <row r="906" spans="2:7">
      <c r="B906" s="8"/>
      <c r="C906" s="77"/>
      <c r="D906" s="12"/>
      <c r="G906" s="12"/>
    </row>
    <row r="907" spans="2:7">
      <c r="B907" s="8"/>
      <c r="C907" s="77"/>
      <c r="D907" s="12"/>
      <c r="G907" s="12"/>
    </row>
    <row r="908" spans="2:7">
      <c r="B908" s="8"/>
      <c r="C908" s="77"/>
      <c r="D908" s="12"/>
      <c r="G908" s="12"/>
    </row>
    <row r="909" spans="2:7">
      <c r="B909" s="8"/>
      <c r="C909" s="77"/>
      <c r="D909" s="12"/>
      <c r="G909" s="12"/>
    </row>
    <row r="910" spans="2:7">
      <c r="B910" s="8"/>
      <c r="C910" s="77"/>
      <c r="D910" s="12"/>
      <c r="G910" s="12"/>
    </row>
    <row r="911" spans="2:7">
      <c r="B911" s="8"/>
      <c r="C911" s="77"/>
      <c r="D911" s="12"/>
      <c r="G911" s="12"/>
    </row>
    <row r="912" spans="2:7">
      <c r="B912" s="8"/>
      <c r="C912" s="77"/>
      <c r="D912" s="12"/>
      <c r="G912" s="12"/>
    </row>
    <row r="913" spans="2:7">
      <c r="B913" s="8"/>
      <c r="C913" s="77"/>
      <c r="D913" s="12"/>
      <c r="G913" s="12"/>
    </row>
    <row r="914" spans="2:7">
      <c r="B914" s="8"/>
      <c r="C914" s="77"/>
      <c r="D914" s="12"/>
      <c r="G914" s="12"/>
    </row>
    <row r="915" spans="2:7">
      <c r="B915" s="8"/>
      <c r="C915" s="77"/>
      <c r="D915" s="12"/>
      <c r="G915" s="12"/>
    </row>
    <row r="916" spans="2:7">
      <c r="B916" s="8"/>
      <c r="C916" s="77"/>
      <c r="D916" s="12"/>
      <c r="G916" s="12"/>
    </row>
    <row r="917" spans="2:7">
      <c r="B917" s="8"/>
      <c r="C917" s="77"/>
      <c r="D917" s="12"/>
      <c r="G917" s="12"/>
    </row>
    <row r="918" spans="2:7">
      <c r="B918" s="8"/>
      <c r="C918" s="77"/>
      <c r="D918" s="12"/>
      <c r="G918" s="12"/>
    </row>
    <row r="919" spans="2:7">
      <c r="B919" s="8"/>
      <c r="C919" s="77"/>
      <c r="D919" s="12"/>
      <c r="G919" s="12"/>
    </row>
    <row r="920" spans="2:7">
      <c r="B920" s="8"/>
      <c r="C920" s="77"/>
      <c r="D920" s="12"/>
      <c r="G920" s="12"/>
    </row>
    <row r="921" spans="2:7">
      <c r="B921" s="8"/>
      <c r="C921" s="77"/>
      <c r="D921" s="12"/>
      <c r="G921" s="12"/>
    </row>
    <row r="922" spans="2:7">
      <c r="B922" s="8"/>
      <c r="C922" s="77"/>
      <c r="D922" s="12"/>
      <c r="G922" s="12"/>
    </row>
    <row r="923" spans="2:7">
      <c r="B923" s="8"/>
      <c r="C923" s="77"/>
      <c r="D923" s="12"/>
      <c r="G923" s="12"/>
    </row>
    <row r="924" spans="2:7">
      <c r="B924" s="8"/>
      <c r="C924" s="77"/>
      <c r="D924" s="12"/>
      <c r="G924" s="12"/>
    </row>
    <row r="925" spans="2:7">
      <c r="B925" s="8"/>
      <c r="C925" s="77"/>
      <c r="D925" s="12"/>
      <c r="G925" s="12"/>
    </row>
    <row r="926" spans="2:7">
      <c r="B926" s="8"/>
      <c r="C926" s="77"/>
      <c r="D926" s="12"/>
      <c r="G926" s="12"/>
    </row>
    <row r="927" spans="2:7">
      <c r="B927" s="8"/>
      <c r="C927" s="77"/>
      <c r="D927" s="12"/>
      <c r="G927" s="12"/>
    </row>
    <row r="928" spans="2:7">
      <c r="B928" s="8"/>
      <c r="C928" s="77"/>
      <c r="D928" s="12"/>
      <c r="G928" s="12"/>
    </row>
    <row r="929" spans="2:7">
      <c r="B929" s="8"/>
      <c r="C929" s="77"/>
      <c r="D929" s="12"/>
      <c r="G929" s="12"/>
    </row>
    <row r="930" spans="2:7">
      <c r="B930" s="8"/>
      <c r="C930" s="77"/>
      <c r="D930" s="12"/>
      <c r="G930" s="12"/>
    </row>
    <row r="931" spans="2:7">
      <c r="B931" s="8"/>
      <c r="C931" s="77"/>
      <c r="D931" s="12"/>
      <c r="G931" s="12"/>
    </row>
    <row r="932" spans="2:7">
      <c r="B932" s="8"/>
      <c r="C932" s="77"/>
      <c r="D932" s="12"/>
      <c r="G932" s="12"/>
    </row>
    <row r="933" spans="2:7">
      <c r="B933" s="8"/>
      <c r="C933" s="77"/>
      <c r="D933" s="12"/>
      <c r="G933" s="12"/>
    </row>
    <row r="934" spans="2:7">
      <c r="B934" s="8"/>
      <c r="C934" s="77"/>
      <c r="D934" s="12"/>
      <c r="G934" s="12"/>
    </row>
    <row r="935" spans="2:7">
      <c r="B935" s="8"/>
      <c r="C935" s="77"/>
      <c r="D935" s="12"/>
      <c r="G935" s="12"/>
    </row>
    <row r="936" spans="2:7">
      <c r="B936" s="8"/>
      <c r="C936" s="77"/>
      <c r="D936" s="12"/>
      <c r="G936" s="12"/>
    </row>
    <row r="937" spans="2:7">
      <c r="B937" s="8"/>
      <c r="C937" s="77"/>
      <c r="D937" s="12"/>
      <c r="G937" s="12"/>
    </row>
    <row r="938" spans="2:7">
      <c r="B938" s="8"/>
      <c r="C938" s="77"/>
      <c r="D938" s="12"/>
      <c r="G938" s="12"/>
    </row>
    <row r="939" spans="2:7">
      <c r="B939" s="8"/>
      <c r="C939" s="77"/>
      <c r="D939" s="12"/>
      <c r="G939" s="12"/>
    </row>
    <row r="940" spans="2:7">
      <c r="B940" s="8"/>
      <c r="C940" s="77"/>
      <c r="D940" s="12"/>
      <c r="G940" s="12"/>
    </row>
    <row r="941" spans="2:7">
      <c r="B941" s="8"/>
      <c r="C941" s="77"/>
      <c r="D941" s="12"/>
      <c r="G941" s="12"/>
    </row>
    <row r="942" spans="2:7">
      <c r="B942" s="8"/>
      <c r="C942" s="77"/>
      <c r="D942" s="12"/>
      <c r="G942" s="12"/>
    </row>
    <row r="943" spans="2:7">
      <c r="B943" s="8"/>
      <c r="C943" s="77"/>
      <c r="D943" s="12"/>
      <c r="G943" s="12"/>
    </row>
    <row r="944" spans="2:7">
      <c r="B944" s="8"/>
      <c r="C944" s="77"/>
      <c r="D944" s="12"/>
      <c r="G944" s="12"/>
    </row>
    <row r="945" spans="2:7">
      <c r="B945" s="8"/>
      <c r="C945" s="77"/>
      <c r="D945" s="12"/>
      <c r="G945" s="12"/>
    </row>
    <row r="946" spans="2:7">
      <c r="B946" s="8"/>
      <c r="C946" s="77"/>
      <c r="D946" s="12"/>
      <c r="G946" s="12"/>
    </row>
    <row r="947" spans="2:7">
      <c r="B947" s="8"/>
      <c r="C947" s="77"/>
      <c r="D947" s="12"/>
      <c r="G947" s="12"/>
    </row>
    <row r="948" spans="2:7">
      <c r="B948" s="8"/>
      <c r="C948" s="77"/>
      <c r="D948" s="12"/>
      <c r="G948" s="12"/>
    </row>
    <row r="949" spans="2:7">
      <c r="B949" s="8"/>
      <c r="C949" s="77"/>
      <c r="D949" s="12"/>
      <c r="G949" s="12"/>
    </row>
    <row r="950" spans="2:7">
      <c r="B950" s="8"/>
      <c r="C950" s="77"/>
      <c r="D950" s="12"/>
      <c r="G950" s="12"/>
    </row>
    <row r="951" spans="2:7">
      <c r="B951" s="8"/>
      <c r="C951" s="77"/>
      <c r="D951" s="12"/>
      <c r="G951" s="12"/>
    </row>
    <row r="952" spans="2:7">
      <c r="B952" s="8"/>
      <c r="C952" s="77"/>
      <c r="D952" s="12"/>
      <c r="G952" s="12"/>
    </row>
    <row r="953" spans="2:7">
      <c r="B953" s="8"/>
      <c r="C953" s="77"/>
      <c r="D953" s="12"/>
      <c r="G953" s="12"/>
    </row>
    <row r="954" spans="2:7">
      <c r="B954" s="8"/>
      <c r="C954" s="77"/>
      <c r="D954" s="12"/>
      <c r="G954" s="12"/>
    </row>
    <row r="955" spans="2:7">
      <c r="B955" s="8"/>
      <c r="C955" s="77"/>
      <c r="D955" s="12"/>
      <c r="G955" s="12"/>
    </row>
    <row r="956" spans="2:7">
      <c r="B956" s="8"/>
      <c r="C956" s="77"/>
      <c r="D956" s="12"/>
      <c r="G956" s="12"/>
    </row>
    <row r="957" spans="2:7">
      <c r="B957" s="8"/>
      <c r="C957" s="77"/>
      <c r="D957" s="12"/>
      <c r="G957" s="12"/>
    </row>
    <row r="958" spans="2:7">
      <c r="B958" s="8"/>
      <c r="C958" s="77"/>
      <c r="D958" s="12"/>
      <c r="G958" s="12"/>
    </row>
    <row r="959" spans="2:7">
      <c r="B959" s="8"/>
      <c r="C959" s="77"/>
      <c r="D959" s="12"/>
      <c r="G959" s="12"/>
    </row>
    <row r="960" spans="2:7">
      <c r="B960" s="8"/>
      <c r="C960" s="77"/>
      <c r="D960" s="12"/>
      <c r="G960" s="12"/>
    </row>
    <row r="961" spans="2:7">
      <c r="B961" s="8"/>
      <c r="C961" s="77"/>
      <c r="D961" s="12"/>
      <c r="G961" s="12"/>
    </row>
    <row r="962" spans="2:7">
      <c r="B962" s="8"/>
      <c r="C962" s="77"/>
      <c r="D962" s="12"/>
      <c r="G962" s="12"/>
    </row>
    <row r="963" spans="2:7">
      <c r="B963" s="8"/>
      <c r="C963" s="77"/>
      <c r="D963" s="12"/>
      <c r="G963" s="12"/>
    </row>
    <row r="964" spans="2:7">
      <c r="B964" s="8"/>
      <c r="C964" s="77"/>
      <c r="D964" s="12"/>
      <c r="G964" s="12"/>
    </row>
    <row r="965" spans="2:7">
      <c r="B965" s="8"/>
      <c r="C965" s="77"/>
      <c r="D965" s="12"/>
      <c r="G965" s="12"/>
    </row>
    <row r="966" spans="2:7">
      <c r="B966" s="8"/>
      <c r="C966" s="77"/>
      <c r="D966" s="12"/>
      <c r="G966" s="12"/>
    </row>
    <row r="967" spans="2:7">
      <c r="B967" s="8"/>
      <c r="C967" s="77"/>
      <c r="D967" s="12"/>
      <c r="G967" s="12"/>
    </row>
    <row r="968" spans="2:7">
      <c r="B968" s="8"/>
      <c r="C968" s="77"/>
      <c r="D968" s="12"/>
      <c r="G968" s="12"/>
    </row>
    <row r="969" spans="2:7">
      <c r="B969" s="8"/>
      <c r="C969" s="77"/>
      <c r="D969" s="12"/>
      <c r="G969" s="12"/>
    </row>
    <row r="970" spans="2:7">
      <c r="B970" s="8"/>
      <c r="C970" s="77"/>
      <c r="D970" s="12"/>
      <c r="G970" s="12"/>
    </row>
    <row r="971" spans="2:7">
      <c r="B971" s="8"/>
      <c r="C971" s="77"/>
      <c r="D971" s="12"/>
      <c r="G971" s="12"/>
    </row>
    <row r="972" spans="2:7">
      <c r="B972" s="8"/>
      <c r="C972" s="77"/>
      <c r="D972" s="12"/>
      <c r="G972" s="12"/>
    </row>
    <row r="973" spans="2:7">
      <c r="B973" s="8"/>
      <c r="C973" s="77"/>
      <c r="D973" s="12"/>
      <c r="G973" s="12"/>
    </row>
    <row r="974" spans="2:7">
      <c r="B974" s="8"/>
      <c r="C974" s="77"/>
      <c r="D974" s="12"/>
      <c r="G974" s="12"/>
    </row>
    <row r="975" spans="2:7">
      <c r="B975" s="8"/>
      <c r="C975" s="77"/>
      <c r="D975" s="12"/>
      <c r="G975" s="12"/>
    </row>
    <row r="976" spans="2:7">
      <c r="B976" s="8"/>
      <c r="C976" s="77"/>
      <c r="D976" s="12"/>
      <c r="G976" s="12"/>
    </row>
    <row r="977" spans="2:7">
      <c r="B977" s="8"/>
      <c r="C977" s="77"/>
      <c r="D977" s="12"/>
      <c r="G977" s="12"/>
    </row>
    <row r="978" spans="2:7">
      <c r="B978" s="8"/>
      <c r="C978" s="77"/>
      <c r="D978" s="12"/>
      <c r="G978" s="12"/>
    </row>
    <row r="979" spans="2:7">
      <c r="B979" s="8"/>
      <c r="C979" s="77"/>
      <c r="D979" s="12"/>
      <c r="G979" s="12"/>
    </row>
    <row r="980" spans="2:7">
      <c r="B980" s="8"/>
      <c r="C980" s="77"/>
      <c r="D980" s="12"/>
      <c r="G980" s="12"/>
    </row>
    <row r="981" spans="2:7">
      <c r="B981" s="8"/>
      <c r="C981" s="77"/>
      <c r="D981" s="12"/>
      <c r="G981" s="12"/>
    </row>
    <row r="982" spans="2:7">
      <c r="B982" s="8"/>
      <c r="C982" s="77"/>
      <c r="D982" s="12"/>
      <c r="G982" s="12"/>
    </row>
    <row r="983" spans="2:7">
      <c r="B983" s="8"/>
      <c r="C983" s="77"/>
      <c r="D983" s="12"/>
      <c r="G983" s="12"/>
    </row>
    <row r="984" spans="2:7">
      <c r="B984" s="8"/>
      <c r="C984" s="77"/>
      <c r="D984" s="12"/>
      <c r="G984" s="12"/>
    </row>
    <row r="985" spans="2:7">
      <c r="B985" s="8"/>
      <c r="C985" s="77"/>
      <c r="D985" s="12"/>
      <c r="G985" s="12"/>
    </row>
    <row r="986" spans="2:7">
      <c r="B986" s="8"/>
      <c r="C986" s="77"/>
      <c r="D986" s="12"/>
      <c r="G986" s="12"/>
    </row>
    <row r="987" spans="2:7">
      <c r="B987" s="8"/>
      <c r="C987" s="77"/>
      <c r="D987" s="12"/>
      <c r="G987" s="12"/>
    </row>
    <row r="988" spans="2:7">
      <c r="B988" s="8"/>
      <c r="C988" s="77"/>
      <c r="D988" s="12"/>
      <c r="G988" s="12"/>
    </row>
    <row r="989" spans="2:7">
      <c r="B989" s="8"/>
      <c r="C989" s="77"/>
      <c r="D989" s="12"/>
      <c r="G989" s="12"/>
    </row>
    <row r="990" spans="2:7">
      <c r="B990" s="8"/>
      <c r="C990" s="77"/>
      <c r="D990" s="12"/>
      <c r="G990" s="12"/>
    </row>
    <row r="991" spans="2:7">
      <c r="B991" s="8"/>
      <c r="C991" s="77"/>
      <c r="D991" s="12"/>
      <c r="G991" s="12"/>
    </row>
    <row r="992" spans="2:7">
      <c r="B992" s="8"/>
      <c r="C992" s="77"/>
      <c r="D992" s="12"/>
      <c r="G992" s="12"/>
    </row>
    <row r="993" spans="2:7">
      <c r="B993" s="8"/>
      <c r="C993" s="77"/>
      <c r="D993" s="12"/>
      <c r="G993" s="12"/>
    </row>
    <row r="994" spans="2:7">
      <c r="B994" s="8"/>
      <c r="C994" s="77"/>
      <c r="D994" s="12"/>
      <c r="G994" s="12"/>
    </row>
    <row r="995" spans="2:7">
      <c r="B995" s="8"/>
      <c r="C995" s="77"/>
      <c r="D995" s="12"/>
      <c r="G995" s="12"/>
    </row>
    <row r="996" spans="2:7">
      <c r="B996" s="8"/>
      <c r="C996" s="77"/>
      <c r="D996" s="12"/>
      <c r="G996" s="12"/>
    </row>
    <row r="997" spans="2:7">
      <c r="B997" s="8"/>
      <c r="C997" s="77"/>
      <c r="D997" s="12"/>
      <c r="G997" s="12"/>
    </row>
    <row r="998" spans="2:7">
      <c r="B998" s="8"/>
      <c r="C998" s="77"/>
      <c r="D998" s="12"/>
      <c r="G998" s="12"/>
    </row>
    <row r="999" spans="2:7">
      <c r="B999" s="8"/>
      <c r="C999" s="77"/>
      <c r="D999" s="12"/>
      <c r="G999" s="12"/>
    </row>
    <row r="1000" spans="2:7">
      <c r="B1000" s="8"/>
      <c r="C1000" s="77"/>
      <c r="D1000" s="12"/>
      <c r="G1000"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4"/>
  <sheetViews>
    <sheetView workbookViewId="0"/>
  </sheetViews>
  <sheetFormatPr defaultRowHeight="13.8"/>
  <sheetData>
    <row r="1" spans="1:10">
      <c r="A1" s="11" t="s">
        <v>236</v>
      </c>
      <c r="B1" s="11" t="s">
        <v>245</v>
      </c>
      <c r="C1" s="11" t="s">
        <v>34</v>
      </c>
      <c r="D1" s="11" t="s">
        <v>237</v>
      </c>
      <c r="E1" s="11" t="s">
        <v>238</v>
      </c>
      <c r="F1" s="11" t="s">
        <v>239</v>
      </c>
      <c r="G1" s="11" t="s">
        <v>240</v>
      </c>
      <c r="H1" s="11" t="s">
        <v>241</v>
      </c>
      <c r="I1" s="11" t="s">
        <v>242</v>
      </c>
      <c r="J1" s="11" t="s">
        <v>243</v>
      </c>
    </row>
    <row r="2" spans="1:10">
      <c r="A2" s="79">
        <v>44197</v>
      </c>
      <c r="B2" s="6" t="s">
        <v>246</v>
      </c>
      <c r="C2" s="7">
        <f t="shared" ref="C2:C4" si="0">10204*0.3</f>
        <v>3061.2</v>
      </c>
      <c r="D2" s="9">
        <f t="shared" ref="D2:D83" si="1">$C2/230</f>
        <v>13.309565217391304</v>
      </c>
      <c r="E2" s="70">
        <f>SUMIFS('Sales Data'!$J$2:$J$986,'Sales Data'!$F$2:$F$986,"Jan 2021",'Sales Data'!$G$2:$G$986,"Won",'Sales Data'!$M$2:$M$986,"W1")/1.18</f>
        <v>232440.67796610171</v>
      </c>
      <c r="F2" s="7">
        <f t="shared" ref="F2:F83" si="2">$E2/74</f>
        <v>3141.0902427851584</v>
      </c>
      <c r="G2" s="20">
        <f>COUNTIFS('Sales Data'!$F$2:$F$986,"Jan 2021",'Sales Data'!$G$2:$G$986,"Won",'Sales Data'!$M$2:$M$986,"W1")</f>
        <v>13</v>
      </c>
      <c r="H2" s="12">
        <f t="shared" ref="H2:H83" si="3">$F2/$C2</f>
        <v>1.0260976880913233</v>
      </c>
      <c r="I2" s="7">
        <f t="shared" ref="I2:I83" si="4">$C2-$F2</f>
        <v>-79.890242785158534</v>
      </c>
      <c r="J2" s="9">
        <f t="shared" ref="J2:J83" si="5">$D2-$G2</f>
        <v>0.30956521739130416</v>
      </c>
    </row>
    <row r="3" spans="1:10">
      <c r="A3" s="79">
        <v>44197</v>
      </c>
      <c r="B3" s="6" t="s">
        <v>247</v>
      </c>
      <c r="C3" s="7">
        <f t="shared" si="0"/>
        <v>3061.2</v>
      </c>
      <c r="D3" s="9">
        <f t="shared" si="1"/>
        <v>13.309565217391304</v>
      </c>
      <c r="E3" s="70">
        <f>SUMIFS('Sales Data'!$J$2:$J$986,'Sales Data'!$F$2:$F$986,"Jan 2021",'Sales Data'!$G$2:$G$986,"Won",'Sales Data'!$M$2:$M$986,"W2")/1.18</f>
        <v>207203.38983050847</v>
      </c>
      <c r="F3" s="7">
        <f t="shared" si="2"/>
        <v>2800.045808520385</v>
      </c>
      <c r="G3" s="20">
        <f>COUNTIFS('Sales Data'!$F$2:$F$986,"Jan 2021",'Sales Data'!$G$2:$G$986,"Won",'Sales Data'!$M$2:$M$986,"W2")</f>
        <v>13</v>
      </c>
      <c r="H3" s="12">
        <f t="shared" si="3"/>
        <v>0.91468894829491221</v>
      </c>
      <c r="I3" s="7">
        <f t="shared" si="4"/>
        <v>261.15419147961484</v>
      </c>
      <c r="J3" s="9">
        <f t="shared" si="5"/>
        <v>0.30956521739130416</v>
      </c>
    </row>
    <row r="4" spans="1:10">
      <c r="A4" s="79">
        <v>44197</v>
      </c>
      <c r="B4" s="6" t="s">
        <v>248</v>
      </c>
      <c r="C4" s="7">
        <f t="shared" si="0"/>
        <v>3061.2</v>
      </c>
      <c r="D4" s="9">
        <f t="shared" si="1"/>
        <v>13.309565217391304</v>
      </c>
      <c r="E4" s="70">
        <f>SUMIFS('Sales Data'!$J$2:$J$986,'Sales Data'!$F$2:$F$986,"Jan 2021",'Sales Data'!$G$2:$G$986,"Won",'Sales Data'!$M$2:$M$986,"W3")/1.18</f>
        <v>79237.288135593219</v>
      </c>
      <c r="F4" s="7">
        <f t="shared" si="2"/>
        <v>1070.7741639945029</v>
      </c>
      <c r="G4" s="20">
        <f>COUNTIFS('Sales Data'!$F$2:$F$986,"Jan 2021",'Sales Data'!$G$2:$G$986,"Won",'Sales Data'!$M$2:$M$986,"W3")</f>
        <v>4</v>
      </c>
      <c r="H4" s="12">
        <f t="shared" si="3"/>
        <v>0.34978902521707272</v>
      </c>
      <c r="I4" s="7">
        <f t="shared" si="4"/>
        <v>1990.4258360054969</v>
      </c>
      <c r="J4" s="9">
        <f t="shared" si="5"/>
        <v>9.3095652173913042</v>
      </c>
    </row>
    <row r="5" spans="1:10">
      <c r="A5" s="79">
        <v>44197</v>
      </c>
      <c r="B5" s="6" t="s">
        <v>249</v>
      </c>
      <c r="C5" s="7">
        <f>10204-SUM(C2:C4)</f>
        <v>1020.4000000000015</v>
      </c>
      <c r="D5" s="9">
        <f t="shared" si="1"/>
        <v>4.4365217391304412</v>
      </c>
      <c r="E5" s="70">
        <f>SUMIFS('Sales Data'!$J$2:$J$986,'Sales Data'!$F$2:$F$986,"Jan 2021",'Sales Data'!$G$2:$G$986,"Won",'Sales Data'!$M$2:$M$986,"W4")/1.18</f>
        <v>226593.22033898305</v>
      </c>
      <c r="F5" s="7">
        <f t="shared" si="2"/>
        <v>3062.0705451213926</v>
      </c>
      <c r="G5" s="20">
        <f>COUNTIFS('Sales Data'!$F$2:$F$986,"Jan 2021",'Sales Data'!$G$2:$G$986,"Won",'Sales Data'!$M$2:$M$986,"W4")</f>
        <v>12</v>
      </c>
      <c r="H5" s="12">
        <f t="shared" si="3"/>
        <v>3.0008531410440886</v>
      </c>
      <c r="I5" s="7">
        <f t="shared" si="4"/>
        <v>-2041.6705451213911</v>
      </c>
      <c r="J5" s="9">
        <f t="shared" si="5"/>
        <v>-7.5634782608695588</v>
      </c>
    </row>
    <row r="6" spans="1:10">
      <c r="A6" s="79">
        <v>44228</v>
      </c>
      <c r="B6" s="6" t="s">
        <v>246</v>
      </c>
      <c r="C6" s="7">
        <f t="shared" ref="C6:C8" si="6">10204*0.3</f>
        <v>3061.2</v>
      </c>
      <c r="D6" s="9">
        <f t="shared" si="1"/>
        <v>13.309565217391304</v>
      </c>
      <c r="E6" s="70">
        <f>SUMIFS('Sales Data'!$J$2:$J$986,'Sales Data'!$F$2:$F$986,"Feb 2021",'Sales Data'!$G$2:$G$986,"Won",'Sales Data'!$M$2:$M$986,"W1")/1.18</f>
        <v>181591.52542372883</v>
      </c>
      <c r="F6" s="7">
        <f t="shared" si="2"/>
        <v>2453.9395327530924</v>
      </c>
      <c r="G6" s="20">
        <f>COUNTIFS('Sales Data'!$F$2:$F$986,"Feb 2021",'Sales Data'!$G$2:$G$986,"Won",'Sales Data'!$M$2:$M$986,"W1")</f>
        <v>11</v>
      </c>
      <c r="H6" s="12">
        <f t="shared" si="3"/>
        <v>0.80162666037929331</v>
      </c>
      <c r="I6" s="7">
        <f t="shared" si="4"/>
        <v>607.26046724690741</v>
      </c>
      <c r="J6" s="9">
        <f t="shared" si="5"/>
        <v>2.3095652173913042</v>
      </c>
    </row>
    <row r="7" spans="1:10">
      <c r="A7" s="79">
        <v>44228</v>
      </c>
      <c r="B7" s="6" t="s">
        <v>247</v>
      </c>
      <c r="C7" s="7">
        <f t="shared" si="6"/>
        <v>3061.2</v>
      </c>
      <c r="D7" s="9">
        <f t="shared" si="1"/>
        <v>13.309565217391304</v>
      </c>
      <c r="E7" s="70">
        <f>SUMIFS('Sales Data'!$J$2:$J$986,'Sales Data'!$F$2:$F$986,"Feb 2021",'Sales Data'!$G$2:$G$986,"Won",'Sales Data'!$M$2:$M$986,"W2")/1.18</f>
        <v>76271.186440677964</v>
      </c>
      <c r="F7" s="7">
        <f t="shared" si="2"/>
        <v>1030.6917086578103</v>
      </c>
      <c r="G7" s="20">
        <f>COUNTIFS('Sales Data'!$F$2:$F$986,"Feb 2021",'Sales Data'!$G$2:$G$986,"Won",'Sales Data'!$M$2:$M$986,"W2")</f>
        <v>4</v>
      </c>
      <c r="H7" s="12">
        <f t="shared" si="3"/>
        <v>0.33669531839076516</v>
      </c>
      <c r="I7" s="7">
        <f t="shared" si="4"/>
        <v>2030.5082913421895</v>
      </c>
      <c r="J7" s="9">
        <f t="shared" si="5"/>
        <v>9.3095652173913042</v>
      </c>
    </row>
    <row r="8" spans="1:10">
      <c r="A8" s="79">
        <v>44228</v>
      </c>
      <c r="B8" s="6" t="s">
        <v>248</v>
      </c>
      <c r="C8" s="7">
        <f t="shared" si="6"/>
        <v>3061.2</v>
      </c>
      <c r="D8" s="9">
        <f t="shared" si="1"/>
        <v>13.309565217391304</v>
      </c>
      <c r="E8" s="70">
        <f>SUMIFS('Sales Data'!$J$2:$J$986,'Sales Data'!$F$2:$F$986,"Feb 2021",'Sales Data'!$G$2:$G$986,"Won",'Sales Data'!$M$2:$M$986,"W3")/1.18</f>
        <v>106779.66101694916</v>
      </c>
      <c r="F8" s="7">
        <f t="shared" si="2"/>
        <v>1442.9683921209346</v>
      </c>
      <c r="G8" s="20">
        <f>COUNTIFS('Sales Data'!$F$2:$F$986,"Feb 2021",'Sales Data'!$G$2:$G$986,"Won",'Sales Data'!$M$2:$M$986,"W3")</f>
        <v>5</v>
      </c>
      <c r="H8" s="12">
        <f t="shared" si="3"/>
        <v>0.4713734457470713</v>
      </c>
      <c r="I8" s="7">
        <f t="shared" si="4"/>
        <v>1618.2316078790652</v>
      </c>
      <c r="J8" s="9">
        <f t="shared" si="5"/>
        <v>8.3095652173913042</v>
      </c>
    </row>
    <row r="9" spans="1:10">
      <c r="A9" s="79">
        <v>44228</v>
      </c>
      <c r="B9" s="6" t="s">
        <v>249</v>
      </c>
      <c r="C9" s="7">
        <f>10204-SUM(C6:C8)</f>
        <v>1020.4000000000015</v>
      </c>
      <c r="D9" s="9">
        <f t="shared" si="1"/>
        <v>4.4365217391304412</v>
      </c>
      <c r="E9" s="70">
        <f>SUMIFS('Sales Data'!$J$2:$J$986,'Sales Data'!$F$2:$F$986,"Feb 2021",'Sales Data'!$G$2:$G$986,"Won",'Sales Data'!$M$2:$M$986,"W4")/1.18</f>
        <v>244915.25423728814</v>
      </c>
      <c r="F9" s="7">
        <f t="shared" si="2"/>
        <v>3309.6655978011913</v>
      </c>
      <c r="G9" s="20">
        <f>COUNTIFS('Sales Data'!$F$2:$F$986,"Feb 2021",'Sales Data'!$G$2:$G$986,"Won",'Sales Data'!$M$2:$M$986,"W4")</f>
        <v>12</v>
      </c>
      <c r="H9" s="12">
        <f t="shared" si="3"/>
        <v>3.2434982338310334</v>
      </c>
      <c r="I9" s="7">
        <f t="shared" si="4"/>
        <v>-2289.2655978011899</v>
      </c>
      <c r="J9" s="9">
        <f t="shared" si="5"/>
        <v>-7.5634782608695588</v>
      </c>
    </row>
    <row r="10" spans="1:10">
      <c r="A10" s="80">
        <v>44256</v>
      </c>
      <c r="B10" s="6" t="s">
        <v>246</v>
      </c>
      <c r="C10" s="7">
        <f t="shared" ref="C10:C13" si="7">10204*0.3</f>
        <v>3061.2</v>
      </c>
      <c r="D10" s="9">
        <f t="shared" si="1"/>
        <v>13.309565217391304</v>
      </c>
      <c r="E10" s="70">
        <f>SUMIFS('Sales Data'!$J$2:$J$986,'Sales Data'!$F$2:$F$986,"March 2021",'Sales Data'!$G$2:$G$986,"Won",'Sales Data'!$M$2:$M$986,"W1")/1.18</f>
        <v>119915.25423728814</v>
      </c>
      <c r="F10" s="7">
        <f t="shared" si="2"/>
        <v>1620.4764086120019</v>
      </c>
      <c r="G10" s="20">
        <f>COUNTIFS('Sales Data'!$F$2:$F$986,"March 2021",'Sales Data'!$G$2:$G$986,"Won",'Sales Data'!$M$2:$M$986,"W1")</f>
        <v>7</v>
      </c>
      <c r="H10" s="12">
        <f t="shared" si="3"/>
        <v>0.52935986169214755</v>
      </c>
      <c r="I10" s="7">
        <f t="shared" si="4"/>
        <v>1440.7235913879979</v>
      </c>
      <c r="J10" s="9">
        <f t="shared" si="5"/>
        <v>6.3095652173913042</v>
      </c>
    </row>
    <row r="11" spans="1:10">
      <c r="A11" s="80">
        <v>44256</v>
      </c>
      <c r="B11" s="6" t="s">
        <v>247</v>
      </c>
      <c r="C11" s="7">
        <f t="shared" si="7"/>
        <v>3061.2</v>
      </c>
      <c r="D11" s="9">
        <f t="shared" si="1"/>
        <v>13.309565217391304</v>
      </c>
      <c r="E11" s="70">
        <f>SUMIFS('Sales Data'!$J$2:$J$986,'Sales Data'!$F$2:$F$986,"March 2021",'Sales Data'!$G$2:$G$986,"Won",'Sales Data'!$M$2:$M$986,"W2")/1.18</f>
        <v>319194.06779661018</v>
      </c>
      <c r="F11" s="7">
        <f t="shared" si="2"/>
        <v>4313.4333486028399</v>
      </c>
      <c r="G11" s="20">
        <f>COUNTIFS('Sales Data'!$F$2:$F$986,"March 2021",'Sales Data'!$G$2:$G$986,"Won",'Sales Data'!$M$2:$M$986,"W2")</f>
        <v>15</v>
      </c>
      <c r="H11" s="12">
        <f t="shared" si="3"/>
        <v>1.4090661664062591</v>
      </c>
      <c r="I11" s="7">
        <f t="shared" si="4"/>
        <v>-1252.2333486028401</v>
      </c>
      <c r="J11" s="9">
        <f t="shared" si="5"/>
        <v>-1.6904347826086958</v>
      </c>
    </row>
    <row r="12" spans="1:10">
      <c r="A12" s="80">
        <v>44256</v>
      </c>
      <c r="B12" s="6" t="s">
        <v>248</v>
      </c>
      <c r="C12" s="7">
        <f t="shared" si="7"/>
        <v>3061.2</v>
      </c>
      <c r="D12" s="9">
        <f t="shared" si="1"/>
        <v>13.309565217391304</v>
      </c>
      <c r="E12" s="70">
        <f>SUMIFS('Sales Data'!$J$2:$J$986,'Sales Data'!$F$2:$F$986,"March 2021",'Sales Data'!$G$2:$G$986,"Won",'Sales Data'!$M$2:$M$986,"W3")/1.18</f>
        <v>176694.9152542373</v>
      </c>
      <c r="F12" s="7">
        <f t="shared" si="2"/>
        <v>2387.7691250572607</v>
      </c>
      <c r="G12" s="20">
        <f>COUNTIFS('Sales Data'!$F$2:$F$986,"March 2021",'Sales Data'!$G$2:$G$986,"Won",'Sales Data'!$M$2:$M$986,"W3")</f>
        <v>8</v>
      </c>
      <c r="H12" s="12">
        <f t="shared" si="3"/>
        <v>0.78001082093860608</v>
      </c>
      <c r="I12" s="7">
        <f t="shared" si="4"/>
        <v>673.43087494273914</v>
      </c>
      <c r="J12" s="9">
        <f t="shared" si="5"/>
        <v>5.3095652173913042</v>
      </c>
    </row>
    <row r="13" spans="1:10">
      <c r="A13" s="80">
        <v>44256</v>
      </c>
      <c r="B13" s="6" t="s">
        <v>249</v>
      </c>
      <c r="C13" s="7">
        <f t="shared" si="7"/>
        <v>3061.2</v>
      </c>
      <c r="D13" s="9">
        <f t="shared" si="1"/>
        <v>13.309565217391304</v>
      </c>
      <c r="E13" s="70">
        <f>SUMIFS('Sales Data'!$J$2:$J$986,'Sales Data'!$F$2:$F$986,"March 2021",'Sales Data'!$G$2:$G$986,"Won",'Sales Data'!$M$2:$M$986,"W4")/1.18</f>
        <v>132203.38983050847</v>
      </c>
      <c r="F13" s="7">
        <f t="shared" si="2"/>
        <v>1786.5322950068712</v>
      </c>
      <c r="G13" s="20">
        <f>COUNTIFS('Sales Data'!$F$2:$F$986,"March 2021",'Sales Data'!$G$2:$G$986,"Won",'Sales Data'!$M$2:$M$986,"W4")</f>
        <v>6</v>
      </c>
      <c r="H13" s="12">
        <f t="shared" si="3"/>
        <v>0.58360521854399294</v>
      </c>
      <c r="I13" s="7">
        <f t="shared" si="4"/>
        <v>1274.6677049931286</v>
      </c>
      <c r="J13" s="9">
        <f t="shared" si="5"/>
        <v>7.3095652173913042</v>
      </c>
    </row>
    <row r="14" spans="1:10">
      <c r="A14" s="80">
        <v>44256</v>
      </c>
      <c r="B14" s="6" t="s">
        <v>250</v>
      </c>
      <c r="C14" s="7">
        <f>10204-SUM(C11:C13)</f>
        <v>1020.4000000000015</v>
      </c>
      <c r="D14" s="9">
        <f t="shared" si="1"/>
        <v>4.4365217391304412</v>
      </c>
      <c r="E14" s="70">
        <f>SUMIFS('Sales Data'!$J$2:$J$986,'Sales Data'!$F$2:$F$986,"March 2021",'Sales Data'!$G$2:$G$986,"Won",'Sales Data'!$M$2:$M$986,"W5")/1.18</f>
        <v>263983.05084745766</v>
      </c>
      <c r="F14" s="7">
        <f t="shared" si="2"/>
        <v>3567.338524965644</v>
      </c>
      <c r="G14" s="20">
        <f>COUNTIFS('Sales Data'!$F$2:$F$986,"March 2021",'Sales Data'!$G$2:$G$986,"Won",'Sales Data'!$M$2:$M$986,"W5")</f>
        <v>12</v>
      </c>
      <c r="H14" s="12">
        <f t="shared" si="3"/>
        <v>3.4960197226241072</v>
      </c>
      <c r="I14" s="7">
        <f t="shared" si="4"/>
        <v>-2546.9385249656425</v>
      </c>
      <c r="J14" s="9">
        <f t="shared" si="5"/>
        <v>-7.5634782608695588</v>
      </c>
    </row>
    <row r="15" spans="1:10">
      <c r="A15" s="80">
        <v>44287</v>
      </c>
      <c r="B15" s="6" t="s">
        <v>251</v>
      </c>
      <c r="C15" s="6">
        <f t="shared" ref="C15:C17" si="8">10204*0.5</f>
        <v>5102</v>
      </c>
      <c r="D15" s="9">
        <f t="shared" si="1"/>
        <v>22.182608695652174</v>
      </c>
      <c r="E15" s="70">
        <f>SUMIFS('Sales Data'!$J$2:$J$986,'Sales Data'!$F$2:$F$986,"April 2021",'Sales Data'!$G$2:$G$986,"Won",'Sales Data'!$M$2:$M$986,"F10")/1.18</f>
        <v>371186.44067796611</v>
      </c>
      <c r="F15" s="7">
        <f t="shared" si="2"/>
        <v>5016.0329821346768</v>
      </c>
      <c r="G15" s="20">
        <f>COUNTIFS('Sales Data'!$F$2:$F$986,"April 2021",'Sales Data'!$G$2:$G$986,"Won",'Sales Data'!$M$2:$M$986,"F10")</f>
        <v>14</v>
      </c>
      <c r="H15" s="12">
        <f t="shared" si="3"/>
        <v>0.98315032970103422</v>
      </c>
      <c r="I15" s="7">
        <f t="shared" si="4"/>
        <v>85.967017865323214</v>
      </c>
      <c r="J15" s="9">
        <f t="shared" si="5"/>
        <v>8.1826086956521742</v>
      </c>
    </row>
    <row r="16" spans="1:10">
      <c r="A16" s="80">
        <v>44287</v>
      </c>
      <c r="B16" s="6" t="s">
        <v>252</v>
      </c>
      <c r="C16" s="6">
        <f t="shared" si="8"/>
        <v>5102</v>
      </c>
      <c r="D16" s="9">
        <f t="shared" si="1"/>
        <v>22.182608695652174</v>
      </c>
      <c r="E16" s="70">
        <f>SUMIFS('Sales Data'!$J$2:$J$986,'Sales Data'!$F$2:$F$986,"April 2021",'Sales Data'!$G$2:$G$986,"Won",'Sales Data'!$M$2:$M$986,"S10")/1.18</f>
        <v>245762.7118644068</v>
      </c>
      <c r="F16" s="7">
        <f t="shared" si="2"/>
        <v>3321.1177278973892</v>
      </c>
      <c r="G16" s="20">
        <f>COUNTIFS('Sales Data'!$F$2:$F$986,"April 2021",'Sales Data'!$G$2:$G$986,"Won",'Sales Data'!$M$2:$M$986,"S10")</f>
        <v>11</v>
      </c>
      <c r="H16" s="12">
        <f t="shared" si="3"/>
        <v>0.65094428222214606</v>
      </c>
      <c r="I16" s="7">
        <f t="shared" si="4"/>
        <v>1780.8822721026108</v>
      </c>
      <c r="J16" s="9">
        <f t="shared" si="5"/>
        <v>11.182608695652174</v>
      </c>
    </row>
    <row r="17" spans="1:10">
      <c r="A17" s="80">
        <v>44287</v>
      </c>
      <c r="B17" s="6" t="s">
        <v>253</v>
      </c>
      <c r="C17" s="6">
        <f t="shared" si="8"/>
        <v>5102</v>
      </c>
      <c r="D17" s="9">
        <f t="shared" si="1"/>
        <v>22.182608695652174</v>
      </c>
      <c r="E17" s="70">
        <f>SUMIFS('Sales Data'!$J$2:$J$986,'Sales Data'!$F$2:$F$986,"April 2021",'Sales Data'!$G$2:$G$986,"Won",'Sales Data'!$M$2:$M$986,"T10")/1.18</f>
        <v>244915.25423728814</v>
      </c>
      <c r="F17" s="7">
        <f t="shared" si="2"/>
        <v>3309.6655978011913</v>
      </c>
      <c r="G17" s="20">
        <f>COUNTIFS('Sales Data'!$F$2:$F$986,"April 2021",'Sales Data'!$G$2:$G$986,"Won",'Sales Data'!$M$2:$M$986,"T10")</f>
        <v>10</v>
      </c>
      <c r="H17" s="12">
        <f t="shared" si="3"/>
        <v>0.64869964676620762</v>
      </c>
      <c r="I17" s="7">
        <f t="shared" si="4"/>
        <v>1792.3344021988087</v>
      </c>
      <c r="J17" s="9">
        <f t="shared" si="5"/>
        <v>12.182608695652174</v>
      </c>
    </row>
    <row r="18" spans="1:10">
      <c r="A18" s="80">
        <v>44317</v>
      </c>
      <c r="B18" s="6" t="s">
        <v>251</v>
      </c>
      <c r="C18" s="6">
        <f t="shared" ref="C18:C29" si="9">12093*0.5</f>
        <v>6046.5</v>
      </c>
      <c r="D18" s="9">
        <f t="shared" si="1"/>
        <v>26.28913043478261</v>
      </c>
      <c r="E18" s="70">
        <f>SUMIFS('Sales Data'!$J$2:$J$986,'Sales Data'!$F$2:$F$986,"May 2021",'Sales Data'!$G$2:$G$986,"Won",'Sales Data'!$M$2:$M$986,"F10")/1.18</f>
        <v>307203.3898305085</v>
      </c>
      <c r="F18" s="7">
        <f t="shared" si="2"/>
        <v>4151.3971598717362</v>
      </c>
      <c r="G18" s="20">
        <f>COUNTIFS('Sales Data'!$F$2:$F$986,"May 2021",'Sales Data'!$G$2:$G$986,"Won",'Sales Data'!$M$2:$M$986,"F10")</f>
        <v>13</v>
      </c>
      <c r="H18" s="12">
        <f t="shared" si="3"/>
        <v>0.68657854293752352</v>
      </c>
      <c r="I18" s="7">
        <f t="shared" si="4"/>
        <v>1895.1028401282638</v>
      </c>
      <c r="J18" s="9">
        <f t="shared" si="5"/>
        <v>13.28913043478261</v>
      </c>
    </row>
    <row r="19" spans="1:10">
      <c r="A19" s="80">
        <v>44317</v>
      </c>
      <c r="B19" s="6" t="s">
        <v>252</v>
      </c>
      <c r="C19" s="6">
        <f t="shared" si="9"/>
        <v>6046.5</v>
      </c>
      <c r="D19" s="9">
        <f t="shared" si="1"/>
        <v>26.28913043478261</v>
      </c>
      <c r="E19" s="70">
        <f>SUMIFS('Sales Data'!$J$2:$J$986,'Sales Data'!$F$2:$F$986,"May 2021",'Sales Data'!$G$2:$G$986,"Won",'Sales Data'!$M$2:$M$986,"S10")/1.18</f>
        <v>361864.40677966102</v>
      </c>
      <c r="F19" s="7">
        <f t="shared" si="2"/>
        <v>4890.0595510765006</v>
      </c>
      <c r="G19" s="20">
        <f>COUNTIFS('Sales Data'!$F$2:$F$986,"May 2021",'Sales Data'!$G$2:$G$986,"Won",'Sales Data'!$M$2:$M$986,"S10")</f>
        <v>12</v>
      </c>
      <c r="H19" s="12">
        <f t="shared" si="3"/>
        <v>0.80874217333606224</v>
      </c>
      <c r="I19" s="7">
        <f t="shared" si="4"/>
        <v>1156.4404489234994</v>
      </c>
      <c r="J19" s="9">
        <f t="shared" si="5"/>
        <v>14.28913043478261</v>
      </c>
    </row>
    <row r="20" spans="1:10">
      <c r="A20" s="80">
        <v>44317</v>
      </c>
      <c r="B20" s="6" t="s">
        <v>253</v>
      </c>
      <c r="C20" s="6">
        <f t="shared" si="9"/>
        <v>6046.5</v>
      </c>
      <c r="D20" s="9">
        <f t="shared" si="1"/>
        <v>26.28913043478261</v>
      </c>
      <c r="E20" s="70">
        <f>SUMIFS('Sales Data'!$J$2:$J$986,'Sales Data'!$F$2:$F$986,"May 2021",'Sales Data'!$G$2:$G$986,"Won",'Sales Data'!$M$2:$M$986,"T10")/1.18</f>
        <v>372033.89830508479</v>
      </c>
      <c r="F20" s="7">
        <f t="shared" si="2"/>
        <v>5027.4851122308755</v>
      </c>
      <c r="G20" s="20">
        <f>COUNTIFS('Sales Data'!$F$2:$F$986,"May 2021",'Sales Data'!$G$2:$G$986,"Won",'Sales Data'!$M$2:$M$986,"T10")</f>
        <v>14</v>
      </c>
      <c r="H20" s="12">
        <f t="shared" si="3"/>
        <v>0.83147029061951139</v>
      </c>
      <c r="I20" s="7">
        <f t="shared" si="4"/>
        <v>1019.0148877691245</v>
      </c>
      <c r="J20" s="9">
        <f t="shared" si="5"/>
        <v>12.28913043478261</v>
      </c>
    </row>
    <row r="21" spans="1:10">
      <c r="A21" s="80">
        <v>44348</v>
      </c>
      <c r="B21" s="6" t="s">
        <v>251</v>
      </c>
      <c r="C21" s="6">
        <f t="shared" si="9"/>
        <v>6046.5</v>
      </c>
      <c r="D21" s="9">
        <f t="shared" si="1"/>
        <v>26.28913043478261</v>
      </c>
      <c r="E21" s="70">
        <f>SUMIFS('Sales Data'!$J$2:$J$986,'Sales Data'!$F$2:$F$986,"June 2021",'Sales Data'!$G$2:$G$986,"Won",'Sales Data'!$M$2:$M$986,"F10")/1.18</f>
        <v>530084.74576271186</v>
      </c>
      <c r="F21" s="7">
        <f t="shared" si="2"/>
        <v>7163.307375171782</v>
      </c>
      <c r="G21" s="20">
        <f>COUNTIFS('Sales Data'!$F$2:$F$986,"June 2021",'Sales Data'!$G$2:$G$986,"Won",'Sales Data'!$M$2:$M$986,"F10")</f>
        <v>24</v>
      </c>
      <c r="H21" s="12">
        <f t="shared" si="3"/>
        <v>1.1847031133997821</v>
      </c>
      <c r="I21" s="7">
        <f t="shared" si="4"/>
        <v>-1116.807375171782</v>
      </c>
      <c r="J21" s="9">
        <f t="shared" si="5"/>
        <v>2.28913043478261</v>
      </c>
    </row>
    <row r="22" spans="1:10">
      <c r="A22" s="80">
        <v>44348</v>
      </c>
      <c r="B22" s="6" t="s">
        <v>252</v>
      </c>
      <c r="C22" s="6">
        <f t="shared" si="9"/>
        <v>6046.5</v>
      </c>
      <c r="D22" s="9">
        <f t="shared" si="1"/>
        <v>26.28913043478261</v>
      </c>
      <c r="E22" s="70">
        <f>SUMIFS('Sales Data'!$J$2:$J$986,'Sales Data'!$F$2:$F$986,"June 2021",'Sales Data'!$G$2:$G$986,"Won",'Sales Data'!$M$2:$M$986,"S10")/1.18</f>
        <v>272457.62711864407</v>
      </c>
      <c r="F22" s="7">
        <f t="shared" si="2"/>
        <v>3681.8598259276228</v>
      </c>
      <c r="G22" s="20">
        <f>COUNTIFS('Sales Data'!$F$2:$F$986,"June 2021",'Sales Data'!$G$2:$G$986,"Won",'Sales Data'!$M$2:$M$986,"S10")</f>
        <v>12</v>
      </c>
      <c r="H22" s="12">
        <f t="shared" si="3"/>
        <v>0.60892414221907265</v>
      </c>
      <c r="I22" s="7">
        <f t="shared" si="4"/>
        <v>2364.6401740723772</v>
      </c>
      <c r="J22" s="9">
        <f t="shared" si="5"/>
        <v>14.28913043478261</v>
      </c>
    </row>
    <row r="23" spans="1:10">
      <c r="A23" s="80">
        <v>44348</v>
      </c>
      <c r="B23" s="6" t="s">
        <v>253</v>
      </c>
      <c r="C23" s="6">
        <f t="shared" si="9"/>
        <v>6046.5</v>
      </c>
      <c r="D23" s="9">
        <f t="shared" si="1"/>
        <v>26.28913043478261</v>
      </c>
      <c r="E23" s="70">
        <f>SUMIFS('Sales Data'!$J$2:$J$986,'Sales Data'!$F$2:$F$986,"June 2021",'Sales Data'!$G$2:$G$986,"Won",'Sales Data'!$M$2:$M$986,"T10")/1.18</f>
        <v>307542.37288135593</v>
      </c>
      <c r="F23" s="7">
        <f t="shared" si="2"/>
        <v>4155.9780119102152</v>
      </c>
      <c r="G23" s="20">
        <f>COUNTIFS('Sales Data'!$F$2:$F$986,"June 2021",'Sales Data'!$G$2:$G$986,"Won",'Sales Data'!$M$2:$M$986,"T10")</f>
        <v>13</v>
      </c>
      <c r="H23" s="12">
        <f t="shared" si="3"/>
        <v>0.68733614684697186</v>
      </c>
      <c r="I23" s="7">
        <f t="shared" si="4"/>
        <v>1890.5219880897848</v>
      </c>
      <c r="J23" s="9">
        <f t="shared" si="5"/>
        <v>13.28913043478261</v>
      </c>
    </row>
    <row r="24" spans="1:10">
      <c r="A24" s="80">
        <v>44378</v>
      </c>
      <c r="B24" s="6" t="s">
        <v>251</v>
      </c>
      <c r="C24" s="6">
        <f t="shared" si="9"/>
        <v>6046.5</v>
      </c>
      <c r="D24" s="9">
        <f t="shared" si="1"/>
        <v>26.28913043478261</v>
      </c>
      <c r="E24" s="70">
        <f>SUMIFS('Sales Data'!$J$2:$J$986,'Sales Data'!$F$2:$F$986,"July 2021",'Sales Data'!$G$2:$G$986,"Won",'Sales Data'!$M$2:$M$986,"F10")/1.18</f>
        <v>314644.06779661018</v>
      </c>
      <c r="F24" s="7">
        <f t="shared" si="2"/>
        <v>4251.9468621163542</v>
      </c>
      <c r="G24" s="20">
        <f>COUNTIFS('Sales Data'!$F$2:$F$986,"July 2021",'Sales Data'!$G$2:$G$986,"Won",'Sales Data'!$M$2:$M$986,"F10")</f>
        <v>12</v>
      </c>
      <c r="H24" s="12">
        <f t="shared" si="3"/>
        <v>0.70320794874991388</v>
      </c>
      <c r="I24" s="7">
        <f t="shared" si="4"/>
        <v>1794.5531378836458</v>
      </c>
      <c r="J24" s="9">
        <f t="shared" si="5"/>
        <v>14.28913043478261</v>
      </c>
    </row>
    <row r="25" spans="1:10">
      <c r="A25" s="80">
        <v>44378</v>
      </c>
      <c r="B25" s="6" t="s">
        <v>252</v>
      </c>
      <c r="C25" s="6">
        <f t="shared" si="9"/>
        <v>6046.5</v>
      </c>
      <c r="D25" s="9">
        <f t="shared" si="1"/>
        <v>26.28913043478261</v>
      </c>
      <c r="E25" s="70">
        <f>SUMIFS('Sales Data'!$J$2:$J$986,'Sales Data'!$F$2:$F$986,"July 2021",'Sales Data'!$G$2:$G$986,"Won",'Sales Data'!$M$2:$M$986,"S10")/1.18</f>
        <v>319915.25423728814</v>
      </c>
      <c r="F25" s="7">
        <f t="shared" si="2"/>
        <v>4323.1791113147046</v>
      </c>
      <c r="G25" s="20">
        <f>COUNTIFS('Sales Data'!$F$2:$F$986,"July 2021",'Sales Data'!$G$2:$G$986,"Won",'Sales Data'!$M$2:$M$986,"S10")</f>
        <v>13</v>
      </c>
      <c r="H25" s="12">
        <f t="shared" si="3"/>
        <v>0.71498868954183492</v>
      </c>
      <c r="I25" s="7">
        <f t="shared" si="4"/>
        <v>1723.3208886852954</v>
      </c>
      <c r="J25" s="9">
        <f t="shared" si="5"/>
        <v>13.28913043478261</v>
      </c>
    </row>
    <row r="26" spans="1:10">
      <c r="A26" s="80">
        <v>44378</v>
      </c>
      <c r="B26" s="6" t="s">
        <v>253</v>
      </c>
      <c r="C26" s="6">
        <f t="shared" si="9"/>
        <v>6046.5</v>
      </c>
      <c r="D26" s="9">
        <f t="shared" si="1"/>
        <v>26.28913043478261</v>
      </c>
      <c r="E26" s="70">
        <f>SUMIFS('Sales Data'!$J$2:$J$986,'Sales Data'!$F$2:$F$986,"July 2021",'Sales Data'!$G$2:$G$986,"Won",'Sales Data'!$M$2:$M$986,"T10")/1.18</f>
        <v>328389.83050847461</v>
      </c>
      <c r="F26" s="7">
        <f t="shared" si="2"/>
        <v>4437.7004122766839</v>
      </c>
      <c r="G26" s="20">
        <f>COUNTIFS('Sales Data'!$F$2:$F$986,"July 2021",'Sales Data'!$G$2:$G$986,"Won",'Sales Data'!$M$2:$M$986,"T10")</f>
        <v>14</v>
      </c>
      <c r="H26" s="12">
        <f t="shared" si="3"/>
        <v>0.73392878727804245</v>
      </c>
      <c r="I26" s="7">
        <f t="shared" si="4"/>
        <v>1608.7995877233161</v>
      </c>
      <c r="J26" s="9">
        <f t="shared" si="5"/>
        <v>12.28913043478261</v>
      </c>
    </row>
    <row r="27" spans="1:10">
      <c r="A27" s="81">
        <v>44409</v>
      </c>
      <c r="B27" s="6" t="s">
        <v>251</v>
      </c>
      <c r="C27" s="6">
        <f t="shared" si="9"/>
        <v>6046.5</v>
      </c>
      <c r="D27" s="9">
        <f t="shared" si="1"/>
        <v>26.28913043478261</v>
      </c>
      <c r="E27" s="70">
        <f>SUMIFS('Sales Data'!$J$2:$J$986,'Sales Data'!$F$2:$F$986,"Aug 2021",'Sales Data'!$G$2:$G$986,"Won",'Sales Data'!$M$2:$M$986,"F10")/1.18</f>
        <v>503389.83050847461</v>
      </c>
      <c r="F27" s="7">
        <f t="shared" si="2"/>
        <v>6802.5652771415489</v>
      </c>
      <c r="G27" s="20">
        <f>COUNTIFS('Sales Data'!$F$2:$F$986,"Aug 2021",'Sales Data'!$G$2:$G$986,"Won",'Sales Data'!$M$2:$M$986,"F10")</f>
        <v>18</v>
      </c>
      <c r="H27" s="12">
        <f t="shared" si="3"/>
        <v>1.1250418055307283</v>
      </c>
      <c r="I27" s="7">
        <f t="shared" si="4"/>
        <v>-756.0652771415489</v>
      </c>
      <c r="J27" s="9">
        <f t="shared" si="5"/>
        <v>8.28913043478261</v>
      </c>
    </row>
    <row r="28" spans="1:10">
      <c r="A28" s="81">
        <v>44409</v>
      </c>
      <c r="B28" s="6" t="s">
        <v>252</v>
      </c>
      <c r="C28" s="6">
        <f t="shared" si="9"/>
        <v>6046.5</v>
      </c>
      <c r="D28" s="9">
        <f t="shared" si="1"/>
        <v>26.28913043478261</v>
      </c>
      <c r="E28" s="70">
        <f>SUMIFS('Sales Data'!$J$2:$J$986,'Sales Data'!$F$2:$F$986,"Aug 2021",'Sales Data'!$G$2:$G$986,"Won",'Sales Data'!$M$2:$M$986,"S10")/1.18</f>
        <v>385144.06779661018</v>
      </c>
      <c r="F28" s="7">
        <f t="shared" si="2"/>
        <v>5204.6495648190566</v>
      </c>
      <c r="G28" s="20">
        <f>COUNTIFS('Sales Data'!$F$2:$F$986,"Aug 2021",'Sales Data'!$G$2:$G$986,"Won",'Sales Data'!$M$2:$M$986,"S10")</f>
        <v>16</v>
      </c>
      <c r="H28" s="12">
        <f t="shared" si="3"/>
        <v>0.86077062181742436</v>
      </c>
      <c r="I28" s="7">
        <f t="shared" si="4"/>
        <v>841.85043518094335</v>
      </c>
      <c r="J28" s="9">
        <f t="shared" si="5"/>
        <v>10.28913043478261</v>
      </c>
    </row>
    <row r="29" spans="1:10">
      <c r="A29" s="81">
        <v>44409</v>
      </c>
      <c r="B29" s="6" t="s">
        <v>253</v>
      </c>
      <c r="C29" s="6">
        <f t="shared" si="9"/>
        <v>6046.5</v>
      </c>
      <c r="D29" s="9">
        <f t="shared" si="1"/>
        <v>26.28913043478261</v>
      </c>
      <c r="E29" s="70">
        <f>SUMIFS('Sales Data'!$J$2:$J$986,'Sales Data'!$F$2:$F$986,"Aug 2021",'Sales Data'!$G$2:$G$986,"Won",'Sales Data'!$M$2:$M$986,"T10")/1.18</f>
        <v>254067.79661016949</v>
      </c>
      <c r="F29" s="7">
        <f t="shared" si="2"/>
        <v>3433.3486028401285</v>
      </c>
      <c r="G29" s="20">
        <f>COUNTIFS('Sales Data'!$F$2:$F$986,"Aug 2021",'Sales Data'!$G$2:$G$986,"Won",'Sales Data'!$M$2:$M$986,"T10")</f>
        <v>10</v>
      </c>
      <c r="H29" s="12">
        <f t="shared" si="3"/>
        <v>0.56782413013150224</v>
      </c>
      <c r="I29" s="7">
        <f t="shared" si="4"/>
        <v>2613.1513971598715</v>
      </c>
      <c r="J29" s="9">
        <f t="shared" si="5"/>
        <v>16.28913043478261</v>
      </c>
    </row>
    <row r="30" spans="1:10">
      <c r="A30" s="81">
        <v>44440</v>
      </c>
      <c r="B30" s="6" t="s">
        <v>251</v>
      </c>
      <c r="C30" s="6">
        <f t="shared" ref="C30:C35" si="10">13605*0.5</f>
        <v>6802.5</v>
      </c>
      <c r="D30" s="9">
        <f t="shared" si="1"/>
        <v>29.576086956521738</v>
      </c>
      <c r="E30" s="70">
        <f>SUMIFS('Sales Data'!$J$2:$J$986,'Sales Data'!$F$2:$F$986,"Sep 2021",'Sales Data'!$G$2:$G$986,"Won",'Sales Data'!$M$2:$M$986,"F10")/1.18</f>
        <v>657023.7288135594</v>
      </c>
      <c r="F30" s="7">
        <f t="shared" si="2"/>
        <v>8878.6990380210736</v>
      </c>
      <c r="G30" s="20">
        <f>COUNTIFS('Sales Data'!$F$2:$F$986,"Sep 2021",'Sales Data'!$G$2:$G$986,"Won",'Sales Data'!$M$2:$M$986,"F10")</f>
        <v>33</v>
      </c>
      <c r="H30" s="12">
        <f t="shared" si="3"/>
        <v>1.3052111779523812</v>
      </c>
      <c r="I30" s="7">
        <f t="shared" si="4"/>
        <v>-2076.1990380210736</v>
      </c>
      <c r="J30" s="9">
        <f t="shared" si="5"/>
        <v>-3.4239130434782616</v>
      </c>
    </row>
    <row r="31" spans="1:10">
      <c r="A31" s="81">
        <v>44440</v>
      </c>
      <c r="B31" s="6" t="s">
        <v>252</v>
      </c>
      <c r="C31" s="6">
        <f t="shared" si="10"/>
        <v>6802.5</v>
      </c>
      <c r="D31" s="9">
        <f t="shared" si="1"/>
        <v>29.576086956521738</v>
      </c>
      <c r="E31" s="70">
        <f>SUMIFS('Sales Data'!$J$2:$J$986,'Sales Data'!$F$2:$F$986,"Sep 2021",'Sales Data'!$G$2:$G$986,"Won",'Sales Data'!$M$2:$M$986,"S10")/1.18</f>
        <v>490677.96610169497</v>
      </c>
      <c r="F31" s="7">
        <f t="shared" si="2"/>
        <v>6630.7833256985805</v>
      </c>
      <c r="G31" s="20">
        <f>COUNTIFS('Sales Data'!$F$2:$F$986,"Sep 2021",'Sales Data'!$G$2:$G$986,"Won",'Sales Data'!$M$2:$M$986,"S10")</f>
        <v>27</v>
      </c>
      <c r="H31" s="12">
        <f t="shared" si="3"/>
        <v>0.97475682847461675</v>
      </c>
      <c r="I31" s="7">
        <f t="shared" si="4"/>
        <v>171.71667430141952</v>
      </c>
      <c r="J31" s="9">
        <f t="shared" si="5"/>
        <v>2.5760869565217384</v>
      </c>
    </row>
    <row r="32" spans="1:10">
      <c r="A32" s="81">
        <v>44440</v>
      </c>
      <c r="B32" s="6" t="s">
        <v>253</v>
      </c>
      <c r="C32" s="6">
        <f t="shared" si="10"/>
        <v>6802.5</v>
      </c>
      <c r="D32" s="9">
        <f t="shared" si="1"/>
        <v>29.576086956521738</v>
      </c>
      <c r="E32" s="70">
        <f>SUMIFS('Sales Data'!$J$2:$J$986,'Sales Data'!$F$2:$F$986,"Sep 2021",'Sales Data'!$G$2:$G$986,"Won",'Sales Data'!$M$2:$M$986,"T10")/1.18</f>
        <v>305508.4745762712</v>
      </c>
      <c r="F32" s="7">
        <f t="shared" si="2"/>
        <v>4128.4928996793406</v>
      </c>
      <c r="G32" s="20">
        <f>COUNTIFS('Sales Data'!$F$2:$F$986,"Sep 2021",'Sales Data'!$G$2:$G$986,"Won",'Sales Data'!$M$2:$M$986,"T10")</f>
        <v>12</v>
      </c>
      <c r="H32" s="12">
        <f t="shared" si="3"/>
        <v>0.60690818076873809</v>
      </c>
      <c r="I32" s="7">
        <f t="shared" si="4"/>
        <v>2674.0071003206594</v>
      </c>
      <c r="J32" s="9">
        <f t="shared" si="5"/>
        <v>17.576086956521738</v>
      </c>
    </row>
    <row r="33" spans="1:10">
      <c r="A33" s="81">
        <v>44470</v>
      </c>
      <c r="B33" s="6" t="s">
        <v>251</v>
      </c>
      <c r="C33" s="6">
        <f t="shared" si="10"/>
        <v>6802.5</v>
      </c>
      <c r="D33" s="9">
        <f t="shared" si="1"/>
        <v>29.576086956521738</v>
      </c>
      <c r="E33" s="70">
        <f>SUMIFS('Sales Data'!$J$2:$J$986,'Sales Data'!$F$2:$F$986,"Oct 2021",'Sales Data'!$G$2:$G$986,"Won",'Sales Data'!$M$2:$M$986,"F10")/1.18</f>
        <v>469491.52542372886</v>
      </c>
      <c r="F33" s="7">
        <f t="shared" si="2"/>
        <v>6344.4800732936328</v>
      </c>
      <c r="G33" s="20">
        <f>COUNTIFS('Sales Data'!$F$2:$F$986,"Oct 2021",'Sales Data'!$G$2:$G$986,"Won",'Sales Data'!$M$2:$M$986,"F10")</f>
        <v>19</v>
      </c>
      <c r="H33" s="12">
        <f t="shared" si="3"/>
        <v>0.93266888251284574</v>
      </c>
      <c r="I33" s="7">
        <f t="shared" si="4"/>
        <v>458.01992670636719</v>
      </c>
      <c r="J33" s="9">
        <f t="shared" si="5"/>
        <v>10.576086956521738</v>
      </c>
    </row>
    <row r="34" spans="1:10">
      <c r="A34" s="81">
        <v>44470</v>
      </c>
      <c r="B34" s="6" t="s">
        <v>252</v>
      </c>
      <c r="C34" s="6">
        <f t="shared" si="10"/>
        <v>6802.5</v>
      </c>
      <c r="D34" s="9">
        <f t="shared" si="1"/>
        <v>29.576086956521738</v>
      </c>
      <c r="E34" s="70">
        <f>SUMIFS('Sales Data'!$J$2:$J$986,'Sales Data'!$F$2:$F$986,"Oct 2021",'Sales Data'!$G$2:$G$986,"Won",'Sales Data'!$M$2:$M$986,"S10")/1.18</f>
        <v>565254.23728813557</v>
      </c>
      <c r="F34" s="7">
        <f t="shared" si="2"/>
        <v>7638.5707741639944</v>
      </c>
      <c r="G34" s="20">
        <f>COUNTIFS('Sales Data'!$F$2:$F$986,"Oct 2021",'Sales Data'!$G$2:$G$986,"Won",'Sales Data'!$M$2:$M$986,"S10")</f>
        <v>15</v>
      </c>
      <c r="H34" s="12">
        <f t="shared" si="3"/>
        <v>1.1229063982600507</v>
      </c>
      <c r="I34" s="7">
        <f t="shared" si="4"/>
        <v>-836.07077416399443</v>
      </c>
      <c r="J34" s="9">
        <f t="shared" si="5"/>
        <v>14.576086956521738</v>
      </c>
    </row>
    <row r="35" spans="1:10">
      <c r="A35" s="81">
        <v>44470</v>
      </c>
      <c r="B35" s="6" t="s">
        <v>253</v>
      </c>
      <c r="C35" s="6">
        <f t="shared" si="10"/>
        <v>6802.5</v>
      </c>
      <c r="D35" s="9">
        <f t="shared" si="1"/>
        <v>29.576086956521738</v>
      </c>
      <c r="E35" s="70">
        <f>SUMIFS('Sales Data'!$J$2:$J$986,'Sales Data'!$F$2:$F$986,"Oct 2021",'Sales Data'!$G$2:$G$986,"Won",'Sales Data'!$M$2:$M$986,"T10")/1.18</f>
        <v>404050.84745762713</v>
      </c>
      <c r="F35" s="7">
        <f t="shared" si="2"/>
        <v>5460.1465872652316</v>
      </c>
      <c r="G35" s="20">
        <f>COUNTIFS('Sales Data'!$F$2:$F$986,"Oct 2021",'Sales Data'!$G$2:$G$986,"Won",'Sales Data'!$M$2:$M$986,"T10")</f>
        <v>15</v>
      </c>
      <c r="H35" s="12">
        <f t="shared" si="3"/>
        <v>0.80266763502612737</v>
      </c>
      <c r="I35" s="7">
        <f t="shared" si="4"/>
        <v>1342.3534127347684</v>
      </c>
      <c r="J35" s="9">
        <f t="shared" si="5"/>
        <v>14.576086956521738</v>
      </c>
    </row>
    <row r="36" spans="1:10">
      <c r="A36" s="81">
        <v>44501</v>
      </c>
      <c r="B36" s="6" t="s">
        <v>251</v>
      </c>
      <c r="C36" s="6">
        <f t="shared" ref="C36:C59" si="11">14292*0.5</f>
        <v>7146</v>
      </c>
      <c r="D36" s="9">
        <f t="shared" si="1"/>
        <v>31.069565217391304</v>
      </c>
      <c r="E36" s="70">
        <f>SUMIFS('Sales Data'!$J$2:$J$986,'Sales Data'!$F$2:$F$986,"Nov 2021",'Sales Data'!$G$2:$G$986,"Won",'Sales Data'!$M$2:$M$986,"F10")/1.18</f>
        <v>471610.16949152545</v>
      </c>
      <c r="F36" s="7">
        <f t="shared" si="2"/>
        <v>6373.1103985341279</v>
      </c>
      <c r="G36" s="20">
        <f>COUNTIFS('Sales Data'!$F$2:$F$986,"Nov 2021",'Sales Data'!$G$2:$G$986,"Won",'Sales Data'!$M$2:$M$986,"F10")</f>
        <v>18</v>
      </c>
      <c r="H36" s="12">
        <f t="shared" si="3"/>
        <v>0.89184304485504173</v>
      </c>
      <c r="I36" s="7">
        <f t="shared" si="4"/>
        <v>772.88960146587215</v>
      </c>
      <c r="J36" s="9">
        <f t="shared" si="5"/>
        <v>13.069565217391304</v>
      </c>
    </row>
    <row r="37" spans="1:10">
      <c r="A37" s="81">
        <v>44501</v>
      </c>
      <c r="B37" s="6" t="s">
        <v>252</v>
      </c>
      <c r="C37" s="6">
        <f t="shared" si="11"/>
        <v>7146</v>
      </c>
      <c r="D37" s="9">
        <f t="shared" si="1"/>
        <v>31.069565217391304</v>
      </c>
      <c r="E37" s="70">
        <f>SUMIFS('Sales Data'!$J$2:$J$986,'Sales Data'!$F$2:$F$986,"Nov 2021",'Sales Data'!$G$2:$G$986,"Won",'Sales Data'!$M$2:$M$986,"S10")/1.18</f>
        <v>205084.74576271189</v>
      </c>
      <c r="F37" s="7">
        <f t="shared" si="2"/>
        <v>2771.4154832798904</v>
      </c>
      <c r="G37" s="20">
        <f>COUNTIFS('Sales Data'!$F$2:$F$986,"Nov 2021",'Sales Data'!$G$2:$G$986,"Won",'Sales Data'!$M$2:$M$986,"S10")</f>
        <v>10</v>
      </c>
      <c r="H37" s="12">
        <f t="shared" si="3"/>
        <v>0.38782752354882316</v>
      </c>
      <c r="I37" s="7">
        <f t="shared" si="4"/>
        <v>4374.5845167201096</v>
      </c>
      <c r="J37" s="9">
        <f t="shared" si="5"/>
        <v>21.069565217391304</v>
      </c>
    </row>
    <row r="38" spans="1:10">
      <c r="A38" s="81">
        <v>44501</v>
      </c>
      <c r="B38" s="6" t="s">
        <v>253</v>
      </c>
      <c r="C38" s="6">
        <f t="shared" si="11"/>
        <v>7146</v>
      </c>
      <c r="D38" s="9">
        <f t="shared" si="1"/>
        <v>31.069565217391304</v>
      </c>
      <c r="E38" s="70">
        <f>SUMIFS('Sales Data'!$J$2:$J$986,'Sales Data'!$F$2:$F$986,"Nov 2021",'Sales Data'!$G$2:$G$986,"Won",'Sales Data'!$M$2:$M$986,"T10")/1.18</f>
        <v>430593.22033898305</v>
      </c>
      <c r="F38" s="7">
        <f t="shared" si="2"/>
        <v>5818.8273018781492</v>
      </c>
      <c r="G38" s="20">
        <f>COUNTIFS('Sales Data'!$F$2:$F$986,"Nov 2021",'Sales Data'!$G$2:$G$986,"Won",'Sales Data'!$M$2:$M$986,"T10")</f>
        <v>17</v>
      </c>
      <c r="H38" s="12">
        <f t="shared" si="3"/>
        <v>0.81427754014527698</v>
      </c>
      <c r="I38" s="7">
        <f t="shared" si="4"/>
        <v>1327.1726981218508</v>
      </c>
      <c r="J38" s="9">
        <f t="shared" si="5"/>
        <v>14.069565217391304</v>
      </c>
    </row>
    <row r="39" spans="1:10">
      <c r="A39" s="81">
        <v>44531</v>
      </c>
      <c r="B39" s="6" t="s">
        <v>251</v>
      </c>
      <c r="C39" s="6">
        <f t="shared" si="11"/>
        <v>7146</v>
      </c>
      <c r="D39" s="9">
        <f t="shared" si="1"/>
        <v>31.069565217391304</v>
      </c>
      <c r="E39" s="70">
        <f>SUMIFS('Sales Data'!$J$2:$J$986,'Sales Data'!$F$2:$F$986,"Dec 2021",'Sales Data'!$G$2:$G$986,"Won",'Sales Data'!$M$2:$M$986,"F10")/1.18</f>
        <v>384745.76271186443</v>
      </c>
      <c r="F39" s="7">
        <f t="shared" si="2"/>
        <v>5199.2670636738439</v>
      </c>
      <c r="G39" s="20">
        <f>COUNTIFS('Sales Data'!$F$2:$F$986,"Dec 2021",'Sales Data'!$G$2:$G$986,"Won",'Sales Data'!$M$2:$M$986,"F10")</f>
        <v>17</v>
      </c>
      <c r="H39" s="12">
        <f t="shared" si="3"/>
        <v>0.7275772549221724</v>
      </c>
      <c r="I39" s="7">
        <f t="shared" si="4"/>
        <v>1946.7329363261561</v>
      </c>
      <c r="J39" s="9">
        <f t="shared" si="5"/>
        <v>14.069565217391304</v>
      </c>
    </row>
    <row r="40" spans="1:10">
      <c r="A40" s="81">
        <v>44531</v>
      </c>
      <c r="B40" s="6" t="s">
        <v>252</v>
      </c>
      <c r="C40" s="6">
        <f t="shared" si="11"/>
        <v>7146</v>
      </c>
      <c r="D40" s="9">
        <f t="shared" si="1"/>
        <v>31.069565217391304</v>
      </c>
      <c r="E40" s="70">
        <f>SUMIFS('Sales Data'!$J$2:$J$986,'Sales Data'!$F$2:$F$986,"Dec 2021",'Sales Data'!$G$2:$G$986,"Won",'Sales Data'!$M$2:$M$986,"S10")/1.18</f>
        <v>381355.93220338988</v>
      </c>
      <c r="F40" s="7">
        <f t="shared" si="2"/>
        <v>5153.4585432890526</v>
      </c>
      <c r="G40" s="20">
        <f>COUNTIFS('Sales Data'!$F$2:$F$986,"Dec 2021",'Sales Data'!$G$2:$G$986,"Won",'Sales Data'!$M$2:$M$986,"S10")</f>
        <v>18</v>
      </c>
      <c r="H40" s="12">
        <f t="shared" si="3"/>
        <v>0.72116688263210926</v>
      </c>
      <c r="I40" s="7">
        <f t="shared" si="4"/>
        <v>1992.5414567109474</v>
      </c>
      <c r="J40" s="9">
        <f t="shared" si="5"/>
        <v>13.069565217391304</v>
      </c>
    </row>
    <row r="41" spans="1:10">
      <c r="A41" s="81">
        <v>44531</v>
      </c>
      <c r="B41" s="6" t="s">
        <v>253</v>
      </c>
      <c r="C41" s="6">
        <f t="shared" si="11"/>
        <v>7146</v>
      </c>
      <c r="D41" s="9">
        <f t="shared" si="1"/>
        <v>31.069565217391304</v>
      </c>
      <c r="E41" s="70">
        <f>SUMIFS('Sales Data'!$J$2:$J$986,'Sales Data'!$F$2:$F$986,"Dec 2021",'Sales Data'!$G$2:$G$986,"Won",'Sales Data'!$M$2:$M$986,"T10")/1.18</f>
        <v>433474.57627118647</v>
      </c>
      <c r="F41" s="7">
        <f t="shared" si="2"/>
        <v>5857.7645442052226</v>
      </c>
      <c r="G41" s="20">
        <f>COUNTIFS('Sales Data'!$F$2:$F$986,"Dec 2021",'Sales Data'!$G$2:$G$986,"Won",'Sales Data'!$M$2:$M$986,"T10")</f>
        <v>19</v>
      </c>
      <c r="H41" s="12">
        <f t="shared" si="3"/>
        <v>0.8197263565918308</v>
      </c>
      <c r="I41" s="7">
        <f t="shared" si="4"/>
        <v>1288.2354557947774</v>
      </c>
      <c r="J41" s="9">
        <f t="shared" si="5"/>
        <v>12.069565217391304</v>
      </c>
    </row>
    <row r="42" spans="1:10">
      <c r="A42" s="81">
        <v>44562</v>
      </c>
      <c r="B42" s="6" t="s">
        <v>251</v>
      </c>
      <c r="C42" s="6">
        <f t="shared" si="11"/>
        <v>7146</v>
      </c>
      <c r="D42" s="9">
        <f t="shared" si="1"/>
        <v>31.069565217391304</v>
      </c>
      <c r="E42" s="70">
        <f>SUMIFS('Sales Data'!$J$2:$J$986,'Sales Data'!$F$2:$F$986,"Jan 2022",'Sales Data'!$G$2:$G$986,"Won",'Sales Data'!$M$2:$M$986,"F10")/1.18</f>
        <v>372457.62711864407</v>
      </c>
      <c r="F42" s="7">
        <f t="shared" si="2"/>
        <v>5033.211177278974</v>
      </c>
      <c r="G42" s="20">
        <f>COUNTIFS('Sales Data'!$F$2:$F$986,"Jan 2022",'Sales Data'!$G$2:$G$986,"Won",'Sales Data'!$M$2:$M$986,"F10")</f>
        <v>20</v>
      </c>
      <c r="H42" s="12">
        <f t="shared" si="3"/>
        <v>0.70433965537069321</v>
      </c>
      <c r="I42" s="7">
        <f t="shared" si="4"/>
        <v>2112.788822721026</v>
      </c>
      <c r="J42" s="9">
        <f t="shared" si="5"/>
        <v>11.069565217391304</v>
      </c>
    </row>
    <row r="43" spans="1:10">
      <c r="A43" s="81">
        <v>44562</v>
      </c>
      <c r="B43" s="6" t="s">
        <v>252</v>
      </c>
      <c r="C43" s="6">
        <f t="shared" si="11"/>
        <v>7146</v>
      </c>
      <c r="D43" s="9">
        <f t="shared" si="1"/>
        <v>31.069565217391304</v>
      </c>
      <c r="E43" s="70">
        <f>SUMIFS('Sales Data'!$J$2:$J$986,'Sales Data'!$F$2:$F$986,"Jan 2022",'Sales Data'!$G$2:$G$986,"Won",'Sales Data'!$M$2:$M$986,"S10")/1.18</f>
        <v>205084.74576271189</v>
      </c>
      <c r="F43" s="7">
        <f t="shared" si="2"/>
        <v>2771.4154832798904</v>
      </c>
      <c r="G43" s="20">
        <f>COUNTIFS('Sales Data'!$F$2:$F$986,"Jan 2022",'Sales Data'!$G$2:$G$986,"Won",'Sales Data'!$M$2:$M$986,"S10")</f>
        <v>10</v>
      </c>
      <c r="H43" s="12">
        <f t="shared" si="3"/>
        <v>0.38782752354882316</v>
      </c>
      <c r="I43" s="7">
        <f t="shared" si="4"/>
        <v>4374.5845167201096</v>
      </c>
      <c r="J43" s="9">
        <f t="shared" si="5"/>
        <v>21.069565217391304</v>
      </c>
    </row>
    <row r="44" spans="1:10">
      <c r="A44" s="81">
        <v>44562</v>
      </c>
      <c r="B44" s="6" t="s">
        <v>253</v>
      </c>
      <c r="C44" s="6">
        <f t="shared" si="11"/>
        <v>7146</v>
      </c>
      <c r="D44" s="9">
        <f t="shared" si="1"/>
        <v>31.069565217391304</v>
      </c>
      <c r="E44" s="70">
        <f>SUMIFS('Sales Data'!$J$2:$J$986,'Sales Data'!$F$2:$F$986,"Jan 2022",'Sales Data'!$G$2:$G$986,"Won",'Sales Data'!$M$2:$M$986,"T10")/1.18</f>
        <v>454322.03389830509</v>
      </c>
      <c r="F44" s="7">
        <f t="shared" si="2"/>
        <v>6139.4869445716904</v>
      </c>
      <c r="G44" s="20">
        <f>COUNTIFS('Sales Data'!$F$2:$F$986,"Jan 2022",'Sales Data'!$G$2:$G$986,"Won",'Sales Data'!$M$2:$M$986,"T10")</f>
        <v>18</v>
      </c>
      <c r="H44" s="12">
        <f t="shared" si="3"/>
        <v>0.85915014617571939</v>
      </c>
      <c r="I44" s="7">
        <f t="shared" si="4"/>
        <v>1006.5130554283096</v>
      </c>
      <c r="J44" s="9">
        <f t="shared" si="5"/>
        <v>13.069565217391304</v>
      </c>
    </row>
    <row r="45" spans="1:10">
      <c r="A45" s="81">
        <v>44593</v>
      </c>
      <c r="B45" s="6" t="s">
        <v>251</v>
      </c>
      <c r="C45" s="6">
        <f t="shared" si="11"/>
        <v>7146</v>
      </c>
      <c r="D45" s="9">
        <f t="shared" si="1"/>
        <v>31.069565217391304</v>
      </c>
      <c r="E45" s="70">
        <f>SUMIFS('Sales Data'!$J$2:$J$986,'Sales Data'!$F$2:$F$986,"Feb 2022",'Sales Data'!$G$2:$G$986,"Won",'Sales Data'!$M$2:$M$986,"F10")/1.18</f>
        <v>357935.59322033898</v>
      </c>
      <c r="F45" s="7">
        <f t="shared" si="2"/>
        <v>4836.9674759505269</v>
      </c>
      <c r="G45" s="20">
        <f>COUNTIFS('Sales Data'!$F$2:$F$986,"Feb 2022",'Sales Data'!$G$2:$G$986,"Won",'Sales Data'!$M$2:$M$986,"F10")</f>
        <v>17</v>
      </c>
      <c r="H45" s="12">
        <f t="shared" si="3"/>
        <v>0.6768776204800625</v>
      </c>
      <c r="I45" s="7">
        <f t="shared" si="4"/>
        <v>2309.0325240494731</v>
      </c>
      <c r="J45" s="9">
        <f t="shared" si="5"/>
        <v>14.069565217391304</v>
      </c>
    </row>
    <row r="46" spans="1:10">
      <c r="A46" s="81">
        <v>44593</v>
      </c>
      <c r="B46" s="6" t="s">
        <v>252</v>
      </c>
      <c r="C46" s="6">
        <f t="shared" si="11"/>
        <v>7146</v>
      </c>
      <c r="D46" s="9">
        <f t="shared" si="1"/>
        <v>31.069565217391304</v>
      </c>
      <c r="E46" s="70">
        <f>SUMIFS('Sales Data'!$J$2:$J$986,'Sales Data'!$F$2:$F$986,"Feb 2022",'Sales Data'!$G$2:$G$986,"Won",'Sales Data'!$M$2:$M$986,"S10")/1.18</f>
        <v>419915.25423728814</v>
      </c>
      <c r="F46" s="7">
        <f t="shared" si="2"/>
        <v>5674.5304626660563</v>
      </c>
      <c r="G46" s="20">
        <f>COUNTIFS('Sales Data'!$F$2:$F$986,"Feb 2022",'Sales Data'!$G$2:$G$986,"Won",'Sales Data'!$M$2:$M$986,"S10")</f>
        <v>21</v>
      </c>
      <c r="H46" s="12">
        <f t="shared" si="3"/>
        <v>0.79408486743157802</v>
      </c>
      <c r="I46" s="7">
        <f t="shared" si="4"/>
        <v>1471.4695373339437</v>
      </c>
      <c r="J46" s="9">
        <f t="shared" si="5"/>
        <v>10.069565217391304</v>
      </c>
    </row>
    <row r="47" spans="1:10">
      <c r="A47" s="81">
        <v>44593</v>
      </c>
      <c r="B47" s="6" t="s">
        <v>253</v>
      </c>
      <c r="C47" s="6">
        <f t="shared" si="11"/>
        <v>7146</v>
      </c>
      <c r="D47" s="9">
        <f t="shared" si="1"/>
        <v>31.069565217391304</v>
      </c>
      <c r="E47" s="70">
        <f>SUMIFS('Sales Data'!$J$2:$J$986,'Sales Data'!$F$2:$F$986,"Feb 2022",'Sales Data'!$G$2:$G$986,"Won",'Sales Data'!$M$2:$M$986,"T10")/1.18</f>
        <v>347881.35593220341</v>
      </c>
      <c r="F47" s="7">
        <f t="shared" si="2"/>
        <v>4701.099404489235</v>
      </c>
      <c r="G47" s="20">
        <f>COUNTIFS('Sales Data'!$F$2:$F$986,"Feb 2022",'Sales Data'!$G$2:$G$986,"Won",'Sales Data'!$M$2:$M$986,"T10")</f>
        <v>17</v>
      </c>
      <c r="H47" s="12">
        <f t="shared" si="3"/>
        <v>0.65786445626773504</v>
      </c>
      <c r="I47" s="7">
        <f t="shared" si="4"/>
        <v>2444.900595510765</v>
      </c>
      <c r="J47" s="9">
        <f t="shared" si="5"/>
        <v>14.069565217391304</v>
      </c>
    </row>
    <row r="48" spans="1:10">
      <c r="A48" s="80">
        <v>44621</v>
      </c>
      <c r="B48" s="6" t="s">
        <v>251</v>
      </c>
      <c r="C48" s="6">
        <f t="shared" si="11"/>
        <v>7146</v>
      </c>
      <c r="D48" s="9">
        <f t="shared" si="1"/>
        <v>31.069565217391304</v>
      </c>
      <c r="E48" s="70">
        <f>SUMIFS('Sales Data'!$J$2:$J$986,'Sales Data'!$F$2:$F$986,"March 2022",'Sales Data'!$G$2:$G$986,"Won",'Sales Data'!$M$2:$M$986,"F10")/1.18</f>
        <v>411016.94915254239</v>
      </c>
      <c r="F48" s="7">
        <f t="shared" si="2"/>
        <v>5554.2830966559786</v>
      </c>
      <c r="G48" s="20">
        <f>COUNTIFS('Sales Data'!$F$2:$F$986,"March 2022",'Sales Data'!$G$2:$G$986,"Won",'Sales Data'!$M$2:$M$986,"F10")</f>
        <v>19</v>
      </c>
      <c r="H48" s="12">
        <f t="shared" si="3"/>
        <v>0.77725764017016219</v>
      </c>
      <c r="I48" s="7">
        <f t="shared" si="4"/>
        <v>1591.7169033440214</v>
      </c>
      <c r="J48" s="9">
        <f t="shared" si="5"/>
        <v>12.069565217391304</v>
      </c>
    </row>
    <row r="49" spans="1:10">
      <c r="A49" s="80">
        <v>44621</v>
      </c>
      <c r="B49" s="6" t="s">
        <v>252</v>
      </c>
      <c r="C49" s="6">
        <f t="shared" si="11"/>
        <v>7146</v>
      </c>
      <c r="D49" s="9">
        <f t="shared" si="1"/>
        <v>31.069565217391304</v>
      </c>
      <c r="E49" s="70">
        <f>SUMIFS('Sales Data'!$J$2:$J$986,'Sales Data'!$F$2:$F$986,"March 2022",'Sales Data'!$G$2:$G$986,"Won",'Sales Data'!$M$2:$M$986,"S10")/1.18</f>
        <v>310593.22033898305</v>
      </c>
      <c r="F49" s="7">
        <f t="shared" si="2"/>
        <v>4197.2056802565276</v>
      </c>
      <c r="G49" s="20">
        <f>COUNTIFS('Sales Data'!$F$2:$F$986,"March 2022",'Sales Data'!$G$2:$G$986,"Won",'Sales Data'!$M$2:$M$986,"S10")</f>
        <v>14</v>
      </c>
      <c r="H49" s="12">
        <f t="shared" si="3"/>
        <v>0.58735036107703997</v>
      </c>
      <c r="I49" s="7">
        <f t="shared" si="4"/>
        <v>2948.7943197434724</v>
      </c>
      <c r="J49" s="9">
        <f t="shared" si="5"/>
        <v>17.069565217391304</v>
      </c>
    </row>
    <row r="50" spans="1:10">
      <c r="A50" s="80">
        <v>44621</v>
      </c>
      <c r="B50" s="6" t="s">
        <v>253</v>
      </c>
      <c r="C50" s="6">
        <f t="shared" si="11"/>
        <v>7146</v>
      </c>
      <c r="D50" s="9">
        <f t="shared" si="1"/>
        <v>31.069565217391304</v>
      </c>
      <c r="E50" s="70">
        <f>SUMIFS('Sales Data'!$J$2:$J$986,'Sales Data'!$F$2:$F$986,"March 2022",'Sales Data'!$G$2:$G$986,"Won",'Sales Data'!$M$2:$M$986,"T10")/1.18</f>
        <v>356567.79661016952</v>
      </c>
      <c r="F50" s="7">
        <f t="shared" si="2"/>
        <v>4818.4837379752635</v>
      </c>
      <c r="G50" s="20">
        <f>COUNTIFS('Sales Data'!$F$2:$F$986,"March 2022",'Sales Data'!$G$2:$G$986,"Won",'Sales Data'!$M$2:$M$986,"T10")</f>
        <v>15</v>
      </c>
      <c r="H50" s="12">
        <f t="shared" si="3"/>
        <v>0.67429103526102208</v>
      </c>
      <c r="I50" s="7">
        <f t="shared" si="4"/>
        <v>2327.5162620247365</v>
      </c>
      <c r="J50" s="9">
        <f t="shared" si="5"/>
        <v>16.069565217391304</v>
      </c>
    </row>
    <row r="51" spans="1:10">
      <c r="A51" s="80">
        <v>44652</v>
      </c>
      <c r="B51" s="6" t="s">
        <v>251</v>
      </c>
      <c r="C51" s="6">
        <f t="shared" si="11"/>
        <v>7146</v>
      </c>
      <c r="D51" s="9">
        <f t="shared" si="1"/>
        <v>31.069565217391304</v>
      </c>
      <c r="E51" s="70">
        <f>SUMIFS('Sales Data'!$J$2:$J$986,'Sales Data'!$F$2:$F$986,"April 2022",'Sales Data'!$G$2:$G$986,"Won",'Sales Data'!$M$2:$M$986,"F10")/1.18</f>
        <v>211016.94915254239</v>
      </c>
      <c r="F51" s="7">
        <f t="shared" si="2"/>
        <v>2851.5803939532757</v>
      </c>
      <c r="G51" s="20">
        <f>COUNTIFS('Sales Data'!$F$2:$F$986,"April 2022",'Sales Data'!$G$2:$G$986,"Won",'Sales Data'!$M$2:$M$986,"F10")</f>
        <v>10</v>
      </c>
      <c r="H51" s="12">
        <f t="shared" si="3"/>
        <v>0.39904567505643379</v>
      </c>
      <c r="I51" s="7">
        <f t="shared" si="4"/>
        <v>4294.4196060467239</v>
      </c>
      <c r="J51" s="9">
        <f t="shared" si="5"/>
        <v>21.069565217391304</v>
      </c>
    </row>
    <row r="52" spans="1:10">
      <c r="A52" s="80">
        <v>44652</v>
      </c>
      <c r="B52" s="6" t="s">
        <v>252</v>
      </c>
      <c r="C52" s="6">
        <f t="shared" si="11"/>
        <v>7146</v>
      </c>
      <c r="D52" s="9">
        <f t="shared" si="1"/>
        <v>31.069565217391304</v>
      </c>
      <c r="E52" s="70">
        <f>SUMIFS('Sales Data'!$J$2:$J$986,'Sales Data'!$F$2:$F$986,"April 2022",'Sales Data'!$G$2:$G$986,"Won",'Sales Data'!$M$2:$M$986,"S10")/1.18</f>
        <v>414618.64406779665</v>
      </c>
      <c r="F52" s="7">
        <f t="shared" si="2"/>
        <v>5602.9546495648192</v>
      </c>
      <c r="G52" s="20">
        <f>COUNTIFS('Sales Data'!$F$2:$F$986,"April 2022",'Sales Data'!$G$2:$G$986,"Won",'Sales Data'!$M$2:$M$986,"S10")</f>
        <v>19</v>
      </c>
      <c r="H52" s="12">
        <f t="shared" si="3"/>
        <v>0.78406866072835424</v>
      </c>
      <c r="I52" s="7">
        <f t="shared" si="4"/>
        <v>1543.0453504351808</v>
      </c>
      <c r="J52" s="9">
        <f t="shared" si="5"/>
        <v>12.069565217391304</v>
      </c>
    </row>
    <row r="53" spans="1:10">
      <c r="A53" s="80">
        <v>44652</v>
      </c>
      <c r="B53" s="6" t="s">
        <v>253</v>
      </c>
      <c r="C53" s="6">
        <f t="shared" si="11"/>
        <v>7146</v>
      </c>
      <c r="D53" s="9">
        <f t="shared" si="1"/>
        <v>31.069565217391304</v>
      </c>
      <c r="E53" s="70">
        <f>SUMIFS('Sales Data'!$J$2:$J$986,'Sales Data'!$F$2:$F$986,"April 2022",'Sales Data'!$G$2:$G$986,"Won",'Sales Data'!$M$2:$M$986,"T10")/1.18</f>
        <v>283102.54237288138</v>
      </c>
      <c r="F53" s="7">
        <f t="shared" si="2"/>
        <v>3825.7100320659647</v>
      </c>
      <c r="G53" s="20">
        <f>COUNTIFS('Sales Data'!$F$2:$F$986,"April 2022",'Sales Data'!$G$2:$G$986,"Won",'Sales Data'!$M$2:$M$986,"T10")</f>
        <v>12</v>
      </c>
      <c r="H53" s="12">
        <f t="shared" si="3"/>
        <v>0.53536384439770002</v>
      </c>
      <c r="I53" s="7">
        <f t="shared" si="4"/>
        <v>3320.2899679340353</v>
      </c>
      <c r="J53" s="9">
        <f t="shared" si="5"/>
        <v>19.069565217391304</v>
      </c>
    </row>
    <row r="54" spans="1:10">
      <c r="A54" s="80">
        <v>44682</v>
      </c>
      <c r="B54" s="6" t="s">
        <v>251</v>
      </c>
      <c r="C54" s="6">
        <f t="shared" si="11"/>
        <v>7146</v>
      </c>
      <c r="D54" s="9">
        <f t="shared" si="1"/>
        <v>31.069565217391304</v>
      </c>
      <c r="E54" s="70">
        <f>SUMIFS('Sales Data'!$J:$J,'Sales Data'!$F:$F,"May 2022",'Sales Data'!$G:$G,"Won",'Sales Data'!$M:$M,"F10")/1.18</f>
        <v>381035.59322033898</v>
      </c>
      <c r="F54" s="7">
        <f t="shared" si="2"/>
        <v>5149.1296381126886</v>
      </c>
      <c r="G54" s="20">
        <f>COUNTIFS('Sales Data'!$F:$F,"May 2022",'Sales Data'!$G:$G,"Won",'Sales Data'!$M:$M,"F10")</f>
        <v>18</v>
      </c>
      <c r="H54" s="12">
        <f t="shared" si="3"/>
        <v>0.72056110245069804</v>
      </c>
      <c r="I54" s="7">
        <f t="shared" si="4"/>
        <v>1996.8703618873114</v>
      </c>
      <c r="J54" s="9">
        <f t="shared" si="5"/>
        <v>13.069565217391304</v>
      </c>
    </row>
    <row r="55" spans="1:10">
      <c r="A55" s="80">
        <v>44682</v>
      </c>
      <c r="B55" s="6" t="s">
        <v>252</v>
      </c>
      <c r="C55" s="6">
        <f t="shared" si="11"/>
        <v>7146</v>
      </c>
      <c r="D55" s="9">
        <f t="shared" si="1"/>
        <v>31.069565217391304</v>
      </c>
      <c r="E55" s="70">
        <f>SUMIFS('Sales Data'!$J:$J,'Sales Data'!$F:$F,"May 2022",'Sales Data'!$G:$G,"Won",'Sales Data'!$M:$M,"S10")/1.18</f>
        <v>376059.32203389832</v>
      </c>
      <c r="F55" s="7">
        <f t="shared" si="2"/>
        <v>5081.8827301878155</v>
      </c>
      <c r="G55" s="20">
        <f>COUNTIFS('Sales Data'!$F:$F,"May 2022",'Sales Data'!$G:$G,"Won",'Sales Data'!$M:$M,"S10")</f>
        <v>20</v>
      </c>
      <c r="H55" s="12">
        <f t="shared" si="3"/>
        <v>0.71115067592888548</v>
      </c>
      <c r="I55" s="7">
        <f t="shared" si="4"/>
        <v>2064.1172698121845</v>
      </c>
      <c r="J55" s="9">
        <f t="shared" si="5"/>
        <v>11.069565217391304</v>
      </c>
    </row>
    <row r="56" spans="1:10">
      <c r="A56" s="80">
        <v>44682</v>
      </c>
      <c r="B56" s="6" t="s">
        <v>253</v>
      </c>
      <c r="C56" s="6">
        <f t="shared" si="11"/>
        <v>7146</v>
      </c>
      <c r="D56" s="9">
        <f t="shared" si="1"/>
        <v>31.069565217391304</v>
      </c>
      <c r="E56" s="70">
        <f>SUMIFS('Sales Data'!$J:$J,'Sales Data'!$F:$F,"May 2022",'Sales Data'!$G:$G,"Won",'Sales Data'!$M:$M,"T10")/1.18</f>
        <v>403493.22033898305</v>
      </c>
      <c r="F56" s="7">
        <f t="shared" si="2"/>
        <v>5452.6110856619334</v>
      </c>
      <c r="G56" s="20">
        <f>COUNTIFS('Sales Data'!$F:$F,"May 2022",'Sales Data'!$G:$G,"Won",'Sales Data'!$M:$M,"T10")</f>
        <v>14</v>
      </c>
      <c r="H56" s="12">
        <f t="shared" si="3"/>
        <v>0.76302981887236687</v>
      </c>
      <c r="I56" s="7">
        <f t="shared" si="4"/>
        <v>1693.3889143380666</v>
      </c>
      <c r="J56" s="9">
        <f t="shared" si="5"/>
        <v>17.069565217391304</v>
      </c>
    </row>
    <row r="57" spans="1:10">
      <c r="A57" s="80">
        <v>44713</v>
      </c>
      <c r="B57" s="6" t="s">
        <v>251</v>
      </c>
      <c r="C57" s="6">
        <f t="shared" si="11"/>
        <v>7146</v>
      </c>
      <c r="D57" s="9">
        <f t="shared" si="1"/>
        <v>31.069565217391304</v>
      </c>
      <c r="E57" s="70">
        <f>SUMIFS('Sales Data'!$J:$J,'Sales Data'!$F:$F,"June 2022",'Sales Data'!$G:$G,"Won",'Sales Data'!$M:$M,"F10")/1.18</f>
        <v>436492.37288135593</v>
      </c>
      <c r="F57" s="7">
        <f t="shared" si="2"/>
        <v>5898.5455794777827</v>
      </c>
      <c r="G57" s="20">
        <f>COUNTIFS('Sales Data'!$F:$F,"June 2022",'Sales Data'!$G:$G,"Won",'Sales Data'!$M:$M,"F10")</f>
        <v>20</v>
      </c>
      <c r="H57" s="12">
        <f t="shared" si="3"/>
        <v>0.82543319052305941</v>
      </c>
      <c r="I57" s="7">
        <f t="shared" si="4"/>
        <v>1247.4544205222173</v>
      </c>
      <c r="J57" s="9">
        <f t="shared" si="5"/>
        <v>11.069565217391304</v>
      </c>
    </row>
    <row r="58" spans="1:10">
      <c r="A58" s="80">
        <v>44713</v>
      </c>
      <c r="B58" s="6" t="s">
        <v>252</v>
      </c>
      <c r="C58" s="6">
        <f t="shared" si="11"/>
        <v>7146</v>
      </c>
      <c r="D58" s="9">
        <f t="shared" si="1"/>
        <v>31.069565217391304</v>
      </c>
      <c r="E58" s="70">
        <f>SUMIFS('Sales Data'!$J:$J,'Sales Data'!$F:$F,"June 2022",'Sales Data'!$G:$G,"Won",'Sales Data'!$M:$M,"S10")/1.18</f>
        <v>483361.01694915257</v>
      </c>
      <c r="F58" s="7">
        <f t="shared" si="2"/>
        <v>6531.9056344480077</v>
      </c>
      <c r="G58" s="20">
        <f>COUNTIFS('Sales Data'!$F:$F,"June 2022",'Sales Data'!$G:$G,"Won",'Sales Data'!$M:$M,"S10")</f>
        <v>19</v>
      </c>
      <c r="H58" s="12">
        <f t="shared" si="3"/>
        <v>0.91406460039854576</v>
      </c>
      <c r="I58" s="7">
        <f t="shared" si="4"/>
        <v>614.09436555199227</v>
      </c>
      <c r="J58" s="9">
        <f t="shared" si="5"/>
        <v>12.069565217391304</v>
      </c>
    </row>
    <row r="59" spans="1:10">
      <c r="A59" s="80">
        <v>44713</v>
      </c>
      <c r="B59" s="6" t="s">
        <v>253</v>
      </c>
      <c r="C59" s="6">
        <f t="shared" si="11"/>
        <v>7146</v>
      </c>
      <c r="D59" s="9">
        <f t="shared" si="1"/>
        <v>31.069565217391304</v>
      </c>
      <c r="E59" s="70">
        <f>SUMIFS('Sales Data'!$J:$J,'Sales Data'!$F:$F,"June 2022",'Sales Data'!$G:$G,"Won",'Sales Data'!$M:$M,"T10")/1.18</f>
        <v>437650</v>
      </c>
      <c r="F59" s="7">
        <f t="shared" si="2"/>
        <v>5914.1891891891892</v>
      </c>
      <c r="G59" s="20">
        <f>COUNTIFS('Sales Data'!$F:$F,"June 2022",'Sales Data'!$G:$G,"Won",'Sales Data'!$M:$M,"T10")</f>
        <v>16</v>
      </c>
      <c r="H59" s="12">
        <f t="shared" si="3"/>
        <v>0.82762233266011598</v>
      </c>
      <c r="I59" s="7">
        <f t="shared" si="4"/>
        <v>1231.8108108108108</v>
      </c>
      <c r="J59" s="9">
        <f t="shared" si="5"/>
        <v>15.069565217391304</v>
      </c>
    </row>
    <row r="60" spans="1:10">
      <c r="A60" s="80">
        <v>44743</v>
      </c>
      <c r="B60" s="6" t="s">
        <v>251</v>
      </c>
      <c r="C60" s="6">
        <f t="shared" ref="C60:C62" si="12">15392*0.5</f>
        <v>7696</v>
      </c>
      <c r="D60" s="9">
        <f t="shared" si="1"/>
        <v>33.460869565217394</v>
      </c>
      <c r="E60" s="70">
        <f>SUMIFS('Sales Data'!$J:$J,'Sales Data'!$F:$F,"July 2022",'Sales Data'!$G:$G,"Won",'Sales Data'!$M:$M,"F10")/1.18</f>
        <v>302591.5254237288</v>
      </c>
      <c r="F60" s="7">
        <f t="shared" si="2"/>
        <v>4089.0746678882269</v>
      </c>
      <c r="G60" s="20">
        <f>COUNTIFS('Sales Data'!$F:$F,"July 2022",'Sales Data'!$G:$G,"Won",'Sales Data'!$M:$M,"F10")</f>
        <v>13</v>
      </c>
      <c r="H60" s="12">
        <f t="shared" si="3"/>
        <v>0.53132467098339742</v>
      </c>
      <c r="I60" s="7">
        <f t="shared" si="4"/>
        <v>3606.9253321117731</v>
      </c>
      <c r="J60" s="9">
        <f t="shared" si="5"/>
        <v>20.460869565217394</v>
      </c>
    </row>
    <row r="61" spans="1:10">
      <c r="A61" s="80">
        <v>44743</v>
      </c>
      <c r="B61" s="6" t="s">
        <v>252</v>
      </c>
      <c r="C61" s="6">
        <f t="shared" si="12"/>
        <v>7696</v>
      </c>
      <c r="D61" s="9">
        <f t="shared" si="1"/>
        <v>33.460869565217394</v>
      </c>
      <c r="E61" s="70">
        <f>SUMIFS('Sales Data'!$J:$J,'Sales Data'!$F:$F,"July 2022",'Sales Data'!$G:$G,"Won",'Sales Data'!$M:$M,"S10")/1.18</f>
        <v>467900</v>
      </c>
      <c r="F61" s="7">
        <f t="shared" si="2"/>
        <v>6322.9729729729734</v>
      </c>
      <c r="G61" s="20">
        <f>COUNTIFS('Sales Data'!$F:$F,"July 2022",'Sales Data'!$G:$G,"Won",'Sales Data'!$M:$M,"S10")</f>
        <v>21</v>
      </c>
      <c r="H61" s="12">
        <f t="shared" si="3"/>
        <v>0.82159212226779799</v>
      </c>
      <c r="I61" s="7">
        <f t="shared" si="4"/>
        <v>1373.0270270270266</v>
      </c>
      <c r="J61" s="9">
        <f t="shared" si="5"/>
        <v>12.460869565217394</v>
      </c>
    </row>
    <row r="62" spans="1:10">
      <c r="A62" s="80">
        <v>44743</v>
      </c>
      <c r="B62" s="6" t="s">
        <v>253</v>
      </c>
      <c r="C62" s="6">
        <f t="shared" si="12"/>
        <v>7696</v>
      </c>
      <c r="D62" s="9">
        <f t="shared" si="1"/>
        <v>33.460869565217394</v>
      </c>
      <c r="E62" s="70">
        <f>SUMIFS('Sales Data'!$J:$J,'Sales Data'!$F:$F,"July 2022",'Sales Data'!$G:$G,"Won",'Sales Data'!$M:$M,"T10")/1.18</f>
        <v>415677.96610169491</v>
      </c>
      <c r="F62" s="7">
        <f t="shared" si="2"/>
        <v>5617.2698121850663</v>
      </c>
      <c r="G62" s="20">
        <f>COUNTIFS('Sales Data'!$F:$F,"July 2022",'Sales Data'!$G:$G,"Won",'Sales Data'!$M:$M,"T10")</f>
        <v>19</v>
      </c>
      <c r="H62" s="12">
        <f t="shared" si="3"/>
        <v>0.7298947261155232</v>
      </c>
      <c r="I62" s="7">
        <f t="shared" si="4"/>
        <v>2078.7301878149337</v>
      </c>
      <c r="J62" s="9">
        <f t="shared" si="5"/>
        <v>14.460869565217394</v>
      </c>
    </row>
    <row r="63" spans="1:10">
      <c r="A63" s="81">
        <v>44774</v>
      </c>
      <c r="B63" s="6" t="s">
        <v>251</v>
      </c>
      <c r="C63" s="6">
        <f t="shared" ref="C63:C65" si="13">14700*0.5</f>
        <v>7350</v>
      </c>
      <c r="D63" s="9">
        <f t="shared" si="1"/>
        <v>31.956521739130434</v>
      </c>
      <c r="E63" s="70">
        <f>SUMIFS('Sales Data'!$J:$J,'Sales Data'!$F:$F,"Aug 2022",'Sales Data'!$G:$G,"Won",'Sales Data'!$M:$M,"F10")/1.18</f>
        <v>514510.16949152545</v>
      </c>
      <c r="F63" s="7">
        <f t="shared" si="2"/>
        <v>6952.840128263857</v>
      </c>
      <c r="G63" s="20">
        <f>COUNTIFS('Sales Data'!$F:$F,"Aug 2022",'Sales Data'!$G:$G,"Won",'Sales Data'!$M:$M,"F10")</f>
        <v>18</v>
      </c>
      <c r="H63" s="12">
        <f t="shared" si="3"/>
        <v>0.945964643301205</v>
      </c>
      <c r="I63" s="7">
        <f t="shared" si="4"/>
        <v>397.15987173614303</v>
      </c>
      <c r="J63" s="9">
        <f t="shared" si="5"/>
        <v>13.956521739130434</v>
      </c>
    </row>
    <row r="64" spans="1:10">
      <c r="A64" s="81">
        <v>44774</v>
      </c>
      <c r="B64" s="6" t="s">
        <v>252</v>
      </c>
      <c r="C64" s="6">
        <f t="shared" si="13"/>
        <v>7350</v>
      </c>
      <c r="D64" s="9">
        <f t="shared" si="1"/>
        <v>31.956521739130434</v>
      </c>
      <c r="E64" s="70">
        <f>SUMIFS('Sales Data'!$J:$J,'Sales Data'!$F:$F,"Aug 2022",'Sales Data'!$G:$G,"Won",'Sales Data'!$M:$M,"S10")/1.18</f>
        <v>199152.54237288138</v>
      </c>
      <c r="F64" s="7">
        <f t="shared" si="2"/>
        <v>2691.2505726065051</v>
      </c>
      <c r="G64" s="20">
        <f>COUNTIFS('Sales Data'!$F:$F,"Aug 2022",'Sales Data'!$G:$G,"Won",'Sales Data'!$M:$M,"S10")</f>
        <v>9</v>
      </c>
      <c r="H64" s="12">
        <f t="shared" si="3"/>
        <v>0.36615654049068097</v>
      </c>
      <c r="I64" s="7">
        <f t="shared" si="4"/>
        <v>4658.7494273934954</v>
      </c>
      <c r="J64" s="9">
        <f t="shared" si="5"/>
        <v>22.956521739130434</v>
      </c>
    </row>
    <row r="65" spans="1:22">
      <c r="A65" s="81">
        <v>44774</v>
      </c>
      <c r="B65" s="6" t="s">
        <v>253</v>
      </c>
      <c r="C65" s="6">
        <f t="shared" si="13"/>
        <v>7350</v>
      </c>
      <c r="D65" s="9">
        <f t="shared" si="1"/>
        <v>31.956521739130434</v>
      </c>
      <c r="E65" s="70">
        <f>SUMIFS('Sales Data'!$J:$J,'Sales Data'!$F:$F,"Aug 2022",'Sales Data'!$G:$G,"Won",'Sales Data'!$M:$M,"T10")/1.18</f>
        <v>246186.44067796611</v>
      </c>
      <c r="F65" s="7">
        <f t="shared" si="2"/>
        <v>3326.8437929454881</v>
      </c>
      <c r="G65" s="20">
        <f>COUNTIFS('Sales Data'!$F:$F,"Aug 2022",'Sales Data'!$G:$G,"Won",'Sales Data'!$M:$M,"T10")</f>
        <v>12</v>
      </c>
      <c r="H65" s="12">
        <f t="shared" si="3"/>
        <v>0.45263180856401197</v>
      </c>
      <c r="I65" s="7">
        <f t="shared" si="4"/>
        <v>4023.1562070545119</v>
      </c>
      <c r="J65" s="9">
        <f t="shared" si="5"/>
        <v>19.956521739130434</v>
      </c>
    </row>
    <row r="66" spans="1:22">
      <c r="A66" s="81">
        <v>44805</v>
      </c>
      <c r="B66" s="6" t="s">
        <v>251</v>
      </c>
      <c r="C66" s="6">
        <f t="shared" ref="C66:C71" si="14">15005*0.5</f>
        <v>7502.5</v>
      </c>
      <c r="D66" s="9">
        <f t="shared" si="1"/>
        <v>32.619565217391305</v>
      </c>
      <c r="E66" s="70">
        <f>SUMIFS('Sales Data'!$J:$J,'Sales Data'!$F:$F,"Sep 2022",'Sales Data'!$G:$G,"Won",'Sales Data'!$M:$M,"F10")/1.18</f>
        <v>259531.35593220341</v>
      </c>
      <c r="F66" s="7">
        <f t="shared" si="2"/>
        <v>3507.1804855703163</v>
      </c>
      <c r="G66" s="20">
        <f>COUNTIFS('Sales Data'!$F:$F,"Sep 2022",'Sales Data'!$G:$G,"Won",'Sales Data'!$M:$M,"F10")</f>
        <v>11</v>
      </c>
      <c r="H66" s="12">
        <f t="shared" si="3"/>
        <v>0.46746824199537707</v>
      </c>
      <c r="I66" s="7">
        <f t="shared" si="4"/>
        <v>3995.3195144296837</v>
      </c>
      <c r="J66" s="9">
        <f t="shared" si="5"/>
        <v>21.619565217391305</v>
      </c>
    </row>
    <row r="67" spans="1:22">
      <c r="A67" s="81">
        <v>44805</v>
      </c>
      <c r="B67" s="6" t="s">
        <v>252</v>
      </c>
      <c r="C67" s="6">
        <f t="shared" si="14"/>
        <v>7502.5</v>
      </c>
      <c r="D67" s="9">
        <f t="shared" si="1"/>
        <v>32.619565217391305</v>
      </c>
      <c r="E67" s="70">
        <f>SUMIFS('Sales Data'!$J:$J,'Sales Data'!$F:$F,"Sep 2022",'Sales Data'!$G:$G,"Won",'Sales Data'!$M:$M,"S10")/1.18</f>
        <v>470442.37288135593</v>
      </c>
      <c r="F67" s="7">
        <f t="shared" si="2"/>
        <v>6357.3293632615669</v>
      </c>
      <c r="G67" s="20">
        <f>COUNTIFS('Sales Data'!$F:$F,"Sep 2022",'Sales Data'!$G:$G,"Won",'Sales Data'!$M:$M,"S10")</f>
        <v>22</v>
      </c>
      <c r="H67" s="12">
        <f t="shared" si="3"/>
        <v>0.84736146128111522</v>
      </c>
      <c r="I67" s="7">
        <f t="shared" si="4"/>
        <v>1145.1706367384331</v>
      </c>
      <c r="J67" s="9">
        <f t="shared" si="5"/>
        <v>10.619565217391305</v>
      </c>
    </row>
    <row r="68" spans="1:22">
      <c r="A68" s="81">
        <v>44805</v>
      </c>
      <c r="B68" s="6" t="s">
        <v>253</v>
      </c>
      <c r="C68" s="6">
        <f t="shared" si="14"/>
        <v>7502.5</v>
      </c>
      <c r="D68" s="9">
        <f t="shared" si="1"/>
        <v>32.619565217391305</v>
      </c>
      <c r="E68" s="70">
        <f>SUMIFS('Sales Data'!$J:$J,'Sales Data'!$F:$F,"Sep 2022",'Sales Data'!$G:$G,"Won",'Sales Data'!$M:$M,"T10")/1.18</f>
        <v>425475.42372881359</v>
      </c>
      <c r="F68" s="7">
        <f t="shared" si="2"/>
        <v>5749.6678882272108</v>
      </c>
      <c r="G68" s="20">
        <f>COUNTIFS('Sales Data'!$F:$F,"Sep 2022",'Sales Data'!$G:$G,"Won",'Sales Data'!$M:$M,"T10")</f>
        <v>18</v>
      </c>
      <c r="H68" s="12">
        <f t="shared" si="3"/>
        <v>0.76636692945381013</v>
      </c>
      <c r="I68" s="7">
        <f t="shared" si="4"/>
        <v>1752.8321117727892</v>
      </c>
      <c r="J68" s="9">
        <f t="shared" si="5"/>
        <v>14.619565217391305</v>
      </c>
    </row>
    <row r="69" spans="1:22">
      <c r="A69" s="81">
        <v>44835</v>
      </c>
      <c r="B69" s="6" t="s">
        <v>251</v>
      </c>
      <c r="C69" s="6">
        <f t="shared" si="14"/>
        <v>7502.5</v>
      </c>
      <c r="D69" s="9">
        <f t="shared" si="1"/>
        <v>32.619565217391305</v>
      </c>
      <c r="E69" s="70">
        <f>SUMIFS('Sales Data'!$J:$J,'Sales Data'!$F:$F,"Oct 2022",'Sales Data'!$G:$G,"Won",'Sales Data'!$M:$M,"F10")/1.18</f>
        <v>279712.71186440677</v>
      </c>
      <c r="F69" s="7">
        <f t="shared" si="2"/>
        <v>3779.9015116811725</v>
      </c>
      <c r="G69" s="20">
        <f>COUNTIFS('Sales Data'!$F:$F,"Oct 2022",'Sales Data'!$G:$G,"Won",'Sales Data'!$M:$M,"F10")</f>
        <v>14</v>
      </c>
      <c r="H69" s="12">
        <f t="shared" si="3"/>
        <v>0.50381892858129584</v>
      </c>
      <c r="I69" s="7">
        <f t="shared" si="4"/>
        <v>3722.5984883188275</v>
      </c>
      <c r="J69" s="9">
        <f t="shared" si="5"/>
        <v>18.619565217391305</v>
      </c>
    </row>
    <row r="70" spans="1:22">
      <c r="A70" s="81">
        <v>44835</v>
      </c>
      <c r="B70" s="6" t="s">
        <v>252</v>
      </c>
      <c r="C70" s="6">
        <f t="shared" si="14"/>
        <v>7502.5</v>
      </c>
      <c r="D70" s="9">
        <f t="shared" si="1"/>
        <v>32.619565217391305</v>
      </c>
      <c r="E70" s="70">
        <f>SUMIFS('Sales Data'!$J:$J,'Sales Data'!$F:$F,"Oct 2022",'Sales Data'!$G:$G,"Won",'Sales Data'!$M:$M,"S10")/1.18</f>
        <v>254406.77966101698</v>
      </c>
      <c r="F70" s="7">
        <f t="shared" si="2"/>
        <v>3437.9294548786079</v>
      </c>
      <c r="G70" s="20">
        <f>COUNTIFS('Sales Data'!$F:$F,"Oct 2022",'Sales Data'!$G:$G,"Won",'Sales Data'!$M:$M,"S10")</f>
        <v>13</v>
      </c>
      <c r="H70" s="12">
        <f t="shared" si="3"/>
        <v>0.45823784803446954</v>
      </c>
      <c r="I70" s="7">
        <f t="shared" si="4"/>
        <v>4064.5705451213921</v>
      </c>
      <c r="J70" s="9">
        <f t="shared" si="5"/>
        <v>19.619565217391305</v>
      </c>
      <c r="O70" s="82" t="s">
        <v>236</v>
      </c>
      <c r="P70" s="82" t="s">
        <v>254</v>
      </c>
      <c r="Q70" s="82" t="s">
        <v>255</v>
      </c>
      <c r="R70" s="82" t="s">
        <v>256</v>
      </c>
      <c r="T70" s="83" t="s">
        <v>257</v>
      </c>
      <c r="U70" s="83" t="s">
        <v>258</v>
      </c>
    </row>
    <row r="71" spans="1:22">
      <c r="A71" s="81">
        <v>44835</v>
      </c>
      <c r="B71" s="6" t="s">
        <v>253</v>
      </c>
      <c r="C71" s="6">
        <f t="shared" si="14"/>
        <v>7502.5</v>
      </c>
      <c r="D71" s="9">
        <f t="shared" si="1"/>
        <v>32.619565217391305</v>
      </c>
      <c r="E71" s="70">
        <f>SUMIFS('Sales Data'!$J:$J,'Sales Data'!$F:$F,"Oct 2022",'Sales Data'!$G:$G,"Won",'Sales Data'!$M:$M,"T10")/1.18</f>
        <v>228017.79661016949</v>
      </c>
      <c r="F71" s="7">
        <f t="shared" si="2"/>
        <v>3081.3215758131014</v>
      </c>
      <c r="G71" s="20">
        <f>COUNTIFS('Sales Data'!$F:$F,"Oct 2022",'Sales Data'!$G:$G,"Won",'Sales Data'!$M:$M,"T10")</f>
        <v>11</v>
      </c>
      <c r="H71" s="12">
        <f t="shared" si="3"/>
        <v>0.41070597478348569</v>
      </c>
      <c r="I71" s="7">
        <f t="shared" si="4"/>
        <v>4421.1784241868991</v>
      </c>
      <c r="J71" s="9">
        <f t="shared" si="5"/>
        <v>21.619565217391305</v>
      </c>
      <c r="O71" s="84">
        <v>44136</v>
      </c>
      <c r="P71" s="85">
        <v>5</v>
      </c>
      <c r="Q71" s="85">
        <v>5</v>
      </c>
      <c r="R71" s="86">
        <f t="shared" ref="R71:R72" si="15">Q71/P71</f>
        <v>1</v>
      </c>
      <c r="T71" s="87">
        <v>44197</v>
      </c>
      <c r="U71" s="88">
        <v>9</v>
      </c>
      <c r="V71" s="88">
        <v>8</v>
      </c>
    </row>
    <row r="72" spans="1:22">
      <c r="A72" s="81">
        <v>44866</v>
      </c>
      <c r="B72" s="6" t="s">
        <v>251</v>
      </c>
      <c r="C72" s="6">
        <f t="shared" ref="C72:C77" si="16">16125*0.5</f>
        <v>8062.5</v>
      </c>
      <c r="D72" s="9">
        <f t="shared" si="1"/>
        <v>35.054347826086953</v>
      </c>
      <c r="E72" s="70">
        <f>SUMIFS('Sales Data'!$J:$J,'Sales Data'!$F:$F,"Nov 2022",'Sales Data'!$G:$G,"Won",'Sales Data'!$M:$M,"F10")/1.18</f>
        <v>278813.55932203389</v>
      </c>
      <c r="F72" s="7">
        <f t="shared" si="2"/>
        <v>3767.7508016491065</v>
      </c>
      <c r="G72" s="20">
        <f>COUNTIFS('Sales Data'!$F:$F,"Nov 2022",'Sales Data'!$G:$G,"Won",'Sales Data'!$M:$M,"F10")</f>
        <v>14</v>
      </c>
      <c r="H72" s="12">
        <f t="shared" si="3"/>
        <v>0.46731792888671086</v>
      </c>
      <c r="I72" s="7">
        <f t="shared" si="4"/>
        <v>4294.7491983508935</v>
      </c>
      <c r="J72" s="9">
        <f t="shared" si="5"/>
        <v>21.054347826086953</v>
      </c>
      <c r="O72" s="84">
        <v>44166</v>
      </c>
      <c r="P72" s="85">
        <v>12</v>
      </c>
      <c r="Q72" s="85">
        <v>7</v>
      </c>
      <c r="R72" s="86">
        <f t="shared" si="15"/>
        <v>0.58333333333333337</v>
      </c>
      <c r="T72" s="87">
        <v>44228</v>
      </c>
      <c r="U72" s="88">
        <v>8</v>
      </c>
      <c r="V72" s="88">
        <v>6</v>
      </c>
    </row>
    <row r="73" spans="1:22">
      <c r="A73" s="81">
        <v>44866</v>
      </c>
      <c r="B73" s="6" t="s">
        <v>252</v>
      </c>
      <c r="C73" s="6">
        <f t="shared" si="16"/>
        <v>8062.5</v>
      </c>
      <c r="D73" s="9">
        <f t="shared" si="1"/>
        <v>35.054347826086953</v>
      </c>
      <c r="E73" s="70">
        <f>SUMIFS('Sales Data'!$J:$J,'Sales Data'!$F:$F,"Nov 2022",'Sales Data'!$G:$G,"Won",'Sales Data'!$M:$M,"S10")/1.18</f>
        <v>422033.89830508479</v>
      </c>
      <c r="F73" s="7">
        <f t="shared" si="2"/>
        <v>5703.1607879065514</v>
      </c>
      <c r="G73" s="20">
        <f>COUNTIFS('Sales Data'!$F:$F,"Nov 2022",'Sales Data'!$G:$G,"Won",'Sales Data'!$M:$M,"S10")</f>
        <v>20</v>
      </c>
      <c r="H73" s="12">
        <f t="shared" si="3"/>
        <v>0.70736877989538627</v>
      </c>
      <c r="I73" s="7">
        <f t="shared" si="4"/>
        <v>2359.3392120934486</v>
      </c>
      <c r="J73" s="9">
        <f t="shared" si="5"/>
        <v>15.054347826086953</v>
      </c>
      <c r="T73" s="87">
        <v>44256</v>
      </c>
      <c r="U73" s="88">
        <v>15</v>
      </c>
      <c r="V73" s="88">
        <v>15</v>
      </c>
    </row>
    <row r="74" spans="1:22">
      <c r="A74" s="81">
        <v>44866</v>
      </c>
      <c r="B74" s="6" t="s">
        <v>253</v>
      </c>
      <c r="C74" s="6">
        <f t="shared" si="16"/>
        <v>8062.5</v>
      </c>
      <c r="D74" s="9">
        <f t="shared" si="1"/>
        <v>35.054347826086953</v>
      </c>
      <c r="E74" s="70">
        <f>SUMIFS('Sales Data'!$J:$J,'Sales Data'!$F:$F,"Nov 2022",'Sales Data'!$G:$G,"Won",'Sales Data'!$M:$M,"T10")/1.18</f>
        <v>500051.69491525425</v>
      </c>
      <c r="F74" s="7">
        <f t="shared" si="2"/>
        <v>6757.4553366926248</v>
      </c>
      <c r="G74" s="20">
        <f>COUNTIFS('Sales Data'!$F:$F,"Nov 2022",'Sales Data'!$G:$G,"Won",'Sales Data'!$M:$M,"T10")</f>
        <v>22</v>
      </c>
      <c r="H74" s="12">
        <f t="shared" si="3"/>
        <v>0.83813399524869769</v>
      </c>
      <c r="I74" s="7">
        <f t="shared" si="4"/>
        <v>1305.0446633073752</v>
      </c>
      <c r="J74" s="9">
        <f t="shared" si="5"/>
        <v>13.054347826086953</v>
      </c>
      <c r="P74" s="6">
        <v>2021</v>
      </c>
      <c r="T74" s="87">
        <v>44287</v>
      </c>
      <c r="U74" s="88">
        <v>12</v>
      </c>
      <c r="V74" s="88">
        <v>11</v>
      </c>
    </row>
    <row r="75" spans="1:22">
      <c r="A75" s="81">
        <v>44896</v>
      </c>
      <c r="B75" s="6" t="s">
        <v>251</v>
      </c>
      <c r="C75" s="6">
        <f t="shared" si="16"/>
        <v>8062.5</v>
      </c>
      <c r="D75" s="9">
        <f t="shared" si="1"/>
        <v>35.054347826086953</v>
      </c>
      <c r="E75" s="70">
        <f>SUMIFS('Sales Data'!$J:$J,'Sales Data'!$F:$F,"Dec 2022",'Sales Data'!$G:$G,"Won",'Sales Data'!$M:$M,"F10")/1.18</f>
        <v>444171.18644067796</v>
      </c>
      <c r="F75" s="7">
        <f t="shared" si="2"/>
        <v>6002.3133302794322</v>
      </c>
      <c r="G75" s="20">
        <f>COUNTIFS('Sales Data'!$F:$F,"Dec 2022",'Sales Data'!$G:$G,"Won",'Sales Data'!$M:$M,"F10")</f>
        <v>21</v>
      </c>
      <c r="H75" s="12">
        <f t="shared" si="3"/>
        <v>0.74447297119744893</v>
      </c>
      <c r="I75" s="7">
        <f t="shared" si="4"/>
        <v>2060.1866697205678</v>
      </c>
      <c r="J75" s="9">
        <f t="shared" si="5"/>
        <v>14.054347826086953</v>
      </c>
      <c r="O75" s="82" t="s">
        <v>236</v>
      </c>
      <c r="P75" s="82" t="s">
        <v>259</v>
      </c>
      <c r="Q75" s="82" t="s">
        <v>260</v>
      </c>
      <c r="R75" s="82" t="s">
        <v>256</v>
      </c>
      <c r="T75" s="87">
        <v>44317</v>
      </c>
      <c r="U75" s="88">
        <v>12</v>
      </c>
      <c r="V75" s="88">
        <v>12</v>
      </c>
    </row>
    <row r="76" spans="1:22">
      <c r="A76" s="81">
        <v>44896</v>
      </c>
      <c r="B76" s="6" t="s">
        <v>252</v>
      </c>
      <c r="C76" s="6">
        <f t="shared" si="16"/>
        <v>8062.5</v>
      </c>
      <c r="D76" s="9">
        <f t="shared" si="1"/>
        <v>35.054347826086953</v>
      </c>
      <c r="E76" s="70">
        <f>SUMIFS('Sales Data'!$J:$J,'Sales Data'!$F:$F,"Dec 2022",'Sales Data'!$G:$G,"Won",'Sales Data'!$M:$M,"S10")/1.18</f>
        <v>573474.57627118647</v>
      </c>
      <c r="F76" s="7">
        <f t="shared" si="2"/>
        <v>7749.6564360971142</v>
      </c>
      <c r="G76" s="20">
        <f>COUNTIFS('Sales Data'!$F:$F,"Dec 2022",'Sales Data'!$G:$G,"Won",'Sales Data'!$M:$M,"S10")</f>
        <v>31</v>
      </c>
      <c r="H76" s="12">
        <f t="shared" si="3"/>
        <v>0.96119769750041728</v>
      </c>
      <c r="I76" s="7">
        <f t="shared" si="4"/>
        <v>312.84356390288576</v>
      </c>
      <c r="J76" s="9">
        <f t="shared" si="5"/>
        <v>4.0543478260869534</v>
      </c>
      <c r="O76" s="84">
        <v>44197</v>
      </c>
      <c r="P76" s="89">
        <v>9</v>
      </c>
      <c r="Q76" s="89">
        <v>8</v>
      </c>
      <c r="R76" s="90">
        <f t="shared" ref="R76:R88" si="17">Q76/P76</f>
        <v>0.88888888888888884</v>
      </c>
      <c r="T76" s="87">
        <v>44348</v>
      </c>
      <c r="U76" s="88">
        <v>13</v>
      </c>
      <c r="V76" s="88">
        <v>11</v>
      </c>
    </row>
    <row r="77" spans="1:22">
      <c r="A77" s="81">
        <v>44896</v>
      </c>
      <c r="B77" s="6" t="s">
        <v>253</v>
      </c>
      <c r="C77" s="6">
        <f t="shared" si="16"/>
        <v>8062.5</v>
      </c>
      <c r="D77" s="9">
        <f t="shared" si="1"/>
        <v>35.054347826086953</v>
      </c>
      <c r="E77" s="70">
        <f>SUMIFS('Sales Data'!$J:$J,'Sales Data'!$F:$F,"Dec 2022",'Sales Data'!$G:$G,"Won",'Sales Data'!$M:$M,"T10")/1.18</f>
        <v>227656.77966101698</v>
      </c>
      <c r="F77" s="7">
        <f t="shared" si="2"/>
        <v>3076.4429683921212</v>
      </c>
      <c r="G77" s="20">
        <f>COUNTIFS('Sales Data'!$F:$F,"Dec 2022",'Sales Data'!$G:$G,"Won",'Sales Data'!$M:$M,"T10")</f>
        <v>11</v>
      </c>
      <c r="H77" s="12">
        <f t="shared" si="3"/>
        <v>0.38157432166103827</v>
      </c>
      <c r="I77" s="7">
        <f t="shared" si="4"/>
        <v>4986.0570316078793</v>
      </c>
      <c r="J77" s="9">
        <f t="shared" si="5"/>
        <v>24.054347826086953</v>
      </c>
      <c r="O77" s="84">
        <v>44228</v>
      </c>
      <c r="P77" s="89">
        <v>8</v>
      </c>
      <c r="Q77" s="89">
        <v>6</v>
      </c>
      <c r="R77" s="90">
        <f t="shared" si="17"/>
        <v>0.75</v>
      </c>
      <c r="T77" s="87">
        <v>44378</v>
      </c>
      <c r="U77" s="88">
        <v>26</v>
      </c>
      <c r="V77" s="88">
        <v>25</v>
      </c>
    </row>
    <row r="78" spans="1:22">
      <c r="A78" s="81">
        <v>44927</v>
      </c>
      <c r="B78" s="6" t="s">
        <v>251</v>
      </c>
      <c r="C78" s="6">
        <f t="shared" ref="C78:C83" si="18">17100*0.5</f>
        <v>8550</v>
      </c>
      <c r="D78" s="9">
        <f t="shared" si="1"/>
        <v>37.173913043478258</v>
      </c>
      <c r="E78" s="70">
        <f>SUMIFS('Sales Data'!$J:$J,'Sales Data'!$F:$F,"Jan 2023",'Sales Data'!$G:$G,"Won",'Sales Data'!$M:$M,"F10")/1.18</f>
        <v>488940.67796610174</v>
      </c>
      <c r="F78" s="7">
        <f t="shared" si="2"/>
        <v>6607.3064590013746</v>
      </c>
      <c r="G78" s="20">
        <f>COUNTIFS('Sales Data'!$F:$F,"Jan 2023",'Sales Data'!$G:$G,"Won",'Sales Data'!$M:$M,"F10")</f>
        <v>21</v>
      </c>
      <c r="H78" s="12">
        <f t="shared" si="3"/>
        <v>0.77278438116975146</v>
      </c>
      <c r="I78" s="7">
        <f t="shared" si="4"/>
        <v>1942.6935409986254</v>
      </c>
      <c r="J78" s="9">
        <f t="shared" si="5"/>
        <v>16.173913043478258</v>
      </c>
      <c r="O78" s="84">
        <v>44256</v>
      </c>
      <c r="P78" s="89">
        <v>15</v>
      </c>
      <c r="Q78" s="89">
        <v>15</v>
      </c>
      <c r="R78" s="90">
        <f t="shared" si="17"/>
        <v>1</v>
      </c>
      <c r="T78" s="87">
        <v>44409</v>
      </c>
      <c r="U78" s="88">
        <v>29</v>
      </c>
      <c r="V78" s="88">
        <v>29</v>
      </c>
    </row>
    <row r="79" spans="1:22">
      <c r="A79" s="81">
        <v>44927</v>
      </c>
      <c r="B79" s="6" t="s">
        <v>252</v>
      </c>
      <c r="C79" s="6">
        <f t="shared" si="18"/>
        <v>8550</v>
      </c>
      <c r="D79" s="9">
        <f t="shared" si="1"/>
        <v>37.173913043478258</v>
      </c>
      <c r="E79" s="70">
        <f>SUMIFS('Sales Data'!$J:$J,'Sales Data'!$F:$F,"Jan 2023",'Sales Data'!$G:$G,"Won",'Sales Data'!$M:$M,"S10")/1.18</f>
        <v>498356.779661017</v>
      </c>
      <c r="F79" s="7">
        <f t="shared" si="2"/>
        <v>6734.55107650023</v>
      </c>
      <c r="G79" s="20">
        <f>COUNTIFS('Sales Data'!$F:$F,"Jan 2023",'Sales Data'!$G:$G,"Won",'Sales Data'!$M:$M,"S10")</f>
        <v>19</v>
      </c>
      <c r="H79" s="12">
        <f t="shared" si="3"/>
        <v>0.78766679257312633</v>
      </c>
      <c r="I79" s="7">
        <f t="shared" si="4"/>
        <v>1815.44892349977</v>
      </c>
      <c r="J79" s="9">
        <f t="shared" si="5"/>
        <v>18.173913043478258</v>
      </c>
      <c r="O79" s="84">
        <v>44287</v>
      </c>
      <c r="P79" s="89">
        <v>12</v>
      </c>
      <c r="Q79" s="89">
        <v>11</v>
      </c>
      <c r="R79" s="90">
        <f t="shared" si="17"/>
        <v>0.91666666666666663</v>
      </c>
      <c r="T79" s="87">
        <v>44440</v>
      </c>
      <c r="U79" s="88">
        <v>45</v>
      </c>
      <c r="V79" s="88">
        <v>45</v>
      </c>
    </row>
    <row r="80" spans="1:22">
      <c r="A80" s="81">
        <v>44927</v>
      </c>
      <c r="B80" s="6" t="s">
        <v>253</v>
      </c>
      <c r="C80" s="6">
        <f t="shared" si="18"/>
        <v>8550</v>
      </c>
      <c r="D80" s="9">
        <f t="shared" si="1"/>
        <v>37.173913043478258</v>
      </c>
      <c r="E80" s="70">
        <f>SUMIFS('Sales Data'!$J:$J,'Sales Data'!$F:$F,"Jan 2023",'Sales Data'!$G:$G,"Won",'Sales Data'!$M:$M,"T10")/1.18</f>
        <v>950103.3898305085</v>
      </c>
      <c r="F80" s="7">
        <f t="shared" si="2"/>
        <v>12839.234997709575</v>
      </c>
      <c r="G80" s="20">
        <f>COUNTIFS('Sales Data'!$F:$F,"Jan 2023",'Sales Data'!$G:$G,"Won",'Sales Data'!$M:$M,"T10")</f>
        <v>19</v>
      </c>
      <c r="H80" s="12">
        <f t="shared" si="3"/>
        <v>1.5016649120128158</v>
      </c>
      <c r="I80" s="7">
        <f t="shared" si="4"/>
        <v>-4289.2349977095746</v>
      </c>
      <c r="J80" s="9">
        <f t="shared" si="5"/>
        <v>18.173913043478258</v>
      </c>
      <c r="O80" s="84">
        <v>44317</v>
      </c>
      <c r="P80" s="89">
        <v>12</v>
      </c>
      <c r="Q80" s="89">
        <v>12</v>
      </c>
      <c r="R80" s="90">
        <f t="shared" si="17"/>
        <v>1</v>
      </c>
      <c r="T80" s="87">
        <v>44470</v>
      </c>
      <c r="U80" s="88">
        <v>29</v>
      </c>
      <c r="V80" s="88">
        <v>28</v>
      </c>
    </row>
    <row r="81" spans="1:22">
      <c r="A81" s="81">
        <v>44958</v>
      </c>
      <c r="B81" s="6" t="s">
        <v>251</v>
      </c>
      <c r="C81" s="6">
        <f t="shared" si="18"/>
        <v>8550</v>
      </c>
      <c r="D81" s="9">
        <f t="shared" si="1"/>
        <v>37.173913043478258</v>
      </c>
      <c r="E81" s="70">
        <f>SUMIFS('Sales Data'!$J:$J,'Sales Data'!$F:$F,"Feb 2023",'Sales Data'!$G:$G,"Won",'Sales Data'!$M:$M,"F10")/1.18</f>
        <v>587697.45762711868</v>
      </c>
      <c r="F81" s="7">
        <f t="shared" si="2"/>
        <v>7941.8575355016037</v>
      </c>
      <c r="G81" s="20">
        <f>COUNTIFS('Sales Data'!$F:$F,"Feb 2023",'Sales Data'!$G:$G,"Won",'Sales Data'!$M:$M,"F10")</f>
        <v>25</v>
      </c>
      <c r="H81" s="12">
        <f t="shared" si="3"/>
        <v>0.92887222637445654</v>
      </c>
      <c r="I81" s="7">
        <f t="shared" si="4"/>
        <v>608.14246449839629</v>
      </c>
      <c r="J81" s="9">
        <f t="shared" si="5"/>
        <v>12.173913043478258</v>
      </c>
      <c r="O81" s="84">
        <v>44348</v>
      </c>
      <c r="P81" s="89">
        <v>13</v>
      </c>
      <c r="Q81" s="89">
        <v>11</v>
      </c>
      <c r="R81" s="90">
        <f t="shared" si="17"/>
        <v>0.84615384615384615</v>
      </c>
      <c r="T81" s="87">
        <v>44501</v>
      </c>
      <c r="U81" s="88">
        <v>17</v>
      </c>
      <c r="V81" s="88">
        <v>16</v>
      </c>
    </row>
    <row r="82" spans="1:22">
      <c r="A82" s="81">
        <v>44958</v>
      </c>
      <c r="B82" s="6" t="s">
        <v>252</v>
      </c>
      <c r="C82" s="6">
        <f t="shared" si="18"/>
        <v>8550</v>
      </c>
      <c r="D82" s="9">
        <f t="shared" si="1"/>
        <v>37.173913043478258</v>
      </c>
      <c r="E82" s="70">
        <f>SUMIFS('Sales Data'!$J:$J,'Sales Data'!$F:$F,"Feb 2023",'Sales Data'!$G:$G,"Won",'Sales Data'!$M:$M,"S10")/1.18</f>
        <v>481459.32203389832</v>
      </c>
      <c r="F82" s="7">
        <f t="shared" si="2"/>
        <v>6506.2070545121396</v>
      </c>
      <c r="G82" s="20">
        <f>COUNTIFS('Sales Data'!$F:$F,"Feb 2023",'Sales Data'!$G:$G,"Won",'Sales Data'!$M:$M,"S10")</f>
        <v>23</v>
      </c>
      <c r="H82" s="12">
        <f t="shared" si="3"/>
        <v>0.76095988941662451</v>
      </c>
      <c r="I82" s="7">
        <f t="shared" si="4"/>
        <v>2043.7929454878604</v>
      </c>
      <c r="J82" s="9">
        <f t="shared" si="5"/>
        <v>14.173913043478258</v>
      </c>
      <c r="O82" s="84">
        <v>44378</v>
      </c>
      <c r="P82" s="89">
        <v>26</v>
      </c>
      <c r="Q82" s="89">
        <v>25</v>
      </c>
      <c r="R82" s="90">
        <f t="shared" si="17"/>
        <v>0.96153846153846156</v>
      </c>
      <c r="T82" s="87">
        <v>44531</v>
      </c>
      <c r="U82" s="88">
        <v>37</v>
      </c>
      <c r="V82" s="88">
        <v>35</v>
      </c>
    </row>
    <row r="83" spans="1:22">
      <c r="A83" s="81">
        <v>44958</v>
      </c>
      <c r="B83" s="6" t="s">
        <v>253</v>
      </c>
      <c r="C83" s="6">
        <f t="shared" si="18"/>
        <v>8550</v>
      </c>
      <c r="D83" s="9">
        <f t="shared" si="1"/>
        <v>37.173913043478258</v>
      </c>
      <c r="E83" s="70">
        <f>SUMIFS('Sales Data'!$J:$J,'Sales Data'!$F:$F,"Feb 2023",'Sales Data'!$G:$G,"Won",'Sales Data'!$M:$M,"T10")/1.18</f>
        <v>337264.40677966102</v>
      </c>
      <c r="F83" s="7">
        <f t="shared" si="2"/>
        <v>4557.6271186440681</v>
      </c>
      <c r="G83" s="20">
        <f>COUNTIFS('Sales Data'!$F:$F,"Feb 2023",'Sales Data'!$G:$G,"Won",'Sales Data'!$M:$M,"T10")</f>
        <v>17</v>
      </c>
      <c r="H83" s="12">
        <f t="shared" si="3"/>
        <v>0.53305580335018343</v>
      </c>
      <c r="I83" s="7">
        <f t="shared" si="4"/>
        <v>3992.3728813559319</v>
      </c>
      <c r="J83" s="9">
        <f t="shared" si="5"/>
        <v>20.173913043478258</v>
      </c>
      <c r="O83" s="84">
        <v>44409</v>
      </c>
      <c r="P83" s="89">
        <v>29</v>
      </c>
      <c r="Q83" s="89">
        <v>29</v>
      </c>
      <c r="R83" s="90">
        <f t="shared" si="17"/>
        <v>1</v>
      </c>
      <c r="T83" s="83" t="s">
        <v>0</v>
      </c>
      <c r="U83" s="83">
        <v>252</v>
      </c>
      <c r="V83" s="83">
        <v>241</v>
      </c>
    </row>
    <row r="84" spans="1:22">
      <c r="O84" s="84">
        <v>44440</v>
      </c>
      <c r="P84" s="89">
        <v>45</v>
      </c>
      <c r="Q84" s="89">
        <v>45</v>
      </c>
      <c r="R84" s="90">
        <f t="shared" si="17"/>
        <v>1</v>
      </c>
    </row>
    <row r="85" spans="1:22">
      <c r="O85" s="84">
        <v>44470</v>
      </c>
      <c r="P85" s="89">
        <v>29</v>
      </c>
      <c r="Q85" s="89">
        <v>28</v>
      </c>
      <c r="R85" s="90">
        <f t="shared" si="17"/>
        <v>0.96551724137931039</v>
      </c>
    </row>
    <row r="86" spans="1:22">
      <c r="O86" s="84">
        <v>44501</v>
      </c>
      <c r="P86" s="89">
        <v>17</v>
      </c>
      <c r="Q86" s="89">
        <v>16</v>
      </c>
      <c r="R86" s="90">
        <f t="shared" si="17"/>
        <v>0.94117647058823528</v>
      </c>
    </row>
    <row r="87" spans="1:22">
      <c r="O87" s="84">
        <v>44531</v>
      </c>
      <c r="P87" s="89">
        <v>37</v>
      </c>
      <c r="Q87" s="89">
        <v>35</v>
      </c>
      <c r="R87" s="90">
        <f t="shared" si="17"/>
        <v>0.94594594594594594</v>
      </c>
    </row>
    <row r="88" spans="1:22">
      <c r="O88" s="91" t="s">
        <v>0</v>
      </c>
      <c r="P88" s="91">
        <v>252</v>
      </c>
      <c r="Q88" s="91">
        <v>241</v>
      </c>
      <c r="R88" s="92">
        <f t="shared" si="17"/>
        <v>0.95634920634920639</v>
      </c>
    </row>
    <row r="89" spans="1:22">
      <c r="T89" s="83" t="s">
        <v>257</v>
      </c>
      <c r="U89" s="83" t="s">
        <v>258</v>
      </c>
    </row>
    <row r="90" spans="1:22">
      <c r="T90" s="87">
        <v>44562</v>
      </c>
      <c r="U90" s="88">
        <v>37</v>
      </c>
      <c r="V90" s="88">
        <v>33</v>
      </c>
    </row>
    <row r="91" spans="1:22">
      <c r="O91" s="82" t="s">
        <v>236</v>
      </c>
      <c r="P91" s="82" t="s">
        <v>259</v>
      </c>
      <c r="Q91" s="82" t="s">
        <v>260</v>
      </c>
      <c r="R91" s="82" t="s">
        <v>256</v>
      </c>
      <c r="T91" s="87">
        <v>44593</v>
      </c>
      <c r="U91" s="88">
        <v>26</v>
      </c>
      <c r="V91" s="88">
        <v>25</v>
      </c>
    </row>
    <row r="92" spans="1:22">
      <c r="O92" s="84">
        <v>44562</v>
      </c>
      <c r="P92" s="89">
        <v>37</v>
      </c>
      <c r="Q92" s="89">
        <v>33</v>
      </c>
      <c r="R92" s="90">
        <f t="shared" ref="R92:R98" si="19">Q92/P92</f>
        <v>0.89189189189189189</v>
      </c>
      <c r="T92" s="87">
        <v>44621</v>
      </c>
      <c r="U92" s="88">
        <v>21</v>
      </c>
      <c r="V92" s="88">
        <v>20</v>
      </c>
    </row>
    <row r="93" spans="1:22">
      <c r="O93" s="93">
        <v>44593</v>
      </c>
      <c r="P93" s="89">
        <v>26</v>
      </c>
      <c r="Q93" s="89">
        <v>25</v>
      </c>
      <c r="R93" s="90">
        <f t="shared" si="19"/>
        <v>0.96153846153846156</v>
      </c>
      <c r="T93" s="87">
        <v>44652</v>
      </c>
      <c r="U93" s="88">
        <v>17</v>
      </c>
      <c r="V93" s="88">
        <v>13</v>
      </c>
    </row>
    <row r="94" spans="1:22">
      <c r="O94" s="93">
        <v>44621</v>
      </c>
      <c r="P94" s="89">
        <v>21</v>
      </c>
      <c r="Q94" s="89">
        <v>20</v>
      </c>
      <c r="R94" s="90">
        <f t="shared" si="19"/>
        <v>0.95238095238095233</v>
      </c>
      <c r="T94" s="87">
        <v>44682</v>
      </c>
      <c r="U94" s="88">
        <v>27</v>
      </c>
      <c r="V94" s="88">
        <v>22</v>
      </c>
    </row>
    <row r="95" spans="1:22">
      <c r="O95" s="93">
        <v>44652</v>
      </c>
      <c r="P95" s="89">
        <v>17</v>
      </c>
      <c r="Q95" s="89">
        <v>13</v>
      </c>
      <c r="R95" s="90">
        <f t="shared" si="19"/>
        <v>0.76470588235294112</v>
      </c>
      <c r="T95" s="87">
        <v>44713</v>
      </c>
      <c r="U95" s="88">
        <v>20</v>
      </c>
      <c r="V95" s="88">
        <v>14</v>
      </c>
    </row>
    <row r="96" spans="1:22">
      <c r="O96" s="93">
        <v>44682</v>
      </c>
      <c r="P96" s="89">
        <v>27</v>
      </c>
      <c r="Q96" s="89">
        <v>22</v>
      </c>
      <c r="R96" s="90">
        <f t="shared" si="19"/>
        <v>0.81481481481481477</v>
      </c>
      <c r="T96" s="87">
        <v>44743</v>
      </c>
      <c r="U96" s="88">
        <v>16</v>
      </c>
      <c r="V96" s="88">
        <v>6</v>
      </c>
    </row>
    <row r="97" spans="15:22">
      <c r="O97" s="93">
        <v>44713</v>
      </c>
      <c r="P97" s="89">
        <v>20</v>
      </c>
      <c r="Q97" s="89">
        <v>14</v>
      </c>
      <c r="R97" s="90">
        <f t="shared" si="19"/>
        <v>0.7</v>
      </c>
      <c r="T97" s="87">
        <v>44774</v>
      </c>
      <c r="U97" s="88"/>
      <c r="V97" s="88"/>
    </row>
    <row r="98" spans="15:22">
      <c r="O98" s="93">
        <v>44743</v>
      </c>
      <c r="P98" s="89">
        <v>16</v>
      </c>
      <c r="Q98" s="89">
        <v>6</v>
      </c>
      <c r="R98" s="90">
        <f t="shared" si="19"/>
        <v>0.375</v>
      </c>
      <c r="T98" s="87">
        <v>44805</v>
      </c>
      <c r="U98" s="88"/>
      <c r="V98" s="88"/>
    </row>
    <row r="99" spans="15:22">
      <c r="O99" s="93">
        <v>44774</v>
      </c>
      <c r="P99" s="89"/>
      <c r="Q99" s="89"/>
      <c r="R99" s="90"/>
      <c r="T99" s="87">
        <v>44835</v>
      </c>
      <c r="U99" s="88"/>
      <c r="V99" s="88"/>
    </row>
    <row r="100" spans="15:22">
      <c r="O100" s="93">
        <v>44805</v>
      </c>
      <c r="P100" s="89"/>
      <c r="Q100" s="89"/>
      <c r="R100" s="90"/>
      <c r="T100" s="87">
        <v>44866</v>
      </c>
      <c r="U100" s="88"/>
      <c r="V100" s="88"/>
    </row>
    <row r="101" spans="15:22">
      <c r="O101" s="93">
        <v>44835</v>
      </c>
      <c r="P101" s="89"/>
      <c r="Q101" s="89"/>
      <c r="R101" s="90"/>
      <c r="T101" s="87">
        <v>44896</v>
      </c>
      <c r="U101" s="88"/>
      <c r="V101" s="88"/>
    </row>
    <row r="102" spans="15:22">
      <c r="O102" s="93">
        <v>44866</v>
      </c>
      <c r="P102" s="89"/>
      <c r="Q102" s="89"/>
      <c r="R102" s="90"/>
      <c r="T102" s="83" t="s">
        <v>0</v>
      </c>
      <c r="U102" s="83">
        <v>164</v>
      </c>
      <c r="V102" s="83">
        <v>133</v>
      </c>
    </row>
    <row r="103" spans="15:22">
      <c r="O103" s="93">
        <v>44896</v>
      </c>
      <c r="P103" s="89"/>
      <c r="Q103" s="89"/>
      <c r="R103" s="90"/>
    </row>
    <row r="104" spans="15:22">
      <c r="O104" s="83" t="s">
        <v>0</v>
      </c>
      <c r="P104" s="91">
        <v>164</v>
      </c>
      <c r="Q104" s="91">
        <v>133</v>
      </c>
      <c r="R104" s="92">
        <f>Q104/P104</f>
        <v>0.81097560975609762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FE16A-48D1-4494-9630-8D1B89189B9A}">
  <dimension ref="B1:J7"/>
  <sheetViews>
    <sheetView showGridLines="0" showRowColHeaders="0" tabSelected="1" workbookViewId="0">
      <selection activeCell="B5" sqref="B5"/>
    </sheetView>
  </sheetViews>
  <sheetFormatPr defaultRowHeight="13.8"/>
  <cols>
    <col min="1" max="1" width="1.77734375" customWidth="1"/>
  </cols>
  <sheetData>
    <row r="1" spans="2:10" ht="4.95" customHeight="1"/>
    <row r="5" spans="2:10" ht="14.4" thickBot="1"/>
    <row r="6" spans="2:10" ht="23.4">
      <c r="B6" s="190" t="s">
        <v>5210</v>
      </c>
      <c r="C6" s="191"/>
      <c r="D6" s="191"/>
      <c r="E6" s="192"/>
      <c r="G6" s="190" t="s">
        <v>5211</v>
      </c>
      <c r="H6" s="191"/>
      <c r="I6" s="191"/>
      <c r="J6" s="192"/>
    </row>
    <row r="7" spans="2:10" ht="24" thickBot="1">
      <c r="B7" s="193">
        <f>SUM('Sales Table'!H2:$H$1434)</f>
        <v>38690582</v>
      </c>
      <c r="C7" s="194"/>
      <c r="D7" s="194"/>
      <c r="E7" s="195"/>
      <c r="G7" s="193">
        <f>SUM('Sales Table'!$H$2:$H$1434)/74</f>
        <v>522845.70270270272</v>
      </c>
      <c r="H7" s="194"/>
      <c r="I7" s="194"/>
      <c r="J7" s="195"/>
    </row>
  </sheetData>
  <mergeCells count="4">
    <mergeCell ref="B6:E6"/>
    <mergeCell ref="B7:E7"/>
    <mergeCell ref="G6:J6"/>
    <mergeCell ref="G7:J7"/>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4D4493-F68C-4A41-A484-5EE0A1B611B9}">
  <dimension ref="A1"/>
  <sheetViews>
    <sheetView showGridLines="0" topLeftCell="B1" workbookViewId="0">
      <selection activeCell="B9" sqref="B9"/>
    </sheetView>
  </sheetViews>
  <sheetFormatPr defaultRowHeight="13.8"/>
  <cols>
    <col min="1" max="1" width="1.77734375" customWidth="1"/>
    <col min="13" max="13" width="3.77734375" customWidth="1"/>
  </cols>
  <sheetData>
    <row r="1" ht="4.95" customHeight="1"/>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85"/>
  <sheetViews>
    <sheetView workbookViewId="0"/>
  </sheetViews>
  <sheetFormatPr defaultRowHeight="13.8"/>
  <cols>
    <col min="1" max="1" width="16.44140625" bestFit="1" customWidth="1"/>
    <col min="2" max="2" width="22.33203125" bestFit="1" customWidth="1"/>
    <col min="3" max="3" width="37.21875" customWidth="1"/>
    <col min="4" max="4" width="20.109375" bestFit="1" customWidth="1"/>
    <col min="5" max="5" width="12.44140625" customWidth="1"/>
    <col min="6" max="6" width="12.33203125" bestFit="1" customWidth="1"/>
    <col min="7" max="7" width="10.5546875" bestFit="1" customWidth="1"/>
    <col min="8" max="8" width="14.5546875" customWidth="1"/>
    <col min="9" max="9" width="6.44140625" bestFit="1" customWidth="1"/>
    <col min="10" max="10" width="8.109375" bestFit="1" customWidth="1"/>
    <col min="11" max="11" width="5.5546875" bestFit="1" customWidth="1"/>
    <col min="12" max="12" width="20.21875" bestFit="1" customWidth="1"/>
    <col min="13" max="13" width="5.5546875" bestFit="1" customWidth="1"/>
    <col min="14" max="14" width="27.33203125" bestFit="1" customWidth="1"/>
    <col min="15" max="15" width="32.109375" bestFit="1" customWidth="1"/>
    <col min="17" max="17" width="25.21875" bestFit="1" customWidth="1"/>
    <col min="18" max="18" width="11.6640625" bestFit="1" customWidth="1"/>
  </cols>
  <sheetData>
    <row r="1" spans="1:18" ht="14.4">
      <c r="A1" s="94" t="s">
        <v>261</v>
      </c>
      <c r="B1" s="94" t="s">
        <v>8</v>
      </c>
      <c r="C1" s="94" t="s">
        <v>262</v>
      </c>
      <c r="D1" s="94" t="s">
        <v>150</v>
      </c>
      <c r="E1" s="94" t="s">
        <v>3</v>
      </c>
      <c r="F1" s="94" t="s">
        <v>236</v>
      </c>
      <c r="G1" s="10" t="s">
        <v>10</v>
      </c>
      <c r="H1" s="94" t="s">
        <v>263</v>
      </c>
      <c r="I1" s="94" t="s">
        <v>264</v>
      </c>
      <c r="J1" s="95" t="s">
        <v>265</v>
      </c>
      <c r="K1" s="8" t="s">
        <v>266</v>
      </c>
      <c r="L1" s="94" t="s">
        <v>267</v>
      </c>
      <c r="M1" s="94" t="s">
        <v>268</v>
      </c>
      <c r="N1" s="94" t="s">
        <v>269</v>
      </c>
      <c r="O1" s="94" t="s">
        <v>270</v>
      </c>
      <c r="P1" s="6" t="s">
        <v>11</v>
      </c>
      <c r="Q1" s="94" t="s">
        <v>271</v>
      </c>
      <c r="R1" s="94" t="s">
        <v>20</v>
      </c>
    </row>
    <row r="2" spans="1:18">
      <c r="A2" s="162">
        <v>44291</v>
      </c>
      <c r="B2" s="164" t="s">
        <v>272</v>
      </c>
      <c r="C2" s="168" t="s">
        <v>273</v>
      </c>
      <c r="D2" s="6" t="s">
        <v>274</v>
      </c>
      <c r="E2" s="6" t="s">
        <v>150</v>
      </c>
      <c r="F2" s="80">
        <v>44228</v>
      </c>
      <c r="G2" s="6" t="s">
        <v>16</v>
      </c>
      <c r="H2" s="6" t="s">
        <v>275</v>
      </c>
      <c r="I2" s="6">
        <v>1</v>
      </c>
      <c r="J2" s="8"/>
      <c r="K2" s="8">
        <f t="shared" ref="K2:K65" si="0">IFERROR((($J2/1.18))/74,"")</f>
        <v>0</v>
      </c>
      <c r="R2" s="6" t="str">
        <f ca="1">IFERROR(_xludf.IFS($E2="CSM","Non SAFe",$E2="CSPO","Non SAFe", $E2="PSM","SAFe que",$E2="PSPO","SAFe que",$E2="SAFe Agile","SAFe que",$E2="SAFe SSM","SAFe que",$E2="SAFe POPM","SAFe que",$E2="SASM","SAFe que",$E2="PMI-ACP","Non SAFe",$E2="ICP-ACC","SAFe que",$E2="PSM 2","SAFe que",$E2="SAFe RTE","SAFe que",$E2="",""),"NonCategory")</f>
        <v>NonCategory</v>
      </c>
    </row>
    <row r="3" spans="1:18">
      <c r="A3" s="162">
        <v>44316</v>
      </c>
      <c r="B3" s="164" t="s">
        <v>276</v>
      </c>
      <c r="C3" s="168" t="s">
        <v>277</v>
      </c>
      <c r="D3" s="6" t="s">
        <v>278</v>
      </c>
      <c r="E3" s="6" t="s">
        <v>97</v>
      </c>
      <c r="F3" s="80">
        <v>44287</v>
      </c>
      <c r="G3" s="6" t="s">
        <v>16</v>
      </c>
      <c r="H3" s="6" t="s">
        <v>279</v>
      </c>
      <c r="I3" s="6">
        <v>1</v>
      </c>
      <c r="J3" s="8">
        <v>18000</v>
      </c>
      <c r="K3" s="8">
        <f t="shared" si="0"/>
        <v>206.13834173156206</v>
      </c>
      <c r="L3" s="96">
        <v>44316</v>
      </c>
      <c r="Q3" s="6" t="s">
        <v>280</v>
      </c>
      <c r="R3" s="6" t="str">
        <f ca="1">IFERROR(_xludf.IFS($E3="CSM","Category",$E3="CSPO","Category", $E3="PSM","Category",$E3="PSPO","Category",$E3="SAFe Agile","SAFe",$E3="SAFe SSM","SAFe",$E3="SAFe POPM","SAFe",$E3="SASM","SAFe",$E3="PMI-ACP","Category",$E3="ICP-ACC","Category",$E3="PSM 2","Category",$E3="SAFe RTE","SAFe",$E3="",""),"NonCategory")</f>
        <v>NonCategory</v>
      </c>
    </row>
    <row r="4" spans="1:18">
      <c r="A4" s="162">
        <v>44145</v>
      </c>
      <c r="B4" s="164" t="s">
        <v>281</v>
      </c>
      <c r="C4" s="168" t="s">
        <v>282</v>
      </c>
      <c r="D4" s="6" t="s">
        <v>278</v>
      </c>
      <c r="E4" s="6" t="s">
        <v>97</v>
      </c>
      <c r="F4" s="79">
        <v>44136</v>
      </c>
      <c r="G4" s="6" t="s">
        <v>16</v>
      </c>
      <c r="H4" s="6" t="s">
        <v>283</v>
      </c>
      <c r="I4" s="6">
        <v>1</v>
      </c>
      <c r="J4" s="8">
        <v>20000</v>
      </c>
      <c r="K4" s="8">
        <f t="shared" si="0"/>
        <v>229.04260192395787</v>
      </c>
      <c r="L4" s="97">
        <v>44146</v>
      </c>
      <c r="M4" s="97"/>
      <c r="N4" s="97">
        <v>44146</v>
      </c>
      <c r="O4" s="22" t="s">
        <v>5221</v>
      </c>
      <c r="P4" s="6" t="s">
        <v>284</v>
      </c>
      <c r="Q4" s="6" t="s">
        <v>280</v>
      </c>
      <c r="R4" s="6" t="str">
        <f ca="1">IFERROR(_xludf.IFS($E4="CSM","Category",$E4="CSPO","Category", $E4="PSM","Category",$E4="PSPO","Category",$E4="SAFe Agile","SAFe",$E4="SAFe SSM","SAFe",$E4="SAFe POPM","SAFe",$E4="SASM","SAFe",$E4="PMI-ACP","Category",$E4="ICP-ACC","Category",$E4="PSM 2","Category",$E4="SAFe RTE","SAFe",$E4="",""),"NonCategory")</f>
        <v>NonCategory</v>
      </c>
    </row>
    <row r="5" spans="1:18">
      <c r="A5" s="162">
        <v>44146</v>
      </c>
      <c r="B5" s="164" t="s">
        <v>285</v>
      </c>
      <c r="C5" s="168" t="s">
        <v>286</v>
      </c>
      <c r="D5" s="6" t="s">
        <v>287</v>
      </c>
      <c r="E5" s="6" t="s">
        <v>96</v>
      </c>
      <c r="F5" s="79">
        <v>44136</v>
      </c>
      <c r="G5" s="6" t="s">
        <v>16</v>
      </c>
      <c r="H5" s="6" t="s">
        <v>288</v>
      </c>
      <c r="I5" s="6">
        <v>1</v>
      </c>
      <c r="J5" s="8">
        <v>20000</v>
      </c>
      <c r="K5" s="8">
        <f t="shared" si="0"/>
        <v>229.04260192395787</v>
      </c>
      <c r="L5" s="97">
        <v>44147</v>
      </c>
      <c r="M5" s="97"/>
      <c r="N5" s="97">
        <v>44147</v>
      </c>
      <c r="O5" s="18" t="s">
        <v>5222</v>
      </c>
      <c r="Q5" s="6" t="s">
        <v>280</v>
      </c>
      <c r="R5" s="6" t="str">
        <f ca="1">IFERROR(_xludf.IFS($E5="CSM","Category",$E5="CSPO","Category", $E5="PSM","Category",$E5="PSPO","Category",$E5="SAFe Agile","SAFe",$E5="SAFe SSM","SAFe",$E5="SAFe POPM","SAFe",$E5="SASM","SAFe",$E5="PMI-ACP","Category",$E5="ICP-ACC","Category",$E5="PSM 2","Category",$E5="SAFe RTE","SAFe",$E5="",""),"NonCategory")</f>
        <v>NonCategory</v>
      </c>
    </row>
    <row r="6" spans="1:18">
      <c r="A6" s="162">
        <v>44147</v>
      </c>
      <c r="B6" s="164" t="s">
        <v>289</v>
      </c>
      <c r="C6" s="168" t="s">
        <v>290</v>
      </c>
      <c r="D6" s="6" t="s">
        <v>291</v>
      </c>
      <c r="E6" s="6" t="s">
        <v>96</v>
      </c>
      <c r="F6" s="79">
        <v>44136</v>
      </c>
      <c r="G6" s="6" t="s">
        <v>16</v>
      </c>
      <c r="H6" s="6" t="s">
        <v>292</v>
      </c>
      <c r="I6" s="6">
        <v>1</v>
      </c>
      <c r="J6" s="8">
        <v>20000</v>
      </c>
      <c r="K6" s="8">
        <f t="shared" si="0"/>
        <v>229.04260192395787</v>
      </c>
      <c r="L6" s="97">
        <v>44148</v>
      </c>
      <c r="M6" s="97"/>
      <c r="N6" s="97">
        <v>44147</v>
      </c>
      <c r="O6" s="22" t="s">
        <v>5223</v>
      </c>
      <c r="Q6" s="6" t="s">
        <v>280</v>
      </c>
      <c r="R6" s="6" t="str">
        <f ca="1">IFERROR(_xludf.IFS($E6="CSM","Category",$E6="CSPO","Category", $E6="PSM","Category",$E6="PSPO","Category",$E6="SAFe Agile","SAFe",$E6="SAFe SSM","SAFe",$E6="SAFe POPM","SAFe",$E6="SASM","SAFe",$E6="PMI-ACP","Category",$E6="ICP-ACC","Category",$E6="PSM 2","Category",$E6="SAFe RTE","SAFe",$E6="",""),"NonCategory")</f>
        <v>NonCategory</v>
      </c>
    </row>
    <row r="7" spans="1:18">
      <c r="A7" s="162">
        <v>44145</v>
      </c>
      <c r="B7" s="164" t="s">
        <v>293</v>
      </c>
      <c r="C7" s="168" t="s">
        <v>294</v>
      </c>
      <c r="D7" s="6" t="s">
        <v>291</v>
      </c>
      <c r="E7" s="6" t="s">
        <v>96</v>
      </c>
      <c r="F7" s="79">
        <v>44136</v>
      </c>
      <c r="G7" s="6" t="s">
        <v>16</v>
      </c>
      <c r="H7" s="6" t="s">
        <v>295</v>
      </c>
      <c r="I7" s="6">
        <v>1</v>
      </c>
      <c r="J7" s="8">
        <v>20000</v>
      </c>
      <c r="K7" s="8">
        <f t="shared" si="0"/>
        <v>229.04260192395787</v>
      </c>
      <c r="L7" s="97">
        <v>44149</v>
      </c>
      <c r="M7" s="97"/>
      <c r="N7" s="97">
        <v>44147</v>
      </c>
      <c r="O7" s="14" t="s">
        <v>5224</v>
      </c>
      <c r="Q7" s="6" t="s">
        <v>280</v>
      </c>
      <c r="R7" s="6" t="str">
        <f ca="1">IFERROR(_xludf.IFS($E7="CSM","Category",$E7="CSPO","Category", $E7="PSM","Category",$E7="PSPO","Category",$E7="SAFe Agile","SAFe",$E7="SAFe SSM","SAFe",$E7="SAFe POPM","SAFe",$E7="SASM","SAFe",$E7="PMI-ACP","Category",$E7="ICP-ACC","Category",$E7="PSM 2","Category",$E7="SAFe RTE","SAFe",$E7="",""),"NonCategory")</f>
        <v>NonCategory</v>
      </c>
    </row>
    <row r="8" spans="1:18">
      <c r="A8" s="162">
        <v>44148</v>
      </c>
      <c r="B8" s="164" t="s">
        <v>5</v>
      </c>
      <c r="C8" s="168" t="s">
        <v>296</v>
      </c>
      <c r="D8" s="6" t="s">
        <v>297</v>
      </c>
      <c r="E8" s="6" t="s">
        <v>97</v>
      </c>
      <c r="F8" s="79">
        <v>44136</v>
      </c>
      <c r="G8" s="6" t="s">
        <v>16</v>
      </c>
      <c r="H8" s="6" t="s">
        <v>288</v>
      </c>
      <c r="I8" s="6">
        <v>1</v>
      </c>
      <c r="J8" s="8">
        <v>20000</v>
      </c>
      <c r="K8" s="8">
        <f t="shared" si="0"/>
        <v>229.04260192395787</v>
      </c>
      <c r="L8" s="97">
        <v>44152</v>
      </c>
      <c r="M8" s="97"/>
      <c r="N8" s="97">
        <v>44152</v>
      </c>
      <c r="O8" s="98" t="s">
        <v>5225</v>
      </c>
      <c r="Q8" s="6" t="s">
        <v>280</v>
      </c>
      <c r="R8" s="6" t="str">
        <f ca="1">IFERROR(_xludf.IFS($E8="CSM","Category",$E8="CSPO","Category", $E8="PSM","Category",$E8="PSPO","Category",$E8="SAFe Agile","SAFe",$E8="SAFe SSM","SAFe",$E8="SAFe POPM","SAFe",$E8="SASM","SAFe",$E8="PMI-ACP","Category",$E8="ICP-ACC","Category",$E8="PSM 2","Category",$E8="SAFe RTE","SAFe",$E8="",""),"NonCategory")</f>
        <v>NonCategory</v>
      </c>
    </row>
    <row r="9" spans="1:18">
      <c r="A9" s="162">
        <v>44152</v>
      </c>
      <c r="B9" s="164" t="s">
        <v>298</v>
      </c>
      <c r="C9" s="168" t="s">
        <v>299</v>
      </c>
      <c r="D9" s="6" t="s">
        <v>278</v>
      </c>
      <c r="E9" s="6" t="s">
        <v>97</v>
      </c>
      <c r="F9" s="79">
        <v>44136</v>
      </c>
      <c r="G9" s="6" t="s">
        <v>16</v>
      </c>
      <c r="H9" s="6" t="s">
        <v>288</v>
      </c>
      <c r="I9" s="6">
        <v>1</v>
      </c>
      <c r="J9" s="8">
        <v>20000</v>
      </c>
      <c r="K9" s="8">
        <f t="shared" si="0"/>
        <v>229.04260192395787</v>
      </c>
      <c r="L9" s="97">
        <v>44152</v>
      </c>
      <c r="M9" s="97"/>
      <c r="N9" s="97">
        <v>44152</v>
      </c>
      <c r="O9" s="98" t="s">
        <v>5226</v>
      </c>
      <c r="P9" s="6" t="s">
        <v>300</v>
      </c>
      <c r="Q9" s="6" t="s">
        <v>280</v>
      </c>
      <c r="R9" s="6" t="str">
        <f ca="1">IFERROR(_xludf.IFS($E9="CSM","Category",$E9="CSPO","Category", $E9="PSM","Category",$E9="PSPO","Category",$E9="SAFe Agile","SAFe",$E9="SAFe SSM","SAFe",$E9="SAFe POPM","SAFe",$E9="SASM","SAFe",$E9="PMI-ACP","Category",$E9="ICP-ACC","Category",$E9="PSM 2","Category",$E9="SAFe RTE","SAFe",$E9="",""),"NonCategory")</f>
        <v>NonCategory</v>
      </c>
    </row>
    <row r="10" spans="1:18">
      <c r="A10" s="162">
        <v>44153</v>
      </c>
      <c r="B10" s="164" t="s">
        <v>301</v>
      </c>
      <c r="C10" s="168" t="s">
        <v>302</v>
      </c>
      <c r="D10" s="6" t="s">
        <v>303</v>
      </c>
      <c r="E10" s="6" t="s">
        <v>96</v>
      </c>
      <c r="F10" s="79">
        <v>44136</v>
      </c>
      <c r="G10" s="6" t="s">
        <v>16</v>
      </c>
      <c r="H10" s="6" t="s">
        <v>304</v>
      </c>
      <c r="I10" s="6">
        <v>1</v>
      </c>
      <c r="J10" s="8">
        <v>22000</v>
      </c>
      <c r="K10" s="8">
        <f t="shared" si="0"/>
        <v>251.94686211635369</v>
      </c>
      <c r="L10" s="97">
        <v>44153</v>
      </c>
      <c r="M10" s="97"/>
      <c r="N10" s="97">
        <v>44153</v>
      </c>
      <c r="O10" s="14" t="s">
        <v>5227</v>
      </c>
      <c r="Q10" s="6" t="s">
        <v>280</v>
      </c>
      <c r="R10" s="6" t="str">
        <f ca="1">IFERROR(_xludf.IFS($E10="CSM","Category",$E10="CSPO","Category", $E10="PSM","Category",$E10="PSPO","Category",$E10="SAFe Agile","SAFe",$E10="SAFe SSM","SAFe",$E10="SAFe POPM","SAFe",$E10="SASM","SAFe",$E10="PMI-ACP","Category",$E10="ICP-ACC","Category",$E10="PSM 2","Category",$E10="SAFe RTE","SAFe",$E10="",""),"NonCategory")</f>
        <v>NonCategory</v>
      </c>
    </row>
    <row r="11" spans="1:18">
      <c r="A11" s="162">
        <v>44153</v>
      </c>
      <c r="B11" s="164" t="s">
        <v>305</v>
      </c>
      <c r="C11" s="168" t="s">
        <v>1</v>
      </c>
      <c r="D11" s="6" t="s">
        <v>306</v>
      </c>
      <c r="E11" s="6" t="s">
        <v>96</v>
      </c>
      <c r="F11" s="79">
        <v>44136</v>
      </c>
      <c r="G11" s="6" t="s">
        <v>16</v>
      </c>
      <c r="H11" s="6" t="s">
        <v>288</v>
      </c>
      <c r="I11" s="6">
        <v>1</v>
      </c>
      <c r="J11" s="8">
        <v>20000</v>
      </c>
      <c r="K11" s="8">
        <f t="shared" si="0"/>
        <v>229.04260192395787</v>
      </c>
      <c r="L11" s="97">
        <v>44154</v>
      </c>
      <c r="M11" s="97"/>
      <c r="N11" s="97">
        <v>44154</v>
      </c>
      <c r="O11" s="18" t="s">
        <v>5228</v>
      </c>
      <c r="Q11" s="6" t="s">
        <v>307</v>
      </c>
      <c r="R11" s="6" t="str">
        <f ca="1">IFERROR(_xludf.IFS($E11="CSM","Category",$E11="CSPO","Category", $E11="PSM","Category",$E11="PSPO","Category",$E11="SAFe Agile","SAFe",$E11="SAFe SSM","SAFe",$E11="SAFe POPM","SAFe",$E11="SASM","SAFe",$E11="PMI-ACP","Category",$E11="ICP-ACC","Category",$E11="PSM 2","Category",$E11="SAFe RTE","SAFe",$E11="",""),"NonCategory")</f>
        <v>NonCategory</v>
      </c>
    </row>
    <row r="12" spans="1:18" ht="14.4">
      <c r="A12" s="162">
        <v>44155</v>
      </c>
      <c r="B12" s="164" t="s">
        <v>308</v>
      </c>
      <c r="C12" s="168" t="s">
        <v>309</v>
      </c>
      <c r="D12" s="6" t="s">
        <v>278</v>
      </c>
      <c r="E12" s="6" t="s">
        <v>96</v>
      </c>
      <c r="F12" s="79">
        <v>44136</v>
      </c>
      <c r="G12" s="6" t="s">
        <v>16</v>
      </c>
      <c r="H12" s="6" t="s">
        <v>288</v>
      </c>
      <c r="I12" s="6">
        <v>1</v>
      </c>
      <c r="J12" s="8">
        <v>20000</v>
      </c>
      <c r="K12" s="8">
        <f t="shared" si="0"/>
        <v>229.04260192395787</v>
      </c>
      <c r="L12" s="97">
        <v>44155</v>
      </c>
      <c r="M12" s="97"/>
      <c r="N12" s="97">
        <v>44155</v>
      </c>
      <c r="O12" s="99" t="s">
        <v>5229</v>
      </c>
      <c r="P12" s="6" t="s">
        <v>310</v>
      </c>
      <c r="Q12" s="6" t="s">
        <v>311</v>
      </c>
      <c r="R12" s="6" t="str">
        <f ca="1">IFERROR(_xludf.IFS($E12="CSM","Category",$E12="CSPO","Category", $E12="PSM","Category",$E12="PSPO","Category",$E12="SAFe Agile","SAFe",$E12="SAFe SSM","SAFe",$E12="SAFe POPM","SAFe",$E12="SASM","SAFe",$E12="PMI-ACP","Category",$E12="ICP-ACC","Category",$E12="PSM 2","Category",$E12="SAFe RTE","SAFe",$E12="",""),"NonCategory")</f>
        <v>NonCategory</v>
      </c>
    </row>
    <row r="13" spans="1:18" ht="14.4">
      <c r="A13" s="162">
        <v>44152</v>
      </c>
      <c r="B13" s="164" t="s">
        <v>312</v>
      </c>
      <c r="C13" s="168" t="s">
        <v>313</v>
      </c>
      <c r="D13" s="6" t="s">
        <v>278</v>
      </c>
      <c r="E13" s="6" t="s">
        <v>96</v>
      </c>
      <c r="F13" s="79">
        <v>44136</v>
      </c>
      <c r="G13" s="6" t="s">
        <v>16</v>
      </c>
      <c r="H13" s="6" t="s">
        <v>314</v>
      </c>
      <c r="I13" s="6">
        <v>1</v>
      </c>
      <c r="J13" s="8">
        <v>19000</v>
      </c>
      <c r="K13" s="8">
        <f t="shared" si="0"/>
        <v>217.59047182775998</v>
      </c>
      <c r="L13" s="6" t="s">
        <v>315</v>
      </c>
      <c r="M13" s="97"/>
      <c r="N13" s="97">
        <v>44155</v>
      </c>
      <c r="O13" s="99" t="s">
        <v>5230</v>
      </c>
      <c r="P13" s="6" t="s">
        <v>316</v>
      </c>
      <c r="Q13" s="6" t="s">
        <v>307</v>
      </c>
      <c r="R13" s="6" t="str">
        <f ca="1">IFERROR(_xludf.IFS($E13="CSM","Category",$E13="CSPO","Category", $E13="PSM","Category",$E13="PSPO","Category",$E13="SAFe Agile","SAFe",$E13="SAFe SSM","SAFe",$E13="SAFe POPM","SAFe",$E13="SASM","SAFe",$E13="PMI-ACP","Category",$E13="ICP-ACC","Category",$E13="PSM 2","Category",$E13="SAFe RTE","SAFe",$E13="",""),"NonCategory")</f>
        <v>NonCategory</v>
      </c>
    </row>
    <row r="14" spans="1:18">
      <c r="A14" s="162">
        <v>44155</v>
      </c>
      <c r="B14" s="164" t="s">
        <v>317</v>
      </c>
      <c r="C14" s="168" t="s">
        <v>318</v>
      </c>
      <c r="D14" s="6" t="s">
        <v>319</v>
      </c>
      <c r="E14" s="6" t="s">
        <v>22</v>
      </c>
      <c r="F14" s="79">
        <v>44136</v>
      </c>
      <c r="G14" s="6" t="s">
        <v>16</v>
      </c>
      <c r="H14" s="6" t="s">
        <v>304</v>
      </c>
      <c r="I14" s="6">
        <v>1</v>
      </c>
      <c r="J14" s="8">
        <v>14337</v>
      </c>
      <c r="K14" s="8">
        <f t="shared" si="0"/>
        <v>164.18918918918919</v>
      </c>
      <c r="L14" s="97">
        <v>44158</v>
      </c>
      <c r="M14" s="97"/>
      <c r="N14" s="97">
        <v>44158</v>
      </c>
      <c r="O14" s="14" t="s">
        <v>5231</v>
      </c>
      <c r="Q14" s="6" t="s">
        <v>320</v>
      </c>
      <c r="R14" s="6" t="str">
        <f ca="1">IFERROR(_xludf.IFS($E14="CSM","Category",$E14="CSPO","Category", $E14="PSM","Category",$E14="PSPO","Category",$E14="SAFe Agile","SAFe",$E14="SAFe SSM","SAFe",$E14="SAFe POPM","SAFe",$E14="SASM","SAFe",$E14="PMI-ACP","Category",$E14="ICP-ACC","Category",$E14="PSM 2","Category",$E14="SAFe RTE","SAFe",$E14="",""),"NonCategory")</f>
        <v>NonCategory</v>
      </c>
    </row>
    <row r="15" spans="1:18">
      <c r="A15" s="162">
        <v>44159</v>
      </c>
      <c r="B15" s="164" t="s">
        <v>321</v>
      </c>
      <c r="C15" s="168" t="s">
        <v>322</v>
      </c>
      <c r="D15" s="6" t="s">
        <v>150</v>
      </c>
      <c r="E15" s="6" t="s">
        <v>96</v>
      </c>
      <c r="F15" s="79">
        <v>44136</v>
      </c>
      <c r="G15" s="6" t="s">
        <v>16</v>
      </c>
      <c r="H15" s="6" t="s">
        <v>292</v>
      </c>
      <c r="I15" s="6">
        <v>1</v>
      </c>
      <c r="J15" s="8">
        <v>24780</v>
      </c>
      <c r="K15" s="8">
        <f t="shared" si="0"/>
        <v>283.7837837837838</v>
      </c>
      <c r="L15" s="97">
        <v>44159</v>
      </c>
      <c r="M15" s="97"/>
      <c r="N15" s="97">
        <v>44159</v>
      </c>
      <c r="O15" s="14" t="s">
        <v>5232</v>
      </c>
      <c r="Q15" s="6" t="s">
        <v>280</v>
      </c>
      <c r="R15" s="6" t="str">
        <f ca="1">IFERROR(_xludf.IFS($E15="CSM","Category",$E15="CSPO","Category", $E15="PSM","Category",$E15="PSPO","Category",$E15="SAFe Agile","SAFe",$E15="SAFe SSM","SAFe",$E15="SAFe POPM","SAFe",$E15="SASM","SAFe",$E15="PMI-ACP","Category",$E15="ICP-ACC","Category",$E15="PSM 2","Category",$E15="SAFe RTE","SAFe",$E15="",""),"NonCategory")</f>
        <v>NonCategory</v>
      </c>
    </row>
    <row r="16" spans="1:18">
      <c r="A16" s="162">
        <v>44155</v>
      </c>
      <c r="B16" s="164" t="s">
        <v>323</v>
      </c>
      <c r="C16" s="168" t="s">
        <v>324</v>
      </c>
      <c r="D16" s="6" t="s">
        <v>303</v>
      </c>
      <c r="E16" s="6" t="s">
        <v>96</v>
      </c>
      <c r="F16" s="79">
        <v>44136</v>
      </c>
      <c r="G16" s="6" t="s">
        <v>16</v>
      </c>
      <c r="H16" s="6" t="s">
        <v>325</v>
      </c>
      <c r="I16" s="6">
        <v>1</v>
      </c>
      <c r="J16" s="8">
        <v>20000</v>
      </c>
      <c r="K16" s="8">
        <f t="shared" si="0"/>
        <v>229.04260192395787</v>
      </c>
      <c r="L16" s="97">
        <v>44159</v>
      </c>
      <c r="M16" s="97"/>
      <c r="N16" s="97">
        <v>44159</v>
      </c>
      <c r="O16" s="14" t="s">
        <v>5233</v>
      </c>
      <c r="Q16" s="6" t="s">
        <v>280</v>
      </c>
      <c r="R16" s="6" t="str">
        <f ca="1">IFERROR(_xludf.IFS($E16="CSM","Category",$E16="CSPO","Category", $E16="PSM","Category",$E16="PSPO","Category",$E16="SAFe Agile","SAFe",$E16="SAFe SSM","SAFe",$E16="SAFe POPM","SAFe",$E16="SASM","SAFe",$E16="PMI-ACP","Category",$E16="ICP-ACC","Category",$E16="PSM 2","Category",$E16="SAFe RTE","SAFe",$E16="",""),"NonCategory")</f>
        <v>NonCategory</v>
      </c>
    </row>
    <row r="17" spans="1:18">
      <c r="A17" s="162">
        <v>44146</v>
      </c>
      <c r="B17" s="164" t="s">
        <v>326</v>
      </c>
      <c r="C17" s="168" t="s">
        <v>327</v>
      </c>
      <c r="D17" s="6" t="s">
        <v>328</v>
      </c>
      <c r="E17" s="6" t="s">
        <v>96</v>
      </c>
      <c r="F17" s="79">
        <v>44136</v>
      </c>
      <c r="G17" s="6" t="s">
        <v>16</v>
      </c>
      <c r="H17" s="6" t="s">
        <v>304</v>
      </c>
      <c r="I17" s="6">
        <v>1</v>
      </c>
      <c r="J17" s="8">
        <v>20000</v>
      </c>
      <c r="K17" s="8">
        <f t="shared" si="0"/>
        <v>229.04260192395787</v>
      </c>
      <c r="L17" s="6" t="s">
        <v>315</v>
      </c>
      <c r="M17" s="97"/>
      <c r="N17" s="97">
        <v>44159</v>
      </c>
      <c r="O17" s="14" t="s">
        <v>5234</v>
      </c>
      <c r="Q17" s="6" t="s">
        <v>280</v>
      </c>
      <c r="R17" s="6" t="str">
        <f ca="1">IFERROR(_xludf.IFS($E17="CSM","Category",$E17="CSPO","Category", $E17="PSM","Category",$E17="PSPO","Category",$E17="SAFe Agile","SAFe",$E17="SAFe SSM","SAFe",$E17="SAFe POPM","SAFe",$E17="SASM","SAFe",$E17="PMI-ACP","Category",$E17="ICP-ACC","Category",$E17="PSM 2","Category",$E17="SAFe RTE","SAFe",$E17="",""),"NonCategory")</f>
        <v>NonCategory</v>
      </c>
    </row>
    <row r="18" spans="1:18">
      <c r="A18" s="162">
        <v>44151</v>
      </c>
      <c r="B18" s="164" t="s">
        <v>329</v>
      </c>
      <c r="C18" s="168" t="s">
        <v>330</v>
      </c>
      <c r="D18" s="6" t="s">
        <v>150</v>
      </c>
      <c r="E18" s="6" t="s">
        <v>96</v>
      </c>
      <c r="F18" s="79">
        <v>44136</v>
      </c>
      <c r="G18" s="6" t="s">
        <v>16</v>
      </c>
      <c r="H18" s="6" t="s">
        <v>292</v>
      </c>
      <c r="I18" s="6">
        <v>1</v>
      </c>
      <c r="J18" s="8">
        <v>20000</v>
      </c>
      <c r="K18" s="8">
        <f t="shared" si="0"/>
        <v>229.04260192395787</v>
      </c>
      <c r="L18" s="97">
        <v>44160</v>
      </c>
      <c r="M18" s="97"/>
      <c r="N18" s="97">
        <v>44160</v>
      </c>
      <c r="O18" s="14" t="s">
        <v>5235</v>
      </c>
      <c r="Q18" s="6" t="s">
        <v>280</v>
      </c>
      <c r="R18" s="6" t="str">
        <f ca="1">IFERROR(_xludf.IFS($E18="CSM","Category",$E18="CSPO","Category", $E18="PSM","Category",$E18="PSPO","Category",$E18="SAFe Agile","SAFe",$E18="SAFe SSM","SAFe",$E18="SAFe POPM","SAFe",$E18="SASM","SAFe",$E18="PMI-ACP","Category",$E18="ICP-ACC","Category",$E18="PSM 2","Category",$E18="SAFe RTE","SAFe",$E18="",""),"NonCategory")</f>
        <v>NonCategory</v>
      </c>
    </row>
    <row r="19" spans="1:18">
      <c r="A19" s="162">
        <v>44163</v>
      </c>
      <c r="B19" s="164" t="s">
        <v>331</v>
      </c>
      <c r="C19" s="168" t="s">
        <v>332</v>
      </c>
      <c r="D19" s="6" t="s">
        <v>303</v>
      </c>
      <c r="E19" s="6" t="s">
        <v>96</v>
      </c>
      <c r="F19" s="79">
        <v>44136</v>
      </c>
      <c r="G19" s="6" t="s">
        <v>16</v>
      </c>
      <c r="H19" s="6" t="s">
        <v>333</v>
      </c>
      <c r="I19" s="6">
        <v>1</v>
      </c>
      <c r="J19" s="8">
        <v>20000</v>
      </c>
      <c r="K19" s="8">
        <f t="shared" si="0"/>
        <v>229.04260192395787</v>
      </c>
      <c r="L19" s="97">
        <v>44165</v>
      </c>
      <c r="M19" s="97"/>
      <c r="N19" s="97">
        <v>44165</v>
      </c>
      <c r="O19" s="54" t="s">
        <v>5236</v>
      </c>
      <c r="Q19" s="6" t="s">
        <v>280</v>
      </c>
      <c r="R19" s="6" t="str">
        <f ca="1">IFERROR(_xludf.IFS($E19="CSM","Category",$E19="CSPO","Category", $E19="PSM","Category",$E19="PSPO","Category",$E19="SAFe Agile","SAFe",$E19="SAFe SSM","SAFe",$E19="SAFe POPM","SAFe",$E19="SASM","SAFe",$E19="PMI-ACP","Category",$E19="ICP-ACC","Category",$E19="PSM 2","Category",$E19="SAFe RTE","SAFe",$E19="",""),"NonCategory")</f>
        <v>NonCategory</v>
      </c>
    </row>
    <row r="20" spans="1:18">
      <c r="A20" s="162">
        <v>44168</v>
      </c>
      <c r="B20" s="164" t="s">
        <v>334</v>
      </c>
      <c r="C20" s="168" t="s">
        <v>335</v>
      </c>
      <c r="D20" s="6" t="s">
        <v>319</v>
      </c>
      <c r="E20" s="6" t="s">
        <v>96</v>
      </c>
      <c r="F20" s="79">
        <v>44166</v>
      </c>
      <c r="G20" s="6" t="s">
        <v>16</v>
      </c>
      <c r="H20" s="6" t="s">
        <v>333</v>
      </c>
      <c r="I20" s="6">
        <v>1</v>
      </c>
      <c r="J20" s="8">
        <v>19000</v>
      </c>
      <c r="K20" s="8">
        <f t="shared" si="0"/>
        <v>217.59047182775998</v>
      </c>
      <c r="L20" s="97">
        <v>44168</v>
      </c>
      <c r="M20" s="97"/>
      <c r="N20" s="97">
        <v>44168</v>
      </c>
      <c r="O20" s="6" t="s">
        <v>5237</v>
      </c>
      <c r="Q20" s="6" t="s">
        <v>280</v>
      </c>
      <c r="R20" s="6" t="str">
        <f ca="1">IFERROR(_xludf.IFS($E20="CSM","Category",$E20="CSPO","Category", $E20="PSM","Category",$E20="PSPO","Category",$E20="SAFe Agile","SAFe",$E20="SAFe SSM","SAFe",$E20="SAFe POPM","SAFe",$E20="SASM","SAFe",$E20="PMI-ACP","Category",$E20="ICP-ACC","Category",$E20="PSM 2","Category",$E20="SAFe RTE","SAFe",$E20="",""),"NonCategory")</f>
        <v>NonCategory</v>
      </c>
    </row>
    <row r="21" spans="1:18">
      <c r="A21" s="162">
        <v>44168</v>
      </c>
      <c r="B21" s="164" t="s">
        <v>336</v>
      </c>
      <c r="C21" s="168" t="s">
        <v>337</v>
      </c>
      <c r="D21" s="6" t="s">
        <v>303</v>
      </c>
      <c r="E21" s="6" t="s">
        <v>96</v>
      </c>
      <c r="F21" s="79">
        <v>44166</v>
      </c>
      <c r="G21" s="6" t="s">
        <v>16</v>
      </c>
      <c r="H21" s="6" t="s">
        <v>333</v>
      </c>
      <c r="I21" s="6">
        <v>1</v>
      </c>
      <c r="J21" s="8">
        <v>19000</v>
      </c>
      <c r="K21" s="8">
        <f t="shared" si="0"/>
        <v>217.59047182775998</v>
      </c>
      <c r="L21" s="97">
        <v>44168</v>
      </c>
      <c r="M21" s="97"/>
      <c r="N21" s="97">
        <v>44168</v>
      </c>
      <c r="O21" s="6" t="s">
        <v>5238</v>
      </c>
      <c r="Q21" s="6" t="s">
        <v>338</v>
      </c>
      <c r="R21" s="6" t="str">
        <f ca="1">IFERROR(_xludf.IFS($E21="CSM","Category",$E21="CSPO","Category", $E21="PSM","Category",$E21="PSPO","Category",$E21="SAFe Agile","SAFe",$E21="SAFe SSM","SAFe",$E21="SAFe POPM","SAFe",$E21="SASM","SAFe",$E21="PMI-ACP","Category",$E21="ICP-ACC","Category",$E21="PSM 2","Category",$E21="SAFe RTE","SAFe",$E21="",""),"NonCategory")</f>
        <v>NonCategory</v>
      </c>
    </row>
    <row r="22" spans="1:18">
      <c r="A22" s="162">
        <v>44168</v>
      </c>
      <c r="B22" s="164" t="s">
        <v>339</v>
      </c>
      <c r="C22" s="168" t="s">
        <v>340</v>
      </c>
      <c r="D22" s="6" t="s">
        <v>287</v>
      </c>
      <c r="E22" s="6" t="s">
        <v>96</v>
      </c>
      <c r="F22" s="79">
        <v>44166</v>
      </c>
      <c r="G22" s="6" t="s">
        <v>16</v>
      </c>
      <c r="H22" s="6" t="s">
        <v>292</v>
      </c>
      <c r="I22" s="6">
        <v>1</v>
      </c>
      <c r="J22" s="8">
        <v>20000</v>
      </c>
      <c r="K22" s="8">
        <f t="shared" si="0"/>
        <v>229.04260192395787</v>
      </c>
      <c r="L22" s="97">
        <v>44169</v>
      </c>
      <c r="M22" s="97"/>
      <c r="N22" s="97">
        <v>44169</v>
      </c>
      <c r="O22" s="6" t="s">
        <v>5239</v>
      </c>
      <c r="Q22" s="6" t="s">
        <v>280</v>
      </c>
      <c r="R22" s="6" t="str">
        <f ca="1">IFERROR(_xludf.IFS($E22="CSM","Category",$E22="CSPO","Category", $E22="PSM","Category",$E22="PSPO","Category",$E22="SAFe Agile","SAFe",$E22="SAFe SSM","SAFe",$E22="SAFe POPM","SAFe",$E22="SASM","SAFe",$E22="PMI-ACP","Category",$E22="ICP-ACC","Category",$E22="PSM 2","Category",$E22="SAFe RTE","SAFe",$E22="",""),"NonCategory")</f>
        <v>NonCategory</v>
      </c>
    </row>
    <row r="23" spans="1:18">
      <c r="A23" s="162">
        <v>44169</v>
      </c>
      <c r="B23" s="164" t="s">
        <v>341</v>
      </c>
      <c r="C23" s="168" t="s">
        <v>342</v>
      </c>
      <c r="D23" s="6" t="s">
        <v>343</v>
      </c>
      <c r="E23" s="6" t="s">
        <v>96</v>
      </c>
      <c r="F23" s="79">
        <v>44166</v>
      </c>
      <c r="G23" s="6" t="s">
        <v>16</v>
      </c>
      <c r="H23" s="6" t="s">
        <v>292</v>
      </c>
      <c r="I23" s="6">
        <v>1</v>
      </c>
      <c r="J23" s="8">
        <v>21000</v>
      </c>
      <c r="K23" s="8">
        <f t="shared" si="0"/>
        <v>240.49473202015577</v>
      </c>
      <c r="L23" s="97">
        <v>44169</v>
      </c>
      <c r="M23" s="97"/>
      <c r="N23" s="97">
        <v>44169</v>
      </c>
      <c r="O23" s="98" t="s">
        <v>5240</v>
      </c>
      <c r="Q23" s="6" t="s">
        <v>280</v>
      </c>
      <c r="R23" s="6" t="str">
        <f ca="1">IFERROR(_xludf.IFS($E23="CSM","Category",$E23="CSPO","Category", $E23="PSM","Category",$E23="PSPO","Category",$E23="SAFe Agile","SAFe",$E23="SAFe SSM","SAFe",$E23="SAFe POPM","SAFe",$E23="SASM","SAFe",$E23="PMI-ACP","Category",$E23="ICP-ACC","Category",$E23="PSM 2","Category",$E23="SAFe RTE","SAFe",$E23="",""),"NonCategory")</f>
        <v>NonCategory</v>
      </c>
    </row>
    <row r="24" spans="1:18">
      <c r="A24" s="162">
        <v>44170</v>
      </c>
      <c r="B24" s="164" t="s">
        <v>344</v>
      </c>
      <c r="C24" s="168" t="s">
        <v>345</v>
      </c>
      <c r="D24" s="6" t="s">
        <v>303</v>
      </c>
      <c r="E24" s="6" t="s">
        <v>97</v>
      </c>
      <c r="F24" s="80"/>
      <c r="G24" s="6" t="s">
        <v>13</v>
      </c>
      <c r="H24" s="79">
        <v>44166</v>
      </c>
      <c r="I24" s="6">
        <v>1</v>
      </c>
      <c r="J24" s="6">
        <v>21000</v>
      </c>
      <c r="K24" s="8">
        <f t="shared" si="0"/>
        <v>240.49473202015577</v>
      </c>
      <c r="L24" s="97">
        <v>44172</v>
      </c>
      <c r="R24" s="6" t="str">
        <f ca="1">IFERROR(_xludf.IFS($E24="CSM","Category",$E24="CSPO","Category", $E24="PSM","Category",$E24="PSPO","Category",$E24="SAFe Agile","SAFe",$E24="SAFe SSM","SAFe",$E24="SAFe POPM","SAFe",$E24="SASM","SAFe",$E24="PMI-ACP","Category",$E24="ICP-ACC","Category",$E24="PSM 2","Category",$E24="SAFe RTE","SAFe",$E24="",""),"NonCategory")</f>
        <v>NonCategory</v>
      </c>
    </row>
    <row r="25" spans="1:18" ht="14.4">
      <c r="A25" s="162">
        <v>44154</v>
      </c>
      <c r="B25" s="164" t="s">
        <v>346</v>
      </c>
      <c r="C25" s="168" t="s">
        <v>347</v>
      </c>
      <c r="D25" s="6" t="s">
        <v>278</v>
      </c>
      <c r="E25" s="6" t="s">
        <v>96</v>
      </c>
      <c r="F25" s="79">
        <v>44166</v>
      </c>
      <c r="G25" s="6" t="s">
        <v>16</v>
      </c>
      <c r="H25" s="6" t="s">
        <v>325</v>
      </c>
      <c r="I25" s="6">
        <v>1</v>
      </c>
      <c r="J25" s="8">
        <v>19000</v>
      </c>
      <c r="K25" s="8">
        <f t="shared" si="0"/>
        <v>217.59047182775998</v>
      </c>
      <c r="L25" s="97">
        <v>44170</v>
      </c>
      <c r="M25" s="97"/>
      <c r="N25" s="97">
        <v>44170</v>
      </c>
      <c r="O25" s="100" t="s">
        <v>5241</v>
      </c>
      <c r="P25" s="6" t="s">
        <v>348</v>
      </c>
      <c r="Q25" s="6" t="s">
        <v>280</v>
      </c>
      <c r="R25" s="6" t="str">
        <f ca="1">IFERROR(_xludf.IFS($E25="CSM","Category",$E25="CSPO","Category", $E25="PSM","Category",$E25="PSPO","Category",$E25="SAFe Agile","SAFe",$E25="SAFe SSM","SAFe",$E25="SAFe POPM","SAFe",$E25="SASM","SAFe",$E25="PMI-ACP","Category",$E25="ICP-ACC","Category",$E25="PSM 2","Category",$E25="SAFe RTE","SAFe",$E25="",""),"NonCategory")</f>
        <v>NonCategory</v>
      </c>
    </row>
    <row r="26" spans="1:18">
      <c r="A26" s="162">
        <v>44165</v>
      </c>
      <c r="B26" s="164" t="s">
        <v>349</v>
      </c>
      <c r="C26" s="168" t="s">
        <v>350</v>
      </c>
      <c r="D26" s="6" t="s">
        <v>278</v>
      </c>
      <c r="E26" s="6" t="s">
        <v>96</v>
      </c>
      <c r="F26" s="79">
        <v>44166</v>
      </c>
      <c r="G26" s="6" t="s">
        <v>16</v>
      </c>
      <c r="H26" s="6" t="s">
        <v>325</v>
      </c>
      <c r="I26" s="6">
        <v>1</v>
      </c>
      <c r="J26" s="8">
        <v>19000</v>
      </c>
      <c r="K26" s="8">
        <f t="shared" si="0"/>
        <v>217.59047182775998</v>
      </c>
      <c r="L26" s="97">
        <v>44170</v>
      </c>
      <c r="M26" s="97"/>
      <c r="N26" s="97">
        <v>44170</v>
      </c>
      <c r="O26" s="6" t="s">
        <v>5242</v>
      </c>
      <c r="P26" s="6" t="s">
        <v>351</v>
      </c>
      <c r="Q26" s="6" t="s">
        <v>280</v>
      </c>
      <c r="R26" s="6" t="str">
        <f ca="1">IFERROR(_xludf.IFS($E26="CSM","Category",$E26="CSPO","Category", $E26="PSM","Category",$E26="PSPO","Category",$E26="SAFe Agile","SAFe",$E26="SAFe SSM","SAFe",$E26="SAFe POPM","SAFe",$E26="SASM","SAFe",$E26="PMI-ACP","Category",$E26="ICP-ACC","Category",$E26="PSM 2","Category",$E26="SAFe RTE","SAFe",$E26="",""),"NonCategory")</f>
        <v>NonCategory</v>
      </c>
    </row>
    <row r="27" spans="1:18">
      <c r="A27" s="162">
        <v>44166</v>
      </c>
      <c r="B27" s="164" t="s">
        <v>352</v>
      </c>
      <c r="C27" s="168" t="s">
        <v>353</v>
      </c>
      <c r="D27" s="6" t="s">
        <v>303</v>
      </c>
      <c r="E27" s="6" t="s">
        <v>96</v>
      </c>
      <c r="F27" s="80"/>
      <c r="G27" s="6" t="s">
        <v>13</v>
      </c>
      <c r="H27" s="79">
        <v>44166</v>
      </c>
      <c r="I27" s="6">
        <v>1</v>
      </c>
      <c r="J27" s="6">
        <v>20000</v>
      </c>
      <c r="K27" s="8">
        <f t="shared" si="0"/>
        <v>229.04260192395787</v>
      </c>
      <c r="L27" s="97">
        <v>44175</v>
      </c>
      <c r="R27" s="6" t="str">
        <f ca="1">IFERROR(_xludf.IFS($E27="CSM","Category",$E27="CSPO","Category", $E27="PSM","Category",$E27="PSPO","Category",$E27="SAFe Agile","SAFe",$E27="SAFe SSM","SAFe",$E27="SAFe POPM","SAFe",$E27="SASM","SAFe",$E27="PMI-ACP","Category",$E27="ICP-ACC","Category",$E27="PSM 2","Category",$E27="SAFe RTE","SAFe",$E27="",""),"NonCategory")</f>
        <v>NonCategory</v>
      </c>
    </row>
    <row r="28" spans="1:18">
      <c r="A28" s="162">
        <v>44151</v>
      </c>
      <c r="B28" s="164" t="s">
        <v>354</v>
      </c>
      <c r="C28" s="168" t="s">
        <v>355</v>
      </c>
      <c r="D28" s="6" t="s">
        <v>328</v>
      </c>
      <c r="E28" s="6" t="s">
        <v>96</v>
      </c>
      <c r="F28" s="79">
        <v>44166</v>
      </c>
      <c r="G28" s="6" t="s">
        <v>16</v>
      </c>
      <c r="H28" s="6" t="s">
        <v>333</v>
      </c>
      <c r="I28" s="6">
        <v>1</v>
      </c>
      <c r="J28" s="8">
        <v>20000</v>
      </c>
      <c r="K28" s="8">
        <f t="shared" si="0"/>
        <v>229.04260192395787</v>
      </c>
      <c r="L28" s="97">
        <v>44170</v>
      </c>
      <c r="M28" s="97"/>
      <c r="N28" s="97">
        <v>44172</v>
      </c>
      <c r="O28" s="54" t="s">
        <v>5243</v>
      </c>
      <c r="Q28" s="6" t="s">
        <v>356</v>
      </c>
      <c r="R28" s="6" t="str">
        <f ca="1">IFERROR(_xludf.IFS($E28="CSM","Category",$E28="CSPO","Category", $E28="PSM","Category",$E28="PSPO","Category",$E28="SAFe Agile","SAFe",$E28="SAFe SSM","SAFe",$E28="SAFe POPM","SAFe",$E28="SASM","SAFe",$E28="PMI-ACP","Category",$E28="ICP-ACC","Category",$E28="PSM 2","Category",$E28="SAFe RTE","SAFe",$E28="",""),"NonCategory")</f>
        <v>NonCategory</v>
      </c>
    </row>
    <row r="29" spans="1:18">
      <c r="A29" s="162">
        <v>44167</v>
      </c>
      <c r="B29" s="164" t="s">
        <v>357</v>
      </c>
      <c r="C29" s="168" t="s">
        <v>358</v>
      </c>
      <c r="D29" s="6" t="s">
        <v>303</v>
      </c>
      <c r="E29" s="6" t="s">
        <v>96</v>
      </c>
      <c r="F29" s="79">
        <v>44166</v>
      </c>
      <c r="G29" s="6" t="s">
        <v>16</v>
      </c>
      <c r="H29" s="6" t="s">
        <v>359</v>
      </c>
      <c r="I29" s="6">
        <v>1</v>
      </c>
      <c r="J29" s="8">
        <v>20000</v>
      </c>
      <c r="K29" s="8">
        <f t="shared" si="0"/>
        <v>229.04260192395787</v>
      </c>
      <c r="L29" s="6" t="s">
        <v>360</v>
      </c>
      <c r="M29" s="97"/>
      <c r="N29" s="97">
        <v>44172</v>
      </c>
      <c r="O29" s="54" t="s">
        <v>5244</v>
      </c>
      <c r="Q29" s="6" t="s">
        <v>280</v>
      </c>
      <c r="R29" s="6" t="str">
        <f ca="1">IFERROR(_xludf.IFS($E29="CSM","Category",$E29="CSPO","Category", $E29="PSM","Category",$E29="PSPO","Category",$E29="SAFe Agile","SAFe",$E29="SAFe SSM","SAFe",$E29="SAFe POPM","SAFe",$E29="SASM","SAFe",$E29="PMI-ACP","Category",$E29="ICP-ACC","Category",$E29="PSM 2","Category",$E29="SAFe RTE","SAFe",$E29="",""),"NonCategory")</f>
        <v>NonCategory</v>
      </c>
    </row>
    <row r="30" spans="1:18">
      <c r="A30" s="162">
        <v>44152</v>
      </c>
      <c r="B30" s="164" t="s">
        <v>361</v>
      </c>
      <c r="C30" s="168" t="s">
        <v>362</v>
      </c>
      <c r="E30" s="6" t="s">
        <v>96</v>
      </c>
      <c r="F30" s="79">
        <v>44166</v>
      </c>
      <c r="G30" s="6" t="s">
        <v>13</v>
      </c>
      <c r="H30" s="6" t="s">
        <v>363</v>
      </c>
      <c r="I30" s="6">
        <v>2</v>
      </c>
      <c r="J30" s="6">
        <v>21000</v>
      </c>
      <c r="K30" s="8">
        <f t="shared" si="0"/>
        <v>240.49473202015577</v>
      </c>
      <c r="L30" s="97">
        <v>44175</v>
      </c>
      <c r="M30" s="97"/>
      <c r="N30" s="97">
        <v>44174</v>
      </c>
      <c r="R30" s="6" t="str">
        <f ca="1">IFERROR(_xludf.IFS($E30="CSM","Category",$E30="CSPO","Category", $E30="PSM","Category",$E30="PSPO","Category",$E30="SAFe Agile","SAFe",$E30="SAFe SSM","SAFe",$E30="SAFe POPM","SAFe",$E30="SASM","SAFe",$E30="PMI-ACP","Category",$E30="ICP-ACC","Category",$E30="PSM 2","Category",$E30="SAFe RTE","SAFe",$E30="",""),"NonCategory")</f>
        <v>NonCategory</v>
      </c>
    </row>
    <row r="31" spans="1:18">
      <c r="A31" s="162">
        <v>44169</v>
      </c>
      <c r="B31" s="164" t="s">
        <v>364</v>
      </c>
      <c r="C31" s="168" t="s">
        <v>365</v>
      </c>
      <c r="D31" s="6" t="s">
        <v>343</v>
      </c>
      <c r="E31" s="6" t="s">
        <v>97</v>
      </c>
      <c r="F31" s="79">
        <v>44166</v>
      </c>
      <c r="G31" s="6" t="s">
        <v>16</v>
      </c>
      <c r="H31" s="6" t="s">
        <v>359</v>
      </c>
      <c r="I31" s="6">
        <v>1</v>
      </c>
      <c r="J31" s="8">
        <v>20500</v>
      </c>
      <c r="K31" s="8">
        <f t="shared" si="0"/>
        <v>234.76866697205682</v>
      </c>
      <c r="L31" s="97">
        <v>44172</v>
      </c>
      <c r="M31" s="97"/>
      <c r="N31" s="97">
        <v>44173</v>
      </c>
      <c r="O31" s="101" t="s">
        <v>5245</v>
      </c>
      <c r="Q31" s="6" t="s">
        <v>280</v>
      </c>
      <c r="R31" s="6" t="str">
        <f ca="1">IFERROR(_xludf.IFS($E31="CSM","Category",$E31="CSPO","Category", $E31="PSM","Category",$E31="PSPO","Category",$E31="SAFe Agile","SAFe",$E31="SAFe SSM","SAFe",$E31="SAFe POPM","SAFe",$E31="SASM","SAFe",$E31="PMI-ACP","Category",$E31="ICP-ACC","Category",$E31="PSM 2","Category",$E31="SAFe RTE","SAFe",$E31="",""),"NonCategory")</f>
        <v>NonCategory</v>
      </c>
    </row>
    <row r="32" spans="1:18">
      <c r="A32" s="162">
        <v>44172</v>
      </c>
      <c r="B32" s="164" t="s">
        <v>366</v>
      </c>
      <c r="C32" s="168" t="s">
        <v>367</v>
      </c>
      <c r="D32" s="6" t="s">
        <v>303</v>
      </c>
      <c r="E32" s="6" t="s">
        <v>96</v>
      </c>
      <c r="F32" s="79">
        <v>44166</v>
      </c>
      <c r="G32" s="6" t="s">
        <v>16</v>
      </c>
      <c r="H32" s="6" t="s">
        <v>333</v>
      </c>
      <c r="I32" s="6">
        <v>1</v>
      </c>
      <c r="J32" s="8">
        <v>20000</v>
      </c>
      <c r="K32" s="8">
        <f t="shared" si="0"/>
        <v>229.04260192395787</v>
      </c>
      <c r="L32" s="97">
        <v>44173</v>
      </c>
      <c r="M32" s="97"/>
      <c r="N32" s="97">
        <v>44173</v>
      </c>
      <c r="O32" s="54" t="s">
        <v>5246</v>
      </c>
      <c r="Q32" s="6" t="s">
        <v>280</v>
      </c>
      <c r="R32" s="6" t="str">
        <f ca="1">IFERROR(_xludf.IFS($E32="CSM","Category",$E32="CSPO","Category", $E32="PSM","Category",$E32="PSPO","Category",$E32="SAFe Agile","SAFe",$E32="SAFe SSM","SAFe",$E32="SAFe POPM","SAFe",$E32="SASM","SAFe",$E32="PMI-ACP","Category",$E32="ICP-ACC","Category",$E32="PSM 2","Category",$E32="SAFe RTE","SAFe",$E32="",""),"NonCategory")</f>
        <v>NonCategory</v>
      </c>
    </row>
    <row r="33" spans="1:18" ht="14.4">
      <c r="A33" s="162">
        <v>44173</v>
      </c>
      <c r="B33" s="164" t="s">
        <v>368</v>
      </c>
      <c r="C33" s="168" t="s">
        <v>369</v>
      </c>
      <c r="D33" s="6" t="s">
        <v>287</v>
      </c>
      <c r="E33" s="6" t="s">
        <v>96</v>
      </c>
      <c r="F33" s="79">
        <v>44166</v>
      </c>
      <c r="G33" s="6" t="s">
        <v>16</v>
      </c>
      <c r="H33" s="6" t="s">
        <v>370</v>
      </c>
      <c r="I33" s="6">
        <v>1</v>
      </c>
      <c r="J33" s="8">
        <v>20000</v>
      </c>
      <c r="K33" s="8">
        <f t="shared" si="0"/>
        <v>229.04260192395787</v>
      </c>
      <c r="L33" s="97">
        <v>44173</v>
      </c>
      <c r="M33" s="97"/>
      <c r="N33" s="97">
        <v>44173</v>
      </c>
      <c r="O33" s="99" t="s">
        <v>5247</v>
      </c>
      <c r="Q33" s="6" t="s">
        <v>356</v>
      </c>
      <c r="R33" s="6" t="str">
        <f ca="1">IFERROR(_xludf.IFS($E33="CSM","Category",$E33="CSPO","Category", $E33="PSM","Category",$E33="PSPO","Category",$E33="SAFe Agile","SAFe",$E33="SAFe SSM","SAFe",$E33="SAFe POPM","SAFe",$E33="SASM","SAFe",$E33="PMI-ACP","Category",$E33="ICP-ACC","Category",$E33="PSM 2","Category",$E33="SAFe RTE","SAFe",$E33="",""),"NonCategory")</f>
        <v>NonCategory</v>
      </c>
    </row>
    <row r="34" spans="1:18" ht="14.4">
      <c r="A34" s="162">
        <v>44174</v>
      </c>
      <c r="B34" s="164" t="s">
        <v>371</v>
      </c>
      <c r="C34" s="168" t="s">
        <v>372</v>
      </c>
      <c r="D34" s="6" t="s">
        <v>278</v>
      </c>
      <c r="E34" s="6" t="s">
        <v>96</v>
      </c>
      <c r="F34" s="79">
        <v>44166</v>
      </c>
      <c r="G34" s="6" t="s">
        <v>16</v>
      </c>
      <c r="H34" s="6" t="s">
        <v>373</v>
      </c>
      <c r="I34" s="6">
        <v>1</v>
      </c>
      <c r="J34" s="8">
        <v>20000</v>
      </c>
      <c r="K34" s="8">
        <f t="shared" si="0"/>
        <v>229.04260192395787</v>
      </c>
      <c r="L34" s="97">
        <v>44174</v>
      </c>
      <c r="M34" s="97"/>
      <c r="N34" s="97">
        <v>44174</v>
      </c>
      <c r="O34" s="99" t="s">
        <v>5248</v>
      </c>
      <c r="P34" s="6" t="s">
        <v>374</v>
      </c>
      <c r="Q34" s="6" t="s">
        <v>280</v>
      </c>
      <c r="R34" s="6" t="str">
        <f ca="1">IFERROR(_xludf.IFS($E34="CSM","Category",$E34="CSPO","Category", $E34="PSM","Category",$E34="PSPO","Category",$E34="SAFe Agile","SAFe",$E34="SAFe SSM","SAFe",$E34="SAFe POPM","SAFe",$E34="SASM","SAFe",$E34="PMI-ACP","Category",$E34="ICP-ACC","Category",$E34="PSM 2","Category",$E34="SAFe RTE","SAFe",$E34="",""),"NonCategory")</f>
        <v>NonCategory</v>
      </c>
    </row>
    <row r="35" spans="1:18" ht="14.4">
      <c r="A35" s="162">
        <v>44173</v>
      </c>
      <c r="B35" s="164" t="s">
        <v>375</v>
      </c>
      <c r="C35" s="168" t="s">
        <v>376</v>
      </c>
      <c r="D35" s="6" t="s">
        <v>278</v>
      </c>
      <c r="E35" s="6" t="s">
        <v>96</v>
      </c>
      <c r="F35" s="79">
        <v>44166</v>
      </c>
      <c r="G35" s="6" t="s">
        <v>16</v>
      </c>
      <c r="H35" s="6" t="s">
        <v>325</v>
      </c>
      <c r="I35" s="6">
        <v>1</v>
      </c>
      <c r="J35" s="8">
        <v>20000</v>
      </c>
      <c r="K35" s="8">
        <f t="shared" si="0"/>
        <v>229.04260192395787</v>
      </c>
      <c r="L35" s="97">
        <v>44174</v>
      </c>
      <c r="M35" s="97"/>
      <c r="N35" s="97">
        <v>44174</v>
      </c>
      <c r="O35" s="99" t="s">
        <v>5249</v>
      </c>
      <c r="P35" s="6" t="s">
        <v>377</v>
      </c>
      <c r="Q35" s="6" t="s">
        <v>280</v>
      </c>
      <c r="R35" s="6" t="str">
        <f ca="1">IFERROR(_xludf.IFS($E35="CSM","Category",$E35="CSPO","Category", $E35="PSM","Category",$E35="PSPO","Category",$E35="SAFe Agile","SAFe",$E35="SAFe SSM","SAFe",$E35="SAFe POPM","SAFe",$E35="SASM","SAFe",$E35="PMI-ACP","Category",$E35="ICP-ACC","Category",$E35="PSM 2","Category",$E35="SAFe RTE","SAFe",$E35="",""),"NonCategory")</f>
        <v>NonCategory</v>
      </c>
    </row>
    <row r="36" spans="1:18" ht="14.4">
      <c r="A36" s="162">
        <v>44173</v>
      </c>
      <c r="B36" s="164" t="s">
        <v>378</v>
      </c>
      <c r="C36" s="168" t="s">
        <v>379</v>
      </c>
      <c r="D36" s="6" t="s">
        <v>278</v>
      </c>
      <c r="E36" s="6" t="s">
        <v>96</v>
      </c>
      <c r="F36" s="79">
        <v>44166</v>
      </c>
      <c r="G36" s="6" t="s">
        <v>16</v>
      </c>
      <c r="H36" s="6" t="s">
        <v>325</v>
      </c>
      <c r="I36" s="6">
        <v>1</v>
      </c>
      <c r="J36" s="8">
        <v>20000</v>
      </c>
      <c r="K36" s="8">
        <f t="shared" si="0"/>
        <v>229.04260192395787</v>
      </c>
      <c r="L36" s="97">
        <v>44174</v>
      </c>
      <c r="M36" s="97"/>
      <c r="N36" s="97">
        <v>44174</v>
      </c>
      <c r="O36" s="102" t="s">
        <v>5250</v>
      </c>
      <c r="P36" s="6" t="s">
        <v>380</v>
      </c>
      <c r="Q36" s="6" t="s">
        <v>280</v>
      </c>
      <c r="R36" s="6" t="str">
        <f ca="1">IFERROR(_xludf.IFS($E36="CSM","Category",$E36="CSPO","Category", $E36="PSM","Category",$E36="PSPO","Category",$E36="SAFe Agile","SAFe",$E36="SAFe SSM","SAFe",$E36="SAFe POPM","SAFe",$E36="SASM","SAFe",$E36="PMI-ACP","Category",$E36="ICP-ACC","Category",$E36="PSM 2","Category",$E36="SAFe RTE","SAFe",$E36="",""),"NonCategory")</f>
        <v>NonCategory</v>
      </c>
    </row>
    <row r="37" spans="1:18" ht="14.4">
      <c r="A37" s="162">
        <v>44174</v>
      </c>
      <c r="B37" s="164" t="s">
        <v>381</v>
      </c>
      <c r="C37" s="168" t="s">
        <v>382</v>
      </c>
      <c r="D37" s="6" t="s">
        <v>287</v>
      </c>
      <c r="E37" s="6" t="s">
        <v>96</v>
      </c>
      <c r="F37" s="79">
        <v>44166</v>
      </c>
      <c r="G37" s="6" t="s">
        <v>16</v>
      </c>
      <c r="H37" s="6" t="s">
        <v>370</v>
      </c>
      <c r="I37" s="6">
        <v>1</v>
      </c>
      <c r="J37" s="8">
        <v>21000</v>
      </c>
      <c r="K37" s="8">
        <f t="shared" si="0"/>
        <v>240.49473202015577</v>
      </c>
      <c r="L37" s="97">
        <v>44175</v>
      </c>
      <c r="M37" s="97"/>
      <c r="N37" s="97">
        <v>44175</v>
      </c>
      <c r="O37" s="99" t="s">
        <v>5251</v>
      </c>
      <c r="Q37" s="6" t="s">
        <v>356</v>
      </c>
      <c r="R37" s="6" t="str">
        <f ca="1">IFERROR(_xludf.IFS($E37="CSM","Category",$E37="CSPO","Category", $E37="PSM","Category",$E37="PSPO","Category",$E37="SAFe Agile","SAFe",$E37="SAFe SSM","SAFe",$E37="SAFe POPM","SAFe",$E37="SASM","SAFe",$E37="PMI-ACP","Category",$E37="ICP-ACC","Category",$E37="PSM 2","Category",$E37="SAFe RTE","SAFe",$E37="",""),"NonCategory")</f>
        <v>NonCategory</v>
      </c>
    </row>
    <row r="38" spans="1:18" ht="14.4">
      <c r="A38" s="162">
        <v>44172</v>
      </c>
      <c r="B38" s="164" t="s">
        <v>383</v>
      </c>
      <c r="C38" s="168" t="s">
        <v>384</v>
      </c>
      <c r="D38" s="6" t="s">
        <v>385</v>
      </c>
      <c r="E38" s="6" t="s">
        <v>96</v>
      </c>
      <c r="F38" s="79">
        <v>44166</v>
      </c>
      <c r="G38" s="6" t="s">
        <v>16</v>
      </c>
      <c r="H38" s="6" t="s">
        <v>359</v>
      </c>
      <c r="I38" s="6">
        <v>1</v>
      </c>
      <c r="J38" s="8">
        <v>20000</v>
      </c>
      <c r="K38" s="8">
        <f t="shared" si="0"/>
        <v>229.04260192395787</v>
      </c>
      <c r="L38" s="97">
        <v>44174</v>
      </c>
      <c r="M38" s="97"/>
      <c r="N38" s="97">
        <v>44176</v>
      </c>
      <c r="O38" s="99" t="s">
        <v>5252</v>
      </c>
      <c r="Q38" s="6" t="s">
        <v>280</v>
      </c>
      <c r="R38" s="6" t="str">
        <f ca="1">IFERROR(_xludf.IFS($E38="CSM","Category",$E38="CSPO","Category", $E38="PSM","Category",$E38="PSPO","Category",$E38="SAFe Agile","SAFe",$E38="SAFe SSM","SAFe",$E38="SAFe POPM","SAFe",$E38="SASM","SAFe",$E38="PMI-ACP","Category",$E38="ICP-ACC","Category",$E38="PSM 2","Category",$E38="SAFe RTE","SAFe",$E38="",""),"NonCategory")</f>
        <v>NonCategory</v>
      </c>
    </row>
    <row r="39" spans="1:18">
      <c r="A39" s="162">
        <v>44161</v>
      </c>
      <c r="B39" s="164" t="s">
        <v>386</v>
      </c>
      <c r="C39" s="168" t="s">
        <v>387</v>
      </c>
      <c r="D39" s="6" t="s">
        <v>291</v>
      </c>
      <c r="E39" s="6" t="s">
        <v>96</v>
      </c>
      <c r="F39" s="79">
        <v>44166</v>
      </c>
      <c r="G39" s="6" t="s">
        <v>16</v>
      </c>
      <c r="H39" s="6" t="s">
        <v>388</v>
      </c>
      <c r="I39" s="6">
        <v>1</v>
      </c>
      <c r="J39" s="8">
        <v>20000</v>
      </c>
      <c r="K39" s="8">
        <f t="shared" si="0"/>
        <v>229.04260192395787</v>
      </c>
      <c r="L39" s="97">
        <v>44200</v>
      </c>
      <c r="M39" s="97"/>
      <c r="N39" s="97">
        <v>44179</v>
      </c>
      <c r="O39" s="13" t="s">
        <v>5253</v>
      </c>
      <c r="Q39" s="6" t="s">
        <v>356</v>
      </c>
      <c r="R39" s="6" t="str">
        <f ca="1">IFERROR(_xludf.IFS($E39="CSM","Category",$E39="CSPO","Category", $E39="PSM","Category",$E39="PSPO","Category",$E39="SAFe Agile","SAFe",$E39="SAFe SSM","SAFe",$E39="SAFe POPM","SAFe",$E39="SASM","SAFe",$E39="PMI-ACP","Category",$E39="ICP-ACC","Category",$E39="PSM 2","Category",$E39="SAFe RTE","SAFe",$E39="",""),"NonCategory")</f>
        <v>NonCategory</v>
      </c>
    </row>
    <row r="40" spans="1:18">
      <c r="A40" s="162">
        <v>44162</v>
      </c>
      <c r="B40" s="164" t="s">
        <v>389</v>
      </c>
      <c r="C40" s="168" t="s">
        <v>390</v>
      </c>
      <c r="D40" s="6" t="s">
        <v>391</v>
      </c>
      <c r="E40" s="6" t="s">
        <v>96</v>
      </c>
      <c r="F40" s="80"/>
      <c r="G40" s="6" t="s">
        <v>13</v>
      </c>
      <c r="H40" s="6" t="s">
        <v>315</v>
      </c>
      <c r="I40" s="6">
        <v>1</v>
      </c>
      <c r="J40" s="6">
        <v>22000</v>
      </c>
      <c r="K40" s="8">
        <f t="shared" si="0"/>
        <v>251.94686211635369</v>
      </c>
      <c r="L40" s="6" t="s">
        <v>315</v>
      </c>
      <c r="R40" s="6" t="str">
        <f ca="1">IFERROR(_xludf.IFS($E40="CSM","Category",$E40="CSPO","Category", $E40="PSM","Category",$E40="PSPO","Category",$E40="SAFe Agile","SAFe",$E40="SAFe SSM","SAFe",$E40="SAFe POPM","SAFe",$E40="SASM","SAFe",$E40="PMI-ACP","Category",$E40="ICP-ACC","Category",$E40="PSM 2","Category",$E40="SAFe RTE","SAFe",$E40="",""),"NonCategory")</f>
        <v>NonCategory</v>
      </c>
    </row>
    <row r="41" spans="1:18">
      <c r="A41" s="162">
        <v>44192</v>
      </c>
      <c r="B41" s="164" t="s">
        <v>392</v>
      </c>
      <c r="C41" s="168" t="s">
        <v>393</v>
      </c>
      <c r="D41" s="6" t="s">
        <v>278</v>
      </c>
      <c r="E41" s="6" t="s">
        <v>96</v>
      </c>
      <c r="F41" s="79">
        <v>44166</v>
      </c>
      <c r="G41" s="6" t="s">
        <v>13</v>
      </c>
      <c r="H41" s="6" t="s">
        <v>388</v>
      </c>
      <c r="I41" s="6">
        <v>1</v>
      </c>
      <c r="J41" s="6">
        <v>20000</v>
      </c>
      <c r="K41" s="8">
        <f t="shared" si="0"/>
        <v>229.04260192395787</v>
      </c>
      <c r="L41" s="97">
        <v>44194</v>
      </c>
      <c r="P41" s="6" t="s">
        <v>394</v>
      </c>
      <c r="R41" s="6" t="str">
        <f ca="1">IFERROR(_xludf.IFS($E41="CSM","Category",$E41="CSPO","Category", $E41="PSM","Category",$E41="PSPO","Category",$E41="SAFe Agile","SAFe",$E41="SAFe SSM","SAFe",$E41="SAFe POPM","SAFe",$E41="SASM","SAFe",$E41="PMI-ACP","Category",$E41="ICP-ACC","Category",$E41="PSM 2","Category",$E41="SAFe RTE","SAFe",$E41="",""),"NonCategory")</f>
        <v>NonCategory</v>
      </c>
    </row>
    <row r="42" spans="1:18">
      <c r="A42" s="162">
        <v>44181</v>
      </c>
      <c r="B42" s="164" t="s">
        <v>395</v>
      </c>
      <c r="C42" s="168" t="s">
        <v>396</v>
      </c>
      <c r="D42" s="6" t="s">
        <v>397</v>
      </c>
      <c r="E42" s="6" t="s">
        <v>96</v>
      </c>
      <c r="F42" s="79">
        <v>44166</v>
      </c>
      <c r="G42" s="6" t="s">
        <v>16</v>
      </c>
      <c r="H42" s="6" t="s">
        <v>333</v>
      </c>
      <c r="I42" s="6">
        <v>1</v>
      </c>
      <c r="J42" s="8">
        <v>19000</v>
      </c>
      <c r="K42" s="8">
        <f t="shared" si="0"/>
        <v>217.59047182775998</v>
      </c>
      <c r="L42" s="97">
        <v>44181</v>
      </c>
      <c r="M42" s="97"/>
      <c r="N42" s="97">
        <v>44181</v>
      </c>
      <c r="O42" s="6" t="s">
        <v>5254</v>
      </c>
      <c r="Q42" s="6" t="s">
        <v>280</v>
      </c>
      <c r="R42" s="6" t="str">
        <f ca="1">IFERROR(_xludf.IFS($E42="CSM","Category",$E42="CSPO","Category", $E42="PSM","Category",$E42="PSPO","Category",$E42="SAFe Agile","SAFe",$E42="SAFe SSM","SAFe",$E42="SAFe POPM","SAFe",$E42="SASM","SAFe",$E42="PMI-ACP","Category",$E42="ICP-ACC","Category",$E42="PSM 2","Category",$E42="SAFe RTE","SAFe",$E42="",""),"NonCategory")</f>
        <v>NonCategory</v>
      </c>
    </row>
    <row r="43" spans="1:18">
      <c r="A43" s="162">
        <v>44181</v>
      </c>
      <c r="B43" s="164" t="s">
        <v>398</v>
      </c>
      <c r="C43" s="168" t="s">
        <v>399</v>
      </c>
      <c r="D43" s="6" t="s">
        <v>303</v>
      </c>
      <c r="E43" s="6" t="s">
        <v>96</v>
      </c>
      <c r="F43" s="79">
        <v>44166</v>
      </c>
      <c r="G43" s="6" t="s">
        <v>16</v>
      </c>
      <c r="H43" s="6" t="s">
        <v>370</v>
      </c>
      <c r="I43" s="6">
        <v>1</v>
      </c>
      <c r="J43" s="8">
        <v>21000</v>
      </c>
      <c r="K43" s="8">
        <f t="shared" si="0"/>
        <v>240.49473202015577</v>
      </c>
      <c r="L43" s="97">
        <v>44181</v>
      </c>
      <c r="M43" s="97"/>
      <c r="N43" s="97">
        <v>44182</v>
      </c>
      <c r="O43" s="103" t="s">
        <v>5255</v>
      </c>
      <c r="Q43" s="6" t="s">
        <v>356</v>
      </c>
      <c r="R43" s="6" t="str">
        <f ca="1">IFERROR(_xludf.IFS($E43="CSM","Category",$E43="CSPO","Category", $E43="PSM","Category",$E43="PSPO","Category",$E43="SAFe Agile","SAFe",$E43="SAFe SSM","SAFe",$E43="SAFe POPM","SAFe",$E43="SASM","SAFe",$E43="PMI-ACP","Category",$E43="ICP-ACC","Category",$E43="PSM 2","Category",$E43="SAFe RTE","SAFe",$E43="",""),"NonCategory")</f>
        <v>NonCategory</v>
      </c>
    </row>
    <row r="44" spans="1:18">
      <c r="A44" s="162">
        <v>44151</v>
      </c>
      <c r="B44" s="164" t="s">
        <v>400</v>
      </c>
      <c r="C44" s="168" t="s">
        <v>401</v>
      </c>
      <c r="D44" s="6"/>
      <c r="E44" s="6" t="s">
        <v>402</v>
      </c>
      <c r="F44" s="80"/>
      <c r="G44" s="6" t="s">
        <v>13</v>
      </c>
      <c r="I44" s="6">
        <v>1</v>
      </c>
      <c r="J44" s="6">
        <v>20000</v>
      </c>
      <c r="K44" s="8">
        <f t="shared" si="0"/>
        <v>229.04260192395787</v>
      </c>
      <c r="L44" s="6" t="s">
        <v>315</v>
      </c>
      <c r="R44" s="6" t="str">
        <f ca="1">IFERROR(_xludf.IFS($E44="CSM","Category",$E44="CSPO","Category", $E44="PSM","Category",$E44="PSPO","Category",$E44="SAFe Agile","SAFe",$E44="SAFe SSM","SAFe",$E44="SAFe POPM","SAFe",$E44="SASM","SAFe",$E44="PMI-ACP","Category",$E44="ICP-ACC","Category",$E44="PSM 2","Category",$E44="SAFe RTE","SAFe",$E44="",""),"NonCategory")</f>
        <v>NonCategory</v>
      </c>
    </row>
    <row r="45" spans="1:18">
      <c r="A45" s="162">
        <v>44147</v>
      </c>
      <c r="B45" s="164" t="s">
        <v>403</v>
      </c>
      <c r="C45" s="168" t="s">
        <v>404</v>
      </c>
      <c r="D45" s="6"/>
      <c r="E45" s="6" t="s">
        <v>405</v>
      </c>
      <c r="F45" s="80"/>
      <c r="G45" s="6" t="s">
        <v>13</v>
      </c>
      <c r="H45" s="6" t="s">
        <v>288</v>
      </c>
      <c r="I45" s="6">
        <v>2</v>
      </c>
      <c r="J45" s="6">
        <v>19000</v>
      </c>
      <c r="K45" s="8">
        <f t="shared" si="0"/>
        <v>217.59047182775998</v>
      </c>
      <c r="L45" s="6" t="s">
        <v>315</v>
      </c>
      <c r="R45" s="6" t="str">
        <f ca="1">IFERROR(_xludf.IFS($E45="CSM","Category",$E45="CSPO","Category", $E45="PSM","Category",$E45="PSPO","Category",$E45="SAFe Agile","SAFe",$E45="SAFe SSM","SAFe",$E45="SAFe POPM","SAFe",$E45="SASM","SAFe",$E45="PMI-ACP","Category",$E45="ICP-ACC","Category",$E45="PSM 2","Category",$E45="SAFe RTE","SAFe",$E45="",""),"NonCategory")</f>
        <v>NonCategory</v>
      </c>
    </row>
    <row r="46" spans="1:18">
      <c r="A46" s="162">
        <v>44175</v>
      </c>
      <c r="B46" s="164" t="s">
        <v>407</v>
      </c>
      <c r="C46" s="168" t="s">
        <v>408</v>
      </c>
      <c r="D46" s="6" t="s">
        <v>287</v>
      </c>
      <c r="E46" s="6" t="s">
        <v>96</v>
      </c>
      <c r="F46" s="79">
        <v>44166</v>
      </c>
      <c r="G46" s="6" t="s">
        <v>13</v>
      </c>
      <c r="H46" s="79">
        <v>44166</v>
      </c>
      <c r="I46" s="6">
        <v>1</v>
      </c>
      <c r="J46" s="6">
        <v>21000</v>
      </c>
      <c r="K46" s="8">
        <f t="shared" si="0"/>
        <v>240.49473202015577</v>
      </c>
      <c r="L46" s="97">
        <v>44186</v>
      </c>
      <c r="P46" s="6" t="s">
        <v>409</v>
      </c>
      <c r="R46" s="6" t="str">
        <f ca="1">IFERROR(_xludf.IFS($E46="CSM","Category",$E46="CSPO","Category", $E46="PSM","Category",$E46="PSPO","Category",$E46="SAFe Agile","SAFe",$E46="SAFe SSM","SAFe",$E46="SAFe POPM","SAFe",$E46="SASM","SAFe",$E46="PMI-ACP","Category",$E46="ICP-ACC","Category",$E46="PSM 2","Category",$E46="SAFe RTE","SAFe",$E46="",""),"NonCategory")</f>
        <v>NonCategory</v>
      </c>
    </row>
    <row r="47" spans="1:18">
      <c r="A47" s="162">
        <v>44154</v>
      </c>
      <c r="B47" s="164" t="s">
        <v>410</v>
      </c>
      <c r="C47" s="168" t="s">
        <v>411</v>
      </c>
      <c r="E47" s="6" t="s">
        <v>96</v>
      </c>
      <c r="F47" s="79">
        <v>44166</v>
      </c>
      <c r="G47" s="6" t="s">
        <v>13</v>
      </c>
      <c r="H47" s="79">
        <v>44166</v>
      </c>
      <c r="I47" s="6">
        <v>1</v>
      </c>
      <c r="J47" s="6">
        <v>20000</v>
      </c>
      <c r="K47" s="8">
        <f t="shared" si="0"/>
        <v>229.04260192395787</v>
      </c>
      <c r="L47" s="97">
        <v>44188</v>
      </c>
      <c r="P47" s="6" t="s">
        <v>394</v>
      </c>
      <c r="R47" s="6" t="str">
        <f ca="1">IFERROR(_xludf.IFS($E47="CSM","Category",$E47="CSPO","Category", $E47="PSM","Category",$E47="PSPO","Category",$E47="SAFe Agile","SAFe",$E47="SAFe SSM","SAFe",$E47="SAFe POPM","SAFe",$E47="SASM","SAFe",$E47="PMI-ACP","Category",$E47="ICP-ACC","Category",$E47="PSM 2","Category",$E47="SAFe RTE","SAFe",$E47="",""),"NonCategory")</f>
        <v>NonCategory</v>
      </c>
    </row>
    <row r="48" spans="1:18">
      <c r="A48" s="162">
        <v>44158</v>
      </c>
      <c r="B48" s="164" t="s">
        <v>412</v>
      </c>
      <c r="C48" s="168" t="s">
        <v>413</v>
      </c>
      <c r="D48" s="6" t="s">
        <v>287</v>
      </c>
      <c r="E48" s="6" t="s">
        <v>96</v>
      </c>
      <c r="F48" s="79">
        <v>44166</v>
      </c>
      <c r="G48" s="6" t="s">
        <v>16</v>
      </c>
      <c r="H48" s="6" t="s">
        <v>370</v>
      </c>
      <c r="I48" s="6">
        <v>1</v>
      </c>
      <c r="J48" s="8">
        <v>19000</v>
      </c>
      <c r="K48" s="8">
        <f t="shared" si="0"/>
        <v>217.59047182775998</v>
      </c>
      <c r="L48" s="97">
        <v>44183</v>
      </c>
      <c r="M48" s="97"/>
      <c r="N48" s="97">
        <v>44182</v>
      </c>
      <c r="O48" s="103" t="s">
        <v>5256</v>
      </c>
      <c r="Q48" s="6" t="s">
        <v>356</v>
      </c>
      <c r="R48" s="6" t="str">
        <f ca="1">IFERROR(_xludf.IFS($E48="CSM","Category",$E48="CSPO","Category", $E48="PSM","Category",$E48="PSPO","Category",$E48="SAFe Agile","SAFe",$E48="SAFe SSM","SAFe",$E48="SAFe POPM","SAFe",$E48="SASM","SAFe",$E48="PMI-ACP","Category",$E48="ICP-ACC","Category",$E48="PSM 2","Category",$E48="SAFe RTE","SAFe",$E48="",""),"NonCategory")</f>
        <v>NonCategory</v>
      </c>
    </row>
    <row r="49" spans="1:18">
      <c r="A49" s="162">
        <v>44181</v>
      </c>
      <c r="B49" s="164" t="s">
        <v>414</v>
      </c>
      <c r="C49" s="168" t="s">
        <v>415</v>
      </c>
      <c r="D49" s="6" t="s">
        <v>278</v>
      </c>
      <c r="E49" s="6" t="s">
        <v>96</v>
      </c>
      <c r="F49" s="79">
        <v>44166</v>
      </c>
      <c r="G49" s="6" t="s">
        <v>16</v>
      </c>
      <c r="H49" s="6" t="s">
        <v>370</v>
      </c>
      <c r="I49" s="6">
        <v>1</v>
      </c>
      <c r="J49" s="8">
        <v>20000</v>
      </c>
      <c r="K49" s="8">
        <f t="shared" si="0"/>
        <v>229.04260192395787</v>
      </c>
      <c r="L49" s="97">
        <v>44183</v>
      </c>
      <c r="M49" s="97"/>
      <c r="N49" s="97">
        <v>44183</v>
      </c>
      <c r="O49" s="98" t="s">
        <v>5257</v>
      </c>
      <c r="Q49" s="6" t="s">
        <v>356</v>
      </c>
      <c r="R49" s="6" t="str">
        <f ca="1">IFERROR(_xludf.IFS($E49="CSM","Category",$E49="CSPO","Category", $E49="PSM","Category",$E49="PSPO","Category",$E49="SAFe Agile","SAFe",$E49="SAFe SSM","SAFe",$E49="SAFe POPM","SAFe",$E49="SASM","SAFe",$E49="PMI-ACP","Category",$E49="ICP-ACC","Category",$E49="PSM 2","Category",$E49="SAFe RTE","SAFe",$E49="",""),"NonCategory")</f>
        <v>NonCategory</v>
      </c>
    </row>
    <row r="50" spans="1:18">
      <c r="A50" s="162">
        <v>44160</v>
      </c>
      <c r="B50" s="164" t="s">
        <v>416</v>
      </c>
      <c r="C50" s="168" t="s">
        <v>417</v>
      </c>
      <c r="D50" s="6" t="s">
        <v>287</v>
      </c>
      <c r="E50" s="6" t="s">
        <v>96</v>
      </c>
      <c r="F50" s="79">
        <v>44166</v>
      </c>
      <c r="G50" s="6" t="s">
        <v>16</v>
      </c>
      <c r="H50" s="6" t="s">
        <v>418</v>
      </c>
      <c r="I50" s="6">
        <v>1</v>
      </c>
      <c r="J50" s="8">
        <v>20000</v>
      </c>
      <c r="K50" s="8">
        <f t="shared" si="0"/>
        <v>229.04260192395787</v>
      </c>
      <c r="L50" s="97">
        <v>44184</v>
      </c>
      <c r="M50" s="97"/>
      <c r="N50" s="97">
        <v>44184</v>
      </c>
      <c r="O50" s="6" t="s">
        <v>5258</v>
      </c>
      <c r="Q50" s="6" t="s">
        <v>338</v>
      </c>
      <c r="R50" s="6" t="str">
        <f ca="1">IFERROR(_xludf.IFS($E50="CSM","Category",$E50="CSPO","Category", $E50="PSM","Category",$E50="PSPO","Category",$E50="SAFe Agile","SAFe",$E50="SAFe SSM","SAFe",$E50="SAFe POPM","SAFe",$E50="SASM","SAFe",$E50="PMI-ACP","Category",$E50="ICP-ACC","Category",$E50="PSM 2","Category",$E50="SAFe RTE","SAFe",$E50="",""),"NonCategory")</f>
        <v>NonCategory</v>
      </c>
    </row>
    <row r="51" spans="1:18">
      <c r="A51" s="162">
        <v>44184</v>
      </c>
      <c r="B51" s="164" t="s">
        <v>419</v>
      </c>
      <c r="C51" s="168" t="s">
        <v>420</v>
      </c>
      <c r="D51" s="6" t="s">
        <v>421</v>
      </c>
      <c r="E51" s="6" t="s">
        <v>96</v>
      </c>
      <c r="F51" s="79">
        <v>44166</v>
      </c>
      <c r="G51" s="6" t="s">
        <v>16</v>
      </c>
      <c r="H51" s="6" t="s">
        <v>370</v>
      </c>
      <c r="I51" s="6">
        <v>1</v>
      </c>
      <c r="J51" s="8">
        <v>21000</v>
      </c>
      <c r="K51" s="8">
        <f t="shared" si="0"/>
        <v>240.49473202015577</v>
      </c>
      <c r="L51" s="97">
        <v>44184</v>
      </c>
      <c r="M51" s="97"/>
      <c r="N51" s="97">
        <v>44184</v>
      </c>
      <c r="O51" s="20" t="s">
        <v>5259</v>
      </c>
      <c r="Q51" s="6" t="s">
        <v>356</v>
      </c>
      <c r="R51" s="6" t="str">
        <f ca="1">IFERROR(_xludf.IFS($E51="CSM","Category",$E51="CSPO","Category", $E51="PSM","Category",$E51="PSPO","Category",$E51="SAFe Agile","SAFe",$E51="SAFe SSM","SAFe",$E51="SAFe POPM","SAFe",$E51="SASM","SAFe",$E51="PMI-ACP","Category",$E51="ICP-ACC","Category",$E51="PSM 2","Category",$E51="SAFe RTE","SAFe",$E51="",""),"NonCategory")</f>
        <v>NonCategory</v>
      </c>
    </row>
    <row r="52" spans="1:18" ht="14.4">
      <c r="A52" s="162">
        <v>44183</v>
      </c>
      <c r="B52" s="164" t="s">
        <v>422</v>
      </c>
      <c r="C52" s="168" t="s">
        <v>423</v>
      </c>
      <c r="D52" s="6" t="s">
        <v>278</v>
      </c>
      <c r="E52" s="6" t="s">
        <v>96</v>
      </c>
      <c r="F52" s="79">
        <v>44166</v>
      </c>
      <c r="G52" s="6" t="s">
        <v>16</v>
      </c>
      <c r="H52" s="6" t="s">
        <v>325</v>
      </c>
      <c r="I52" s="6">
        <v>1</v>
      </c>
      <c r="J52" s="8">
        <v>20000</v>
      </c>
      <c r="K52" s="8">
        <f t="shared" si="0"/>
        <v>229.04260192395787</v>
      </c>
      <c r="L52" s="97">
        <v>44184</v>
      </c>
      <c r="M52" s="97"/>
      <c r="N52" s="97">
        <v>44184</v>
      </c>
      <c r="O52" s="104" t="s">
        <v>5260</v>
      </c>
      <c r="P52" s="6" t="s">
        <v>424</v>
      </c>
      <c r="Q52" s="6" t="s">
        <v>280</v>
      </c>
      <c r="R52" s="6" t="str">
        <f ca="1">IFERROR(_xludf.IFS($E52="CSM","Category",$E52="CSPO","Category", $E52="PSM","Category",$E52="PSPO","Category",$E52="SAFe Agile","SAFe",$E52="SAFe SSM","SAFe",$E52="SAFe POPM","SAFe",$E52="SASM","SAFe",$E52="PMI-ACP","Category",$E52="ICP-ACC","Category",$E52="PSM 2","Category",$E52="SAFe RTE","SAFe",$E52="",""),"NonCategory")</f>
        <v>NonCategory</v>
      </c>
    </row>
    <row r="53" spans="1:18">
      <c r="A53" s="162">
        <v>44183</v>
      </c>
      <c r="B53" s="164" t="s">
        <v>425</v>
      </c>
      <c r="C53" s="168" t="s">
        <v>426</v>
      </c>
      <c r="D53" s="6" t="s">
        <v>319</v>
      </c>
      <c r="E53" s="6" t="s">
        <v>96</v>
      </c>
      <c r="F53" s="79">
        <v>44166</v>
      </c>
      <c r="G53" s="6" t="s">
        <v>16</v>
      </c>
      <c r="H53" s="6" t="s">
        <v>427</v>
      </c>
      <c r="I53" s="6">
        <v>1</v>
      </c>
      <c r="J53" s="8">
        <v>20000</v>
      </c>
      <c r="K53" s="8">
        <f t="shared" si="0"/>
        <v>229.04260192395787</v>
      </c>
      <c r="L53" s="97">
        <v>44185</v>
      </c>
      <c r="M53" s="97"/>
      <c r="N53" s="97">
        <v>44185</v>
      </c>
      <c r="O53" s="6" t="s">
        <v>5261</v>
      </c>
      <c r="Q53" s="6" t="s">
        <v>356</v>
      </c>
      <c r="R53" s="6" t="str">
        <f ca="1">IFERROR(_xludf.IFS($E53="CSM","Category",$E53="CSPO","Category", $E53="PSM","Category",$E53="PSPO","Category",$E53="SAFe Agile","SAFe",$E53="SAFe SSM","SAFe",$E53="SAFe POPM","SAFe",$E53="SASM","SAFe",$E53="PMI-ACP","Category",$E53="ICP-ACC","Category",$E53="PSM 2","Category",$E53="SAFe RTE","SAFe",$E53="",""),"NonCategory")</f>
        <v>NonCategory</v>
      </c>
    </row>
    <row r="54" spans="1:18" ht="14.4">
      <c r="A54" s="162">
        <v>44185</v>
      </c>
      <c r="B54" s="164" t="s">
        <v>428</v>
      </c>
      <c r="C54" s="168" t="s">
        <v>429</v>
      </c>
      <c r="D54" s="6" t="s">
        <v>319</v>
      </c>
      <c r="E54" s="6" t="s">
        <v>96</v>
      </c>
      <c r="F54" s="79">
        <v>44166</v>
      </c>
      <c r="G54" s="6" t="s">
        <v>16</v>
      </c>
      <c r="H54" s="6" t="s">
        <v>325</v>
      </c>
      <c r="I54" s="6">
        <v>1</v>
      </c>
      <c r="J54" s="8">
        <v>20500</v>
      </c>
      <c r="K54" s="8">
        <f t="shared" si="0"/>
        <v>234.76866697205682</v>
      </c>
      <c r="L54" s="97">
        <v>44189</v>
      </c>
      <c r="M54" s="97"/>
      <c r="N54" s="97">
        <v>44186</v>
      </c>
      <c r="O54" s="100" t="s">
        <v>5262</v>
      </c>
      <c r="Q54" s="6" t="s">
        <v>280</v>
      </c>
      <c r="R54" s="6" t="str">
        <f ca="1">IFERROR(_xludf.IFS($E54="CSM","Category",$E54="CSPO","Category", $E54="PSM","Category",$E54="PSPO","Category",$E54="SAFe Agile","SAFe",$E54="SAFe SSM","SAFe",$E54="SAFe POPM","SAFe",$E54="SASM","SAFe",$E54="PMI-ACP","Category",$E54="ICP-ACC","Category",$E54="PSM 2","Category",$E54="SAFe RTE","SAFe",$E54="",""),"NonCategory")</f>
        <v>NonCategory</v>
      </c>
    </row>
    <row r="55" spans="1:18">
      <c r="A55" s="162">
        <v>44188</v>
      </c>
      <c r="B55" s="164" t="s">
        <v>430</v>
      </c>
      <c r="C55" s="168" t="s">
        <v>431</v>
      </c>
      <c r="D55" s="6" t="s">
        <v>303</v>
      </c>
      <c r="E55" s="6" t="s">
        <v>402</v>
      </c>
      <c r="F55" s="79">
        <v>44166</v>
      </c>
      <c r="G55" s="6" t="s">
        <v>16</v>
      </c>
      <c r="H55" s="97">
        <v>44205</v>
      </c>
      <c r="I55" s="6">
        <v>1</v>
      </c>
      <c r="J55" s="8">
        <v>18000</v>
      </c>
      <c r="K55" s="8">
        <f t="shared" si="0"/>
        <v>206.13834173156206</v>
      </c>
      <c r="L55" s="97">
        <v>44188</v>
      </c>
      <c r="M55" s="97"/>
      <c r="N55" s="97">
        <v>44188</v>
      </c>
      <c r="O55" s="20" t="s">
        <v>5263</v>
      </c>
      <c r="Q55" s="6" t="s">
        <v>432</v>
      </c>
      <c r="R55" s="6" t="str">
        <f ca="1">IFERROR(_xludf.IFS($E55="CSM","Category",$E55="CSPO","Category", $E55="PSM","Category",$E55="PSPO","Category",$E55="SAFe Agile","SAFe",$E55="SAFe SSM","SAFe",$E55="SAFe POPM","SAFe",$E55="SASM","SAFe",$E55="PMI-ACP","Category",$E55="ICP-ACC","Category",$E55="PSM 2","Category",$E55="SAFe RTE","SAFe",$E55="",""),"NonCategory")</f>
        <v>NonCategory</v>
      </c>
    </row>
    <row r="56" spans="1:18">
      <c r="A56" s="162">
        <v>44167</v>
      </c>
      <c r="B56" s="164" t="s">
        <v>433</v>
      </c>
      <c r="C56" s="168" t="s">
        <v>434</v>
      </c>
      <c r="D56" s="6" t="s">
        <v>435</v>
      </c>
      <c r="E56" s="6" t="s">
        <v>96</v>
      </c>
      <c r="F56" s="79">
        <v>44166</v>
      </c>
      <c r="G56" s="6" t="s">
        <v>13</v>
      </c>
      <c r="H56" s="79">
        <v>44166</v>
      </c>
      <c r="I56" s="6">
        <v>1</v>
      </c>
      <c r="J56" s="6">
        <v>20000</v>
      </c>
      <c r="K56" s="8">
        <f t="shared" si="0"/>
        <v>229.04260192395787</v>
      </c>
      <c r="L56" s="6" t="s">
        <v>436</v>
      </c>
      <c r="P56" s="6" t="s">
        <v>437</v>
      </c>
      <c r="R56" s="6" t="str">
        <f ca="1">IFERROR(_xludf.IFS($E56="CSM","Category",$E56="CSPO","Category", $E56="PSM","Category",$E56="PSPO","Category",$E56="SAFe Agile","SAFe",$E56="SAFe SSM","SAFe",$E56="SAFe POPM","SAFe",$E56="SASM","SAFe",$E56="PMI-ACP","Category",$E56="ICP-ACC","Category",$E56="PSM 2","Category",$E56="SAFe RTE","SAFe",$E56="",""),"NonCategory")</f>
        <v>NonCategory</v>
      </c>
    </row>
    <row r="57" spans="1:18">
      <c r="A57" s="162">
        <v>44190</v>
      </c>
      <c r="B57" s="164" t="s">
        <v>438</v>
      </c>
      <c r="C57" s="168" t="s">
        <v>439</v>
      </c>
      <c r="D57" s="6" t="s">
        <v>303</v>
      </c>
      <c r="E57" s="6" t="s">
        <v>96</v>
      </c>
      <c r="F57" s="79">
        <v>44197</v>
      </c>
      <c r="G57" s="6" t="s">
        <v>13</v>
      </c>
      <c r="H57" s="6" t="s">
        <v>427</v>
      </c>
      <c r="I57" s="6">
        <v>1</v>
      </c>
      <c r="J57" s="6">
        <v>20000</v>
      </c>
      <c r="K57" s="8">
        <f t="shared" si="0"/>
        <v>229.04260192395787</v>
      </c>
      <c r="L57" s="97">
        <v>44204</v>
      </c>
      <c r="R57" s="6" t="str">
        <f ca="1">IFERROR(_xludf.IFS($E57="CSM","Category",$E57="CSPO","Category", $E57="PSM","Category",$E57="PSPO","Category",$E57="SAFe Agile","SAFe",$E57="SAFe SSM","SAFe",$E57="SAFe POPM","SAFe",$E57="SASM","SAFe",$E57="PMI-ACP","Category",$E57="ICP-ACC","Category",$E57="PSM 2","Category",$E57="SAFe RTE","SAFe",$E57="",""),"NonCategory")</f>
        <v>NonCategory</v>
      </c>
    </row>
    <row r="58" spans="1:18">
      <c r="A58" s="162">
        <v>44187</v>
      </c>
      <c r="B58" s="164" t="s">
        <v>440</v>
      </c>
      <c r="C58" s="168" t="s">
        <v>441</v>
      </c>
      <c r="D58" s="6" t="s">
        <v>303</v>
      </c>
      <c r="E58" s="6" t="s">
        <v>97</v>
      </c>
      <c r="F58" s="79">
        <v>44166</v>
      </c>
      <c r="G58" s="6" t="s">
        <v>16</v>
      </c>
      <c r="H58" s="6" t="s">
        <v>370</v>
      </c>
      <c r="I58" s="6">
        <v>1</v>
      </c>
      <c r="J58" s="8">
        <v>20000</v>
      </c>
      <c r="K58" s="8">
        <f t="shared" si="0"/>
        <v>229.04260192395787</v>
      </c>
      <c r="L58" s="97">
        <v>44188</v>
      </c>
      <c r="M58" s="97"/>
      <c r="N58" s="97">
        <v>44188</v>
      </c>
      <c r="O58" s="98" t="s">
        <v>5264</v>
      </c>
      <c r="Q58" s="6" t="s">
        <v>356</v>
      </c>
      <c r="R58" s="6" t="str">
        <f ca="1">IFERROR(_xludf.IFS($E58="CSM","Category",$E58="CSPO","Category", $E58="PSM","Category",$E58="PSPO","Category",$E58="SAFe Agile","SAFe",$E58="SAFe SSM","SAFe",$E58="SAFe POPM","SAFe",$E58="SASM","SAFe",$E58="PMI-ACP","Category",$E58="ICP-ACC","Category",$E58="PSM 2","Category",$E58="SAFe RTE","SAFe",$E58="",""),"NonCategory")</f>
        <v>NonCategory</v>
      </c>
    </row>
    <row r="59" spans="1:18">
      <c r="A59" s="162">
        <v>44186</v>
      </c>
      <c r="B59" s="164" t="s">
        <v>442</v>
      </c>
      <c r="C59" s="168" t="s">
        <v>443</v>
      </c>
      <c r="D59" s="6" t="s">
        <v>303</v>
      </c>
      <c r="E59" s="6" t="s">
        <v>96</v>
      </c>
      <c r="F59" s="79">
        <v>44166</v>
      </c>
      <c r="G59" s="6" t="s">
        <v>16</v>
      </c>
      <c r="H59" s="6" t="s">
        <v>444</v>
      </c>
      <c r="I59" s="6">
        <v>1</v>
      </c>
      <c r="J59" s="8">
        <v>20500</v>
      </c>
      <c r="K59" s="8">
        <f t="shared" si="0"/>
        <v>234.76866697205682</v>
      </c>
      <c r="L59" s="97">
        <v>44188</v>
      </c>
      <c r="M59" s="97"/>
      <c r="N59" s="97">
        <v>44188</v>
      </c>
      <c r="O59" s="20" t="s">
        <v>5265</v>
      </c>
      <c r="Q59" s="6" t="s">
        <v>356</v>
      </c>
      <c r="R59" s="6" t="str">
        <f ca="1">IFERROR(_xludf.IFS($E59="CSM","Category",$E59="CSPO","Category", $E59="PSM","Category",$E59="PSPO","Category",$E59="SAFe Agile","SAFe",$E59="SAFe SSM","SAFe",$E59="SAFe POPM","SAFe",$E59="SASM","SAFe",$E59="PMI-ACP","Category",$E59="ICP-ACC","Category",$E59="PSM 2","Category",$E59="SAFe RTE","SAFe",$E59="",""),"NonCategory")</f>
        <v>NonCategory</v>
      </c>
    </row>
    <row r="60" spans="1:18">
      <c r="A60" s="162">
        <v>44198</v>
      </c>
      <c r="B60" s="164" t="s">
        <v>445</v>
      </c>
      <c r="C60" s="168" t="s">
        <v>446</v>
      </c>
      <c r="D60" s="6" t="s">
        <v>287</v>
      </c>
      <c r="E60" s="6" t="s">
        <v>96</v>
      </c>
      <c r="F60" s="79">
        <v>44197</v>
      </c>
      <c r="G60" s="6" t="s">
        <v>13</v>
      </c>
      <c r="H60" s="6" t="s">
        <v>427</v>
      </c>
      <c r="I60" s="6">
        <v>1</v>
      </c>
      <c r="J60" s="6">
        <v>19000</v>
      </c>
      <c r="K60" s="8">
        <f t="shared" si="0"/>
        <v>217.59047182775998</v>
      </c>
      <c r="L60" s="97">
        <v>44204</v>
      </c>
      <c r="P60" s="6" t="s">
        <v>447</v>
      </c>
      <c r="R60" s="6" t="str">
        <f ca="1">IFERROR(_xludf.IFS($E60="CSM","Category",$E60="CSPO","Category", $E60="PSM","Category",$E60="PSPO","Category",$E60="SAFe Agile","SAFe",$E60="SAFe SSM","SAFe",$E60="SAFe POPM","SAFe",$E60="SASM","SAFe",$E60="PMI-ACP","Category",$E60="ICP-ACC","Category",$E60="PSM 2","Category",$E60="SAFe RTE","SAFe",$E60="",""),"NonCategory")</f>
        <v>NonCategory</v>
      </c>
    </row>
    <row r="61" spans="1:18">
      <c r="A61" s="162">
        <v>44188</v>
      </c>
      <c r="B61" s="164" t="s">
        <v>448</v>
      </c>
      <c r="C61" s="168" t="s">
        <v>449</v>
      </c>
      <c r="D61" s="6" t="s">
        <v>278</v>
      </c>
      <c r="E61" s="6" t="s">
        <v>96</v>
      </c>
      <c r="F61" s="79">
        <v>44166</v>
      </c>
      <c r="G61" s="6" t="s">
        <v>16</v>
      </c>
      <c r="H61" s="6" t="s">
        <v>444</v>
      </c>
      <c r="I61" s="6">
        <v>1</v>
      </c>
      <c r="J61" s="8">
        <v>20500</v>
      </c>
      <c r="K61" s="8">
        <f t="shared" si="0"/>
        <v>234.76866697205682</v>
      </c>
      <c r="L61" s="97">
        <v>44188</v>
      </c>
      <c r="M61" s="97"/>
      <c r="N61" s="97">
        <v>44188</v>
      </c>
      <c r="O61" s="20" t="s">
        <v>5266</v>
      </c>
      <c r="P61" s="6" t="s">
        <v>450</v>
      </c>
      <c r="Q61" s="6" t="s">
        <v>356</v>
      </c>
      <c r="R61" s="6" t="str">
        <f ca="1">IFERROR(_xludf.IFS($E61="CSM","Category",$E61="CSPO","Category", $E61="PSM","Category",$E61="PSPO","Category",$E61="SAFe Agile","SAFe",$E61="SAFe SSM","SAFe",$E61="SAFe POPM","SAFe",$E61="SASM","SAFe",$E61="PMI-ACP","Category",$E61="ICP-ACC","Category",$E61="PSM 2","Category",$E61="SAFe RTE","SAFe",$E61="",""),"NonCategory")</f>
        <v>NonCategory</v>
      </c>
    </row>
    <row r="62" spans="1:18">
      <c r="A62" s="162">
        <v>44180</v>
      </c>
      <c r="B62" s="164" t="s">
        <v>451</v>
      </c>
      <c r="C62" s="168" t="s">
        <v>452</v>
      </c>
      <c r="D62" s="6" t="s">
        <v>303</v>
      </c>
      <c r="E62" s="6" t="s">
        <v>96</v>
      </c>
      <c r="F62" s="79">
        <v>44166</v>
      </c>
      <c r="G62" s="6" t="s">
        <v>13</v>
      </c>
      <c r="H62" s="79">
        <v>44166</v>
      </c>
      <c r="I62" s="6">
        <v>1</v>
      </c>
      <c r="J62" s="6">
        <v>21000</v>
      </c>
      <c r="K62" s="8">
        <f t="shared" si="0"/>
        <v>240.49473202015577</v>
      </c>
      <c r="L62" s="97">
        <v>44188</v>
      </c>
      <c r="R62" s="6" t="str">
        <f ca="1">IFERROR(_xludf.IFS($E62="CSM","Category",$E62="CSPO","Category", $E62="PSM","Category",$E62="PSPO","Category",$E62="SAFe Agile","SAFe",$E62="SAFe SSM","SAFe",$E62="SAFe POPM","SAFe",$E62="SASM","SAFe",$E62="PMI-ACP","Category",$E62="ICP-ACC","Category",$E62="PSM 2","Category",$E62="SAFe RTE","SAFe",$E62="",""),"NonCategory")</f>
        <v>NonCategory</v>
      </c>
    </row>
    <row r="63" spans="1:18">
      <c r="A63" s="162">
        <v>44179</v>
      </c>
      <c r="B63" s="164" t="s">
        <v>453</v>
      </c>
      <c r="C63" s="168" t="s">
        <v>454</v>
      </c>
      <c r="D63" s="6" t="s">
        <v>287</v>
      </c>
      <c r="E63" s="6" t="s">
        <v>150</v>
      </c>
      <c r="F63" s="79">
        <v>44166</v>
      </c>
      <c r="G63" s="6" t="s">
        <v>13</v>
      </c>
      <c r="H63" s="79">
        <v>44197</v>
      </c>
      <c r="I63" s="6">
        <v>1</v>
      </c>
      <c r="J63" s="6">
        <v>24780</v>
      </c>
      <c r="K63" s="8">
        <f t="shared" si="0"/>
        <v>283.7837837837838</v>
      </c>
      <c r="L63" s="97">
        <v>44210</v>
      </c>
      <c r="R63" s="6" t="str">
        <f ca="1">IFERROR(_xludf.IFS($E63="CSM","Category",$E63="CSPO","Category", $E63="PSM","Category",$E63="PSPO","Category",$E63="SAFe Agile","SAFe",$E63="SAFe SSM","SAFe",$E63="SAFe POPM","SAFe",$E63="SASM","SAFe",$E63="PMI-ACP","Category",$E63="ICP-ACC","Category",$E63="PSM 2","Category",$E63="SAFe RTE","SAFe",$E63="",""),"NonCategory")</f>
        <v>NonCategory</v>
      </c>
    </row>
    <row r="64" spans="1:18">
      <c r="A64" s="162">
        <v>44188</v>
      </c>
      <c r="B64" s="164" t="s">
        <v>455</v>
      </c>
      <c r="C64" s="168" t="s">
        <v>456</v>
      </c>
      <c r="D64" s="6" t="s">
        <v>278</v>
      </c>
      <c r="E64" s="6" t="s">
        <v>96</v>
      </c>
      <c r="F64" s="79">
        <v>44166</v>
      </c>
      <c r="G64" s="6" t="s">
        <v>16</v>
      </c>
      <c r="H64" s="6" t="s">
        <v>325</v>
      </c>
      <c r="I64" s="6">
        <v>1</v>
      </c>
      <c r="J64" s="8">
        <v>20500</v>
      </c>
      <c r="K64" s="8">
        <f t="shared" si="0"/>
        <v>234.76866697205682</v>
      </c>
      <c r="L64" s="97">
        <v>44188</v>
      </c>
      <c r="M64" s="97"/>
      <c r="N64" s="97">
        <v>44188</v>
      </c>
      <c r="O64" s="20" t="s">
        <v>5267</v>
      </c>
      <c r="P64" s="6" t="s">
        <v>450</v>
      </c>
      <c r="Q64" s="6" t="s">
        <v>280</v>
      </c>
      <c r="R64" s="6" t="str">
        <f ca="1">IFERROR(_xludf.IFS($E64="CSM","Category",$E64="CSPO","Category", $E64="PSM","Category",$E64="PSPO","Category",$E64="SAFe Agile","SAFe",$E64="SAFe SSM","SAFe",$E64="SAFe POPM","SAFe",$E64="SASM","SAFe",$E64="PMI-ACP","Category",$E64="ICP-ACC","Category",$E64="PSM 2","Category",$E64="SAFe RTE","SAFe",$E64="",""),"NonCategory")</f>
        <v>NonCategory</v>
      </c>
    </row>
    <row r="65" spans="1:18">
      <c r="A65" s="162">
        <v>44148</v>
      </c>
      <c r="B65" s="164" t="s">
        <v>457</v>
      </c>
      <c r="C65" s="168" t="s">
        <v>458</v>
      </c>
      <c r="D65" s="6" t="s">
        <v>459</v>
      </c>
      <c r="E65" s="6" t="s">
        <v>96</v>
      </c>
      <c r="F65" s="80"/>
      <c r="G65" s="6" t="s">
        <v>13</v>
      </c>
      <c r="H65" s="79">
        <v>44197</v>
      </c>
      <c r="I65" s="6">
        <v>1</v>
      </c>
      <c r="J65" s="6">
        <v>20000</v>
      </c>
      <c r="K65" s="8">
        <f t="shared" si="0"/>
        <v>229.04260192395787</v>
      </c>
      <c r="L65" s="97">
        <v>44205</v>
      </c>
      <c r="R65" s="6" t="str">
        <f ca="1">IFERROR(_xludf.IFS($E65="CSM","Category",$E65="CSPO","Category", $E65="PSM","Category",$E65="PSPO","Category",$E65="SAFe Agile","SAFe",$E65="SAFe SSM","SAFe",$E65="SAFe POPM","SAFe",$E65="SASM","SAFe",$E65="PMI-ACP","Category",$E65="ICP-ACC","Category",$E65="PSM 2","Category",$E65="SAFe RTE","SAFe",$E65="",""),"NonCategory")</f>
        <v>NonCategory</v>
      </c>
    </row>
    <row r="66" spans="1:18">
      <c r="A66" s="162">
        <v>44189</v>
      </c>
      <c r="B66" s="164" t="s">
        <v>460</v>
      </c>
      <c r="C66" s="168" t="s">
        <v>461</v>
      </c>
      <c r="D66" s="6" t="s">
        <v>291</v>
      </c>
      <c r="E66" s="6" t="s">
        <v>96</v>
      </c>
      <c r="F66" s="79">
        <v>44166</v>
      </c>
      <c r="G66" s="6" t="s">
        <v>16</v>
      </c>
      <c r="H66" s="6" t="s">
        <v>462</v>
      </c>
      <c r="I66" s="6">
        <v>1</v>
      </c>
      <c r="J66" s="8">
        <v>20000</v>
      </c>
      <c r="K66" s="8">
        <f t="shared" ref="K66:K129" si="1">IFERROR((($J66/1.18))/74,"")</f>
        <v>229.04260192395787</v>
      </c>
      <c r="L66" s="97">
        <v>44191</v>
      </c>
      <c r="M66" s="97"/>
      <c r="N66" s="97">
        <v>44192</v>
      </c>
      <c r="O66" s="6" t="s">
        <v>5268</v>
      </c>
      <c r="Q66" s="6" t="s">
        <v>356</v>
      </c>
      <c r="R66" s="6" t="str">
        <f ca="1">IFERROR(_xludf.IFS($E66="CSM","Category",$E66="CSPO","Category", $E66="PSM","Category",$E66="PSPO","Category",$E66="SAFe Agile","SAFe",$E66="SAFe SSM","SAFe",$E66="SAFe POPM","SAFe",$E66="SASM","SAFe",$E66="PMI-ACP","Category",$E66="ICP-ACC","Category",$E66="PSM 2","Category",$E66="SAFe RTE","SAFe",$E66="",""),"NonCategory")</f>
        <v>NonCategory</v>
      </c>
    </row>
    <row r="67" spans="1:18">
      <c r="A67" s="162">
        <v>44144</v>
      </c>
      <c r="B67" s="164" t="s">
        <v>463</v>
      </c>
      <c r="C67" s="168" t="s">
        <v>464</v>
      </c>
      <c r="D67" s="6" t="s">
        <v>278</v>
      </c>
      <c r="E67" s="6" t="s">
        <v>96</v>
      </c>
      <c r="F67" s="80"/>
      <c r="G67" s="6" t="s">
        <v>13</v>
      </c>
      <c r="H67" s="79">
        <v>44197</v>
      </c>
      <c r="I67" s="6">
        <v>1</v>
      </c>
      <c r="J67" s="6">
        <v>20000</v>
      </c>
      <c r="K67" s="8">
        <f t="shared" si="1"/>
        <v>229.04260192395787</v>
      </c>
      <c r="L67" s="97">
        <v>44205</v>
      </c>
      <c r="P67" s="6" t="s">
        <v>465</v>
      </c>
      <c r="R67" s="6" t="str">
        <f ca="1">IFERROR(_xludf.IFS($E67="CSM","Category",$E67="CSPO","Category", $E67="PSM","Category",$E67="PSPO","Category",$E67="SAFe Agile","SAFe",$E67="SAFe SSM","SAFe",$E67="SAFe POPM","SAFe",$E67="SASM","SAFe",$E67="PMI-ACP","Category",$E67="ICP-ACC","Category",$E67="PSM 2","Category",$E67="SAFe RTE","SAFe",$E67="",""),"NonCategory")</f>
        <v>NonCategory</v>
      </c>
    </row>
    <row r="68" spans="1:18">
      <c r="A68" s="162">
        <v>44186</v>
      </c>
      <c r="B68" s="164" t="s">
        <v>466</v>
      </c>
      <c r="C68" s="168" t="s">
        <v>467</v>
      </c>
      <c r="D68" s="6" t="s">
        <v>343</v>
      </c>
      <c r="E68" s="6" t="s">
        <v>96</v>
      </c>
      <c r="F68" s="79">
        <v>44197</v>
      </c>
      <c r="G68" s="6" t="s">
        <v>13</v>
      </c>
      <c r="H68" s="79">
        <v>44197</v>
      </c>
      <c r="I68" s="6">
        <v>1</v>
      </c>
      <c r="J68" s="6">
        <v>21000</v>
      </c>
      <c r="K68" s="8">
        <f t="shared" si="1"/>
        <v>240.49473202015577</v>
      </c>
      <c r="L68" s="97">
        <v>44205</v>
      </c>
      <c r="R68" s="6" t="str">
        <f ca="1">IFERROR(_xludf.IFS($E68="CSM","Category",$E68="CSPO","Category", $E68="PSM","Category",$E68="PSPO","Category",$E68="SAFe Agile","SAFe",$E68="SAFe SSM","SAFe",$E68="SAFe POPM","SAFe",$E68="SASM","SAFe",$E68="PMI-ACP","Category",$E68="ICP-ACC","Category",$E68="PSM 2","Category",$E68="SAFe RTE","SAFe",$E68="",""),"NonCategory")</f>
        <v>NonCategory</v>
      </c>
    </row>
    <row r="69" spans="1:18" ht="14.4">
      <c r="A69" s="162">
        <v>44168</v>
      </c>
      <c r="B69" s="164" t="s">
        <v>468</v>
      </c>
      <c r="C69" s="168" t="s">
        <v>469</v>
      </c>
      <c r="D69" s="6" t="s">
        <v>470</v>
      </c>
      <c r="E69" s="6" t="s">
        <v>96</v>
      </c>
      <c r="F69" s="79">
        <v>44166</v>
      </c>
      <c r="G69" s="6" t="s">
        <v>16</v>
      </c>
      <c r="H69" s="6" t="s">
        <v>471</v>
      </c>
      <c r="I69" s="6">
        <v>1</v>
      </c>
      <c r="J69" s="8">
        <v>20000</v>
      </c>
      <c r="K69" s="8">
        <f t="shared" si="1"/>
        <v>229.04260192395787</v>
      </c>
      <c r="L69" s="97">
        <v>44193</v>
      </c>
      <c r="M69" s="97"/>
      <c r="N69" s="97">
        <v>44193</v>
      </c>
      <c r="O69" s="100" t="s">
        <v>5269</v>
      </c>
      <c r="Q69" s="6" t="s">
        <v>356</v>
      </c>
      <c r="R69" s="6" t="str">
        <f ca="1">IFERROR(_xludf.IFS($E69="CSM","Category",$E69="CSPO","Category", $E69="PSM","Category",$E69="PSPO","Category",$E69="SAFe Agile","SAFe",$E69="SAFe SSM","SAFe",$E69="SAFe POPM","SAFe",$E69="SASM","SAFe",$E69="PMI-ACP","Category",$E69="ICP-ACC","Category",$E69="PSM 2","Category",$E69="SAFe RTE","SAFe",$E69="",""),"NonCategory")</f>
        <v>NonCategory</v>
      </c>
    </row>
    <row r="70" spans="1:18">
      <c r="A70" s="162">
        <v>44198</v>
      </c>
      <c r="B70" s="164" t="s">
        <v>472</v>
      </c>
      <c r="C70" s="168" t="s">
        <v>473</v>
      </c>
      <c r="D70" s="6" t="s">
        <v>303</v>
      </c>
      <c r="E70" s="6" t="s">
        <v>96</v>
      </c>
      <c r="F70" s="79">
        <v>44197</v>
      </c>
      <c r="G70" s="6" t="s">
        <v>13</v>
      </c>
      <c r="H70" s="6" t="s">
        <v>325</v>
      </c>
      <c r="I70" s="6">
        <v>1</v>
      </c>
      <c r="J70" s="6">
        <v>21000</v>
      </c>
      <c r="K70" s="8">
        <f t="shared" si="1"/>
        <v>240.49473202015577</v>
      </c>
      <c r="L70" s="97">
        <v>44205</v>
      </c>
      <c r="R70" s="6" t="str">
        <f ca="1">IFERROR(_xludf.IFS($E70="CSM","Category",$E70="CSPO","Category", $E70="PSM","Category",$E70="PSPO","Category",$E70="SAFe Agile","SAFe",$E70="SAFe SSM","SAFe",$E70="SAFe POPM","SAFe",$E70="SASM","SAFe",$E70="PMI-ACP","Category",$E70="ICP-ACC","Category",$E70="PSM 2","Category",$E70="SAFe RTE","SAFe",$E70="",""),"NonCategory")</f>
        <v>NonCategory</v>
      </c>
    </row>
    <row r="71" spans="1:18">
      <c r="A71" s="162">
        <v>44174</v>
      </c>
      <c r="B71" s="164" t="s">
        <v>474</v>
      </c>
      <c r="C71" s="168" t="s">
        <v>475</v>
      </c>
      <c r="D71" s="6" t="s">
        <v>291</v>
      </c>
      <c r="E71" s="6" t="s">
        <v>96</v>
      </c>
      <c r="F71" s="80"/>
      <c r="G71" s="6" t="s">
        <v>13</v>
      </c>
      <c r="H71" s="79">
        <v>44197</v>
      </c>
      <c r="I71" s="6">
        <v>1</v>
      </c>
      <c r="J71" s="6">
        <v>20000</v>
      </c>
      <c r="K71" s="8">
        <f t="shared" si="1"/>
        <v>229.04260192395787</v>
      </c>
      <c r="L71" s="97">
        <v>44206</v>
      </c>
      <c r="R71" s="6" t="str">
        <f ca="1">IFERROR(_xludf.IFS($E71="CSM","Category",$E71="CSPO","Category", $E71="PSM","Category",$E71="PSPO","Category",$E71="SAFe Agile","SAFe",$E71="SAFe SSM","SAFe",$E71="SAFe POPM","SAFe",$E71="SASM","SAFe",$E71="PMI-ACP","Category",$E71="ICP-ACC","Category",$E71="PSM 2","Category",$E71="SAFe RTE","SAFe",$E71="",""),"NonCategory")</f>
        <v>NonCategory</v>
      </c>
    </row>
    <row r="72" spans="1:18">
      <c r="A72" s="162">
        <v>44186</v>
      </c>
      <c r="B72" s="164" t="s">
        <v>476</v>
      </c>
      <c r="C72" s="168" t="s">
        <v>477</v>
      </c>
      <c r="D72" s="6" t="s">
        <v>303</v>
      </c>
      <c r="E72" s="6" t="s">
        <v>96</v>
      </c>
      <c r="F72" s="79">
        <v>44166</v>
      </c>
      <c r="G72" s="6" t="s">
        <v>16</v>
      </c>
      <c r="H72" s="6" t="s">
        <v>388</v>
      </c>
      <c r="I72" s="6">
        <v>1</v>
      </c>
      <c r="J72" s="8">
        <v>20000</v>
      </c>
      <c r="K72" s="8">
        <f t="shared" si="1"/>
        <v>229.04260192395787</v>
      </c>
      <c r="L72" s="97">
        <v>44194</v>
      </c>
      <c r="M72" s="97"/>
      <c r="N72" s="97">
        <v>44195</v>
      </c>
      <c r="O72" s="20" t="s">
        <v>5270</v>
      </c>
      <c r="Q72" s="6" t="s">
        <v>356</v>
      </c>
      <c r="R72" s="6" t="str">
        <f ca="1">IFERROR(_xludf.IFS($E72="CSM","Category",$E72="CSPO","Category", $E72="PSM","Category",$E72="PSPO","Category",$E72="SAFe Agile","SAFe",$E72="SAFe SSM","SAFe",$E72="SAFe POPM","SAFe",$E72="SASM","SAFe",$E72="PMI-ACP","Category",$E72="ICP-ACC","Category",$E72="PSM 2","Category",$E72="SAFe RTE","SAFe",$E72="",""),"NonCategory")</f>
        <v>NonCategory</v>
      </c>
    </row>
    <row r="73" spans="1:18">
      <c r="A73" s="162">
        <v>44191</v>
      </c>
      <c r="B73" s="164" t="s">
        <v>478</v>
      </c>
      <c r="C73" s="168" t="s">
        <v>479</v>
      </c>
      <c r="D73" s="6" t="s">
        <v>343</v>
      </c>
      <c r="E73" s="6" t="s">
        <v>22</v>
      </c>
      <c r="F73" s="79">
        <v>44166</v>
      </c>
      <c r="G73" s="6" t="s">
        <v>16</v>
      </c>
      <c r="H73" s="6" t="s">
        <v>480</v>
      </c>
      <c r="I73" s="6">
        <v>1</v>
      </c>
      <c r="J73" s="8">
        <v>10000</v>
      </c>
      <c r="K73" s="8">
        <f t="shared" si="1"/>
        <v>114.52130096197894</v>
      </c>
      <c r="L73" s="97">
        <v>44195</v>
      </c>
      <c r="M73" s="97"/>
      <c r="N73" s="97">
        <v>44195</v>
      </c>
      <c r="O73" s="106" t="s">
        <v>5271</v>
      </c>
      <c r="R73" s="6" t="str">
        <f ca="1">IFERROR(_xludf.IFS($E73="CSM","Category",$E73="CSPO","Category", $E73="PSM","Category",$E73="PSPO","Category",$E73="SAFe Agile","SAFe",$E73="SAFe SSM","SAFe",$E73="SAFe POPM","SAFe",$E73="SASM","SAFe",$E73="PMI-ACP","Category",$E73="ICP-ACC","Category",$E73="PSM 2","Category",$E73="SAFe RTE","SAFe",$E73="",""),"NonCategory")</f>
        <v>NonCategory</v>
      </c>
    </row>
    <row r="74" spans="1:18">
      <c r="A74" s="162">
        <v>44195</v>
      </c>
      <c r="B74" s="164" t="s">
        <v>481</v>
      </c>
      <c r="C74" s="168" t="s">
        <v>482</v>
      </c>
      <c r="D74" s="6" t="s">
        <v>421</v>
      </c>
      <c r="E74" s="6" t="s">
        <v>483</v>
      </c>
      <c r="F74" s="79">
        <v>44166</v>
      </c>
      <c r="G74" s="6" t="s">
        <v>16</v>
      </c>
      <c r="H74" s="97">
        <v>44219</v>
      </c>
      <c r="I74" s="6">
        <v>1</v>
      </c>
      <c r="J74" s="8">
        <v>20000</v>
      </c>
      <c r="K74" s="8">
        <f t="shared" si="1"/>
        <v>229.04260192395787</v>
      </c>
      <c r="L74" s="97">
        <v>44195</v>
      </c>
      <c r="M74" s="97"/>
      <c r="N74" s="97">
        <v>44195</v>
      </c>
      <c r="O74" s="20" t="s">
        <v>5272</v>
      </c>
      <c r="R74" s="6" t="str">
        <f ca="1">IFERROR(_xludf.IFS($E74="CSM","Category",$E74="CSPO","Category", $E74="PSM","Category",$E74="PSPO","Category",$E74="SAFe Agile","SAFe",$E74="SAFe SSM","SAFe",$E74="SAFe POPM","SAFe",$E74="SASM","SAFe",$E74="PMI-ACP","Category",$E74="ICP-ACC","Category",$E74="PSM 2","Category",$E74="SAFe RTE","SAFe",$E74="",""),"NonCategory")</f>
        <v>NonCategory</v>
      </c>
    </row>
    <row r="75" spans="1:18">
      <c r="A75" s="162">
        <v>44197</v>
      </c>
      <c r="B75" s="164" t="s">
        <v>484</v>
      </c>
      <c r="C75" s="168" t="s">
        <v>485</v>
      </c>
      <c r="D75" s="6" t="s">
        <v>278</v>
      </c>
      <c r="E75" s="6" t="s">
        <v>96</v>
      </c>
      <c r="F75" s="79">
        <v>44228</v>
      </c>
      <c r="G75" s="6" t="s">
        <v>13</v>
      </c>
      <c r="H75" s="6" t="s">
        <v>486</v>
      </c>
      <c r="I75" s="6">
        <v>1</v>
      </c>
      <c r="J75" s="6">
        <v>20000</v>
      </c>
      <c r="K75" s="8">
        <f t="shared" si="1"/>
        <v>229.04260192395787</v>
      </c>
      <c r="L75" s="97">
        <v>44207</v>
      </c>
      <c r="P75" s="6" t="s">
        <v>487</v>
      </c>
      <c r="R75" s="6" t="str">
        <f ca="1">IFERROR(_xludf.IFS($E75="CSM","Category",$E75="CSPO","Category", $E75="PSM","Category",$E75="PSPO","Category",$E75="SAFe Agile","SAFe",$E75="SAFe SSM","SAFe",$E75="SAFe POPM","SAFe",$E75="SASM","SAFe",$E75="PMI-ACP","Category",$E75="ICP-ACC","Category",$E75="PSM 2","Category",$E75="SAFe RTE","SAFe",$E75="",""),"NonCategory")</f>
        <v>NonCategory</v>
      </c>
    </row>
    <row r="76" spans="1:18">
      <c r="A76" s="162">
        <v>44196</v>
      </c>
      <c r="B76" s="164" t="s">
        <v>488</v>
      </c>
      <c r="C76" s="168" t="s">
        <v>489</v>
      </c>
      <c r="D76" s="6" t="s">
        <v>278</v>
      </c>
      <c r="E76" s="6" t="s">
        <v>96</v>
      </c>
      <c r="F76" s="79">
        <v>44166</v>
      </c>
      <c r="G76" s="6" t="s">
        <v>16</v>
      </c>
      <c r="H76" s="6" t="s">
        <v>388</v>
      </c>
      <c r="I76" s="6">
        <v>1</v>
      </c>
      <c r="J76" s="8">
        <v>20000</v>
      </c>
      <c r="K76" s="8">
        <f t="shared" si="1"/>
        <v>229.04260192395787</v>
      </c>
      <c r="L76" s="97">
        <v>44196</v>
      </c>
      <c r="M76" s="97"/>
      <c r="N76" s="97">
        <v>44196</v>
      </c>
      <c r="O76" s="20" t="s">
        <v>5273</v>
      </c>
      <c r="P76" s="6" t="s">
        <v>490</v>
      </c>
      <c r="Q76" s="6" t="s">
        <v>356</v>
      </c>
      <c r="R76" s="6" t="str">
        <f ca="1">IFERROR(_xludf.IFS($E76="CSM","Category",$E76="CSPO","Category", $E76="PSM","Category",$E76="PSPO","Category",$E76="SAFe Agile","SAFe",$E76="SAFe SSM","SAFe",$E76="SAFe POPM","SAFe",$E76="SASM","SAFe",$E76="PMI-ACP","Category",$E76="ICP-ACC","Category",$E76="PSM 2","Category",$E76="SAFe RTE","SAFe",$E76="",""),"NonCategory")</f>
        <v>NonCategory</v>
      </c>
    </row>
    <row r="77" spans="1:18">
      <c r="A77" s="162">
        <v>44187</v>
      </c>
      <c r="B77" s="164" t="s">
        <v>491</v>
      </c>
      <c r="C77" s="168" t="s">
        <v>492</v>
      </c>
      <c r="D77" s="6" t="s">
        <v>303</v>
      </c>
      <c r="E77" s="6" t="s">
        <v>402</v>
      </c>
      <c r="F77" s="79">
        <v>44197</v>
      </c>
      <c r="G77" s="6" t="s">
        <v>13</v>
      </c>
      <c r="H77" s="97">
        <v>44205</v>
      </c>
      <c r="I77" s="6">
        <v>1</v>
      </c>
      <c r="J77" s="6">
        <v>24000</v>
      </c>
      <c r="K77" s="8">
        <f t="shared" si="1"/>
        <v>274.85112230874944</v>
      </c>
      <c r="L77" s="97">
        <v>44207</v>
      </c>
      <c r="R77" s="6" t="str">
        <f ca="1">IFERROR(_xludf.IFS($E77="CSM","Category",$E77="CSPO","Category", $E77="PSM","Category",$E77="PSPO","Category",$E77="SAFe Agile","SAFe",$E77="SAFe SSM","SAFe",$E77="SAFe POPM","SAFe",$E77="SASM","SAFe",$E77="PMI-ACP","Category",$E77="ICP-ACC","Category",$E77="PSM 2","Category",$E77="SAFe RTE","SAFe",$E77="",""),"NonCategory")</f>
        <v>NonCategory</v>
      </c>
    </row>
    <row r="78" spans="1:18">
      <c r="A78" s="162">
        <v>44172</v>
      </c>
      <c r="B78" s="164" t="s">
        <v>493</v>
      </c>
      <c r="C78" s="168" t="s">
        <v>494</v>
      </c>
      <c r="D78" s="6" t="s">
        <v>495</v>
      </c>
      <c r="E78" s="6" t="s">
        <v>96</v>
      </c>
      <c r="F78" s="80"/>
      <c r="G78" s="6" t="s">
        <v>13</v>
      </c>
      <c r="H78" s="6" t="s">
        <v>315</v>
      </c>
      <c r="I78" s="6">
        <v>1</v>
      </c>
      <c r="J78" s="6">
        <v>22000</v>
      </c>
      <c r="K78" s="8">
        <f t="shared" si="1"/>
        <v>251.94686211635369</v>
      </c>
      <c r="L78" s="6" t="s">
        <v>315</v>
      </c>
      <c r="R78" s="6" t="str">
        <f ca="1">IFERROR(_xludf.IFS($E78="CSM","Category",$E78="CSPO","Category", $E78="PSM","Category",$E78="PSPO","Category",$E78="SAFe Agile","SAFe",$E78="SAFe SSM","SAFe",$E78="SAFe POPM","SAFe",$E78="SASM","SAFe",$E78="PMI-ACP","Category",$E78="ICP-ACC","Category",$E78="PSM 2","Category",$E78="SAFe RTE","SAFe",$E78="",""),"NonCategory")</f>
        <v>NonCategory</v>
      </c>
    </row>
    <row r="79" spans="1:18" ht="14.4">
      <c r="A79" s="162">
        <v>44182</v>
      </c>
      <c r="B79" s="164" t="s">
        <v>496</v>
      </c>
      <c r="C79" s="168" t="s">
        <v>497</v>
      </c>
      <c r="D79" s="6" t="s">
        <v>278</v>
      </c>
      <c r="E79" s="6" t="s">
        <v>498</v>
      </c>
      <c r="F79" s="79">
        <v>44166</v>
      </c>
      <c r="G79" s="6" t="s">
        <v>16</v>
      </c>
      <c r="H79" s="97">
        <v>44212</v>
      </c>
      <c r="I79" s="6">
        <v>1</v>
      </c>
      <c r="J79" s="8">
        <v>22000</v>
      </c>
      <c r="K79" s="8">
        <f t="shared" si="1"/>
        <v>251.94686211635369</v>
      </c>
      <c r="L79" s="97">
        <v>44186</v>
      </c>
      <c r="M79" s="97"/>
      <c r="N79" s="97">
        <v>44216</v>
      </c>
      <c r="O79" s="99" t="s">
        <v>5274</v>
      </c>
      <c r="P79" s="6" t="s">
        <v>499</v>
      </c>
      <c r="Q79" s="6" t="s">
        <v>432</v>
      </c>
      <c r="R79" s="6" t="str">
        <f ca="1">IFERROR(_xludf.IFS($E79="CSM","Category",$E79="CSPO","Category", $E79="PSM","Category",$E79="PSPO","Category",$E79="SAFe Agile","SAFe",$E79="SAFe SSM","SAFe",$E79="SAFe POPM","SAFe",$E79="SASM","SAFe",$E79="PMI-ACP","Category",$E79="ICP-ACC","Category",$E79="PSM 2","Category",$E79="SAFe RTE","SAFe",$E79="",""),"NonCategory")</f>
        <v>NonCategory</v>
      </c>
    </row>
    <row r="80" spans="1:18">
      <c r="A80" s="162">
        <v>44198</v>
      </c>
      <c r="B80" s="164" t="s">
        <v>500</v>
      </c>
      <c r="C80" s="168" t="s">
        <v>501</v>
      </c>
      <c r="D80" s="6" t="s">
        <v>421</v>
      </c>
      <c r="E80" s="6" t="s">
        <v>96</v>
      </c>
      <c r="F80" s="79">
        <v>44197</v>
      </c>
      <c r="G80" s="6" t="s">
        <v>16</v>
      </c>
      <c r="H80" s="6" t="s">
        <v>325</v>
      </c>
      <c r="I80" s="6">
        <v>1</v>
      </c>
      <c r="J80" s="8">
        <v>21000</v>
      </c>
      <c r="K80" s="8">
        <f t="shared" si="1"/>
        <v>240.49473202015577</v>
      </c>
      <c r="L80" s="97">
        <v>44198</v>
      </c>
      <c r="M80" s="6" t="s">
        <v>502</v>
      </c>
      <c r="N80" s="97">
        <v>44198</v>
      </c>
      <c r="O80" s="20" t="s">
        <v>5275</v>
      </c>
      <c r="Q80" s="6" t="s">
        <v>503</v>
      </c>
      <c r="R80" s="6" t="str">
        <f ca="1">IFERROR(_xludf.IFS($E80="CSM","Category",$E80="CSPO","Category", $E80="PSM","Category",$E80="PSPO","Category",$E80="SAFe Agile","SAFe",$E80="SAFe SSM","SAFe",$E80="SAFe POPM","SAFe",$E80="SASM","SAFe",$E80="PMI-ACP","Category",$E80="ICP-ACC","Category",$E80="PSM 2","Category",$E80="SAFe RTE","SAFe",$E80="",""),"NonCategory")</f>
        <v>NonCategory</v>
      </c>
    </row>
    <row r="81" spans="1:18">
      <c r="A81" s="162">
        <v>44197</v>
      </c>
      <c r="B81" s="164" t="s">
        <v>504</v>
      </c>
      <c r="C81" s="168" t="s">
        <v>505</v>
      </c>
      <c r="D81" s="6" t="s">
        <v>278</v>
      </c>
      <c r="E81" s="6" t="s">
        <v>96</v>
      </c>
      <c r="F81" s="79">
        <v>44197</v>
      </c>
      <c r="G81" s="6" t="s">
        <v>13</v>
      </c>
      <c r="H81" s="6" t="s">
        <v>325</v>
      </c>
      <c r="I81" s="6">
        <v>1</v>
      </c>
      <c r="J81" s="6">
        <v>20000</v>
      </c>
      <c r="K81" s="8">
        <f t="shared" si="1"/>
        <v>229.04260192395787</v>
      </c>
      <c r="L81" s="97">
        <v>44208</v>
      </c>
      <c r="P81" s="6" t="s">
        <v>506</v>
      </c>
      <c r="R81" s="6" t="str">
        <f ca="1">IFERROR(_xludf.IFS($E81="CSM","Category",$E81="CSPO","Category", $E81="PSM","Category",$E81="PSPO","Category",$E81="SAFe Agile","SAFe",$E81="SAFe SSM","SAFe",$E81="SAFe POPM","SAFe",$E81="SASM","SAFe",$E81="PMI-ACP","Category",$E81="ICP-ACC","Category",$E81="PSM 2","Category",$E81="SAFe RTE","SAFe",$E81="",""),"NonCategory")</f>
        <v>NonCategory</v>
      </c>
    </row>
    <row r="82" spans="1:18">
      <c r="A82" s="162">
        <v>44194</v>
      </c>
      <c r="B82" s="164" t="s">
        <v>507</v>
      </c>
      <c r="C82" s="168" t="s">
        <v>508</v>
      </c>
      <c r="D82" s="6" t="s">
        <v>278</v>
      </c>
      <c r="E82" s="6" t="s">
        <v>509</v>
      </c>
      <c r="F82" s="79">
        <v>44197</v>
      </c>
      <c r="G82" s="6" t="s">
        <v>13</v>
      </c>
      <c r="H82" s="79">
        <v>44197</v>
      </c>
      <c r="I82" s="6">
        <v>1</v>
      </c>
      <c r="J82" s="6">
        <v>11000</v>
      </c>
      <c r="K82" s="8">
        <f t="shared" si="1"/>
        <v>125.97343105817684</v>
      </c>
      <c r="L82" s="97">
        <v>44208</v>
      </c>
      <c r="P82" s="6" t="s">
        <v>510</v>
      </c>
      <c r="R82" s="6" t="str">
        <f ca="1">IFERROR(_xludf.IFS($E82="CSM","Category",$E82="CSPO","Category", $E82="PSM","Category",$E82="PSPO","Category",$E82="SAFe Agile","SAFe",$E82="SAFe SSM","SAFe",$E82="SAFe POPM","SAFe",$E82="SASM","SAFe",$E82="PMI-ACP","Category",$E82="ICP-ACC","Category",$E82="PSM 2","Category",$E82="SAFe RTE","SAFe",$E82="",""),"NonCategory")</f>
        <v>NonCategory</v>
      </c>
    </row>
    <row r="83" spans="1:18">
      <c r="A83" s="162">
        <v>44177</v>
      </c>
      <c r="B83" s="164" t="s">
        <v>511</v>
      </c>
      <c r="C83" s="168" t="s">
        <v>512</v>
      </c>
      <c r="D83" s="6" t="s">
        <v>435</v>
      </c>
      <c r="E83" s="6" t="s">
        <v>96</v>
      </c>
      <c r="F83" s="79">
        <v>44166</v>
      </c>
      <c r="G83" s="6" t="s">
        <v>13</v>
      </c>
      <c r="H83" s="79">
        <v>44197</v>
      </c>
      <c r="I83" s="6">
        <v>1</v>
      </c>
      <c r="J83" s="6">
        <v>20000</v>
      </c>
      <c r="K83" s="8">
        <f t="shared" si="1"/>
        <v>229.04260192395787</v>
      </c>
      <c r="L83" s="97">
        <v>44208</v>
      </c>
      <c r="P83" s="6" t="s">
        <v>513</v>
      </c>
      <c r="R83" s="6" t="str">
        <f ca="1">IFERROR(_xludf.IFS($E83="CSM","Category",$E83="CSPO","Category", $E83="PSM","Category",$E83="PSPO","Category",$E83="SAFe Agile","SAFe",$E83="SAFe SSM","SAFe",$E83="SAFe POPM","SAFe",$E83="SASM","SAFe",$E83="PMI-ACP","Category",$E83="ICP-ACC","Category",$E83="PSM 2","Category",$E83="SAFe RTE","SAFe",$E83="",""),"NonCategory")</f>
        <v>NonCategory</v>
      </c>
    </row>
    <row r="84" spans="1:18">
      <c r="A84" s="162">
        <v>44177</v>
      </c>
      <c r="B84" s="164" t="s">
        <v>514</v>
      </c>
      <c r="C84" s="168" t="s">
        <v>515</v>
      </c>
      <c r="D84" s="6" t="s">
        <v>291</v>
      </c>
      <c r="E84" s="6" t="s">
        <v>96</v>
      </c>
      <c r="F84" s="79">
        <v>44197</v>
      </c>
      <c r="G84" s="6" t="s">
        <v>13</v>
      </c>
      <c r="H84" s="79">
        <v>44197</v>
      </c>
      <c r="I84" s="6">
        <v>1</v>
      </c>
      <c r="J84" s="6">
        <v>21000</v>
      </c>
      <c r="K84" s="8">
        <f t="shared" si="1"/>
        <v>240.49473202015577</v>
      </c>
      <c r="L84" s="97">
        <v>44208</v>
      </c>
      <c r="R84" s="6" t="str">
        <f ca="1">IFERROR(_xludf.IFS($E84="CSM","Category",$E84="CSPO","Category", $E84="PSM","Category",$E84="PSPO","Category",$E84="SAFe Agile","SAFe",$E84="SAFe SSM","SAFe",$E84="SAFe POPM","SAFe",$E84="SASM","SAFe",$E84="PMI-ACP","Category",$E84="ICP-ACC","Category",$E84="PSM 2","Category",$E84="SAFe RTE","SAFe",$E84="",""),"NonCategory")</f>
        <v>NonCategory</v>
      </c>
    </row>
    <row r="85" spans="1:18">
      <c r="A85" s="162">
        <v>44201</v>
      </c>
      <c r="B85" s="164" t="s">
        <v>516</v>
      </c>
      <c r="C85" s="168" t="s">
        <v>517</v>
      </c>
      <c r="D85" s="6" t="s">
        <v>278</v>
      </c>
      <c r="E85" s="6" t="s">
        <v>518</v>
      </c>
      <c r="F85" s="79">
        <v>44197</v>
      </c>
      <c r="G85" s="6" t="s">
        <v>13</v>
      </c>
      <c r="H85" s="79">
        <v>44197</v>
      </c>
      <c r="I85" s="6">
        <v>1</v>
      </c>
      <c r="J85" s="6">
        <v>58918</v>
      </c>
      <c r="K85" s="8">
        <f t="shared" si="1"/>
        <v>674.7366010077875</v>
      </c>
      <c r="L85" s="97">
        <v>44204</v>
      </c>
      <c r="R85" s="6" t="str">
        <f ca="1">IFERROR(_xludf.IFS($E85="CSM","Category",$E85="CSPO","Category", $E85="PSM","Category",$E85="PSPO","Category",$E85="SAFe Agile","SAFe",$E85="SAFe SSM","SAFe",$E85="SAFe POPM","SAFe",$E85="SASM","SAFe",$E85="PMI-ACP","Category",$E85="ICP-ACC","Category",$E85="PSM 2","Category",$E85="SAFe RTE","SAFe",$E85="",""),"NonCategory")</f>
        <v>NonCategory</v>
      </c>
    </row>
    <row r="86" spans="1:18">
      <c r="A86" s="162">
        <v>44159</v>
      </c>
      <c r="B86" s="164" t="s">
        <v>4</v>
      </c>
      <c r="C86" s="168" t="s">
        <v>519</v>
      </c>
      <c r="D86" s="6" t="s">
        <v>306</v>
      </c>
      <c r="E86" s="6" t="s">
        <v>96</v>
      </c>
      <c r="F86" s="79">
        <v>44166</v>
      </c>
      <c r="G86" s="6" t="s">
        <v>13</v>
      </c>
      <c r="H86" s="6" t="s">
        <v>520</v>
      </c>
      <c r="I86" s="6">
        <v>1</v>
      </c>
      <c r="J86" s="6">
        <v>20000</v>
      </c>
      <c r="K86" s="8">
        <f t="shared" si="1"/>
        <v>229.04260192395787</v>
      </c>
      <c r="L86" s="97">
        <v>44210</v>
      </c>
      <c r="M86" s="6"/>
      <c r="N86" s="6" t="s">
        <v>521</v>
      </c>
      <c r="R86" s="6" t="str">
        <f ca="1">IFERROR(_xludf.IFS($E86="CSM","Category",$E86="CSPO","Category", $E86="PSM","Category",$E86="PSPO","Category",$E86="SAFe Agile","SAFe",$E86="SAFe SSM","SAFe",$E86="SAFe POPM","SAFe",$E86="SASM","SAFe",$E86="PMI-ACP","Category",$E86="ICP-ACC","Category",$E86="PSM 2","Category",$E86="SAFe RTE","SAFe",$E86="",""),"NonCategory")</f>
        <v>NonCategory</v>
      </c>
    </row>
    <row r="87" spans="1:18">
      <c r="A87" s="162">
        <v>44177</v>
      </c>
      <c r="B87" s="164" t="s">
        <v>522</v>
      </c>
      <c r="C87" s="168" t="s">
        <v>523</v>
      </c>
      <c r="D87" s="6" t="s">
        <v>303</v>
      </c>
      <c r="E87" s="6" t="s">
        <v>96</v>
      </c>
      <c r="F87" s="79">
        <v>44197</v>
      </c>
      <c r="G87" s="6" t="s">
        <v>13</v>
      </c>
      <c r="H87" s="79">
        <v>44197</v>
      </c>
      <c r="I87" s="6">
        <v>1</v>
      </c>
      <c r="J87" s="6">
        <v>21000</v>
      </c>
      <c r="K87" s="8">
        <f t="shared" si="1"/>
        <v>240.49473202015577</v>
      </c>
      <c r="L87" s="97">
        <v>44210</v>
      </c>
      <c r="R87" s="6" t="str">
        <f ca="1">IFERROR(_xludf.IFS($E87="CSM","Category",$E87="CSPO","Category", $E87="PSM","Category",$E87="PSPO","Category",$E87="SAFe Agile","SAFe",$E87="SAFe SSM","SAFe",$E87="SAFe POPM","SAFe",$E87="SASM","SAFe",$E87="PMI-ACP","Category",$E87="ICP-ACC","Category",$E87="PSM 2","Category",$E87="SAFe RTE","SAFe",$E87="",""),"NonCategory")</f>
        <v>NonCategory</v>
      </c>
    </row>
    <row r="88" spans="1:18">
      <c r="A88" s="162">
        <v>44186</v>
      </c>
      <c r="B88" s="164" t="s">
        <v>524</v>
      </c>
      <c r="C88" s="168" t="s">
        <v>525</v>
      </c>
      <c r="D88" s="6" t="s">
        <v>343</v>
      </c>
      <c r="E88" s="6" t="s">
        <v>97</v>
      </c>
      <c r="F88" s="79">
        <v>44197</v>
      </c>
      <c r="G88" s="6" t="s">
        <v>16</v>
      </c>
      <c r="H88" s="6" t="s">
        <v>486</v>
      </c>
      <c r="I88" s="6">
        <v>1</v>
      </c>
      <c r="J88" s="8">
        <v>21000</v>
      </c>
      <c r="K88" s="8">
        <f t="shared" si="1"/>
        <v>240.49473202015577</v>
      </c>
      <c r="L88" s="97">
        <v>44194</v>
      </c>
      <c r="M88" s="6" t="s">
        <v>502</v>
      </c>
      <c r="N88" s="97">
        <v>44199</v>
      </c>
      <c r="O88" s="20" t="s">
        <v>5276</v>
      </c>
      <c r="Q88" s="6" t="s">
        <v>356</v>
      </c>
      <c r="R88" s="6" t="str">
        <f ca="1">IFERROR(_xludf.IFS($E88="CSM","Category",$E88="CSPO","Category", $E88="PSM","Category",$E88="PSPO","Category",$E88="SAFe Agile","SAFe",$E88="SAFe SSM","SAFe",$E88="SAFe POPM","SAFe",$E88="SASM","SAFe",$E88="PMI-ACP","Category",$E88="ICP-ACC","Category",$E88="PSM 2","Category",$E88="SAFe RTE","SAFe",$E88="",""),"NonCategory")</f>
        <v>NonCategory</v>
      </c>
    </row>
    <row r="89" spans="1:18">
      <c r="A89" s="162">
        <v>44161</v>
      </c>
      <c r="B89" s="164" t="s">
        <v>526</v>
      </c>
      <c r="C89" s="168" t="s">
        <v>527</v>
      </c>
      <c r="D89" s="6" t="s">
        <v>435</v>
      </c>
      <c r="E89" s="6" t="s">
        <v>96</v>
      </c>
      <c r="F89" s="80"/>
      <c r="G89" s="6" t="s">
        <v>13</v>
      </c>
      <c r="H89" s="79">
        <v>44197</v>
      </c>
      <c r="I89" s="6">
        <v>1</v>
      </c>
      <c r="J89" s="6">
        <v>20000</v>
      </c>
      <c r="K89" s="8">
        <f t="shared" si="1"/>
        <v>229.04260192395787</v>
      </c>
      <c r="L89" s="97">
        <v>44210</v>
      </c>
      <c r="R89" s="6" t="str">
        <f ca="1">IFERROR(_xludf.IFS($E89="CSM","Category",$E89="CSPO","Category", $E89="PSM","Category",$E89="PSPO","Category",$E89="SAFe Agile","SAFe",$E89="SAFe SSM","SAFe",$E89="SAFe POPM","SAFe",$E89="SASM","SAFe",$E89="PMI-ACP","Category",$E89="ICP-ACC","Category",$E89="PSM 2","Category",$E89="SAFe RTE","SAFe",$E89="",""),"NonCategory")</f>
        <v>NonCategory</v>
      </c>
    </row>
    <row r="90" spans="1:18">
      <c r="A90" s="162">
        <v>44179</v>
      </c>
      <c r="B90" s="164" t="s">
        <v>528</v>
      </c>
      <c r="C90" s="168" t="s">
        <v>529</v>
      </c>
      <c r="D90" s="6" t="s">
        <v>303</v>
      </c>
      <c r="E90" s="6" t="s">
        <v>97</v>
      </c>
      <c r="F90" s="79">
        <v>44166</v>
      </c>
      <c r="G90" s="6" t="s">
        <v>13</v>
      </c>
      <c r="H90" s="79">
        <v>44197</v>
      </c>
      <c r="I90" s="6">
        <v>1</v>
      </c>
      <c r="J90" s="6">
        <v>20000</v>
      </c>
      <c r="K90" s="8">
        <f t="shared" si="1"/>
        <v>229.04260192395787</v>
      </c>
      <c r="L90" s="97">
        <v>44214</v>
      </c>
      <c r="R90" s="6" t="str">
        <f ca="1">IFERROR(_xludf.IFS($E90="CSM","Category",$E90="CSPO","Category", $E90="PSM","Category",$E90="PSPO","Category",$E90="SAFe Agile","SAFe",$E90="SAFe SSM","SAFe",$E90="SAFe POPM","SAFe",$E90="SASM","SAFe",$E90="PMI-ACP","Category",$E90="ICP-ACC","Category",$E90="PSM 2","Category",$E90="SAFe RTE","SAFe",$E90="",""),"NonCategory")</f>
        <v>NonCategory</v>
      </c>
    </row>
    <row r="91" spans="1:18">
      <c r="A91" s="162">
        <v>44188</v>
      </c>
      <c r="B91" s="164" t="s">
        <v>530</v>
      </c>
      <c r="C91" s="168" t="s">
        <v>531</v>
      </c>
      <c r="D91" s="6" t="s">
        <v>278</v>
      </c>
      <c r="E91" s="6" t="s">
        <v>532</v>
      </c>
      <c r="F91" s="79">
        <v>44166</v>
      </c>
      <c r="G91" s="6" t="s">
        <v>13</v>
      </c>
      <c r="H91" s="79">
        <v>44197</v>
      </c>
      <c r="I91" s="6">
        <v>3</v>
      </c>
      <c r="J91" s="6">
        <v>11000</v>
      </c>
      <c r="K91" s="8">
        <f t="shared" si="1"/>
        <v>125.97343105817684</v>
      </c>
      <c r="L91" s="97">
        <v>44214</v>
      </c>
      <c r="P91" s="6" t="s">
        <v>533</v>
      </c>
      <c r="R91" s="6" t="str">
        <f ca="1">IFERROR(_xludf.IFS($E91="CSM","Category",$E91="CSPO","Category", $E91="PSM","Category",$E91="PSPO","Category",$E91="SAFe Agile","SAFe",$E91="SAFe SSM","SAFe",$E91="SAFe POPM","SAFe",$E91="SASM","SAFe",$E91="PMI-ACP","Category",$E91="ICP-ACC","Category",$E91="PSM 2","Category",$E91="SAFe RTE","SAFe",$E91="",""),"NonCategory")</f>
        <v>NonCategory</v>
      </c>
    </row>
    <row r="92" spans="1:18">
      <c r="A92" s="162">
        <v>44193</v>
      </c>
      <c r="B92" s="164" t="s">
        <v>534</v>
      </c>
      <c r="C92" s="168" t="s">
        <v>535</v>
      </c>
      <c r="D92" s="6" t="s">
        <v>421</v>
      </c>
      <c r="E92" s="6" t="s">
        <v>96</v>
      </c>
      <c r="F92" s="79">
        <v>44197</v>
      </c>
      <c r="G92" s="6" t="s">
        <v>13</v>
      </c>
      <c r="H92" s="6" t="s">
        <v>536</v>
      </c>
      <c r="I92" s="6">
        <v>1</v>
      </c>
      <c r="J92" s="6">
        <v>20000</v>
      </c>
      <c r="K92" s="8">
        <f t="shared" si="1"/>
        <v>229.04260192395787</v>
      </c>
      <c r="L92" s="97">
        <v>44215</v>
      </c>
      <c r="R92" s="6" t="str">
        <f ca="1">IFERROR(_xludf.IFS($E92="CSM","Category",$E92="CSPO","Category", $E92="PSM","Category",$E92="PSPO","Category",$E92="SAFe Agile","SAFe",$E92="SAFe SSM","SAFe",$E92="SAFe POPM","SAFe",$E92="SASM","SAFe",$E92="PMI-ACP","Category",$E92="ICP-ACC","Category",$E92="PSM 2","Category",$E92="SAFe RTE","SAFe",$E92="",""),"NonCategory")</f>
        <v>NonCategory</v>
      </c>
    </row>
    <row r="93" spans="1:18">
      <c r="A93" s="162">
        <v>44183</v>
      </c>
      <c r="B93" s="164" t="s">
        <v>537</v>
      </c>
      <c r="C93" s="168" t="s">
        <v>286</v>
      </c>
      <c r="D93" s="6" t="s">
        <v>303</v>
      </c>
      <c r="E93" s="6" t="s">
        <v>538</v>
      </c>
      <c r="F93" s="79">
        <v>44197</v>
      </c>
      <c r="G93" s="6" t="s">
        <v>13</v>
      </c>
      <c r="H93" s="79">
        <v>44197</v>
      </c>
      <c r="I93" s="6">
        <v>1</v>
      </c>
      <c r="J93" s="6">
        <v>11000</v>
      </c>
      <c r="K93" s="8">
        <f t="shared" si="1"/>
        <v>125.97343105817684</v>
      </c>
      <c r="L93" s="79">
        <v>44216</v>
      </c>
      <c r="R93" s="6" t="str">
        <f ca="1">IFERROR(_xludf.IFS($E93="CSM","Category",$E93="CSPO","Category", $E93="PSM","Category",$E93="PSPO","Category",$E93="SAFe Agile","SAFe",$E93="SAFe SSM","SAFe",$E93="SAFe POPM","SAFe",$E93="SASM","SAFe",$E93="PMI-ACP","Category",$E93="ICP-ACC","Category",$E93="PSM 2","Category",$E93="SAFe RTE","SAFe",$E93="",""),"NonCategory")</f>
        <v>NonCategory</v>
      </c>
    </row>
    <row r="94" spans="1:18">
      <c r="A94" s="162">
        <v>44191</v>
      </c>
      <c r="B94" s="164" t="s">
        <v>539</v>
      </c>
      <c r="C94" s="168" t="s">
        <v>540</v>
      </c>
      <c r="D94" s="6" t="s">
        <v>319</v>
      </c>
      <c r="E94" s="6" t="s">
        <v>96</v>
      </c>
      <c r="F94" s="79">
        <v>44197</v>
      </c>
      <c r="G94" s="6" t="s">
        <v>16</v>
      </c>
      <c r="H94" s="6" t="s">
        <v>325</v>
      </c>
      <c r="I94" s="6">
        <v>1</v>
      </c>
      <c r="J94" s="8">
        <v>19000</v>
      </c>
      <c r="K94" s="8">
        <f t="shared" si="1"/>
        <v>217.59047182775998</v>
      </c>
      <c r="L94" s="97">
        <v>44194</v>
      </c>
      <c r="M94" s="6" t="s">
        <v>502</v>
      </c>
      <c r="N94" s="97">
        <v>44200</v>
      </c>
      <c r="O94" s="20" t="s">
        <v>5277</v>
      </c>
      <c r="Q94" s="6" t="s">
        <v>280</v>
      </c>
      <c r="R94" s="6" t="str">
        <f ca="1">IFERROR(_xludf.IFS($E94="CSM","Category",$E94="CSPO","Category", $E94="PSM","Category",$E94="PSPO","Category",$E94="SAFe Agile","SAFe",$E94="SAFe SSM","SAFe",$E94="SAFe POPM","SAFe",$E94="SASM","SAFe",$E94="PMI-ACP","Category",$E94="ICP-ACC","Category",$E94="PSM 2","Category",$E94="SAFe RTE","SAFe",$E94="",""),"NonCategory")</f>
        <v>NonCategory</v>
      </c>
    </row>
    <row r="95" spans="1:18">
      <c r="A95" s="162">
        <v>44179</v>
      </c>
      <c r="B95" s="164" t="s">
        <v>541</v>
      </c>
      <c r="C95" s="168" t="s">
        <v>542</v>
      </c>
      <c r="D95" s="6" t="s">
        <v>303</v>
      </c>
      <c r="E95" s="6" t="s">
        <v>96</v>
      </c>
      <c r="F95" s="79">
        <v>44197</v>
      </c>
      <c r="G95" s="6" t="s">
        <v>13</v>
      </c>
      <c r="H95" s="79">
        <v>44197</v>
      </c>
      <c r="I95" s="6">
        <v>1</v>
      </c>
      <c r="J95" s="6">
        <v>22000</v>
      </c>
      <c r="K95" s="8">
        <f t="shared" si="1"/>
        <v>251.94686211635369</v>
      </c>
      <c r="L95" s="97">
        <v>44220</v>
      </c>
      <c r="R95" s="6" t="str">
        <f ca="1">IFERROR(_xludf.IFS($E95="CSM","Category",$E95="CSPO","Category", $E95="PSM","Category",$E95="PSPO","Category",$E95="SAFe Agile","SAFe",$E95="SAFe SSM","SAFe",$E95="SAFe POPM","SAFe",$E95="SASM","SAFe",$E95="PMI-ACP","Category",$E95="ICP-ACC","Category",$E95="PSM 2","Category",$E95="SAFe RTE","SAFe",$E95="",""),"NonCategory")</f>
        <v>NonCategory</v>
      </c>
    </row>
    <row r="96" spans="1:18">
      <c r="A96" s="162">
        <v>44166</v>
      </c>
      <c r="B96" s="164" t="s">
        <v>543</v>
      </c>
      <c r="C96" s="168" t="s">
        <v>544</v>
      </c>
      <c r="D96" s="6" t="s">
        <v>343</v>
      </c>
      <c r="E96" s="6" t="s">
        <v>97</v>
      </c>
      <c r="F96" s="79">
        <v>44166</v>
      </c>
      <c r="G96" s="6" t="s">
        <v>13</v>
      </c>
      <c r="H96" s="79">
        <v>44166</v>
      </c>
      <c r="I96" s="6">
        <v>1</v>
      </c>
      <c r="J96" s="6">
        <v>20000</v>
      </c>
      <c r="K96" s="8">
        <f t="shared" si="1"/>
        <v>229.04260192395787</v>
      </c>
      <c r="L96" s="97">
        <v>44223</v>
      </c>
      <c r="R96" s="6" t="str">
        <f ca="1">IFERROR(_xludf.IFS($E96="CSM","Category",$E96="CSPO","Category", $E96="PSM","Category",$E96="PSPO","Category",$E96="SAFe Agile","SAFe",$E96="SAFe SSM","SAFe",$E96="SAFe POPM","SAFe",$E96="SASM","SAFe",$E96="PMI-ACP","Category",$E96="ICP-ACC","Category",$E96="PSM 2","Category",$E96="SAFe RTE","SAFe",$E96="",""),"NonCategory")</f>
        <v>NonCategory</v>
      </c>
    </row>
    <row r="97" spans="1:18">
      <c r="A97" s="162">
        <v>44158</v>
      </c>
      <c r="B97" s="164" t="s">
        <v>545</v>
      </c>
      <c r="C97" s="168" t="s">
        <v>546</v>
      </c>
      <c r="D97" s="6" t="s">
        <v>547</v>
      </c>
      <c r="E97" s="6" t="s">
        <v>97</v>
      </c>
      <c r="F97" s="79">
        <v>44197</v>
      </c>
      <c r="G97" s="6" t="s">
        <v>13</v>
      </c>
      <c r="H97" s="6" t="s">
        <v>548</v>
      </c>
      <c r="I97" s="6">
        <v>1</v>
      </c>
      <c r="J97" s="6">
        <v>20000</v>
      </c>
      <c r="K97" s="8">
        <f t="shared" si="1"/>
        <v>229.04260192395787</v>
      </c>
      <c r="L97" s="97">
        <v>44223</v>
      </c>
      <c r="R97" s="6" t="str">
        <f ca="1">IFERROR(_xludf.IFS($E97="CSM","Category",$E97="CSPO","Category", $E97="PSM","Category",$E97="PSPO","Category",$E97="SAFe Agile","SAFe",$E97="SAFe SSM","SAFe",$E97="SAFe POPM","SAFe",$E97="SASM","SAFe",$E97="PMI-ACP","Category",$E97="ICP-ACC","Category",$E97="PSM 2","Category",$E97="SAFe RTE","SAFe",$E97="",""),"NonCategory")</f>
        <v>NonCategory</v>
      </c>
    </row>
    <row r="98" spans="1:18">
      <c r="A98" s="162">
        <v>44182</v>
      </c>
      <c r="B98" s="164" t="s">
        <v>549</v>
      </c>
      <c r="C98" s="168" t="s">
        <v>550</v>
      </c>
      <c r="D98" s="6" t="s">
        <v>306</v>
      </c>
      <c r="E98" s="6" t="s">
        <v>96</v>
      </c>
      <c r="F98" s="79">
        <v>44166</v>
      </c>
      <c r="G98" s="6" t="s">
        <v>13</v>
      </c>
      <c r="H98" s="6" t="s">
        <v>325</v>
      </c>
      <c r="I98" s="6">
        <v>1</v>
      </c>
      <c r="J98" s="6">
        <v>24780</v>
      </c>
      <c r="K98" s="8">
        <f t="shared" si="1"/>
        <v>283.7837837837838</v>
      </c>
      <c r="L98" s="97">
        <v>44224</v>
      </c>
      <c r="R98" s="6" t="str">
        <f ca="1">IFERROR(_xludf.IFS($E98="CSM","Category",$E98="CSPO","Category", $E98="PSM","Category",$E98="PSPO","Category",$E98="SAFe Agile","SAFe",$E98="SAFe SSM","SAFe",$E98="SAFe POPM","SAFe",$E98="SASM","SAFe",$E98="PMI-ACP","Category",$E98="ICP-ACC","Category",$E98="PSM 2","Category",$E98="SAFe RTE","SAFe",$E98="",""),"NonCategory")</f>
        <v>NonCategory</v>
      </c>
    </row>
    <row r="99" spans="1:18">
      <c r="A99" s="162">
        <v>44161</v>
      </c>
      <c r="B99" s="164" t="s">
        <v>551</v>
      </c>
      <c r="C99" s="168" t="s">
        <v>552</v>
      </c>
      <c r="E99" s="6" t="s">
        <v>402</v>
      </c>
      <c r="F99" s="80"/>
      <c r="G99" s="6" t="s">
        <v>13</v>
      </c>
      <c r="I99" s="6">
        <v>10</v>
      </c>
      <c r="J99" s="6">
        <v>19000</v>
      </c>
      <c r="K99" s="8">
        <f t="shared" si="1"/>
        <v>217.59047182775998</v>
      </c>
      <c r="L99" s="97">
        <v>44224</v>
      </c>
      <c r="R99" s="6" t="str">
        <f ca="1">IFERROR(_xludf.IFS($E99="CSM","Category",$E99="CSPO","Category", $E99="PSM","Category",$E99="PSPO","Category",$E99="SAFe Agile","SAFe",$E99="SAFe SSM","SAFe",$E99="SAFe POPM","SAFe",$E99="SASM","SAFe",$E99="PMI-ACP","Category",$E99="ICP-ACC","Category",$E99="PSM 2","Category",$E99="SAFe RTE","SAFe",$E99="",""),"NonCategory")</f>
        <v>NonCategory</v>
      </c>
    </row>
    <row r="100" spans="1:18">
      <c r="A100" s="162">
        <v>44182</v>
      </c>
      <c r="B100" s="164" t="s">
        <v>553</v>
      </c>
      <c r="C100" s="168" t="s">
        <v>554</v>
      </c>
      <c r="D100" s="6" t="s">
        <v>278</v>
      </c>
      <c r="E100" s="6" t="s">
        <v>96</v>
      </c>
      <c r="F100" s="79">
        <v>44197</v>
      </c>
      <c r="G100" s="6" t="s">
        <v>16</v>
      </c>
      <c r="H100" s="6" t="s">
        <v>325</v>
      </c>
      <c r="I100" s="6">
        <v>1</v>
      </c>
      <c r="J100" s="8">
        <v>20000</v>
      </c>
      <c r="K100" s="8">
        <f t="shared" si="1"/>
        <v>229.04260192395787</v>
      </c>
      <c r="L100" s="97">
        <v>44198</v>
      </c>
      <c r="M100" s="6" t="s">
        <v>502</v>
      </c>
      <c r="N100" s="97">
        <v>44200</v>
      </c>
      <c r="O100" s="20" t="s">
        <v>5278</v>
      </c>
      <c r="P100" s="6" t="s">
        <v>555</v>
      </c>
      <c r="Q100" s="6" t="s">
        <v>280</v>
      </c>
      <c r="R100" s="6" t="str">
        <f ca="1">IFERROR(_xludf.IFS($E100="CSM","Category",$E100="CSPO","Category", $E100="PSM","Category",$E100="PSPO","Category",$E100="SAFe Agile","SAFe",$E100="SAFe SSM","SAFe",$E100="SAFe POPM","SAFe",$E100="SASM","SAFe",$E100="PMI-ACP","Category",$E100="ICP-ACC","Category",$E100="PSM 2","Category",$E100="SAFe RTE","SAFe",$E100="",""),"NonCategory")</f>
        <v>NonCategory</v>
      </c>
    </row>
    <row r="101" spans="1:18">
      <c r="A101" s="162">
        <v>44196</v>
      </c>
      <c r="B101" s="164" t="s">
        <v>556</v>
      </c>
      <c r="C101" s="168" t="s">
        <v>557</v>
      </c>
      <c r="D101" s="6" t="s">
        <v>421</v>
      </c>
      <c r="E101" s="6" t="s">
        <v>96</v>
      </c>
      <c r="F101" s="79">
        <v>44197</v>
      </c>
      <c r="G101" s="6" t="s">
        <v>13</v>
      </c>
      <c r="H101" s="97">
        <v>44228</v>
      </c>
      <c r="I101" s="6">
        <v>1</v>
      </c>
      <c r="J101" s="6">
        <v>45000</v>
      </c>
      <c r="K101" s="8">
        <f t="shared" si="1"/>
        <v>515.34585432890515</v>
      </c>
      <c r="L101" s="97">
        <v>44225</v>
      </c>
      <c r="R101" s="6" t="str">
        <f ca="1">IFERROR(_xludf.IFS($E101="CSM","Category",$E101="CSPO","Category", $E101="PSM","Category",$E101="PSPO","Category",$E101="SAFe Agile","SAFe",$E101="SAFe SSM","SAFe",$E101="SAFe POPM","SAFe",$E101="SASM","SAFe",$E101="PMI-ACP","Category",$E101="ICP-ACC","Category",$E101="PSM 2","Category",$E101="SAFe RTE","SAFe",$E101="",""),"NonCategory")</f>
        <v>NonCategory</v>
      </c>
    </row>
    <row r="102" spans="1:18">
      <c r="A102" s="162">
        <v>44184</v>
      </c>
      <c r="B102" s="164" t="s">
        <v>558</v>
      </c>
      <c r="C102" s="168" t="s">
        <v>559</v>
      </c>
      <c r="D102" s="6" t="s">
        <v>303</v>
      </c>
      <c r="E102" s="6" t="s">
        <v>96</v>
      </c>
      <c r="F102" s="79">
        <v>44197</v>
      </c>
      <c r="G102" s="6" t="s">
        <v>13</v>
      </c>
      <c r="H102" s="79">
        <v>44197</v>
      </c>
      <c r="I102" s="6">
        <v>5</v>
      </c>
      <c r="J102" s="6">
        <v>20000</v>
      </c>
      <c r="K102" s="8">
        <f t="shared" si="1"/>
        <v>229.04260192395787</v>
      </c>
      <c r="L102" s="97">
        <v>44226</v>
      </c>
      <c r="R102" s="6" t="str">
        <f ca="1">IFERROR(_xludf.IFS($E102="CSM","Category",$E102="CSPO","Category", $E102="PSM","Category",$E102="PSPO","Category",$E102="SAFe Agile","SAFe",$E102="SAFe SSM","SAFe",$E102="SAFe POPM","SAFe",$E102="SASM","SAFe",$E102="PMI-ACP","Category",$E102="ICP-ACC","Category",$E102="PSM 2","Category",$E102="SAFe RTE","SAFe",$E102="",""),"NonCategory")</f>
        <v>NonCategory</v>
      </c>
    </row>
    <row r="103" spans="1:18">
      <c r="A103" s="162">
        <v>44145</v>
      </c>
      <c r="B103" s="164" t="s">
        <v>560</v>
      </c>
      <c r="C103" s="168" t="s">
        <v>561</v>
      </c>
      <c r="D103" s="6" t="s">
        <v>297</v>
      </c>
      <c r="E103" s="6" t="s">
        <v>96</v>
      </c>
      <c r="F103" s="79">
        <v>44166</v>
      </c>
      <c r="G103" s="6" t="s">
        <v>13</v>
      </c>
      <c r="H103" s="6" t="s">
        <v>315</v>
      </c>
      <c r="I103" s="6">
        <v>1</v>
      </c>
      <c r="J103" s="6">
        <v>21000</v>
      </c>
      <c r="K103" s="8">
        <f t="shared" si="1"/>
        <v>240.49473202015577</v>
      </c>
      <c r="L103" s="6" t="s">
        <v>315</v>
      </c>
      <c r="R103" s="6" t="str">
        <f ca="1">IFERROR(_xludf.IFS($E103="CSM","Category",$E103="CSPO","Category", $E103="PSM","Category",$E103="PSPO","Category",$E103="SAFe Agile","SAFe",$E103="SAFe SSM","SAFe",$E103="SAFe POPM","SAFe",$E103="SASM","SAFe",$E103="PMI-ACP","Category",$E103="ICP-ACC","Category",$E103="PSM 2","Category",$E103="SAFe RTE","SAFe",$E103="",""),"NonCategory")</f>
        <v>NonCategory</v>
      </c>
    </row>
    <row r="104" spans="1:18">
      <c r="A104" s="162">
        <v>44152</v>
      </c>
      <c r="B104" s="164" t="s">
        <v>562</v>
      </c>
      <c r="C104" s="168" t="s">
        <v>563</v>
      </c>
      <c r="D104" s="6" t="s">
        <v>397</v>
      </c>
      <c r="E104" s="6" t="s">
        <v>96</v>
      </c>
      <c r="F104" s="79">
        <v>44228</v>
      </c>
      <c r="G104" s="6" t="s">
        <v>13</v>
      </c>
      <c r="H104" s="6" t="s">
        <v>315</v>
      </c>
      <c r="I104" s="6">
        <v>1</v>
      </c>
      <c r="J104" s="6">
        <v>20000</v>
      </c>
      <c r="K104" s="8">
        <f t="shared" si="1"/>
        <v>229.04260192395787</v>
      </c>
      <c r="L104" s="6" t="s">
        <v>315</v>
      </c>
      <c r="R104" s="6" t="str">
        <f ca="1">IFERROR(_xludf.IFS($E104="CSM","Category",$E104="CSPO","Category", $E104="PSM","Category",$E104="PSPO","Category",$E104="SAFe Agile","SAFe",$E104="SAFe SSM","SAFe",$E104="SAFe POPM","SAFe",$E104="SASM","SAFe",$E104="PMI-ACP","Category",$E104="ICP-ACC","Category",$E104="PSM 2","Category",$E104="SAFe RTE","SAFe",$E104="",""),"NonCategory")</f>
        <v>NonCategory</v>
      </c>
    </row>
    <row r="105" spans="1:18">
      <c r="A105" s="162">
        <v>44179</v>
      </c>
      <c r="B105" s="164" t="s">
        <v>564</v>
      </c>
      <c r="C105" s="168" t="s">
        <v>565</v>
      </c>
      <c r="D105" s="6" t="s">
        <v>566</v>
      </c>
      <c r="E105" s="6" t="s">
        <v>22</v>
      </c>
      <c r="F105" s="79">
        <v>44228</v>
      </c>
      <c r="G105" s="6" t="s">
        <v>13</v>
      </c>
      <c r="H105" s="79">
        <v>44228</v>
      </c>
      <c r="I105" s="6">
        <v>1</v>
      </c>
      <c r="J105" s="6">
        <v>11000</v>
      </c>
      <c r="K105" s="8">
        <f t="shared" si="1"/>
        <v>125.97343105817684</v>
      </c>
      <c r="L105" s="97">
        <v>44228</v>
      </c>
      <c r="R105" s="6" t="str">
        <f ca="1">IFERROR(_xludf.IFS($E105="CSM","Category",$E105="CSPO","Category", $E105="PSM","Category",$E105="PSPO","Category",$E105="SAFe Agile","SAFe",$E105="SAFe SSM","SAFe",$E105="SAFe POPM","SAFe",$E105="SASM","SAFe",$E105="PMI-ACP","Category",$E105="ICP-ACC","Category",$E105="PSM 2","Category",$E105="SAFe RTE","SAFe",$E105="",""),"NonCategory")</f>
        <v>NonCategory</v>
      </c>
    </row>
    <row r="106" spans="1:18">
      <c r="A106" s="162">
        <v>44200</v>
      </c>
      <c r="B106" s="164" t="s">
        <v>567</v>
      </c>
      <c r="C106" s="168" t="s">
        <v>568</v>
      </c>
      <c r="D106" s="6" t="s">
        <v>287</v>
      </c>
      <c r="E106" s="6" t="s">
        <v>96</v>
      </c>
      <c r="F106" s="79">
        <v>44197</v>
      </c>
      <c r="G106" s="6" t="s">
        <v>16</v>
      </c>
      <c r="H106" s="6" t="s">
        <v>325</v>
      </c>
      <c r="I106" s="6">
        <v>1</v>
      </c>
      <c r="J106" s="8">
        <v>22500</v>
      </c>
      <c r="K106" s="8">
        <f t="shared" si="1"/>
        <v>257.67292716445257</v>
      </c>
      <c r="L106" s="97">
        <v>44200</v>
      </c>
      <c r="M106" s="6" t="s">
        <v>502</v>
      </c>
      <c r="N106" s="97">
        <v>44200</v>
      </c>
      <c r="O106" s="20" t="s">
        <v>5279</v>
      </c>
      <c r="Q106" s="6" t="s">
        <v>280</v>
      </c>
      <c r="R106" s="6" t="str">
        <f ca="1">IFERROR(_xludf.IFS($E106="CSM","Category",$E106="CSPO","Category", $E106="PSM","Category",$E106="PSPO","Category",$E106="SAFe Agile","SAFe",$E106="SAFe SSM","SAFe",$E106="SAFe POPM","SAFe",$E106="SASM","SAFe",$E106="PMI-ACP","Category",$E106="ICP-ACC","Category",$E106="PSM 2","Category",$E106="SAFe RTE","SAFe",$E106="",""),"NonCategory")</f>
        <v>NonCategory</v>
      </c>
    </row>
    <row r="107" spans="1:18">
      <c r="A107" s="162">
        <v>44194</v>
      </c>
      <c r="B107" s="164" t="s">
        <v>569</v>
      </c>
      <c r="C107" s="168" t="s">
        <v>570</v>
      </c>
      <c r="D107" s="6" t="s">
        <v>571</v>
      </c>
      <c r="E107" s="6" t="s">
        <v>538</v>
      </c>
      <c r="F107" s="79">
        <v>44228</v>
      </c>
      <c r="G107" s="6" t="s">
        <v>13</v>
      </c>
      <c r="H107" s="79">
        <v>44228</v>
      </c>
      <c r="I107" s="6">
        <v>1</v>
      </c>
      <c r="J107" s="6">
        <v>10000</v>
      </c>
      <c r="K107" s="8">
        <f t="shared" si="1"/>
        <v>114.52130096197894</v>
      </c>
      <c r="L107" s="79">
        <v>44228</v>
      </c>
      <c r="P107" s="6" t="s">
        <v>572</v>
      </c>
      <c r="R107" s="6" t="str">
        <f ca="1">IFERROR(_xludf.IFS($E107="CSM","Category",$E107="CSPO","Category", $E107="PSM","Category",$E107="PSPO","Category",$E107="SAFe Agile","SAFe",$E107="SAFe SSM","SAFe",$E107="SAFe POPM","SAFe",$E107="SASM","SAFe",$E107="PMI-ACP","Category",$E107="ICP-ACC","Category",$E107="PSM 2","Category",$E107="SAFe RTE","SAFe",$E107="",""),"NonCategory")</f>
        <v>NonCategory</v>
      </c>
    </row>
    <row r="108" spans="1:18">
      <c r="A108" s="162">
        <v>44183</v>
      </c>
      <c r="B108" s="164" t="s">
        <v>573</v>
      </c>
      <c r="C108" s="168" t="s">
        <v>574</v>
      </c>
      <c r="D108" s="6" t="s">
        <v>319</v>
      </c>
      <c r="E108" s="6" t="s">
        <v>96</v>
      </c>
      <c r="F108" s="79">
        <v>44166</v>
      </c>
      <c r="G108" s="6" t="s">
        <v>13</v>
      </c>
      <c r="H108" s="79">
        <v>44166</v>
      </c>
      <c r="I108" s="6">
        <v>1</v>
      </c>
      <c r="J108" s="6">
        <v>60000</v>
      </c>
      <c r="K108" s="8">
        <f t="shared" si="1"/>
        <v>687.12780577187357</v>
      </c>
      <c r="L108" s="6" t="s">
        <v>315</v>
      </c>
      <c r="P108" s="6" t="s">
        <v>575</v>
      </c>
      <c r="R108" s="6" t="str">
        <f ca="1">IFERROR(_xludf.IFS($E108="CSM","Category",$E108="CSPO","Category", $E108="PSM","Category",$E108="PSPO","Category",$E108="SAFe Agile","SAFe",$E108="SAFe SSM","SAFe",$E108="SAFe POPM","SAFe",$E108="SASM","SAFe",$E108="PMI-ACP","Category",$E108="ICP-ACC","Category",$E108="PSM 2","Category",$E108="SAFe RTE","SAFe",$E108="",""),"NonCategory")</f>
        <v>NonCategory</v>
      </c>
    </row>
    <row r="109" spans="1:18">
      <c r="A109" s="162">
        <v>44165</v>
      </c>
      <c r="B109" s="164" t="s">
        <v>576</v>
      </c>
      <c r="C109" s="168" t="s">
        <v>577</v>
      </c>
      <c r="D109" s="6" t="s">
        <v>578</v>
      </c>
      <c r="E109" s="6" t="s">
        <v>96</v>
      </c>
      <c r="F109" s="79">
        <v>44197</v>
      </c>
      <c r="G109" s="6" t="s">
        <v>16</v>
      </c>
      <c r="H109" s="6" t="s">
        <v>579</v>
      </c>
      <c r="I109" s="6">
        <v>1</v>
      </c>
      <c r="J109" s="8">
        <v>19000</v>
      </c>
      <c r="K109" s="8">
        <f t="shared" si="1"/>
        <v>217.59047182775998</v>
      </c>
      <c r="L109" s="97">
        <v>44204</v>
      </c>
      <c r="M109" s="6" t="s">
        <v>502</v>
      </c>
      <c r="N109" s="97">
        <v>44200</v>
      </c>
      <c r="O109" s="103" t="s">
        <v>5280</v>
      </c>
      <c r="Q109" s="6" t="s">
        <v>280</v>
      </c>
      <c r="R109" s="6" t="str">
        <f ca="1">IFERROR(_xludf.IFS($E109="CSM","Category",$E109="CSPO","Category", $E109="PSM","Category",$E109="PSPO","Category",$E109="SAFe Agile","SAFe",$E109="SAFe SSM","SAFe",$E109="SAFe POPM","SAFe",$E109="SASM","SAFe",$E109="PMI-ACP","Category",$E109="ICP-ACC","Category",$E109="PSM 2","Category",$E109="SAFe RTE","SAFe",$E109="",""),"NonCategory")</f>
        <v>NonCategory</v>
      </c>
    </row>
    <row r="110" spans="1:18">
      <c r="A110" s="162">
        <v>44187</v>
      </c>
      <c r="B110" s="164" t="s">
        <v>580</v>
      </c>
      <c r="C110" s="168" t="s">
        <v>581</v>
      </c>
      <c r="D110" s="6" t="s">
        <v>571</v>
      </c>
      <c r="E110" s="6" t="s">
        <v>97</v>
      </c>
      <c r="F110" s="79">
        <v>44197</v>
      </c>
      <c r="G110" s="6" t="s">
        <v>16</v>
      </c>
      <c r="H110" s="6" t="s">
        <v>427</v>
      </c>
      <c r="I110" s="6">
        <v>1</v>
      </c>
      <c r="J110" s="8">
        <v>21000</v>
      </c>
      <c r="K110" s="8">
        <f t="shared" si="1"/>
        <v>240.49473202015577</v>
      </c>
      <c r="L110" s="97">
        <v>44200</v>
      </c>
      <c r="M110" s="6" t="s">
        <v>502</v>
      </c>
      <c r="N110" s="97">
        <v>44201</v>
      </c>
      <c r="O110" s="20" t="s">
        <v>5281</v>
      </c>
      <c r="Q110" s="6" t="s">
        <v>356</v>
      </c>
      <c r="R110" s="6" t="str">
        <f ca="1">IFERROR(_xludf.IFS($E110="CSM","Category",$E110="CSPO","Category", $E110="PSM","Category",$E110="PSPO","Category",$E110="SAFe Agile","SAFe",$E110="SAFe SSM","SAFe",$E110="SAFe POPM","SAFe",$E110="SASM","SAFe",$E110="PMI-ACP","Category",$E110="ICP-ACC","Category",$E110="PSM 2","Category",$E110="SAFe RTE","SAFe",$E110="",""),"NonCategory")</f>
        <v>NonCategory</v>
      </c>
    </row>
    <row r="111" spans="1:18">
      <c r="A111" s="162">
        <v>44184</v>
      </c>
      <c r="B111" s="164" t="s">
        <v>582</v>
      </c>
      <c r="C111" s="168" t="s">
        <v>583</v>
      </c>
      <c r="D111" s="6" t="s">
        <v>421</v>
      </c>
      <c r="E111" s="6" t="s">
        <v>96</v>
      </c>
      <c r="F111" s="79">
        <v>44166</v>
      </c>
      <c r="G111" s="6" t="s">
        <v>13</v>
      </c>
      <c r="H111" s="80">
        <v>44256</v>
      </c>
      <c r="I111" s="6">
        <v>1</v>
      </c>
      <c r="J111" s="6">
        <v>20500</v>
      </c>
      <c r="K111" s="8">
        <f t="shared" si="1"/>
        <v>234.76866697205682</v>
      </c>
      <c r="L111" s="97">
        <v>44258</v>
      </c>
      <c r="R111" s="6" t="str">
        <f ca="1">IFERROR(_xludf.IFS($E111="CSM","Category",$E111="CSPO","Category", $E111="PSM","Category",$E111="PSPO","Category",$E111="SAFe Agile","SAFe",$E111="SAFe SSM","SAFe",$E111="SAFe POPM","SAFe",$E111="SASM","SAFe",$E111="PMI-ACP","Category",$E111="ICP-ACC","Category",$E111="PSM 2","Category",$E111="SAFe RTE","SAFe",$E111="",""),"NonCategory")</f>
        <v>NonCategory</v>
      </c>
    </row>
    <row r="112" spans="1:18">
      <c r="A112" s="162">
        <v>44173</v>
      </c>
      <c r="B112" s="164" t="s">
        <v>584</v>
      </c>
      <c r="C112" s="168" t="s">
        <v>585</v>
      </c>
      <c r="D112" s="6" t="s">
        <v>291</v>
      </c>
      <c r="E112" s="6" t="s">
        <v>96</v>
      </c>
      <c r="F112" s="80"/>
      <c r="G112" s="6" t="s">
        <v>13</v>
      </c>
      <c r="H112" s="6" t="s">
        <v>315</v>
      </c>
      <c r="I112" s="6">
        <v>1</v>
      </c>
      <c r="J112" s="6">
        <v>21000</v>
      </c>
      <c r="K112" s="8">
        <f t="shared" si="1"/>
        <v>240.49473202015577</v>
      </c>
      <c r="L112" s="6" t="s">
        <v>315</v>
      </c>
      <c r="R112" s="6" t="str">
        <f ca="1">IFERROR(_xludf.IFS($E112="CSM","Category",$E112="CSPO","Category", $E112="PSM","Category",$E112="PSPO","Category",$E112="SAFe Agile","SAFe",$E112="SAFe SSM","SAFe",$E112="SAFe POPM","SAFe",$E112="SASM","SAFe",$E112="PMI-ACP","Category",$E112="ICP-ACC","Category",$E112="PSM 2","Category",$E112="SAFe RTE","SAFe",$E112="",""),"NonCategory")</f>
        <v>NonCategory</v>
      </c>
    </row>
    <row r="113" spans="1:18">
      <c r="A113" s="162">
        <v>44190</v>
      </c>
      <c r="B113" s="164" t="s">
        <v>586</v>
      </c>
      <c r="C113" s="168" t="s">
        <v>587</v>
      </c>
      <c r="D113" s="6" t="s">
        <v>435</v>
      </c>
      <c r="E113" s="6" t="s">
        <v>96</v>
      </c>
      <c r="F113" s="79">
        <v>44166</v>
      </c>
      <c r="G113" s="6" t="s">
        <v>13</v>
      </c>
      <c r="H113" s="6" t="s">
        <v>315</v>
      </c>
      <c r="I113" s="6">
        <v>1</v>
      </c>
      <c r="J113" s="6">
        <v>21000</v>
      </c>
      <c r="K113" s="8">
        <f t="shared" si="1"/>
        <v>240.49473202015577</v>
      </c>
      <c r="L113" s="6" t="s">
        <v>315</v>
      </c>
      <c r="R113" s="6" t="str">
        <f ca="1">IFERROR(_xludf.IFS($E113="CSM","Category",$E113="CSPO","Category", $E113="PSM","Category",$E113="PSPO","Category",$E113="SAFe Agile","SAFe",$E113="SAFe SSM","SAFe",$E113="SAFe POPM","SAFe",$E113="SASM","SAFe",$E113="PMI-ACP","Category",$E113="ICP-ACC","Category",$E113="PSM 2","Category",$E113="SAFe RTE","SAFe",$E113="",""),"NonCategory")</f>
        <v>NonCategory</v>
      </c>
    </row>
    <row r="114" spans="1:18">
      <c r="A114" s="162">
        <v>44155</v>
      </c>
      <c r="B114" s="164" t="s">
        <v>588</v>
      </c>
      <c r="C114" s="168" t="s">
        <v>589</v>
      </c>
      <c r="E114" s="6" t="s">
        <v>402</v>
      </c>
      <c r="F114" s="79">
        <v>44166</v>
      </c>
      <c r="G114" s="6" t="s">
        <v>13</v>
      </c>
      <c r="H114" s="6" t="s">
        <v>315</v>
      </c>
      <c r="I114" s="6">
        <v>1</v>
      </c>
      <c r="J114" s="6">
        <v>20000</v>
      </c>
      <c r="K114" s="8">
        <f t="shared" si="1"/>
        <v>229.04260192395787</v>
      </c>
      <c r="L114" s="6" t="s">
        <v>315</v>
      </c>
      <c r="R114" s="6" t="str">
        <f ca="1">IFERROR(_xludf.IFS($E114="CSM","Category",$E114="CSPO","Category", $E114="PSM","Category",$E114="PSPO","Category",$E114="SAFe Agile","SAFe",$E114="SAFe SSM","SAFe",$E114="SAFe POPM","SAFe",$E114="SASM","SAFe",$E114="PMI-ACP","Category",$E114="ICP-ACC","Category",$E114="PSM 2","Category",$E114="SAFe RTE","SAFe",$E114="",""),"NonCategory")</f>
        <v>NonCategory</v>
      </c>
    </row>
    <row r="115" spans="1:18">
      <c r="A115" s="162">
        <v>44170</v>
      </c>
      <c r="B115" s="164" t="s">
        <v>590</v>
      </c>
      <c r="C115" s="168" t="s">
        <v>591</v>
      </c>
      <c r="D115" s="6" t="s">
        <v>421</v>
      </c>
      <c r="E115" s="6" t="s">
        <v>96</v>
      </c>
      <c r="F115" s="79">
        <v>44166</v>
      </c>
      <c r="G115" s="6" t="s">
        <v>13</v>
      </c>
      <c r="H115" s="6" t="s">
        <v>315</v>
      </c>
      <c r="I115" s="6">
        <v>5</v>
      </c>
      <c r="J115" s="6">
        <v>20000</v>
      </c>
      <c r="K115" s="8">
        <f t="shared" si="1"/>
        <v>229.04260192395787</v>
      </c>
      <c r="L115" s="6" t="s">
        <v>315</v>
      </c>
      <c r="R115" s="6" t="str">
        <f ca="1">IFERROR(_xludf.IFS($E115="CSM","Category",$E115="CSPO","Category", $E115="PSM","Category",$E115="PSPO","Category",$E115="SAFe Agile","SAFe",$E115="SAFe SSM","SAFe",$E115="SAFe POPM","SAFe",$E115="SASM","SAFe",$E115="PMI-ACP","Category",$E115="ICP-ACC","Category",$E115="PSM 2","Category",$E115="SAFe RTE","SAFe",$E115="",""),"NonCategory")</f>
        <v>NonCategory</v>
      </c>
    </row>
    <row r="116" spans="1:18">
      <c r="A116" s="162">
        <v>44193</v>
      </c>
      <c r="B116" s="164" t="s">
        <v>592</v>
      </c>
      <c r="C116" s="168" t="s">
        <v>593</v>
      </c>
      <c r="D116" s="6" t="s">
        <v>287</v>
      </c>
      <c r="E116" s="6" t="s">
        <v>96</v>
      </c>
      <c r="F116" s="79">
        <v>44166</v>
      </c>
      <c r="G116" s="6" t="s">
        <v>13</v>
      </c>
      <c r="H116" s="6" t="s">
        <v>315</v>
      </c>
      <c r="I116" s="6">
        <v>1</v>
      </c>
      <c r="J116" s="6">
        <v>20500</v>
      </c>
      <c r="K116" s="8">
        <f t="shared" si="1"/>
        <v>234.76866697205682</v>
      </c>
      <c r="L116" s="6" t="s">
        <v>315</v>
      </c>
      <c r="R116" s="6" t="str">
        <f ca="1">IFERROR(_xludf.IFS($E116="CSM","Category",$E116="CSPO","Category", $E116="PSM","Category",$E116="PSPO","Category",$E116="SAFe Agile","SAFe",$E116="SAFe SSM","SAFe",$E116="SAFe POPM","SAFe",$E116="SASM","SAFe",$E116="PMI-ACP","Category",$E116="ICP-ACC","Category",$E116="PSM 2","Category",$E116="SAFe RTE","SAFe",$E116="",""),"NonCategory")</f>
        <v>NonCategory</v>
      </c>
    </row>
    <row r="117" spans="1:18">
      <c r="A117" s="162">
        <v>44174</v>
      </c>
      <c r="B117" s="164" t="s">
        <v>594</v>
      </c>
      <c r="C117" s="168" t="s">
        <v>595</v>
      </c>
      <c r="D117" s="6" t="s">
        <v>291</v>
      </c>
      <c r="E117" s="6" t="s">
        <v>96</v>
      </c>
      <c r="F117" s="79">
        <v>44166</v>
      </c>
      <c r="G117" s="6" t="s">
        <v>13</v>
      </c>
      <c r="H117" s="6" t="s">
        <v>315</v>
      </c>
      <c r="I117" s="6">
        <v>1</v>
      </c>
      <c r="J117" s="6">
        <v>19000</v>
      </c>
      <c r="K117" s="8">
        <f t="shared" si="1"/>
        <v>217.59047182775998</v>
      </c>
      <c r="L117" s="6" t="s">
        <v>315</v>
      </c>
      <c r="R117" s="6" t="str">
        <f ca="1">IFERROR(_xludf.IFS($E117="CSM","Category",$E117="CSPO","Category", $E117="PSM","Category",$E117="PSPO","Category",$E117="SAFe Agile","SAFe",$E117="SAFe SSM","SAFe",$E117="SAFe POPM","SAFe",$E117="SASM","SAFe",$E117="PMI-ACP","Category",$E117="ICP-ACC","Category",$E117="PSM 2","Category",$E117="SAFe RTE","SAFe",$E117="",""),"NonCategory")</f>
        <v>NonCategory</v>
      </c>
    </row>
    <row r="118" spans="1:18">
      <c r="A118" s="162">
        <v>44201</v>
      </c>
      <c r="B118" s="164" t="s">
        <v>596</v>
      </c>
      <c r="C118" s="168" t="s">
        <v>597</v>
      </c>
      <c r="D118" s="6" t="s">
        <v>319</v>
      </c>
      <c r="E118" s="6" t="s">
        <v>96</v>
      </c>
      <c r="F118" s="79">
        <v>44197</v>
      </c>
      <c r="G118" s="6" t="s">
        <v>16</v>
      </c>
      <c r="H118" s="6" t="s">
        <v>536</v>
      </c>
      <c r="I118" s="6">
        <v>1</v>
      </c>
      <c r="J118" s="8">
        <v>20000</v>
      </c>
      <c r="K118" s="8">
        <f t="shared" si="1"/>
        <v>229.04260192395787</v>
      </c>
      <c r="L118" s="97">
        <v>44202</v>
      </c>
      <c r="M118" s="6" t="s">
        <v>502</v>
      </c>
      <c r="N118" s="97">
        <v>44202</v>
      </c>
      <c r="O118" s="103" t="s">
        <v>5282</v>
      </c>
      <c r="Q118" s="6" t="s">
        <v>280</v>
      </c>
      <c r="R118" s="6" t="str">
        <f ca="1">IFERROR(_xludf.IFS($E118="CSM","Category",$E118="CSPO","Category", $E118="PSM","Category",$E118="PSPO","Category",$E118="SAFe Agile","SAFe",$E118="SAFe SSM","SAFe",$E118="SAFe POPM","SAFe",$E118="SASM","SAFe",$E118="PMI-ACP","Category",$E118="ICP-ACC","Category",$E118="PSM 2","Category",$E118="SAFe RTE","SAFe",$E118="",""),"NonCategory")</f>
        <v>NonCategory</v>
      </c>
    </row>
    <row r="119" spans="1:18">
      <c r="A119" s="162">
        <v>44173</v>
      </c>
      <c r="B119" s="164" t="s">
        <v>598</v>
      </c>
      <c r="C119" s="168" t="s">
        <v>599</v>
      </c>
      <c r="D119" s="6" t="s">
        <v>303</v>
      </c>
      <c r="E119" s="6" t="s">
        <v>96</v>
      </c>
      <c r="F119" s="79">
        <v>44166</v>
      </c>
      <c r="G119" s="6" t="s">
        <v>13</v>
      </c>
      <c r="H119" s="6" t="s">
        <v>315</v>
      </c>
      <c r="I119" s="6">
        <v>5</v>
      </c>
      <c r="J119" s="6">
        <v>20000</v>
      </c>
      <c r="K119" s="8">
        <f t="shared" si="1"/>
        <v>229.04260192395787</v>
      </c>
      <c r="L119" s="6" t="s">
        <v>315</v>
      </c>
      <c r="R119" s="6" t="str">
        <f ca="1">IFERROR(_xludf.IFS($E119="CSM","Category",$E119="CSPO","Category", $E119="PSM","Category",$E119="PSPO","Category",$E119="SAFe Agile","SAFe",$E119="SAFe SSM","SAFe",$E119="SAFe POPM","SAFe",$E119="SASM","SAFe",$E119="PMI-ACP","Category",$E119="ICP-ACC","Category",$E119="PSM 2","Category",$E119="SAFe RTE","SAFe",$E119="",""),"NonCategory")</f>
        <v>NonCategory</v>
      </c>
    </row>
    <row r="120" spans="1:18">
      <c r="A120" s="162">
        <v>44202</v>
      </c>
      <c r="B120" s="164" t="s">
        <v>600</v>
      </c>
      <c r="C120" s="168" t="s">
        <v>601</v>
      </c>
      <c r="D120" s="6" t="s">
        <v>319</v>
      </c>
      <c r="E120" s="6" t="s">
        <v>96</v>
      </c>
      <c r="F120" s="79">
        <v>44197</v>
      </c>
      <c r="G120" s="6" t="s">
        <v>16</v>
      </c>
      <c r="H120" s="6" t="s">
        <v>427</v>
      </c>
      <c r="I120" s="6">
        <v>1</v>
      </c>
      <c r="J120" s="8">
        <v>24780</v>
      </c>
      <c r="K120" s="8">
        <f t="shared" si="1"/>
        <v>283.7837837837838</v>
      </c>
      <c r="L120" s="97">
        <v>44202</v>
      </c>
      <c r="M120" s="6" t="s">
        <v>502</v>
      </c>
      <c r="N120" s="97">
        <v>44202</v>
      </c>
      <c r="O120" s="20" t="s">
        <v>5283</v>
      </c>
      <c r="Q120" s="6" t="s">
        <v>356</v>
      </c>
      <c r="R120" s="6" t="str">
        <f ca="1">IFERROR(_xludf.IFS($E120="CSM","Category",$E120="CSPO","Category", $E120="PSM","Category",$E120="PSPO","Category",$E120="SAFe Agile","SAFe",$E120="SAFe SSM","SAFe",$E120="SAFe POPM","SAFe",$E120="SASM","SAFe",$E120="PMI-ACP","Category",$E120="ICP-ACC","Category",$E120="PSM 2","Category",$E120="SAFe RTE","SAFe",$E120="",""),"NonCategory")</f>
        <v>NonCategory</v>
      </c>
    </row>
    <row r="121" spans="1:18">
      <c r="A121" s="162">
        <v>44166</v>
      </c>
      <c r="B121" s="164" t="s">
        <v>602</v>
      </c>
      <c r="C121" s="168" t="s">
        <v>603</v>
      </c>
      <c r="D121" s="6" t="s">
        <v>319</v>
      </c>
      <c r="E121" s="6" t="s">
        <v>97</v>
      </c>
      <c r="F121" s="79">
        <v>44166</v>
      </c>
      <c r="G121" s="6" t="s">
        <v>13</v>
      </c>
      <c r="H121" s="6" t="s">
        <v>315</v>
      </c>
      <c r="I121" s="6">
        <v>1</v>
      </c>
      <c r="J121" s="6">
        <v>20000</v>
      </c>
      <c r="K121" s="8">
        <f t="shared" si="1"/>
        <v>229.04260192395787</v>
      </c>
      <c r="L121" s="6" t="s">
        <v>315</v>
      </c>
      <c r="R121" s="6" t="str">
        <f ca="1">IFERROR(_xludf.IFS($E121="CSM","Category",$E121="CSPO","Category", $E121="PSM","Category",$E121="PSPO","Category",$E121="SAFe Agile","SAFe",$E121="SAFe SSM","SAFe",$E121="SAFe POPM","SAFe",$E121="SASM","SAFe",$E121="PMI-ACP","Category",$E121="ICP-ACC","Category",$E121="PSM 2","Category",$E121="SAFe RTE","SAFe",$E121="",""),"NonCategory")</f>
        <v>NonCategory</v>
      </c>
    </row>
    <row r="122" spans="1:18">
      <c r="A122" s="162">
        <v>44195</v>
      </c>
      <c r="B122" s="164" t="s">
        <v>604</v>
      </c>
      <c r="C122" s="168" t="s">
        <v>605</v>
      </c>
      <c r="D122" s="6" t="s">
        <v>319</v>
      </c>
      <c r="E122" s="6" t="s">
        <v>96</v>
      </c>
      <c r="F122" s="79">
        <v>44166</v>
      </c>
      <c r="G122" s="6" t="s">
        <v>13</v>
      </c>
      <c r="H122" s="6" t="s">
        <v>315</v>
      </c>
      <c r="I122" s="6">
        <v>1</v>
      </c>
      <c r="J122" s="6">
        <v>20500</v>
      </c>
      <c r="K122" s="8">
        <f t="shared" si="1"/>
        <v>234.76866697205682</v>
      </c>
      <c r="L122" s="6" t="s">
        <v>315</v>
      </c>
      <c r="R122" s="6" t="str">
        <f ca="1">IFERROR(_xludf.IFS($E122="CSM","Category",$E122="CSPO","Category", $E122="PSM","Category",$E122="PSPO","Category",$E122="SAFe Agile","SAFe",$E122="SAFe SSM","SAFe",$E122="SAFe POPM","SAFe",$E122="SASM","SAFe",$E122="PMI-ACP","Category",$E122="ICP-ACC","Category",$E122="PSM 2","Category",$E122="SAFe RTE","SAFe",$E122="",""),"NonCategory")</f>
        <v>NonCategory</v>
      </c>
    </row>
    <row r="123" spans="1:18">
      <c r="A123" s="162">
        <v>44174</v>
      </c>
      <c r="B123" s="164" t="s">
        <v>606</v>
      </c>
      <c r="C123" s="168" t="s">
        <v>607</v>
      </c>
      <c r="D123" s="6" t="s">
        <v>435</v>
      </c>
      <c r="E123" s="6" t="s">
        <v>96</v>
      </c>
      <c r="F123" s="79">
        <v>44228</v>
      </c>
      <c r="G123" s="6" t="s">
        <v>13</v>
      </c>
      <c r="H123" s="6" t="s">
        <v>315</v>
      </c>
      <c r="I123" s="6">
        <v>1</v>
      </c>
      <c r="J123" s="6">
        <v>20000</v>
      </c>
      <c r="K123" s="8">
        <f t="shared" si="1"/>
        <v>229.04260192395787</v>
      </c>
      <c r="L123" s="6" t="s">
        <v>315</v>
      </c>
      <c r="R123" s="6" t="str">
        <f ca="1">IFERROR(_xludf.IFS($E123="CSM","Category",$E123="CSPO","Category", $E123="PSM","Category",$E123="PSPO","Category",$E123="SAFe Agile","SAFe",$E123="SAFe SSM","SAFe",$E123="SAFe POPM","SAFe",$E123="SASM","SAFe",$E123="PMI-ACP","Category",$E123="ICP-ACC","Category",$E123="PSM 2","Category",$E123="SAFe RTE","SAFe",$E123="",""),"NonCategory")</f>
        <v>NonCategory</v>
      </c>
    </row>
    <row r="124" spans="1:18">
      <c r="A124" s="162">
        <v>44152</v>
      </c>
      <c r="B124" s="164" t="s">
        <v>608</v>
      </c>
      <c r="C124" s="168" t="s">
        <v>609</v>
      </c>
      <c r="D124" s="6" t="s">
        <v>278</v>
      </c>
      <c r="E124" s="6" t="s">
        <v>97</v>
      </c>
      <c r="F124" s="79">
        <v>44166</v>
      </c>
      <c r="G124" s="6" t="s">
        <v>13</v>
      </c>
      <c r="H124" s="6" t="s">
        <v>315</v>
      </c>
      <c r="I124" s="6">
        <v>1</v>
      </c>
      <c r="J124" s="6">
        <v>20000</v>
      </c>
      <c r="K124" s="8">
        <f t="shared" si="1"/>
        <v>229.04260192395787</v>
      </c>
      <c r="L124" s="6" t="s">
        <v>315</v>
      </c>
      <c r="R124" s="6" t="str">
        <f ca="1">IFERROR(_xludf.IFS($E124="CSM","Category",$E124="CSPO","Category", $E124="PSM","Category",$E124="PSPO","Category",$E124="SAFe Agile","SAFe",$E124="SAFe SSM","SAFe",$E124="SAFe POPM","SAFe",$E124="SASM","SAFe",$E124="PMI-ACP","Category",$E124="ICP-ACC","Category",$E124="PSM 2","Category",$E124="SAFe RTE","SAFe",$E124="",""),"NonCategory")</f>
        <v>NonCategory</v>
      </c>
    </row>
    <row r="125" spans="1:18">
      <c r="A125" s="162">
        <v>44148</v>
      </c>
      <c r="B125" s="164" t="s">
        <v>610</v>
      </c>
      <c r="C125" s="168" t="s">
        <v>611</v>
      </c>
      <c r="D125" s="6"/>
      <c r="E125" s="6" t="s">
        <v>96</v>
      </c>
      <c r="F125" s="79">
        <v>44166</v>
      </c>
      <c r="G125" s="6" t="s">
        <v>13</v>
      </c>
      <c r="H125" s="6" t="s">
        <v>315</v>
      </c>
      <c r="I125" s="6">
        <v>1</v>
      </c>
      <c r="J125" s="6">
        <v>20000</v>
      </c>
      <c r="K125" s="8">
        <f t="shared" si="1"/>
        <v>229.04260192395787</v>
      </c>
      <c r="L125" s="6" t="s">
        <v>315</v>
      </c>
      <c r="R125" s="6" t="str">
        <f ca="1">IFERROR(_xludf.IFS($E125="CSM","Category",$E125="CSPO","Category", $E125="PSM","Category",$E125="PSPO","Category",$E125="SAFe Agile","SAFe",$E125="SAFe SSM","SAFe",$E125="SAFe POPM","SAFe",$E125="SASM","SAFe",$E125="PMI-ACP","Category",$E125="ICP-ACC","Category",$E125="PSM 2","Category",$E125="SAFe RTE","SAFe",$E125="",""),"NonCategory")</f>
        <v>NonCategory</v>
      </c>
    </row>
    <row r="126" spans="1:18">
      <c r="A126" s="162">
        <v>44167</v>
      </c>
      <c r="B126" s="164" t="s">
        <v>612</v>
      </c>
      <c r="C126" s="168" t="s">
        <v>613</v>
      </c>
      <c r="D126" s="6" t="s">
        <v>343</v>
      </c>
      <c r="E126" s="6" t="s">
        <v>96</v>
      </c>
      <c r="F126" s="79">
        <v>44166</v>
      </c>
      <c r="G126" s="6" t="s">
        <v>13</v>
      </c>
      <c r="H126" s="6" t="s">
        <v>315</v>
      </c>
      <c r="I126" s="6">
        <v>1</v>
      </c>
      <c r="J126" s="6">
        <v>20000</v>
      </c>
      <c r="K126" s="8">
        <f t="shared" si="1"/>
        <v>229.04260192395787</v>
      </c>
      <c r="L126" s="6" t="s">
        <v>315</v>
      </c>
      <c r="R126" s="6" t="str">
        <f ca="1">IFERROR(_xludf.IFS($E126="CSM","Category",$E126="CSPO","Category", $E126="PSM","Category",$E126="PSPO","Category",$E126="SAFe Agile","SAFe",$E126="SAFe SSM","SAFe",$E126="SAFe POPM","SAFe",$E126="SASM","SAFe",$E126="PMI-ACP","Category",$E126="ICP-ACC","Category",$E126="PSM 2","Category",$E126="SAFe RTE","SAFe",$E126="",""),"NonCategory")</f>
        <v>NonCategory</v>
      </c>
    </row>
    <row r="127" spans="1:18">
      <c r="A127" s="162">
        <v>44183</v>
      </c>
      <c r="B127" s="164" t="s">
        <v>614</v>
      </c>
      <c r="C127" s="168" t="s">
        <v>615</v>
      </c>
      <c r="D127" s="6" t="s">
        <v>343</v>
      </c>
      <c r="E127" s="6" t="s">
        <v>96</v>
      </c>
      <c r="F127" s="79">
        <v>44166</v>
      </c>
      <c r="G127" s="6" t="s">
        <v>13</v>
      </c>
      <c r="H127" s="6" t="s">
        <v>315</v>
      </c>
      <c r="I127" s="6">
        <v>1</v>
      </c>
      <c r="J127" s="6">
        <v>21000</v>
      </c>
      <c r="K127" s="8">
        <f t="shared" si="1"/>
        <v>240.49473202015577</v>
      </c>
      <c r="L127" s="6" t="s">
        <v>315</v>
      </c>
      <c r="R127" s="6" t="str">
        <f ca="1">IFERROR(_xludf.IFS($E127="CSM","Category",$E127="CSPO","Category", $E127="PSM","Category",$E127="PSPO","Category",$E127="SAFe Agile","SAFe",$E127="SAFe SSM","SAFe",$E127="SAFe POPM","SAFe",$E127="SASM","SAFe",$E127="PMI-ACP","Category",$E127="ICP-ACC","Category",$E127="PSM 2","Category",$E127="SAFe RTE","SAFe",$E127="",""),"NonCategory")</f>
        <v>NonCategory</v>
      </c>
    </row>
    <row r="128" spans="1:18">
      <c r="A128" s="162">
        <v>44155</v>
      </c>
      <c r="B128" s="164" t="s">
        <v>616</v>
      </c>
      <c r="C128" s="168" t="s">
        <v>617</v>
      </c>
      <c r="E128" s="6" t="s">
        <v>96</v>
      </c>
      <c r="F128" s="79">
        <v>44166</v>
      </c>
      <c r="G128" s="6" t="s">
        <v>13</v>
      </c>
      <c r="H128" s="6" t="s">
        <v>618</v>
      </c>
      <c r="I128" s="6">
        <v>1</v>
      </c>
      <c r="J128" s="6">
        <v>20000</v>
      </c>
      <c r="K128" s="8">
        <f t="shared" si="1"/>
        <v>229.04260192395787</v>
      </c>
      <c r="L128" s="6" t="s">
        <v>315</v>
      </c>
      <c r="M128" s="6"/>
      <c r="N128" s="6" t="s">
        <v>619</v>
      </c>
      <c r="R128" s="6" t="str">
        <f ca="1">IFERROR(_xludf.IFS($E128="CSM","Category",$E128="CSPO","Category", $E128="PSM","Category",$E128="PSPO","Category",$E128="SAFe Agile","SAFe",$E128="SAFe SSM","SAFe",$E128="SAFe POPM","SAFe",$E128="SASM","SAFe",$E128="PMI-ACP","Category",$E128="ICP-ACC","Category",$E128="PSM 2","Category",$E128="SAFe RTE","SAFe",$E128="",""),"NonCategory")</f>
        <v>NonCategory</v>
      </c>
    </row>
    <row r="129" spans="1:18">
      <c r="A129" s="162">
        <v>44202</v>
      </c>
      <c r="B129" s="164" t="s">
        <v>620</v>
      </c>
      <c r="C129" s="168" t="s">
        <v>621</v>
      </c>
      <c r="D129" s="6" t="s">
        <v>306</v>
      </c>
      <c r="E129" s="6" t="s">
        <v>96</v>
      </c>
      <c r="F129" s="79">
        <v>44197</v>
      </c>
      <c r="G129" s="6" t="s">
        <v>16</v>
      </c>
      <c r="H129" s="6" t="s">
        <v>427</v>
      </c>
      <c r="I129" s="6">
        <v>1</v>
      </c>
      <c r="J129" s="8">
        <v>21500</v>
      </c>
      <c r="K129" s="8">
        <f t="shared" si="1"/>
        <v>246.22079706825471</v>
      </c>
      <c r="L129" s="97">
        <v>44202</v>
      </c>
      <c r="M129" s="6" t="s">
        <v>502</v>
      </c>
      <c r="N129" s="97">
        <v>44202</v>
      </c>
      <c r="O129" s="20" t="s">
        <v>5284</v>
      </c>
      <c r="Q129" s="6" t="s">
        <v>356</v>
      </c>
      <c r="R129" s="6" t="str">
        <f ca="1">IFERROR(_xludf.IFS($E129="CSM","Category",$E129="CSPO","Category", $E129="PSM","Category",$E129="PSPO","Category",$E129="SAFe Agile","SAFe",$E129="SAFe SSM","SAFe",$E129="SAFe POPM","SAFe",$E129="SASM","SAFe",$E129="PMI-ACP","Category",$E129="ICP-ACC","Category",$E129="PSM 2","Category",$E129="SAFe RTE","SAFe",$E129="",""),"NonCategory")</f>
        <v>NonCategory</v>
      </c>
    </row>
    <row r="130" spans="1:18">
      <c r="A130" s="162">
        <v>44181</v>
      </c>
      <c r="B130" s="164" t="s">
        <v>622</v>
      </c>
      <c r="C130" s="168" t="s">
        <v>623</v>
      </c>
      <c r="D130" s="6" t="s">
        <v>303</v>
      </c>
      <c r="E130" s="6" t="s">
        <v>402</v>
      </c>
      <c r="F130" s="79">
        <v>44166</v>
      </c>
      <c r="G130" s="6" t="s">
        <v>13</v>
      </c>
      <c r="H130" s="6" t="s">
        <v>315</v>
      </c>
      <c r="I130" s="6">
        <v>1</v>
      </c>
      <c r="J130" s="6">
        <v>27138</v>
      </c>
      <c r="K130" s="8">
        <f t="shared" ref="K130:K193" si="2">IFERROR((($J130/1.18))/74,"")</f>
        <v>310.7879065506184</v>
      </c>
      <c r="L130" s="6" t="s">
        <v>315</v>
      </c>
      <c r="R130" s="6" t="str">
        <f ca="1">IFERROR(_xludf.IFS($E130="CSM","Category",$E130="CSPO","Category", $E130="PSM","Category",$E130="PSPO","Category",$E130="SAFe Agile","SAFe",$E130="SAFe SSM","SAFe",$E130="SAFe POPM","SAFe",$E130="SASM","SAFe",$E130="PMI-ACP","Category",$E130="ICP-ACC","Category",$E130="PSM 2","Category",$E130="SAFe RTE","SAFe",$E130="",""),"NonCategory")</f>
        <v>NonCategory</v>
      </c>
    </row>
    <row r="131" spans="1:18">
      <c r="A131" s="162">
        <v>44177</v>
      </c>
      <c r="B131" s="164" t="s">
        <v>624</v>
      </c>
      <c r="C131" s="168" t="s">
        <v>625</v>
      </c>
      <c r="D131" s="6" t="s">
        <v>343</v>
      </c>
      <c r="E131" s="6" t="s">
        <v>96</v>
      </c>
      <c r="F131" s="79">
        <v>44166</v>
      </c>
      <c r="G131" s="6" t="s">
        <v>13</v>
      </c>
      <c r="H131" s="6" t="s">
        <v>315</v>
      </c>
      <c r="I131" s="6">
        <v>1</v>
      </c>
      <c r="J131" s="6">
        <v>20000</v>
      </c>
      <c r="K131" s="8">
        <f t="shared" si="2"/>
        <v>229.04260192395787</v>
      </c>
      <c r="L131" s="6" t="s">
        <v>315</v>
      </c>
      <c r="R131" s="6" t="str">
        <f ca="1">IFERROR(_xludf.IFS($E131="CSM","Category",$E131="CSPO","Category", $E131="PSM","Category",$E131="PSPO","Category",$E131="SAFe Agile","SAFe",$E131="SAFe SSM","SAFe",$E131="SAFe POPM","SAFe",$E131="SASM","SAFe",$E131="PMI-ACP","Category",$E131="ICP-ACC","Category",$E131="PSM 2","Category",$E131="SAFe RTE","SAFe",$E131="",""),"NonCategory")</f>
        <v>NonCategory</v>
      </c>
    </row>
    <row r="132" spans="1:18">
      <c r="A132" s="162">
        <v>44172</v>
      </c>
      <c r="B132" s="164" t="s">
        <v>626</v>
      </c>
      <c r="C132" s="168" t="s">
        <v>627</v>
      </c>
      <c r="D132" s="6" t="s">
        <v>435</v>
      </c>
      <c r="E132" s="6" t="s">
        <v>402</v>
      </c>
      <c r="F132" s="80"/>
      <c r="G132" s="6" t="s">
        <v>13</v>
      </c>
      <c r="H132" s="6" t="s">
        <v>315</v>
      </c>
      <c r="I132" s="6">
        <v>1</v>
      </c>
      <c r="J132" s="6">
        <v>22000</v>
      </c>
      <c r="K132" s="8">
        <f t="shared" si="2"/>
        <v>251.94686211635369</v>
      </c>
      <c r="L132" s="6" t="s">
        <v>315</v>
      </c>
      <c r="R132" s="6" t="str">
        <f ca="1">IFERROR(_xludf.IFS($E132="CSM","Category",$E132="CSPO","Category", $E132="PSM","Category",$E132="PSPO","Category",$E132="SAFe Agile","SAFe",$E132="SAFe SSM","SAFe",$E132="SAFe POPM","SAFe",$E132="SASM","SAFe",$E132="PMI-ACP","Category",$E132="ICP-ACC","Category",$E132="PSM 2","Category",$E132="SAFe RTE","SAFe",$E132="",""),"NonCategory")</f>
        <v>NonCategory</v>
      </c>
    </row>
    <row r="133" spans="1:18">
      <c r="A133" s="162">
        <v>44162</v>
      </c>
      <c r="B133" s="164" t="s">
        <v>628</v>
      </c>
      <c r="C133" s="168" t="s">
        <v>629</v>
      </c>
      <c r="D133" s="6" t="s">
        <v>303</v>
      </c>
      <c r="E133" s="6" t="s">
        <v>96</v>
      </c>
      <c r="F133" s="80"/>
      <c r="G133" s="6" t="s">
        <v>13</v>
      </c>
      <c r="H133" s="6" t="s">
        <v>315</v>
      </c>
      <c r="I133" s="6">
        <v>1</v>
      </c>
      <c r="J133" s="6">
        <v>21000</v>
      </c>
      <c r="K133" s="8">
        <f t="shared" si="2"/>
        <v>240.49473202015577</v>
      </c>
      <c r="L133" s="6" t="s">
        <v>315</v>
      </c>
      <c r="R133" s="6" t="str">
        <f ca="1">IFERROR(_xludf.IFS($E133="CSM","Category",$E133="CSPO","Category", $E133="PSM","Category",$E133="PSPO","Category",$E133="SAFe Agile","SAFe",$E133="SAFe SSM","SAFe",$E133="SAFe POPM","SAFe",$E133="SASM","SAFe",$E133="PMI-ACP","Category",$E133="ICP-ACC","Category",$E133="PSM 2","Category",$E133="SAFe RTE","SAFe",$E133="",""),"NonCategory")</f>
        <v>NonCategory</v>
      </c>
    </row>
    <row r="134" spans="1:18">
      <c r="A134" s="162">
        <v>44203</v>
      </c>
      <c r="B134" s="164" t="s">
        <v>630</v>
      </c>
      <c r="C134" s="168" t="s">
        <v>631</v>
      </c>
      <c r="D134" s="6" t="s">
        <v>306</v>
      </c>
      <c r="E134" s="6" t="s">
        <v>97</v>
      </c>
      <c r="F134" s="79">
        <v>44197</v>
      </c>
      <c r="G134" s="6" t="s">
        <v>16</v>
      </c>
      <c r="H134" s="6" t="s">
        <v>536</v>
      </c>
      <c r="I134" s="6">
        <v>1</v>
      </c>
      <c r="J134" s="8">
        <v>22000</v>
      </c>
      <c r="K134" s="8">
        <f t="shared" si="2"/>
        <v>251.94686211635369</v>
      </c>
      <c r="L134" s="97">
        <v>44203</v>
      </c>
      <c r="M134" s="6" t="s">
        <v>502</v>
      </c>
      <c r="N134" s="97">
        <v>44203</v>
      </c>
      <c r="O134" s="103" t="s">
        <v>5285</v>
      </c>
      <c r="Q134" s="6" t="s">
        <v>356</v>
      </c>
      <c r="R134" s="6" t="str">
        <f ca="1">IFERROR(_xludf.IFS($E134="CSM","Category",$E134="CSPO","Category", $E134="PSM","Category",$E134="PSPO","Category",$E134="SAFe Agile","SAFe",$E134="SAFe SSM","SAFe",$E134="SAFe POPM","SAFe",$E134="SASM","SAFe",$E134="PMI-ACP","Category",$E134="ICP-ACC","Category",$E134="PSM 2","Category",$E134="SAFe RTE","SAFe",$E134="",""),"NonCategory")</f>
        <v>NonCategory</v>
      </c>
    </row>
    <row r="135" spans="1:18">
      <c r="A135" s="162">
        <v>44205</v>
      </c>
      <c r="B135" s="164" t="s">
        <v>632</v>
      </c>
      <c r="C135" s="168" t="s">
        <v>633</v>
      </c>
      <c r="D135" s="6" t="s">
        <v>303</v>
      </c>
      <c r="E135" s="6" t="s">
        <v>96</v>
      </c>
      <c r="F135" s="79">
        <v>44197</v>
      </c>
      <c r="G135" s="6" t="s">
        <v>16</v>
      </c>
      <c r="H135" s="6" t="s">
        <v>520</v>
      </c>
      <c r="I135" s="6">
        <v>1</v>
      </c>
      <c r="J135" s="8">
        <v>20000</v>
      </c>
      <c r="K135" s="8">
        <f t="shared" si="2"/>
        <v>229.04260192395787</v>
      </c>
      <c r="L135" s="97">
        <v>44205</v>
      </c>
      <c r="M135" s="6" t="s">
        <v>502</v>
      </c>
      <c r="N135" s="97">
        <v>44205</v>
      </c>
      <c r="O135" s="107" t="s">
        <v>5286</v>
      </c>
      <c r="Q135" s="6" t="s">
        <v>280</v>
      </c>
      <c r="R135" s="6" t="str">
        <f ca="1">IFERROR(_xludf.IFS($E135="CSM","Category",$E135="CSPO","Category", $E135="PSM","Category",$E135="PSPO","Category",$E135="SAFe Agile","SAFe",$E135="SAFe SSM","SAFe",$E135="SAFe POPM","SAFe",$E135="SASM","SAFe",$E135="PMI-ACP","Category",$E135="ICP-ACC","Category",$E135="PSM 2","Category",$E135="SAFe RTE","SAFe",$E135="",""),"NonCategory")</f>
        <v>NonCategory</v>
      </c>
    </row>
    <row r="136" spans="1:18">
      <c r="A136" s="162">
        <v>44156</v>
      </c>
      <c r="B136" s="164" t="s">
        <v>634</v>
      </c>
      <c r="C136" s="168" t="s">
        <v>635</v>
      </c>
      <c r="E136" s="6" t="s">
        <v>96</v>
      </c>
      <c r="F136" s="80"/>
      <c r="G136" s="6" t="s">
        <v>13</v>
      </c>
      <c r="H136" s="6" t="s">
        <v>315</v>
      </c>
      <c r="I136" s="6">
        <v>1</v>
      </c>
      <c r="J136" s="6">
        <v>20000</v>
      </c>
      <c r="K136" s="8">
        <f t="shared" si="2"/>
        <v>229.04260192395787</v>
      </c>
      <c r="L136" s="6" t="s">
        <v>315</v>
      </c>
      <c r="R136" s="6" t="str">
        <f ca="1">IFERROR(_xludf.IFS($E136="CSM","Category",$E136="CSPO","Category", $E136="PSM","Category",$E136="PSPO","Category",$E136="SAFe Agile","SAFe",$E136="SAFe SSM","SAFe",$E136="SAFe POPM","SAFe",$E136="SASM","SAFe",$E136="PMI-ACP","Category",$E136="ICP-ACC","Category",$E136="PSM 2","Category",$E136="SAFe RTE","SAFe",$E136="",""),"NonCategory")</f>
        <v>NonCategory</v>
      </c>
    </row>
    <row r="137" spans="1:18">
      <c r="A137" s="162">
        <v>44161</v>
      </c>
      <c r="B137" s="164" t="s">
        <v>636</v>
      </c>
      <c r="C137" s="168" t="s">
        <v>637</v>
      </c>
      <c r="D137" s="6" t="s">
        <v>638</v>
      </c>
      <c r="E137" s="6" t="s">
        <v>96</v>
      </c>
      <c r="F137" s="80"/>
      <c r="G137" s="6" t="s">
        <v>13</v>
      </c>
      <c r="H137" s="6" t="s">
        <v>315</v>
      </c>
      <c r="I137" s="6">
        <v>1</v>
      </c>
      <c r="J137" s="6">
        <v>20000</v>
      </c>
      <c r="K137" s="8">
        <f t="shared" si="2"/>
        <v>229.04260192395787</v>
      </c>
      <c r="L137" s="6" t="s">
        <v>315</v>
      </c>
      <c r="R137" s="6" t="str">
        <f ca="1">IFERROR(_xludf.IFS($E137="CSM","Category",$E137="CSPO","Category", $E137="PSM","Category",$E137="PSPO","Category",$E137="SAFe Agile","SAFe",$E137="SAFe SSM","SAFe",$E137="SAFe POPM","SAFe",$E137="SASM","SAFe",$E137="PMI-ACP","Category",$E137="ICP-ACC","Category",$E137="PSM 2","Category",$E137="SAFe RTE","SAFe",$E137="",""),"NonCategory")</f>
        <v>NonCategory</v>
      </c>
    </row>
    <row r="138" spans="1:18">
      <c r="A138" s="162">
        <v>44166</v>
      </c>
      <c r="B138" s="164" t="s">
        <v>639</v>
      </c>
      <c r="C138" s="168" t="s">
        <v>640</v>
      </c>
      <c r="D138" s="6" t="s">
        <v>435</v>
      </c>
      <c r="E138" s="6" t="s">
        <v>641</v>
      </c>
      <c r="F138" s="80"/>
      <c r="G138" s="6" t="s">
        <v>13</v>
      </c>
      <c r="H138" s="6" t="s">
        <v>315</v>
      </c>
      <c r="I138" s="6">
        <v>1</v>
      </c>
      <c r="J138" s="6">
        <v>22000</v>
      </c>
      <c r="K138" s="8">
        <f t="shared" si="2"/>
        <v>251.94686211635369</v>
      </c>
      <c r="L138" s="6" t="s">
        <v>315</v>
      </c>
      <c r="R138" s="6" t="str">
        <f ca="1">IFERROR(_xludf.IFS($E138="CSM","Category",$E138="CSPO","Category", $E138="PSM","Category",$E138="PSPO","Category",$E138="SAFe Agile","SAFe",$E138="SAFe SSM","SAFe",$E138="SAFe POPM","SAFe",$E138="SASM","SAFe",$E138="PMI-ACP","Category",$E138="ICP-ACC","Category",$E138="PSM 2","Category",$E138="SAFe RTE","SAFe",$E138="",""),"NonCategory")</f>
        <v>NonCategory</v>
      </c>
    </row>
    <row r="139" spans="1:18">
      <c r="A139" s="162">
        <v>44205</v>
      </c>
      <c r="B139" s="164" t="s">
        <v>642</v>
      </c>
      <c r="C139" s="168" t="s">
        <v>643</v>
      </c>
      <c r="D139" s="6" t="s">
        <v>287</v>
      </c>
      <c r="E139" s="6" t="s">
        <v>96</v>
      </c>
      <c r="F139" s="79">
        <v>44197</v>
      </c>
      <c r="G139" s="6" t="s">
        <v>16</v>
      </c>
      <c r="H139" s="6" t="s">
        <v>427</v>
      </c>
      <c r="I139" s="6">
        <v>1</v>
      </c>
      <c r="J139" s="8">
        <v>22500</v>
      </c>
      <c r="K139" s="8">
        <f t="shared" si="2"/>
        <v>257.67292716445257</v>
      </c>
      <c r="L139" s="97">
        <v>44206</v>
      </c>
      <c r="M139" s="6" t="s">
        <v>502</v>
      </c>
      <c r="N139" s="97">
        <v>44206</v>
      </c>
      <c r="O139" s="107" t="s">
        <v>5287</v>
      </c>
      <c r="Q139" s="6" t="s">
        <v>356</v>
      </c>
      <c r="R139" s="6" t="str">
        <f ca="1">IFERROR(_xludf.IFS($E139="CSM","Category",$E139="CSPO","Category", $E139="PSM","Category",$E139="PSPO","Category",$E139="SAFe Agile","SAFe",$E139="SAFe SSM","SAFe",$E139="SAFe POPM","SAFe",$E139="SASM","SAFe",$E139="PMI-ACP","Category",$E139="ICP-ACC","Category",$E139="PSM 2","Category",$E139="SAFe RTE","SAFe",$E139="",""),"NonCategory")</f>
        <v>NonCategory</v>
      </c>
    </row>
    <row r="140" spans="1:18">
      <c r="A140" s="162">
        <v>44160</v>
      </c>
      <c r="B140" s="164" t="s">
        <v>610</v>
      </c>
      <c r="C140" s="168" t="s">
        <v>644</v>
      </c>
      <c r="E140" s="6" t="s">
        <v>96</v>
      </c>
      <c r="F140" s="80"/>
      <c r="G140" s="6" t="s">
        <v>13</v>
      </c>
      <c r="H140" s="6" t="s">
        <v>315</v>
      </c>
      <c r="I140" s="6">
        <v>1</v>
      </c>
      <c r="J140" s="6">
        <v>22000</v>
      </c>
      <c r="K140" s="8">
        <f t="shared" si="2"/>
        <v>251.94686211635369</v>
      </c>
      <c r="L140" s="6" t="s">
        <v>315</v>
      </c>
      <c r="R140" s="6" t="str">
        <f ca="1">IFERROR(_xludf.IFS($E140="CSM","Category",$E140="CSPO","Category", $E140="PSM","Category",$E140="PSPO","Category",$E140="SAFe Agile","SAFe",$E140="SAFe SSM","SAFe",$E140="SAFe POPM","SAFe",$E140="SASM","SAFe",$E140="PMI-ACP","Category",$E140="ICP-ACC","Category",$E140="PSM 2","Category",$E140="SAFe RTE","SAFe",$E140="",""),"NonCategory")</f>
        <v>NonCategory</v>
      </c>
    </row>
    <row r="141" spans="1:18">
      <c r="A141" s="162">
        <v>44148</v>
      </c>
      <c r="B141" s="164" t="s">
        <v>645</v>
      </c>
      <c r="C141" s="168" t="s">
        <v>646</v>
      </c>
      <c r="D141" s="6"/>
      <c r="E141" s="6" t="s">
        <v>97</v>
      </c>
      <c r="F141" s="80"/>
      <c r="G141" s="6" t="s">
        <v>13</v>
      </c>
      <c r="H141" s="6" t="s">
        <v>315</v>
      </c>
      <c r="I141" s="6">
        <v>1</v>
      </c>
      <c r="J141" s="6">
        <v>20000</v>
      </c>
      <c r="K141" s="8">
        <f t="shared" si="2"/>
        <v>229.04260192395787</v>
      </c>
      <c r="L141" s="6" t="s">
        <v>315</v>
      </c>
      <c r="R141" s="6" t="str">
        <f ca="1">IFERROR(_xludf.IFS($E141="CSM","Category",$E141="CSPO","Category", $E141="PSM","Category",$E141="PSPO","Category",$E141="SAFe Agile","SAFe",$E141="SAFe SSM","SAFe",$E141="SAFe POPM","SAFe",$E141="SASM","SAFe",$E141="PMI-ACP","Category",$E141="ICP-ACC","Category",$E141="PSM 2","Category",$E141="SAFe RTE","SAFe",$E141="",""),"NonCategory")</f>
        <v>NonCategory</v>
      </c>
    </row>
    <row r="142" spans="1:18">
      <c r="A142" s="162">
        <v>44207</v>
      </c>
      <c r="B142" s="164" t="s">
        <v>647</v>
      </c>
      <c r="C142" s="168" t="s">
        <v>648</v>
      </c>
      <c r="D142" s="6" t="s">
        <v>306</v>
      </c>
      <c r="E142" s="6" t="s">
        <v>96</v>
      </c>
      <c r="F142" s="79">
        <v>44197</v>
      </c>
      <c r="G142" s="6" t="s">
        <v>16</v>
      </c>
      <c r="H142" s="6" t="s">
        <v>649</v>
      </c>
      <c r="I142" s="6">
        <v>1</v>
      </c>
      <c r="J142" s="8">
        <v>19000</v>
      </c>
      <c r="K142" s="8">
        <f t="shared" si="2"/>
        <v>217.59047182775998</v>
      </c>
      <c r="L142" s="97">
        <v>44207</v>
      </c>
      <c r="M142" s="6" t="s">
        <v>650</v>
      </c>
      <c r="N142" s="97">
        <v>44207</v>
      </c>
      <c r="O142" s="107" t="s">
        <v>5288</v>
      </c>
      <c r="Q142" s="6" t="s">
        <v>356</v>
      </c>
      <c r="R142" s="6" t="str">
        <f ca="1">IFERROR(_xludf.IFS($E142="CSM","Category",$E142="CSPO","Category", $E142="PSM","Category",$E142="PSPO","Category",$E142="SAFe Agile","SAFe",$E142="SAFe SSM","SAFe",$E142="SAFe POPM","SAFe",$E142="SASM","SAFe",$E142="PMI-ACP","Category",$E142="ICP-ACC","Category",$E142="PSM 2","Category",$E142="SAFe RTE","SAFe",$E142="",""),"NonCategory")</f>
        <v>NonCategory</v>
      </c>
    </row>
    <row r="143" spans="1:18">
      <c r="A143" s="162">
        <v>44151</v>
      </c>
      <c r="B143" s="164" t="s">
        <v>651</v>
      </c>
      <c r="C143" s="168" t="s">
        <v>652</v>
      </c>
      <c r="D143" s="6"/>
      <c r="E143" s="6" t="s">
        <v>402</v>
      </c>
      <c r="F143" s="80"/>
      <c r="G143" s="6" t="s">
        <v>13</v>
      </c>
      <c r="H143" s="6" t="s">
        <v>315</v>
      </c>
      <c r="I143" s="6">
        <v>1</v>
      </c>
      <c r="J143" s="6">
        <v>20000</v>
      </c>
      <c r="K143" s="8">
        <f t="shared" si="2"/>
        <v>229.04260192395787</v>
      </c>
      <c r="L143" s="6" t="s">
        <v>315</v>
      </c>
      <c r="R143" s="6" t="str">
        <f ca="1">IFERROR(_xludf.IFS($E143="CSM","Category",$E143="CSPO","Category", $E143="PSM","Category",$E143="PSPO","Category",$E143="SAFe Agile","SAFe",$E143="SAFe SSM","SAFe",$E143="SAFe POPM","SAFe",$E143="SASM","SAFe",$E143="PMI-ACP","Category",$E143="ICP-ACC","Category",$E143="PSM 2","Category",$E143="SAFe RTE","SAFe",$E143="",""),"NonCategory")</f>
        <v>NonCategory</v>
      </c>
    </row>
    <row r="144" spans="1:18">
      <c r="A144" s="162">
        <v>44158</v>
      </c>
      <c r="B144" s="164" t="s">
        <v>653</v>
      </c>
      <c r="C144" s="168" t="s">
        <v>654</v>
      </c>
      <c r="D144" s="6" t="s">
        <v>435</v>
      </c>
      <c r="E144" s="6" t="s">
        <v>96</v>
      </c>
      <c r="F144" s="80"/>
      <c r="G144" s="6" t="s">
        <v>13</v>
      </c>
      <c r="H144" s="6" t="s">
        <v>315</v>
      </c>
      <c r="I144" s="6">
        <v>1</v>
      </c>
      <c r="J144" s="6">
        <v>20000</v>
      </c>
      <c r="K144" s="8">
        <f t="shared" si="2"/>
        <v>229.04260192395787</v>
      </c>
      <c r="L144" s="6" t="s">
        <v>315</v>
      </c>
      <c r="R144" s="6" t="str">
        <f ca="1">IFERROR(_xludf.IFS($E144="CSM","Category",$E144="CSPO","Category", $E144="PSM","Category",$E144="PSPO","Category",$E144="SAFe Agile","SAFe",$E144="SAFe SSM","SAFe",$E144="SAFe POPM","SAFe",$E144="SASM","SAFe",$E144="PMI-ACP","Category",$E144="ICP-ACC","Category",$E144="PSM 2","Category",$E144="SAFe RTE","SAFe",$E144="",""),"NonCategory")</f>
        <v>NonCategory</v>
      </c>
    </row>
    <row r="145" spans="1:18">
      <c r="A145" s="162">
        <v>44161</v>
      </c>
      <c r="B145" s="164" t="s">
        <v>655</v>
      </c>
      <c r="C145" s="168" t="s">
        <v>656</v>
      </c>
      <c r="D145" s="6" t="s">
        <v>421</v>
      </c>
      <c r="E145" s="6" t="s">
        <v>97</v>
      </c>
      <c r="F145" s="80"/>
      <c r="G145" s="6" t="s">
        <v>13</v>
      </c>
      <c r="H145" s="6" t="s">
        <v>315</v>
      </c>
      <c r="I145" s="6">
        <v>1</v>
      </c>
      <c r="J145" s="6">
        <v>21000</v>
      </c>
      <c r="K145" s="8">
        <f t="shared" si="2"/>
        <v>240.49473202015577</v>
      </c>
      <c r="L145" s="6" t="s">
        <v>315</v>
      </c>
      <c r="R145" s="6" t="str">
        <f ca="1">IFERROR(_xludf.IFS($E145="CSM","Category",$E145="CSPO","Category", $E145="PSM","Category",$E145="PSPO","Category",$E145="SAFe Agile","SAFe",$E145="SAFe SSM","SAFe",$E145="SAFe POPM","SAFe",$E145="SASM","SAFe",$E145="PMI-ACP","Category",$E145="ICP-ACC","Category",$E145="PSM 2","Category",$E145="SAFe RTE","SAFe",$E145="",""),"NonCategory")</f>
        <v>NonCategory</v>
      </c>
    </row>
    <row r="146" spans="1:18">
      <c r="A146" s="162">
        <v>44201</v>
      </c>
      <c r="B146" s="164" t="s">
        <v>657</v>
      </c>
      <c r="C146" s="168" t="s">
        <v>658</v>
      </c>
      <c r="D146" s="6" t="s">
        <v>278</v>
      </c>
      <c r="E146" s="6" t="s">
        <v>96</v>
      </c>
      <c r="F146" s="79">
        <v>44197</v>
      </c>
      <c r="G146" s="6" t="s">
        <v>16</v>
      </c>
      <c r="H146" s="6" t="s">
        <v>427</v>
      </c>
      <c r="I146" s="6">
        <v>1</v>
      </c>
      <c r="J146" s="8">
        <v>20000</v>
      </c>
      <c r="K146" s="8">
        <f t="shared" si="2"/>
        <v>229.04260192395787</v>
      </c>
      <c r="L146" s="97">
        <v>44207</v>
      </c>
      <c r="M146" s="6" t="s">
        <v>650</v>
      </c>
      <c r="N146" s="97">
        <v>44208</v>
      </c>
      <c r="O146" s="108" t="s">
        <v>5289</v>
      </c>
      <c r="P146" s="6" t="s">
        <v>659</v>
      </c>
      <c r="Q146" s="6" t="s">
        <v>356</v>
      </c>
      <c r="R146" s="6" t="str">
        <f ca="1">IFERROR(_xludf.IFS($E146="CSM","Category",$E146="CSPO","Category", $E146="PSM","Category",$E146="PSPO","Category",$E146="SAFe Agile","SAFe",$E146="SAFe SSM","SAFe",$E146="SAFe POPM","SAFe",$E146="SASM","SAFe",$E146="PMI-ACP","Category",$E146="ICP-ACC","Category",$E146="PSM 2","Category",$E146="SAFe RTE","SAFe",$E146="",""),"NonCategory")</f>
        <v>NonCategory</v>
      </c>
    </row>
    <row r="147" spans="1:18">
      <c r="A147" s="162">
        <v>44207</v>
      </c>
      <c r="B147" s="164" t="s">
        <v>660</v>
      </c>
      <c r="C147" s="168" t="s">
        <v>661</v>
      </c>
      <c r="D147" s="6" t="s">
        <v>278</v>
      </c>
      <c r="E147" s="6" t="s">
        <v>97</v>
      </c>
      <c r="F147" s="79">
        <v>44197</v>
      </c>
      <c r="G147" s="6" t="s">
        <v>16</v>
      </c>
      <c r="H147" s="6" t="s">
        <v>579</v>
      </c>
      <c r="I147" s="6">
        <v>1</v>
      </c>
      <c r="J147" s="8">
        <v>18500</v>
      </c>
      <c r="K147" s="8">
        <f t="shared" si="2"/>
        <v>211.86440677966101</v>
      </c>
      <c r="L147" s="97">
        <v>44208</v>
      </c>
      <c r="M147" s="6" t="s">
        <v>650</v>
      </c>
      <c r="N147" s="97">
        <v>44208</v>
      </c>
      <c r="O147" s="108" t="s">
        <v>5290</v>
      </c>
      <c r="P147" s="6" t="s">
        <v>662</v>
      </c>
      <c r="Q147" s="6" t="s">
        <v>280</v>
      </c>
      <c r="R147" s="6" t="str">
        <f ca="1">IFERROR(_xludf.IFS($E147="CSM","Category",$E147="CSPO","Category", $E147="PSM","Category",$E147="PSPO","Category",$E147="SAFe Agile","SAFe",$E147="SAFe SSM","SAFe",$E147="SAFe POPM","SAFe",$E147="SASM","SAFe",$E147="PMI-ACP","Category",$E147="ICP-ACC","Category",$E147="PSM 2","Category",$E147="SAFe RTE","SAFe",$E147="",""),"NonCategory")</f>
        <v>NonCategory</v>
      </c>
    </row>
    <row r="148" spans="1:18">
      <c r="A148" s="162">
        <v>44202</v>
      </c>
      <c r="B148" s="164" t="s">
        <v>663</v>
      </c>
      <c r="C148" s="168" t="s">
        <v>664</v>
      </c>
      <c r="D148" s="6" t="s">
        <v>319</v>
      </c>
      <c r="E148" s="6" t="s">
        <v>25</v>
      </c>
      <c r="F148" s="79">
        <v>44197</v>
      </c>
      <c r="G148" s="6" t="s">
        <v>13</v>
      </c>
      <c r="H148" s="6" t="s">
        <v>427</v>
      </c>
      <c r="I148" s="6">
        <v>1</v>
      </c>
      <c r="J148" s="6">
        <v>48000</v>
      </c>
      <c r="K148" s="8">
        <f t="shared" si="2"/>
        <v>549.70224461749888</v>
      </c>
      <c r="L148" s="97">
        <v>44210</v>
      </c>
      <c r="R148" s="6" t="str">
        <f ca="1">IFERROR(_xludf.IFS($E148="CSM","Category",$E148="CSPO","Category", $E148="PSM","Category",$E148="PSPO","Category",$E148="SAFe Agile","SAFe",$E148="SAFe SSM","SAFe",$E148="SAFe POPM","SAFe",$E148="SASM","SAFe",$E148="PMI-ACP","Category",$E148="ICP-ACC","Category",$E148="PSM 2","Category",$E148="SAFe RTE","SAFe",$E148="",""),"NonCategory")</f>
        <v>NonCategory</v>
      </c>
    </row>
    <row r="149" spans="1:18">
      <c r="A149" s="162">
        <v>44207</v>
      </c>
      <c r="B149" s="164" t="s">
        <v>665</v>
      </c>
      <c r="C149" s="168" t="s">
        <v>666</v>
      </c>
      <c r="D149" s="6" t="s">
        <v>278</v>
      </c>
      <c r="E149" s="6" t="s">
        <v>97</v>
      </c>
      <c r="F149" s="79">
        <v>44197</v>
      </c>
      <c r="G149" s="6" t="s">
        <v>16</v>
      </c>
      <c r="H149" s="6" t="s">
        <v>579</v>
      </c>
      <c r="I149" s="6">
        <v>1</v>
      </c>
      <c r="J149" s="8">
        <v>18500</v>
      </c>
      <c r="K149" s="8">
        <f t="shared" si="2"/>
        <v>211.86440677966101</v>
      </c>
      <c r="L149" s="97">
        <v>44208</v>
      </c>
      <c r="M149" s="6" t="s">
        <v>650</v>
      </c>
      <c r="N149" s="97">
        <v>44208</v>
      </c>
      <c r="O149" s="108" t="s">
        <v>5291</v>
      </c>
      <c r="P149" s="6" t="s">
        <v>662</v>
      </c>
      <c r="Q149" s="6" t="s">
        <v>280</v>
      </c>
      <c r="R149" s="6" t="str">
        <f ca="1">IFERROR(_xludf.IFS($E149="CSM","Category",$E149="CSPO","Category", $E149="PSM","Category",$E149="PSPO","Category",$E149="SAFe Agile","SAFe",$E149="SAFe SSM","SAFe",$E149="SAFe POPM","SAFe",$E149="SASM","SAFe",$E149="PMI-ACP","Category",$E149="ICP-ACC","Category",$E149="PSM 2","Category",$E149="SAFe RTE","SAFe",$E149="",""),"NonCategory")</f>
        <v>NonCategory</v>
      </c>
    </row>
    <row r="150" spans="1:18">
      <c r="A150" s="162">
        <v>44207</v>
      </c>
      <c r="B150" s="164" t="s">
        <v>667</v>
      </c>
      <c r="C150" s="168" t="s">
        <v>668</v>
      </c>
      <c r="D150" s="6" t="s">
        <v>278</v>
      </c>
      <c r="E150" s="6" t="s">
        <v>97</v>
      </c>
      <c r="F150" s="79">
        <v>44197</v>
      </c>
      <c r="G150" s="6" t="s">
        <v>16</v>
      </c>
      <c r="H150" s="6" t="s">
        <v>579</v>
      </c>
      <c r="I150" s="6">
        <v>1</v>
      </c>
      <c r="J150" s="8">
        <v>18500</v>
      </c>
      <c r="K150" s="8">
        <f t="shared" si="2"/>
        <v>211.86440677966101</v>
      </c>
      <c r="L150" s="97">
        <v>44208</v>
      </c>
      <c r="M150" s="6" t="s">
        <v>650</v>
      </c>
      <c r="N150" s="97">
        <v>44208</v>
      </c>
      <c r="O150" s="108" t="s">
        <v>5292</v>
      </c>
      <c r="P150" s="6" t="s">
        <v>662</v>
      </c>
      <c r="Q150" s="6" t="s">
        <v>356</v>
      </c>
      <c r="R150" s="6" t="str">
        <f ca="1">IFERROR(_xludf.IFS($E150="CSM","Category",$E150="CSPO","Category", $E150="PSM","Category",$E150="PSPO","Category",$E150="SAFe Agile","SAFe",$E150="SAFe SSM","SAFe",$E150="SAFe POPM","SAFe",$E150="SASM","SAFe",$E150="PMI-ACP","Category",$E150="ICP-ACC","Category",$E150="PSM 2","Category",$E150="SAFe RTE","SAFe",$E150="",""),"NonCategory")</f>
        <v>NonCategory</v>
      </c>
    </row>
    <row r="151" spans="1:18">
      <c r="A151" s="162">
        <v>44204</v>
      </c>
      <c r="B151" s="164" t="s">
        <v>669</v>
      </c>
      <c r="C151" s="168" t="s">
        <v>670</v>
      </c>
      <c r="D151" s="6" t="s">
        <v>435</v>
      </c>
      <c r="E151" s="6" t="s">
        <v>96</v>
      </c>
      <c r="F151" s="79">
        <v>44197</v>
      </c>
      <c r="G151" s="6" t="s">
        <v>13</v>
      </c>
      <c r="H151" s="6" t="s">
        <v>427</v>
      </c>
      <c r="I151" s="6">
        <v>1</v>
      </c>
      <c r="J151" s="6">
        <v>21000</v>
      </c>
      <c r="K151" s="8">
        <f t="shared" si="2"/>
        <v>240.49473202015577</v>
      </c>
      <c r="L151" s="97">
        <v>44210</v>
      </c>
      <c r="R151" s="6" t="str">
        <f ca="1">IFERROR(_xludf.IFS($E151="CSM","Category",$E151="CSPO","Category", $E151="PSM","Category",$E151="PSPO","Category",$E151="SAFe Agile","SAFe",$E151="SAFe SSM","SAFe",$E151="SAFe POPM","SAFe",$E151="SASM","SAFe",$E151="PMI-ACP","Category",$E151="ICP-ACC","Category",$E151="PSM 2","Category",$E151="SAFe RTE","SAFe",$E151="",""),"NonCategory")</f>
        <v>NonCategory</v>
      </c>
    </row>
    <row r="152" spans="1:18">
      <c r="A152" s="162">
        <v>44154</v>
      </c>
      <c r="B152" s="164" t="s">
        <v>671</v>
      </c>
      <c r="C152" s="168" t="s">
        <v>672</v>
      </c>
      <c r="D152" s="6" t="s">
        <v>397</v>
      </c>
      <c r="E152" s="6" t="s">
        <v>97</v>
      </c>
      <c r="F152" s="79">
        <v>44197</v>
      </c>
      <c r="G152" s="6" t="s">
        <v>16</v>
      </c>
      <c r="H152" s="6" t="s">
        <v>579</v>
      </c>
      <c r="I152" s="6">
        <v>1</v>
      </c>
      <c r="J152" s="8">
        <v>18500</v>
      </c>
      <c r="K152" s="8">
        <f t="shared" si="2"/>
        <v>211.86440677966101</v>
      </c>
      <c r="L152" s="79">
        <v>44228</v>
      </c>
      <c r="M152" s="6" t="s">
        <v>650</v>
      </c>
      <c r="N152" s="97">
        <v>44208</v>
      </c>
      <c r="O152" s="108" t="s">
        <v>5293</v>
      </c>
      <c r="Q152" s="6" t="s">
        <v>356</v>
      </c>
      <c r="R152" s="6" t="str">
        <f ca="1">IFERROR(_xludf.IFS($E152="CSM","Category",$E152="CSPO","Category", $E152="PSM","Category",$E152="PSPO","Category",$E152="SAFe Agile","SAFe",$E152="SAFe SSM","SAFe",$E152="SAFe POPM","SAFe",$E152="SASM","SAFe",$E152="PMI-ACP","Category",$E152="ICP-ACC","Category",$E152="PSM 2","Category",$E152="SAFe RTE","SAFe",$E152="",""),"NonCategory")</f>
        <v>NonCategory</v>
      </c>
    </row>
    <row r="153" spans="1:18">
      <c r="A153" s="162">
        <v>44205</v>
      </c>
      <c r="B153" s="164" t="s">
        <v>673</v>
      </c>
      <c r="C153" s="168" t="s">
        <v>674</v>
      </c>
      <c r="D153" s="6" t="s">
        <v>435</v>
      </c>
      <c r="E153" s="6" t="s">
        <v>96</v>
      </c>
      <c r="F153" s="79">
        <v>44197</v>
      </c>
      <c r="G153" s="6" t="s">
        <v>13</v>
      </c>
      <c r="H153" s="6" t="s">
        <v>520</v>
      </c>
      <c r="I153" s="6">
        <v>1</v>
      </c>
      <c r="J153" s="6">
        <v>22000</v>
      </c>
      <c r="K153" s="8">
        <f t="shared" si="2"/>
        <v>251.94686211635369</v>
      </c>
      <c r="L153" s="97">
        <v>44214</v>
      </c>
      <c r="R153" s="6" t="str">
        <f ca="1">IFERROR(_xludf.IFS($E153="CSM","Category",$E153="CSPO","Category", $E153="PSM","Category",$E153="PSPO","Category",$E153="SAFe Agile","SAFe",$E153="SAFe SSM","SAFe",$E153="SAFe POPM","SAFe",$E153="SASM","SAFe",$E153="PMI-ACP","Category",$E153="ICP-ACC","Category",$E153="PSM 2","Category",$E153="SAFe RTE","SAFe",$E153="",""),"NonCategory")</f>
        <v>NonCategory</v>
      </c>
    </row>
    <row r="154" spans="1:18">
      <c r="A154" s="162">
        <v>44206</v>
      </c>
      <c r="B154" s="164" t="s">
        <v>675</v>
      </c>
      <c r="C154" s="168" t="s">
        <v>676</v>
      </c>
      <c r="D154" s="6" t="s">
        <v>278</v>
      </c>
      <c r="E154" s="6" t="s">
        <v>96</v>
      </c>
      <c r="F154" s="79">
        <v>44197</v>
      </c>
      <c r="G154" s="6" t="s">
        <v>16</v>
      </c>
      <c r="H154" s="6" t="s">
        <v>520</v>
      </c>
      <c r="I154" s="6">
        <v>1</v>
      </c>
      <c r="J154" s="8">
        <v>19000</v>
      </c>
      <c r="K154" s="8">
        <f t="shared" si="2"/>
        <v>217.59047182775998</v>
      </c>
      <c r="L154" s="97">
        <v>44206</v>
      </c>
      <c r="M154" s="6" t="s">
        <v>650</v>
      </c>
      <c r="N154" s="97">
        <v>44209</v>
      </c>
      <c r="O154" s="109" t="s">
        <v>5294</v>
      </c>
      <c r="Q154" s="6" t="s">
        <v>280</v>
      </c>
      <c r="R154" s="6" t="str">
        <f ca="1">IFERROR(_xludf.IFS($E154="CSM","Category",$E154="CSPO","Category", $E154="PSM","Category",$E154="PSPO","Category",$E154="SAFe Agile","SAFe",$E154="SAFe SSM","SAFe",$E154="SAFe POPM","SAFe",$E154="SASM","SAFe",$E154="PMI-ACP","Category",$E154="ICP-ACC","Category",$E154="PSM 2","Category",$E154="SAFe RTE","SAFe",$E154="",""),"NonCategory")</f>
        <v>NonCategory</v>
      </c>
    </row>
    <row r="155" spans="1:18">
      <c r="A155" s="162">
        <v>44207</v>
      </c>
      <c r="B155" s="164" t="s">
        <v>677</v>
      </c>
      <c r="C155" s="168" t="s">
        <v>678</v>
      </c>
      <c r="D155" s="6" t="s">
        <v>287</v>
      </c>
      <c r="E155" s="6" t="s">
        <v>96</v>
      </c>
      <c r="F155" s="79">
        <v>44197</v>
      </c>
      <c r="G155" s="6" t="s">
        <v>16</v>
      </c>
      <c r="H155" s="6" t="s">
        <v>427</v>
      </c>
      <c r="I155" s="6">
        <v>1</v>
      </c>
      <c r="J155" s="8">
        <v>20000</v>
      </c>
      <c r="K155" s="8">
        <f t="shared" si="2"/>
        <v>229.04260192395787</v>
      </c>
      <c r="L155" s="97">
        <v>44208</v>
      </c>
      <c r="M155" s="6" t="s">
        <v>650</v>
      </c>
      <c r="N155" s="97">
        <v>44209</v>
      </c>
      <c r="O155" s="108" t="s">
        <v>5295</v>
      </c>
      <c r="Q155" s="6" t="s">
        <v>356</v>
      </c>
      <c r="R155" s="6" t="str">
        <f ca="1">IFERROR(_xludf.IFS($E155="CSM","Category",$E155="CSPO","Category", $E155="PSM","Category",$E155="PSPO","Category",$E155="SAFe Agile","SAFe",$E155="SAFe SSM","SAFe",$E155="SAFe POPM","SAFe",$E155="SASM","SAFe",$E155="PMI-ACP","Category",$E155="ICP-ACC","Category",$E155="PSM 2","Category",$E155="SAFe RTE","SAFe",$E155="",""),"NonCategory")</f>
        <v>NonCategory</v>
      </c>
    </row>
    <row r="156" spans="1:18">
      <c r="A156" s="162">
        <v>44210</v>
      </c>
      <c r="B156" s="164" t="s">
        <v>679</v>
      </c>
      <c r="C156" s="168" t="s">
        <v>680</v>
      </c>
      <c r="D156" s="6" t="s">
        <v>303</v>
      </c>
      <c r="E156" s="6" t="s">
        <v>96</v>
      </c>
      <c r="F156" s="79">
        <v>44197</v>
      </c>
      <c r="G156" s="6" t="s">
        <v>16</v>
      </c>
      <c r="H156" s="79">
        <v>44197</v>
      </c>
      <c r="I156" s="6">
        <v>1</v>
      </c>
      <c r="J156" s="8">
        <v>20000</v>
      </c>
      <c r="K156" s="8">
        <f t="shared" si="2"/>
        <v>229.04260192395787</v>
      </c>
      <c r="L156" s="97">
        <v>44210</v>
      </c>
      <c r="M156" s="6" t="s">
        <v>650</v>
      </c>
      <c r="N156" s="97">
        <v>44210</v>
      </c>
      <c r="O156" s="107" t="s">
        <v>5296</v>
      </c>
      <c r="Q156" s="6" t="s">
        <v>356</v>
      </c>
      <c r="R156" s="6" t="str">
        <f ca="1">IFERROR(_xludf.IFS($E156="CSM","Category",$E156="CSPO","Category", $E156="PSM","Category",$E156="PSPO","Category",$E156="SAFe Agile","SAFe",$E156="SAFe SSM","SAFe",$E156="SAFe POPM","SAFe",$E156="SASM","SAFe",$E156="PMI-ACP","Category",$E156="ICP-ACC","Category",$E156="PSM 2","Category",$E156="SAFe RTE","SAFe",$E156="",""),"NonCategory")</f>
        <v>NonCategory</v>
      </c>
    </row>
    <row r="157" spans="1:18">
      <c r="A157" s="162">
        <v>44190</v>
      </c>
      <c r="B157" s="164" t="s">
        <v>681</v>
      </c>
      <c r="C157" s="168" t="s">
        <v>682</v>
      </c>
      <c r="D157" s="6" t="s">
        <v>303</v>
      </c>
      <c r="E157" s="6" t="s">
        <v>96</v>
      </c>
      <c r="F157" s="79">
        <v>44197</v>
      </c>
      <c r="G157" s="6" t="s">
        <v>16</v>
      </c>
      <c r="H157" s="6" t="s">
        <v>427</v>
      </c>
      <c r="I157" s="6">
        <v>1</v>
      </c>
      <c r="J157" s="8">
        <v>20000</v>
      </c>
      <c r="K157" s="8">
        <f t="shared" si="2"/>
        <v>229.04260192395787</v>
      </c>
      <c r="L157" s="97">
        <v>44232</v>
      </c>
      <c r="M157" s="6" t="s">
        <v>650</v>
      </c>
      <c r="N157" s="97">
        <v>44210</v>
      </c>
      <c r="O157" s="20" t="s">
        <v>5297</v>
      </c>
      <c r="Q157" s="6" t="s">
        <v>356</v>
      </c>
      <c r="R157" s="6" t="str">
        <f ca="1">IFERROR(_xludf.IFS($E157="CSM","Category",$E157="CSPO","Category", $E157="PSM","Category",$E157="PSPO","Category",$E157="SAFe Agile","SAFe",$E157="SAFe SSM","SAFe",$E157="SAFe POPM","SAFe",$E157="SASM","SAFe",$E157="PMI-ACP","Category",$E157="ICP-ACC","Category",$E157="PSM 2","Category",$E157="SAFe RTE","SAFe",$E157="",""),"NonCategory")</f>
        <v>NonCategory</v>
      </c>
    </row>
    <row r="158" spans="1:18">
      <c r="A158" s="162">
        <v>44208</v>
      </c>
      <c r="B158" s="164" t="s">
        <v>683</v>
      </c>
      <c r="C158" s="168" t="s">
        <v>684</v>
      </c>
      <c r="D158" s="6" t="s">
        <v>287</v>
      </c>
      <c r="E158" s="6" t="s">
        <v>25</v>
      </c>
      <c r="F158" s="79">
        <v>44197</v>
      </c>
      <c r="G158" s="6" t="s">
        <v>13</v>
      </c>
      <c r="H158" s="6" t="s">
        <v>536</v>
      </c>
      <c r="I158" s="6">
        <v>3</v>
      </c>
      <c r="J158" s="6">
        <v>48000</v>
      </c>
      <c r="K158" s="8">
        <f t="shared" si="2"/>
        <v>549.70224461749888</v>
      </c>
      <c r="L158" s="97">
        <v>44214</v>
      </c>
      <c r="R158" s="6" t="str">
        <f ca="1">IFERROR(_xludf.IFS($E158="CSM","Category",$E158="CSPO","Category", $E158="PSM","Category",$E158="PSPO","Category",$E158="SAFe Agile","SAFe",$E158="SAFe SSM","SAFe",$E158="SAFe POPM","SAFe",$E158="SASM","SAFe",$E158="PMI-ACP","Category",$E158="ICP-ACC","Category",$E158="PSM 2","Category",$E158="SAFe RTE","SAFe",$E158="",""),"NonCategory")</f>
        <v>NonCategory</v>
      </c>
    </row>
    <row r="159" spans="1:18">
      <c r="A159" s="162">
        <v>44158</v>
      </c>
      <c r="B159" s="164" t="s">
        <v>685</v>
      </c>
      <c r="C159" s="168" t="s">
        <v>686</v>
      </c>
      <c r="D159" s="6" t="s">
        <v>278</v>
      </c>
      <c r="E159" s="6" t="s">
        <v>538</v>
      </c>
      <c r="F159" s="79">
        <v>44197</v>
      </c>
      <c r="G159" s="6" t="s">
        <v>16</v>
      </c>
      <c r="H159" s="79">
        <v>44219</v>
      </c>
      <c r="I159" s="6">
        <v>1</v>
      </c>
      <c r="J159" s="8">
        <v>12500</v>
      </c>
      <c r="K159" s="8">
        <f t="shared" si="2"/>
        <v>143.15162620247366</v>
      </c>
      <c r="L159" s="97">
        <v>44256</v>
      </c>
      <c r="M159" s="6" t="s">
        <v>650</v>
      </c>
      <c r="N159" s="97">
        <v>44210</v>
      </c>
      <c r="O159" s="20" t="s">
        <v>5298</v>
      </c>
      <c r="P159" s="6" t="s">
        <v>687</v>
      </c>
      <c r="Q159" s="6" t="s">
        <v>688</v>
      </c>
      <c r="R159" s="6" t="str">
        <f ca="1">IFERROR(_xludf.IFS($E159="CSM","Category",$E159="CSPO","Category", $E159="PSM","Category",$E159="PSPO","Category",$E159="SAFe Agile","SAFe",$E159="SAFe SSM","SAFe",$E159="SAFe POPM","SAFe",$E159="SASM","SAFe",$E159="PMI-ACP","Category",$E159="ICP-ACC","Category",$E159="PSM 2","Category",$E159="SAFe RTE","SAFe",$E159="",""),"NonCategory")</f>
        <v>NonCategory</v>
      </c>
    </row>
    <row r="160" spans="1:18">
      <c r="A160" s="162">
        <v>44213</v>
      </c>
      <c r="B160" s="164" t="s">
        <v>689</v>
      </c>
      <c r="C160" s="168" t="s">
        <v>690</v>
      </c>
      <c r="D160" s="6" t="s">
        <v>578</v>
      </c>
      <c r="E160" s="6" t="s">
        <v>96</v>
      </c>
      <c r="F160" s="79">
        <v>44197</v>
      </c>
      <c r="G160" s="6" t="s">
        <v>16</v>
      </c>
      <c r="H160" s="6" t="s">
        <v>520</v>
      </c>
      <c r="I160" s="6">
        <v>1</v>
      </c>
      <c r="J160" s="8">
        <v>21000</v>
      </c>
      <c r="K160" s="8">
        <f t="shared" si="2"/>
        <v>240.49473202015577</v>
      </c>
      <c r="L160" s="97">
        <v>44213</v>
      </c>
      <c r="M160" s="6" t="s">
        <v>650</v>
      </c>
      <c r="N160" s="97">
        <v>44213</v>
      </c>
      <c r="O160" s="20" t="s">
        <v>5299</v>
      </c>
      <c r="Q160" s="6" t="s">
        <v>280</v>
      </c>
      <c r="R160" s="6" t="str">
        <f ca="1">IFERROR(_xludf.IFS($E160="CSM","Category",$E160="CSPO","Category", $E160="PSM","Category",$E160="PSPO","Category",$E160="SAFe Agile","SAFe",$E160="SAFe SSM","SAFe",$E160="SAFe POPM","SAFe",$E160="SASM","SAFe",$E160="PMI-ACP","Category",$E160="ICP-ACC","Category",$E160="PSM 2","Category",$E160="SAFe RTE","SAFe",$E160="",""),"NonCategory")</f>
        <v>NonCategory</v>
      </c>
    </row>
    <row r="161" spans="1:18">
      <c r="A161" s="162">
        <v>44212</v>
      </c>
      <c r="B161" s="164" t="s">
        <v>691</v>
      </c>
      <c r="C161" s="168" t="s">
        <v>692</v>
      </c>
      <c r="D161" s="6" t="s">
        <v>278</v>
      </c>
      <c r="E161" s="6" t="s">
        <v>96</v>
      </c>
      <c r="F161" s="79">
        <v>44197</v>
      </c>
      <c r="G161" s="6" t="s">
        <v>16</v>
      </c>
      <c r="H161" s="6" t="s">
        <v>536</v>
      </c>
      <c r="I161" s="6">
        <v>1</v>
      </c>
      <c r="J161" s="8">
        <v>19000</v>
      </c>
      <c r="K161" s="8">
        <f t="shared" si="2"/>
        <v>217.59047182775998</v>
      </c>
      <c r="L161" s="97">
        <v>44214</v>
      </c>
      <c r="M161" s="6" t="s">
        <v>650</v>
      </c>
      <c r="N161" s="97">
        <v>44213</v>
      </c>
      <c r="O161" s="108" t="s">
        <v>5300</v>
      </c>
      <c r="P161" s="6" t="s">
        <v>693</v>
      </c>
      <c r="Q161" s="6" t="s">
        <v>280</v>
      </c>
      <c r="R161" s="6" t="str">
        <f ca="1">IFERROR(_xludf.IFS($E161="CSM","Category",$E161="CSPO","Category", $E161="PSM","Category",$E161="PSPO","Category",$E161="SAFe Agile","SAFe",$E161="SAFe SSM","SAFe",$E161="SAFe POPM","SAFe",$E161="SASM","SAFe",$E161="PMI-ACP","Category",$E161="ICP-ACC","Category",$E161="PSM 2","Category",$E161="SAFe RTE","SAFe",$E161="",""),"NonCategory")</f>
        <v>NonCategory</v>
      </c>
    </row>
    <row r="162" spans="1:18">
      <c r="A162" s="162">
        <v>44209</v>
      </c>
      <c r="B162" s="164" t="s">
        <v>694</v>
      </c>
      <c r="C162" s="168" t="s">
        <v>695</v>
      </c>
      <c r="D162" s="6" t="s">
        <v>319</v>
      </c>
      <c r="E162" s="6" t="s">
        <v>6</v>
      </c>
      <c r="F162" s="79">
        <v>44197</v>
      </c>
      <c r="G162" s="6" t="s">
        <v>13</v>
      </c>
      <c r="H162" s="6" t="s">
        <v>536</v>
      </c>
      <c r="I162" s="6">
        <v>1</v>
      </c>
      <c r="J162" s="6">
        <v>53100</v>
      </c>
      <c r="K162" s="8">
        <f t="shared" si="2"/>
        <v>608.10810810810813</v>
      </c>
      <c r="L162" s="97">
        <v>44211</v>
      </c>
      <c r="R162" s="6" t="str">
        <f ca="1">IFERROR(_xludf.IFS($E162="CSM","Category",$E162="CSPO","Category", $E162="PSM","Category",$E162="PSPO","Category",$E162="SAFe Agile","SAFe",$E162="SAFe SSM","SAFe",$E162="SAFe POPM","SAFe",$E162="SASM","SAFe",$E162="PMI-ACP","Category",$E162="ICP-ACC","Category",$E162="PSM 2","Category",$E162="SAFe RTE","SAFe",$E162="",""),"NonCategory")</f>
        <v>NonCategory</v>
      </c>
    </row>
    <row r="163" spans="1:18">
      <c r="A163" s="162">
        <v>44209</v>
      </c>
      <c r="B163" s="164" t="s">
        <v>696</v>
      </c>
      <c r="C163" s="168" t="s">
        <v>697</v>
      </c>
      <c r="D163" s="6" t="s">
        <v>495</v>
      </c>
      <c r="E163" s="6" t="s">
        <v>96</v>
      </c>
      <c r="F163" s="79">
        <v>44197</v>
      </c>
      <c r="G163" s="6" t="s">
        <v>13</v>
      </c>
      <c r="H163" s="6" t="s">
        <v>427</v>
      </c>
      <c r="I163" s="6">
        <v>1</v>
      </c>
      <c r="J163" s="6">
        <v>22000</v>
      </c>
      <c r="K163" s="8">
        <f t="shared" si="2"/>
        <v>251.94686211635369</v>
      </c>
      <c r="L163" s="97">
        <v>44210</v>
      </c>
      <c r="R163" s="6" t="str">
        <f ca="1">IFERROR(_xludf.IFS($E163="CSM","Category",$E163="CSPO","Category", $E163="PSM","Category",$E163="PSPO","Category",$E163="SAFe Agile","SAFe",$E163="SAFe SSM","SAFe",$E163="SAFe POPM","SAFe",$E163="SASM","SAFe",$E163="PMI-ACP","Category",$E163="ICP-ACC","Category",$E163="PSM 2","Category",$E163="SAFe RTE","SAFe",$E163="",""),"NonCategory")</f>
        <v>NonCategory</v>
      </c>
    </row>
    <row r="164" spans="1:18">
      <c r="A164" s="162">
        <v>44213</v>
      </c>
      <c r="B164" s="164" t="s">
        <v>698</v>
      </c>
      <c r="C164" s="168" t="s">
        <v>699</v>
      </c>
      <c r="D164" s="6" t="s">
        <v>319</v>
      </c>
      <c r="E164" s="6" t="s">
        <v>96</v>
      </c>
      <c r="F164" s="79">
        <v>44197</v>
      </c>
      <c r="G164" s="6" t="s">
        <v>16</v>
      </c>
      <c r="H164" s="6" t="s">
        <v>520</v>
      </c>
      <c r="I164" s="6">
        <v>1</v>
      </c>
      <c r="J164" s="8">
        <v>20000</v>
      </c>
      <c r="K164" s="8">
        <f t="shared" si="2"/>
        <v>229.04260192395787</v>
      </c>
      <c r="L164" s="97">
        <v>44215</v>
      </c>
      <c r="M164" s="6" t="s">
        <v>700</v>
      </c>
      <c r="N164" s="97">
        <v>44216</v>
      </c>
      <c r="O164" s="20" t="s">
        <v>5301</v>
      </c>
      <c r="Q164" s="6" t="s">
        <v>280</v>
      </c>
      <c r="R164" s="6" t="str">
        <f ca="1">IFERROR(_xludf.IFS($E164="CSM","Category",$E164="CSPO","Category", $E164="PSM","Category",$E164="PSPO","Category",$E164="SAFe Agile","SAFe",$E164="SAFe SSM","SAFe",$E164="SAFe POPM","SAFe",$E164="SASM","SAFe",$E164="PMI-ACP","Category",$E164="ICP-ACC","Category",$E164="PSM 2","Category",$E164="SAFe RTE","SAFe",$E164="",""),"NonCategory")</f>
        <v>NonCategory</v>
      </c>
    </row>
    <row r="165" spans="1:18">
      <c r="A165" s="162">
        <v>44211</v>
      </c>
      <c r="B165" s="164" t="s">
        <v>701</v>
      </c>
      <c r="C165" s="168" t="s">
        <v>702</v>
      </c>
      <c r="D165" s="6" t="s">
        <v>319</v>
      </c>
      <c r="E165" s="6" t="s">
        <v>96</v>
      </c>
      <c r="F165" s="79">
        <v>44197</v>
      </c>
      <c r="G165" s="6" t="s">
        <v>13</v>
      </c>
      <c r="H165" s="6" t="s">
        <v>520</v>
      </c>
      <c r="I165" s="6">
        <v>1</v>
      </c>
      <c r="J165" s="6">
        <v>22000</v>
      </c>
      <c r="K165" s="8">
        <f t="shared" si="2"/>
        <v>251.94686211635369</v>
      </c>
      <c r="L165" s="97">
        <v>44214</v>
      </c>
      <c r="R165" s="6" t="str">
        <f ca="1">IFERROR(_xludf.IFS($E165="CSM","Category",$E165="CSPO","Category", $E165="PSM","Category",$E165="PSPO","Category",$E165="SAFe Agile","SAFe",$E165="SAFe SSM","SAFe",$E165="SAFe POPM","SAFe",$E165="SASM","SAFe",$E165="PMI-ACP","Category",$E165="ICP-ACC","Category",$E165="PSM 2","Category",$E165="SAFe RTE","SAFe",$E165="",""),"NonCategory")</f>
        <v>NonCategory</v>
      </c>
    </row>
    <row r="166" spans="1:18">
      <c r="A166" s="162">
        <v>44212</v>
      </c>
      <c r="B166" s="164" t="s">
        <v>703</v>
      </c>
      <c r="C166" s="168" t="s">
        <v>704</v>
      </c>
      <c r="D166" s="6" t="s">
        <v>287</v>
      </c>
      <c r="E166" s="6" t="s">
        <v>25</v>
      </c>
      <c r="F166" s="79">
        <v>44197</v>
      </c>
      <c r="G166" s="6" t="s">
        <v>13</v>
      </c>
      <c r="H166" s="6" t="s">
        <v>548</v>
      </c>
      <c r="I166" s="6">
        <v>1</v>
      </c>
      <c r="J166" s="6">
        <v>53100</v>
      </c>
      <c r="K166" s="8">
        <f t="shared" si="2"/>
        <v>608.10810810810813</v>
      </c>
      <c r="L166" s="97">
        <v>44216</v>
      </c>
      <c r="R166" s="6" t="str">
        <f ca="1">IFERROR(_xludf.IFS($E166="CSM","Category",$E166="CSPO","Category", $E166="PSM","Category",$E166="PSPO","Category",$E166="SAFe Agile","SAFe",$E166="SAFe SSM","SAFe",$E166="SAFe POPM","SAFe",$E166="SASM","SAFe",$E166="PMI-ACP","Category",$E166="ICP-ACC","Category",$E166="PSM 2","Category",$E166="SAFe RTE","SAFe",$E166="",""),"NonCategory")</f>
        <v>NonCategory</v>
      </c>
    </row>
    <row r="167" spans="1:18">
      <c r="A167" s="162">
        <v>44214</v>
      </c>
      <c r="B167" s="164" t="s">
        <v>460</v>
      </c>
      <c r="C167" s="168" t="s">
        <v>461</v>
      </c>
      <c r="D167" s="6" t="s">
        <v>705</v>
      </c>
      <c r="E167" s="6" t="s">
        <v>706</v>
      </c>
      <c r="F167" s="79">
        <v>44197</v>
      </c>
      <c r="G167" s="6" t="s">
        <v>16</v>
      </c>
      <c r="H167" s="6" t="s">
        <v>520</v>
      </c>
      <c r="I167" s="6">
        <v>1</v>
      </c>
      <c r="J167" s="8">
        <v>33000</v>
      </c>
      <c r="K167" s="8">
        <f t="shared" si="2"/>
        <v>377.92029317453046</v>
      </c>
      <c r="L167" s="97">
        <v>44216</v>
      </c>
      <c r="M167" s="6" t="s">
        <v>700</v>
      </c>
      <c r="N167" s="97">
        <v>44216</v>
      </c>
      <c r="O167" s="20" t="s">
        <v>5302</v>
      </c>
      <c r="Q167" s="6" t="s">
        <v>280</v>
      </c>
      <c r="R167" s="6" t="str">
        <f ca="1">IFERROR(_xludf.IFS($E167="CSM","Category",$E167="CSPO","Category", $E167="PSM","Category",$E167="PSPO","Category",$E167="SAFe Agile","SAFe",$E167="SAFe SSM","SAFe",$E167="SAFe POPM","SAFe",$E167="SASM","SAFe",$E167="PMI-ACP","Category",$E167="ICP-ACC","Category",$E167="PSM 2","Category",$E167="SAFe RTE","SAFe",$E167="",""),"NonCategory")</f>
        <v>NonCategory</v>
      </c>
    </row>
    <row r="168" spans="1:18">
      <c r="A168" s="162">
        <v>44216</v>
      </c>
      <c r="B168" s="164" t="s">
        <v>707</v>
      </c>
      <c r="C168" s="168" t="s">
        <v>708</v>
      </c>
      <c r="D168" s="6" t="s">
        <v>547</v>
      </c>
      <c r="E168" s="6" t="s">
        <v>96</v>
      </c>
      <c r="F168" s="79">
        <v>44197</v>
      </c>
      <c r="G168" s="6" t="s">
        <v>16</v>
      </c>
      <c r="H168" s="6" t="s">
        <v>536</v>
      </c>
      <c r="I168" s="6">
        <v>1</v>
      </c>
      <c r="J168" s="8">
        <v>20500</v>
      </c>
      <c r="K168" s="8">
        <f t="shared" si="2"/>
        <v>234.76866697205682</v>
      </c>
      <c r="L168" s="97">
        <v>44217</v>
      </c>
      <c r="M168" s="6" t="s">
        <v>700</v>
      </c>
      <c r="N168" s="97">
        <v>44217</v>
      </c>
      <c r="O168" s="20" t="s">
        <v>5303</v>
      </c>
      <c r="Q168" s="6" t="s">
        <v>356</v>
      </c>
      <c r="R168" s="6" t="str">
        <f ca="1">IFERROR(_xludf.IFS($E168="CSM","Category",$E168="CSPO","Category", $E168="PSM","Category",$E168="PSPO","Category",$E168="SAFe Agile","SAFe",$E168="SAFe SSM","SAFe",$E168="SAFe POPM","SAFe",$E168="SASM","SAFe",$E168="PMI-ACP","Category",$E168="ICP-ACC","Category",$E168="PSM 2","Category",$E168="SAFe RTE","SAFe",$E168="",""),"NonCategory")</f>
        <v>NonCategory</v>
      </c>
    </row>
    <row r="169" spans="1:18">
      <c r="A169" s="162">
        <v>44213</v>
      </c>
      <c r="B169" s="164" t="s">
        <v>709</v>
      </c>
      <c r="C169" s="168" t="s">
        <v>710</v>
      </c>
      <c r="D169" s="6" t="s">
        <v>578</v>
      </c>
      <c r="E169" s="6" t="s">
        <v>96</v>
      </c>
      <c r="F169" s="79">
        <v>44228</v>
      </c>
      <c r="G169" s="6" t="s">
        <v>13</v>
      </c>
      <c r="H169" s="79">
        <v>44228</v>
      </c>
      <c r="I169" s="6">
        <v>1</v>
      </c>
      <c r="J169" s="6">
        <v>20000</v>
      </c>
      <c r="K169" s="8">
        <f t="shared" si="2"/>
        <v>229.04260192395787</v>
      </c>
      <c r="L169" s="97">
        <v>44233</v>
      </c>
      <c r="R169" s="6" t="str">
        <f ca="1">IFERROR(_xludf.IFS($E169="CSM","Category",$E169="CSPO","Category", $E169="PSM","Category",$E169="PSPO","Category",$E169="SAFe Agile","SAFe",$E169="SAFe SSM","SAFe",$E169="SAFe POPM","SAFe",$E169="SASM","SAFe",$E169="PMI-ACP","Category",$E169="ICP-ACC","Category",$E169="PSM 2","Category",$E169="SAFe RTE","SAFe",$E169="",""),"NonCategory")</f>
        <v>NonCategory</v>
      </c>
    </row>
    <row r="170" spans="1:18">
      <c r="A170" s="162">
        <v>44213</v>
      </c>
      <c r="B170" s="164" t="s">
        <v>711</v>
      </c>
      <c r="C170" s="168" t="s">
        <v>712</v>
      </c>
      <c r="D170" s="6" t="s">
        <v>303</v>
      </c>
      <c r="E170" s="6" t="s">
        <v>96</v>
      </c>
      <c r="F170" s="79">
        <v>44197</v>
      </c>
      <c r="G170" s="6" t="s">
        <v>13</v>
      </c>
      <c r="H170" s="6" t="s">
        <v>520</v>
      </c>
      <c r="I170" s="6">
        <v>1</v>
      </c>
      <c r="J170" s="6">
        <v>21000</v>
      </c>
      <c r="K170" s="8">
        <f t="shared" si="2"/>
        <v>240.49473202015577</v>
      </c>
      <c r="L170" s="97">
        <v>44214</v>
      </c>
      <c r="R170" s="6" t="str">
        <f ca="1">IFERROR(_xludf.IFS($E170="CSM","Category",$E170="CSPO","Category", $E170="PSM","Category",$E170="PSPO","Category",$E170="SAFe Agile","SAFe",$E170="SAFe SSM","SAFe",$E170="SAFe POPM","SAFe",$E170="SASM","SAFe",$E170="PMI-ACP","Category",$E170="ICP-ACC","Category",$E170="PSM 2","Category",$E170="SAFe RTE","SAFe",$E170="",""),"NonCategory")</f>
        <v>NonCategory</v>
      </c>
    </row>
    <row r="171" spans="1:18">
      <c r="A171" s="162">
        <v>44219</v>
      </c>
      <c r="B171" s="164" t="s">
        <v>677</v>
      </c>
      <c r="C171" s="168" t="s">
        <v>678</v>
      </c>
      <c r="D171" s="6" t="s">
        <v>705</v>
      </c>
      <c r="E171" s="6" t="s">
        <v>97</v>
      </c>
      <c r="F171" s="79">
        <v>44197</v>
      </c>
      <c r="G171" s="6" t="s">
        <v>16</v>
      </c>
      <c r="H171" s="6" t="s">
        <v>713</v>
      </c>
      <c r="I171" s="6">
        <v>1</v>
      </c>
      <c r="J171" s="8">
        <v>20000</v>
      </c>
      <c r="K171" s="8">
        <f t="shared" si="2"/>
        <v>229.04260192395787</v>
      </c>
      <c r="L171" s="97">
        <v>44219</v>
      </c>
      <c r="M171" s="6" t="s">
        <v>700</v>
      </c>
      <c r="N171" s="97">
        <v>44219</v>
      </c>
      <c r="O171" s="108" t="s">
        <v>5304</v>
      </c>
      <c r="Q171" s="6" t="s">
        <v>356</v>
      </c>
      <c r="R171" s="6" t="str">
        <f ca="1">IFERROR(_xludf.IFS($E171="CSM","Category",$E171="CSPO","Category", $E171="PSM","Category",$E171="PSPO","Category",$E171="SAFe Agile","SAFe",$E171="SAFe SSM","SAFe",$E171="SAFe POPM","SAFe",$E171="SASM","SAFe",$E171="PMI-ACP","Category",$E171="ICP-ACC","Category",$E171="PSM 2","Category",$E171="SAFe RTE","SAFe",$E171="",""),"NonCategory")</f>
        <v>NonCategory</v>
      </c>
    </row>
    <row r="172" spans="1:18">
      <c r="A172" s="162">
        <v>44214</v>
      </c>
      <c r="B172" s="164" t="s">
        <v>714</v>
      </c>
      <c r="C172" s="168" t="s">
        <v>715</v>
      </c>
      <c r="D172" s="6" t="s">
        <v>571</v>
      </c>
      <c r="E172" s="6" t="s">
        <v>716</v>
      </c>
      <c r="F172" s="79">
        <v>44197</v>
      </c>
      <c r="G172" s="6" t="s">
        <v>13</v>
      </c>
      <c r="H172" s="97">
        <v>44233</v>
      </c>
      <c r="I172" s="6">
        <v>1</v>
      </c>
      <c r="J172" s="6">
        <v>17000</v>
      </c>
      <c r="K172" s="8">
        <f t="shared" si="2"/>
        <v>194.68621163536417</v>
      </c>
      <c r="L172" s="97">
        <v>44214</v>
      </c>
      <c r="R172" s="6" t="str">
        <f ca="1">IFERROR(_xludf.IFS($E172="CSM","Category",$E172="CSPO","Category", $E172="PSM","Category",$E172="PSPO","Category",$E172="SAFe Agile","SAFe",$E172="SAFe SSM","SAFe",$E172="SAFe POPM","SAFe",$E172="SASM","SAFe",$E172="PMI-ACP","Category",$E172="ICP-ACC","Category",$E172="PSM 2","Category",$E172="SAFe RTE","SAFe",$E172="",""),"NonCategory")</f>
        <v>NonCategory</v>
      </c>
    </row>
    <row r="173" spans="1:18">
      <c r="A173" s="162">
        <v>44214</v>
      </c>
      <c r="B173" s="164" t="s">
        <v>717</v>
      </c>
      <c r="C173" s="168" t="s">
        <v>718</v>
      </c>
      <c r="D173" s="6" t="s">
        <v>303</v>
      </c>
      <c r="E173" s="6" t="s">
        <v>96</v>
      </c>
      <c r="F173" s="79">
        <v>44197</v>
      </c>
      <c r="G173" s="6" t="s">
        <v>13</v>
      </c>
      <c r="H173" s="6" t="s">
        <v>520</v>
      </c>
      <c r="I173" s="6">
        <v>1</v>
      </c>
      <c r="J173" s="6">
        <v>21500</v>
      </c>
      <c r="K173" s="8">
        <f t="shared" si="2"/>
        <v>246.22079706825471</v>
      </c>
      <c r="L173" s="97">
        <v>44217</v>
      </c>
      <c r="R173" s="6" t="str">
        <f ca="1">IFERROR(_xludf.IFS($E173="CSM","Category",$E173="CSPO","Category", $E173="PSM","Category",$E173="PSPO","Category",$E173="SAFe Agile","SAFe",$E173="SAFe SSM","SAFe",$E173="SAFe POPM","SAFe",$E173="SASM","SAFe",$E173="PMI-ACP","Category",$E173="ICP-ACC","Category",$E173="PSM 2","Category",$E173="SAFe RTE","SAFe",$E173="",""),"NonCategory")</f>
        <v>NonCategory</v>
      </c>
    </row>
    <row r="174" spans="1:18">
      <c r="A174" s="162">
        <v>44214</v>
      </c>
      <c r="B174" s="164" t="s">
        <v>719</v>
      </c>
      <c r="C174" s="168" t="s">
        <v>720</v>
      </c>
      <c r="D174" s="6" t="s">
        <v>303</v>
      </c>
      <c r="E174" s="6" t="s">
        <v>25</v>
      </c>
      <c r="F174" s="79">
        <v>44197</v>
      </c>
      <c r="G174" s="6" t="s">
        <v>13</v>
      </c>
      <c r="H174" s="6" t="s">
        <v>579</v>
      </c>
      <c r="I174" s="6">
        <v>1</v>
      </c>
      <c r="J174" s="6">
        <v>53100</v>
      </c>
      <c r="K174" s="8">
        <f t="shared" si="2"/>
        <v>608.10810810810813</v>
      </c>
      <c r="L174" s="97">
        <v>44245</v>
      </c>
      <c r="R174" s="6" t="str">
        <f ca="1">IFERROR(_xludf.IFS($E174="CSM","Category",$E174="CSPO","Category", $E174="PSM","Category",$E174="PSPO","Category",$E174="SAFe Agile","SAFe",$E174="SAFe SSM","SAFe",$E174="SAFe POPM","SAFe",$E174="SASM","SAFe",$E174="PMI-ACP","Category",$E174="ICP-ACC","Category",$E174="PSM 2","Category",$E174="SAFe RTE","SAFe",$E174="",""),"NonCategory")</f>
        <v>NonCategory</v>
      </c>
    </row>
    <row r="175" spans="1:18">
      <c r="A175" s="162">
        <v>44215</v>
      </c>
      <c r="B175" s="164" t="s">
        <v>721</v>
      </c>
      <c r="C175" s="168" t="s">
        <v>722</v>
      </c>
      <c r="D175" s="6" t="s">
        <v>287</v>
      </c>
      <c r="E175" s="6" t="s">
        <v>96</v>
      </c>
      <c r="F175" s="79">
        <v>44197</v>
      </c>
      <c r="G175" s="6" t="s">
        <v>13</v>
      </c>
      <c r="H175" s="6" t="s">
        <v>520</v>
      </c>
      <c r="I175" s="6">
        <v>1</v>
      </c>
      <c r="J175" s="6">
        <v>21500</v>
      </c>
      <c r="K175" s="8">
        <f t="shared" si="2"/>
        <v>246.22079706825471</v>
      </c>
      <c r="L175" s="97">
        <v>44216</v>
      </c>
      <c r="R175" s="6" t="str">
        <f ca="1">IFERROR(_xludf.IFS($E175="CSM","Category",$E175="CSPO","Category", $E175="PSM","Category",$E175="PSPO","Category",$E175="SAFe Agile","SAFe",$E175="SAFe SSM","SAFe",$E175="SAFe POPM","SAFe",$E175="SASM","SAFe",$E175="PMI-ACP","Category",$E175="ICP-ACC","Category",$E175="PSM 2","Category",$E175="SAFe RTE","SAFe",$E175="",""),"NonCategory")</f>
        <v>NonCategory</v>
      </c>
    </row>
    <row r="176" spans="1:18">
      <c r="A176" s="162">
        <v>44215</v>
      </c>
      <c r="B176" s="164" t="s">
        <v>723</v>
      </c>
      <c r="C176" s="168" t="s">
        <v>724</v>
      </c>
      <c r="D176" s="6" t="s">
        <v>578</v>
      </c>
      <c r="E176" s="6" t="s">
        <v>96</v>
      </c>
      <c r="F176" s="79">
        <v>44197</v>
      </c>
      <c r="G176" s="6" t="s">
        <v>13</v>
      </c>
      <c r="H176" s="6" t="s">
        <v>520</v>
      </c>
      <c r="I176" s="6">
        <v>1</v>
      </c>
      <c r="J176" s="6">
        <v>21500</v>
      </c>
      <c r="K176" s="8">
        <f t="shared" si="2"/>
        <v>246.22079706825471</v>
      </c>
      <c r="L176" s="97">
        <v>44216</v>
      </c>
      <c r="R176" s="6" t="str">
        <f ca="1">IFERROR(_xludf.IFS($E176="CSM","Category",$E176="CSPO","Category", $E176="PSM","Category",$E176="PSPO","Category",$E176="SAFe Agile","SAFe",$E176="SAFe SSM","SAFe",$E176="SAFe POPM","SAFe",$E176="SASM","SAFe",$E176="PMI-ACP","Category",$E176="ICP-ACC","Category",$E176="PSM 2","Category",$E176="SAFe RTE","SAFe",$E176="",""),"NonCategory")</f>
        <v>NonCategory</v>
      </c>
    </row>
    <row r="177" spans="1:18">
      <c r="A177" s="162">
        <v>44215</v>
      </c>
      <c r="B177" s="164" t="s">
        <v>725</v>
      </c>
      <c r="C177" s="168" t="s">
        <v>726</v>
      </c>
      <c r="D177" s="6" t="s">
        <v>547</v>
      </c>
      <c r="E177" s="6" t="s">
        <v>96</v>
      </c>
      <c r="F177" s="79">
        <v>44197</v>
      </c>
      <c r="G177" s="6" t="s">
        <v>13</v>
      </c>
      <c r="H177" s="6" t="s">
        <v>486</v>
      </c>
      <c r="I177" s="6">
        <v>1</v>
      </c>
      <c r="J177" s="6">
        <v>20000</v>
      </c>
      <c r="K177" s="8">
        <f t="shared" si="2"/>
        <v>229.04260192395787</v>
      </c>
      <c r="L177" s="97">
        <v>44226</v>
      </c>
      <c r="R177" s="6" t="str">
        <f ca="1">IFERROR(_xludf.IFS($E177="CSM","Category",$E177="CSPO","Category", $E177="PSM","Category",$E177="PSPO","Category",$E177="SAFe Agile","SAFe",$E177="SAFe SSM","SAFe",$E177="SAFe POPM","SAFe",$E177="SASM","SAFe",$E177="PMI-ACP","Category",$E177="ICP-ACC","Category",$E177="PSM 2","Category",$E177="SAFe RTE","SAFe",$E177="",""),"NonCategory")</f>
        <v>NonCategory</v>
      </c>
    </row>
    <row r="178" spans="1:18">
      <c r="A178" s="162">
        <v>44215</v>
      </c>
      <c r="B178" s="164" t="s">
        <v>727</v>
      </c>
      <c r="C178" s="168" t="s">
        <v>728</v>
      </c>
      <c r="D178" s="6" t="s">
        <v>319</v>
      </c>
      <c r="E178" s="6" t="s">
        <v>150</v>
      </c>
      <c r="F178" s="79">
        <v>44197</v>
      </c>
      <c r="G178" s="6" t="s">
        <v>13</v>
      </c>
      <c r="H178" s="6" t="s">
        <v>520</v>
      </c>
      <c r="I178" s="6">
        <v>1</v>
      </c>
      <c r="J178" s="6">
        <v>21500</v>
      </c>
      <c r="K178" s="8">
        <f t="shared" si="2"/>
        <v>246.22079706825471</v>
      </c>
      <c r="L178" s="97">
        <v>44216</v>
      </c>
      <c r="R178" s="6" t="str">
        <f ca="1">IFERROR(_xludf.IFS($E178="CSM","Category",$E178="CSPO","Category", $E178="PSM","Category",$E178="PSPO","Category",$E178="SAFe Agile","SAFe",$E178="SAFe SSM","SAFe",$E178="SAFe POPM","SAFe",$E178="SASM","SAFe",$E178="PMI-ACP","Category",$E178="ICP-ACC","Category",$E178="PSM 2","Category",$E178="SAFe RTE","SAFe",$E178="",""),"NonCategory")</f>
        <v>NonCategory</v>
      </c>
    </row>
    <row r="179" spans="1:18">
      <c r="A179" s="162">
        <v>44221</v>
      </c>
      <c r="B179" s="164" t="s">
        <v>729</v>
      </c>
      <c r="C179" s="168" t="s">
        <v>730</v>
      </c>
      <c r="D179" s="6" t="s">
        <v>278</v>
      </c>
      <c r="E179" s="6" t="s">
        <v>96</v>
      </c>
      <c r="F179" s="79">
        <v>44197</v>
      </c>
      <c r="G179" s="6" t="s">
        <v>16</v>
      </c>
      <c r="H179" s="6" t="s">
        <v>536</v>
      </c>
      <c r="I179" s="6">
        <v>1</v>
      </c>
      <c r="J179" s="8">
        <v>20000</v>
      </c>
      <c r="K179" s="8">
        <f t="shared" si="2"/>
        <v>229.04260192395787</v>
      </c>
      <c r="L179" s="97">
        <v>44221</v>
      </c>
      <c r="M179" s="6" t="s">
        <v>731</v>
      </c>
      <c r="N179" s="97">
        <v>44221</v>
      </c>
      <c r="O179" s="20" t="s">
        <v>5305</v>
      </c>
      <c r="P179" s="6" t="s">
        <v>732</v>
      </c>
      <c r="Q179" s="6" t="s">
        <v>733</v>
      </c>
      <c r="R179" s="6" t="str">
        <f ca="1">IFERROR(_xludf.IFS($E179="CSM","Category",$E179="CSPO","Category", $E179="PSM","Category",$E179="PSPO","Category",$E179="SAFe Agile","SAFe",$E179="SAFe SSM","SAFe",$E179="SAFe POPM","SAFe",$E179="SASM","SAFe",$E179="PMI-ACP","Category",$E179="ICP-ACC","Category",$E179="PSM 2","Category",$E179="SAFe RTE","SAFe",$E179="",""),"NonCategory")</f>
        <v>NonCategory</v>
      </c>
    </row>
    <row r="180" spans="1:18">
      <c r="A180" s="162">
        <v>44216</v>
      </c>
      <c r="B180" s="164" t="s">
        <v>734</v>
      </c>
      <c r="C180" s="168" t="s">
        <v>735</v>
      </c>
      <c r="D180" s="6" t="s">
        <v>303</v>
      </c>
      <c r="E180" s="2" t="s">
        <v>7</v>
      </c>
      <c r="F180" s="79">
        <v>44228</v>
      </c>
      <c r="G180" s="6" t="s">
        <v>13</v>
      </c>
      <c r="H180" s="6" t="s">
        <v>548</v>
      </c>
      <c r="I180" s="6">
        <v>1</v>
      </c>
      <c r="J180" s="6">
        <v>53100</v>
      </c>
      <c r="K180" s="8">
        <f t="shared" si="2"/>
        <v>608.10810810810813</v>
      </c>
      <c r="L180" s="97">
        <v>44230</v>
      </c>
      <c r="R180" s="6" t="str">
        <f ca="1">IFERROR(_xludf.IFS($E180="CSM","Category",$E180="CSPO","Category", $E180="PSM","Category",$E180="PSPO","Category",$E180="SAFe Agile","SAFe",$E180="SAFe SSM","SAFe",$E180="SAFe POPM","SAFe",$E180="SASM","SAFe",$E180="PMI-ACP","Category",$E180="ICP-ACC","Category",$E180="PSM 2","Category",$E180="SAFe RTE","SAFe",$E180="",""),"NonCategory")</f>
        <v>NonCategory</v>
      </c>
    </row>
    <row r="181" spans="1:18">
      <c r="A181" s="162">
        <v>44221</v>
      </c>
      <c r="B181" s="164" t="s">
        <v>460</v>
      </c>
      <c r="C181" s="168" t="s">
        <v>461</v>
      </c>
      <c r="D181" s="6" t="s">
        <v>736</v>
      </c>
      <c r="E181" s="6" t="s">
        <v>97</v>
      </c>
      <c r="F181" s="79">
        <v>44197</v>
      </c>
      <c r="G181" s="6" t="s">
        <v>16</v>
      </c>
      <c r="H181" s="6" t="s">
        <v>737</v>
      </c>
      <c r="I181" s="6">
        <v>1</v>
      </c>
      <c r="J181" s="8">
        <v>20000</v>
      </c>
      <c r="K181" s="8">
        <f t="shared" si="2"/>
        <v>229.04260192395787</v>
      </c>
      <c r="L181" s="97">
        <v>44221</v>
      </c>
      <c r="M181" s="6" t="s">
        <v>731</v>
      </c>
      <c r="N181" s="97">
        <v>44221</v>
      </c>
      <c r="O181" s="20" t="s">
        <v>5306</v>
      </c>
      <c r="Q181" s="6" t="s">
        <v>356</v>
      </c>
      <c r="R181" s="6" t="str">
        <f ca="1">IFERROR(_xludf.IFS($E181="CSM","Category",$E181="CSPO","Category", $E181="PSM","Category",$E181="PSPO","Category",$E181="SAFe Agile","SAFe",$E181="SAFe SSM","SAFe",$E181="SAFe POPM","SAFe",$E181="SASM","SAFe",$E181="PMI-ACP","Category",$E181="ICP-ACC","Category",$E181="PSM 2","Category",$E181="SAFe RTE","SAFe",$E181="",""),"NonCategory")</f>
        <v>NonCategory</v>
      </c>
    </row>
    <row r="182" spans="1:18">
      <c r="A182" s="162">
        <v>44217</v>
      </c>
      <c r="B182" s="164" t="s">
        <v>2</v>
      </c>
      <c r="C182" s="168" t="s">
        <v>738</v>
      </c>
      <c r="D182" s="6" t="s">
        <v>303</v>
      </c>
      <c r="E182" s="6" t="s">
        <v>96</v>
      </c>
      <c r="F182" s="79">
        <v>44197</v>
      </c>
      <c r="G182" s="6" t="s">
        <v>16</v>
      </c>
      <c r="H182" s="6" t="s">
        <v>486</v>
      </c>
      <c r="I182" s="6">
        <v>1</v>
      </c>
      <c r="J182" s="8">
        <v>20000</v>
      </c>
      <c r="K182" s="8">
        <f t="shared" si="2"/>
        <v>229.04260192395787</v>
      </c>
      <c r="L182" s="97">
        <v>44218</v>
      </c>
      <c r="M182" s="6" t="s">
        <v>731</v>
      </c>
      <c r="N182" s="97">
        <v>44222</v>
      </c>
      <c r="O182" s="20" t="s">
        <v>5307</v>
      </c>
      <c r="Q182" s="6" t="s">
        <v>280</v>
      </c>
      <c r="R182" s="6" t="str">
        <f ca="1">IFERROR(_xludf.IFS($E182="CSM","Category",$E182="CSPO","Category", $E182="PSM","Category",$E182="PSPO","Category",$E182="SAFe Agile","SAFe",$E182="SAFe SSM","SAFe",$E182="SAFe POPM","SAFe",$E182="SASM","SAFe",$E182="PMI-ACP","Category",$E182="ICP-ACC","Category",$E182="PSM 2","Category",$E182="SAFe RTE","SAFe",$E182="",""),"NonCategory")</f>
        <v>NonCategory</v>
      </c>
    </row>
    <row r="183" spans="1:18">
      <c r="A183" s="162">
        <v>44223</v>
      </c>
      <c r="B183" s="164" t="s">
        <v>739</v>
      </c>
      <c r="C183" s="168" t="s">
        <v>740</v>
      </c>
      <c r="D183" s="6" t="s">
        <v>303</v>
      </c>
      <c r="E183" s="6" t="s">
        <v>96</v>
      </c>
      <c r="F183" s="79">
        <v>44197</v>
      </c>
      <c r="G183" s="6" t="s">
        <v>16</v>
      </c>
      <c r="H183" s="6" t="s">
        <v>536</v>
      </c>
      <c r="I183" s="6">
        <v>1</v>
      </c>
      <c r="J183" s="8">
        <v>20000</v>
      </c>
      <c r="K183" s="8">
        <f t="shared" si="2"/>
        <v>229.04260192395787</v>
      </c>
      <c r="L183" s="97">
        <v>44223</v>
      </c>
      <c r="M183" s="6" t="s">
        <v>731</v>
      </c>
      <c r="N183" s="97">
        <v>44223</v>
      </c>
      <c r="O183" s="20" t="s">
        <v>5308</v>
      </c>
      <c r="Q183" s="6" t="s">
        <v>280</v>
      </c>
      <c r="R183" s="6" t="str">
        <f ca="1">IFERROR(_xludf.IFS($E183="CSM","Category",$E183="CSPO","Category", $E183="PSM","Category",$E183="PSPO","Category",$E183="SAFe Agile","SAFe",$E183="SAFe SSM","SAFe",$E183="SAFe POPM","SAFe",$E183="SASM","SAFe",$E183="PMI-ACP","Category",$E183="ICP-ACC","Category",$E183="PSM 2","Category",$E183="SAFe RTE","SAFe",$E183="",""),"NonCategory")</f>
        <v>NonCategory</v>
      </c>
    </row>
    <row r="184" spans="1:18">
      <c r="A184" s="162">
        <v>44216</v>
      </c>
      <c r="B184" s="164" t="s">
        <v>741</v>
      </c>
      <c r="C184" s="168" t="s">
        <v>742</v>
      </c>
      <c r="D184" s="6" t="s">
        <v>303</v>
      </c>
      <c r="E184" s="6" t="s">
        <v>22</v>
      </c>
      <c r="F184" s="79">
        <v>44197</v>
      </c>
      <c r="G184" s="6" t="s">
        <v>13</v>
      </c>
      <c r="H184" s="97">
        <v>44233</v>
      </c>
      <c r="I184" s="6">
        <v>1</v>
      </c>
      <c r="J184" s="6">
        <v>12000</v>
      </c>
      <c r="K184" s="8">
        <f t="shared" si="2"/>
        <v>137.42556115437472</v>
      </c>
      <c r="L184" s="97">
        <v>44221</v>
      </c>
      <c r="R184" s="6" t="str">
        <f ca="1">IFERROR(_xludf.IFS($E184="CSM","Category",$E184="CSPO","Category", $E184="PSM","Category",$E184="PSPO","Category",$E184="SAFe Agile","SAFe",$E184="SAFe SSM","SAFe",$E184="SAFe POPM","SAFe",$E184="SASM","SAFe",$E184="PMI-ACP","Category",$E184="ICP-ACC","Category",$E184="PSM 2","Category",$E184="SAFe RTE","SAFe",$E184="",""),"NonCategory")</f>
        <v>NonCategory</v>
      </c>
    </row>
    <row r="185" spans="1:18">
      <c r="A185" s="162">
        <v>44224</v>
      </c>
      <c r="B185" s="164" t="s">
        <v>743</v>
      </c>
      <c r="C185" s="168" t="s">
        <v>744</v>
      </c>
      <c r="D185" s="6" t="s">
        <v>291</v>
      </c>
      <c r="E185" s="6" t="s">
        <v>96</v>
      </c>
      <c r="F185" s="79">
        <v>44197</v>
      </c>
      <c r="G185" s="6" t="s">
        <v>16</v>
      </c>
      <c r="H185" s="6" t="s">
        <v>745</v>
      </c>
      <c r="I185" s="6">
        <v>1</v>
      </c>
      <c r="J185" s="8">
        <v>22000</v>
      </c>
      <c r="K185" s="8">
        <f t="shared" si="2"/>
        <v>251.94686211635369</v>
      </c>
      <c r="L185" s="97">
        <v>44224</v>
      </c>
      <c r="M185" s="6" t="s">
        <v>731</v>
      </c>
      <c r="N185" s="97">
        <v>44224</v>
      </c>
      <c r="O185" s="20" t="s">
        <v>5309</v>
      </c>
      <c r="Q185" s="6" t="s">
        <v>356</v>
      </c>
      <c r="R185" s="6" t="str">
        <f ca="1">IFERROR(_xludf.IFS($E185="CSM","Category",$E185="CSPO","Category", $E185="PSM","Category",$E185="PSPO","Category",$E185="SAFe Agile","SAFe",$E185="SAFe SSM","SAFe",$E185="SAFe POPM","SAFe",$E185="SASM","SAFe",$E185="PMI-ACP","Category",$E185="ICP-ACC","Category",$E185="PSM 2","Category",$E185="SAFe RTE","SAFe",$E185="",""),"NonCategory")</f>
        <v>NonCategory</v>
      </c>
    </row>
    <row r="186" spans="1:18">
      <c r="A186" s="162">
        <v>44216</v>
      </c>
      <c r="B186" s="164" t="s">
        <v>746</v>
      </c>
      <c r="C186" s="168" t="s">
        <v>747</v>
      </c>
      <c r="D186" s="6" t="s">
        <v>278</v>
      </c>
      <c r="E186" s="6" t="s">
        <v>96</v>
      </c>
      <c r="F186" s="79">
        <v>44197</v>
      </c>
      <c r="G186" s="6" t="s">
        <v>16</v>
      </c>
      <c r="H186" s="6" t="s">
        <v>520</v>
      </c>
      <c r="I186" s="6">
        <v>1</v>
      </c>
      <c r="J186" s="6">
        <v>20500</v>
      </c>
      <c r="K186" s="8">
        <f t="shared" si="2"/>
        <v>234.76866697205682</v>
      </c>
      <c r="L186" s="97">
        <v>44216</v>
      </c>
      <c r="P186" s="6" t="s">
        <v>748</v>
      </c>
      <c r="R186" s="6" t="str">
        <f ca="1">IFERROR(_xludf.IFS($E186="CSM","Category",$E186="CSPO","Category", $E186="PSM","Category",$E186="PSPO","Category",$E186="SAFe Agile","SAFe",$E186="SAFe SSM","SAFe",$E186="SAFe POPM","SAFe",$E186="SASM","SAFe",$E186="PMI-ACP","Category",$E186="ICP-ACC","Category",$E186="PSM 2","Category",$E186="SAFe RTE","SAFe",$E186="",""),"NonCategory")</f>
        <v>NonCategory</v>
      </c>
    </row>
    <row r="187" spans="1:18">
      <c r="A187" s="162">
        <v>44224</v>
      </c>
      <c r="B187" s="164" t="s">
        <v>749</v>
      </c>
      <c r="C187" s="168" t="s">
        <v>750</v>
      </c>
      <c r="D187" s="6" t="s">
        <v>291</v>
      </c>
      <c r="E187" s="6" t="s">
        <v>97</v>
      </c>
      <c r="F187" s="79">
        <v>44197</v>
      </c>
      <c r="G187" s="6" t="s">
        <v>16</v>
      </c>
      <c r="H187" s="6" t="s">
        <v>548</v>
      </c>
      <c r="I187" s="6">
        <v>1</v>
      </c>
      <c r="J187" s="8">
        <v>24780</v>
      </c>
      <c r="K187" s="8">
        <f t="shared" si="2"/>
        <v>283.7837837837838</v>
      </c>
      <c r="L187" s="97">
        <v>44224</v>
      </c>
      <c r="M187" s="6" t="s">
        <v>731</v>
      </c>
      <c r="N187" s="97">
        <v>44224</v>
      </c>
      <c r="O187" s="107" t="s">
        <v>751</v>
      </c>
      <c r="Q187" s="6" t="s">
        <v>356</v>
      </c>
      <c r="R187" s="6" t="str">
        <f ca="1">IFERROR(_xludf.IFS($E187="CSM","Category",$E187="CSPO","Category", $E187="PSM","Category",$E187="PSPO","Category",$E187="SAFe Agile","SAFe",$E187="SAFe SSM","SAFe",$E187="SAFe POPM","SAFe",$E187="SASM","SAFe",$E187="PMI-ACP","Category",$E187="ICP-ACC","Category",$E187="PSM 2","Category",$E187="SAFe RTE","SAFe",$E187="",""),"NonCategory")</f>
        <v>NonCategory</v>
      </c>
    </row>
    <row r="188" spans="1:18">
      <c r="A188" s="162">
        <v>44217</v>
      </c>
      <c r="B188" s="164" t="s">
        <v>752</v>
      </c>
      <c r="C188" s="168" t="s">
        <v>753</v>
      </c>
      <c r="D188" s="6" t="s">
        <v>435</v>
      </c>
      <c r="E188" s="6" t="s">
        <v>96</v>
      </c>
      <c r="F188" s="79">
        <v>44228</v>
      </c>
      <c r="G188" s="6" t="s">
        <v>13</v>
      </c>
      <c r="H188" s="6" t="s">
        <v>548</v>
      </c>
      <c r="I188" s="6">
        <v>1</v>
      </c>
      <c r="J188" s="6">
        <v>21500</v>
      </c>
      <c r="K188" s="8">
        <f t="shared" si="2"/>
        <v>246.22079706825471</v>
      </c>
      <c r="L188" s="97">
        <v>44230</v>
      </c>
      <c r="R188" s="6" t="str">
        <f ca="1">IFERROR(_xludf.IFS($E188="CSM","Category",$E188="CSPO","Category", $E188="PSM","Category",$E188="PSPO","Category",$E188="SAFe Agile","SAFe",$E188="SAFe SSM","SAFe",$E188="SAFe POPM","SAFe",$E188="SASM","SAFe",$E188="PMI-ACP","Category",$E188="ICP-ACC","Category",$E188="PSM 2","Category",$E188="SAFe RTE","SAFe",$E188="",""),"NonCategory")</f>
        <v>NonCategory</v>
      </c>
    </row>
    <row r="189" spans="1:18">
      <c r="A189" s="162">
        <v>44224</v>
      </c>
      <c r="B189" s="164" t="s">
        <v>754</v>
      </c>
      <c r="C189" s="168" t="s">
        <v>755</v>
      </c>
      <c r="D189" s="6" t="s">
        <v>705</v>
      </c>
      <c r="E189" s="6" t="s">
        <v>25</v>
      </c>
      <c r="F189" s="79">
        <v>44197</v>
      </c>
      <c r="G189" s="6" t="s">
        <v>16</v>
      </c>
      <c r="H189" s="6" t="s">
        <v>536</v>
      </c>
      <c r="I189" s="6">
        <v>1</v>
      </c>
      <c r="J189" s="8">
        <v>53100</v>
      </c>
      <c r="K189" s="8">
        <f t="shared" si="2"/>
        <v>608.10810810810813</v>
      </c>
      <c r="L189" s="97">
        <v>44224</v>
      </c>
      <c r="M189" s="6" t="s">
        <v>731</v>
      </c>
      <c r="N189" s="97">
        <v>44225</v>
      </c>
      <c r="O189" s="20" t="s">
        <v>5311</v>
      </c>
      <c r="Q189" s="6" t="s">
        <v>280</v>
      </c>
      <c r="R189" s="6" t="str">
        <f ca="1">IFERROR(_xludf.IFS($E189="CSM","Category",$E189="CSPO","Category", $E189="PSM","Category",$E189="PSPO","Category",$E189="SAFe Agile","SAFe",$E189="SAFe SSM","SAFe",$E189="SAFe POPM","SAFe",$E189="SASM","SAFe",$E189="PMI-ACP","Category",$E189="ICP-ACC","Category",$E189="PSM 2","Category",$E189="SAFe RTE","SAFe",$E189="",""),"NonCategory")</f>
        <v>NonCategory</v>
      </c>
    </row>
    <row r="190" spans="1:18">
      <c r="A190" s="162">
        <v>44214</v>
      </c>
      <c r="B190" s="164" t="s">
        <v>756</v>
      </c>
      <c r="C190" s="168" t="s">
        <v>757</v>
      </c>
      <c r="D190" s="6" t="s">
        <v>287</v>
      </c>
      <c r="E190" s="6" t="s">
        <v>96</v>
      </c>
      <c r="F190" s="79">
        <v>44197</v>
      </c>
      <c r="G190" s="6" t="s">
        <v>13</v>
      </c>
      <c r="H190" s="6" t="s">
        <v>315</v>
      </c>
      <c r="I190" s="6">
        <v>1</v>
      </c>
      <c r="J190" s="6">
        <v>21500</v>
      </c>
      <c r="K190" s="8">
        <f t="shared" si="2"/>
        <v>246.22079706825471</v>
      </c>
      <c r="L190" s="6" t="s">
        <v>315</v>
      </c>
      <c r="R190" s="6" t="str">
        <f ca="1">IFERROR(_xludf.IFS($E190="CSM","Category",$E190="CSPO","Category", $E190="PSM","Category",$E190="PSPO","Category",$E190="SAFe Agile","SAFe",$E190="SAFe SSM","SAFe",$E190="SAFe POPM","SAFe",$E190="SASM","SAFe",$E190="PMI-ACP","Category",$E190="ICP-ACC","Category",$E190="PSM 2","Category",$E190="SAFe RTE","SAFe",$E190="",""),"NonCategory")</f>
        <v>NonCategory</v>
      </c>
    </row>
    <row r="191" spans="1:18">
      <c r="A191" s="162">
        <v>44218</v>
      </c>
      <c r="B191" s="164" t="s">
        <v>758</v>
      </c>
      <c r="C191" s="168" t="s">
        <v>759</v>
      </c>
      <c r="D191" s="6" t="s">
        <v>578</v>
      </c>
      <c r="E191" s="6" t="s">
        <v>96</v>
      </c>
      <c r="F191" s="79">
        <v>44197</v>
      </c>
      <c r="G191" s="6" t="s">
        <v>13</v>
      </c>
      <c r="H191" s="6" t="s">
        <v>315</v>
      </c>
      <c r="I191" s="6">
        <v>1</v>
      </c>
      <c r="J191" s="6">
        <v>21500</v>
      </c>
      <c r="K191" s="8">
        <f t="shared" si="2"/>
        <v>246.22079706825471</v>
      </c>
      <c r="L191" s="6" t="s">
        <v>315</v>
      </c>
      <c r="R191" s="6" t="str">
        <f ca="1">IFERROR(_xludf.IFS($E191="CSM","Category",$E191="CSPO","Category", $E191="PSM","Category",$E191="PSPO","Category",$E191="SAFe Agile","SAFe",$E191="SAFe SSM","SAFe",$E191="SAFe POPM","SAFe",$E191="SASM","SAFe",$E191="PMI-ACP","Category",$E191="ICP-ACC","Category",$E191="PSM 2","Category",$E191="SAFe RTE","SAFe",$E191="",""),"NonCategory")</f>
        <v>NonCategory</v>
      </c>
    </row>
    <row r="192" spans="1:18">
      <c r="A192" s="162">
        <v>44218</v>
      </c>
      <c r="B192" s="164" t="s">
        <v>760</v>
      </c>
      <c r="C192" s="168" t="s">
        <v>761</v>
      </c>
      <c r="D192" s="6" t="s">
        <v>319</v>
      </c>
      <c r="E192" s="6" t="s">
        <v>22</v>
      </c>
      <c r="F192" s="79">
        <v>44197</v>
      </c>
      <c r="G192" s="6" t="s">
        <v>13</v>
      </c>
      <c r="H192" s="97">
        <v>44233</v>
      </c>
      <c r="I192" s="6">
        <v>1</v>
      </c>
      <c r="J192" s="6">
        <v>11000</v>
      </c>
      <c r="K192" s="8">
        <f t="shared" si="2"/>
        <v>125.97343105817684</v>
      </c>
      <c r="L192" s="97">
        <v>44221</v>
      </c>
      <c r="P192" s="6" t="s">
        <v>762</v>
      </c>
      <c r="R192" s="6" t="str">
        <f ca="1">IFERROR(_xludf.IFS($E192="CSM","Category",$E192="CSPO","Category", $E192="PSM","Category",$E192="PSPO","Category",$E192="SAFe Agile","SAFe",$E192="SAFe SSM","SAFe",$E192="SAFe POPM","SAFe",$E192="SASM","SAFe",$E192="PMI-ACP","Category",$E192="ICP-ACC","Category",$E192="PSM 2","Category",$E192="SAFe RTE","SAFe",$E192="",""),"NonCategory")</f>
        <v>NonCategory</v>
      </c>
    </row>
    <row r="193" spans="1:18">
      <c r="A193" s="162">
        <v>44224</v>
      </c>
      <c r="B193" s="164" t="s">
        <v>754</v>
      </c>
      <c r="C193" s="168" t="s">
        <v>755</v>
      </c>
      <c r="D193" s="6" t="s">
        <v>705</v>
      </c>
      <c r="E193" s="6" t="s">
        <v>532</v>
      </c>
      <c r="F193" s="79">
        <v>44197</v>
      </c>
      <c r="G193" s="6" t="s">
        <v>16</v>
      </c>
      <c r="H193" s="97">
        <v>44233</v>
      </c>
      <c r="I193" s="6">
        <v>1</v>
      </c>
      <c r="J193" s="8">
        <v>8500</v>
      </c>
      <c r="K193" s="8">
        <f t="shared" si="2"/>
        <v>97.343105817682087</v>
      </c>
      <c r="L193" s="97">
        <v>44224</v>
      </c>
      <c r="M193" s="6" t="s">
        <v>731</v>
      </c>
      <c r="N193" s="97">
        <v>44225</v>
      </c>
      <c r="O193" s="20" t="s">
        <v>5312</v>
      </c>
      <c r="Q193" s="6" t="s">
        <v>688</v>
      </c>
      <c r="R193" s="6" t="str">
        <f ca="1">IFERROR(_xludf.IFS($E193="CSM","Category",$E193="CSPO","Category", $E193="PSM","Category",$E193="PSPO","Category",$E193="SAFe Agile","SAFe",$E193="SAFe SSM","SAFe",$E193="SAFe POPM","SAFe",$E193="SASM","SAFe",$E193="PMI-ACP","Category",$E193="ICP-ACC","Category",$E193="PSM 2","Category",$E193="SAFe RTE","SAFe",$E193="",""),"NonCategory")</f>
        <v>NonCategory</v>
      </c>
    </row>
    <row r="194" spans="1:18">
      <c r="A194" s="162">
        <v>44216</v>
      </c>
      <c r="B194" s="164" t="s">
        <v>763</v>
      </c>
      <c r="C194" s="168" t="s">
        <v>764</v>
      </c>
      <c r="D194" s="6" t="s">
        <v>278</v>
      </c>
      <c r="E194" s="6" t="s">
        <v>96</v>
      </c>
      <c r="F194" s="79">
        <v>44197</v>
      </c>
      <c r="G194" s="6" t="s">
        <v>16</v>
      </c>
      <c r="H194" s="6" t="s">
        <v>548</v>
      </c>
      <c r="I194" s="6">
        <v>1</v>
      </c>
      <c r="J194" s="8">
        <v>20000</v>
      </c>
      <c r="K194" s="8">
        <f t="shared" ref="K194:K254" si="3">IFERROR((($J194/1.18))/74,"")</f>
        <v>229.04260192395787</v>
      </c>
      <c r="L194" s="97">
        <v>44221</v>
      </c>
      <c r="M194" s="6" t="s">
        <v>731</v>
      </c>
      <c r="N194" s="97">
        <v>44226</v>
      </c>
      <c r="O194" s="20" t="s">
        <v>5313</v>
      </c>
      <c r="P194" s="6" t="s">
        <v>765</v>
      </c>
      <c r="Q194" s="6" t="s">
        <v>280</v>
      </c>
      <c r="R194" s="6" t="str">
        <f ca="1">IFERROR(_xludf.IFS($E194="CSM","Category",$E194="CSPO","Category", $E194="PSM","Category",$E194="PSPO","Category",$E194="SAFe Agile","SAFe",$E194="SAFe SSM","SAFe",$E194="SAFe POPM","SAFe",$E194="SASM","SAFe",$E194="PMI-ACP","Category",$E194="ICP-ACC","Category",$E194="PSM 2","Category",$E194="SAFe RTE","SAFe",$E194="",""),"NonCategory")</f>
        <v>NonCategory</v>
      </c>
    </row>
    <row r="195" spans="1:18">
      <c r="A195" s="162">
        <v>44226</v>
      </c>
      <c r="B195" s="164" t="s">
        <v>766</v>
      </c>
      <c r="C195" s="168" t="s">
        <v>767</v>
      </c>
      <c r="D195" s="6" t="s">
        <v>303</v>
      </c>
      <c r="E195" s="6" t="s">
        <v>96</v>
      </c>
      <c r="F195" s="79">
        <v>44197</v>
      </c>
      <c r="G195" s="6" t="s">
        <v>16</v>
      </c>
      <c r="H195" s="6" t="s">
        <v>486</v>
      </c>
      <c r="I195" s="6">
        <v>1</v>
      </c>
      <c r="J195" s="8">
        <v>20000</v>
      </c>
      <c r="K195" s="8">
        <f t="shared" si="3"/>
        <v>229.04260192395787</v>
      </c>
      <c r="L195" s="97">
        <v>44226</v>
      </c>
      <c r="M195" s="6" t="s">
        <v>731</v>
      </c>
      <c r="N195" s="97">
        <v>44226</v>
      </c>
      <c r="O195" s="20" t="s">
        <v>5314</v>
      </c>
      <c r="Q195" s="6" t="s">
        <v>356</v>
      </c>
      <c r="R195" s="6" t="str">
        <f ca="1">IFERROR(_xludf.IFS($E195="CSM","Category",$E195="CSPO","Category", $E195="PSM","Category",$E195="PSPO","Category",$E195="SAFe Agile","SAFe",$E195="SAFe SSM","SAFe",$E195="SAFe POPM","SAFe",$E195="SASM","SAFe",$E195="PMI-ACP","Category",$E195="ICP-ACC","Category",$E195="PSM 2","Category",$E195="SAFe RTE","SAFe",$E195="",""),"NonCategory")</f>
        <v>NonCategory</v>
      </c>
    </row>
    <row r="196" spans="1:18">
      <c r="A196" s="162">
        <v>44222</v>
      </c>
      <c r="B196" s="164" t="s">
        <v>768</v>
      </c>
      <c r="C196" s="168" t="s">
        <v>769</v>
      </c>
      <c r="D196" s="6" t="s">
        <v>319</v>
      </c>
      <c r="E196" s="6" t="s">
        <v>97</v>
      </c>
      <c r="F196" s="79">
        <v>44197</v>
      </c>
      <c r="G196" s="6" t="s">
        <v>13</v>
      </c>
      <c r="H196" s="6" t="s">
        <v>548</v>
      </c>
      <c r="I196" s="6">
        <v>1</v>
      </c>
      <c r="J196" s="6">
        <v>21000</v>
      </c>
      <c r="K196" s="8">
        <f t="shared" si="3"/>
        <v>240.49473202015577</v>
      </c>
      <c r="L196" s="97">
        <v>44223</v>
      </c>
      <c r="P196" s="6" t="s">
        <v>770</v>
      </c>
      <c r="R196" s="6" t="str">
        <f ca="1">IFERROR(_xludf.IFS($E196="CSM","Category",$E196="CSPO","Category", $E196="PSM","Category",$E196="PSPO","Category",$E196="SAFe Agile","SAFe",$E196="SAFe SSM","SAFe",$E196="SAFe POPM","SAFe",$E196="SASM","SAFe",$E196="PMI-ACP","Category",$E196="ICP-ACC","Category",$E196="PSM 2","Category",$E196="SAFe RTE","SAFe",$E196="",""),"NonCategory")</f>
        <v>NonCategory</v>
      </c>
    </row>
    <row r="197" spans="1:18">
      <c r="A197" s="162">
        <v>44223</v>
      </c>
      <c r="B197" s="164" t="s">
        <v>771</v>
      </c>
      <c r="C197" s="168" t="s">
        <v>772</v>
      </c>
      <c r="D197" s="6" t="s">
        <v>303</v>
      </c>
      <c r="E197" s="6" t="s">
        <v>96</v>
      </c>
      <c r="F197" s="79">
        <v>44197</v>
      </c>
      <c r="G197" s="6" t="s">
        <v>13</v>
      </c>
      <c r="H197" s="6" t="s">
        <v>315</v>
      </c>
      <c r="I197" s="6">
        <v>1</v>
      </c>
      <c r="J197" s="6">
        <v>21500</v>
      </c>
      <c r="K197" s="8">
        <f t="shared" si="3"/>
        <v>246.22079706825471</v>
      </c>
      <c r="L197" s="6" t="s">
        <v>315</v>
      </c>
      <c r="R197" s="6" t="str">
        <f ca="1">IFERROR(_xludf.IFS($E197="CSM","Category",$E197="CSPO","Category", $E197="PSM","Category",$E197="PSPO","Category",$E197="SAFe Agile","SAFe",$E197="SAFe SSM","SAFe",$E197="SAFe POPM","SAFe",$E197="SASM","SAFe",$E197="PMI-ACP","Category",$E197="ICP-ACC","Category",$E197="PSM 2","Category",$E197="SAFe RTE","SAFe",$E197="",""),"NonCategory")</f>
        <v>NonCategory</v>
      </c>
    </row>
    <row r="198" spans="1:18">
      <c r="A198" s="162">
        <v>44223</v>
      </c>
      <c r="B198" s="164" t="s">
        <v>773</v>
      </c>
      <c r="C198" s="168" t="s">
        <v>774</v>
      </c>
      <c r="D198" s="6" t="s">
        <v>291</v>
      </c>
      <c r="E198" s="6" t="s">
        <v>96</v>
      </c>
      <c r="F198" s="79">
        <v>44197</v>
      </c>
      <c r="G198" s="6" t="s">
        <v>13</v>
      </c>
      <c r="H198" s="6" t="s">
        <v>315</v>
      </c>
      <c r="I198" s="6">
        <v>1</v>
      </c>
      <c r="J198" s="6">
        <v>20500</v>
      </c>
      <c r="K198" s="8">
        <f t="shared" si="3"/>
        <v>234.76866697205682</v>
      </c>
      <c r="L198" s="6" t="s">
        <v>315</v>
      </c>
      <c r="R198" s="6" t="str">
        <f ca="1">IFERROR(_xludf.IFS($E198="CSM","Category",$E198="CSPO","Category", $E198="PSM","Category",$E198="PSPO","Category",$E198="SAFe Agile","SAFe",$E198="SAFe SSM","SAFe",$E198="SAFe POPM","SAFe",$E198="SASM","SAFe",$E198="PMI-ACP","Category",$E198="ICP-ACC","Category",$E198="PSM 2","Category",$E198="SAFe RTE","SAFe",$E198="",""),"NonCategory")</f>
        <v>NonCategory</v>
      </c>
    </row>
    <row r="199" spans="1:18">
      <c r="A199" s="162">
        <v>44216</v>
      </c>
      <c r="B199" s="164" t="s">
        <v>775</v>
      </c>
      <c r="C199" s="168" t="s">
        <v>776</v>
      </c>
      <c r="D199" s="6" t="s">
        <v>319</v>
      </c>
      <c r="E199" s="6" t="s">
        <v>96</v>
      </c>
      <c r="F199" s="79">
        <v>44197</v>
      </c>
      <c r="G199" s="6" t="s">
        <v>16</v>
      </c>
      <c r="H199" s="6" t="s">
        <v>486</v>
      </c>
      <c r="I199" s="6">
        <v>1</v>
      </c>
      <c r="J199" s="8">
        <v>19000</v>
      </c>
      <c r="K199" s="8">
        <f t="shared" si="3"/>
        <v>217.59047182775998</v>
      </c>
      <c r="L199" s="97">
        <v>44222</v>
      </c>
      <c r="M199" s="6" t="s">
        <v>731</v>
      </c>
      <c r="N199" s="97">
        <v>44227</v>
      </c>
      <c r="O199" s="108" t="s">
        <v>5315</v>
      </c>
      <c r="Q199" s="6" t="s">
        <v>280</v>
      </c>
      <c r="R199" s="6" t="str">
        <f ca="1">IFERROR(_xludf.IFS($E199="CSM","Category",$E199="CSPO","Category", $E199="PSM","Category",$E199="PSPO","Category",$E199="SAFe Agile","SAFe",$E199="SAFe SSM","SAFe",$E199="SAFe POPM","SAFe",$E199="SASM","SAFe",$E199="PMI-ACP","Category",$E199="ICP-ACC","Category",$E199="PSM 2","Category",$E199="SAFe RTE","SAFe",$E199="",""),"NonCategory")</f>
        <v>NonCategory</v>
      </c>
    </row>
    <row r="200" spans="1:18">
      <c r="A200" s="162">
        <v>44223</v>
      </c>
      <c r="B200" s="164" t="s">
        <v>777</v>
      </c>
      <c r="C200" s="168" t="s">
        <v>778</v>
      </c>
      <c r="D200" s="6" t="s">
        <v>779</v>
      </c>
      <c r="E200" s="6" t="s">
        <v>97</v>
      </c>
      <c r="F200" s="79">
        <v>44197</v>
      </c>
      <c r="G200" s="6" t="s">
        <v>13</v>
      </c>
      <c r="H200" s="6" t="s">
        <v>486</v>
      </c>
      <c r="I200" s="6">
        <v>1</v>
      </c>
      <c r="J200" s="6">
        <v>20500</v>
      </c>
      <c r="K200" s="8">
        <f t="shared" si="3"/>
        <v>234.76866697205682</v>
      </c>
      <c r="L200" s="97">
        <v>44223</v>
      </c>
      <c r="R200" s="6" t="str">
        <f ca="1">IFERROR(_xludf.IFS($E200="CSM","Category",$E200="CSPO","Category", $E200="PSM","Category",$E200="PSPO","Category",$E200="SAFe Agile","SAFe",$E200="SAFe SSM","SAFe",$E200="SAFe POPM","SAFe",$E200="SASM","SAFe",$E200="PMI-ACP","Category",$E200="ICP-ACC","Category",$E200="PSM 2","Category",$E200="SAFe RTE","SAFe",$E200="",""),"NonCategory")</f>
        <v>NonCategory</v>
      </c>
    </row>
    <row r="201" spans="1:18">
      <c r="A201" s="162">
        <v>44224</v>
      </c>
      <c r="B201" s="164" t="s">
        <v>780</v>
      </c>
      <c r="C201" s="168" t="s">
        <v>781</v>
      </c>
      <c r="D201" s="6" t="s">
        <v>303</v>
      </c>
      <c r="E201" s="6" t="s">
        <v>25</v>
      </c>
      <c r="F201" s="79">
        <v>44197</v>
      </c>
      <c r="G201" s="6" t="s">
        <v>13</v>
      </c>
      <c r="H201" s="6" t="s">
        <v>486</v>
      </c>
      <c r="I201" s="6">
        <v>1</v>
      </c>
      <c r="J201" s="6">
        <v>50000</v>
      </c>
      <c r="K201" s="8">
        <f t="shared" si="3"/>
        <v>572.60650480989466</v>
      </c>
      <c r="L201" s="97">
        <v>44225</v>
      </c>
      <c r="R201" s="6" t="str">
        <f ca="1">IFERROR(_xludf.IFS($E201="CSM","Category",$E201="CSPO","Category", $E201="PSM","Category",$E201="PSPO","Category",$E201="SAFe Agile","SAFe",$E201="SAFe SSM","SAFe",$E201="SAFe POPM","SAFe",$E201="SASM","SAFe",$E201="PMI-ACP","Category",$E201="ICP-ACC","Category",$E201="PSM 2","Category",$E201="SAFe RTE","SAFe",$E201="",""),"NonCategory")</f>
        <v>NonCategory</v>
      </c>
    </row>
    <row r="202" spans="1:18">
      <c r="A202" s="162">
        <v>44227</v>
      </c>
      <c r="B202" s="164" t="s">
        <v>782</v>
      </c>
      <c r="C202" s="168" t="s">
        <v>783</v>
      </c>
      <c r="D202" s="6" t="s">
        <v>303</v>
      </c>
      <c r="E202" s="6" t="s">
        <v>96</v>
      </c>
      <c r="F202" s="79">
        <v>44197</v>
      </c>
      <c r="G202" s="6" t="s">
        <v>16</v>
      </c>
      <c r="H202" s="6" t="s">
        <v>486</v>
      </c>
      <c r="I202" s="6">
        <v>1</v>
      </c>
      <c r="J202" s="8">
        <v>20000</v>
      </c>
      <c r="K202" s="8">
        <f t="shared" si="3"/>
        <v>229.04260192395787</v>
      </c>
      <c r="L202" s="97">
        <v>44227</v>
      </c>
      <c r="M202" s="6" t="s">
        <v>731</v>
      </c>
      <c r="N202" s="97">
        <v>44227</v>
      </c>
      <c r="O202" s="20" t="s">
        <v>5316</v>
      </c>
      <c r="Q202" s="6" t="s">
        <v>356</v>
      </c>
      <c r="R202" s="6" t="str">
        <f ca="1">IFERROR(_xludf.IFS($E202="CSM","Category",$E202="CSPO","Category", $E202="PSM","Category",$E202="PSPO","Category",$E202="SAFe Agile","SAFe",$E202="SAFe SSM","SAFe",$E202="SAFe POPM","SAFe",$E202="SASM","SAFe",$E202="PMI-ACP","Category",$E202="ICP-ACC","Category",$E202="PSM 2","Category",$E202="SAFe RTE","SAFe",$E202="",""),"NonCategory")</f>
        <v>NonCategory</v>
      </c>
    </row>
    <row r="203" spans="1:18">
      <c r="A203" s="162">
        <v>44163</v>
      </c>
      <c r="B203" s="164" t="s">
        <v>784</v>
      </c>
      <c r="C203" s="168" t="s">
        <v>785</v>
      </c>
      <c r="D203" s="6" t="s">
        <v>278</v>
      </c>
      <c r="E203" s="6" t="s">
        <v>96</v>
      </c>
      <c r="F203" s="79">
        <v>44228</v>
      </c>
      <c r="G203" s="6" t="s">
        <v>16</v>
      </c>
      <c r="H203" s="6" t="s">
        <v>486</v>
      </c>
      <c r="I203" s="6">
        <v>1</v>
      </c>
      <c r="J203" s="8">
        <v>20000</v>
      </c>
      <c r="K203" s="8">
        <f t="shared" si="3"/>
        <v>229.04260192395787</v>
      </c>
      <c r="L203" s="6" t="s">
        <v>315</v>
      </c>
      <c r="M203" s="6" t="s">
        <v>502</v>
      </c>
      <c r="N203" s="97">
        <v>44228</v>
      </c>
      <c r="O203" s="54" t="s">
        <v>5317</v>
      </c>
      <c r="P203" s="6" t="s">
        <v>786</v>
      </c>
      <c r="Q203" s="6" t="s">
        <v>280</v>
      </c>
      <c r="R203" s="6" t="str">
        <f ca="1">IFERROR(_xludf.IFS($E203="CSM","Category",$E203="CSPO","Category", $E203="PSM","Category",$E203="PSPO","Category",$E203="SAFe Agile","SAFe",$E203="SAFe SSM","SAFe",$E203="SAFe POPM","SAFe",$E203="SASM","SAFe",$E203="PMI-ACP","Category",$E203="ICP-ACC","Category",$E203="PSM 2","Category",$E203="SAFe RTE","SAFe",$E203="",""),"NonCategory")</f>
        <v>NonCategory</v>
      </c>
    </row>
    <row r="204" spans="1:18">
      <c r="A204" s="162">
        <v>44216</v>
      </c>
      <c r="B204" s="164" t="s">
        <v>787</v>
      </c>
      <c r="C204" s="168" t="s">
        <v>788</v>
      </c>
      <c r="D204" s="6" t="s">
        <v>278</v>
      </c>
      <c r="E204" s="6" t="s">
        <v>96</v>
      </c>
      <c r="F204" s="79">
        <v>44228</v>
      </c>
      <c r="G204" s="6" t="s">
        <v>16</v>
      </c>
      <c r="H204" s="6" t="s">
        <v>486</v>
      </c>
      <c r="I204" s="6">
        <v>1</v>
      </c>
      <c r="J204" s="8">
        <v>20000</v>
      </c>
      <c r="K204" s="8">
        <f t="shared" si="3"/>
        <v>229.04260192395787</v>
      </c>
      <c r="L204" s="97">
        <v>44228</v>
      </c>
      <c r="M204" s="6" t="s">
        <v>502</v>
      </c>
      <c r="N204" s="97">
        <v>44229</v>
      </c>
      <c r="O204" s="108" t="s">
        <v>5318</v>
      </c>
      <c r="P204" s="6" t="s">
        <v>732</v>
      </c>
      <c r="Q204" s="6" t="s">
        <v>280</v>
      </c>
      <c r="R204" s="6" t="str">
        <f ca="1">IFERROR(_xludf.IFS($E204="CSM","Category",$E204="CSPO","Category", $E204="PSM","Category",$E204="PSPO","Category",$E204="SAFe Agile","SAFe",$E204="SAFe SSM","SAFe",$E204="SAFe POPM","SAFe",$E204="SASM","SAFe",$E204="PMI-ACP","Category",$E204="ICP-ACC","Category",$E204="PSM 2","Category",$E204="SAFe RTE","SAFe",$E204="",""),"NonCategory")</f>
        <v>NonCategory</v>
      </c>
    </row>
    <row r="205" spans="1:18">
      <c r="A205" s="162">
        <v>44228</v>
      </c>
      <c r="B205" s="164" t="s">
        <v>789</v>
      </c>
      <c r="C205" s="168" t="s">
        <v>790</v>
      </c>
      <c r="D205" s="6" t="s">
        <v>291</v>
      </c>
      <c r="E205" s="6" t="s">
        <v>96</v>
      </c>
      <c r="F205" s="79">
        <v>44228</v>
      </c>
      <c r="G205" s="6" t="s">
        <v>16</v>
      </c>
      <c r="H205" s="6" t="s">
        <v>548</v>
      </c>
      <c r="I205" s="6">
        <v>1</v>
      </c>
      <c r="J205" s="8">
        <v>20500</v>
      </c>
      <c r="K205" s="8">
        <f t="shared" si="3"/>
        <v>234.76866697205682</v>
      </c>
      <c r="L205" s="97">
        <v>44229</v>
      </c>
      <c r="M205" s="6" t="s">
        <v>502</v>
      </c>
      <c r="N205" s="97">
        <v>44229</v>
      </c>
      <c r="O205" s="108" t="s">
        <v>5319</v>
      </c>
      <c r="Q205" s="6" t="s">
        <v>280</v>
      </c>
      <c r="R205" s="6" t="str">
        <f ca="1">IFERROR(_xludf.IFS($E205="CSM","Category",$E205="CSPO","Category", $E205="PSM","Category",$E205="PSPO","Category",$E205="SAFe Agile","SAFe",$E205="SAFe SSM","SAFe",$E205="SAFe POPM","SAFe",$E205="SASM","SAFe",$E205="PMI-ACP","Category",$E205="ICP-ACC","Category",$E205="PSM 2","Category",$E205="SAFe RTE","SAFe",$E205="",""),"NonCategory")</f>
        <v>NonCategory</v>
      </c>
    </row>
    <row r="206" spans="1:18">
      <c r="A206" s="162">
        <v>44225</v>
      </c>
      <c r="B206" s="164" t="s">
        <v>791</v>
      </c>
      <c r="C206" s="168" t="s">
        <v>792</v>
      </c>
      <c r="D206" s="6" t="s">
        <v>278</v>
      </c>
      <c r="E206" s="6" t="s">
        <v>96</v>
      </c>
      <c r="F206" s="79">
        <v>44228</v>
      </c>
      <c r="G206" s="6" t="s">
        <v>13</v>
      </c>
      <c r="H206" s="6" t="s">
        <v>745</v>
      </c>
      <c r="I206" s="6">
        <v>1</v>
      </c>
      <c r="J206" s="6">
        <v>20000</v>
      </c>
      <c r="K206" s="8">
        <f t="shared" si="3"/>
        <v>229.04260192395787</v>
      </c>
      <c r="L206" s="97">
        <v>44237</v>
      </c>
      <c r="P206" s="6" t="s">
        <v>793</v>
      </c>
      <c r="R206" s="6" t="str">
        <f ca="1">IFERROR(_xludf.IFS($E206="CSM","Category",$E206="CSPO","Category", $E206="PSM","Category",$E206="PSPO","Category",$E206="SAFe Agile","SAFe",$E206="SAFe SSM","SAFe",$E206="SAFe POPM","SAFe",$E206="SASM","SAFe",$E206="PMI-ACP","Category",$E206="ICP-ACC","Category",$E206="PSM 2","Category",$E206="SAFe RTE","SAFe",$E206="",""),"NonCategory")</f>
        <v>NonCategory</v>
      </c>
    </row>
    <row r="207" spans="1:18">
      <c r="A207" s="162">
        <v>44225</v>
      </c>
      <c r="B207" s="164" t="s">
        <v>794</v>
      </c>
      <c r="C207" s="168" t="s">
        <v>795</v>
      </c>
      <c r="D207" s="6" t="s">
        <v>278</v>
      </c>
      <c r="E207" s="6" t="s">
        <v>96</v>
      </c>
      <c r="F207" s="79">
        <v>44228</v>
      </c>
      <c r="G207" s="6" t="s">
        <v>13</v>
      </c>
      <c r="H207" s="6" t="s">
        <v>579</v>
      </c>
      <c r="I207" s="6">
        <v>1</v>
      </c>
      <c r="J207" s="6">
        <v>20000</v>
      </c>
      <c r="K207" s="8">
        <f t="shared" si="3"/>
        <v>229.04260192395787</v>
      </c>
      <c r="L207" s="97">
        <v>44237</v>
      </c>
      <c r="P207" s="6" t="s">
        <v>793</v>
      </c>
      <c r="R207" s="6" t="str">
        <f ca="1">IFERROR(_xludf.IFS($E207="CSM","Category",$E207="CSPO","Category", $E207="PSM","Category",$E207="PSPO","Category",$E207="SAFe Agile","SAFe",$E207="SAFe SSM","SAFe",$E207="SAFe POPM","SAFe",$E207="SASM","SAFe",$E207="PMI-ACP","Category",$E207="ICP-ACC","Category",$E207="PSM 2","Category",$E207="SAFe RTE","SAFe",$E207="",""),"NonCategory")</f>
        <v>NonCategory</v>
      </c>
    </row>
    <row r="208" spans="1:18">
      <c r="A208" s="162">
        <v>44226</v>
      </c>
      <c r="B208" s="164" t="s">
        <v>796</v>
      </c>
      <c r="C208" s="168" t="s">
        <v>797</v>
      </c>
      <c r="D208" s="6" t="s">
        <v>435</v>
      </c>
      <c r="E208" s="6" t="s">
        <v>96</v>
      </c>
      <c r="F208" s="79">
        <v>44228</v>
      </c>
      <c r="G208" s="6" t="s">
        <v>13</v>
      </c>
      <c r="H208" s="6" t="s">
        <v>486</v>
      </c>
      <c r="I208" s="6">
        <v>1</v>
      </c>
      <c r="J208" s="6">
        <v>20000</v>
      </c>
      <c r="K208" s="8">
        <f t="shared" si="3"/>
        <v>229.04260192395787</v>
      </c>
      <c r="L208" s="97">
        <v>44237</v>
      </c>
      <c r="P208" s="6" t="s">
        <v>798</v>
      </c>
      <c r="R208" s="6" t="str">
        <f ca="1">IFERROR(_xludf.IFS($E208="CSM","Category",$E208="CSPO","Category", $E208="PSM","Category",$E208="PSPO","Category",$E208="SAFe Agile","SAFe",$E208="SAFe SSM","SAFe",$E208="SAFe POPM","SAFe",$E208="SASM","SAFe",$E208="PMI-ACP","Category",$E208="ICP-ACC","Category",$E208="PSM 2","Category",$E208="SAFe RTE","SAFe",$E208="",""),"NonCategory")</f>
        <v>NonCategory</v>
      </c>
    </row>
    <row r="209" spans="1:18">
      <c r="A209" s="162">
        <v>44229</v>
      </c>
      <c r="B209" s="164" t="s">
        <v>799</v>
      </c>
      <c r="C209" s="168" t="s">
        <v>800</v>
      </c>
      <c r="D209" s="6" t="s">
        <v>303</v>
      </c>
      <c r="E209" s="6" t="s">
        <v>96</v>
      </c>
      <c r="F209" s="79">
        <v>44228</v>
      </c>
      <c r="G209" s="6" t="s">
        <v>16</v>
      </c>
      <c r="H209" s="6" t="s">
        <v>486</v>
      </c>
      <c r="I209" s="6">
        <v>1</v>
      </c>
      <c r="J209" s="8">
        <v>20500</v>
      </c>
      <c r="K209" s="8">
        <f t="shared" si="3"/>
        <v>234.76866697205682</v>
      </c>
      <c r="L209" s="97">
        <v>44230</v>
      </c>
      <c r="M209" s="6" t="s">
        <v>502</v>
      </c>
      <c r="N209" s="97">
        <v>44230</v>
      </c>
      <c r="O209" s="108" t="s">
        <v>5320</v>
      </c>
      <c r="Q209" s="6" t="s">
        <v>280</v>
      </c>
      <c r="R209" s="6" t="str">
        <f ca="1">IFERROR(_xludf.IFS($E209="CSM","Category",$E209="CSPO","Category", $E209="PSM","Category",$E209="PSPO","Category",$E209="SAFe Agile","SAFe",$E209="SAFe SSM","SAFe",$E209="SAFe POPM","SAFe",$E209="SASM","SAFe",$E209="PMI-ACP","Category",$E209="ICP-ACC","Category",$E209="PSM 2","Category",$E209="SAFe RTE","SAFe",$E209="",""),"NonCategory")</f>
        <v>NonCategory</v>
      </c>
    </row>
    <row r="210" spans="1:18">
      <c r="A210" s="162">
        <v>44227</v>
      </c>
      <c r="B210" s="164" t="s">
        <v>801</v>
      </c>
      <c r="C210" s="168" t="s">
        <v>802</v>
      </c>
      <c r="D210" s="6" t="s">
        <v>303</v>
      </c>
      <c r="E210" s="6" t="s">
        <v>96</v>
      </c>
      <c r="F210" s="79">
        <v>44228</v>
      </c>
      <c r="G210" s="6" t="s">
        <v>13</v>
      </c>
      <c r="H210" s="6" t="s">
        <v>548</v>
      </c>
      <c r="I210" s="6">
        <v>1</v>
      </c>
      <c r="J210" s="6">
        <v>20000</v>
      </c>
      <c r="K210" s="8">
        <f t="shared" si="3"/>
        <v>229.04260192395787</v>
      </c>
      <c r="L210" s="97">
        <v>44228</v>
      </c>
      <c r="R210" s="6" t="str">
        <f ca="1">IFERROR(_xludf.IFS($E210="CSM","Category",$E210="CSPO","Category", $E210="PSM","Category",$E210="PSPO","Category",$E210="SAFe Agile","SAFe",$E210="SAFe SSM","SAFe",$E210="SAFe POPM","SAFe",$E210="SASM","SAFe",$E210="PMI-ACP","Category",$E210="ICP-ACC","Category",$E210="PSM 2","Category",$E210="SAFe RTE","SAFe",$E210="",""),"NonCategory")</f>
        <v>NonCategory</v>
      </c>
    </row>
    <row r="211" spans="1:18">
      <c r="A211" s="162">
        <v>44230</v>
      </c>
      <c r="B211" s="164" t="s">
        <v>803</v>
      </c>
      <c r="C211" s="168" t="s">
        <v>804</v>
      </c>
      <c r="D211" s="6" t="s">
        <v>435</v>
      </c>
      <c r="E211" s="6" t="s">
        <v>150</v>
      </c>
      <c r="F211" s="79">
        <v>44228</v>
      </c>
      <c r="G211" s="6" t="s">
        <v>16</v>
      </c>
      <c r="H211" s="6" t="s">
        <v>486</v>
      </c>
      <c r="I211" s="6">
        <v>1</v>
      </c>
      <c r="J211" s="8">
        <v>20500</v>
      </c>
      <c r="K211" s="8">
        <f t="shared" si="3"/>
        <v>234.76866697205682</v>
      </c>
      <c r="L211" s="97">
        <v>44230</v>
      </c>
      <c r="M211" s="6" t="s">
        <v>502</v>
      </c>
      <c r="N211" s="97">
        <v>44230</v>
      </c>
      <c r="O211" s="108" t="s">
        <v>5321</v>
      </c>
      <c r="Q211" s="6" t="s">
        <v>356</v>
      </c>
      <c r="R211" s="6" t="str">
        <f ca="1">IFERROR(_xludf.IFS($E211="CSM","Category",$E211="CSPO","Category", $E211="PSM","Category",$E211="PSPO","Category",$E211="SAFe Agile","SAFe",$E211="SAFe SSM","SAFe",$E211="SAFe POPM","SAFe",$E211="SASM","SAFe",$E211="PMI-ACP","Category",$E211="ICP-ACC","Category",$E211="PSM 2","Category",$E211="SAFe RTE","SAFe",$E211="",""),"NonCategory")</f>
        <v>NonCategory</v>
      </c>
    </row>
    <row r="212" spans="1:18">
      <c r="A212" s="162">
        <v>44227</v>
      </c>
      <c r="B212" s="164" t="s">
        <v>805</v>
      </c>
      <c r="C212" s="168" t="s">
        <v>806</v>
      </c>
      <c r="D212" s="6" t="s">
        <v>303</v>
      </c>
      <c r="E212" s="6" t="s">
        <v>96</v>
      </c>
      <c r="F212" s="79">
        <v>44197</v>
      </c>
      <c r="G212" s="6" t="s">
        <v>13</v>
      </c>
      <c r="H212" s="6" t="s">
        <v>745</v>
      </c>
      <c r="I212" s="6">
        <v>1</v>
      </c>
      <c r="J212" s="6">
        <v>20000</v>
      </c>
      <c r="K212" s="8">
        <f t="shared" si="3"/>
        <v>229.04260192395787</v>
      </c>
      <c r="L212" s="97">
        <v>44227</v>
      </c>
      <c r="R212" s="6" t="str">
        <f ca="1">IFERROR(_xludf.IFS($E212="CSM","Category",$E212="CSPO","Category", $E212="PSM","Category",$E212="PSPO","Category",$E212="SAFe Agile","SAFe",$E212="SAFe SSM","SAFe",$E212="SAFe POPM","SAFe",$E212="SASM","SAFe",$E212="PMI-ACP","Category",$E212="ICP-ACC","Category",$E212="PSM 2","Category",$E212="SAFe RTE","SAFe",$E212="",""),"NonCategory")</f>
        <v>NonCategory</v>
      </c>
    </row>
    <row r="213" spans="1:18">
      <c r="A213" s="162">
        <v>44227</v>
      </c>
      <c r="B213" s="164" t="s">
        <v>807</v>
      </c>
      <c r="C213" s="168" t="s">
        <v>808</v>
      </c>
      <c r="D213" s="6" t="s">
        <v>547</v>
      </c>
      <c r="E213" s="6" t="s">
        <v>809</v>
      </c>
      <c r="F213" s="79">
        <v>44228</v>
      </c>
      <c r="G213" s="6" t="s">
        <v>13</v>
      </c>
      <c r="H213" s="97">
        <v>44233</v>
      </c>
      <c r="I213" s="6">
        <v>1</v>
      </c>
      <c r="J213" s="6">
        <v>7500</v>
      </c>
      <c r="K213" s="8">
        <f t="shared" si="3"/>
        <v>85.890975721484196</v>
      </c>
      <c r="L213" s="97">
        <v>44230</v>
      </c>
      <c r="R213" s="6" t="str">
        <f ca="1">IFERROR(_xludf.IFS($E213="CSM","Category",$E213="CSPO","Category", $E213="PSM","Category",$E213="PSPO","Category",$E213="SAFe Agile","SAFe",$E213="SAFe SSM","SAFe",$E213="SAFe POPM","SAFe",$E213="SASM","SAFe",$E213="PMI-ACP","Category",$E213="ICP-ACC","Category",$E213="PSM 2","Category",$E213="SAFe RTE","SAFe",$E213="",""),"NonCategory")</f>
        <v>NonCategory</v>
      </c>
    </row>
    <row r="214" spans="1:18">
      <c r="A214" s="162">
        <v>44228</v>
      </c>
      <c r="B214" s="164" t="s">
        <v>810</v>
      </c>
      <c r="C214" s="168" t="s">
        <v>811</v>
      </c>
      <c r="D214" s="6" t="s">
        <v>812</v>
      </c>
      <c r="E214" s="6" t="s">
        <v>195</v>
      </c>
      <c r="F214" s="79">
        <v>44228</v>
      </c>
      <c r="G214" s="6" t="s">
        <v>13</v>
      </c>
      <c r="H214" s="6" t="s">
        <v>649</v>
      </c>
      <c r="I214" s="6">
        <v>1</v>
      </c>
      <c r="J214" s="6">
        <v>31000</v>
      </c>
      <c r="K214" s="8">
        <f t="shared" si="3"/>
        <v>355.01603298213467</v>
      </c>
      <c r="L214" s="97">
        <v>44235</v>
      </c>
      <c r="R214" s="6" t="str">
        <f ca="1">IFERROR(_xludf.IFS($E214="CSM","Category",$E214="CSPO","Category", $E214="PSM","Category",$E214="PSPO","Category",$E214="SAFe Agile","SAFe",$E214="SAFe SSM","SAFe",$E214="SAFe POPM","SAFe",$E214="SASM","SAFe",$E214="PMI-ACP","Category",$E214="ICP-ACC","Category",$E214="PSM 2","Category",$E214="SAFe RTE","SAFe",$E214="",""),"NonCategory")</f>
        <v>NonCategory</v>
      </c>
    </row>
    <row r="215" spans="1:18">
      <c r="A215" s="162">
        <v>44231</v>
      </c>
      <c r="B215" s="164" t="s">
        <v>813</v>
      </c>
      <c r="C215" s="168" t="s">
        <v>814</v>
      </c>
      <c r="D215" s="6" t="s">
        <v>303</v>
      </c>
      <c r="E215" s="6" t="s">
        <v>96</v>
      </c>
      <c r="F215" s="79">
        <v>44228</v>
      </c>
      <c r="G215" s="6" t="s">
        <v>16</v>
      </c>
      <c r="H215" s="6" t="s">
        <v>486</v>
      </c>
      <c r="I215" s="6">
        <v>1</v>
      </c>
      <c r="J215" s="8">
        <v>19000</v>
      </c>
      <c r="K215" s="8">
        <f t="shared" si="3"/>
        <v>217.59047182775998</v>
      </c>
      <c r="L215" s="97">
        <v>44231</v>
      </c>
      <c r="M215" s="6" t="s">
        <v>502</v>
      </c>
      <c r="N215" s="97">
        <v>44231</v>
      </c>
      <c r="O215" s="20" t="s">
        <v>5322</v>
      </c>
      <c r="Q215" s="6" t="s">
        <v>280</v>
      </c>
      <c r="R215" s="6" t="str">
        <f ca="1">IFERROR(_xludf.IFS($E215="CSM","Category",$E215="CSPO","Category", $E215="PSM","Category",$E215="PSPO","Category",$E215="SAFe Agile","SAFe",$E215="SAFe SSM","SAFe",$E215="SAFe POPM","SAFe",$E215="SASM","SAFe",$E215="PMI-ACP","Category",$E215="ICP-ACC","Category",$E215="PSM 2","Category",$E215="SAFe RTE","SAFe",$E215="",""),"NonCategory")</f>
        <v>NonCategory</v>
      </c>
    </row>
    <row r="216" spans="1:18">
      <c r="A216" s="162">
        <v>44232</v>
      </c>
      <c r="B216" s="164" t="s">
        <v>815</v>
      </c>
      <c r="C216" s="168" t="s">
        <v>816</v>
      </c>
      <c r="D216" s="6" t="s">
        <v>303</v>
      </c>
      <c r="E216" s="6" t="s">
        <v>96</v>
      </c>
      <c r="F216" s="79">
        <v>44228</v>
      </c>
      <c r="G216" s="6" t="s">
        <v>16</v>
      </c>
      <c r="H216" s="6" t="s">
        <v>548</v>
      </c>
      <c r="I216" s="6">
        <v>1</v>
      </c>
      <c r="J216" s="8">
        <v>20500</v>
      </c>
      <c r="K216" s="8">
        <f t="shared" si="3"/>
        <v>234.76866697205682</v>
      </c>
      <c r="L216" s="97">
        <v>44232</v>
      </c>
      <c r="M216" s="6" t="s">
        <v>502</v>
      </c>
      <c r="N216" s="97">
        <v>44232</v>
      </c>
      <c r="O216" s="20" t="s">
        <v>5323</v>
      </c>
      <c r="Q216" s="6" t="s">
        <v>280</v>
      </c>
      <c r="R216" s="6" t="str">
        <f ca="1">IFERROR(_xludf.IFS($E216="CSM","Category",$E216="CSPO","Category", $E216="PSM","Category",$E216="PSPO","Category",$E216="SAFe Agile","SAFe",$E216="SAFe SSM","SAFe",$E216="SAFe POPM","SAFe",$E216="SASM","SAFe",$E216="PMI-ACP","Category",$E216="ICP-ACC","Category",$E216="PSM 2","Category",$E216="SAFe RTE","SAFe",$E216="",""),"NonCategory")</f>
        <v>NonCategory</v>
      </c>
    </row>
    <row r="217" spans="1:18">
      <c r="A217" s="162">
        <v>44228</v>
      </c>
      <c r="B217" s="164" t="s">
        <v>817</v>
      </c>
      <c r="C217" s="168" t="s">
        <v>818</v>
      </c>
      <c r="D217" s="6" t="s">
        <v>303</v>
      </c>
      <c r="E217" s="6" t="s">
        <v>22</v>
      </c>
      <c r="F217" s="79">
        <v>44228</v>
      </c>
      <c r="G217" s="6" t="s">
        <v>13</v>
      </c>
      <c r="H217" s="80">
        <v>44287</v>
      </c>
      <c r="I217" s="6">
        <v>1</v>
      </c>
      <c r="J217" s="6">
        <v>12500</v>
      </c>
      <c r="K217" s="8">
        <f t="shared" si="3"/>
        <v>143.15162620247366</v>
      </c>
      <c r="L217" s="97">
        <v>44230</v>
      </c>
      <c r="R217" s="6" t="str">
        <f ca="1">IFERROR(_xludf.IFS($E217="CSM","Category",$E217="CSPO","Category", $E217="PSM","Category",$E217="PSPO","Category",$E217="SAFe Agile","SAFe",$E217="SAFe SSM","SAFe",$E217="SAFe POPM","SAFe",$E217="SASM","SAFe",$E217="PMI-ACP","Category",$E217="ICP-ACC","Category",$E217="PSM 2","Category",$E217="SAFe RTE","SAFe",$E217="",""),"NonCategory")</f>
        <v>NonCategory</v>
      </c>
    </row>
    <row r="218" spans="1:18">
      <c r="A218" s="162">
        <v>44232</v>
      </c>
      <c r="B218" s="164" t="s">
        <v>819</v>
      </c>
      <c r="C218" s="168" t="s">
        <v>820</v>
      </c>
      <c r="D218" s="6" t="s">
        <v>571</v>
      </c>
      <c r="E218" s="6" t="s">
        <v>821</v>
      </c>
      <c r="F218" s="79">
        <v>44228</v>
      </c>
      <c r="G218" s="6" t="s">
        <v>16</v>
      </c>
      <c r="H218" s="6" t="s">
        <v>822</v>
      </c>
      <c r="I218" s="6">
        <v>1</v>
      </c>
      <c r="J218" s="8">
        <v>2360</v>
      </c>
      <c r="K218" s="8">
        <f t="shared" si="3"/>
        <v>27.027027027027028</v>
      </c>
      <c r="L218" s="97">
        <v>44232</v>
      </c>
      <c r="M218" s="6" t="s">
        <v>502</v>
      </c>
      <c r="N218" s="97">
        <v>44232</v>
      </c>
      <c r="O218" s="23" t="s">
        <v>823</v>
      </c>
      <c r="R218" s="6" t="str">
        <f ca="1">IFERROR(_xludf.IFS($E218="CSM","Category",$E218="CSPO","Category", $E218="PSM","Category",$E218="PSPO","Category",$E218="SAFe Agile","SAFe",$E218="SAFe SSM","SAFe",$E218="SAFe POPM","SAFe",$E218="SASM","SAFe",$E218="PMI-ACP","Category",$E218="ICP-ACC","Category",$E218="PSM 2","Category",$E218="SAFe RTE","SAFe",$E218="",""),"NonCategory")</f>
        <v>NonCategory</v>
      </c>
    </row>
    <row r="219" spans="1:18">
      <c r="A219" s="162">
        <v>44230</v>
      </c>
      <c r="B219" s="164" t="s">
        <v>824</v>
      </c>
      <c r="C219" s="168" t="s">
        <v>825</v>
      </c>
      <c r="D219" s="6" t="s">
        <v>319</v>
      </c>
      <c r="E219" s="6" t="s">
        <v>96</v>
      </c>
      <c r="F219" s="79">
        <v>44228</v>
      </c>
      <c r="G219" s="6" t="s">
        <v>13</v>
      </c>
      <c r="H219" s="6" t="s">
        <v>315</v>
      </c>
      <c r="I219" s="6">
        <v>1</v>
      </c>
      <c r="J219" s="6">
        <v>20000</v>
      </c>
      <c r="K219" s="8">
        <f t="shared" si="3"/>
        <v>229.04260192395787</v>
      </c>
      <c r="L219" s="6" t="s">
        <v>315</v>
      </c>
      <c r="R219" s="6" t="str">
        <f ca="1">IFERROR(_xludf.IFS($E219="CSM","Category",$E219="CSPO","Category", $E219="PSM","Category",$E219="PSPO","Category",$E219="SAFe Agile","SAFe",$E219="SAFe SSM","SAFe",$E219="SAFe POPM","SAFe",$E219="SASM","SAFe",$E219="PMI-ACP","Category",$E219="ICP-ACC","Category",$E219="PSM 2","Category",$E219="SAFe RTE","SAFe",$E219="",""),"NonCategory")</f>
        <v>NonCategory</v>
      </c>
    </row>
    <row r="220" spans="1:18">
      <c r="A220" s="162">
        <v>44232</v>
      </c>
      <c r="B220" s="164" t="s">
        <v>815</v>
      </c>
      <c r="C220" s="168" t="s">
        <v>816</v>
      </c>
      <c r="D220" s="6" t="s">
        <v>274</v>
      </c>
      <c r="E220" s="6" t="s">
        <v>96</v>
      </c>
      <c r="F220" s="79">
        <v>44228</v>
      </c>
      <c r="G220" s="6" t="s">
        <v>16</v>
      </c>
      <c r="H220" s="6" t="s">
        <v>548</v>
      </c>
      <c r="I220" s="6">
        <v>1</v>
      </c>
      <c r="J220" s="8">
        <v>500</v>
      </c>
      <c r="K220" s="8">
        <f t="shared" si="3"/>
        <v>5.7260650480989472</v>
      </c>
      <c r="L220" s="97">
        <v>44232</v>
      </c>
      <c r="M220" s="6" t="s">
        <v>502</v>
      </c>
      <c r="N220" s="97">
        <v>44232</v>
      </c>
      <c r="O220" s="23" t="s">
        <v>5324</v>
      </c>
      <c r="Q220" s="6" t="s">
        <v>280</v>
      </c>
      <c r="R220" s="6" t="str">
        <f ca="1">IFERROR(_xludf.IFS($E220="CSM","Category",$E220="CSPO","Category", $E220="PSM","Category",$E220="PSPO","Category",$E220="SAFe Agile","SAFe",$E220="SAFe SSM","SAFe",$E220="SAFe POPM","SAFe",$E220="SASM","SAFe",$E220="PMI-ACP","Category",$E220="ICP-ACC","Category",$E220="PSM 2","Category",$E220="SAFe RTE","SAFe",$E220="",""),"NonCategory")</f>
        <v>NonCategory</v>
      </c>
    </row>
    <row r="221" spans="1:18">
      <c r="A221" s="162">
        <v>44231</v>
      </c>
      <c r="B221" s="164" t="s">
        <v>272</v>
      </c>
      <c r="C221" s="168" t="s">
        <v>273</v>
      </c>
      <c r="D221" s="6" t="s">
        <v>278</v>
      </c>
      <c r="E221" s="6" t="s">
        <v>96</v>
      </c>
      <c r="F221" s="79">
        <v>44228</v>
      </c>
      <c r="G221" s="6" t="s">
        <v>13</v>
      </c>
      <c r="H221" s="6" t="s">
        <v>486</v>
      </c>
      <c r="I221" s="6">
        <v>1</v>
      </c>
      <c r="J221" s="6">
        <v>20000</v>
      </c>
      <c r="K221" s="8">
        <f t="shared" si="3"/>
        <v>229.04260192395787</v>
      </c>
      <c r="L221" s="97">
        <v>44231</v>
      </c>
      <c r="P221" s="6" t="s">
        <v>826</v>
      </c>
      <c r="R221" s="6" t="str">
        <f ca="1">IFERROR(_xludf.IFS($E221="CSM","Category",$E221="CSPO","Category", $E221="PSM","Category",$E221="PSPO","Category",$E221="SAFe Agile","SAFe",$E221="SAFe SSM","SAFe",$E221="SAFe POPM","SAFe",$E221="SASM","SAFe",$E221="PMI-ACP","Category",$E221="ICP-ACC","Category",$E221="PSM 2","Category",$E221="SAFe RTE","SAFe",$E221="",""),"NonCategory")</f>
        <v>NonCategory</v>
      </c>
    </row>
    <row r="222" spans="1:18">
      <c r="A222" s="162">
        <v>44229</v>
      </c>
      <c r="B222" s="164" t="s">
        <v>827</v>
      </c>
      <c r="C222" s="168" t="s">
        <v>828</v>
      </c>
      <c r="D222" s="6" t="s">
        <v>303</v>
      </c>
      <c r="E222" s="6" t="s">
        <v>25</v>
      </c>
      <c r="F222" s="79">
        <v>44228</v>
      </c>
      <c r="G222" s="6" t="s">
        <v>16</v>
      </c>
      <c r="H222" s="6" t="s">
        <v>579</v>
      </c>
      <c r="I222" s="6">
        <v>1</v>
      </c>
      <c r="J222" s="8">
        <v>48000</v>
      </c>
      <c r="K222" s="8">
        <f t="shared" si="3"/>
        <v>549.70224461749888</v>
      </c>
      <c r="L222" s="97">
        <v>44233</v>
      </c>
      <c r="M222" s="6" t="s">
        <v>502</v>
      </c>
      <c r="N222" s="97">
        <v>44233</v>
      </c>
      <c r="O222" s="108" t="s">
        <v>5325</v>
      </c>
      <c r="Q222" s="6" t="s">
        <v>280</v>
      </c>
      <c r="R222" s="6" t="str">
        <f ca="1">IFERROR(_xludf.IFS($E222="CSM","Category",$E222="CSPO","Category", $E222="PSM","Category",$E222="PSPO","Category",$E222="SAFe Agile","SAFe",$E222="SAFe SSM","SAFe",$E222="SAFe POPM","SAFe",$E222="SASM","SAFe",$E222="PMI-ACP","Category",$E222="ICP-ACC","Category",$E222="PSM 2","Category",$E222="SAFe RTE","SAFe",$E222="",""),"NonCategory")</f>
        <v>NonCategory</v>
      </c>
    </row>
    <row r="223" spans="1:18">
      <c r="A223" s="162">
        <v>44231</v>
      </c>
      <c r="B223" s="164" t="s">
        <v>829</v>
      </c>
      <c r="C223" s="168" t="s">
        <v>830</v>
      </c>
      <c r="D223" s="6" t="s">
        <v>287</v>
      </c>
      <c r="E223" s="6" t="s">
        <v>22</v>
      </c>
      <c r="F223" s="79">
        <v>44228</v>
      </c>
      <c r="G223" s="6" t="s">
        <v>13</v>
      </c>
      <c r="H223" s="6" t="s">
        <v>315</v>
      </c>
      <c r="I223" s="6">
        <v>1</v>
      </c>
      <c r="J223" s="6">
        <v>8000</v>
      </c>
      <c r="K223" s="8">
        <f t="shared" si="3"/>
        <v>91.617040769583156</v>
      </c>
      <c r="L223" s="6" t="s">
        <v>315</v>
      </c>
      <c r="R223" s="6" t="str">
        <f ca="1">IFERROR(_xludf.IFS($E223="CSM","Category",$E223="CSPO","Category", $E223="PSM","Category",$E223="PSPO","Category",$E223="SAFe Agile","SAFe",$E223="SAFe SSM","SAFe",$E223="SAFe POPM","SAFe",$E223="SASM","SAFe",$E223="PMI-ACP","Category",$E223="ICP-ACC","Category",$E223="PSM 2","Category",$E223="SAFe RTE","SAFe",$E223="",""),"NonCategory")</f>
        <v>NonCategory</v>
      </c>
    </row>
    <row r="224" spans="1:18">
      <c r="A224" s="162">
        <v>44231</v>
      </c>
      <c r="B224" s="164" t="s">
        <v>831</v>
      </c>
      <c r="C224" s="168" t="s">
        <v>832</v>
      </c>
      <c r="D224" s="6" t="s">
        <v>278</v>
      </c>
      <c r="E224" s="6" t="s">
        <v>96</v>
      </c>
      <c r="F224" s="79">
        <v>44228</v>
      </c>
      <c r="G224" s="6" t="s">
        <v>13</v>
      </c>
      <c r="H224" s="6" t="s">
        <v>315</v>
      </c>
      <c r="I224" s="6">
        <v>1</v>
      </c>
      <c r="J224" s="6">
        <v>20500</v>
      </c>
      <c r="K224" s="8">
        <f t="shared" si="3"/>
        <v>234.76866697205682</v>
      </c>
      <c r="L224" s="6" t="s">
        <v>315</v>
      </c>
      <c r="R224" s="6" t="str">
        <f ca="1">IFERROR(_xludf.IFS($E224="CSM","Category",$E224="CSPO","Category", $E224="PSM","Category",$E224="PSPO","Category",$E224="SAFe Agile","SAFe",$E224="SAFe SSM","SAFe",$E224="SAFe POPM","SAFe",$E224="SASM","SAFe",$E224="PMI-ACP","Category",$E224="ICP-ACC","Category",$E224="PSM 2","Category",$E224="SAFe RTE","SAFe",$E224="",""),"NonCategory")</f>
        <v>NonCategory</v>
      </c>
    </row>
    <row r="225" spans="1:18">
      <c r="A225" s="162">
        <v>44204</v>
      </c>
      <c r="B225" s="164" t="s">
        <v>833</v>
      </c>
      <c r="C225" s="168" t="s">
        <v>834</v>
      </c>
      <c r="D225" s="6" t="s">
        <v>303</v>
      </c>
      <c r="E225" s="6" t="s">
        <v>96</v>
      </c>
      <c r="F225" s="79">
        <v>44228</v>
      </c>
      <c r="G225" s="6" t="s">
        <v>16</v>
      </c>
      <c r="H225" s="6" t="s">
        <v>649</v>
      </c>
      <c r="I225" s="6">
        <v>1</v>
      </c>
      <c r="J225" s="8">
        <v>19000</v>
      </c>
      <c r="K225" s="8">
        <f t="shared" si="3"/>
        <v>217.59047182775998</v>
      </c>
      <c r="L225" s="97">
        <v>44206</v>
      </c>
      <c r="M225" s="6" t="s">
        <v>650</v>
      </c>
      <c r="N225" s="97">
        <v>44236</v>
      </c>
      <c r="O225" s="20" t="s">
        <v>5326</v>
      </c>
      <c r="Q225" s="6" t="s">
        <v>356</v>
      </c>
      <c r="R225" s="6" t="str">
        <f ca="1">IFERROR(_xludf.IFS($E225="CSM","Category",$E225="CSPO","Category", $E225="PSM","Category",$E225="PSPO","Category",$E225="SAFe Agile","SAFe",$E225="SAFe SSM","SAFe",$E225="SAFe POPM","SAFe",$E225="SASM","SAFe",$E225="PMI-ACP","Category",$E225="ICP-ACC","Category",$E225="PSM 2","Category",$E225="SAFe RTE","SAFe",$E225="",""),"NonCategory")</f>
        <v>NonCategory</v>
      </c>
    </row>
    <row r="226" spans="1:18">
      <c r="A226" s="162">
        <v>44233</v>
      </c>
      <c r="B226" s="164" t="s">
        <v>835</v>
      </c>
      <c r="C226" s="168" t="s">
        <v>836</v>
      </c>
      <c r="D226" s="6" t="s">
        <v>303</v>
      </c>
      <c r="E226" s="6" t="s">
        <v>402</v>
      </c>
      <c r="F226" s="79">
        <v>44228</v>
      </c>
      <c r="G226" s="6" t="s">
        <v>16</v>
      </c>
      <c r="H226" s="97">
        <v>44247</v>
      </c>
      <c r="I226" s="6">
        <v>1</v>
      </c>
      <c r="J226" s="8">
        <v>22500</v>
      </c>
      <c r="K226" s="8">
        <f t="shared" si="3"/>
        <v>257.67292716445257</v>
      </c>
      <c r="L226" s="97">
        <v>44233</v>
      </c>
      <c r="M226" s="6" t="s">
        <v>650</v>
      </c>
      <c r="N226" s="97">
        <v>44237</v>
      </c>
      <c r="O226" s="20" t="s">
        <v>5327</v>
      </c>
      <c r="Q226" s="6" t="s">
        <v>356</v>
      </c>
      <c r="R226" s="6" t="str">
        <f ca="1">IFERROR(_xludf.IFS($E226="CSM","Category",$E226="CSPO","Category", $E226="PSM","Category",$E226="PSPO","Category",$E226="SAFe Agile","SAFe",$E226="SAFe SSM","SAFe",$E226="SAFe POPM","SAFe",$E226="SASM","SAFe",$E226="PMI-ACP","Category",$E226="ICP-ACC","Category",$E226="PSM 2","Category",$E226="SAFe RTE","SAFe",$E226="",""),"NonCategory")</f>
        <v>NonCategory</v>
      </c>
    </row>
    <row r="227" spans="1:18">
      <c r="A227" s="162">
        <v>44232</v>
      </c>
      <c r="B227" s="164" t="s">
        <v>837</v>
      </c>
      <c r="C227" s="168" t="s">
        <v>838</v>
      </c>
      <c r="D227" s="6" t="s">
        <v>287</v>
      </c>
      <c r="E227" s="6" t="s">
        <v>97</v>
      </c>
      <c r="F227" s="79">
        <v>44228</v>
      </c>
      <c r="G227" s="6" t="s">
        <v>13</v>
      </c>
      <c r="H227" s="6" t="s">
        <v>548</v>
      </c>
      <c r="I227" s="6">
        <v>1</v>
      </c>
      <c r="J227" s="6">
        <v>20500</v>
      </c>
      <c r="K227" s="8">
        <f t="shared" si="3"/>
        <v>234.76866697205682</v>
      </c>
      <c r="L227" s="97">
        <v>44232</v>
      </c>
      <c r="P227" s="6" t="s">
        <v>394</v>
      </c>
      <c r="R227" s="6" t="str">
        <f ca="1">IFERROR(_xludf.IFS($E227="CSM","Category",$E227="CSPO","Category", $E227="PSM","Category",$E227="PSPO","Category",$E227="SAFe Agile","SAFe",$E227="SAFe SSM","SAFe",$E227="SAFe POPM","SAFe",$E227="SASM","SAFe",$E227="PMI-ACP","Category",$E227="ICP-ACC","Category",$E227="PSM 2","Category",$E227="SAFe RTE","SAFe",$E227="",""),"NonCategory")</f>
        <v>NonCategory</v>
      </c>
    </row>
    <row r="228" spans="1:18">
      <c r="A228" s="162">
        <v>44237</v>
      </c>
      <c r="B228" s="164" t="s">
        <v>839</v>
      </c>
      <c r="C228" s="168" t="s">
        <v>840</v>
      </c>
      <c r="D228" s="6" t="s">
        <v>303</v>
      </c>
      <c r="E228" s="6" t="s">
        <v>402</v>
      </c>
      <c r="F228" s="79">
        <v>44228</v>
      </c>
      <c r="G228" s="6" t="s">
        <v>16</v>
      </c>
      <c r="H228" s="96">
        <v>44261</v>
      </c>
      <c r="I228" s="6">
        <v>1</v>
      </c>
      <c r="J228" s="8">
        <v>22500</v>
      </c>
      <c r="K228" s="8">
        <f t="shared" si="3"/>
        <v>257.67292716445257</v>
      </c>
      <c r="L228" s="97">
        <v>44237</v>
      </c>
      <c r="M228" s="6" t="s">
        <v>650</v>
      </c>
      <c r="N228" s="97">
        <v>44237</v>
      </c>
      <c r="O228" s="20" t="s">
        <v>5328</v>
      </c>
      <c r="Q228" s="6" t="s">
        <v>356</v>
      </c>
      <c r="R228" s="6" t="str">
        <f ca="1">IFERROR(_xludf.IFS($E228="CSM","Category",$E228="CSPO","Category", $E228="PSM","Category",$E228="PSPO","Category",$E228="SAFe Agile","SAFe",$E228="SAFe SSM","SAFe",$E228="SAFe POPM","SAFe",$E228="SASM","SAFe",$E228="PMI-ACP","Category",$E228="ICP-ACC","Category",$E228="PSM 2","Category",$E228="SAFe RTE","SAFe",$E228="",""),"NonCategory")</f>
        <v>NonCategory</v>
      </c>
    </row>
    <row r="229" spans="1:18">
      <c r="A229" s="162">
        <v>44239</v>
      </c>
      <c r="B229" s="164" t="s">
        <v>354</v>
      </c>
      <c r="C229" s="168" t="s">
        <v>355</v>
      </c>
      <c r="D229" s="6" t="s">
        <v>841</v>
      </c>
      <c r="E229" s="6" t="s">
        <v>842</v>
      </c>
      <c r="F229" s="79">
        <v>44228</v>
      </c>
      <c r="G229" s="6" t="s">
        <v>16</v>
      </c>
      <c r="H229" s="6" t="s">
        <v>21</v>
      </c>
      <c r="I229" s="6">
        <v>1</v>
      </c>
      <c r="J229" s="8">
        <v>26000</v>
      </c>
      <c r="K229" s="8">
        <f t="shared" si="3"/>
        <v>297.75538250114522</v>
      </c>
      <c r="L229" s="97">
        <v>44239</v>
      </c>
      <c r="M229" s="6" t="s">
        <v>650</v>
      </c>
      <c r="N229" s="97">
        <v>44239</v>
      </c>
      <c r="O229" s="20" t="s">
        <v>5329</v>
      </c>
      <c r="Q229" s="6" t="s">
        <v>356</v>
      </c>
      <c r="R229" s="6" t="str">
        <f ca="1">IFERROR(_xludf.IFS($E229="CSM","Category",$E229="CSPO","Category", $E229="PSM","Category",$E229="PSPO","Category",$E229="SAFe Agile","SAFe",$E229="SAFe SSM","SAFe",$E229="SAFe POPM","SAFe",$E229="SASM","SAFe",$E229="PMI-ACP","Category",$E229="ICP-ACC","Category",$E229="PSM 2","Category",$E229="SAFe RTE","SAFe",$E229="",""),"NonCategory")</f>
        <v>NonCategory</v>
      </c>
    </row>
    <row r="230" spans="1:18">
      <c r="A230" s="162">
        <v>44235</v>
      </c>
      <c r="B230" s="164" t="s">
        <v>843</v>
      </c>
      <c r="C230" s="168" t="s">
        <v>844</v>
      </c>
      <c r="D230" s="6" t="s">
        <v>278</v>
      </c>
      <c r="E230" s="6" t="s">
        <v>96</v>
      </c>
      <c r="F230" s="79">
        <v>44228</v>
      </c>
      <c r="G230" s="6" t="s">
        <v>13</v>
      </c>
      <c r="H230" s="6" t="s">
        <v>649</v>
      </c>
      <c r="I230" s="6">
        <v>1</v>
      </c>
      <c r="J230" s="6">
        <v>20000</v>
      </c>
      <c r="K230" s="8">
        <f t="shared" si="3"/>
        <v>229.04260192395787</v>
      </c>
      <c r="L230" s="97">
        <v>44240</v>
      </c>
      <c r="P230" s="6" t="s">
        <v>845</v>
      </c>
      <c r="R230" s="6" t="str">
        <f ca="1">IFERROR(_xludf.IFS($E230="CSM","Category",$E230="CSPO","Category", $E230="PSM","Category",$E230="PSPO","Category",$E230="SAFe Agile","SAFe",$E230="SAFe SSM","SAFe",$E230="SAFe POPM","SAFe",$E230="SASM","SAFe",$E230="PMI-ACP","Category",$E230="ICP-ACC","Category",$E230="PSM 2","Category",$E230="SAFe RTE","SAFe",$E230="",""),"NonCategory")</f>
        <v>NonCategory</v>
      </c>
    </row>
    <row r="231" spans="1:18">
      <c r="A231" s="162">
        <v>44236</v>
      </c>
      <c r="B231" s="164" t="s">
        <v>846</v>
      </c>
      <c r="C231" s="168" t="s">
        <v>847</v>
      </c>
      <c r="D231" s="6" t="s">
        <v>303</v>
      </c>
      <c r="E231" s="6" t="s">
        <v>25</v>
      </c>
      <c r="F231" s="79">
        <v>44228</v>
      </c>
      <c r="G231" s="6" t="s">
        <v>13</v>
      </c>
      <c r="H231" s="6" t="s">
        <v>649</v>
      </c>
      <c r="I231" s="6">
        <v>1</v>
      </c>
      <c r="J231" s="6">
        <v>531000</v>
      </c>
      <c r="K231" s="8">
        <f t="shared" si="3"/>
        <v>6081.0810810810808</v>
      </c>
      <c r="L231" s="97">
        <v>44238</v>
      </c>
      <c r="R231" s="6" t="str">
        <f ca="1">IFERROR(_xludf.IFS($E231="CSM","Category",$E231="CSPO","Category", $E231="PSM","Category",$E231="PSPO","Category",$E231="SAFe Agile","SAFe",$E231="SAFe SSM","SAFe",$E231="SAFe POPM","SAFe",$E231="SASM","SAFe",$E231="PMI-ACP","Category",$E231="ICP-ACC","Category",$E231="PSM 2","Category",$E231="SAFe RTE","SAFe",$E231="",""),"NonCategory")</f>
        <v>NonCategory</v>
      </c>
    </row>
    <row r="232" spans="1:18" ht="14.4">
      <c r="A232" s="162">
        <v>44239</v>
      </c>
      <c r="B232" s="164" t="s">
        <v>789</v>
      </c>
      <c r="C232" s="168" t="s">
        <v>848</v>
      </c>
      <c r="D232" s="6" t="s">
        <v>303</v>
      </c>
      <c r="E232" s="6" t="s">
        <v>849</v>
      </c>
      <c r="F232" s="79">
        <v>44228</v>
      </c>
      <c r="G232" s="6" t="s">
        <v>16</v>
      </c>
      <c r="H232" s="97">
        <v>44248</v>
      </c>
      <c r="I232" s="6">
        <v>1</v>
      </c>
      <c r="J232" s="8">
        <v>22418</v>
      </c>
      <c r="K232" s="8">
        <f t="shared" si="3"/>
        <v>256.7338524965644</v>
      </c>
      <c r="L232" s="97">
        <v>44239</v>
      </c>
      <c r="M232" s="6" t="s">
        <v>502</v>
      </c>
      <c r="N232" s="97">
        <v>44239</v>
      </c>
      <c r="O232" s="110" t="s">
        <v>850</v>
      </c>
      <c r="R232" s="6" t="str">
        <f ca="1">IFERROR(_xludf.IFS($E232="CSM","Category",$E232="CSPO","Category", $E232="PSM","Category",$E232="PSPO","Category",$E232="SAFe Agile","SAFe",$E232="SAFe SSM","SAFe",$E232="SAFe POPM","SAFe",$E232="SASM","SAFe",$E232="PMI-ACP","Category",$E232="ICP-ACC","Category",$E232="PSM 2","Category",$E232="SAFe RTE","SAFe",$E232="",""),"NonCategory")</f>
        <v>NonCategory</v>
      </c>
    </row>
    <row r="233" spans="1:18">
      <c r="A233" s="162">
        <v>44237</v>
      </c>
      <c r="B233" s="164" t="s">
        <v>851</v>
      </c>
      <c r="C233" s="168" t="s">
        <v>852</v>
      </c>
      <c r="D233" s="6" t="s">
        <v>278</v>
      </c>
      <c r="E233" s="6" t="s">
        <v>96</v>
      </c>
      <c r="F233" s="79">
        <v>44228</v>
      </c>
      <c r="G233" s="6" t="s">
        <v>13</v>
      </c>
      <c r="H233" s="6" t="s">
        <v>579</v>
      </c>
      <c r="I233" s="6">
        <v>1</v>
      </c>
      <c r="J233" s="6">
        <v>20000</v>
      </c>
      <c r="K233" s="8">
        <f t="shared" si="3"/>
        <v>229.04260192395787</v>
      </c>
      <c r="L233" s="97">
        <v>44242</v>
      </c>
      <c r="R233" s="6" t="str">
        <f ca="1">IFERROR(_xludf.IFS($E233="CSM","Category",$E233="CSPO","Category", $E233="PSM","Category",$E233="PSPO","Category",$E233="SAFe Agile","SAFe",$E233="SAFe SSM","SAFe",$E233="SAFe POPM","SAFe",$E233="SASM","SAFe",$E233="PMI-ACP","Category",$E233="ICP-ACC","Category",$E233="PSM 2","Category",$E233="SAFe RTE","SAFe",$E233="",""),"NonCategory")</f>
        <v>NonCategory</v>
      </c>
    </row>
    <row r="234" spans="1:18">
      <c r="A234" s="162">
        <v>44239</v>
      </c>
      <c r="B234" s="164" t="s">
        <v>12</v>
      </c>
      <c r="C234" s="168" t="s">
        <v>853</v>
      </c>
      <c r="D234" s="6" t="s">
        <v>291</v>
      </c>
      <c r="E234" s="6" t="s">
        <v>96</v>
      </c>
      <c r="F234" s="79">
        <v>44228</v>
      </c>
      <c r="G234" s="6" t="s">
        <v>16</v>
      </c>
      <c r="H234" s="6" t="s">
        <v>649</v>
      </c>
      <c r="I234" s="6">
        <v>1</v>
      </c>
      <c r="J234" s="8">
        <v>21000</v>
      </c>
      <c r="K234" s="8">
        <f t="shared" si="3"/>
        <v>240.49473202015577</v>
      </c>
      <c r="L234" s="97">
        <v>44242</v>
      </c>
      <c r="M234" s="6" t="s">
        <v>700</v>
      </c>
      <c r="N234" s="97">
        <v>44243</v>
      </c>
      <c r="O234" s="111" t="s">
        <v>5330</v>
      </c>
      <c r="Q234" s="6" t="s">
        <v>356</v>
      </c>
      <c r="R234" s="6" t="str">
        <f ca="1">IFERROR(_xludf.IFS($E234="CSM","Category",$E234="CSPO","Category", $E234="PSM","Category",$E234="PSPO","Category",$E234="SAFe Agile","SAFe",$E234="SAFe SSM","SAFe",$E234="SAFe POPM","SAFe",$E234="SASM","SAFe",$E234="PMI-ACP","Category",$E234="ICP-ACC","Category",$E234="PSM 2","Category",$E234="SAFe RTE","SAFe",$E234="",""),"NonCategory")</f>
        <v>NonCategory</v>
      </c>
    </row>
    <row r="235" spans="1:18">
      <c r="A235" s="162">
        <v>44237</v>
      </c>
      <c r="B235" s="164" t="s">
        <v>854</v>
      </c>
      <c r="C235" s="168" t="s">
        <v>855</v>
      </c>
      <c r="D235" s="6" t="s">
        <v>303</v>
      </c>
      <c r="E235" s="6" t="s">
        <v>96</v>
      </c>
      <c r="F235" s="79">
        <v>44228</v>
      </c>
      <c r="G235" s="6" t="s">
        <v>13</v>
      </c>
      <c r="H235" s="6" t="s">
        <v>649</v>
      </c>
      <c r="I235" s="6">
        <v>1</v>
      </c>
      <c r="J235" s="6">
        <v>20500</v>
      </c>
      <c r="K235" s="8">
        <f t="shared" si="3"/>
        <v>234.76866697205682</v>
      </c>
      <c r="L235" s="97">
        <v>44240</v>
      </c>
      <c r="R235" s="6" t="str">
        <f ca="1">IFERROR(_xludf.IFS($E235="CSM","Category",$E235="CSPO","Category", $E235="PSM","Category",$E235="PSPO","Category",$E235="SAFe Agile","SAFe",$E235="SAFe SSM","SAFe",$E235="SAFe POPM","SAFe",$E235="SASM","SAFe",$E235="PMI-ACP","Category",$E235="ICP-ACC","Category",$E235="PSM 2","Category",$E235="SAFe RTE","SAFe",$E235="",""),"NonCategory")</f>
        <v>NonCategory</v>
      </c>
    </row>
    <row r="236" spans="1:18">
      <c r="A236" s="162">
        <v>44238</v>
      </c>
      <c r="B236" s="164" t="s">
        <v>856</v>
      </c>
      <c r="C236" s="168" t="s">
        <v>857</v>
      </c>
      <c r="D236" s="6" t="s">
        <v>319</v>
      </c>
      <c r="E236" s="6" t="s">
        <v>150</v>
      </c>
      <c r="F236" s="79">
        <v>44228</v>
      </c>
      <c r="G236" s="6" t="s">
        <v>13</v>
      </c>
      <c r="H236" s="6" t="s">
        <v>745</v>
      </c>
      <c r="I236" s="6">
        <v>1</v>
      </c>
      <c r="J236" s="6">
        <v>21000</v>
      </c>
      <c r="K236" s="8">
        <f t="shared" si="3"/>
        <v>240.49473202015577</v>
      </c>
      <c r="L236" s="97">
        <v>44254</v>
      </c>
      <c r="R236" s="6" t="str">
        <f ca="1">IFERROR(_xludf.IFS($E236="CSM","Category",$E236="CSPO","Category", $E236="PSM","Category",$E236="PSPO","Category",$E236="SAFe Agile","SAFe",$E236="SAFe SSM","SAFe",$E236="SAFe POPM","SAFe",$E236="SASM","SAFe",$E236="PMI-ACP","Category",$E236="ICP-ACC","Category",$E236="PSM 2","Category",$E236="SAFe RTE","SAFe",$E236="",""),"NonCategory")</f>
        <v>NonCategory</v>
      </c>
    </row>
    <row r="237" spans="1:18">
      <c r="A237" s="162">
        <v>44242</v>
      </c>
      <c r="B237" s="164" t="s">
        <v>858</v>
      </c>
      <c r="C237" s="168" t="s">
        <v>859</v>
      </c>
      <c r="D237" s="6" t="s">
        <v>278</v>
      </c>
      <c r="E237" s="6" t="s">
        <v>151</v>
      </c>
      <c r="F237" s="79">
        <v>44228</v>
      </c>
      <c r="G237" s="6" t="s">
        <v>16</v>
      </c>
      <c r="H237" s="6" t="s">
        <v>649</v>
      </c>
      <c r="I237" s="6">
        <v>1</v>
      </c>
      <c r="J237" s="8">
        <v>20500</v>
      </c>
      <c r="K237" s="8">
        <f t="shared" si="3"/>
        <v>234.76866697205682</v>
      </c>
      <c r="L237" s="97">
        <v>44245</v>
      </c>
      <c r="M237" s="6" t="s">
        <v>700</v>
      </c>
      <c r="N237" s="97">
        <v>44243</v>
      </c>
      <c r="O237" s="108" t="s">
        <v>5331</v>
      </c>
      <c r="P237" s="6" t="s">
        <v>826</v>
      </c>
      <c r="Q237" s="6" t="s">
        <v>356</v>
      </c>
      <c r="R237" s="6" t="str">
        <f ca="1">IFERROR(_xludf.IFS($E237="CSM","Category",$E237="CSPO","Category", $E237="PSM","Category",$E237="PSPO","Category",$E237="SAFe Agile","SAFe",$E237="SAFe SSM","SAFe",$E237="SAFe POPM","SAFe",$E237="SASM","SAFe",$E237="PMI-ACP","Category",$E237="ICP-ACC","Category",$E237="PSM 2","Category",$E237="SAFe RTE","SAFe",$E237="",""),"NonCategory")</f>
        <v>NonCategory</v>
      </c>
    </row>
    <row r="238" spans="1:18">
      <c r="A238" s="162">
        <v>44239</v>
      </c>
      <c r="B238" s="164" t="s">
        <v>860</v>
      </c>
      <c r="C238" s="168" t="s">
        <v>861</v>
      </c>
      <c r="D238" s="6" t="s">
        <v>287</v>
      </c>
      <c r="E238" s="6" t="s">
        <v>151</v>
      </c>
      <c r="F238" s="79">
        <v>44228</v>
      </c>
      <c r="G238" s="6" t="s">
        <v>13</v>
      </c>
      <c r="H238" s="6" t="s">
        <v>649</v>
      </c>
      <c r="I238" s="6">
        <v>1</v>
      </c>
      <c r="J238" s="6">
        <v>21000</v>
      </c>
      <c r="K238" s="8">
        <f t="shared" si="3"/>
        <v>240.49473202015577</v>
      </c>
      <c r="L238" s="97">
        <v>44242</v>
      </c>
      <c r="R238" s="6" t="str">
        <f ca="1">IFERROR(_xludf.IFS($E238="CSM","Category",$E238="CSPO","Category", $E238="PSM","Category",$E238="PSPO","Category",$E238="SAFe Agile","SAFe",$E238="SAFe SSM","SAFe",$E238="SAFe POPM","SAFe",$E238="SASM","SAFe",$E238="PMI-ACP","Category",$E238="ICP-ACC","Category",$E238="PSM 2","Category",$E238="SAFe RTE","SAFe",$E238="",""),"NonCategory")</f>
        <v>NonCategory</v>
      </c>
    </row>
    <row r="239" spans="1:18">
      <c r="A239" s="162">
        <v>44244</v>
      </c>
      <c r="B239" s="164" t="s">
        <v>862</v>
      </c>
      <c r="C239" s="168" t="s">
        <v>863</v>
      </c>
      <c r="D239" s="6" t="s">
        <v>287</v>
      </c>
      <c r="E239" s="6" t="s">
        <v>151</v>
      </c>
      <c r="F239" s="79">
        <v>44228</v>
      </c>
      <c r="G239" s="6" t="s">
        <v>16</v>
      </c>
      <c r="H239" s="6" t="s">
        <v>649</v>
      </c>
      <c r="I239" s="6">
        <v>1</v>
      </c>
      <c r="J239" s="8">
        <v>21000</v>
      </c>
      <c r="K239" s="8">
        <f t="shared" si="3"/>
        <v>240.49473202015577</v>
      </c>
      <c r="L239" s="97">
        <v>44244</v>
      </c>
      <c r="M239" s="6" t="s">
        <v>700</v>
      </c>
      <c r="N239" s="97">
        <v>44244</v>
      </c>
      <c r="O239" s="107" t="s">
        <v>5332</v>
      </c>
      <c r="Q239" s="6" t="s">
        <v>356</v>
      </c>
      <c r="R239" s="6" t="str">
        <f ca="1">IFERROR(_xludf.IFS($E239="CSM","Category",$E239="CSPO","Category", $E239="PSM","Category",$E239="PSPO","Category",$E239="SAFe Agile","SAFe",$E239="SAFe SSM","SAFe",$E239="SAFe POPM","SAFe",$E239="SASM","SAFe",$E239="PMI-ACP","Category",$E239="ICP-ACC","Category",$E239="PSM 2","Category",$E239="SAFe RTE","SAFe",$E239="",""),"NonCategory")</f>
        <v>NonCategory</v>
      </c>
    </row>
    <row r="240" spans="1:18">
      <c r="A240" s="162">
        <v>44240</v>
      </c>
      <c r="B240" s="164" t="s">
        <v>864</v>
      </c>
      <c r="C240" s="168" t="s">
        <v>865</v>
      </c>
      <c r="D240" s="6" t="s">
        <v>303</v>
      </c>
      <c r="E240" s="6" t="s">
        <v>25</v>
      </c>
      <c r="F240" s="79">
        <v>44228</v>
      </c>
      <c r="G240" s="6" t="s">
        <v>13</v>
      </c>
      <c r="H240" s="6" t="s">
        <v>315</v>
      </c>
      <c r="I240" s="6">
        <v>1</v>
      </c>
      <c r="J240" s="6">
        <v>45000</v>
      </c>
      <c r="K240" s="8">
        <f t="shared" si="3"/>
        <v>515.34585432890515</v>
      </c>
      <c r="L240" s="6" t="s">
        <v>315</v>
      </c>
      <c r="R240" s="6" t="str">
        <f ca="1">IFERROR(_xludf.IFS($E240="CSM","Category",$E240="CSPO","Category", $E240="PSM","Category",$E240="PSPO","Category",$E240="SAFe Agile","SAFe",$E240="SAFe SSM","SAFe",$E240="SAFe POPM","SAFe",$E240="SASM","SAFe",$E240="PMI-ACP","Category",$E240="ICP-ACC","Category",$E240="PSM 2","Category",$E240="SAFe RTE","SAFe",$E240="",""),"NonCategory")</f>
        <v>NonCategory</v>
      </c>
    </row>
    <row r="241" spans="1:18">
      <c r="A241" s="162">
        <v>44241</v>
      </c>
      <c r="B241" s="164" t="s">
        <v>866</v>
      </c>
      <c r="C241" s="168" t="s">
        <v>867</v>
      </c>
      <c r="D241" s="6" t="s">
        <v>287</v>
      </c>
      <c r="E241" s="6" t="s">
        <v>402</v>
      </c>
      <c r="F241" s="79">
        <v>44228</v>
      </c>
      <c r="G241" s="6" t="s">
        <v>13</v>
      </c>
      <c r="H241" s="97">
        <v>44247</v>
      </c>
      <c r="I241" s="6">
        <v>1</v>
      </c>
      <c r="J241" s="6">
        <v>22500</v>
      </c>
      <c r="K241" s="8">
        <f t="shared" si="3"/>
        <v>257.67292716445257</v>
      </c>
      <c r="L241" s="97">
        <v>44244</v>
      </c>
      <c r="R241" s="6" t="str">
        <f ca="1">IFERROR(_xludf.IFS($E241="CSM","Category",$E241="CSPO","Category", $E241="PSM","Category",$E241="PSPO","Category",$E241="SAFe Agile","SAFe",$E241="SAFe SSM","SAFe",$E241="SAFe POPM","SAFe",$E241="SASM","SAFe",$E241="PMI-ACP","Category",$E241="ICP-ACC","Category",$E241="PSM 2","Category",$E241="SAFe RTE","SAFe",$E241="",""),"NonCategory")</f>
        <v>NonCategory</v>
      </c>
    </row>
    <row r="242" spans="1:18">
      <c r="A242" s="162">
        <v>44243</v>
      </c>
      <c r="B242" s="164" t="s">
        <v>868</v>
      </c>
      <c r="C242" s="168" t="s">
        <v>869</v>
      </c>
      <c r="D242" s="6" t="s">
        <v>319</v>
      </c>
      <c r="E242" s="6" t="s">
        <v>870</v>
      </c>
      <c r="F242" s="79">
        <v>44228</v>
      </c>
      <c r="G242" s="6" t="s">
        <v>16</v>
      </c>
      <c r="H242" s="6" t="s">
        <v>745</v>
      </c>
      <c r="I242" s="6">
        <v>1</v>
      </c>
      <c r="J242" s="8">
        <v>50000</v>
      </c>
      <c r="K242" s="8">
        <f t="shared" si="3"/>
        <v>572.60650480989466</v>
      </c>
      <c r="L242" s="97">
        <v>44244</v>
      </c>
      <c r="M242" s="6" t="s">
        <v>700</v>
      </c>
      <c r="N242" s="97">
        <v>44245</v>
      </c>
      <c r="O242" s="108" t="s">
        <v>5333</v>
      </c>
      <c r="Q242" s="6" t="s">
        <v>280</v>
      </c>
      <c r="R242" s="6" t="str">
        <f ca="1">IFERROR(_xludf.IFS($E242="CSM","Category",$E242="CSPO","Category", $E242="PSM","Category",$E242="PSPO","Category",$E242="SAFe Agile","SAFe",$E242="SAFe SSM","SAFe",$E242="SAFe POPM","SAFe",$E242="SASM","SAFe",$E242="PMI-ACP","Category",$E242="ICP-ACC","Category",$E242="PSM 2","Category",$E242="SAFe RTE","SAFe",$E242="",""),"NonCategory")</f>
        <v>NonCategory</v>
      </c>
    </row>
    <row r="243" spans="1:18">
      <c r="A243" s="162">
        <v>44242</v>
      </c>
      <c r="B243" s="164" t="s">
        <v>871</v>
      </c>
      <c r="C243" s="168" t="s">
        <v>872</v>
      </c>
      <c r="D243" s="6" t="s">
        <v>303</v>
      </c>
      <c r="E243" s="6" t="s">
        <v>25</v>
      </c>
      <c r="F243" s="79">
        <v>44228</v>
      </c>
      <c r="G243" s="6" t="s">
        <v>13</v>
      </c>
      <c r="H243" s="6" t="s">
        <v>579</v>
      </c>
      <c r="I243" s="6">
        <v>1</v>
      </c>
      <c r="J243" s="6">
        <v>53100</v>
      </c>
      <c r="K243" s="8">
        <f t="shared" si="3"/>
        <v>608.10810810810813</v>
      </c>
      <c r="L243" s="97">
        <v>44245</v>
      </c>
      <c r="R243" s="6" t="str">
        <f ca="1">IFERROR(_xludf.IFS($E243="CSM","Category",$E243="CSPO","Category", $E243="PSM","Category",$E243="PSPO","Category",$E243="SAFe Agile","SAFe",$E243="SAFe SSM","SAFe",$E243="SAFe POPM","SAFe",$E243="SASM","SAFe",$E243="PMI-ACP","Category",$E243="ICP-ACC","Category",$E243="PSM 2","Category",$E243="SAFe RTE","SAFe",$E243="",""),"NonCategory")</f>
        <v>NonCategory</v>
      </c>
    </row>
    <row r="244" spans="1:18">
      <c r="A244" s="162">
        <v>44242</v>
      </c>
      <c r="B244" s="164" t="s">
        <v>873</v>
      </c>
      <c r="C244" s="168" t="s">
        <v>874</v>
      </c>
      <c r="D244" s="6" t="s">
        <v>319</v>
      </c>
      <c r="E244" s="6" t="s">
        <v>6</v>
      </c>
      <c r="F244" s="79">
        <v>44228</v>
      </c>
      <c r="G244" s="6" t="s">
        <v>13</v>
      </c>
      <c r="H244" s="6" t="s">
        <v>315</v>
      </c>
      <c r="I244" s="6">
        <v>1</v>
      </c>
      <c r="J244" s="6">
        <v>50000</v>
      </c>
      <c r="K244" s="8">
        <f t="shared" si="3"/>
        <v>572.60650480989466</v>
      </c>
      <c r="L244" s="6" t="s">
        <v>315</v>
      </c>
      <c r="R244" s="6" t="str">
        <f ca="1">IFERROR(_xludf.IFS($E244="CSM","Category",$E244="CSPO","Category", $E244="PSM","Category",$E244="PSPO","Category",$E244="SAFe Agile","SAFe",$E244="SAFe SSM","SAFe",$E244="SAFe POPM","SAFe",$E244="SASM","SAFe",$E244="PMI-ACP","Category",$E244="ICP-ACC","Category",$E244="PSM 2","Category",$E244="SAFe RTE","SAFe",$E244="",""),"NonCategory")</f>
        <v>NonCategory</v>
      </c>
    </row>
    <row r="245" spans="1:18">
      <c r="A245" s="162">
        <v>44245</v>
      </c>
      <c r="B245" s="164" t="s">
        <v>875</v>
      </c>
      <c r="C245" s="168" t="s">
        <v>876</v>
      </c>
      <c r="D245" s="6" t="s">
        <v>287</v>
      </c>
      <c r="E245" s="6" t="s">
        <v>538</v>
      </c>
      <c r="F245" s="79">
        <v>44228</v>
      </c>
      <c r="G245" s="6" t="s">
        <v>16</v>
      </c>
      <c r="H245" s="80">
        <v>44256</v>
      </c>
      <c r="I245" s="6">
        <v>1</v>
      </c>
      <c r="J245" s="8">
        <v>13500</v>
      </c>
      <c r="K245" s="8">
        <f t="shared" si="3"/>
        <v>154.60375629867156</v>
      </c>
      <c r="L245" s="97">
        <v>44247</v>
      </c>
      <c r="M245" s="6" t="s">
        <v>700</v>
      </c>
      <c r="N245" s="97">
        <v>44248</v>
      </c>
      <c r="O245" s="20" t="s">
        <v>5334</v>
      </c>
      <c r="Q245" s="6" t="s">
        <v>356</v>
      </c>
      <c r="R245" s="6" t="str">
        <f ca="1">IFERROR(_xludf.IFS($E245="CSM","Category",$E245="CSPO","Category", $E245="PSM","Category",$E245="PSPO","Category",$E245="SAFe Agile","SAFe",$E245="SAFe SSM","SAFe",$E245="SAFe POPM","SAFe",$E245="SASM","SAFe",$E245="PMI-ACP","Category",$E245="ICP-ACC","Category",$E245="PSM 2","Category",$E245="SAFe RTE","SAFe",$E245="",""),"NonCategory")</f>
        <v>NonCategory</v>
      </c>
    </row>
    <row r="246" spans="1:18">
      <c r="A246" s="162">
        <v>44243</v>
      </c>
      <c r="B246" s="164" t="s">
        <v>877</v>
      </c>
      <c r="C246" s="168" t="s">
        <v>878</v>
      </c>
      <c r="D246" s="6" t="s">
        <v>303</v>
      </c>
      <c r="E246" s="6" t="s">
        <v>151</v>
      </c>
      <c r="F246" s="79">
        <v>44228</v>
      </c>
      <c r="G246" s="6" t="s">
        <v>13</v>
      </c>
      <c r="H246" s="6" t="s">
        <v>745</v>
      </c>
      <c r="I246" s="6">
        <v>1</v>
      </c>
      <c r="J246" s="6">
        <v>21000</v>
      </c>
      <c r="K246" s="8">
        <f t="shared" si="3"/>
        <v>240.49473202015577</v>
      </c>
      <c r="L246" s="97">
        <v>44249</v>
      </c>
      <c r="R246" s="6" t="str">
        <f ca="1">IFERROR(_xludf.IFS($E246="CSM","Category",$E246="CSPO","Category", $E246="PSM","Category",$E246="PSPO","Category",$E246="SAFe Agile","SAFe",$E246="SAFe SSM","SAFe",$E246="SAFe POPM","SAFe",$E246="SASM","SAFe",$E246="PMI-ACP","Category",$E246="ICP-ACC","Category",$E246="PSM 2","Category",$E246="SAFe RTE","SAFe",$E246="",""),"NonCategory")</f>
        <v>NonCategory</v>
      </c>
    </row>
    <row r="247" spans="1:18">
      <c r="A247" s="162">
        <v>44243</v>
      </c>
      <c r="B247" s="164" t="s">
        <v>879</v>
      </c>
      <c r="C247" s="168" t="s">
        <v>880</v>
      </c>
      <c r="D247" s="6" t="s">
        <v>303</v>
      </c>
      <c r="E247" s="6" t="s">
        <v>25</v>
      </c>
      <c r="F247" s="79">
        <v>44228</v>
      </c>
      <c r="G247" s="6" t="s">
        <v>13</v>
      </c>
      <c r="H247" s="6" t="s">
        <v>548</v>
      </c>
      <c r="I247" s="6">
        <v>1</v>
      </c>
      <c r="J247" s="6">
        <v>45000</v>
      </c>
      <c r="K247" s="8">
        <f t="shared" si="3"/>
        <v>515.34585432890515</v>
      </c>
      <c r="L247" s="6" t="s">
        <v>881</v>
      </c>
      <c r="R247" s="6" t="str">
        <f ca="1">IFERROR(_xludf.IFS($E247="CSM","Category",$E247="CSPO","Category", $E247="PSM","Category",$E247="PSPO","Category",$E247="SAFe Agile","SAFe",$E247="SAFe SSM","SAFe",$E247="SAFe POPM","SAFe",$E247="SASM","SAFe",$E247="PMI-ACP","Category",$E247="ICP-ACC","Category",$E247="PSM 2","Category",$E247="SAFe RTE","SAFe",$E247="",""),"NonCategory")</f>
        <v>NonCategory</v>
      </c>
    </row>
    <row r="248" spans="1:18">
      <c r="A248" s="162">
        <v>44245</v>
      </c>
      <c r="B248" s="164" t="s">
        <v>882</v>
      </c>
      <c r="C248" s="168" t="s">
        <v>883</v>
      </c>
      <c r="D248" s="6" t="s">
        <v>287</v>
      </c>
      <c r="E248" s="6" t="s">
        <v>97</v>
      </c>
      <c r="F248" s="79">
        <v>44228</v>
      </c>
      <c r="G248" s="6" t="s">
        <v>16</v>
      </c>
      <c r="H248" s="6" t="s">
        <v>275</v>
      </c>
      <c r="I248" s="6">
        <v>1</v>
      </c>
      <c r="J248" s="8">
        <v>20000</v>
      </c>
      <c r="K248" s="8">
        <f t="shared" si="3"/>
        <v>229.04260192395787</v>
      </c>
      <c r="L248" s="97">
        <v>44246</v>
      </c>
      <c r="M248" s="6" t="s">
        <v>731</v>
      </c>
      <c r="N248" s="97">
        <v>44250</v>
      </c>
      <c r="O248" s="112" t="s">
        <v>5335</v>
      </c>
      <c r="Q248" s="6" t="s">
        <v>280</v>
      </c>
      <c r="R248" s="6" t="str">
        <f ca="1">IFERROR(_xludf.IFS($E248="CSM","Category",$E248="CSPO","Category", $E248="PSM","Category",$E248="PSPO","Category",$E248="SAFe Agile","SAFe",$E248="SAFe SSM","SAFe",$E248="SAFe POPM","SAFe",$E248="SASM","SAFe",$E248="PMI-ACP","Category",$E248="ICP-ACC","Category",$E248="PSM 2","Category",$E248="SAFe RTE","SAFe",$E248="",""),"NonCategory")</f>
        <v>NonCategory</v>
      </c>
    </row>
    <row r="249" spans="1:18">
      <c r="A249" s="162">
        <v>44244</v>
      </c>
      <c r="B249" s="164" t="s">
        <v>884</v>
      </c>
      <c r="C249" s="168" t="s">
        <v>885</v>
      </c>
      <c r="D249" s="6" t="s">
        <v>278</v>
      </c>
      <c r="E249" s="6" t="s">
        <v>96</v>
      </c>
      <c r="F249" s="79">
        <v>44228</v>
      </c>
      <c r="G249" s="6" t="s">
        <v>13</v>
      </c>
      <c r="H249" s="6" t="s">
        <v>649</v>
      </c>
      <c r="I249" s="6">
        <v>1</v>
      </c>
      <c r="J249" s="6">
        <v>20000</v>
      </c>
      <c r="K249" s="8">
        <f t="shared" si="3"/>
        <v>229.04260192395787</v>
      </c>
      <c r="L249" s="97">
        <v>44244</v>
      </c>
      <c r="R249" s="6" t="str">
        <f ca="1">IFERROR(_xludf.IFS($E249="CSM","Category",$E249="CSPO","Category", $E249="PSM","Category",$E249="PSPO","Category",$E249="SAFe Agile","SAFe",$E249="SAFe SSM","SAFe",$E249="SAFe POPM","SAFe",$E249="SASM","SAFe",$E249="PMI-ACP","Category",$E249="ICP-ACC","Category",$E249="PSM 2","Category",$E249="SAFe RTE","SAFe",$E249="",""),"NonCategory")</f>
        <v>NonCategory</v>
      </c>
    </row>
    <row r="250" spans="1:18">
      <c r="A250" s="163">
        <v>44250</v>
      </c>
      <c r="B250" s="165" t="s">
        <v>886</v>
      </c>
      <c r="C250" s="168" t="s">
        <v>887</v>
      </c>
      <c r="D250" s="2" t="s">
        <v>306</v>
      </c>
      <c r="E250" s="2" t="s">
        <v>25</v>
      </c>
      <c r="F250" s="79">
        <v>44228</v>
      </c>
      <c r="G250" s="6" t="s">
        <v>16</v>
      </c>
      <c r="H250" s="6" t="s">
        <v>745</v>
      </c>
      <c r="I250" s="6">
        <v>1</v>
      </c>
      <c r="J250" s="8">
        <v>45000</v>
      </c>
      <c r="K250" s="8">
        <f t="shared" si="3"/>
        <v>515.34585432890515</v>
      </c>
      <c r="L250" s="97">
        <v>44250</v>
      </c>
      <c r="M250" s="6" t="s">
        <v>731</v>
      </c>
      <c r="N250" s="97">
        <v>44250</v>
      </c>
      <c r="O250" s="108" t="s">
        <v>5336</v>
      </c>
      <c r="Q250" s="6" t="s">
        <v>280</v>
      </c>
      <c r="R250" s="6" t="str">
        <f ca="1">IFERROR(_xludf.IFS($E250="CSM","Category",$E250="CSPO","Category", $E250="PSM","Category",$E250="PSPO","Category",$E250="SAFe Agile","SAFe",$E250="SAFe SSM","SAFe",$E250="SAFe POPM","SAFe",$E250="SASM","SAFe",$E250="PMI-ACP","Category",$E250="ICP-ACC","Category",$E250="PSM 2","Category",$E250="SAFe RTE","SAFe",$E250="",""),"NonCategory")</f>
        <v>NonCategory</v>
      </c>
    </row>
    <row r="251" spans="1:18">
      <c r="A251" s="162">
        <v>44244</v>
      </c>
      <c r="B251" s="164" t="s">
        <v>888</v>
      </c>
      <c r="C251" s="168" t="s">
        <v>889</v>
      </c>
      <c r="D251" s="6" t="s">
        <v>291</v>
      </c>
      <c r="E251" s="6" t="s">
        <v>25</v>
      </c>
      <c r="F251" s="80">
        <v>44256</v>
      </c>
      <c r="G251" s="6" t="s">
        <v>13</v>
      </c>
      <c r="H251" s="6" t="s">
        <v>745</v>
      </c>
      <c r="I251" s="6">
        <v>1</v>
      </c>
      <c r="J251" s="6">
        <v>48000</v>
      </c>
      <c r="K251" s="8">
        <f t="shared" si="3"/>
        <v>549.70224461749888</v>
      </c>
      <c r="L251" s="96">
        <v>44258</v>
      </c>
      <c r="R251" s="6" t="str">
        <f ca="1">IFERROR(_xludf.IFS($E251="CSM","Category",$E251="CSPO","Category", $E251="PSM","Category",$E251="PSPO","Category",$E251="SAFe Agile","SAFe",$E251="SAFe SSM","SAFe",$E251="SAFe POPM","SAFe",$E251="SASM","SAFe",$E251="PMI-ACP","Category",$E251="ICP-ACC","Category",$E251="PSM 2","Category",$E251="SAFe RTE","SAFe",$E251="",""),"NonCategory")</f>
        <v>NonCategory</v>
      </c>
    </row>
    <row r="252" spans="1:18">
      <c r="A252" s="162">
        <v>44244</v>
      </c>
      <c r="B252" s="164" t="s">
        <v>890</v>
      </c>
      <c r="C252" s="168" t="s">
        <v>891</v>
      </c>
      <c r="D252" s="6" t="s">
        <v>278</v>
      </c>
      <c r="E252" s="6" t="s">
        <v>97</v>
      </c>
      <c r="F252" s="79">
        <v>44228</v>
      </c>
      <c r="G252" s="6" t="s">
        <v>13</v>
      </c>
      <c r="H252" s="6" t="s">
        <v>892</v>
      </c>
      <c r="I252" s="6">
        <v>1</v>
      </c>
      <c r="J252" s="6">
        <v>21000</v>
      </c>
      <c r="K252" s="8">
        <f t="shared" si="3"/>
        <v>240.49473202015577</v>
      </c>
      <c r="L252" s="97">
        <v>44244</v>
      </c>
      <c r="R252" s="6" t="str">
        <f ca="1">IFERROR(_xludf.IFS($E252="CSM","Category",$E252="CSPO","Category", $E252="PSM","Category",$E252="PSPO","Category",$E252="SAFe Agile","SAFe",$E252="SAFe SSM","SAFe",$E252="SAFe POPM","SAFe",$E252="SASM","SAFe",$E252="PMI-ACP","Category",$E252="ICP-ACC","Category",$E252="PSM 2","Category",$E252="SAFe RTE","SAFe",$E252="",""),"NonCategory")</f>
        <v>NonCategory</v>
      </c>
    </row>
    <row r="253" spans="1:18">
      <c r="A253" s="162">
        <v>44245</v>
      </c>
      <c r="B253" s="164" t="s">
        <v>893</v>
      </c>
      <c r="C253" s="168" t="s">
        <v>894</v>
      </c>
      <c r="D253" s="6" t="s">
        <v>303</v>
      </c>
      <c r="E253" s="6" t="s">
        <v>25</v>
      </c>
      <c r="F253" s="79">
        <v>44228</v>
      </c>
      <c r="G253" s="6" t="s">
        <v>13</v>
      </c>
      <c r="H253" s="6" t="s">
        <v>745</v>
      </c>
      <c r="I253" s="6">
        <v>1</v>
      </c>
      <c r="J253" s="6">
        <v>53100</v>
      </c>
      <c r="K253" s="8">
        <f t="shared" si="3"/>
        <v>608.10810810810813</v>
      </c>
      <c r="L253" s="97">
        <v>44252</v>
      </c>
      <c r="R253" s="6" t="str">
        <f ca="1">IFERROR(_xludf.IFS($E253="CSM","Category",$E253="CSPO","Category", $E253="PSM","Category",$E253="PSPO","Category",$E253="SAFe Agile","SAFe",$E253="SAFe SSM","SAFe",$E253="SAFe POPM","SAFe",$E253="SASM","SAFe",$E253="PMI-ACP","Category",$E253="ICP-ACC","Category",$E253="PSM 2","Category",$E253="SAFe RTE","SAFe",$E253="",""),"NonCategory")</f>
        <v>NonCategory</v>
      </c>
    </row>
    <row r="254" spans="1:18">
      <c r="A254" s="162">
        <v>44245</v>
      </c>
      <c r="B254" s="164" t="s">
        <v>895</v>
      </c>
      <c r="C254" s="168" t="s">
        <v>896</v>
      </c>
      <c r="D254" s="6" t="s">
        <v>303</v>
      </c>
      <c r="E254" s="6" t="s">
        <v>25</v>
      </c>
      <c r="F254" s="79">
        <v>44228</v>
      </c>
      <c r="G254" s="6" t="s">
        <v>13</v>
      </c>
      <c r="H254" s="6" t="s">
        <v>579</v>
      </c>
      <c r="I254" s="6">
        <v>1</v>
      </c>
      <c r="J254" s="6">
        <v>53100</v>
      </c>
      <c r="K254" s="8">
        <f t="shared" si="3"/>
        <v>608.10810810810813</v>
      </c>
      <c r="L254" s="97">
        <v>44247</v>
      </c>
      <c r="R254" s="6" t="str">
        <f ca="1">IFERROR(_xludf.IFS($E254="CSM","Category",$E254="CSPO","Category", $E254="PSM","Category",$E254="PSPO","Category",$E254="SAFe Agile","SAFe",$E254="SAFe SSM","SAFe",$E254="SAFe POPM","SAFe",$E254="SASM","SAFe",$E254="PMI-ACP","Category",$E254="ICP-ACC","Category",$E254="PSM 2","Category",$E254="SAFe RTE","SAFe",$E254="",""),"NonCategory")</f>
        <v>NonCategory</v>
      </c>
    </row>
    <row r="255" spans="1:18">
      <c r="A255" s="162">
        <v>44247</v>
      </c>
      <c r="B255" s="164" t="s">
        <v>897</v>
      </c>
      <c r="C255" s="168" t="s">
        <v>898</v>
      </c>
      <c r="D255" s="6" t="s">
        <v>303</v>
      </c>
      <c r="E255" s="6" t="s">
        <v>151</v>
      </c>
      <c r="F255" s="79">
        <v>44228</v>
      </c>
      <c r="G255" s="6" t="s">
        <v>16</v>
      </c>
      <c r="H255" s="6" t="s">
        <v>899</v>
      </c>
      <c r="I255" s="6">
        <v>1</v>
      </c>
      <c r="J255" s="8">
        <v>21000</v>
      </c>
      <c r="K255" s="8">
        <f t="shared" ref="K255:K509" si="4">IFERROR((($J255/1.18))/74,"")</f>
        <v>240.49473202015577</v>
      </c>
      <c r="L255" s="97">
        <v>44249</v>
      </c>
      <c r="M255" s="6" t="s">
        <v>731</v>
      </c>
      <c r="N255" s="97">
        <v>44251</v>
      </c>
      <c r="O255" s="20" t="s">
        <v>5337</v>
      </c>
      <c r="Q255" s="6" t="s">
        <v>356</v>
      </c>
      <c r="R255" s="6" t="str">
        <f ca="1">IFERROR(_xludf.IFS($E255="CSM","Category",$E255="CSPO","Category", $E255="PSM","Category",$E255="PSPO","Category",$E255="SAFe Agile","SAFe",$E255="SAFe SSM","SAFe",$E255="SAFe POPM","SAFe",$E255="SASM","SAFe",$E255="PMI-ACP","Category",$E255="ICP-ACC","Category",$E255="PSM 2","Category",$E255="SAFe RTE","SAFe",$E255="",""),"NonCategory")</f>
        <v>NonCategory</v>
      </c>
    </row>
    <row r="256" spans="1:18">
      <c r="A256" s="162">
        <v>44246</v>
      </c>
      <c r="B256" s="164" t="s">
        <v>900</v>
      </c>
      <c r="C256" s="168" t="s">
        <v>901</v>
      </c>
      <c r="D256" s="6" t="s">
        <v>306</v>
      </c>
      <c r="E256" s="6" t="s">
        <v>25</v>
      </c>
      <c r="F256" s="79">
        <v>44228</v>
      </c>
      <c r="G256" s="6" t="s">
        <v>13</v>
      </c>
      <c r="H256" s="6" t="s">
        <v>579</v>
      </c>
      <c r="I256" s="6">
        <v>1</v>
      </c>
      <c r="J256" s="6">
        <v>45000</v>
      </c>
      <c r="K256" s="8">
        <f t="shared" si="4"/>
        <v>515.34585432890515</v>
      </c>
      <c r="L256" s="97">
        <v>44247</v>
      </c>
      <c r="O256" s="115"/>
      <c r="R256" s="6" t="str">
        <f t="shared" ref="R256:R510" ca="1" si="5">IFERROR(_xludf.IFS($E256="CSM","Category",$E256="CSPO","Category", $E256="PSM","Category",$E256="PSPO","Category",$E256="SAFe Agile","SAFe",$E256="SAFe SSM","SAFe",$E256="SAFe POPM","SAFe",$E256="SASM","SAFe",$E256="PMI-ACP","Category",$E256="ICP-ACC","Category",$E256="PSM 2","Category",$E256="SAFe RTE","SAFe",$E256="",""),"NonCategory")</f>
        <v>NonCategory</v>
      </c>
    </row>
    <row r="257" spans="1:18">
      <c r="A257" s="162">
        <v>44251</v>
      </c>
      <c r="B257" s="164" t="s">
        <v>902</v>
      </c>
      <c r="C257" s="168" t="s">
        <v>903</v>
      </c>
      <c r="D257" s="6" t="s">
        <v>904</v>
      </c>
      <c r="E257" s="6" t="s">
        <v>96</v>
      </c>
      <c r="F257" s="79">
        <v>44228</v>
      </c>
      <c r="G257" s="6" t="s">
        <v>16</v>
      </c>
      <c r="H257" s="6" t="s">
        <v>579</v>
      </c>
      <c r="I257" s="6">
        <v>1</v>
      </c>
      <c r="J257" s="8">
        <v>20000</v>
      </c>
      <c r="K257" s="8">
        <f t="shared" si="4"/>
        <v>229.04260192395787</v>
      </c>
      <c r="L257" s="97">
        <v>44251</v>
      </c>
      <c r="M257" s="6" t="s">
        <v>731</v>
      </c>
      <c r="N257" s="97">
        <v>44251</v>
      </c>
      <c r="O257" s="20" t="s">
        <v>5338</v>
      </c>
      <c r="Q257" s="6" t="s">
        <v>280</v>
      </c>
      <c r="R257" s="6" t="str">
        <f t="shared" ca="1" si="5"/>
        <v>NonCategory</v>
      </c>
    </row>
    <row r="258" spans="1:18">
      <c r="A258" s="162">
        <v>44247</v>
      </c>
      <c r="B258" s="164" t="s">
        <v>905</v>
      </c>
      <c r="C258" s="168" t="s">
        <v>906</v>
      </c>
      <c r="D258" s="6" t="s">
        <v>303</v>
      </c>
      <c r="E258" s="6" t="s">
        <v>96</v>
      </c>
      <c r="F258" s="80">
        <v>44256</v>
      </c>
      <c r="G258" s="6" t="s">
        <v>13</v>
      </c>
      <c r="H258" s="6" t="s">
        <v>745</v>
      </c>
      <c r="I258" s="6">
        <v>1</v>
      </c>
      <c r="J258" s="6">
        <v>20500</v>
      </c>
      <c r="K258" s="8">
        <f t="shared" si="4"/>
        <v>234.76866697205682</v>
      </c>
      <c r="L258" s="96">
        <v>44259</v>
      </c>
      <c r="R258" s="6" t="str">
        <f t="shared" ca="1" si="5"/>
        <v>NonCategory</v>
      </c>
    </row>
    <row r="259" spans="1:18">
      <c r="A259" s="162">
        <v>44249</v>
      </c>
      <c r="B259" s="164" t="s">
        <v>907</v>
      </c>
      <c r="C259" s="168" t="s">
        <v>908</v>
      </c>
      <c r="D259" s="6" t="s">
        <v>287</v>
      </c>
      <c r="E259" s="6" t="s">
        <v>150</v>
      </c>
      <c r="F259" s="79">
        <v>44228</v>
      </c>
      <c r="G259" s="6" t="s">
        <v>16</v>
      </c>
      <c r="H259" s="6" t="s">
        <v>909</v>
      </c>
      <c r="I259" s="6">
        <v>1</v>
      </c>
      <c r="J259" s="8">
        <v>20500</v>
      </c>
      <c r="K259" s="8">
        <f t="shared" si="4"/>
        <v>234.76866697205682</v>
      </c>
      <c r="L259" s="97">
        <v>44251</v>
      </c>
      <c r="M259" s="6" t="s">
        <v>731</v>
      </c>
      <c r="N259" s="97">
        <v>44251</v>
      </c>
      <c r="O259" s="20" t="s">
        <v>5339</v>
      </c>
      <c r="Q259" s="6" t="s">
        <v>280</v>
      </c>
      <c r="R259" s="6" t="str">
        <f t="shared" ca="1" si="5"/>
        <v>NonCategory</v>
      </c>
    </row>
    <row r="260" spans="1:18">
      <c r="A260" s="162">
        <v>44247</v>
      </c>
      <c r="B260" s="164" t="s">
        <v>910</v>
      </c>
      <c r="C260" s="168" t="s">
        <v>911</v>
      </c>
      <c r="D260" s="6" t="s">
        <v>319</v>
      </c>
      <c r="E260" s="6" t="s">
        <v>96</v>
      </c>
      <c r="F260" s="79">
        <v>44228</v>
      </c>
      <c r="G260" s="6" t="s">
        <v>13</v>
      </c>
      <c r="H260" s="6" t="s">
        <v>745</v>
      </c>
      <c r="I260" s="6">
        <v>1</v>
      </c>
      <c r="J260" s="6">
        <v>20500</v>
      </c>
      <c r="K260" s="8">
        <f t="shared" si="4"/>
        <v>234.76866697205682</v>
      </c>
      <c r="L260" s="97">
        <v>44255</v>
      </c>
      <c r="R260" s="6" t="str">
        <f t="shared" ca="1" si="5"/>
        <v>NonCategory</v>
      </c>
    </row>
    <row r="261" spans="1:18">
      <c r="A261" s="162">
        <v>44246</v>
      </c>
      <c r="B261" s="164" t="s">
        <v>912</v>
      </c>
      <c r="C261" s="168" t="s">
        <v>913</v>
      </c>
      <c r="D261" s="6" t="s">
        <v>319</v>
      </c>
      <c r="E261" s="6" t="s">
        <v>96</v>
      </c>
      <c r="F261" s="79">
        <v>44228</v>
      </c>
      <c r="G261" s="6" t="s">
        <v>16</v>
      </c>
      <c r="H261" s="6" t="s">
        <v>579</v>
      </c>
      <c r="I261" s="6">
        <v>1</v>
      </c>
      <c r="J261" s="8">
        <v>20000</v>
      </c>
      <c r="K261" s="8">
        <f t="shared" si="4"/>
        <v>229.04260192395787</v>
      </c>
      <c r="L261" s="97">
        <v>44249</v>
      </c>
      <c r="M261" s="6" t="s">
        <v>731</v>
      </c>
      <c r="N261" s="97">
        <v>44252</v>
      </c>
      <c r="O261" s="20" t="s">
        <v>5340</v>
      </c>
      <c r="Q261" s="6" t="s">
        <v>356</v>
      </c>
      <c r="R261" s="6" t="str">
        <f t="shared" ca="1" si="5"/>
        <v>NonCategory</v>
      </c>
    </row>
    <row r="262" spans="1:18">
      <c r="A262" s="162">
        <v>44252</v>
      </c>
      <c r="B262" s="164" t="s">
        <v>914</v>
      </c>
      <c r="C262" s="168" t="s">
        <v>915</v>
      </c>
      <c r="D262" s="6" t="s">
        <v>278</v>
      </c>
      <c r="E262" s="6" t="s">
        <v>96</v>
      </c>
      <c r="F262" s="79">
        <v>44228</v>
      </c>
      <c r="G262" s="6" t="s">
        <v>16</v>
      </c>
      <c r="H262" s="6" t="s">
        <v>745</v>
      </c>
      <c r="I262" s="6">
        <v>1</v>
      </c>
      <c r="J262" s="8">
        <v>20000</v>
      </c>
      <c r="K262" s="8">
        <f t="shared" si="4"/>
        <v>229.04260192395787</v>
      </c>
      <c r="L262" s="97">
        <v>44253</v>
      </c>
      <c r="M262" s="6" t="s">
        <v>731</v>
      </c>
      <c r="N262" s="97">
        <v>44253</v>
      </c>
      <c r="O262" s="20" t="s">
        <v>5341</v>
      </c>
      <c r="P262" s="6" t="s">
        <v>916</v>
      </c>
      <c r="Q262" s="6" t="s">
        <v>280</v>
      </c>
      <c r="R262" s="6" t="str">
        <f t="shared" ca="1" si="5"/>
        <v>NonCategory</v>
      </c>
    </row>
    <row r="263" spans="1:18">
      <c r="A263" s="162">
        <v>44249</v>
      </c>
      <c r="B263" s="164" t="s">
        <v>917</v>
      </c>
      <c r="C263" s="168" t="s">
        <v>918</v>
      </c>
      <c r="D263" s="6" t="s">
        <v>303</v>
      </c>
      <c r="E263" s="6" t="s">
        <v>150</v>
      </c>
      <c r="F263" s="80">
        <v>44256</v>
      </c>
      <c r="G263" s="6" t="s">
        <v>13</v>
      </c>
      <c r="H263" s="80">
        <v>44256</v>
      </c>
      <c r="I263" s="6">
        <v>1</v>
      </c>
      <c r="J263" s="6">
        <v>21000</v>
      </c>
      <c r="K263" s="8">
        <f t="shared" si="4"/>
        <v>240.49473202015577</v>
      </c>
      <c r="L263" s="96">
        <v>44273</v>
      </c>
      <c r="R263" s="6" t="str">
        <f t="shared" ca="1" si="5"/>
        <v>NonCategory</v>
      </c>
    </row>
    <row r="264" spans="1:18">
      <c r="A264" s="162">
        <v>44251</v>
      </c>
      <c r="B264" s="164" t="s">
        <v>919</v>
      </c>
      <c r="C264" s="168" t="s">
        <v>920</v>
      </c>
      <c r="D264" s="6" t="s">
        <v>303</v>
      </c>
      <c r="E264" s="6" t="s">
        <v>96</v>
      </c>
      <c r="F264" s="79">
        <v>44228</v>
      </c>
      <c r="G264" s="6" t="s">
        <v>16</v>
      </c>
      <c r="H264" s="6" t="s">
        <v>745</v>
      </c>
      <c r="I264" s="6">
        <v>1</v>
      </c>
      <c r="J264" s="8">
        <v>18500</v>
      </c>
      <c r="K264" s="8">
        <f t="shared" si="4"/>
        <v>211.86440677966101</v>
      </c>
      <c r="L264" s="97">
        <v>44253</v>
      </c>
      <c r="M264" s="6" t="s">
        <v>731</v>
      </c>
      <c r="N264" s="97">
        <v>44253</v>
      </c>
      <c r="O264" s="20" t="s">
        <v>5342</v>
      </c>
      <c r="Q264" s="6" t="s">
        <v>280</v>
      </c>
      <c r="R264" s="6" t="str">
        <f t="shared" ca="1" si="5"/>
        <v>NonCategory</v>
      </c>
    </row>
    <row r="265" spans="1:18">
      <c r="A265" s="162">
        <v>44252</v>
      </c>
      <c r="B265" s="164" t="s">
        <v>921</v>
      </c>
      <c r="C265" s="168" t="s">
        <v>922</v>
      </c>
      <c r="D265" s="6" t="s">
        <v>303</v>
      </c>
      <c r="E265" s="6" t="s">
        <v>25</v>
      </c>
      <c r="F265" s="79">
        <v>44228</v>
      </c>
      <c r="G265" s="6" t="s">
        <v>16</v>
      </c>
      <c r="H265" s="6" t="s">
        <v>745</v>
      </c>
      <c r="I265" s="6">
        <v>1</v>
      </c>
      <c r="J265" s="8">
        <v>45000</v>
      </c>
      <c r="K265" s="8">
        <f t="shared" si="4"/>
        <v>515.34585432890515</v>
      </c>
      <c r="L265" s="97">
        <v>44253</v>
      </c>
      <c r="M265" s="6" t="s">
        <v>731</v>
      </c>
      <c r="N265" s="97">
        <v>44253</v>
      </c>
      <c r="O265" s="20" t="s">
        <v>5343</v>
      </c>
      <c r="Q265" s="6" t="s">
        <v>280</v>
      </c>
      <c r="R265" s="6" t="str">
        <f t="shared" ca="1" si="5"/>
        <v>NonCategory</v>
      </c>
    </row>
    <row r="266" spans="1:18">
      <c r="A266" s="162">
        <v>44249</v>
      </c>
      <c r="B266" s="164" t="s">
        <v>923</v>
      </c>
      <c r="C266" s="168" t="s">
        <v>924</v>
      </c>
      <c r="D266" s="6" t="s">
        <v>278</v>
      </c>
      <c r="E266" s="6" t="s">
        <v>96</v>
      </c>
      <c r="F266" s="79">
        <v>44228</v>
      </c>
      <c r="G266" s="6" t="s">
        <v>13</v>
      </c>
      <c r="H266" s="6" t="s">
        <v>745</v>
      </c>
      <c r="I266" s="6">
        <v>1</v>
      </c>
      <c r="J266" s="6">
        <v>20000</v>
      </c>
      <c r="K266" s="8">
        <f t="shared" si="4"/>
        <v>229.04260192395787</v>
      </c>
      <c r="L266" s="97">
        <v>44252</v>
      </c>
      <c r="P266" s="6" t="s">
        <v>925</v>
      </c>
      <c r="R266" s="6" t="str">
        <f t="shared" ca="1" si="5"/>
        <v>NonCategory</v>
      </c>
    </row>
    <row r="267" spans="1:18">
      <c r="A267" s="163">
        <v>44253</v>
      </c>
      <c r="B267" s="165" t="s">
        <v>926</v>
      </c>
      <c r="C267" s="168" t="s">
        <v>927</v>
      </c>
      <c r="D267" s="2" t="s">
        <v>319</v>
      </c>
      <c r="E267" s="6" t="s">
        <v>150</v>
      </c>
      <c r="F267" s="79">
        <v>44228</v>
      </c>
      <c r="G267" s="6" t="s">
        <v>16</v>
      </c>
      <c r="H267" s="6" t="s">
        <v>579</v>
      </c>
      <c r="I267" s="6">
        <v>1</v>
      </c>
      <c r="J267" s="8">
        <v>21000</v>
      </c>
      <c r="K267" s="8">
        <f t="shared" si="4"/>
        <v>240.49473202015577</v>
      </c>
      <c r="L267" s="97">
        <v>44253</v>
      </c>
      <c r="M267" s="6" t="s">
        <v>731</v>
      </c>
      <c r="N267" s="97">
        <v>44253</v>
      </c>
      <c r="O267" s="108" t="s">
        <v>5344</v>
      </c>
      <c r="Q267" s="6" t="s">
        <v>928</v>
      </c>
      <c r="R267" s="6" t="str">
        <f t="shared" ca="1" si="5"/>
        <v>NonCategory</v>
      </c>
    </row>
    <row r="268" spans="1:18">
      <c r="A268" s="162">
        <v>44250</v>
      </c>
      <c r="B268" s="164" t="s">
        <v>929</v>
      </c>
      <c r="C268" s="168" t="s">
        <v>142</v>
      </c>
      <c r="D268" s="6" t="s">
        <v>930</v>
      </c>
      <c r="E268" s="6" t="s">
        <v>96</v>
      </c>
      <c r="F268" s="79">
        <v>44228</v>
      </c>
      <c r="G268" s="6" t="s">
        <v>16</v>
      </c>
      <c r="H268" s="6" t="s">
        <v>275</v>
      </c>
      <c r="I268" s="6">
        <v>1</v>
      </c>
      <c r="J268" s="8">
        <v>20000</v>
      </c>
      <c r="K268" s="8">
        <f t="shared" si="4"/>
        <v>229.04260192395787</v>
      </c>
      <c r="L268" s="96">
        <v>44259</v>
      </c>
      <c r="M268" s="6" t="s">
        <v>731</v>
      </c>
      <c r="N268" s="97">
        <v>44253</v>
      </c>
      <c r="O268" s="116" t="s">
        <v>5345</v>
      </c>
      <c r="Q268" s="6" t="s">
        <v>280</v>
      </c>
      <c r="R268" s="6" t="str">
        <f t="shared" ca="1" si="5"/>
        <v>NonCategory</v>
      </c>
    </row>
    <row r="269" spans="1:18">
      <c r="A269" s="162">
        <v>44230</v>
      </c>
      <c r="B269" s="164" t="s">
        <v>931</v>
      </c>
      <c r="C269" s="168" t="s">
        <v>932</v>
      </c>
      <c r="D269" s="6" t="s">
        <v>319</v>
      </c>
      <c r="E269" s="6" t="s">
        <v>96</v>
      </c>
      <c r="F269" s="79">
        <v>44228</v>
      </c>
      <c r="G269" s="6" t="s">
        <v>16</v>
      </c>
      <c r="H269" s="6" t="s">
        <v>933</v>
      </c>
      <c r="I269" s="6">
        <v>1</v>
      </c>
      <c r="J269" s="8">
        <v>18000</v>
      </c>
      <c r="K269" s="8">
        <f t="shared" si="4"/>
        <v>206.13834173156206</v>
      </c>
      <c r="L269" s="97">
        <v>44230</v>
      </c>
      <c r="M269" s="6" t="s">
        <v>731</v>
      </c>
      <c r="N269" s="97">
        <v>44254</v>
      </c>
      <c r="O269" s="117" t="s">
        <v>5346</v>
      </c>
      <c r="R269" s="6" t="str">
        <f t="shared" ca="1" si="5"/>
        <v>NonCategory</v>
      </c>
    </row>
    <row r="270" spans="1:18">
      <c r="A270" s="162">
        <v>44253</v>
      </c>
      <c r="B270" s="164" t="s">
        <v>934</v>
      </c>
      <c r="C270" s="168" t="s">
        <v>935</v>
      </c>
      <c r="D270" s="6" t="s">
        <v>303</v>
      </c>
      <c r="E270" s="6" t="s">
        <v>25</v>
      </c>
      <c r="F270" s="80">
        <v>44256</v>
      </c>
      <c r="G270" s="6" t="s">
        <v>16</v>
      </c>
      <c r="H270" s="6" t="s">
        <v>936</v>
      </c>
      <c r="I270" s="6">
        <v>1</v>
      </c>
      <c r="J270" s="8">
        <v>45000</v>
      </c>
      <c r="K270" s="8">
        <f t="shared" si="4"/>
        <v>515.34585432890515</v>
      </c>
      <c r="L270" s="97">
        <v>44254</v>
      </c>
      <c r="M270" s="6" t="s">
        <v>502</v>
      </c>
      <c r="N270" s="96">
        <v>44256</v>
      </c>
      <c r="O270" s="108" t="s">
        <v>5347</v>
      </c>
      <c r="Q270" s="6" t="s">
        <v>280</v>
      </c>
      <c r="R270" s="6" t="str">
        <f t="shared" ca="1" si="5"/>
        <v>NonCategory</v>
      </c>
    </row>
    <row r="271" spans="1:18">
      <c r="A271" s="162">
        <v>44252</v>
      </c>
      <c r="B271" s="164" t="s">
        <v>937</v>
      </c>
      <c r="C271" s="168" t="s">
        <v>938</v>
      </c>
      <c r="D271" s="6" t="s">
        <v>278</v>
      </c>
      <c r="E271" s="6" t="s">
        <v>96</v>
      </c>
      <c r="F271" s="79">
        <v>44228</v>
      </c>
      <c r="G271" s="6" t="s">
        <v>13</v>
      </c>
      <c r="H271" s="6" t="s">
        <v>745</v>
      </c>
      <c r="I271" s="6">
        <v>1</v>
      </c>
      <c r="J271" s="6">
        <v>24780</v>
      </c>
      <c r="K271" s="8">
        <f t="shared" si="4"/>
        <v>283.7837837837838</v>
      </c>
      <c r="L271" s="97">
        <v>44254</v>
      </c>
      <c r="R271" s="6" t="str">
        <f t="shared" ca="1" si="5"/>
        <v>NonCategory</v>
      </c>
    </row>
    <row r="272" spans="1:18">
      <c r="A272" s="162">
        <v>44252</v>
      </c>
      <c r="B272" s="165" t="s">
        <v>939</v>
      </c>
      <c r="C272" s="168" t="s">
        <v>940</v>
      </c>
      <c r="D272" s="2" t="s">
        <v>319</v>
      </c>
      <c r="E272" s="6" t="s">
        <v>96</v>
      </c>
      <c r="F272" s="80">
        <v>44256</v>
      </c>
      <c r="G272" s="6" t="s">
        <v>13</v>
      </c>
      <c r="H272" s="6" t="s">
        <v>933</v>
      </c>
      <c r="I272" s="6">
        <v>1</v>
      </c>
      <c r="J272" s="6">
        <v>20000</v>
      </c>
      <c r="K272" s="8">
        <f t="shared" si="4"/>
        <v>229.04260192395787</v>
      </c>
      <c r="L272" s="96">
        <v>44267</v>
      </c>
      <c r="R272" s="6" t="str">
        <f t="shared" ca="1" si="5"/>
        <v>NonCategory</v>
      </c>
    </row>
    <row r="273" spans="1:18">
      <c r="A273" s="162">
        <v>44257</v>
      </c>
      <c r="B273" s="164" t="s">
        <v>368</v>
      </c>
      <c r="C273" s="168" t="s">
        <v>369</v>
      </c>
      <c r="D273" s="6" t="s">
        <v>941</v>
      </c>
      <c r="E273" s="6" t="s">
        <v>942</v>
      </c>
      <c r="F273" s="80">
        <v>44256</v>
      </c>
      <c r="G273" s="6" t="s">
        <v>16</v>
      </c>
      <c r="H273" s="80">
        <v>44268</v>
      </c>
      <c r="I273" s="6">
        <v>1</v>
      </c>
      <c r="J273" s="8">
        <v>11000</v>
      </c>
      <c r="K273" s="8">
        <f t="shared" si="4"/>
        <v>125.97343105817684</v>
      </c>
      <c r="L273" s="96">
        <v>44257</v>
      </c>
      <c r="M273" s="6" t="s">
        <v>502</v>
      </c>
      <c r="N273" s="96">
        <v>44257</v>
      </c>
      <c r="O273" s="108" t="s">
        <v>5348</v>
      </c>
      <c r="R273" s="6" t="str">
        <f t="shared" ca="1" si="5"/>
        <v>NonCategory</v>
      </c>
    </row>
    <row r="274" spans="1:18">
      <c r="A274" s="162">
        <v>44257</v>
      </c>
      <c r="B274" s="164" t="s">
        <v>943</v>
      </c>
      <c r="C274" s="168" t="s">
        <v>944</v>
      </c>
      <c r="D274" s="6" t="s">
        <v>319</v>
      </c>
      <c r="E274" s="6" t="s">
        <v>150</v>
      </c>
      <c r="F274" s="80">
        <v>44256</v>
      </c>
      <c r="G274" s="6" t="s">
        <v>16</v>
      </c>
      <c r="H274" s="6" t="s">
        <v>745</v>
      </c>
      <c r="I274" s="6">
        <v>1</v>
      </c>
      <c r="J274" s="8">
        <v>21000</v>
      </c>
      <c r="K274" s="8">
        <f t="shared" si="4"/>
        <v>240.49473202015577</v>
      </c>
      <c r="L274" s="96">
        <v>44257</v>
      </c>
      <c r="M274" s="6" t="s">
        <v>502</v>
      </c>
      <c r="N274" s="96">
        <v>44257</v>
      </c>
      <c r="O274" s="20" t="s">
        <v>5349</v>
      </c>
      <c r="Q274" s="6" t="s">
        <v>356</v>
      </c>
      <c r="R274" s="6" t="str">
        <f t="shared" ca="1" si="5"/>
        <v>NonCategory</v>
      </c>
    </row>
    <row r="275" spans="1:18">
      <c r="A275" s="163">
        <v>44252</v>
      </c>
      <c r="B275" s="165" t="s">
        <v>945</v>
      </c>
      <c r="C275" s="168" t="s">
        <v>946</v>
      </c>
      <c r="D275" s="2" t="s">
        <v>303</v>
      </c>
      <c r="E275" s="2" t="s">
        <v>7</v>
      </c>
      <c r="F275" s="79">
        <v>44228</v>
      </c>
      <c r="G275" s="6" t="s">
        <v>13</v>
      </c>
      <c r="H275" s="80">
        <v>44256</v>
      </c>
      <c r="I275" s="6">
        <v>1</v>
      </c>
      <c r="J275" s="6">
        <v>53100</v>
      </c>
      <c r="K275" s="8">
        <f t="shared" si="4"/>
        <v>608.10810810810813</v>
      </c>
      <c r="L275" s="97">
        <v>44253</v>
      </c>
      <c r="R275" s="6" t="str">
        <f t="shared" ca="1" si="5"/>
        <v>NonCategory</v>
      </c>
    </row>
    <row r="276" spans="1:18">
      <c r="A276" s="162">
        <v>44251</v>
      </c>
      <c r="B276" s="164" t="s">
        <v>947</v>
      </c>
      <c r="C276" s="168" t="s">
        <v>948</v>
      </c>
      <c r="D276" s="6" t="s">
        <v>278</v>
      </c>
      <c r="E276" s="6" t="s">
        <v>151</v>
      </c>
      <c r="F276" s="79">
        <v>44228</v>
      </c>
      <c r="G276" s="6" t="s">
        <v>13</v>
      </c>
      <c r="H276" s="6" t="s">
        <v>899</v>
      </c>
      <c r="I276" s="6">
        <v>1</v>
      </c>
      <c r="J276" s="6">
        <v>21000</v>
      </c>
      <c r="K276" s="8">
        <f t="shared" si="4"/>
        <v>240.49473202015577</v>
      </c>
      <c r="L276" s="97">
        <v>44252</v>
      </c>
      <c r="P276" s="6" t="s">
        <v>949</v>
      </c>
      <c r="R276" s="6" t="str">
        <f t="shared" ca="1" si="5"/>
        <v>NonCategory</v>
      </c>
    </row>
    <row r="277" spans="1:18">
      <c r="A277" s="162">
        <v>44256</v>
      </c>
      <c r="B277" s="165" t="s">
        <v>950</v>
      </c>
      <c r="C277" s="168" t="s">
        <v>951</v>
      </c>
      <c r="D277" s="2" t="s">
        <v>319</v>
      </c>
      <c r="E277" s="6" t="s">
        <v>96</v>
      </c>
      <c r="F277" s="80">
        <v>44256</v>
      </c>
      <c r="G277" s="6" t="s">
        <v>16</v>
      </c>
      <c r="H277" s="6" t="s">
        <v>745</v>
      </c>
      <c r="I277" s="6">
        <v>1</v>
      </c>
      <c r="J277" s="8">
        <v>20000</v>
      </c>
      <c r="K277" s="8">
        <f t="shared" si="4"/>
        <v>229.04260192395787</v>
      </c>
      <c r="L277" s="96">
        <v>44256</v>
      </c>
      <c r="M277" s="6" t="s">
        <v>502</v>
      </c>
      <c r="N277" s="96">
        <v>44258</v>
      </c>
      <c r="O277" s="20" t="s">
        <v>5350</v>
      </c>
      <c r="Q277" s="6" t="s">
        <v>356</v>
      </c>
      <c r="R277" s="6" t="str">
        <f t="shared" ca="1" si="5"/>
        <v>NonCategory</v>
      </c>
    </row>
    <row r="278" spans="1:18">
      <c r="A278" s="163">
        <v>44252</v>
      </c>
      <c r="B278" s="165" t="s">
        <v>952</v>
      </c>
      <c r="C278" s="168" t="s">
        <v>953</v>
      </c>
      <c r="D278" s="2" t="s">
        <v>319</v>
      </c>
      <c r="E278" s="2" t="s">
        <v>151</v>
      </c>
      <c r="F278" s="80">
        <v>44256</v>
      </c>
      <c r="G278" s="6" t="s">
        <v>13</v>
      </c>
      <c r="H278" s="6" t="s">
        <v>909</v>
      </c>
      <c r="I278" s="6">
        <v>1</v>
      </c>
      <c r="J278" s="6">
        <v>21000</v>
      </c>
      <c r="K278" s="8">
        <f t="shared" si="4"/>
        <v>240.49473202015577</v>
      </c>
      <c r="L278" s="96">
        <v>44256</v>
      </c>
      <c r="R278" s="6" t="str">
        <f t="shared" ca="1" si="5"/>
        <v>NonCategory</v>
      </c>
    </row>
    <row r="279" spans="1:18">
      <c r="A279" s="162">
        <v>44256</v>
      </c>
      <c r="B279" s="164" t="s">
        <v>954</v>
      </c>
      <c r="C279" s="168" t="s">
        <v>955</v>
      </c>
      <c r="D279" s="6" t="s">
        <v>278</v>
      </c>
      <c r="E279" s="6" t="s">
        <v>96</v>
      </c>
      <c r="F279" s="80">
        <v>44256</v>
      </c>
      <c r="G279" s="6" t="s">
        <v>16</v>
      </c>
      <c r="H279" s="6" t="s">
        <v>909</v>
      </c>
      <c r="I279" s="6">
        <v>1</v>
      </c>
      <c r="J279" s="8">
        <v>20000</v>
      </c>
      <c r="K279" s="8">
        <f t="shared" si="4"/>
        <v>229.04260192395787</v>
      </c>
      <c r="L279" s="96">
        <v>44258</v>
      </c>
      <c r="M279" s="6" t="s">
        <v>502</v>
      </c>
      <c r="N279" s="96">
        <v>44258</v>
      </c>
      <c r="O279" s="20" t="s">
        <v>5351</v>
      </c>
      <c r="P279" s="6" t="s">
        <v>826</v>
      </c>
      <c r="Q279" s="6" t="s">
        <v>280</v>
      </c>
      <c r="R279" s="6" t="str">
        <f t="shared" ca="1" si="5"/>
        <v>NonCategory</v>
      </c>
    </row>
    <row r="280" spans="1:18">
      <c r="A280" s="162">
        <v>44258</v>
      </c>
      <c r="B280" s="164" t="s">
        <v>956</v>
      </c>
      <c r="C280" s="168" t="s">
        <v>957</v>
      </c>
      <c r="D280" s="6" t="s">
        <v>287</v>
      </c>
      <c r="E280" s="6" t="s">
        <v>151</v>
      </c>
      <c r="F280" s="80">
        <v>44256</v>
      </c>
      <c r="G280" s="6" t="s">
        <v>16</v>
      </c>
      <c r="H280" s="6" t="s">
        <v>745</v>
      </c>
      <c r="I280" s="6">
        <v>1</v>
      </c>
      <c r="J280" s="8">
        <v>21000</v>
      </c>
      <c r="K280" s="8">
        <f t="shared" si="4"/>
        <v>240.49473202015577</v>
      </c>
      <c r="L280" s="96">
        <v>44261</v>
      </c>
      <c r="M280" s="6" t="s">
        <v>502</v>
      </c>
      <c r="N280" s="96">
        <v>44259</v>
      </c>
      <c r="O280" s="20" t="s">
        <v>5352</v>
      </c>
      <c r="Q280" s="6" t="s">
        <v>280</v>
      </c>
      <c r="R280" s="6" t="str">
        <f t="shared" ca="1" si="5"/>
        <v>NonCategory</v>
      </c>
    </row>
    <row r="281" spans="1:18">
      <c r="A281" s="163">
        <v>44253</v>
      </c>
      <c r="B281" s="165" t="s">
        <v>958</v>
      </c>
      <c r="C281" s="168" t="s">
        <v>959</v>
      </c>
      <c r="D281" s="2" t="s">
        <v>319</v>
      </c>
      <c r="E281" s="2" t="s">
        <v>25</v>
      </c>
      <c r="F281" s="80">
        <v>44256</v>
      </c>
      <c r="G281" s="6" t="s">
        <v>13</v>
      </c>
      <c r="H281" s="80">
        <v>44256</v>
      </c>
      <c r="I281" s="6">
        <v>1</v>
      </c>
      <c r="J281" s="6">
        <v>45000</v>
      </c>
      <c r="K281" s="8">
        <f t="shared" si="4"/>
        <v>515.34585432890515</v>
      </c>
      <c r="L281" s="80">
        <v>44256</v>
      </c>
      <c r="R281" s="6" t="str">
        <f t="shared" ca="1" si="5"/>
        <v>NonCategory</v>
      </c>
    </row>
    <row r="282" spans="1:18">
      <c r="A282" s="162">
        <v>44254</v>
      </c>
      <c r="B282" s="164" t="s">
        <v>960</v>
      </c>
      <c r="C282" s="168" t="s">
        <v>961</v>
      </c>
      <c r="D282" s="6" t="s">
        <v>495</v>
      </c>
      <c r="E282" s="6" t="s">
        <v>96</v>
      </c>
      <c r="F282" s="79">
        <v>44228</v>
      </c>
      <c r="G282" s="6" t="s">
        <v>13</v>
      </c>
      <c r="H282" s="80">
        <v>44256</v>
      </c>
      <c r="I282" s="6">
        <v>1</v>
      </c>
      <c r="J282" s="6">
        <v>18000</v>
      </c>
      <c r="K282" s="8">
        <f t="shared" si="4"/>
        <v>206.13834173156206</v>
      </c>
      <c r="L282" s="97">
        <v>44254</v>
      </c>
      <c r="R282" s="6" t="str">
        <f t="shared" ca="1" si="5"/>
        <v>NonCategory</v>
      </c>
    </row>
    <row r="283" spans="1:18">
      <c r="A283" s="162">
        <v>44255</v>
      </c>
      <c r="B283" s="164" t="s">
        <v>962</v>
      </c>
      <c r="C283" s="168" t="s">
        <v>963</v>
      </c>
      <c r="D283" s="6" t="s">
        <v>303</v>
      </c>
      <c r="E283" s="6" t="s">
        <v>25</v>
      </c>
      <c r="F283" s="80">
        <v>44256</v>
      </c>
      <c r="G283" s="6" t="s">
        <v>13</v>
      </c>
      <c r="H283" s="80">
        <v>44256</v>
      </c>
      <c r="I283" s="6">
        <v>1</v>
      </c>
      <c r="J283" s="6">
        <v>45000</v>
      </c>
      <c r="K283" s="8">
        <f t="shared" si="4"/>
        <v>515.34585432890515</v>
      </c>
      <c r="L283" s="80">
        <v>44256</v>
      </c>
      <c r="R283" s="6" t="str">
        <f t="shared" ca="1" si="5"/>
        <v>NonCategory</v>
      </c>
    </row>
    <row r="284" spans="1:18">
      <c r="A284" s="163">
        <v>44254</v>
      </c>
      <c r="B284" s="165" t="s">
        <v>964</v>
      </c>
      <c r="C284" s="168" t="s">
        <v>965</v>
      </c>
      <c r="D284" s="2" t="s">
        <v>319</v>
      </c>
      <c r="E284" s="2" t="s">
        <v>96</v>
      </c>
      <c r="F284" s="80">
        <v>44256</v>
      </c>
      <c r="G284" s="6" t="s">
        <v>13</v>
      </c>
      <c r="H284" s="6" t="s">
        <v>933</v>
      </c>
      <c r="I284" s="6">
        <v>1</v>
      </c>
      <c r="J284" s="6">
        <v>19000</v>
      </c>
      <c r="K284" s="8">
        <f t="shared" si="4"/>
        <v>217.59047182775998</v>
      </c>
      <c r="L284" s="96">
        <v>44262</v>
      </c>
      <c r="R284" s="6" t="str">
        <f t="shared" ca="1" si="5"/>
        <v>NonCategory</v>
      </c>
    </row>
    <row r="285" spans="1:18">
      <c r="A285" s="162">
        <v>44183</v>
      </c>
      <c r="B285" s="164" t="s">
        <v>966</v>
      </c>
      <c r="C285" s="168" t="s">
        <v>967</v>
      </c>
      <c r="D285" s="6" t="s">
        <v>319</v>
      </c>
      <c r="E285" s="6" t="s">
        <v>968</v>
      </c>
      <c r="F285" s="80">
        <v>44256</v>
      </c>
      <c r="G285" s="6" t="s">
        <v>16</v>
      </c>
      <c r="H285" s="6" t="s">
        <v>315</v>
      </c>
      <c r="I285" s="6">
        <v>1</v>
      </c>
      <c r="J285" s="8">
        <v>3500</v>
      </c>
      <c r="K285" s="8">
        <f t="shared" si="4"/>
        <v>40.082455336692625</v>
      </c>
      <c r="L285" s="6" t="s">
        <v>315</v>
      </c>
      <c r="M285" s="6" t="s">
        <v>502</v>
      </c>
      <c r="N285" s="96">
        <v>44262</v>
      </c>
      <c r="O285" s="20" t="s">
        <v>5353</v>
      </c>
      <c r="R285" s="6" t="str">
        <f t="shared" ca="1" si="5"/>
        <v>NonCategory</v>
      </c>
    </row>
    <row r="286" spans="1:18">
      <c r="A286" s="162">
        <v>44256</v>
      </c>
      <c r="B286" s="165" t="s">
        <v>969</v>
      </c>
      <c r="C286" s="168" t="s">
        <v>970</v>
      </c>
      <c r="D286" s="2" t="s">
        <v>303</v>
      </c>
      <c r="E286" s="6" t="s">
        <v>7</v>
      </c>
      <c r="F286" s="80">
        <v>44256</v>
      </c>
      <c r="G286" s="6" t="s">
        <v>13</v>
      </c>
      <c r="H286" s="80">
        <v>44256</v>
      </c>
      <c r="I286" s="6">
        <v>1</v>
      </c>
      <c r="J286" s="6">
        <v>53100</v>
      </c>
      <c r="K286" s="8">
        <f t="shared" si="4"/>
        <v>608.10810810810813</v>
      </c>
      <c r="L286" s="80">
        <v>44256</v>
      </c>
      <c r="R286" s="6" t="str">
        <f t="shared" ca="1" si="5"/>
        <v>NonCategory</v>
      </c>
    </row>
    <row r="287" spans="1:18">
      <c r="A287" s="162">
        <v>44256</v>
      </c>
      <c r="B287" s="165" t="s">
        <v>971</v>
      </c>
      <c r="C287" s="168" t="s">
        <v>972</v>
      </c>
      <c r="D287" s="2" t="s">
        <v>319</v>
      </c>
      <c r="E287" s="6" t="s">
        <v>96</v>
      </c>
      <c r="F287" s="80">
        <v>44256</v>
      </c>
      <c r="G287" s="6" t="s">
        <v>13</v>
      </c>
      <c r="H287" s="80">
        <v>44256</v>
      </c>
      <c r="I287" s="6">
        <v>1</v>
      </c>
      <c r="J287" s="6">
        <v>20000</v>
      </c>
      <c r="K287" s="8">
        <f t="shared" si="4"/>
        <v>229.04260192395787</v>
      </c>
      <c r="L287" s="80">
        <v>44256</v>
      </c>
      <c r="R287" s="6" t="str">
        <f t="shared" ca="1" si="5"/>
        <v>NonCategory</v>
      </c>
    </row>
    <row r="288" spans="1:18">
      <c r="A288" s="162">
        <v>44259</v>
      </c>
      <c r="B288" s="165" t="s">
        <v>285</v>
      </c>
      <c r="C288" s="168" t="s">
        <v>973</v>
      </c>
      <c r="D288" s="2" t="s">
        <v>303</v>
      </c>
      <c r="E288" s="6" t="s">
        <v>25</v>
      </c>
      <c r="F288" s="80">
        <v>44256</v>
      </c>
      <c r="G288" s="6" t="s">
        <v>16</v>
      </c>
      <c r="H288" s="6" t="s">
        <v>909</v>
      </c>
      <c r="I288" s="6">
        <v>1</v>
      </c>
      <c r="J288" s="8">
        <v>53100</v>
      </c>
      <c r="K288" s="8">
        <f t="shared" si="4"/>
        <v>608.10810810810813</v>
      </c>
      <c r="L288" s="96">
        <v>44263</v>
      </c>
      <c r="M288" s="6" t="s">
        <v>650</v>
      </c>
      <c r="N288" s="96">
        <v>44263</v>
      </c>
      <c r="O288" s="119" t="s">
        <v>5354</v>
      </c>
      <c r="Q288" s="6" t="s">
        <v>280</v>
      </c>
      <c r="R288" s="6" t="str">
        <f t="shared" ca="1" si="5"/>
        <v>NonCategory</v>
      </c>
    </row>
    <row r="289" spans="1:18">
      <c r="A289" s="162">
        <v>44263</v>
      </c>
      <c r="B289" s="164" t="s">
        <v>974</v>
      </c>
      <c r="C289" s="168" t="s">
        <v>975</v>
      </c>
      <c r="D289" s="6" t="s">
        <v>303</v>
      </c>
      <c r="E289" s="6" t="s">
        <v>976</v>
      </c>
      <c r="F289" s="80">
        <v>44256</v>
      </c>
      <c r="G289" s="6" t="s">
        <v>16</v>
      </c>
      <c r="H289" s="96">
        <v>44275</v>
      </c>
      <c r="I289" s="6">
        <v>1</v>
      </c>
      <c r="J289" s="8">
        <v>16000</v>
      </c>
      <c r="K289" s="8">
        <f t="shared" si="4"/>
        <v>183.23408153916631</v>
      </c>
      <c r="L289" s="96">
        <v>44263</v>
      </c>
      <c r="M289" s="6" t="s">
        <v>650</v>
      </c>
      <c r="N289" s="96">
        <v>44264</v>
      </c>
      <c r="O289" s="20" t="s">
        <v>5355</v>
      </c>
      <c r="Q289" s="6" t="s">
        <v>356</v>
      </c>
      <c r="R289" s="6" t="str">
        <f t="shared" ca="1" si="5"/>
        <v>NonCategory</v>
      </c>
    </row>
    <row r="290" spans="1:18">
      <c r="A290" s="162">
        <v>44257</v>
      </c>
      <c r="B290" s="165" t="s">
        <v>977</v>
      </c>
      <c r="C290" s="168" t="s">
        <v>978</v>
      </c>
      <c r="D290" s="2" t="s">
        <v>319</v>
      </c>
      <c r="E290" s="6" t="s">
        <v>25</v>
      </c>
      <c r="F290" s="80">
        <v>44256</v>
      </c>
      <c r="G290" s="6" t="s">
        <v>13</v>
      </c>
      <c r="H290" s="80">
        <v>44256</v>
      </c>
      <c r="I290" s="6">
        <v>1</v>
      </c>
      <c r="J290" s="6">
        <v>45000</v>
      </c>
      <c r="K290" s="8">
        <f t="shared" si="4"/>
        <v>515.34585432890515</v>
      </c>
      <c r="L290" s="96">
        <v>44259</v>
      </c>
      <c r="R290" s="6" t="str">
        <f t="shared" ca="1" si="5"/>
        <v>NonCategory</v>
      </c>
    </row>
    <row r="291" spans="1:18">
      <c r="A291" s="162">
        <v>44264</v>
      </c>
      <c r="B291" s="164" t="s">
        <v>979</v>
      </c>
      <c r="C291" s="168" t="s">
        <v>980</v>
      </c>
      <c r="D291" s="6" t="s">
        <v>291</v>
      </c>
      <c r="E291" s="6" t="s">
        <v>96</v>
      </c>
      <c r="F291" s="80">
        <v>44256</v>
      </c>
      <c r="G291" s="6" t="s">
        <v>16</v>
      </c>
      <c r="H291" s="6" t="s">
        <v>909</v>
      </c>
      <c r="I291" s="6">
        <v>1</v>
      </c>
      <c r="J291" s="8">
        <v>20000</v>
      </c>
      <c r="K291" s="8">
        <f t="shared" si="4"/>
        <v>229.04260192395787</v>
      </c>
      <c r="L291" s="96">
        <v>44264</v>
      </c>
      <c r="M291" s="6" t="s">
        <v>650</v>
      </c>
      <c r="N291" s="96">
        <v>44264</v>
      </c>
      <c r="O291" s="20" t="s">
        <v>5356</v>
      </c>
      <c r="Q291" s="6" t="s">
        <v>280</v>
      </c>
      <c r="R291" s="6" t="str">
        <f t="shared" ca="1" si="5"/>
        <v>NonCategory</v>
      </c>
    </row>
    <row r="292" spans="1:18">
      <c r="A292" s="162">
        <v>44257</v>
      </c>
      <c r="B292" s="165" t="s">
        <v>981</v>
      </c>
      <c r="C292" s="168" t="s">
        <v>982</v>
      </c>
      <c r="D292" s="2" t="s">
        <v>319</v>
      </c>
      <c r="E292" s="6" t="s">
        <v>25</v>
      </c>
      <c r="F292" s="80">
        <v>44256</v>
      </c>
      <c r="G292" s="6" t="s">
        <v>16</v>
      </c>
      <c r="H292" s="6" t="s">
        <v>909</v>
      </c>
      <c r="I292" s="6">
        <v>1</v>
      </c>
      <c r="J292" s="8">
        <v>45000</v>
      </c>
      <c r="K292" s="8">
        <f t="shared" si="4"/>
        <v>515.34585432890515</v>
      </c>
      <c r="L292" s="96">
        <v>44264</v>
      </c>
      <c r="M292" s="6" t="s">
        <v>650</v>
      </c>
      <c r="N292" s="96">
        <v>44264</v>
      </c>
      <c r="O292" s="20" t="s">
        <v>5357</v>
      </c>
      <c r="Q292" s="6" t="s">
        <v>280</v>
      </c>
      <c r="R292" s="6" t="str">
        <f t="shared" ca="1" si="5"/>
        <v>NonCategory</v>
      </c>
    </row>
    <row r="293" spans="1:18">
      <c r="A293" s="162">
        <v>44260</v>
      </c>
      <c r="B293" s="164" t="s">
        <v>983</v>
      </c>
      <c r="C293" s="168" t="s">
        <v>984</v>
      </c>
      <c r="D293" s="6" t="s">
        <v>291</v>
      </c>
      <c r="E293" s="6" t="s">
        <v>96</v>
      </c>
      <c r="F293" s="80">
        <v>44256</v>
      </c>
      <c r="G293" s="6" t="s">
        <v>16</v>
      </c>
      <c r="H293" s="6" t="s">
        <v>933</v>
      </c>
      <c r="I293" s="6">
        <v>1</v>
      </c>
      <c r="J293" s="8">
        <v>20000</v>
      </c>
      <c r="K293" s="8">
        <f t="shared" si="4"/>
        <v>229.04260192395787</v>
      </c>
      <c r="L293" s="96">
        <v>44263</v>
      </c>
      <c r="M293" s="6" t="s">
        <v>650</v>
      </c>
      <c r="N293" s="96">
        <v>44265</v>
      </c>
      <c r="O293" s="108" t="s">
        <v>5358</v>
      </c>
      <c r="Q293" s="6" t="s">
        <v>280</v>
      </c>
      <c r="R293" s="6" t="str">
        <f t="shared" ca="1" si="5"/>
        <v>NonCategory</v>
      </c>
    </row>
    <row r="294" spans="1:18">
      <c r="A294" s="162">
        <v>44258</v>
      </c>
      <c r="B294" s="165" t="s">
        <v>985</v>
      </c>
      <c r="C294" s="168" t="s">
        <v>986</v>
      </c>
      <c r="D294" s="2" t="s">
        <v>303</v>
      </c>
      <c r="E294" s="6" t="s">
        <v>96</v>
      </c>
      <c r="F294" s="80">
        <v>44256</v>
      </c>
      <c r="G294" s="6" t="s">
        <v>13</v>
      </c>
      <c r="H294" s="6" t="s">
        <v>933</v>
      </c>
      <c r="I294" s="6">
        <v>1</v>
      </c>
      <c r="J294" s="6">
        <v>19000</v>
      </c>
      <c r="K294" s="8">
        <f t="shared" si="4"/>
        <v>217.59047182775998</v>
      </c>
      <c r="L294" s="96">
        <v>44259</v>
      </c>
      <c r="R294" s="6" t="str">
        <f t="shared" ca="1" si="5"/>
        <v>NonCategory</v>
      </c>
    </row>
    <row r="295" spans="1:18">
      <c r="A295" s="162">
        <v>44258</v>
      </c>
      <c r="B295" s="164" t="s">
        <v>987</v>
      </c>
      <c r="C295" s="168" t="s">
        <v>988</v>
      </c>
      <c r="D295" s="6" t="s">
        <v>278</v>
      </c>
      <c r="E295" s="6" t="s">
        <v>150</v>
      </c>
      <c r="F295" s="80">
        <v>44256</v>
      </c>
      <c r="G295" s="6" t="s">
        <v>13</v>
      </c>
      <c r="H295" s="6" t="s">
        <v>933</v>
      </c>
      <c r="I295" s="6">
        <v>1</v>
      </c>
      <c r="J295" s="6">
        <v>21000</v>
      </c>
      <c r="K295" s="8">
        <f t="shared" si="4"/>
        <v>240.49473202015577</v>
      </c>
      <c r="L295" s="96">
        <v>44265</v>
      </c>
      <c r="R295" s="6" t="str">
        <f t="shared" ca="1" si="5"/>
        <v>NonCategory</v>
      </c>
    </row>
    <row r="296" spans="1:18">
      <c r="A296" s="162">
        <v>44259</v>
      </c>
      <c r="B296" s="164" t="s">
        <v>989</v>
      </c>
      <c r="C296" s="168" t="s">
        <v>990</v>
      </c>
      <c r="D296" s="6" t="s">
        <v>343</v>
      </c>
      <c r="E296" s="6" t="s">
        <v>96</v>
      </c>
      <c r="F296" s="80">
        <v>44256</v>
      </c>
      <c r="G296" s="6" t="s">
        <v>13</v>
      </c>
      <c r="H296" s="6" t="s">
        <v>909</v>
      </c>
      <c r="I296" s="6">
        <v>1</v>
      </c>
      <c r="J296" s="6">
        <v>21500</v>
      </c>
      <c r="K296" s="8">
        <f t="shared" si="4"/>
        <v>246.22079706825471</v>
      </c>
      <c r="L296" s="96">
        <v>44261</v>
      </c>
      <c r="R296" s="6" t="str">
        <f t="shared" ca="1" si="5"/>
        <v>NonCategory</v>
      </c>
    </row>
    <row r="297" spans="1:18">
      <c r="A297" s="162">
        <v>44258</v>
      </c>
      <c r="B297" s="164" t="s">
        <v>991</v>
      </c>
      <c r="C297" s="168" t="s">
        <v>992</v>
      </c>
      <c r="D297" s="6" t="s">
        <v>287</v>
      </c>
      <c r="E297" s="6" t="s">
        <v>25</v>
      </c>
      <c r="F297" s="80">
        <v>44256</v>
      </c>
      <c r="G297" s="6" t="s">
        <v>13</v>
      </c>
      <c r="H297" s="6" t="s">
        <v>892</v>
      </c>
      <c r="I297" s="6">
        <v>1</v>
      </c>
      <c r="J297" s="6">
        <v>45000</v>
      </c>
      <c r="K297" s="8">
        <f t="shared" si="4"/>
        <v>515.34585432890515</v>
      </c>
      <c r="L297" s="96">
        <v>44273</v>
      </c>
      <c r="R297" s="6" t="str">
        <f t="shared" ca="1" si="5"/>
        <v>NonCategory</v>
      </c>
    </row>
    <row r="298" spans="1:18">
      <c r="A298" s="162">
        <v>44264</v>
      </c>
      <c r="B298" s="164" t="s">
        <v>993</v>
      </c>
      <c r="C298" s="168" t="s">
        <v>994</v>
      </c>
      <c r="D298" s="6" t="s">
        <v>291</v>
      </c>
      <c r="E298" s="6" t="s">
        <v>995</v>
      </c>
      <c r="F298" s="80">
        <v>44256</v>
      </c>
      <c r="G298" s="6" t="s">
        <v>16</v>
      </c>
      <c r="H298" s="96">
        <v>44270</v>
      </c>
      <c r="I298" s="6">
        <v>1</v>
      </c>
      <c r="J298" s="8">
        <v>15000</v>
      </c>
      <c r="K298" s="8">
        <f t="shared" si="4"/>
        <v>171.78195144296839</v>
      </c>
      <c r="L298" s="96">
        <v>44265</v>
      </c>
      <c r="M298" s="6" t="s">
        <v>650</v>
      </c>
      <c r="N298" s="96">
        <v>44265</v>
      </c>
      <c r="O298" s="109" t="s">
        <v>5359</v>
      </c>
      <c r="Q298" s="6" t="s">
        <v>688</v>
      </c>
      <c r="R298" s="6" t="str">
        <f t="shared" ca="1" si="5"/>
        <v>NonCategory</v>
      </c>
    </row>
    <row r="299" spans="1:18">
      <c r="A299" s="162">
        <v>44256</v>
      </c>
      <c r="B299" s="164" t="s">
        <v>996</v>
      </c>
      <c r="C299" s="168" t="s">
        <v>997</v>
      </c>
      <c r="D299" s="6" t="s">
        <v>904</v>
      </c>
      <c r="E299" s="6" t="s">
        <v>998</v>
      </c>
      <c r="F299" s="80">
        <v>44256</v>
      </c>
      <c r="G299" s="6" t="s">
        <v>16</v>
      </c>
      <c r="H299" s="80">
        <v>44256</v>
      </c>
      <c r="I299" s="6">
        <v>1</v>
      </c>
      <c r="J299" s="8">
        <v>15000</v>
      </c>
      <c r="K299" s="8">
        <f t="shared" si="4"/>
        <v>171.78195144296839</v>
      </c>
      <c r="L299" s="96">
        <v>44257</v>
      </c>
      <c r="M299" s="6" t="s">
        <v>650</v>
      </c>
      <c r="N299" s="96">
        <v>44266</v>
      </c>
      <c r="O299" s="6" t="s">
        <v>5360</v>
      </c>
      <c r="Q299" s="6" t="s">
        <v>356</v>
      </c>
      <c r="R299" s="6" t="str">
        <f t="shared" ca="1" si="5"/>
        <v>NonCategory</v>
      </c>
    </row>
    <row r="300" spans="1:18">
      <c r="A300" s="162">
        <v>44257</v>
      </c>
      <c r="B300" s="165" t="s">
        <v>999</v>
      </c>
      <c r="C300" s="168" t="s">
        <v>1000</v>
      </c>
      <c r="D300" s="2" t="s">
        <v>306</v>
      </c>
      <c r="E300" s="2" t="s">
        <v>151</v>
      </c>
      <c r="F300" s="80">
        <v>44256</v>
      </c>
      <c r="G300" s="6" t="s">
        <v>13</v>
      </c>
      <c r="H300" s="6" t="s">
        <v>933</v>
      </c>
      <c r="I300" s="6">
        <v>1</v>
      </c>
      <c r="J300" s="6">
        <v>20000</v>
      </c>
      <c r="K300" s="8">
        <f t="shared" si="4"/>
        <v>229.04260192395787</v>
      </c>
      <c r="L300" s="96">
        <v>44263</v>
      </c>
      <c r="R300" s="6" t="str">
        <f t="shared" ca="1" si="5"/>
        <v>NonCategory</v>
      </c>
    </row>
    <row r="301" spans="1:18">
      <c r="A301" s="162">
        <v>44263</v>
      </c>
      <c r="B301" s="164" t="s">
        <v>1001</v>
      </c>
      <c r="C301" s="168" t="s">
        <v>1002</v>
      </c>
      <c r="D301" s="6" t="s">
        <v>278</v>
      </c>
      <c r="E301" s="6" t="s">
        <v>151</v>
      </c>
      <c r="F301" s="80">
        <v>44256</v>
      </c>
      <c r="G301" s="6" t="s">
        <v>13</v>
      </c>
      <c r="H301" s="6" t="s">
        <v>933</v>
      </c>
      <c r="I301" s="6">
        <v>1</v>
      </c>
      <c r="J301" s="6">
        <v>20000</v>
      </c>
      <c r="K301" s="8">
        <f t="shared" si="4"/>
        <v>229.04260192395787</v>
      </c>
      <c r="L301" s="96">
        <v>44263</v>
      </c>
      <c r="P301" s="6" t="s">
        <v>1003</v>
      </c>
      <c r="R301" s="6" t="str">
        <f t="shared" ca="1" si="5"/>
        <v>NonCategory</v>
      </c>
    </row>
    <row r="302" spans="1:18">
      <c r="A302" s="162">
        <v>44266</v>
      </c>
      <c r="B302" s="164" t="s">
        <v>1004</v>
      </c>
      <c r="C302" s="168" t="s">
        <v>1005</v>
      </c>
      <c r="D302" s="6" t="s">
        <v>278</v>
      </c>
      <c r="E302" s="6" t="s">
        <v>150</v>
      </c>
      <c r="F302" s="80">
        <v>44256</v>
      </c>
      <c r="G302" s="6" t="s">
        <v>16</v>
      </c>
      <c r="H302" s="6" t="s">
        <v>909</v>
      </c>
      <c r="I302" s="6">
        <v>1</v>
      </c>
      <c r="J302" s="8">
        <v>21000</v>
      </c>
      <c r="K302" s="8">
        <f t="shared" si="4"/>
        <v>240.49473202015577</v>
      </c>
      <c r="L302" s="96">
        <v>44266</v>
      </c>
      <c r="M302" s="6" t="s">
        <v>650</v>
      </c>
      <c r="N302" s="96">
        <v>44266</v>
      </c>
      <c r="O302" s="20" t="s">
        <v>5361</v>
      </c>
      <c r="P302" s="6" t="s">
        <v>1006</v>
      </c>
      <c r="Q302" s="6" t="s">
        <v>280</v>
      </c>
      <c r="R302" s="6" t="str">
        <f t="shared" ca="1" si="5"/>
        <v>NonCategory</v>
      </c>
    </row>
    <row r="303" spans="1:18">
      <c r="A303" s="162">
        <v>44266</v>
      </c>
      <c r="B303" s="164" t="s">
        <v>1007</v>
      </c>
      <c r="C303" s="168" t="s">
        <v>1008</v>
      </c>
      <c r="D303" s="6" t="s">
        <v>435</v>
      </c>
      <c r="E303" s="6" t="s">
        <v>96</v>
      </c>
      <c r="F303" s="80">
        <v>44256</v>
      </c>
      <c r="G303" s="6" t="s">
        <v>16</v>
      </c>
      <c r="H303" s="6" t="s">
        <v>892</v>
      </c>
      <c r="I303" s="6">
        <v>1</v>
      </c>
      <c r="J303" s="8">
        <v>19000</v>
      </c>
      <c r="K303" s="8">
        <f t="shared" si="4"/>
        <v>217.59047182775998</v>
      </c>
      <c r="L303" s="96">
        <v>44266</v>
      </c>
      <c r="M303" s="6" t="s">
        <v>650</v>
      </c>
      <c r="N303" s="96">
        <v>44266</v>
      </c>
      <c r="O303" s="20" t="s">
        <v>5362</v>
      </c>
      <c r="Q303" s="6" t="s">
        <v>280</v>
      </c>
      <c r="R303" s="6" t="str">
        <f t="shared" ca="1" si="5"/>
        <v>NonCategory</v>
      </c>
    </row>
    <row r="304" spans="1:18">
      <c r="A304" s="162">
        <v>44264</v>
      </c>
      <c r="B304" s="165" t="s">
        <v>1009</v>
      </c>
      <c r="C304" s="168" t="s">
        <v>1010</v>
      </c>
      <c r="D304" s="2" t="s">
        <v>319</v>
      </c>
      <c r="E304" s="6" t="s">
        <v>25</v>
      </c>
      <c r="F304" s="80">
        <v>44256</v>
      </c>
      <c r="G304" s="6" t="s">
        <v>16</v>
      </c>
      <c r="H304" s="6" t="s">
        <v>909</v>
      </c>
      <c r="I304" s="6">
        <v>1</v>
      </c>
      <c r="J304" s="8">
        <v>44000</v>
      </c>
      <c r="K304" s="8">
        <f t="shared" si="4"/>
        <v>503.89372423270737</v>
      </c>
      <c r="L304" s="96">
        <v>44265</v>
      </c>
      <c r="M304" s="6" t="s">
        <v>650</v>
      </c>
      <c r="N304" s="96">
        <v>44267</v>
      </c>
      <c r="O304" s="108" t="s">
        <v>5363</v>
      </c>
      <c r="Q304" s="6" t="s">
        <v>280</v>
      </c>
      <c r="R304" s="6" t="str">
        <f t="shared" ca="1" si="5"/>
        <v>NonCategory</v>
      </c>
    </row>
    <row r="305" spans="1:18">
      <c r="A305" s="162">
        <v>44266</v>
      </c>
      <c r="B305" s="165" t="s">
        <v>1011</v>
      </c>
      <c r="C305" s="168" t="s">
        <v>1012</v>
      </c>
      <c r="D305" s="2" t="s">
        <v>941</v>
      </c>
      <c r="E305" s="6" t="s">
        <v>150</v>
      </c>
      <c r="F305" s="80">
        <v>44256</v>
      </c>
      <c r="G305" s="6" t="s">
        <v>16</v>
      </c>
      <c r="H305" s="6" t="s">
        <v>933</v>
      </c>
      <c r="I305" s="6">
        <v>1</v>
      </c>
      <c r="J305" s="8">
        <v>21000</v>
      </c>
      <c r="K305" s="8">
        <f t="shared" si="4"/>
        <v>240.49473202015577</v>
      </c>
      <c r="L305" s="96">
        <v>44266</v>
      </c>
      <c r="M305" s="6" t="s">
        <v>650</v>
      </c>
      <c r="N305" s="96">
        <v>44267</v>
      </c>
      <c r="O305" s="20" t="s">
        <v>5364</v>
      </c>
      <c r="Q305" s="6" t="s">
        <v>280</v>
      </c>
      <c r="R305" s="6" t="str">
        <f t="shared" ca="1" si="5"/>
        <v>NonCategory</v>
      </c>
    </row>
    <row r="306" spans="1:18">
      <c r="A306" s="162">
        <v>44249</v>
      </c>
      <c r="B306" s="164" t="s">
        <v>1013</v>
      </c>
      <c r="C306" s="168" t="s">
        <v>1014</v>
      </c>
      <c r="D306" s="6" t="s">
        <v>278</v>
      </c>
      <c r="E306" s="6" t="s">
        <v>96</v>
      </c>
      <c r="F306" s="80">
        <v>44256</v>
      </c>
      <c r="G306" s="6" t="s">
        <v>16</v>
      </c>
      <c r="H306" s="6" t="s">
        <v>1015</v>
      </c>
      <c r="I306" s="6">
        <v>1</v>
      </c>
      <c r="J306" s="8">
        <v>20000</v>
      </c>
      <c r="K306" s="8">
        <f t="shared" si="4"/>
        <v>229.04260192395787</v>
      </c>
      <c r="L306" s="97">
        <v>44252</v>
      </c>
      <c r="M306" s="6" t="s">
        <v>650</v>
      </c>
      <c r="N306" s="96">
        <v>44268</v>
      </c>
      <c r="O306" s="20" t="s">
        <v>5365</v>
      </c>
      <c r="P306" s="6" t="s">
        <v>1016</v>
      </c>
      <c r="Q306" s="6" t="s">
        <v>356</v>
      </c>
      <c r="R306" s="6" t="str">
        <f t="shared" ca="1" si="5"/>
        <v>NonCategory</v>
      </c>
    </row>
    <row r="307" spans="1:18">
      <c r="A307" s="162">
        <v>44268</v>
      </c>
      <c r="B307" s="164" t="s">
        <v>1017</v>
      </c>
      <c r="C307" s="168" t="s">
        <v>1018</v>
      </c>
      <c r="D307" s="6" t="s">
        <v>278</v>
      </c>
      <c r="E307" s="6" t="s">
        <v>96</v>
      </c>
      <c r="F307" s="80">
        <v>44256</v>
      </c>
      <c r="G307" s="6" t="s">
        <v>16</v>
      </c>
      <c r="H307" s="6" t="s">
        <v>933</v>
      </c>
      <c r="I307" s="6">
        <v>1</v>
      </c>
      <c r="J307" s="8">
        <v>20000</v>
      </c>
      <c r="K307" s="8">
        <f t="shared" si="4"/>
        <v>229.04260192395787</v>
      </c>
      <c r="L307" s="96">
        <v>44268</v>
      </c>
      <c r="M307" s="6" t="s">
        <v>650</v>
      </c>
      <c r="N307" s="96">
        <v>44268</v>
      </c>
      <c r="O307" s="20" t="s">
        <v>5366</v>
      </c>
      <c r="P307" s="6" t="s">
        <v>1019</v>
      </c>
      <c r="Q307" s="6" t="s">
        <v>1020</v>
      </c>
      <c r="R307" s="6" t="str">
        <f t="shared" ca="1" si="5"/>
        <v>NonCategory</v>
      </c>
    </row>
    <row r="308" spans="1:18">
      <c r="A308" s="162">
        <v>44268</v>
      </c>
      <c r="B308" s="164" t="s">
        <v>1021</v>
      </c>
      <c r="C308" s="168" t="s">
        <v>1022</v>
      </c>
      <c r="D308" s="6" t="s">
        <v>291</v>
      </c>
      <c r="E308" s="6" t="s">
        <v>1023</v>
      </c>
      <c r="F308" s="80">
        <v>44256</v>
      </c>
      <c r="G308" s="6" t="s">
        <v>16</v>
      </c>
      <c r="H308" s="80">
        <v>44256</v>
      </c>
      <c r="I308" s="6">
        <v>1</v>
      </c>
      <c r="J308" s="8">
        <v>26549</v>
      </c>
      <c r="K308" s="8">
        <f t="shared" si="4"/>
        <v>304.04260192395787</v>
      </c>
      <c r="L308" s="96">
        <v>44268</v>
      </c>
      <c r="M308" s="6" t="s">
        <v>650</v>
      </c>
      <c r="N308" s="96">
        <v>44268</v>
      </c>
      <c r="O308" s="103" t="s">
        <v>5367</v>
      </c>
      <c r="R308" s="6" t="str">
        <f t="shared" ca="1" si="5"/>
        <v>NonCategory</v>
      </c>
    </row>
    <row r="309" spans="1:18">
      <c r="A309" s="162">
        <v>44267</v>
      </c>
      <c r="B309" s="165" t="s">
        <v>1024</v>
      </c>
      <c r="C309" s="168" t="s">
        <v>1025</v>
      </c>
      <c r="D309" s="2" t="s">
        <v>287</v>
      </c>
      <c r="E309" s="2" t="s">
        <v>151</v>
      </c>
      <c r="F309" s="80">
        <v>44256</v>
      </c>
      <c r="G309" s="6" t="s">
        <v>16</v>
      </c>
      <c r="H309" s="6" t="s">
        <v>933</v>
      </c>
      <c r="I309" s="6">
        <v>1</v>
      </c>
      <c r="J309" s="8">
        <v>21000</v>
      </c>
      <c r="K309" s="8">
        <f t="shared" si="4"/>
        <v>240.49473202015577</v>
      </c>
      <c r="L309" s="96">
        <v>44268</v>
      </c>
      <c r="M309" s="6" t="s">
        <v>650</v>
      </c>
      <c r="N309" s="96">
        <v>44269</v>
      </c>
      <c r="O309" s="20" t="s">
        <v>5368</v>
      </c>
      <c r="R309" s="6" t="str">
        <f t="shared" ca="1" si="5"/>
        <v>NonCategory</v>
      </c>
    </row>
    <row r="310" spans="1:18">
      <c r="A310" s="162">
        <v>44266</v>
      </c>
      <c r="B310" s="165" t="s">
        <v>1026</v>
      </c>
      <c r="C310" s="168" t="s">
        <v>1027</v>
      </c>
      <c r="D310" s="2" t="s">
        <v>319</v>
      </c>
      <c r="E310" s="6" t="s">
        <v>25</v>
      </c>
      <c r="F310" s="80">
        <v>44256</v>
      </c>
      <c r="G310" s="6" t="s">
        <v>13</v>
      </c>
      <c r="H310" s="6" t="s">
        <v>1015</v>
      </c>
      <c r="I310" s="6">
        <v>1</v>
      </c>
      <c r="J310" s="6">
        <v>53100</v>
      </c>
      <c r="K310" s="8">
        <f t="shared" si="4"/>
        <v>608.10810810810813</v>
      </c>
      <c r="L310" s="96">
        <v>44286</v>
      </c>
      <c r="R310" s="6" t="str">
        <f t="shared" ca="1" si="5"/>
        <v>NonCategory</v>
      </c>
    </row>
    <row r="311" spans="1:18">
      <c r="A311" s="162">
        <v>44193</v>
      </c>
      <c r="B311" s="164" t="s">
        <v>1028</v>
      </c>
      <c r="C311" s="168" t="s">
        <v>1029</v>
      </c>
      <c r="D311" s="6" t="s">
        <v>343</v>
      </c>
      <c r="E311" s="6" t="s">
        <v>96</v>
      </c>
      <c r="F311" s="80">
        <v>44256</v>
      </c>
      <c r="G311" s="6" t="s">
        <v>16</v>
      </c>
      <c r="H311" s="6" t="s">
        <v>933</v>
      </c>
      <c r="I311" s="6">
        <v>1</v>
      </c>
      <c r="J311" s="8">
        <v>19000</v>
      </c>
      <c r="K311" s="8">
        <f t="shared" si="4"/>
        <v>217.59047182775998</v>
      </c>
      <c r="L311" s="97">
        <v>44204</v>
      </c>
      <c r="M311" s="6" t="s">
        <v>700</v>
      </c>
      <c r="N311" s="96">
        <v>44270</v>
      </c>
      <c r="O311" s="20" t="s">
        <v>5369</v>
      </c>
      <c r="Q311" s="6" t="s">
        <v>280</v>
      </c>
      <c r="R311" s="6" t="str">
        <f t="shared" ca="1" si="5"/>
        <v>NonCategory</v>
      </c>
    </row>
    <row r="312" spans="1:18">
      <c r="A312" s="162">
        <v>44247</v>
      </c>
      <c r="B312" s="164" t="s">
        <v>1030</v>
      </c>
      <c r="C312" s="168" t="s">
        <v>1031</v>
      </c>
      <c r="D312" s="6" t="s">
        <v>287</v>
      </c>
      <c r="E312" s="6" t="s">
        <v>150</v>
      </c>
      <c r="F312" s="80">
        <v>44256</v>
      </c>
      <c r="G312" s="6" t="s">
        <v>16</v>
      </c>
      <c r="H312" s="6" t="s">
        <v>933</v>
      </c>
      <c r="I312" s="6">
        <v>1</v>
      </c>
      <c r="J312" s="8">
        <v>21000</v>
      </c>
      <c r="K312" s="8">
        <f t="shared" si="4"/>
        <v>240.49473202015577</v>
      </c>
      <c r="L312" s="97">
        <v>44247</v>
      </c>
      <c r="M312" s="6" t="s">
        <v>700</v>
      </c>
      <c r="N312" s="96">
        <v>44270</v>
      </c>
      <c r="O312" s="108" t="s">
        <v>5370</v>
      </c>
      <c r="Q312" s="6" t="s">
        <v>280</v>
      </c>
      <c r="R312" s="6" t="str">
        <f t="shared" ca="1" si="5"/>
        <v>NonCategory</v>
      </c>
    </row>
    <row r="313" spans="1:18">
      <c r="A313" s="162">
        <v>44270</v>
      </c>
      <c r="B313" s="164" t="s">
        <v>1032</v>
      </c>
      <c r="C313" s="168" t="s">
        <v>1033</v>
      </c>
      <c r="D313" s="6" t="s">
        <v>278</v>
      </c>
      <c r="E313" s="6" t="s">
        <v>151</v>
      </c>
      <c r="F313" s="80">
        <v>44256</v>
      </c>
      <c r="G313" s="6" t="s">
        <v>16</v>
      </c>
      <c r="H313" s="6" t="s">
        <v>933</v>
      </c>
      <c r="I313" s="6">
        <v>1</v>
      </c>
      <c r="J313" s="8">
        <v>21000</v>
      </c>
      <c r="K313" s="8">
        <f t="shared" si="4"/>
        <v>240.49473202015577</v>
      </c>
      <c r="L313" s="96">
        <v>44270</v>
      </c>
      <c r="M313" s="6" t="s">
        <v>700</v>
      </c>
      <c r="N313" s="96">
        <v>44270</v>
      </c>
      <c r="O313" s="6" t="s">
        <v>5371</v>
      </c>
      <c r="P313" s="6" t="s">
        <v>1034</v>
      </c>
      <c r="Q313" s="6" t="s">
        <v>280</v>
      </c>
      <c r="R313" s="6" t="str">
        <f t="shared" ca="1" si="5"/>
        <v>NonCategory</v>
      </c>
    </row>
    <row r="314" spans="1:18">
      <c r="A314" s="162">
        <v>44270</v>
      </c>
      <c r="B314" s="164" t="s">
        <v>1035</v>
      </c>
      <c r="C314" s="168" t="s">
        <v>1036</v>
      </c>
      <c r="D314" s="6" t="s">
        <v>297</v>
      </c>
      <c r="E314" s="6" t="s">
        <v>151</v>
      </c>
      <c r="F314" s="80">
        <v>44256</v>
      </c>
      <c r="G314" s="6" t="s">
        <v>16</v>
      </c>
      <c r="H314" s="6" t="s">
        <v>933</v>
      </c>
      <c r="I314" s="6">
        <v>1</v>
      </c>
      <c r="J314" s="8">
        <v>21000</v>
      </c>
      <c r="K314" s="8">
        <f t="shared" si="4"/>
        <v>240.49473202015577</v>
      </c>
      <c r="L314" s="96">
        <v>44270</v>
      </c>
      <c r="M314" s="6" t="s">
        <v>700</v>
      </c>
      <c r="N314" s="96">
        <v>44270</v>
      </c>
      <c r="O314" s="20" t="s">
        <v>5372</v>
      </c>
      <c r="Q314" s="6" t="s">
        <v>280</v>
      </c>
      <c r="R314" s="6" t="str">
        <f t="shared" ca="1" si="5"/>
        <v>NonCategory</v>
      </c>
    </row>
    <row r="315" spans="1:18">
      <c r="A315" s="162">
        <v>44269</v>
      </c>
      <c r="B315" s="164" t="s">
        <v>1037</v>
      </c>
      <c r="C315" s="168" t="s">
        <v>1038</v>
      </c>
      <c r="D315" s="6" t="s">
        <v>278</v>
      </c>
      <c r="E315" s="6" t="s">
        <v>96</v>
      </c>
      <c r="F315" s="80">
        <v>44256</v>
      </c>
      <c r="G315" s="6" t="s">
        <v>16</v>
      </c>
      <c r="H315" s="6" t="s">
        <v>892</v>
      </c>
      <c r="I315" s="6">
        <v>1</v>
      </c>
      <c r="J315" s="8">
        <v>19000</v>
      </c>
      <c r="K315" s="8">
        <f t="shared" si="4"/>
        <v>217.59047182775998</v>
      </c>
      <c r="L315" s="96">
        <v>44270</v>
      </c>
      <c r="M315" s="6" t="s">
        <v>700</v>
      </c>
      <c r="N315" s="96">
        <v>44271</v>
      </c>
      <c r="O315" s="20" t="s">
        <v>5373</v>
      </c>
      <c r="P315" s="6" t="s">
        <v>1039</v>
      </c>
      <c r="Q315" s="6" t="s">
        <v>280</v>
      </c>
      <c r="R315" s="6" t="str">
        <f t="shared" ca="1" si="5"/>
        <v>NonCategory</v>
      </c>
    </row>
    <row r="316" spans="1:18">
      <c r="A316" s="162">
        <v>44270</v>
      </c>
      <c r="B316" s="164" t="s">
        <v>1040</v>
      </c>
      <c r="C316" s="168" t="s">
        <v>1041</v>
      </c>
      <c r="D316" s="6" t="s">
        <v>278</v>
      </c>
      <c r="E316" s="6" t="s">
        <v>25</v>
      </c>
      <c r="F316" s="80">
        <v>44256</v>
      </c>
      <c r="G316" s="6" t="s">
        <v>16</v>
      </c>
      <c r="H316" s="6" t="s">
        <v>892</v>
      </c>
      <c r="I316" s="6">
        <v>1</v>
      </c>
      <c r="J316" s="8">
        <v>43000</v>
      </c>
      <c r="K316" s="8">
        <f t="shared" si="4"/>
        <v>492.44159413650942</v>
      </c>
      <c r="L316" s="96">
        <v>44271</v>
      </c>
      <c r="M316" s="6" t="s">
        <v>700</v>
      </c>
      <c r="N316" s="96">
        <v>44271</v>
      </c>
      <c r="O316" s="20" t="s">
        <v>5374</v>
      </c>
      <c r="P316" s="6" t="s">
        <v>1042</v>
      </c>
      <c r="Q316" s="6" t="s">
        <v>280</v>
      </c>
      <c r="R316" s="6" t="str">
        <f t="shared" ca="1" si="5"/>
        <v>NonCategory</v>
      </c>
    </row>
    <row r="317" spans="1:18">
      <c r="A317" s="162">
        <v>44272</v>
      </c>
      <c r="B317" s="164" t="s">
        <v>1043</v>
      </c>
      <c r="C317" s="168" t="s">
        <v>1044</v>
      </c>
      <c r="D317" s="6" t="s">
        <v>319</v>
      </c>
      <c r="E317" s="6" t="s">
        <v>96</v>
      </c>
      <c r="F317" s="80">
        <v>44256</v>
      </c>
      <c r="G317" s="6" t="s">
        <v>16</v>
      </c>
      <c r="H317" s="6" t="s">
        <v>933</v>
      </c>
      <c r="I317" s="6">
        <v>1</v>
      </c>
      <c r="J317" s="8">
        <v>20000</v>
      </c>
      <c r="K317" s="8">
        <f t="shared" si="4"/>
        <v>229.04260192395787</v>
      </c>
      <c r="L317" s="96">
        <v>44272</v>
      </c>
      <c r="M317" s="6" t="s">
        <v>700</v>
      </c>
      <c r="N317" s="96">
        <v>44272</v>
      </c>
      <c r="O317" s="20" t="s">
        <v>5375</v>
      </c>
      <c r="Q317" s="6" t="s">
        <v>280</v>
      </c>
      <c r="R317" s="6" t="str">
        <f t="shared" ca="1" si="5"/>
        <v>NonCategory</v>
      </c>
    </row>
    <row r="318" spans="1:18">
      <c r="A318" s="162">
        <v>44273</v>
      </c>
      <c r="B318" s="165" t="s">
        <v>1045</v>
      </c>
      <c r="C318" s="168" t="s">
        <v>1046</v>
      </c>
      <c r="D318" s="2" t="s">
        <v>303</v>
      </c>
      <c r="E318" s="2" t="s">
        <v>25</v>
      </c>
      <c r="F318" s="80">
        <v>44256</v>
      </c>
      <c r="G318" s="6" t="s">
        <v>16</v>
      </c>
      <c r="H318" s="6" t="s">
        <v>892</v>
      </c>
      <c r="I318" s="6">
        <v>1</v>
      </c>
      <c r="J318" s="8">
        <v>44500</v>
      </c>
      <c r="K318" s="8">
        <f t="shared" si="4"/>
        <v>509.61978928080623</v>
      </c>
      <c r="L318" s="96">
        <v>44273</v>
      </c>
      <c r="M318" s="6" t="s">
        <v>700</v>
      </c>
      <c r="N318" s="96">
        <v>44273</v>
      </c>
      <c r="O318" s="20" t="s">
        <v>5376</v>
      </c>
      <c r="R318" s="6" t="str">
        <f t="shared" ca="1" si="5"/>
        <v>NonCategory</v>
      </c>
    </row>
    <row r="319" spans="1:18">
      <c r="A319" s="162">
        <v>44278</v>
      </c>
      <c r="B319" s="164" t="s">
        <v>1047</v>
      </c>
      <c r="C319" s="168" t="s">
        <v>1048</v>
      </c>
      <c r="D319" s="6" t="s">
        <v>306</v>
      </c>
      <c r="E319" s="6" t="s">
        <v>151</v>
      </c>
      <c r="F319" s="80">
        <v>44256</v>
      </c>
      <c r="G319" s="6" t="s">
        <v>16</v>
      </c>
      <c r="H319" s="6" t="s">
        <v>1049</v>
      </c>
      <c r="I319" s="6">
        <v>1</v>
      </c>
      <c r="J319" s="8">
        <v>21000</v>
      </c>
      <c r="K319" s="8">
        <f t="shared" si="4"/>
        <v>240.49473202015577</v>
      </c>
      <c r="L319" s="96">
        <v>44278</v>
      </c>
      <c r="M319" s="6" t="s">
        <v>731</v>
      </c>
      <c r="N319" s="96">
        <v>44278</v>
      </c>
      <c r="O319" s="20" t="s">
        <v>5377</v>
      </c>
      <c r="Q319" s="6" t="s">
        <v>280</v>
      </c>
      <c r="R319" s="6" t="str">
        <f t="shared" ca="1" si="5"/>
        <v>NonCategory</v>
      </c>
    </row>
    <row r="320" spans="1:18">
      <c r="A320" s="162">
        <v>44278</v>
      </c>
      <c r="B320" s="164" t="s">
        <v>1050</v>
      </c>
      <c r="C320" s="168" t="s">
        <v>1051</v>
      </c>
      <c r="D320" s="6" t="s">
        <v>278</v>
      </c>
      <c r="E320" s="2" t="s">
        <v>25</v>
      </c>
      <c r="F320" s="80">
        <v>44256</v>
      </c>
      <c r="G320" s="6" t="s">
        <v>16</v>
      </c>
      <c r="H320" s="6" t="s">
        <v>892</v>
      </c>
      <c r="I320" s="6">
        <v>1</v>
      </c>
      <c r="J320" s="8">
        <v>43000</v>
      </c>
      <c r="K320" s="8">
        <f t="shared" si="4"/>
        <v>492.44159413650942</v>
      </c>
      <c r="L320" s="96">
        <v>44278</v>
      </c>
      <c r="M320" s="6" t="s">
        <v>731</v>
      </c>
      <c r="N320" s="96">
        <v>44278</v>
      </c>
      <c r="O320" s="20" t="s">
        <v>5378</v>
      </c>
      <c r="P320" s="6" t="s">
        <v>1042</v>
      </c>
      <c r="Q320" s="6" t="s">
        <v>280</v>
      </c>
      <c r="R320" s="6" t="str">
        <f t="shared" ca="1" si="5"/>
        <v>NonCategory</v>
      </c>
    </row>
    <row r="321" spans="1:18">
      <c r="A321" s="162">
        <v>44272</v>
      </c>
      <c r="B321" s="165" t="s">
        <v>1052</v>
      </c>
      <c r="C321" s="168" t="s">
        <v>1053</v>
      </c>
      <c r="D321" s="2" t="s">
        <v>319</v>
      </c>
      <c r="E321" s="6" t="s">
        <v>151</v>
      </c>
      <c r="F321" s="80">
        <v>44256</v>
      </c>
      <c r="G321" s="6" t="s">
        <v>13</v>
      </c>
      <c r="H321" s="6" t="s">
        <v>1054</v>
      </c>
      <c r="I321" s="6">
        <v>1</v>
      </c>
      <c r="J321" s="6">
        <v>21000</v>
      </c>
      <c r="K321" s="8">
        <f t="shared" si="4"/>
        <v>240.49473202015577</v>
      </c>
      <c r="L321" s="96">
        <v>44282</v>
      </c>
      <c r="R321" s="6" t="str">
        <f t="shared" ca="1" si="5"/>
        <v>NonCategory</v>
      </c>
    </row>
    <row r="322" spans="1:18">
      <c r="A322" s="162">
        <v>44278</v>
      </c>
      <c r="B322" s="164" t="s">
        <v>1055</v>
      </c>
      <c r="C322" s="168" t="s">
        <v>1056</v>
      </c>
      <c r="D322" s="6" t="s">
        <v>278</v>
      </c>
      <c r="E322" s="6" t="s">
        <v>151</v>
      </c>
      <c r="F322" s="80">
        <v>44256</v>
      </c>
      <c r="G322" s="6" t="s">
        <v>16</v>
      </c>
      <c r="H322" s="6" t="s">
        <v>1049</v>
      </c>
      <c r="I322" s="6">
        <v>1</v>
      </c>
      <c r="J322" s="8">
        <v>21000</v>
      </c>
      <c r="K322" s="8">
        <f t="shared" si="4"/>
        <v>240.49473202015577</v>
      </c>
      <c r="L322" s="96">
        <v>44278</v>
      </c>
      <c r="M322" s="6" t="s">
        <v>731</v>
      </c>
      <c r="N322" s="96">
        <v>44278</v>
      </c>
      <c r="O322" s="20" t="s">
        <v>5379</v>
      </c>
      <c r="P322" s="6" t="s">
        <v>1057</v>
      </c>
      <c r="Q322" s="6" t="s">
        <v>280</v>
      </c>
      <c r="R322" s="6" t="str">
        <f t="shared" ca="1" si="5"/>
        <v>NonCategory</v>
      </c>
    </row>
    <row r="323" spans="1:18">
      <c r="A323" s="162">
        <v>44277</v>
      </c>
      <c r="B323" s="165" t="s">
        <v>1058</v>
      </c>
      <c r="C323" s="168" t="s">
        <v>1059</v>
      </c>
      <c r="D323" s="2" t="s">
        <v>319</v>
      </c>
      <c r="E323" s="6" t="s">
        <v>25</v>
      </c>
      <c r="F323" s="80">
        <v>44256</v>
      </c>
      <c r="G323" s="6" t="s">
        <v>13</v>
      </c>
      <c r="H323" s="6" t="s">
        <v>892</v>
      </c>
      <c r="I323" s="6">
        <v>1</v>
      </c>
      <c r="J323" s="6">
        <v>45000</v>
      </c>
      <c r="K323" s="8">
        <f t="shared" si="4"/>
        <v>515.34585432890515</v>
      </c>
      <c r="L323" s="96">
        <v>44278</v>
      </c>
      <c r="R323" s="6" t="str">
        <f t="shared" ca="1" si="5"/>
        <v>NonCategory</v>
      </c>
    </row>
    <row r="324" spans="1:18">
      <c r="A324" s="162">
        <v>44277</v>
      </c>
      <c r="B324" s="165" t="s">
        <v>1060</v>
      </c>
      <c r="C324" s="168" t="s">
        <v>1061</v>
      </c>
      <c r="D324" s="2" t="s">
        <v>319</v>
      </c>
      <c r="E324" s="6" t="s">
        <v>25</v>
      </c>
      <c r="F324" s="80">
        <v>44256</v>
      </c>
      <c r="G324" s="6" t="s">
        <v>13</v>
      </c>
      <c r="H324" s="6" t="s">
        <v>892</v>
      </c>
      <c r="I324" s="6">
        <v>1</v>
      </c>
      <c r="J324" s="6">
        <v>45000</v>
      </c>
      <c r="K324" s="8">
        <f t="shared" si="4"/>
        <v>515.34585432890515</v>
      </c>
      <c r="L324" s="96">
        <v>44280</v>
      </c>
      <c r="R324" s="6" t="str">
        <f t="shared" ca="1" si="5"/>
        <v>NonCategory</v>
      </c>
    </row>
    <row r="325" spans="1:18">
      <c r="A325" s="162">
        <v>44277</v>
      </c>
      <c r="B325" s="164" t="s">
        <v>1062</v>
      </c>
      <c r="C325" s="168" t="s">
        <v>1063</v>
      </c>
      <c r="D325" s="6" t="s">
        <v>274</v>
      </c>
      <c r="E325" s="6" t="s">
        <v>6</v>
      </c>
      <c r="F325" s="80">
        <v>44256</v>
      </c>
      <c r="G325" s="6" t="s">
        <v>13</v>
      </c>
      <c r="H325" s="80">
        <v>44287</v>
      </c>
      <c r="I325" s="6">
        <v>1</v>
      </c>
      <c r="J325" s="6">
        <v>50000</v>
      </c>
      <c r="K325" s="8">
        <f t="shared" si="4"/>
        <v>572.60650480989466</v>
      </c>
      <c r="L325" s="96">
        <v>44285</v>
      </c>
      <c r="R325" s="6" t="str">
        <f t="shared" ca="1" si="5"/>
        <v>NonCategory</v>
      </c>
    </row>
    <row r="326" spans="1:18">
      <c r="A326" s="162">
        <v>44279</v>
      </c>
      <c r="B326" s="164" t="s">
        <v>1064</v>
      </c>
      <c r="C326" s="168" t="s">
        <v>1065</v>
      </c>
      <c r="D326" s="6" t="s">
        <v>278</v>
      </c>
      <c r="E326" s="6" t="s">
        <v>25</v>
      </c>
      <c r="F326" s="80">
        <v>44256</v>
      </c>
      <c r="G326" s="6" t="s">
        <v>16</v>
      </c>
      <c r="H326" s="6" t="s">
        <v>892</v>
      </c>
      <c r="I326" s="6">
        <v>1</v>
      </c>
      <c r="J326" s="8">
        <v>43000</v>
      </c>
      <c r="K326" s="8">
        <f t="shared" si="4"/>
        <v>492.44159413650942</v>
      </c>
      <c r="L326" s="96">
        <v>44279</v>
      </c>
      <c r="M326" s="6" t="s">
        <v>731</v>
      </c>
      <c r="N326" s="96">
        <v>44280</v>
      </c>
      <c r="O326" s="108" t="s">
        <v>5380</v>
      </c>
      <c r="P326" s="6" t="s">
        <v>1042</v>
      </c>
      <c r="Q326" s="6" t="s">
        <v>356</v>
      </c>
      <c r="R326" s="6" t="str">
        <f t="shared" ca="1" si="5"/>
        <v>NonCategory</v>
      </c>
    </row>
    <row r="327" spans="1:18">
      <c r="A327" s="162">
        <v>44281</v>
      </c>
      <c r="B327" s="164" t="s">
        <v>1066</v>
      </c>
      <c r="C327" s="168" t="s">
        <v>1067</v>
      </c>
      <c r="D327" s="6" t="s">
        <v>571</v>
      </c>
      <c r="E327" s="6" t="s">
        <v>97</v>
      </c>
      <c r="F327" s="80">
        <v>44256</v>
      </c>
      <c r="G327" s="6" t="s">
        <v>16</v>
      </c>
      <c r="H327" s="6" t="s">
        <v>892</v>
      </c>
      <c r="I327" s="6">
        <v>1</v>
      </c>
      <c r="J327" s="8">
        <v>20000</v>
      </c>
      <c r="K327" s="8">
        <f t="shared" si="4"/>
        <v>229.04260192395787</v>
      </c>
      <c r="L327" s="96">
        <v>44281</v>
      </c>
      <c r="M327" s="6" t="s">
        <v>731</v>
      </c>
      <c r="N327" s="96">
        <v>44281</v>
      </c>
      <c r="O327" s="108" t="s">
        <v>5381</v>
      </c>
      <c r="Q327" s="6" t="s">
        <v>280</v>
      </c>
      <c r="R327" s="6" t="str">
        <f t="shared" ca="1" si="5"/>
        <v>NonCategory</v>
      </c>
    </row>
    <row r="328" spans="1:18">
      <c r="A328" s="162">
        <v>44281</v>
      </c>
      <c r="B328" s="164" t="s">
        <v>900</v>
      </c>
      <c r="C328" s="168" t="s">
        <v>901</v>
      </c>
      <c r="D328" s="6" t="s">
        <v>306</v>
      </c>
      <c r="E328" s="6" t="s">
        <v>1068</v>
      </c>
      <c r="F328" s="80">
        <v>44256</v>
      </c>
      <c r="G328" s="6" t="s">
        <v>16</v>
      </c>
      <c r="H328" s="6" t="s">
        <v>21</v>
      </c>
      <c r="I328" s="6">
        <v>1</v>
      </c>
      <c r="J328" s="8">
        <v>8000</v>
      </c>
      <c r="K328" s="8">
        <f t="shared" si="4"/>
        <v>91.617040769583156</v>
      </c>
      <c r="L328" s="96">
        <v>44281</v>
      </c>
      <c r="M328" s="6" t="s">
        <v>731</v>
      </c>
      <c r="N328" s="96">
        <v>44281</v>
      </c>
      <c r="O328" s="108" t="s">
        <v>5382</v>
      </c>
      <c r="R328" s="6" t="str">
        <f t="shared" ca="1" si="5"/>
        <v>NonCategory</v>
      </c>
    </row>
    <row r="329" spans="1:18">
      <c r="A329" s="162">
        <v>44284</v>
      </c>
      <c r="B329" s="164" t="s">
        <v>1069</v>
      </c>
      <c r="C329" s="168" t="s">
        <v>1070</v>
      </c>
      <c r="D329" s="6" t="s">
        <v>278</v>
      </c>
      <c r="E329" s="6" t="s">
        <v>97</v>
      </c>
      <c r="F329" s="80">
        <v>44256</v>
      </c>
      <c r="G329" s="6" t="s">
        <v>16</v>
      </c>
      <c r="H329" s="6" t="s">
        <v>275</v>
      </c>
      <c r="I329" s="6">
        <v>1</v>
      </c>
      <c r="J329" s="8">
        <v>20000</v>
      </c>
      <c r="K329" s="8">
        <f t="shared" si="4"/>
        <v>229.04260192395787</v>
      </c>
      <c r="L329" s="96">
        <v>44284</v>
      </c>
      <c r="M329" s="6" t="s">
        <v>1071</v>
      </c>
      <c r="N329" s="96">
        <v>44284</v>
      </c>
      <c r="O329" s="20" t="s">
        <v>5383</v>
      </c>
      <c r="P329" s="6" t="s">
        <v>732</v>
      </c>
      <c r="Q329" s="6" t="s">
        <v>356</v>
      </c>
      <c r="R329" s="6" t="str">
        <f t="shared" ca="1" si="5"/>
        <v>NonCategory</v>
      </c>
    </row>
    <row r="330" spans="1:18">
      <c r="A330" s="162">
        <v>44284</v>
      </c>
      <c r="B330" s="165" t="s">
        <v>1072</v>
      </c>
      <c r="C330" s="168" t="s">
        <v>1073</v>
      </c>
      <c r="D330" s="2" t="s">
        <v>303</v>
      </c>
      <c r="E330" s="2" t="s">
        <v>150</v>
      </c>
      <c r="F330" s="80">
        <v>44256</v>
      </c>
      <c r="G330" s="6" t="s">
        <v>16</v>
      </c>
      <c r="H330" s="6" t="s">
        <v>1074</v>
      </c>
      <c r="I330" s="6">
        <v>1</v>
      </c>
      <c r="J330" s="8">
        <v>21000</v>
      </c>
      <c r="K330" s="8">
        <f t="shared" si="4"/>
        <v>240.49473202015577</v>
      </c>
      <c r="L330" s="96">
        <v>44284</v>
      </c>
      <c r="M330" s="6" t="s">
        <v>1071</v>
      </c>
      <c r="N330" s="96">
        <v>44284</v>
      </c>
      <c r="O330" s="20" t="s">
        <v>5384</v>
      </c>
      <c r="Q330" s="6" t="s">
        <v>356</v>
      </c>
      <c r="R330" s="6" t="str">
        <f t="shared" ca="1" si="5"/>
        <v>NonCategory</v>
      </c>
    </row>
    <row r="331" spans="1:18">
      <c r="A331" s="162">
        <v>44282</v>
      </c>
      <c r="B331" s="164" t="s">
        <v>1075</v>
      </c>
      <c r="C331" s="168" t="s">
        <v>1076</v>
      </c>
      <c r="D331" s="6" t="s">
        <v>291</v>
      </c>
      <c r="E331" s="6" t="s">
        <v>25</v>
      </c>
      <c r="F331" s="80">
        <v>44256</v>
      </c>
      <c r="G331" s="6" t="s">
        <v>16</v>
      </c>
      <c r="H331" s="6" t="s">
        <v>1077</v>
      </c>
      <c r="I331" s="6">
        <v>1</v>
      </c>
      <c r="J331" s="8">
        <v>45000</v>
      </c>
      <c r="K331" s="8">
        <f t="shared" si="4"/>
        <v>515.34585432890515</v>
      </c>
      <c r="L331" s="96">
        <v>44284</v>
      </c>
      <c r="M331" s="6" t="s">
        <v>1071</v>
      </c>
      <c r="N331" s="96">
        <v>44284</v>
      </c>
      <c r="O331" s="20" t="s">
        <v>5385</v>
      </c>
      <c r="Q331" s="6" t="s">
        <v>356</v>
      </c>
      <c r="R331" s="6" t="str">
        <f t="shared" ca="1" si="5"/>
        <v>NonCategory</v>
      </c>
    </row>
    <row r="332" spans="1:18">
      <c r="A332" s="162">
        <v>44284</v>
      </c>
      <c r="B332" s="164" t="s">
        <v>1078</v>
      </c>
      <c r="C332" s="168" t="s">
        <v>1079</v>
      </c>
      <c r="D332" s="6" t="s">
        <v>303</v>
      </c>
      <c r="E332" s="2" t="s">
        <v>150</v>
      </c>
      <c r="F332" s="80">
        <v>44256</v>
      </c>
      <c r="G332" s="6" t="s">
        <v>16</v>
      </c>
      <c r="H332" s="6" t="s">
        <v>1074</v>
      </c>
      <c r="I332" s="6">
        <v>1</v>
      </c>
      <c r="J332" s="8">
        <v>20500</v>
      </c>
      <c r="K332" s="8">
        <f t="shared" si="4"/>
        <v>234.76866697205682</v>
      </c>
      <c r="L332" s="96">
        <v>44284</v>
      </c>
      <c r="M332" s="6" t="s">
        <v>1071</v>
      </c>
      <c r="N332" s="96">
        <v>44285</v>
      </c>
      <c r="O332" s="20" t="s">
        <v>5386</v>
      </c>
      <c r="R332" s="6" t="str">
        <f t="shared" ca="1" si="5"/>
        <v>NonCategory</v>
      </c>
    </row>
    <row r="333" spans="1:18">
      <c r="A333" s="162">
        <v>44284</v>
      </c>
      <c r="B333" s="164" t="s">
        <v>1080</v>
      </c>
      <c r="C333" s="168" t="s">
        <v>1081</v>
      </c>
      <c r="D333" s="6" t="s">
        <v>287</v>
      </c>
      <c r="E333" s="6" t="s">
        <v>25</v>
      </c>
      <c r="F333" s="80">
        <v>44256</v>
      </c>
      <c r="G333" s="6" t="s">
        <v>16</v>
      </c>
      <c r="H333" s="6" t="s">
        <v>1074</v>
      </c>
      <c r="I333" s="6">
        <v>1</v>
      </c>
      <c r="J333" s="8">
        <v>23000</v>
      </c>
      <c r="K333" s="8">
        <f t="shared" si="4"/>
        <v>263.39899221255155</v>
      </c>
      <c r="L333" s="96">
        <v>44284</v>
      </c>
      <c r="M333" s="6" t="s">
        <v>1071</v>
      </c>
      <c r="N333" s="96">
        <v>44285</v>
      </c>
      <c r="O333" s="108" t="s">
        <v>5387</v>
      </c>
      <c r="Q333" s="6" t="s">
        <v>280</v>
      </c>
      <c r="R333" s="6" t="str">
        <f t="shared" ca="1" si="5"/>
        <v>NonCategory</v>
      </c>
    </row>
    <row r="334" spans="1:18">
      <c r="A334" s="162">
        <v>44284</v>
      </c>
      <c r="B334" s="164" t="s">
        <v>1082</v>
      </c>
      <c r="C334" s="168" t="s">
        <v>1083</v>
      </c>
      <c r="D334" s="6" t="s">
        <v>319</v>
      </c>
      <c r="E334" s="6" t="s">
        <v>25</v>
      </c>
      <c r="F334" s="80">
        <v>44256</v>
      </c>
      <c r="G334" s="6" t="s">
        <v>16</v>
      </c>
      <c r="H334" s="6" t="s">
        <v>1074</v>
      </c>
      <c r="I334" s="6">
        <v>1</v>
      </c>
      <c r="J334" s="8">
        <v>23000</v>
      </c>
      <c r="K334" s="8">
        <f t="shared" si="4"/>
        <v>263.39899221255155</v>
      </c>
      <c r="L334" s="96">
        <v>44284</v>
      </c>
      <c r="M334" s="6" t="s">
        <v>1071</v>
      </c>
      <c r="N334" s="96">
        <v>44285</v>
      </c>
      <c r="O334" s="108" t="s">
        <v>5388</v>
      </c>
      <c r="R334" s="6" t="str">
        <f t="shared" ca="1" si="5"/>
        <v>NonCategory</v>
      </c>
    </row>
    <row r="335" spans="1:18">
      <c r="A335" s="162">
        <v>44284</v>
      </c>
      <c r="B335" s="164" t="s">
        <v>1084</v>
      </c>
      <c r="C335" s="168" t="s">
        <v>1085</v>
      </c>
      <c r="D335" s="6" t="s">
        <v>278</v>
      </c>
      <c r="E335" s="6" t="s">
        <v>25</v>
      </c>
      <c r="F335" s="80">
        <v>44256</v>
      </c>
      <c r="G335" s="6" t="s">
        <v>16</v>
      </c>
      <c r="H335" s="6" t="s">
        <v>1074</v>
      </c>
      <c r="I335" s="6">
        <v>1</v>
      </c>
      <c r="J335" s="8">
        <v>23000</v>
      </c>
      <c r="K335" s="8">
        <f t="shared" si="4"/>
        <v>263.39899221255155</v>
      </c>
      <c r="L335" s="96">
        <v>44284</v>
      </c>
      <c r="M335" s="6" t="s">
        <v>1071</v>
      </c>
      <c r="N335" s="96">
        <v>44285</v>
      </c>
      <c r="O335" s="108" t="s">
        <v>5389</v>
      </c>
      <c r="P335" s="6" t="s">
        <v>1086</v>
      </c>
      <c r="Q335" s="6" t="s">
        <v>280</v>
      </c>
      <c r="R335" s="6" t="str">
        <f t="shared" ca="1" si="5"/>
        <v>NonCategory</v>
      </c>
    </row>
    <row r="336" spans="1:18">
      <c r="A336" s="162">
        <v>44284</v>
      </c>
      <c r="B336" s="164" t="s">
        <v>873</v>
      </c>
      <c r="C336" s="168" t="s">
        <v>1087</v>
      </c>
      <c r="D336" s="6" t="s">
        <v>278</v>
      </c>
      <c r="E336" s="6" t="s">
        <v>25</v>
      </c>
      <c r="F336" s="80">
        <v>44256</v>
      </c>
      <c r="G336" s="6" t="s">
        <v>16</v>
      </c>
      <c r="H336" s="6" t="s">
        <v>1074</v>
      </c>
      <c r="I336" s="6">
        <v>1</v>
      </c>
      <c r="J336" s="8">
        <v>23000</v>
      </c>
      <c r="K336" s="8">
        <f t="shared" si="4"/>
        <v>263.39899221255155</v>
      </c>
      <c r="L336" s="96">
        <v>44284</v>
      </c>
      <c r="M336" s="6" t="s">
        <v>1071</v>
      </c>
      <c r="N336" s="96">
        <v>44285</v>
      </c>
      <c r="O336" s="108" t="s">
        <v>5390</v>
      </c>
      <c r="P336" s="6" t="s">
        <v>1086</v>
      </c>
      <c r="Q336" s="6" t="s">
        <v>280</v>
      </c>
      <c r="R336" s="6" t="str">
        <f t="shared" ca="1" si="5"/>
        <v>NonCategory</v>
      </c>
    </row>
    <row r="337" spans="1:18">
      <c r="A337" s="162">
        <v>44284</v>
      </c>
      <c r="B337" s="164" t="s">
        <v>1088</v>
      </c>
      <c r="C337" s="168" t="s">
        <v>1089</v>
      </c>
      <c r="D337" s="6" t="s">
        <v>278</v>
      </c>
      <c r="E337" s="6" t="s">
        <v>25</v>
      </c>
      <c r="F337" s="80">
        <v>44256</v>
      </c>
      <c r="G337" s="6" t="s">
        <v>16</v>
      </c>
      <c r="H337" s="6" t="s">
        <v>1074</v>
      </c>
      <c r="I337" s="6">
        <v>1</v>
      </c>
      <c r="J337" s="8">
        <v>23000</v>
      </c>
      <c r="K337" s="8">
        <f t="shared" si="4"/>
        <v>263.39899221255155</v>
      </c>
      <c r="L337" s="96">
        <v>44284</v>
      </c>
      <c r="M337" s="6" t="s">
        <v>1071</v>
      </c>
      <c r="N337" s="96">
        <v>44285</v>
      </c>
      <c r="O337" s="108" t="s">
        <v>5391</v>
      </c>
      <c r="P337" s="6" t="s">
        <v>1086</v>
      </c>
      <c r="Q337" s="6" t="s">
        <v>280</v>
      </c>
      <c r="R337" s="6" t="str">
        <f t="shared" ca="1" si="5"/>
        <v>NonCategory</v>
      </c>
    </row>
    <row r="338" spans="1:18">
      <c r="A338" s="162">
        <v>44284</v>
      </c>
      <c r="B338" s="164" t="s">
        <v>1090</v>
      </c>
      <c r="C338" s="168" t="s">
        <v>1091</v>
      </c>
      <c r="D338" s="6" t="s">
        <v>319</v>
      </c>
      <c r="E338" s="6" t="s">
        <v>25</v>
      </c>
      <c r="F338" s="80">
        <v>44256</v>
      </c>
      <c r="G338" s="6" t="s">
        <v>16</v>
      </c>
      <c r="H338" s="6" t="s">
        <v>1074</v>
      </c>
      <c r="I338" s="6">
        <v>1</v>
      </c>
      <c r="J338" s="8">
        <v>23000</v>
      </c>
      <c r="K338" s="8">
        <f t="shared" si="4"/>
        <v>263.39899221255155</v>
      </c>
      <c r="L338" s="96">
        <v>44284</v>
      </c>
      <c r="M338" s="6" t="s">
        <v>1071</v>
      </c>
      <c r="N338" s="96">
        <v>44285</v>
      </c>
      <c r="O338" s="108" t="s">
        <v>5392</v>
      </c>
      <c r="R338" s="6" t="str">
        <f t="shared" ca="1" si="5"/>
        <v>NonCategory</v>
      </c>
    </row>
    <row r="339" spans="1:18">
      <c r="A339" s="162">
        <v>44284</v>
      </c>
      <c r="B339" s="164" t="s">
        <v>1092</v>
      </c>
      <c r="C339" s="168" t="s">
        <v>1093</v>
      </c>
      <c r="D339" s="6" t="s">
        <v>278</v>
      </c>
      <c r="E339" s="6" t="s">
        <v>25</v>
      </c>
      <c r="F339" s="80">
        <v>44256</v>
      </c>
      <c r="G339" s="6" t="s">
        <v>16</v>
      </c>
      <c r="H339" s="6" t="s">
        <v>1074</v>
      </c>
      <c r="I339" s="6">
        <v>1</v>
      </c>
      <c r="J339" s="8">
        <v>23000</v>
      </c>
      <c r="K339" s="8">
        <f t="shared" si="4"/>
        <v>263.39899221255155</v>
      </c>
      <c r="L339" s="96">
        <v>44284</v>
      </c>
      <c r="M339" s="6" t="s">
        <v>1071</v>
      </c>
      <c r="N339" s="96">
        <v>44285</v>
      </c>
      <c r="O339" s="108" t="s">
        <v>5393</v>
      </c>
      <c r="P339" s="6" t="s">
        <v>1086</v>
      </c>
      <c r="Q339" s="6" t="s">
        <v>280</v>
      </c>
      <c r="R339" s="6" t="str">
        <f t="shared" ca="1" si="5"/>
        <v>NonCategory</v>
      </c>
    </row>
    <row r="340" spans="1:18">
      <c r="A340" s="162">
        <v>44282</v>
      </c>
      <c r="B340" s="164" t="s">
        <v>1094</v>
      </c>
      <c r="C340" s="168" t="s">
        <v>1095</v>
      </c>
      <c r="D340" s="6" t="s">
        <v>319</v>
      </c>
      <c r="E340" s="6" t="s">
        <v>25</v>
      </c>
      <c r="F340" s="80">
        <v>44256</v>
      </c>
      <c r="G340" s="6" t="s">
        <v>16</v>
      </c>
      <c r="H340" s="6" t="s">
        <v>1015</v>
      </c>
      <c r="I340" s="6">
        <v>1</v>
      </c>
      <c r="J340" s="8">
        <v>44000</v>
      </c>
      <c r="K340" s="8">
        <f t="shared" si="4"/>
        <v>503.89372423270737</v>
      </c>
      <c r="L340" s="96">
        <v>44284</v>
      </c>
      <c r="M340" s="6" t="s">
        <v>1071</v>
      </c>
      <c r="N340" s="96">
        <v>44285</v>
      </c>
      <c r="O340" s="20" t="s">
        <v>5394</v>
      </c>
      <c r="Q340" s="6" t="s">
        <v>1096</v>
      </c>
      <c r="R340" s="6" t="str">
        <f t="shared" ca="1" si="5"/>
        <v>NonCategory</v>
      </c>
    </row>
    <row r="341" spans="1:18">
      <c r="A341" s="162">
        <v>44286</v>
      </c>
      <c r="B341" s="164" t="s">
        <v>1097</v>
      </c>
      <c r="C341" s="168" t="s">
        <v>1098</v>
      </c>
      <c r="D341" s="6" t="s">
        <v>278</v>
      </c>
      <c r="E341" s="6" t="s">
        <v>96</v>
      </c>
      <c r="F341" s="80">
        <v>44287</v>
      </c>
      <c r="G341" s="6" t="s">
        <v>16</v>
      </c>
      <c r="H341" s="6" t="s">
        <v>1015</v>
      </c>
      <c r="I341" s="6">
        <v>1</v>
      </c>
      <c r="J341" s="8">
        <v>20000</v>
      </c>
      <c r="K341" s="8">
        <f t="shared" si="4"/>
        <v>229.04260192395787</v>
      </c>
      <c r="L341" s="96">
        <v>44287</v>
      </c>
      <c r="M341" s="6" t="s">
        <v>251</v>
      </c>
      <c r="N341" s="96">
        <v>44287</v>
      </c>
      <c r="O341" s="20" t="s">
        <v>5395</v>
      </c>
      <c r="P341" s="6" t="s">
        <v>1099</v>
      </c>
      <c r="Q341" s="6" t="s">
        <v>280</v>
      </c>
      <c r="R341" s="6" t="str">
        <f t="shared" ca="1" si="5"/>
        <v>NonCategory</v>
      </c>
    </row>
    <row r="342" spans="1:18">
      <c r="A342" s="162">
        <v>44286</v>
      </c>
      <c r="B342" s="164" t="s">
        <v>1100</v>
      </c>
      <c r="C342" s="168" t="s">
        <v>1101</v>
      </c>
      <c r="D342" s="6" t="s">
        <v>303</v>
      </c>
      <c r="E342" s="6" t="s">
        <v>25</v>
      </c>
      <c r="F342" s="80">
        <v>44287</v>
      </c>
      <c r="G342" s="6" t="s">
        <v>16</v>
      </c>
      <c r="H342" s="6" t="s">
        <v>1074</v>
      </c>
      <c r="I342" s="6">
        <v>1</v>
      </c>
      <c r="J342" s="8">
        <v>45000</v>
      </c>
      <c r="K342" s="8">
        <f t="shared" si="4"/>
        <v>515.34585432890515</v>
      </c>
      <c r="L342" s="96">
        <v>44287</v>
      </c>
      <c r="M342" s="6" t="s">
        <v>251</v>
      </c>
      <c r="N342" s="96">
        <v>44287</v>
      </c>
      <c r="O342" s="20" t="s">
        <v>5396</v>
      </c>
      <c r="Q342" s="6" t="s">
        <v>356</v>
      </c>
      <c r="R342" s="6" t="str">
        <f t="shared" ca="1" si="5"/>
        <v>NonCategory</v>
      </c>
    </row>
    <row r="343" spans="1:18">
      <c r="A343" s="162">
        <v>44287</v>
      </c>
      <c r="B343" s="166" t="s">
        <v>1102</v>
      </c>
      <c r="C343" s="168" t="s">
        <v>1103</v>
      </c>
      <c r="D343" s="6" t="s">
        <v>278</v>
      </c>
      <c r="E343" s="6" t="s">
        <v>25</v>
      </c>
      <c r="F343" s="80">
        <v>44287</v>
      </c>
      <c r="G343" s="6" t="s">
        <v>16</v>
      </c>
      <c r="H343" s="6" t="s">
        <v>1074</v>
      </c>
      <c r="I343" s="6">
        <v>1</v>
      </c>
      <c r="J343" s="8">
        <v>45000</v>
      </c>
      <c r="K343" s="8">
        <f t="shared" si="4"/>
        <v>515.34585432890515</v>
      </c>
      <c r="L343" s="96">
        <v>44287</v>
      </c>
      <c r="M343" s="6" t="s">
        <v>251</v>
      </c>
      <c r="N343" s="96">
        <v>44287</v>
      </c>
      <c r="O343" s="20" t="s">
        <v>5397</v>
      </c>
      <c r="P343" s="6" t="s">
        <v>1086</v>
      </c>
      <c r="Q343" s="6" t="s">
        <v>356</v>
      </c>
      <c r="R343" s="6" t="str">
        <f t="shared" ca="1" si="5"/>
        <v>NonCategory</v>
      </c>
    </row>
    <row r="344" spans="1:18">
      <c r="A344" s="162">
        <v>44287</v>
      </c>
      <c r="B344" s="164" t="s">
        <v>1104</v>
      </c>
      <c r="C344" s="168" t="s">
        <v>1105</v>
      </c>
      <c r="D344" s="6" t="s">
        <v>343</v>
      </c>
      <c r="E344" s="6" t="s">
        <v>96</v>
      </c>
      <c r="F344" s="80">
        <v>44287</v>
      </c>
      <c r="G344" s="6" t="s">
        <v>16</v>
      </c>
      <c r="H344" s="6" t="s">
        <v>1074</v>
      </c>
      <c r="I344" s="6">
        <v>1</v>
      </c>
      <c r="J344" s="8">
        <v>19000</v>
      </c>
      <c r="K344" s="8">
        <f t="shared" si="4"/>
        <v>217.59047182775998</v>
      </c>
      <c r="L344" s="96">
        <v>44288</v>
      </c>
      <c r="M344" s="6" t="s">
        <v>251</v>
      </c>
      <c r="N344" s="96">
        <v>44288</v>
      </c>
      <c r="O344" s="20" t="s">
        <v>5398</v>
      </c>
      <c r="Q344" s="6" t="s">
        <v>356</v>
      </c>
      <c r="R344" s="6" t="str">
        <f t="shared" ca="1" si="5"/>
        <v>NonCategory</v>
      </c>
    </row>
    <row r="345" spans="1:18">
      <c r="A345" s="162">
        <v>44289</v>
      </c>
      <c r="B345" s="164" t="s">
        <v>1106</v>
      </c>
      <c r="C345" s="168" t="s">
        <v>1107</v>
      </c>
      <c r="D345" s="6" t="s">
        <v>303</v>
      </c>
      <c r="E345" s="6" t="s">
        <v>25</v>
      </c>
      <c r="F345" s="80">
        <v>44287</v>
      </c>
      <c r="G345" s="6" t="s">
        <v>16</v>
      </c>
      <c r="H345" s="6" t="s">
        <v>1015</v>
      </c>
      <c r="I345" s="6">
        <v>1</v>
      </c>
      <c r="J345" s="8">
        <v>45000</v>
      </c>
      <c r="K345" s="8">
        <f t="shared" si="4"/>
        <v>515.34585432890515</v>
      </c>
      <c r="L345" s="96">
        <v>44289</v>
      </c>
      <c r="M345" s="6" t="s">
        <v>251</v>
      </c>
      <c r="N345" s="96">
        <v>44289</v>
      </c>
      <c r="O345" s="20" t="s">
        <v>5399</v>
      </c>
      <c r="Q345" s="6" t="s">
        <v>280</v>
      </c>
      <c r="R345" s="6" t="str">
        <f t="shared" ca="1" si="5"/>
        <v>NonCategory</v>
      </c>
    </row>
    <row r="346" spans="1:18">
      <c r="A346" s="162">
        <v>44291</v>
      </c>
      <c r="B346" s="164" t="s">
        <v>630</v>
      </c>
      <c r="C346" s="168" t="s">
        <v>631</v>
      </c>
      <c r="D346" s="6" t="s">
        <v>274</v>
      </c>
      <c r="E346" s="6" t="s">
        <v>538</v>
      </c>
      <c r="F346" s="80">
        <v>44287</v>
      </c>
      <c r="G346" s="6" t="s">
        <v>16</v>
      </c>
      <c r="H346" s="80">
        <v>44287</v>
      </c>
      <c r="I346" s="6">
        <v>1</v>
      </c>
      <c r="J346" s="8">
        <v>13500</v>
      </c>
      <c r="K346" s="8">
        <f t="shared" si="4"/>
        <v>154.60375629867156</v>
      </c>
      <c r="L346" s="96">
        <v>44291</v>
      </c>
      <c r="M346" s="6" t="s">
        <v>251</v>
      </c>
      <c r="N346" s="96">
        <v>44291</v>
      </c>
      <c r="O346" s="20" t="s">
        <v>5400</v>
      </c>
      <c r="Q346" s="6" t="s">
        <v>356</v>
      </c>
      <c r="R346" s="6" t="str">
        <f t="shared" ca="1" si="5"/>
        <v>NonCategory</v>
      </c>
    </row>
    <row r="347" spans="1:18">
      <c r="A347" s="162">
        <v>44291</v>
      </c>
      <c r="B347" s="164" t="s">
        <v>1108</v>
      </c>
      <c r="C347" s="168" t="s">
        <v>1109</v>
      </c>
      <c r="D347" s="6" t="s">
        <v>319</v>
      </c>
      <c r="E347" s="6" t="s">
        <v>538</v>
      </c>
      <c r="F347" s="80">
        <v>44287</v>
      </c>
      <c r="G347" s="6" t="s">
        <v>16</v>
      </c>
      <c r="H347" s="80">
        <v>44287</v>
      </c>
      <c r="I347" s="6">
        <v>1</v>
      </c>
      <c r="J347" s="8">
        <v>13500</v>
      </c>
      <c r="K347" s="8">
        <f t="shared" si="4"/>
        <v>154.60375629867156</v>
      </c>
      <c r="L347" s="96">
        <v>44291</v>
      </c>
      <c r="M347" s="6" t="s">
        <v>251</v>
      </c>
      <c r="N347" s="96">
        <v>44291</v>
      </c>
      <c r="O347" s="20" t="s">
        <v>5401</v>
      </c>
      <c r="Q347" s="6" t="s">
        <v>356</v>
      </c>
      <c r="R347" s="6" t="str">
        <f t="shared" ca="1" si="5"/>
        <v>NonCategory</v>
      </c>
    </row>
    <row r="348" spans="1:18">
      <c r="A348" s="162">
        <v>44291</v>
      </c>
      <c r="B348" s="164" t="s">
        <v>1110</v>
      </c>
      <c r="C348" s="168" t="s">
        <v>1111</v>
      </c>
      <c r="D348" s="6" t="s">
        <v>297</v>
      </c>
      <c r="E348" s="6" t="s">
        <v>25</v>
      </c>
      <c r="F348" s="80">
        <v>44287</v>
      </c>
      <c r="G348" s="6" t="s">
        <v>16</v>
      </c>
      <c r="H348" s="6" t="s">
        <v>1015</v>
      </c>
      <c r="I348" s="6">
        <v>1</v>
      </c>
      <c r="J348" s="8">
        <v>45000</v>
      </c>
      <c r="K348" s="8">
        <f t="shared" si="4"/>
        <v>515.34585432890515</v>
      </c>
      <c r="L348" s="96">
        <v>44291</v>
      </c>
      <c r="M348" s="6" t="s">
        <v>251</v>
      </c>
      <c r="N348" s="96">
        <v>44291</v>
      </c>
      <c r="O348" s="20" t="s">
        <v>5402</v>
      </c>
      <c r="Q348" s="6" t="s">
        <v>356</v>
      </c>
      <c r="R348" s="6" t="str">
        <f t="shared" ca="1" si="5"/>
        <v>NonCategory</v>
      </c>
    </row>
    <row r="349" spans="1:18">
      <c r="A349" s="162">
        <v>44292</v>
      </c>
      <c r="B349" s="164" t="s">
        <v>1112</v>
      </c>
      <c r="C349" s="168" t="s">
        <v>1113</v>
      </c>
      <c r="D349" s="6" t="s">
        <v>319</v>
      </c>
      <c r="E349" s="6" t="s">
        <v>14</v>
      </c>
      <c r="F349" s="80">
        <v>44287</v>
      </c>
      <c r="G349" s="6" t="s">
        <v>16</v>
      </c>
      <c r="H349" s="6" t="s">
        <v>1015</v>
      </c>
      <c r="I349" s="6">
        <v>1</v>
      </c>
      <c r="J349" s="8">
        <v>30000</v>
      </c>
      <c r="K349" s="8">
        <f t="shared" si="4"/>
        <v>343.56390288593678</v>
      </c>
      <c r="L349" s="96">
        <v>44292</v>
      </c>
      <c r="M349" s="6" t="s">
        <v>251</v>
      </c>
      <c r="N349" s="96">
        <v>44292</v>
      </c>
      <c r="O349" s="20" t="s">
        <v>5403</v>
      </c>
      <c r="Q349" s="6" t="s">
        <v>356</v>
      </c>
      <c r="R349" s="6" t="str">
        <f t="shared" ca="1" si="5"/>
        <v>NonCategory</v>
      </c>
    </row>
    <row r="350" spans="1:18">
      <c r="A350" s="162">
        <v>44291</v>
      </c>
      <c r="B350" s="164" t="s">
        <v>1114</v>
      </c>
      <c r="C350" s="168" t="s">
        <v>1115</v>
      </c>
      <c r="D350" s="6" t="s">
        <v>278</v>
      </c>
      <c r="E350" s="2" t="s">
        <v>150</v>
      </c>
      <c r="F350" s="80">
        <v>44287</v>
      </c>
      <c r="G350" s="6" t="s">
        <v>16</v>
      </c>
      <c r="H350" s="6" t="s">
        <v>275</v>
      </c>
      <c r="I350" s="6">
        <v>1</v>
      </c>
      <c r="J350" s="8">
        <v>20500</v>
      </c>
      <c r="K350" s="8">
        <f t="shared" si="4"/>
        <v>234.76866697205682</v>
      </c>
      <c r="L350" s="96">
        <v>44295</v>
      </c>
      <c r="M350" s="6" t="s">
        <v>251</v>
      </c>
      <c r="N350" s="96">
        <v>44293</v>
      </c>
      <c r="O350" s="20" t="s">
        <v>5404</v>
      </c>
      <c r="P350" s="6" t="s">
        <v>1116</v>
      </c>
      <c r="Q350" s="6" t="s">
        <v>356</v>
      </c>
      <c r="R350" s="6" t="str">
        <f t="shared" ca="1" si="5"/>
        <v>NonCategory</v>
      </c>
    </row>
    <row r="351" spans="1:18">
      <c r="A351" s="162">
        <v>44292</v>
      </c>
      <c r="B351" s="164" t="s">
        <v>1117</v>
      </c>
      <c r="C351" s="168" t="s">
        <v>1118</v>
      </c>
      <c r="D351" s="6" t="s">
        <v>278</v>
      </c>
      <c r="E351" s="6" t="s">
        <v>14</v>
      </c>
      <c r="F351" s="80">
        <v>44287</v>
      </c>
      <c r="G351" s="6" t="s">
        <v>16</v>
      </c>
      <c r="H351" s="6" t="s">
        <v>1015</v>
      </c>
      <c r="I351" s="6">
        <v>1</v>
      </c>
      <c r="J351" s="8">
        <v>30000</v>
      </c>
      <c r="K351" s="8">
        <f t="shared" si="4"/>
        <v>343.56390288593678</v>
      </c>
      <c r="L351" s="96">
        <v>44292</v>
      </c>
      <c r="M351" s="6" t="s">
        <v>251</v>
      </c>
      <c r="N351" s="96">
        <v>44294</v>
      </c>
      <c r="O351" s="120" t="s">
        <v>5405</v>
      </c>
      <c r="P351" s="6" t="s">
        <v>1119</v>
      </c>
      <c r="Q351" s="6" t="s">
        <v>1120</v>
      </c>
      <c r="R351" s="6" t="str">
        <f t="shared" ca="1" si="5"/>
        <v>NonCategory</v>
      </c>
    </row>
    <row r="352" spans="1:18">
      <c r="A352" s="162">
        <v>44295</v>
      </c>
      <c r="B352" s="164" t="s">
        <v>1121</v>
      </c>
      <c r="C352" s="168" t="s">
        <v>1122</v>
      </c>
      <c r="D352" s="6" t="s">
        <v>319</v>
      </c>
      <c r="E352" s="6" t="s">
        <v>97</v>
      </c>
      <c r="F352" s="80">
        <v>44287</v>
      </c>
      <c r="G352" s="6" t="s">
        <v>16</v>
      </c>
      <c r="H352" s="6" t="s">
        <v>1123</v>
      </c>
      <c r="I352" s="6">
        <v>1</v>
      </c>
      <c r="J352" s="8">
        <v>18500</v>
      </c>
      <c r="K352" s="8">
        <f t="shared" si="4"/>
        <v>211.86440677966101</v>
      </c>
      <c r="L352" s="96">
        <v>44295</v>
      </c>
      <c r="M352" s="6" t="s">
        <v>251</v>
      </c>
      <c r="N352" s="96">
        <v>44295</v>
      </c>
      <c r="O352" s="22" t="s">
        <v>5406</v>
      </c>
      <c r="Q352" s="6" t="s">
        <v>356</v>
      </c>
      <c r="R352" s="6" t="str">
        <f t="shared" ca="1" si="5"/>
        <v>NonCategory</v>
      </c>
    </row>
    <row r="353" spans="1:18">
      <c r="A353" s="162">
        <v>44296</v>
      </c>
      <c r="B353" s="164" t="s">
        <v>1124</v>
      </c>
      <c r="C353" s="168" t="s">
        <v>1125</v>
      </c>
      <c r="D353" s="6" t="s">
        <v>287</v>
      </c>
      <c r="E353" s="6" t="s">
        <v>25</v>
      </c>
      <c r="F353" s="80">
        <v>44287</v>
      </c>
      <c r="G353" s="6" t="s">
        <v>16</v>
      </c>
      <c r="H353" s="6" t="s">
        <v>936</v>
      </c>
      <c r="I353" s="6">
        <v>1</v>
      </c>
      <c r="J353" s="8">
        <v>43000</v>
      </c>
      <c r="K353" s="8">
        <f t="shared" si="4"/>
        <v>492.44159413650942</v>
      </c>
      <c r="L353" s="96">
        <v>44296</v>
      </c>
      <c r="M353" s="6" t="s">
        <v>251</v>
      </c>
      <c r="N353" s="96">
        <v>44296</v>
      </c>
      <c r="O353" s="22" t="s">
        <v>5407</v>
      </c>
      <c r="Q353" s="6" t="s">
        <v>356</v>
      </c>
      <c r="R353" s="6" t="str">
        <f t="shared" ca="1" si="5"/>
        <v>NonCategory</v>
      </c>
    </row>
    <row r="354" spans="1:18">
      <c r="A354" s="162">
        <v>44296</v>
      </c>
      <c r="B354" s="164" t="s">
        <v>1126</v>
      </c>
      <c r="C354" s="168" t="s">
        <v>1127</v>
      </c>
      <c r="D354" s="6" t="s">
        <v>319</v>
      </c>
      <c r="E354" s="6" t="s">
        <v>6</v>
      </c>
      <c r="F354" s="80">
        <v>44287</v>
      </c>
      <c r="G354" s="6" t="s">
        <v>16</v>
      </c>
      <c r="H354" s="6" t="s">
        <v>936</v>
      </c>
      <c r="I354" s="6">
        <v>1</v>
      </c>
      <c r="J354" s="8">
        <v>50000</v>
      </c>
      <c r="K354" s="8">
        <f t="shared" si="4"/>
        <v>572.60650480989466</v>
      </c>
      <c r="L354" s="96">
        <v>44296</v>
      </c>
      <c r="M354" s="6" t="s">
        <v>251</v>
      </c>
      <c r="N354" s="96">
        <v>44296</v>
      </c>
      <c r="O354" s="22" t="s">
        <v>5408</v>
      </c>
      <c r="Q354" s="6" t="s">
        <v>280</v>
      </c>
      <c r="R354" s="6" t="str">
        <f t="shared" ca="1" si="5"/>
        <v>NonCategory</v>
      </c>
    </row>
    <row r="355" spans="1:18">
      <c r="A355" s="162">
        <v>44287</v>
      </c>
      <c r="B355" s="164" t="s">
        <v>1128</v>
      </c>
      <c r="C355" s="168" t="s">
        <v>1129</v>
      </c>
      <c r="D355" s="6" t="s">
        <v>287</v>
      </c>
      <c r="E355" s="6" t="s">
        <v>151</v>
      </c>
      <c r="F355" s="80">
        <v>44287</v>
      </c>
      <c r="G355" s="6" t="s">
        <v>13</v>
      </c>
      <c r="H355" s="6" t="s">
        <v>1130</v>
      </c>
      <c r="I355" s="6">
        <v>1</v>
      </c>
      <c r="J355" s="6">
        <v>21000</v>
      </c>
      <c r="K355" s="8">
        <f t="shared" si="4"/>
        <v>240.49473202015577</v>
      </c>
      <c r="L355" s="96">
        <v>44302</v>
      </c>
      <c r="O355" s="121"/>
      <c r="P355" s="20"/>
      <c r="R355" s="6" t="str">
        <f t="shared" ca="1" si="5"/>
        <v>NonCategory</v>
      </c>
    </row>
    <row r="356" spans="1:18">
      <c r="A356" s="162">
        <v>44293</v>
      </c>
      <c r="B356" s="164" t="s">
        <v>1131</v>
      </c>
      <c r="C356" s="168" t="s">
        <v>1132</v>
      </c>
      <c r="D356" s="6" t="s">
        <v>343</v>
      </c>
      <c r="E356" s="6" t="s">
        <v>96</v>
      </c>
      <c r="F356" s="80">
        <v>44287</v>
      </c>
      <c r="G356" s="6" t="s">
        <v>13</v>
      </c>
      <c r="H356" s="6" t="s">
        <v>1130</v>
      </c>
      <c r="I356" s="6">
        <v>1</v>
      </c>
      <c r="J356" s="6">
        <v>20000</v>
      </c>
      <c r="K356" s="8">
        <f t="shared" si="4"/>
        <v>229.04260192395787</v>
      </c>
      <c r="L356" s="96">
        <v>44294</v>
      </c>
      <c r="R356" s="6" t="str">
        <f t="shared" ca="1" si="5"/>
        <v>NonCategory</v>
      </c>
    </row>
    <row r="357" spans="1:18">
      <c r="A357" s="163">
        <v>44295</v>
      </c>
      <c r="B357" s="165" t="s">
        <v>1133</v>
      </c>
      <c r="C357" s="168" t="s">
        <v>1134</v>
      </c>
      <c r="D357" s="2" t="s">
        <v>297</v>
      </c>
      <c r="E357" s="2" t="s">
        <v>150</v>
      </c>
      <c r="F357" s="80">
        <v>44287</v>
      </c>
      <c r="G357" s="6" t="s">
        <v>16</v>
      </c>
      <c r="H357" s="6" t="s">
        <v>275</v>
      </c>
      <c r="I357" s="6">
        <v>1</v>
      </c>
      <c r="J357" s="8">
        <v>21000</v>
      </c>
      <c r="K357" s="8">
        <f t="shared" si="4"/>
        <v>240.49473202015577</v>
      </c>
      <c r="L357" s="96">
        <v>44297</v>
      </c>
      <c r="M357" s="6" t="s">
        <v>252</v>
      </c>
      <c r="N357" s="96">
        <v>44297</v>
      </c>
      <c r="O357" s="22" t="s">
        <v>5409</v>
      </c>
      <c r="Q357" s="6" t="s">
        <v>280</v>
      </c>
      <c r="R357" s="6" t="str">
        <f t="shared" ca="1" si="5"/>
        <v>NonCategory</v>
      </c>
    </row>
    <row r="358" spans="1:18">
      <c r="A358" s="163">
        <v>44295</v>
      </c>
      <c r="B358" s="165" t="s">
        <v>1135</v>
      </c>
      <c r="C358" s="168" t="s">
        <v>1136</v>
      </c>
      <c r="D358" s="2" t="s">
        <v>303</v>
      </c>
      <c r="E358" s="6" t="s">
        <v>1137</v>
      </c>
      <c r="F358" s="80">
        <v>44287</v>
      </c>
      <c r="G358" s="6" t="s">
        <v>16</v>
      </c>
      <c r="H358" s="96">
        <v>44303</v>
      </c>
      <c r="I358" s="6">
        <v>1</v>
      </c>
      <c r="J358" s="8">
        <v>12000</v>
      </c>
      <c r="K358" s="8">
        <f t="shared" si="4"/>
        <v>137.42556115437472</v>
      </c>
      <c r="L358" s="96">
        <v>44300</v>
      </c>
      <c r="M358" s="6" t="s">
        <v>252</v>
      </c>
      <c r="N358" s="96">
        <v>44301</v>
      </c>
      <c r="O358" s="22" t="s">
        <v>5410</v>
      </c>
      <c r="R358" s="6" t="str">
        <f t="shared" ca="1" si="5"/>
        <v>NonCategory</v>
      </c>
    </row>
    <row r="359" spans="1:18">
      <c r="A359" s="162">
        <v>44301</v>
      </c>
      <c r="B359" s="164" t="s">
        <v>1138</v>
      </c>
      <c r="C359" s="168" t="s">
        <v>1139</v>
      </c>
      <c r="D359" s="6" t="s">
        <v>303</v>
      </c>
      <c r="E359" s="2" t="s">
        <v>150</v>
      </c>
      <c r="F359" s="80">
        <v>44287</v>
      </c>
      <c r="G359" s="6" t="s">
        <v>16</v>
      </c>
      <c r="H359" s="6" t="s">
        <v>275</v>
      </c>
      <c r="I359" s="6">
        <v>1</v>
      </c>
      <c r="J359" s="8">
        <v>21000</v>
      </c>
      <c r="K359" s="8">
        <f t="shared" si="4"/>
        <v>240.49473202015577</v>
      </c>
      <c r="L359" s="96">
        <v>44301</v>
      </c>
      <c r="M359" s="6" t="s">
        <v>252</v>
      </c>
      <c r="N359" s="96">
        <v>44301</v>
      </c>
      <c r="O359" s="22" t="s">
        <v>5411</v>
      </c>
      <c r="Q359" s="6" t="s">
        <v>280</v>
      </c>
      <c r="R359" s="6" t="str">
        <f t="shared" ca="1" si="5"/>
        <v>NonCategory</v>
      </c>
    </row>
    <row r="360" spans="1:18">
      <c r="A360" s="162">
        <v>44231</v>
      </c>
      <c r="B360" s="164" t="s">
        <v>1140</v>
      </c>
      <c r="C360" s="168" t="s">
        <v>1141</v>
      </c>
      <c r="D360" s="6" t="s">
        <v>303</v>
      </c>
      <c r="E360" s="6" t="s">
        <v>97</v>
      </c>
      <c r="F360" s="80">
        <v>44287</v>
      </c>
      <c r="G360" s="6" t="s">
        <v>16</v>
      </c>
      <c r="H360" s="6" t="s">
        <v>1130</v>
      </c>
      <c r="I360" s="6">
        <v>1</v>
      </c>
      <c r="J360" s="8">
        <v>20000</v>
      </c>
      <c r="K360" s="8">
        <f t="shared" si="4"/>
        <v>229.04260192395787</v>
      </c>
      <c r="L360" s="96">
        <v>44302</v>
      </c>
      <c r="M360" s="6" t="s">
        <v>252</v>
      </c>
      <c r="N360" s="96">
        <v>44302</v>
      </c>
      <c r="O360" s="20" t="s">
        <v>5412</v>
      </c>
      <c r="Q360" s="6" t="s">
        <v>280</v>
      </c>
      <c r="R360" s="6" t="str">
        <f t="shared" ca="1" si="5"/>
        <v>NonCategory</v>
      </c>
    </row>
    <row r="361" spans="1:18">
      <c r="A361" s="162">
        <v>44301</v>
      </c>
      <c r="B361" s="164" t="s">
        <v>1142</v>
      </c>
      <c r="C361" s="168" t="s">
        <v>1143</v>
      </c>
      <c r="D361" s="6" t="s">
        <v>319</v>
      </c>
      <c r="E361" s="2" t="s">
        <v>150</v>
      </c>
      <c r="F361" s="80">
        <v>44287</v>
      </c>
      <c r="G361" s="6" t="s">
        <v>16</v>
      </c>
      <c r="H361" s="6" t="s">
        <v>275</v>
      </c>
      <c r="I361" s="6">
        <v>1</v>
      </c>
      <c r="J361" s="8">
        <v>20000</v>
      </c>
      <c r="K361" s="8">
        <f t="shared" si="4"/>
        <v>229.04260192395787</v>
      </c>
      <c r="L361" s="96">
        <v>44302</v>
      </c>
      <c r="M361" s="6" t="s">
        <v>252</v>
      </c>
      <c r="N361" s="96">
        <v>44302</v>
      </c>
      <c r="O361" s="22" t="s">
        <v>5413</v>
      </c>
      <c r="Q361" s="6" t="s">
        <v>356</v>
      </c>
      <c r="R361" s="6" t="str">
        <f t="shared" ca="1" si="5"/>
        <v>NonCategory</v>
      </c>
    </row>
    <row r="362" spans="1:18">
      <c r="A362" s="162">
        <v>44303</v>
      </c>
      <c r="B362" s="164" t="s">
        <v>1144</v>
      </c>
      <c r="C362" s="168" t="s">
        <v>1145</v>
      </c>
      <c r="D362" s="6" t="s">
        <v>303</v>
      </c>
      <c r="E362" s="6" t="s">
        <v>97</v>
      </c>
      <c r="F362" s="80">
        <v>44287</v>
      </c>
      <c r="G362" s="6" t="s">
        <v>16</v>
      </c>
      <c r="H362" s="6" t="s">
        <v>1130</v>
      </c>
      <c r="I362" s="6">
        <v>1</v>
      </c>
      <c r="J362" s="8">
        <v>19000</v>
      </c>
      <c r="K362" s="8">
        <f t="shared" si="4"/>
        <v>217.59047182775998</v>
      </c>
      <c r="L362" s="96">
        <v>44304</v>
      </c>
      <c r="M362" s="6" t="s">
        <v>252</v>
      </c>
      <c r="N362" s="96">
        <v>44304</v>
      </c>
      <c r="O362" s="22" t="s">
        <v>5414</v>
      </c>
      <c r="Q362" s="6" t="s">
        <v>356</v>
      </c>
      <c r="R362" s="6" t="str">
        <f t="shared" ca="1" si="5"/>
        <v>NonCategory</v>
      </c>
    </row>
    <row r="363" spans="1:18">
      <c r="A363" s="163">
        <v>44302</v>
      </c>
      <c r="B363" s="165" t="s">
        <v>1146</v>
      </c>
      <c r="C363" s="168" t="s">
        <v>1147</v>
      </c>
      <c r="D363" s="2" t="s">
        <v>303</v>
      </c>
      <c r="E363" s="2" t="s">
        <v>25</v>
      </c>
      <c r="F363" s="80">
        <v>44287</v>
      </c>
      <c r="G363" s="6" t="s">
        <v>16</v>
      </c>
      <c r="H363" s="6" t="s">
        <v>1130</v>
      </c>
      <c r="I363" s="6">
        <v>1</v>
      </c>
      <c r="J363" s="8">
        <v>45000</v>
      </c>
      <c r="K363" s="8">
        <f t="shared" si="4"/>
        <v>515.34585432890515</v>
      </c>
      <c r="L363" s="96">
        <v>44304</v>
      </c>
      <c r="M363" s="6" t="s">
        <v>252</v>
      </c>
      <c r="N363" s="96">
        <v>44304</v>
      </c>
      <c r="O363" s="22" t="s">
        <v>5415</v>
      </c>
      <c r="Q363" s="6" t="s">
        <v>280</v>
      </c>
      <c r="R363" s="6" t="str">
        <f t="shared" ca="1" si="5"/>
        <v>NonCategory</v>
      </c>
    </row>
    <row r="364" spans="1:18">
      <c r="A364" s="162">
        <v>44303</v>
      </c>
      <c r="B364" s="164" t="s">
        <v>1148</v>
      </c>
      <c r="C364" s="168" t="s">
        <v>1149</v>
      </c>
      <c r="D364" s="6" t="s">
        <v>278</v>
      </c>
      <c r="E364" s="6" t="s">
        <v>97</v>
      </c>
      <c r="F364" s="80">
        <v>44287</v>
      </c>
      <c r="G364" s="6" t="s">
        <v>16</v>
      </c>
      <c r="H364" s="6" t="s">
        <v>1130</v>
      </c>
      <c r="I364" s="6">
        <v>1</v>
      </c>
      <c r="J364" s="8">
        <v>19000</v>
      </c>
      <c r="K364" s="8">
        <f t="shared" si="4"/>
        <v>217.59047182775998</v>
      </c>
      <c r="L364" s="96">
        <v>44304</v>
      </c>
      <c r="M364" s="6" t="s">
        <v>252</v>
      </c>
      <c r="N364" s="96">
        <v>44305</v>
      </c>
      <c r="O364" s="22" t="s">
        <v>5416</v>
      </c>
      <c r="P364" s="6" t="s">
        <v>1150</v>
      </c>
      <c r="Q364" s="6" t="s">
        <v>280</v>
      </c>
      <c r="R364" s="6" t="str">
        <f t="shared" ca="1" si="5"/>
        <v>NonCategory</v>
      </c>
    </row>
    <row r="365" spans="1:18">
      <c r="A365" s="162">
        <v>44305</v>
      </c>
      <c r="B365" s="164" t="s">
        <v>1151</v>
      </c>
      <c r="C365" s="168" t="s">
        <v>1152</v>
      </c>
      <c r="D365" s="6" t="s">
        <v>303</v>
      </c>
      <c r="E365" s="6" t="s">
        <v>25</v>
      </c>
      <c r="F365" s="80">
        <v>44287</v>
      </c>
      <c r="G365" s="6" t="s">
        <v>16</v>
      </c>
      <c r="H365" s="6" t="s">
        <v>936</v>
      </c>
      <c r="I365" s="6">
        <v>1</v>
      </c>
      <c r="J365" s="8">
        <v>50000</v>
      </c>
      <c r="K365" s="8">
        <f t="shared" si="4"/>
        <v>572.60650480989466</v>
      </c>
      <c r="L365" s="96">
        <v>44305</v>
      </c>
      <c r="M365" s="6" t="s">
        <v>252</v>
      </c>
      <c r="N365" s="96">
        <v>44305</v>
      </c>
      <c r="O365" s="22" t="s">
        <v>5417</v>
      </c>
      <c r="Q365" s="6" t="s">
        <v>280</v>
      </c>
      <c r="R365" s="6" t="str">
        <f t="shared" ca="1" si="5"/>
        <v>NonCategory</v>
      </c>
    </row>
    <row r="366" spans="1:18">
      <c r="A366" s="162">
        <v>44306</v>
      </c>
      <c r="B366" s="164" t="s">
        <v>1153</v>
      </c>
      <c r="C366" s="168" t="s">
        <v>1154</v>
      </c>
      <c r="D366" s="6" t="s">
        <v>319</v>
      </c>
      <c r="E366" s="6" t="s">
        <v>25</v>
      </c>
      <c r="F366" s="80">
        <v>44287</v>
      </c>
      <c r="G366" s="6" t="s">
        <v>16</v>
      </c>
      <c r="H366" s="6" t="s">
        <v>1077</v>
      </c>
      <c r="I366" s="6">
        <v>1</v>
      </c>
      <c r="J366" s="8">
        <v>43000</v>
      </c>
      <c r="K366" s="8">
        <f t="shared" si="4"/>
        <v>492.44159413650942</v>
      </c>
      <c r="L366" s="96">
        <v>44306</v>
      </c>
      <c r="M366" s="6" t="s">
        <v>252</v>
      </c>
      <c r="N366" s="96">
        <v>44306</v>
      </c>
      <c r="O366" s="20" t="s">
        <v>5418</v>
      </c>
      <c r="Q366" s="6" t="s">
        <v>356</v>
      </c>
      <c r="R366" s="6" t="str">
        <f t="shared" ca="1" si="5"/>
        <v>NonCategory</v>
      </c>
    </row>
    <row r="367" spans="1:18">
      <c r="A367" s="163">
        <v>44283</v>
      </c>
      <c r="B367" s="165" t="s">
        <v>1155</v>
      </c>
      <c r="C367" s="168" t="s">
        <v>1156</v>
      </c>
      <c r="D367" s="2" t="s">
        <v>303</v>
      </c>
      <c r="E367" s="2" t="s">
        <v>150</v>
      </c>
      <c r="F367" s="80">
        <v>44287</v>
      </c>
      <c r="G367" s="6" t="s">
        <v>16</v>
      </c>
      <c r="H367" s="6" t="s">
        <v>1157</v>
      </c>
      <c r="I367" s="6">
        <v>1</v>
      </c>
      <c r="J367" s="8">
        <v>21000</v>
      </c>
      <c r="K367" s="8">
        <f t="shared" si="4"/>
        <v>240.49473202015577</v>
      </c>
      <c r="L367" s="96">
        <v>44303</v>
      </c>
      <c r="M367" s="6" t="s">
        <v>253</v>
      </c>
      <c r="N367" s="96">
        <v>44307</v>
      </c>
      <c r="O367" s="22" t="s">
        <v>5419</v>
      </c>
      <c r="Q367" s="6" t="s">
        <v>280</v>
      </c>
      <c r="R367" s="6" t="str">
        <f t="shared" ca="1" si="5"/>
        <v>NonCategory</v>
      </c>
    </row>
    <row r="368" spans="1:18">
      <c r="A368" s="162">
        <v>44169</v>
      </c>
      <c r="B368" s="164" t="s">
        <v>1158</v>
      </c>
      <c r="C368" s="168" t="s">
        <v>1159</v>
      </c>
      <c r="D368" s="6" t="s">
        <v>319</v>
      </c>
      <c r="E368" s="6" t="s">
        <v>97</v>
      </c>
      <c r="F368" s="80">
        <v>44287</v>
      </c>
      <c r="G368" s="6" t="s">
        <v>16</v>
      </c>
      <c r="H368" s="6" t="s">
        <v>1160</v>
      </c>
      <c r="I368" s="6">
        <v>1</v>
      </c>
      <c r="J368" s="8">
        <v>20000</v>
      </c>
      <c r="K368" s="8">
        <f t="shared" si="4"/>
        <v>229.04260192395787</v>
      </c>
      <c r="L368" s="96">
        <v>44307</v>
      </c>
      <c r="M368" s="6" t="s">
        <v>252</v>
      </c>
      <c r="N368" s="96">
        <v>44307</v>
      </c>
      <c r="O368" s="22" t="s">
        <v>5420</v>
      </c>
      <c r="Q368" s="6" t="s">
        <v>280</v>
      </c>
      <c r="R368" s="6" t="str">
        <f t="shared" ca="1" si="5"/>
        <v>NonCategory</v>
      </c>
    </row>
    <row r="369" spans="1:18">
      <c r="A369" s="162">
        <v>44305</v>
      </c>
      <c r="B369" s="164" t="s">
        <v>1161</v>
      </c>
      <c r="C369" s="168" t="s">
        <v>1162</v>
      </c>
      <c r="D369" s="6" t="s">
        <v>303</v>
      </c>
      <c r="E369" s="6" t="s">
        <v>151</v>
      </c>
      <c r="F369" s="80">
        <v>44287</v>
      </c>
      <c r="G369" s="6" t="s">
        <v>16</v>
      </c>
      <c r="H369" s="6" t="s">
        <v>1160</v>
      </c>
      <c r="I369" s="6">
        <v>1</v>
      </c>
      <c r="J369" s="8">
        <v>20500</v>
      </c>
      <c r="K369" s="8">
        <f t="shared" si="4"/>
        <v>234.76866697205682</v>
      </c>
      <c r="L369" s="96">
        <v>44308</v>
      </c>
      <c r="M369" s="6" t="s">
        <v>253</v>
      </c>
      <c r="N369" s="96">
        <v>44308</v>
      </c>
      <c r="O369" s="22" t="s">
        <v>5421</v>
      </c>
      <c r="Q369" s="6" t="s">
        <v>280</v>
      </c>
      <c r="R369" s="6" t="str">
        <f t="shared" ca="1" si="5"/>
        <v>NonCategory</v>
      </c>
    </row>
    <row r="370" spans="1:18">
      <c r="A370" s="162">
        <v>44305</v>
      </c>
      <c r="B370" s="164" t="s">
        <v>1163</v>
      </c>
      <c r="C370" s="168" t="s">
        <v>1164</v>
      </c>
      <c r="D370" s="6" t="s">
        <v>278</v>
      </c>
      <c r="E370" s="6" t="s">
        <v>151</v>
      </c>
      <c r="F370" s="80">
        <v>44287</v>
      </c>
      <c r="G370" s="6" t="s">
        <v>16</v>
      </c>
      <c r="H370" s="6" t="s">
        <v>1160</v>
      </c>
      <c r="I370" s="6">
        <v>1</v>
      </c>
      <c r="J370" s="8">
        <v>20500</v>
      </c>
      <c r="K370" s="8">
        <f t="shared" si="4"/>
        <v>234.76866697205682</v>
      </c>
      <c r="L370" s="96">
        <v>44308</v>
      </c>
      <c r="M370" s="6" t="s">
        <v>253</v>
      </c>
      <c r="N370" s="96">
        <v>44308</v>
      </c>
      <c r="O370" s="22" t="s">
        <v>5422</v>
      </c>
      <c r="P370" s="6" t="s">
        <v>1165</v>
      </c>
      <c r="Q370" s="6" t="s">
        <v>280</v>
      </c>
      <c r="R370" s="6" t="str">
        <f t="shared" ca="1" si="5"/>
        <v>NonCategory</v>
      </c>
    </row>
    <row r="371" spans="1:18">
      <c r="A371" s="162">
        <v>44308</v>
      </c>
      <c r="B371" s="164" t="s">
        <v>1166</v>
      </c>
      <c r="C371" s="168" t="s">
        <v>1167</v>
      </c>
      <c r="D371" s="6" t="s">
        <v>297</v>
      </c>
      <c r="E371" s="6" t="s">
        <v>25</v>
      </c>
      <c r="F371" s="80">
        <v>44287</v>
      </c>
      <c r="G371" s="6" t="s">
        <v>13</v>
      </c>
      <c r="H371" s="6" t="s">
        <v>1130</v>
      </c>
      <c r="I371" s="6">
        <v>1</v>
      </c>
      <c r="J371" s="6">
        <v>45000</v>
      </c>
      <c r="K371" s="8">
        <f t="shared" si="4"/>
        <v>515.34585432890515</v>
      </c>
      <c r="L371" s="96">
        <v>44308</v>
      </c>
      <c r="R371" s="6" t="str">
        <f t="shared" ca="1" si="5"/>
        <v>NonCategory</v>
      </c>
    </row>
    <row r="372" spans="1:18">
      <c r="A372" s="162">
        <v>44308</v>
      </c>
      <c r="B372" s="164" t="s">
        <v>1168</v>
      </c>
      <c r="C372" s="168" t="s">
        <v>1169</v>
      </c>
      <c r="D372" s="6" t="s">
        <v>278</v>
      </c>
      <c r="E372" s="6" t="s">
        <v>151</v>
      </c>
      <c r="F372" s="80">
        <v>44287</v>
      </c>
      <c r="G372" s="6" t="s">
        <v>16</v>
      </c>
      <c r="H372" s="6" t="s">
        <v>1160</v>
      </c>
      <c r="I372" s="6">
        <v>1</v>
      </c>
      <c r="J372" s="8">
        <v>20500</v>
      </c>
      <c r="K372" s="8">
        <f t="shared" si="4"/>
        <v>234.76866697205682</v>
      </c>
      <c r="L372" s="96">
        <v>44308</v>
      </c>
      <c r="M372" s="6" t="s">
        <v>253</v>
      </c>
      <c r="N372" s="96">
        <v>44308</v>
      </c>
      <c r="O372" s="22" t="s">
        <v>5423</v>
      </c>
      <c r="P372" s="6" t="s">
        <v>1165</v>
      </c>
      <c r="Q372" s="6" t="s">
        <v>280</v>
      </c>
      <c r="R372" s="6" t="str">
        <f t="shared" ca="1" si="5"/>
        <v>NonCategory</v>
      </c>
    </row>
    <row r="373" spans="1:18">
      <c r="A373" s="162">
        <v>44308</v>
      </c>
      <c r="B373" s="164" t="s">
        <v>1170</v>
      </c>
      <c r="C373" s="168" t="s">
        <v>1171</v>
      </c>
      <c r="D373" s="6" t="s">
        <v>278</v>
      </c>
      <c r="E373" s="6" t="s">
        <v>151</v>
      </c>
      <c r="F373" s="80">
        <v>44287</v>
      </c>
      <c r="G373" s="6" t="s">
        <v>16</v>
      </c>
      <c r="H373" s="6" t="s">
        <v>1160</v>
      </c>
      <c r="I373" s="6">
        <v>1</v>
      </c>
      <c r="J373" s="8">
        <v>20500</v>
      </c>
      <c r="K373" s="8">
        <f t="shared" si="4"/>
        <v>234.76866697205682</v>
      </c>
      <c r="L373" s="96">
        <v>44309</v>
      </c>
      <c r="M373" s="6" t="s">
        <v>253</v>
      </c>
      <c r="N373" s="96">
        <v>44309</v>
      </c>
      <c r="O373" s="22" t="s">
        <v>5424</v>
      </c>
      <c r="P373" s="6" t="s">
        <v>1172</v>
      </c>
      <c r="Q373" s="6" t="s">
        <v>280</v>
      </c>
      <c r="R373" s="6" t="str">
        <f t="shared" ca="1" si="5"/>
        <v>NonCategory</v>
      </c>
    </row>
    <row r="374" spans="1:18">
      <c r="A374" s="162">
        <v>44310</v>
      </c>
      <c r="B374" s="164" t="s">
        <v>580</v>
      </c>
      <c r="C374" s="168" t="s">
        <v>581</v>
      </c>
      <c r="D374" s="6" t="s">
        <v>274</v>
      </c>
      <c r="E374" s="6" t="s">
        <v>1173</v>
      </c>
      <c r="F374" s="80">
        <v>44287</v>
      </c>
      <c r="G374" s="6" t="s">
        <v>16</v>
      </c>
      <c r="H374" s="80">
        <v>44287</v>
      </c>
      <c r="I374" s="6">
        <v>1</v>
      </c>
      <c r="J374" s="8">
        <v>30000</v>
      </c>
      <c r="K374" s="8">
        <f t="shared" si="4"/>
        <v>343.56390288593678</v>
      </c>
      <c r="L374" s="96">
        <v>44310</v>
      </c>
      <c r="M374" s="6" t="s">
        <v>253</v>
      </c>
      <c r="N374" s="96">
        <v>44310</v>
      </c>
      <c r="O374" s="22" t="s">
        <v>5425</v>
      </c>
      <c r="R374" s="6" t="str">
        <f t="shared" ca="1" si="5"/>
        <v>NonCategory</v>
      </c>
    </row>
    <row r="375" spans="1:18">
      <c r="A375" s="162">
        <v>44310</v>
      </c>
      <c r="B375" s="164" t="s">
        <v>1174</v>
      </c>
      <c r="C375" s="168" t="s">
        <v>1175</v>
      </c>
      <c r="D375" s="6" t="s">
        <v>287</v>
      </c>
      <c r="E375" s="6" t="s">
        <v>6</v>
      </c>
      <c r="F375" s="80">
        <v>44287</v>
      </c>
      <c r="G375" s="6" t="s">
        <v>16</v>
      </c>
      <c r="H375" s="6" t="s">
        <v>936</v>
      </c>
      <c r="I375" s="6">
        <v>1</v>
      </c>
      <c r="J375" s="8">
        <v>45000</v>
      </c>
      <c r="K375" s="8">
        <f t="shared" si="4"/>
        <v>515.34585432890515</v>
      </c>
      <c r="L375" s="96">
        <v>44312</v>
      </c>
      <c r="M375" s="6" t="s">
        <v>253</v>
      </c>
      <c r="N375" s="96">
        <v>44312</v>
      </c>
      <c r="O375" s="20" t="s">
        <v>5426</v>
      </c>
      <c r="Q375" s="6" t="s">
        <v>280</v>
      </c>
      <c r="R375" s="6" t="str">
        <f t="shared" ca="1" si="5"/>
        <v>NonCategory</v>
      </c>
    </row>
    <row r="376" spans="1:18">
      <c r="A376" s="162">
        <v>44313</v>
      </c>
      <c r="B376" s="164" t="s">
        <v>1176</v>
      </c>
      <c r="C376" s="168" t="s">
        <v>1177</v>
      </c>
      <c r="D376" s="6" t="s">
        <v>287</v>
      </c>
      <c r="E376" s="2" t="s">
        <v>150</v>
      </c>
      <c r="F376" s="80">
        <v>44287</v>
      </c>
      <c r="G376" s="6" t="s">
        <v>16</v>
      </c>
      <c r="H376" s="6" t="s">
        <v>1160</v>
      </c>
      <c r="I376" s="6">
        <v>1</v>
      </c>
      <c r="J376" s="8">
        <v>21000</v>
      </c>
      <c r="K376" s="8">
        <f t="shared" si="4"/>
        <v>240.49473202015577</v>
      </c>
      <c r="L376" s="96">
        <v>44313</v>
      </c>
      <c r="M376" s="6" t="s">
        <v>253</v>
      </c>
      <c r="N376" s="96">
        <v>44313</v>
      </c>
      <c r="O376" s="22" t="s">
        <v>5427</v>
      </c>
      <c r="Q376" s="6" t="s">
        <v>280</v>
      </c>
      <c r="R376" s="6" t="str">
        <f t="shared" ca="1" si="5"/>
        <v>NonCategory</v>
      </c>
    </row>
    <row r="377" spans="1:18">
      <c r="A377" s="162">
        <v>44312</v>
      </c>
      <c r="B377" s="164" t="s">
        <v>1178</v>
      </c>
      <c r="C377" s="168" t="s">
        <v>1179</v>
      </c>
      <c r="D377" s="6" t="s">
        <v>278</v>
      </c>
      <c r="E377" s="6" t="s">
        <v>25</v>
      </c>
      <c r="F377" s="80">
        <v>44287</v>
      </c>
      <c r="G377" s="6" t="s">
        <v>16</v>
      </c>
      <c r="H377" s="6" t="s">
        <v>936</v>
      </c>
      <c r="I377" s="6">
        <v>1</v>
      </c>
      <c r="J377" s="8">
        <v>45000</v>
      </c>
      <c r="K377" s="8">
        <f t="shared" si="4"/>
        <v>515.34585432890515</v>
      </c>
      <c r="L377" s="96">
        <v>44314</v>
      </c>
      <c r="M377" s="6" t="s">
        <v>253</v>
      </c>
      <c r="N377" s="96">
        <v>44314</v>
      </c>
      <c r="O377" s="22" t="s">
        <v>5428</v>
      </c>
      <c r="P377" s="6" t="s">
        <v>1180</v>
      </c>
      <c r="Q377" s="6" t="s">
        <v>356</v>
      </c>
      <c r="R377" s="6" t="str">
        <f t="shared" ca="1" si="5"/>
        <v>NonCategory</v>
      </c>
    </row>
    <row r="378" spans="1:18">
      <c r="A378" s="162">
        <v>44315</v>
      </c>
      <c r="B378" s="164" t="s">
        <v>1181</v>
      </c>
      <c r="C378" s="168" t="s">
        <v>1182</v>
      </c>
      <c r="D378" s="6" t="s">
        <v>291</v>
      </c>
      <c r="E378" s="6" t="s">
        <v>6</v>
      </c>
      <c r="F378" s="80">
        <v>44287</v>
      </c>
      <c r="G378" s="6" t="s">
        <v>16</v>
      </c>
      <c r="H378" s="6" t="s">
        <v>936</v>
      </c>
      <c r="I378" s="6">
        <v>1</v>
      </c>
      <c r="J378" s="8">
        <v>45000</v>
      </c>
      <c r="K378" s="8">
        <f t="shared" si="4"/>
        <v>515.34585432890515</v>
      </c>
      <c r="L378" s="96">
        <v>44315</v>
      </c>
      <c r="M378" s="6" t="s">
        <v>253</v>
      </c>
      <c r="N378" s="96">
        <v>44315</v>
      </c>
      <c r="O378" s="20" t="s">
        <v>5429</v>
      </c>
      <c r="Q378" s="6" t="s">
        <v>356</v>
      </c>
      <c r="R378" s="6" t="str">
        <f t="shared" ca="1" si="5"/>
        <v>NonCategory</v>
      </c>
    </row>
    <row r="379" spans="1:18">
      <c r="A379" s="162">
        <v>44317</v>
      </c>
      <c r="B379" s="164" t="s">
        <v>1183</v>
      </c>
      <c r="C379" s="168" t="s">
        <v>23</v>
      </c>
      <c r="D379" s="6" t="s">
        <v>278</v>
      </c>
      <c r="E379" s="6" t="s">
        <v>1184</v>
      </c>
      <c r="F379" s="80">
        <v>44317</v>
      </c>
      <c r="G379" s="6" t="s">
        <v>16</v>
      </c>
      <c r="H379" s="80">
        <v>44317</v>
      </c>
      <c r="I379" s="6">
        <v>1</v>
      </c>
      <c r="J379" s="8">
        <v>32000</v>
      </c>
      <c r="K379" s="8">
        <f t="shared" si="4"/>
        <v>366.46816307833262</v>
      </c>
      <c r="L379" s="96">
        <v>44317</v>
      </c>
      <c r="M379" s="6" t="s">
        <v>251</v>
      </c>
      <c r="N379" s="96">
        <v>44318</v>
      </c>
      <c r="O379" s="22" t="s">
        <v>5430</v>
      </c>
      <c r="P379" s="6" t="s">
        <v>1185</v>
      </c>
      <c r="Q379" s="6" t="s">
        <v>688</v>
      </c>
      <c r="R379" s="6" t="str">
        <f t="shared" ca="1" si="5"/>
        <v>NonCategory</v>
      </c>
    </row>
    <row r="380" spans="1:18">
      <c r="A380" s="162">
        <v>44319</v>
      </c>
      <c r="B380" s="164" t="s">
        <v>1186</v>
      </c>
      <c r="C380" s="168" t="s">
        <v>1187</v>
      </c>
      <c r="D380" s="6" t="s">
        <v>303</v>
      </c>
      <c r="E380" s="6" t="s">
        <v>25</v>
      </c>
      <c r="F380" s="80">
        <v>44317</v>
      </c>
      <c r="G380" s="6" t="s">
        <v>16</v>
      </c>
      <c r="H380" s="6" t="s">
        <v>936</v>
      </c>
      <c r="I380" s="6">
        <v>1</v>
      </c>
      <c r="J380" s="8">
        <v>45000</v>
      </c>
      <c r="K380" s="8">
        <f t="shared" si="4"/>
        <v>515.34585432890515</v>
      </c>
      <c r="L380" s="96">
        <v>44319</v>
      </c>
      <c r="M380" s="6" t="s">
        <v>251</v>
      </c>
      <c r="N380" s="96">
        <v>44319</v>
      </c>
      <c r="O380" s="22" t="s">
        <v>5431</v>
      </c>
      <c r="Q380" s="6" t="s">
        <v>356</v>
      </c>
      <c r="R380" s="6" t="str">
        <f t="shared" ca="1" si="5"/>
        <v>NonCategory</v>
      </c>
    </row>
    <row r="381" spans="1:18">
      <c r="A381" s="162">
        <v>44319</v>
      </c>
      <c r="B381" s="164" t="s">
        <v>1188</v>
      </c>
      <c r="C381" s="168" t="s">
        <v>1189</v>
      </c>
      <c r="D381" s="6" t="s">
        <v>274</v>
      </c>
      <c r="E381" s="6" t="s">
        <v>25</v>
      </c>
      <c r="F381" s="80">
        <v>44317</v>
      </c>
      <c r="G381" s="6" t="s">
        <v>16</v>
      </c>
      <c r="H381" s="6" t="s">
        <v>936</v>
      </c>
      <c r="I381" s="6">
        <v>1</v>
      </c>
      <c r="J381" s="8">
        <v>45000</v>
      </c>
      <c r="K381" s="8">
        <f t="shared" si="4"/>
        <v>515.34585432890515</v>
      </c>
      <c r="L381" s="96">
        <v>44319</v>
      </c>
      <c r="M381" s="6" t="s">
        <v>251</v>
      </c>
      <c r="N381" s="96">
        <v>44320</v>
      </c>
      <c r="O381" s="20" t="s">
        <v>5432</v>
      </c>
      <c r="Q381" s="6" t="s">
        <v>280</v>
      </c>
      <c r="R381" s="6" t="str">
        <f t="shared" ca="1" si="5"/>
        <v>NonCategory</v>
      </c>
    </row>
    <row r="382" spans="1:18">
      <c r="A382" s="162">
        <v>44320</v>
      </c>
      <c r="B382" s="164" t="s">
        <v>1190</v>
      </c>
      <c r="C382" s="168" t="s">
        <v>1191</v>
      </c>
      <c r="D382" s="6" t="s">
        <v>435</v>
      </c>
      <c r="E382" s="6" t="s">
        <v>96</v>
      </c>
      <c r="F382" s="80">
        <v>44317</v>
      </c>
      <c r="G382" s="6" t="s">
        <v>16</v>
      </c>
      <c r="H382" s="6" t="s">
        <v>1192</v>
      </c>
      <c r="I382" s="6">
        <v>1</v>
      </c>
      <c r="J382" s="8">
        <v>18000</v>
      </c>
      <c r="K382" s="8">
        <f t="shared" si="4"/>
        <v>206.13834173156206</v>
      </c>
      <c r="L382" s="96">
        <v>44320</v>
      </c>
      <c r="M382" s="6" t="s">
        <v>251</v>
      </c>
      <c r="N382" s="96">
        <v>44320</v>
      </c>
      <c r="O382" s="22" t="s">
        <v>5433</v>
      </c>
      <c r="Q382" s="6" t="s">
        <v>356</v>
      </c>
      <c r="R382" s="6" t="str">
        <f t="shared" ca="1" si="5"/>
        <v>NonCategory</v>
      </c>
    </row>
    <row r="383" spans="1:18">
      <c r="A383" s="162">
        <v>44320</v>
      </c>
      <c r="B383" s="164" t="s">
        <v>1193</v>
      </c>
      <c r="C383" s="168" t="s">
        <v>1194</v>
      </c>
      <c r="D383" s="6" t="s">
        <v>278</v>
      </c>
      <c r="E383" s="6" t="s">
        <v>96</v>
      </c>
      <c r="F383" s="80">
        <v>44317</v>
      </c>
      <c r="G383" s="6" t="s">
        <v>16</v>
      </c>
      <c r="H383" s="6" t="s">
        <v>1192</v>
      </c>
      <c r="I383" s="6">
        <v>1</v>
      </c>
      <c r="J383" s="8">
        <v>18000</v>
      </c>
      <c r="K383" s="8">
        <f t="shared" si="4"/>
        <v>206.13834173156206</v>
      </c>
      <c r="L383" s="96">
        <v>44320</v>
      </c>
      <c r="M383" s="6" t="s">
        <v>251</v>
      </c>
      <c r="N383" s="96">
        <v>44320</v>
      </c>
      <c r="O383" s="22" t="s">
        <v>5434</v>
      </c>
      <c r="P383" s="6" t="s">
        <v>1195</v>
      </c>
      <c r="Q383" s="6" t="s">
        <v>356</v>
      </c>
      <c r="R383" s="6" t="str">
        <f t="shared" ca="1" si="5"/>
        <v>NonCategory</v>
      </c>
    </row>
    <row r="384" spans="1:18">
      <c r="A384" s="162">
        <v>44320</v>
      </c>
      <c r="B384" s="164" t="s">
        <v>1196</v>
      </c>
      <c r="C384" s="168" t="s">
        <v>1197</v>
      </c>
      <c r="D384" s="6" t="s">
        <v>278</v>
      </c>
      <c r="E384" s="6" t="s">
        <v>96</v>
      </c>
      <c r="F384" s="80">
        <v>44317</v>
      </c>
      <c r="G384" s="6" t="s">
        <v>16</v>
      </c>
      <c r="H384" s="6" t="s">
        <v>1192</v>
      </c>
      <c r="I384" s="6">
        <v>1</v>
      </c>
      <c r="J384" s="8">
        <v>18000</v>
      </c>
      <c r="K384" s="8">
        <f t="shared" si="4"/>
        <v>206.13834173156206</v>
      </c>
      <c r="L384" s="96">
        <v>44320</v>
      </c>
      <c r="M384" s="6" t="s">
        <v>251</v>
      </c>
      <c r="N384" s="96">
        <v>44320</v>
      </c>
      <c r="O384" s="22" t="s">
        <v>5435</v>
      </c>
      <c r="P384" s="6" t="s">
        <v>1195</v>
      </c>
      <c r="Q384" s="6" t="s">
        <v>356</v>
      </c>
      <c r="R384" s="6" t="str">
        <f t="shared" ca="1" si="5"/>
        <v>NonCategory</v>
      </c>
    </row>
    <row r="385" spans="1:18">
      <c r="A385" s="162">
        <v>44321</v>
      </c>
      <c r="B385" s="165" t="s">
        <v>1198</v>
      </c>
      <c r="C385" s="168" t="s">
        <v>1199</v>
      </c>
      <c r="D385" s="2" t="s">
        <v>303</v>
      </c>
      <c r="E385" s="6" t="s">
        <v>96</v>
      </c>
      <c r="F385" s="80">
        <v>44317</v>
      </c>
      <c r="G385" s="6" t="s">
        <v>16</v>
      </c>
      <c r="H385" s="6" t="s">
        <v>936</v>
      </c>
      <c r="I385" s="6">
        <v>1</v>
      </c>
      <c r="J385" s="8">
        <v>20000</v>
      </c>
      <c r="K385" s="8">
        <f t="shared" si="4"/>
        <v>229.04260192395787</v>
      </c>
      <c r="L385" s="96">
        <v>44321</v>
      </c>
      <c r="M385" s="6" t="s">
        <v>251</v>
      </c>
      <c r="N385" s="96">
        <v>44321</v>
      </c>
      <c r="O385" s="22" t="s">
        <v>5436</v>
      </c>
      <c r="Q385" s="6" t="s">
        <v>280</v>
      </c>
      <c r="R385" s="6" t="str">
        <f t="shared" ca="1" si="5"/>
        <v>NonCategory</v>
      </c>
    </row>
    <row r="386" spans="1:18">
      <c r="A386" s="162">
        <v>44322</v>
      </c>
      <c r="B386" s="164" t="s">
        <v>1078</v>
      </c>
      <c r="C386" s="168" t="s">
        <v>1079</v>
      </c>
      <c r="D386" s="6" t="s">
        <v>274</v>
      </c>
      <c r="E386" s="6" t="s">
        <v>538</v>
      </c>
      <c r="F386" s="80">
        <v>44317</v>
      </c>
      <c r="G386" s="6" t="s">
        <v>16</v>
      </c>
      <c r="H386" s="96">
        <v>44324</v>
      </c>
      <c r="I386" s="6">
        <v>1</v>
      </c>
      <c r="J386" s="8">
        <v>13500</v>
      </c>
      <c r="K386" s="8">
        <f t="shared" si="4"/>
        <v>154.60375629867156</v>
      </c>
      <c r="L386" s="96">
        <v>44322</v>
      </c>
      <c r="M386" s="6" t="s">
        <v>251</v>
      </c>
      <c r="N386" s="96">
        <v>44322</v>
      </c>
      <c r="O386" s="20" t="s">
        <v>5437</v>
      </c>
      <c r="Q386" s="6" t="s">
        <v>356</v>
      </c>
      <c r="R386" s="6" t="str">
        <f t="shared" ca="1" si="5"/>
        <v>NonCategory</v>
      </c>
    </row>
    <row r="387" spans="1:18">
      <c r="A387" s="162">
        <v>44320</v>
      </c>
      <c r="B387" s="164" t="s">
        <v>1200</v>
      </c>
      <c r="C387" s="168" t="s">
        <v>1201</v>
      </c>
      <c r="D387" s="6" t="s">
        <v>495</v>
      </c>
      <c r="E387" s="6" t="s">
        <v>25</v>
      </c>
      <c r="F387" s="80">
        <v>44317</v>
      </c>
      <c r="G387" s="6" t="s">
        <v>16</v>
      </c>
      <c r="H387" s="6" t="s">
        <v>1202</v>
      </c>
      <c r="I387" s="6">
        <v>1</v>
      </c>
      <c r="J387" s="8">
        <v>45000</v>
      </c>
      <c r="K387" s="8">
        <f t="shared" si="4"/>
        <v>515.34585432890515</v>
      </c>
      <c r="L387" s="96">
        <v>44323</v>
      </c>
      <c r="M387" s="6" t="s">
        <v>251</v>
      </c>
      <c r="N387" s="96">
        <v>44323</v>
      </c>
      <c r="O387" s="22" t="s">
        <v>5438</v>
      </c>
      <c r="Q387" s="6" t="s">
        <v>280</v>
      </c>
      <c r="R387" s="6" t="str">
        <f t="shared" ca="1" si="5"/>
        <v>NonCategory</v>
      </c>
    </row>
    <row r="388" spans="1:18">
      <c r="A388" s="162">
        <v>44217</v>
      </c>
      <c r="B388" s="164" t="s">
        <v>1203</v>
      </c>
      <c r="C388" s="168" t="s">
        <v>1204</v>
      </c>
      <c r="D388" s="6" t="s">
        <v>547</v>
      </c>
      <c r="E388" s="6" t="s">
        <v>96</v>
      </c>
      <c r="F388" s="80">
        <v>44317</v>
      </c>
      <c r="G388" s="6" t="s">
        <v>16</v>
      </c>
      <c r="H388" s="6" t="s">
        <v>279</v>
      </c>
      <c r="I388" s="6">
        <v>1</v>
      </c>
      <c r="J388" s="8">
        <v>21000</v>
      </c>
      <c r="K388" s="8">
        <f t="shared" si="4"/>
        <v>240.49473202015577</v>
      </c>
      <c r="L388" s="97">
        <v>44224</v>
      </c>
      <c r="M388" s="6" t="s">
        <v>251</v>
      </c>
      <c r="N388" s="96">
        <v>44326</v>
      </c>
      <c r="O388" s="22" t="s">
        <v>5439</v>
      </c>
      <c r="Q388" s="6" t="s">
        <v>280</v>
      </c>
      <c r="R388" s="6" t="str">
        <f t="shared" ca="1" si="5"/>
        <v>NonCategory</v>
      </c>
    </row>
    <row r="389" spans="1:18">
      <c r="A389" s="162">
        <v>44321</v>
      </c>
      <c r="B389" s="164" t="s">
        <v>1205</v>
      </c>
      <c r="C389" s="168" t="s">
        <v>1206</v>
      </c>
      <c r="D389" s="6" t="s">
        <v>287</v>
      </c>
      <c r="E389" s="6" t="s">
        <v>25</v>
      </c>
      <c r="F389" s="80">
        <v>44378</v>
      </c>
      <c r="G389" s="6" t="s">
        <v>16</v>
      </c>
      <c r="H389" s="6" t="s">
        <v>38</v>
      </c>
      <c r="I389" s="6">
        <v>1</v>
      </c>
      <c r="J389" s="8">
        <v>45000</v>
      </c>
      <c r="K389" s="8">
        <f t="shared" si="4"/>
        <v>515.34585432890515</v>
      </c>
      <c r="L389" s="96">
        <v>44321</v>
      </c>
      <c r="M389" s="6" t="s">
        <v>253</v>
      </c>
      <c r="N389" s="96">
        <v>44407</v>
      </c>
      <c r="O389" s="22" t="s">
        <v>5440</v>
      </c>
      <c r="Q389" s="6" t="s">
        <v>280</v>
      </c>
      <c r="R389" s="6" t="str">
        <f t="shared" ca="1" si="5"/>
        <v>NonCategory</v>
      </c>
    </row>
    <row r="390" spans="1:18">
      <c r="A390" s="162">
        <v>44326</v>
      </c>
      <c r="B390" s="164" t="s">
        <v>1207</v>
      </c>
      <c r="C390" s="168" t="s">
        <v>1208</v>
      </c>
      <c r="D390" s="6" t="s">
        <v>303</v>
      </c>
      <c r="E390" s="2" t="s">
        <v>150</v>
      </c>
      <c r="F390" s="80">
        <v>44317</v>
      </c>
      <c r="G390" s="6" t="s">
        <v>16</v>
      </c>
      <c r="H390" s="6" t="s">
        <v>279</v>
      </c>
      <c r="I390" s="6">
        <v>1</v>
      </c>
      <c r="J390" s="8">
        <v>21000</v>
      </c>
      <c r="K390" s="8">
        <f t="shared" si="4"/>
        <v>240.49473202015577</v>
      </c>
      <c r="L390" s="96">
        <v>44326</v>
      </c>
      <c r="M390" s="6" t="s">
        <v>251</v>
      </c>
      <c r="N390" s="96">
        <v>44326</v>
      </c>
      <c r="O390" s="22" t="s">
        <v>5441</v>
      </c>
      <c r="Q390" s="6" t="s">
        <v>356</v>
      </c>
      <c r="R390" s="6" t="str">
        <f t="shared" ca="1" si="5"/>
        <v>NonCategory</v>
      </c>
    </row>
    <row r="391" spans="1:18">
      <c r="A391" s="162">
        <v>44326</v>
      </c>
      <c r="B391" s="164" t="s">
        <v>1209</v>
      </c>
      <c r="C391" s="168" t="s">
        <v>1210</v>
      </c>
      <c r="D391" s="6" t="s">
        <v>303</v>
      </c>
      <c r="E391" s="2" t="s">
        <v>150</v>
      </c>
      <c r="F391" s="80">
        <v>44317</v>
      </c>
      <c r="G391" s="6" t="s">
        <v>16</v>
      </c>
      <c r="H391" s="6" t="s">
        <v>279</v>
      </c>
      <c r="I391" s="6">
        <v>1</v>
      </c>
      <c r="J391" s="8">
        <v>21000</v>
      </c>
      <c r="K391" s="8">
        <f t="shared" si="4"/>
        <v>240.49473202015577</v>
      </c>
      <c r="L391" s="96">
        <v>44326</v>
      </c>
      <c r="M391" s="6" t="s">
        <v>251</v>
      </c>
      <c r="N391" s="96">
        <v>44326</v>
      </c>
      <c r="O391" s="22" t="s">
        <v>5442</v>
      </c>
      <c r="Q391" s="6" t="s">
        <v>280</v>
      </c>
      <c r="R391" s="6" t="str">
        <f t="shared" ca="1" si="5"/>
        <v>NonCategory</v>
      </c>
    </row>
    <row r="392" spans="1:18">
      <c r="A392" s="162">
        <v>44326</v>
      </c>
      <c r="B392" s="164" t="s">
        <v>1200</v>
      </c>
      <c r="C392" s="168" t="s">
        <v>1211</v>
      </c>
      <c r="D392" s="6" t="s">
        <v>291</v>
      </c>
      <c r="E392" s="6" t="s">
        <v>25</v>
      </c>
      <c r="F392" s="80">
        <v>44317</v>
      </c>
      <c r="G392" s="6" t="s">
        <v>16</v>
      </c>
      <c r="H392" s="6" t="s">
        <v>1077</v>
      </c>
      <c r="I392" s="6">
        <v>1</v>
      </c>
      <c r="J392" s="8">
        <v>45000</v>
      </c>
      <c r="K392" s="8">
        <f t="shared" si="4"/>
        <v>515.34585432890515</v>
      </c>
      <c r="L392" s="96">
        <v>44326</v>
      </c>
      <c r="M392" s="6" t="s">
        <v>251</v>
      </c>
      <c r="N392" s="96">
        <v>44326</v>
      </c>
      <c r="O392" s="22" t="s">
        <v>5443</v>
      </c>
      <c r="Q392" s="6" t="s">
        <v>280</v>
      </c>
      <c r="R392" s="6" t="str">
        <f t="shared" ca="1" si="5"/>
        <v>NonCategory</v>
      </c>
    </row>
    <row r="393" spans="1:18">
      <c r="A393" s="162">
        <v>44327</v>
      </c>
      <c r="B393" s="164" t="s">
        <v>1212</v>
      </c>
      <c r="C393" s="168" t="s">
        <v>1213</v>
      </c>
      <c r="D393" s="6" t="s">
        <v>278</v>
      </c>
      <c r="E393" s="2" t="s">
        <v>150</v>
      </c>
      <c r="F393" s="80">
        <v>44317</v>
      </c>
      <c r="G393" s="6" t="s">
        <v>16</v>
      </c>
      <c r="H393" s="6" t="s">
        <v>279</v>
      </c>
      <c r="I393" s="6">
        <v>1</v>
      </c>
      <c r="J393" s="8">
        <v>21000</v>
      </c>
      <c r="K393" s="8">
        <f t="shared" si="4"/>
        <v>240.49473202015577</v>
      </c>
      <c r="L393" s="96">
        <v>44327</v>
      </c>
      <c r="M393" s="6" t="s">
        <v>252</v>
      </c>
      <c r="N393" s="96">
        <v>44327</v>
      </c>
      <c r="O393" s="22" t="s">
        <v>5444</v>
      </c>
      <c r="P393" s="6" t="s">
        <v>1214</v>
      </c>
      <c r="Q393" s="6" t="s">
        <v>280</v>
      </c>
      <c r="R393" s="6" t="str">
        <f t="shared" ca="1" si="5"/>
        <v>NonCategory</v>
      </c>
    </row>
    <row r="394" spans="1:18">
      <c r="A394" s="162">
        <v>44327</v>
      </c>
      <c r="B394" s="164" t="s">
        <v>1215</v>
      </c>
      <c r="C394" s="168" t="s">
        <v>1216</v>
      </c>
      <c r="D394" s="6" t="s">
        <v>278</v>
      </c>
      <c r="E394" s="2" t="s">
        <v>150</v>
      </c>
      <c r="F394" s="80">
        <v>44317</v>
      </c>
      <c r="G394" s="6" t="s">
        <v>16</v>
      </c>
      <c r="H394" s="6" t="s">
        <v>279</v>
      </c>
      <c r="I394" s="6">
        <v>1</v>
      </c>
      <c r="J394" s="8">
        <v>21000</v>
      </c>
      <c r="K394" s="8">
        <f t="shared" si="4"/>
        <v>240.49473202015577</v>
      </c>
      <c r="L394" s="96">
        <v>44327</v>
      </c>
      <c r="M394" s="6" t="s">
        <v>252</v>
      </c>
      <c r="N394" s="96">
        <v>44327</v>
      </c>
      <c r="O394" s="22" t="s">
        <v>5445</v>
      </c>
      <c r="P394" s="6" t="s">
        <v>1214</v>
      </c>
      <c r="Q394" s="6" t="s">
        <v>280</v>
      </c>
      <c r="R394" s="6" t="str">
        <f t="shared" ca="1" si="5"/>
        <v>NonCategory</v>
      </c>
    </row>
    <row r="395" spans="1:18">
      <c r="A395" s="162">
        <v>44329</v>
      </c>
      <c r="B395" s="164" t="s">
        <v>1217</v>
      </c>
      <c r="C395" s="168" t="s">
        <v>1134</v>
      </c>
      <c r="D395" s="6" t="s">
        <v>274</v>
      </c>
      <c r="E395" s="6" t="s">
        <v>1218</v>
      </c>
      <c r="F395" s="80">
        <v>44317</v>
      </c>
      <c r="G395" s="6" t="s">
        <v>16</v>
      </c>
      <c r="H395" s="80">
        <v>44317</v>
      </c>
      <c r="I395" s="6">
        <v>1</v>
      </c>
      <c r="J395" s="8">
        <v>10000</v>
      </c>
      <c r="K395" s="8">
        <f t="shared" si="4"/>
        <v>114.52130096197894</v>
      </c>
      <c r="L395" s="96">
        <v>44329</v>
      </c>
      <c r="M395" s="6" t="s">
        <v>252</v>
      </c>
      <c r="N395" s="96">
        <v>44329</v>
      </c>
      <c r="O395" s="22" t="s">
        <v>5446</v>
      </c>
      <c r="R395" s="6" t="str">
        <f t="shared" ca="1" si="5"/>
        <v>NonCategory</v>
      </c>
    </row>
    <row r="396" spans="1:18">
      <c r="A396" s="162">
        <v>44329</v>
      </c>
      <c r="B396" s="164" t="s">
        <v>1219</v>
      </c>
      <c r="C396" s="168" t="s">
        <v>1220</v>
      </c>
      <c r="D396" s="6" t="s">
        <v>297</v>
      </c>
      <c r="E396" s="6" t="s">
        <v>97</v>
      </c>
      <c r="F396" s="80">
        <v>44317</v>
      </c>
      <c r="G396" s="6" t="s">
        <v>16</v>
      </c>
      <c r="H396" s="6" t="s">
        <v>279</v>
      </c>
      <c r="I396" s="6">
        <v>1</v>
      </c>
      <c r="J396" s="8">
        <v>19000</v>
      </c>
      <c r="K396" s="8">
        <f t="shared" si="4"/>
        <v>217.59047182775998</v>
      </c>
      <c r="L396" s="96">
        <v>44329</v>
      </c>
      <c r="M396" s="6" t="s">
        <v>252</v>
      </c>
      <c r="N396" s="96">
        <v>44330</v>
      </c>
      <c r="O396" s="22" t="s">
        <v>5447</v>
      </c>
      <c r="Q396" s="6" t="s">
        <v>280</v>
      </c>
      <c r="R396" s="6" t="str">
        <f t="shared" ca="1" si="5"/>
        <v>NonCategory</v>
      </c>
    </row>
    <row r="397" spans="1:18">
      <c r="A397" s="162">
        <v>44331</v>
      </c>
      <c r="B397" s="164" t="s">
        <v>1133</v>
      </c>
      <c r="C397" s="168" t="s">
        <v>1134</v>
      </c>
      <c r="D397" s="6" t="s">
        <v>274</v>
      </c>
      <c r="E397" s="6" t="s">
        <v>1218</v>
      </c>
      <c r="F397" s="80">
        <v>44317</v>
      </c>
      <c r="G397" s="6" t="s">
        <v>16</v>
      </c>
      <c r="H397" s="80">
        <v>44317</v>
      </c>
      <c r="I397" s="6">
        <v>1</v>
      </c>
      <c r="J397" s="8">
        <v>175000</v>
      </c>
      <c r="K397" s="8">
        <f t="shared" si="4"/>
        <v>2004.1227668346314</v>
      </c>
      <c r="L397" s="96">
        <v>44331</v>
      </c>
      <c r="M397" s="6" t="s">
        <v>252</v>
      </c>
      <c r="N397" s="96">
        <v>44331</v>
      </c>
      <c r="O397" s="22" t="s">
        <v>5448</v>
      </c>
      <c r="R397" s="6" t="str">
        <f t="shared" ca="1" si="5"/>
        <v>NonCategory</v>
      </c>
    </row>
    <row r="398" spans="1:18">
      <c r="A398" s="162">
        <v>44331</v>
      </c>
      <c r="B398" s="164" t="s">
        <v>1221</v>
      </c>
      <c r="C398" s="168" t="s">
        <v>1222</v>
      </c>
      <c r="D398" s="6" t="s">
        <v>303</v>
      </c>
      <c r="E398" s="2" t="s">
        <v>150</v>
      </c>
      <c r="F398" s="80">
        <v>44317</v>
      </c>
      <c r="G398" s="6" t="s">
        <v>16</v>
      </c>
      <c r="H398" s="6" t="s">
        <v>1223</v>
      </c>
      <c r="I398" s="6">
        <v>1</v>
      </c>
      <c r="J398" s="8">
        <v>21000</v>
      </c>
      <c r="K398" s="8">
        <f t="shared" si="4"/>
        <v>240.49473202015577</v>
      </c>
      <c r="L398" s="96">
        <v>44331</v>
      </c>
      <c r="M398" s="6" t="s">
        <v>252</v>
      </c>
      <c r="N398" s="96">
        <v>44331</v>
      </c>
      <c r="O398" s="22" t="s">
        <v>5449</v>
      </c>
      <c r="Q398" s="6" t="s">
        <v>356</v>
      </c>
      <c r="R398" s="6" t="str">
        <f t="shared" ca="1" si="5"/>
        <v>NonCategory</v>
      </c>
    </row>
    <row r="399" spans="1:18">
      <c r="A399" s="162">
        <v>44331</v>
      </c>
      <c r="B399" s="164" t="s">
        <v>1224</v>
      </c>
      <c r="C399" s="168" t="s">
        <v>1225</v>
      </c>
      <c r="D399" s="6" t="s">
        <v>287</v>
      </c>
      <c r="E399" s="6" t="s">
        <v>25</v>
      </c>
      <c r="F399" s="80">
        <v>44317</v>
      </c>
      <c r="G399" s="6" t="s">
        <v>16</v>
      </c>
      <c r="H399" s="6" t="s">
        <v>1226</v>
      </c>
      <c r="I399" s="6">
        <v>1</v>
      </c>
      <c r="J399" s="8">
        <v>45000</v>
      </c>
      <c r="K399" s="8">
        <f t="shared" si="4"/>
        <v>515.34585432890515</v>
      </c>
      <c r="L399" s="96">
        <v>44331</v>
      </c>
      <c r="M399" s="6" t="s">
        <v>252</v>
      </c>
      <c r="N399" s="96">
        <v>44331</v>
      </c>
      <c r="O399" s="22" t="s">
        <v>5450</v>
      </c>
      <c r="Q399" s="6" t="s">
        <v>356</v>
      </c>
      <c r="R399" s="6" t="str">
        <f t="shared" ca="1" si="5"/>
        <v>NonCategory</v>
      </c>
    </row>
    <row r="400" spans="1:18">
      <c r="A400" s="162">
        <v>44333</v>
      </c>
      <c r="B400" s="164" t="s">
        <v>1227</v>
      </c>
      <c r="C400" s="168" t="s">
        <v>1228</v>
      </c>
      <c r="D400" s="6" t="s">
        <v>303</v>
      </c>
      <c r="E400" s="6" t="s">
        <v>96</v>
      </c>
      <c r="F400" s="80">
        <v>44317</v>
      </c>
      <c r="G400" s="6" t="s">
        <v>16</v>
      </c>
      <c r="H400" s="6" t="s">
        <v>1077</v>
      </c>
      <c r="I400" s="6">
        <v>1</v>
      </c>
      <c r="J400" s="8">
        <v>19000</v>
      </c>
      <c r="K400" s="8">
        <f t="shared" si="4"/>
        <v>217.59047182775998</v>
      </c>
      <c r="L400" s="96">
        <v>44333</v>
      </c>
      <c r="M400" s="6" t="s">
        <v>252</v>
      </c>
      <c r="N400" s="96">
        <v>44333</v>
      </c>
      <c r="O400" s="22" t="s">
        <v>5451</v>
      </c>
      <c r="Q400" s="6" t="s">
        <v>280</v>
      </c>
      <c r="R400" s="6" t="str">
        <f t="shared" ca="1" si="5"/>
        <v>NonCategory</v>
      </c>
    </row>
    <row r="401" spans="1:18">
      <c r="A401" s="162">
        <v>44335</v>
      </c>
      <c r="B401" s="164" t="s">
        <v>1229</v>
      </c>
      <c r="C401" s="168" t="s">
        <v>1230</v>
      </c>
      <c r="D401" s="6" t="s">
        <v>278</v>
      </c>
      <c r="E401" s="6" t="s">
        <v>538</v>
      </c>
      <c r="F401" s="80">
        <v>44317</v>
      </c>
      <c r="G401" s="6" t="s">
        <v>16</v>
      </c>
      <c r="H401" s="80">
        <v>44317</v>
      </c>
      <c r="I401" s="6">
        <v>1</v>
      </c>
      <c r="J401" s="8">
        <v>10000</v>
      </c>
      <c r="K401" s="8">
        <f t="shared" si="4"/>
        <v>114.52130096197894</v>
      </c>
      <c r="L401" s="96">
        <v>44335</v>
      </c>
      <c r="M401" s="6" t="s">
        <v>252</v>
      </c>
      <c r="N401" s="96">
        <v>44335</v>
      </c>
      <c r="O401" s="22" t="s">
        <v>5452</v>
      </c>
      <c r="P401" s="6" t="s">
        <v>1231</v>
      </c>
      <c r="Q401" s="6" t="s">
        <v>1232</v>
      </c>
      <c r="R401" s="6" t="str">
        <f t="shared" ca="1" si="5"/>
        <v>NonCategory</v>
      </c>
    </row>
    <row r="402" spans="1:18">
      <c r="A402" s="162">
        <v>44335</v>
      </c>
      <c r="B402" s="164" t="s">
        <v>1233</v>
      </c>
      <c r="C402" s="168" t="s">
        <v>1234</v>
      </c>
      <c r="D402" s="6" t="s">
        <v>303</v>
      </c>
      <c r="E402" s="6" t="s">
        <v>25</v>
      </c>
      <c r="F402" s="80">
        <v>44317</v>
      </c>
      <c r="G402" s="6" t="s">
        <v>16</v>
      </c>
      <c r="H402" s="6" t="s">
        <v>1077</v>
      </c>
      <c r="I402" s="6">
        <v>1</v>
      </c>
      <c r="J402" s="8">
        <v>45000</v>
      </c>
      <c r="K402" s="8">
        <f t="shared" si="4"/>
        <v>515.34585432890515</v>
      </c>
      <c r="L402" s="96">
        <v>44335</v>
      </c>
      <c r="M402" s="6" t="s">
        <v>252</v>
      </c>
      <c r="N402" s="96">
        <v>44335</v>
      </c>
      <c r="O402" s="22" t="s">
        <v>5453</v>
      </c>
      <c r="Q402" s="6" t="s">
        <v>356</v>
      </c>
      <c r="R402" s="6" t="str">
        <f t="shared" ca="1" si="5"/>
        <v>NonCategory</v>
      </c>
    </row>
    <row r="403" spans="1:18">
      <c r="A403" s="162">
        <v>44336</v>
      </c>
      <c r="B403" s="164" t="s">
        <v>969</v>
      </c>
      <c r="C403" s="168" t="s">
        <v>970</v>
      </c>
      <c r="D403" s="6" t="s">
        <v>303</v>
      </c>
      <c r="E403" s="6" t="s">
        <v>151</v>
      </c>
      <c r="F403" s="80">
        <v>44317</v>
      </c>
      <c r="G403" s="6" t="s">
        <v>16</v>
      </c>
      <c r="H403" s="6" t="s">
        <v>1077</v>
      </c>
      <c r="I403" s="6">
        <v>1</v>
      </c>
      <c r="J403" s="8">
        <v>21000</v>
      </c>
      <c r="K403" s="8">
        <f t="shared" si="4"/>
        <v>240.49473202015577</v>
      </c>
      <c r="L403" s="96">
        <v>44336</v>
      </c>
      <c r="M403" s="6" t="s">
        <v>252</v>
      </c>
      <c r="N403" s="96">
        <v>44336</v>
      </c>
      <c r="O403" s="22" t="s">
        <v>5454</v>
      </c>
      <c r="Q403" s="6" t="s">
        <v>280</v>
      </c>
      <c r="R403" s="6" t="str">
        <f t="shared" ca="1" si="5"/>
        <v>NonCategory</v>
      </c>
    </row>
    <row r="404" spans="1:18">
      <c r="A404" s="162">
        <v>44336</v>
      </c>
      <c r="B404" s="164" t="s">
        <v>1235</v>
      </c>
      <c r="C404" s="168" t="s">
        <v>1236</v>
      </c>
      <c r="D404" s="6" t="s">
        <v>319</v>
      </c>
      <c r="E404" s="2" t="s">
        <v>150</v>
      </c>
      <c r="F404" s="80">
        <v>44317</v>
      </c>
      <c r="G404" s="6" t="s">
        <v>16</v>
      </c>
      <c r="H404" s="6" t="s">
        <v>1237</v>
      </c>
      <c r="I404" s="6">
        <v>1</v>
      </c>
      <c r="J404" s="8">
        <v>20000</v>
      </c>
      <c r="K404" s="8">
        <f t="shared" si="4"/>
        <v>229.04260192395787</v>
      </c>
      <c r="L404" s="96">
        <v>44336</v>
      </c>
      <c r="M404" s="6" t="s">
        <v>252</v>
      </c>
      <c r="N404" s="96">
        <v>44336</v>
      </c>
      <c r="O404" s="20" t="s">
        <v>5455</v>
      </c>
      <c r="Q404" s="6" t="s">
        <v>356</v>
      </c>
      <c r="R404" s="6" t="str">
        <f t="shared" ca="1" si="5"/>
        <v>NonCategory</v>
      </c>
    </row>
    <row r="405" spans="1:18">
      <c r="A405" s="162">
        <v>44337</v>
      </c>
      <c r="B405" s="164" t="s">
        <v>1238</v>
      </c>
      <c r="C405" s="168" t="s">
        <v>1239</v>
      </c>
      <c r="D405" s="6" t="s">
        <v>278</v>
      </c>
      <c r="E405" s="6" t="s">
        <v>97</v>
      </c>
      <c r="F405" s="80">
        <v>44317</v>
      </c>
      <c r="G405" s="6" t="s">
        <v>16</v>
      </c>
      <c r="H405" s="6" t="s">
        <v>1237</v>
      </c>
      <c r="I405" s="6">
        <v>1</v>
      </c>
      <c r="J405" s="8">
        <v>20000</v>
      </c>
      <c r="K405" s="8">
        <f t="shared" si="4"/>
        <v>229.04260192395787</v>
      </c>
      <c r="L405" s="96">
        <v>44337</v>
      </c>
      <c r="M405" s="6" t="s">
        <v>253</v>
      </c>
      <c r="N405" s="96">
        <v>44337</v>
      </c>
      <c r="O405" s="22" t="s">
        <v>5456</v>
      </c>
      <c r="P405" s="6" t="s">
        <v>1240</v>
      </c>
      <c r="Q405" s="6" t="s">
        <v>280</v>
      </c>
      <c r="R405" s="6" t="str">
        <f t="shared" ca="1" si="5"/>
        <v>NonCategory</v>
      </c>
    </row>
    <row r="406" spans="1:18">
      <c r="A406" s="162">
        <v>44337</v>
      </c>
      <c r="B406" s="164" t="s">
        <v>1241</v>
      </c>
      <c r="C406" s="168" t="s">
        <v>1242</v>
      </c>
      <c r="D406" s="6" t="s">
        <v>287</v>
      </c>
      <c r="E406" s="6" t="s">
        <v>25</v>
      </c>
      <c r="F406" s="80">
        <v>44317</v>
      </c>
      <c r="G406" s="6" t="s">
        <v>16</v>
      </c>
      <c r="H406" s="6" t="s">
        <v>1077</v>
      </c>
      <c r="I406" s="6">
        <v>1</v>
      </c>
      <c r="J406" s="8">
        <v>45000</v>
      </c>
      <c r="K406" s="8">
        <f t="shared" si="4"/>
        <v>515.34585432890515</v>
      </c>
      <c r="L406" s="96">
        <v>44337</v>
      </c>
      <c r="M406" s="6" t="s">
        <v>253</v>
      </c>
      <c r="N406" s="96">
        <v>44337</v>
      </c>
      <c r="O406" s="20" t="s">
        <v>5457</v>
      </c>
      <c r="Q406" s="6" t="s">
        <v>280</v>
      </c>
      <c r="R406" s="6" t="str">
        <f t="shared" ca="1" si="5"/>
        <v>NonCategory</v>
      </c>
    </row>
    <row r="407" spans="1:18">
      <c r="A407" s="162">
        <v>44337</v>
      </c>
      <c r="B407" s="164" t="s">
        <v>1243</v>
      </c>
      <c r="C407" s="168" t="s">
        <v>1244</v>
      </c>
      <c r="D407" s="6" t="s">
        <v>319</v>
      </c>
      <c r="E407" s="6" t="s">
        <v>6</v>
      </c>
      <c r="F407" s="80">
        <v>44317</v>
      </c>
      <c r="G407" s="6" t="s">
        <v>16</v>
      </c>
      <c r="H407" s="6" t="s">
        <v>1237</v>
      </c>
      <c r="I407" s="6">
        <v>1</v>
      </c>
      <c r="J407" s="8">
        <v>45000</v>
      </c>
      <c r="K407" s="8">
        <f t="shared" si="4"/>
        <v>515.34585432890515</v>
      </c>
      <c r="L407" s="96">
        <v>44337</v>
      </c>
      <c r="M407" s="6" t="s">
        <v>253</v>
      </c>
      <c r="N407" s="96">
        <v>44337</v>
      </c>
      <c r="O407" s="22" t="s">
        <v>5458</v>
      </c>
      <c r="Q407" s="6" t="s">
        <v>280</v>
      </c>
      <c r="R407" s="6" t="str">
        <f t="shared" ca="1" si="5"/>
        <v>NonCategory</v>
      </c>
    </row>
    <row r="408" spans="1:18">
      <c r="A408" s="162">
        <v>44337</v>
      </c>
      <c r="B408" s="164" t="s">
        <v>1245</v>
      </c>
      <c r="C408" s="168" t="s">
        <v>1246</v>
      </c>
      <c r="D408" s="6" t="s">
        <v>278</v>
      </c>
      <c r="E408" s="6" t="s">
        <v>6</v>
      </c>
      <c r="F408" s="80">
        <v>44317</v>
      </c>
      <c r="G408" s="6" t="s">
        <v>16</v>
      </c>
      <c r="H408" s="6" t="s">
        <v>1237</v>
      </c>
      <c r="I408" s="6">
        <v>1</v>
      </c>
      <c r="J408" s="8">
        <v>45000</v>
      </c>
      <c r="K408" s="8">
        <f t="shared" si="4"/>
        <v>515.34585432890515</v>
      </c>
      <c r="L408" s="96">
        <v>44337</v>
      </c>
      <c r="M408" s="6" t="s">
        <v>253</v>
      </c>
      <c r="N408" s="96">
        <v>44337</v>
      </c>
      <c r="O408" s="22" t="s">
        <v>5459</v>
      </c>
      <c r="P408" s="6" t="s">
        <v>1247</v>
      </c>
      <c r="Q408" s="6" t="s">
        <v>280</v>
      </c>
      <c r="R408" s="6" t="str">
        <f t="shared" ca="1" si="5"/>
        <v>NonCategory</v>
      </c>
    </row>
    <row r="409" spans="1:18">
      <c r="A409" s="162">
        <v>44338</v>
      </c>
      <c r="B409" s="164" t="s">
        <v>1248</v>
      </c>
      <c r="C409" s="168" t="s">
        <v>1249</v>
      </c>
      <c r="D409" s="6" t="s">
        <v>278</v>
      </c>
      <c r="E409" s="6" t="s">
        <v>96</v>
      </c>
      <c r="F409" s="80">
        <v>44317</v>
      </c>
      <c r="G409" s="6" t="s">
        <v>16</v>
      </c>
      <c r="H409" s="6" t="s">
        <v>1192</v>
      </c>
      <c r="I409" s="6">
        <v>1</v>
      </c>
      <c r="J409" s="8">
        <v>19000</v>
      </c>
      <c r="K409" s="8">
        <f t="shared" si="4"/>
        <v>217.59047182775998</v>
      </c>
      <c r="L409" s="96">
        <v>44338</v>
      </c>
      <c r="M409" s="6" t="s">
        <v>253</v>
      </c>
      <c r="N409" s="96">
        <v>44338</v>
      </c>
      <c r="O409" s="22" t="s">
        <v>5460</v>
      </c>
      <c r="P409" s="6" t="s">
        <v>1250</v>
      </c>
      <c r="Q409" s="6" t="s">
        <v>356</v>
      </c>
      <c r="R409" s="6" t="str">
        <f t="shared" ca="1" si="5"/>
        <v>NonCategory</v>
      </c>
    </row>
    <row r="410" spans="1:18">
      <c r="A410" s="162">
        <v>44337</v>
      </c>
      <c r="B410" s="164" t="s">
        <v>1251</v>
      </c>
      <c r="C410" s="168" t="s">
        <v>1252</v>
      </c>
      <c r="D410" s="6" t="s">
        <v>287</v>
      </c>
      <c r="E410" s="6" t="s">
        <v>1253</v>
      </c>
      <c r="F410" s="80">
        <v>44317</v>
      </c>
      <c r="G410" s="6" t="s">
        <v>16</v>
      </c>
      <c r="H410" s="80">
        <v>44317</v>
      </c>
      <c r="I410" s="6">
        <v>1</v>
      </c>
      <c r="J410" s="8">
        <v>43000</v>
      </c>
      <c r="K410" s="8">
        <f t="shared" si="4"/>
        <v>492.44159413650942</v>
      </c>
      <c r="L410" s="96">
        <v>44337</v>
      </c>
      <c r="M410" s="6" t="s">
        <v>253</v>
      </c>
      <c r="N410" s="96">
        <v>44340</v>
      </c>
      <c r="O410" s="22" t="s">
        <v>5461</v>
      </c>
      <c r="R410" s="6" t="str">
        <f t="shared" ca="1" si="5"/>
        <v>NonCategory</v>
      </c>
    </row>
    <row r="411" spans="1:18">
      <c r="A411" s="162">
        <v>44340</v>
      </c>
      <c r="B411" s="164" t="s">
        <v>1254</v>
      </c>
      <c r="C411" s="168" t="s">
        <v>1255</v>
      </c>
      <c r="D411" s="6" t="s">
        <v>278</v>
      </c>
      <c r="E411" s="6" t="s">
        <v>976</v>
      </c>
      <c r="F411" s="80">
        <v>44317</v>
      </c>
      <c r="G411" s="6" t="s">
        <v>16</v>
      </c>
      <c r="H411" s="80">
        <v>44317</v>
      </c>
      <c r="I411" s="6">
        <v>1</v>
      </c>
      <c r="J411" s="8">
        <v>15500</v>
      </c>
      <c r="K411" s="8">
        <f t="shared" si="4"/>
        <v>177.50801649106734</v>
      </c>
      <c r="L411" s="96">
        <v>44340</v>
      </c>
      <c r="M411" s="6" t="s">
        <v>253</v>
      </c>
      <c r="N411" s="96">
        <v>44340</v>
      </c>
      <c r="O411" s="22" t="s">
        <v>5462</v>
      </c>
      <c r="P411" s="6" t="s">
        <v>1256</v>
      </c>
      <c r="R411" s="6" t="str">
        <f t="shared" ca="1" si="5"/>
        <v>NonCategory</v>
      </c>
    </row>
    <row r="412" spans="1:18">
      <c r="A412" s="162">
        <v>44340</v>
      </c>
      <c r="B412" s="164" t="s">
        <v>1257</v>
      </c>
      <c r="C412" s="168" t="s">
        <v>1258</v>
      </c>
      <c r="D412" s="6" t="s">
        <v>287</v>
      </c>
      <c r="E412" s="6" t="s">
        <v>6</v>
      </c>
      <c r="F412" s="80">
        <v>44317</v>
      </c>
      <c r="G412" s="6" t="s">
        <v>16</v>
      </c>
      <c r="H412" s="6" t="s">
        <v>1237</v>
      </c>
      <c r="I412" s="6">
        <v>1</v>
      </c>
      <c r="J412" s="8">
        <v>45000</v>
      </c>
      <c r="K412" s="8">
        <f t="shared" si="4"/>
        <v>515.34585432890515</v>
      </c>
      <c r="L412" s="96">
        <v>44340</v>
      </c>
      <c r="M412" s="6" t="s">
        <v>253</v>
      </c>
      <c r="N412" s="96">
        <v>44340</v>
      </c>
      <c r="O412" s="22" t="s">
        <v>5463</v>
      </c>
      <c r="Q412" s="6" t="s">
        <v>280</v>
      </c>
      <c r="R412" s="6" t="str">
        <f t="shared" ca="1" si="5"/>
        <v>NonCategory</v>
      </c>
    </row>
    <row r="413" spans="1:18">
      <c r="A413" s="162">
        <v>44342</v>
      </c>
      <c r="B413" s="164" t="s">
        <v>1259</v>
      </c>
      <c r="C413" s="168" t="s">
        <v>1260</v>
      </c>
      <c r="D413" s="6" t="s">
        <v>303</v>
      </c>
      <c r="E413" s="2" t="s">
        <v>150</v>
      </c>
      <c r="F413" s="80">
        <v>44317</v>
      </c>
      <c r="G413" s="6" t="s">
        <v>16</v>
      </c>
      <c r="H413" s="6" t="s">
        <v>1192</v>
      </c>
      <c r="I413" s="6">
        <v>1</v>
      </c>
      <c r="J413" s="8">
        <v>20500</v>
      </c>
      <c r="K413" s="8">
        <f t="shared" si="4"/>
        <v>234.76866697205682</v>
      </c>
      <c r="L413" s="96">
        <v>44342</v>
      </c>
      <c r="M413" s="6" t="s">
        <v>253</v>
      </c>
      <c r="N413" s="96">
        <v>44342</v>
      </c>
      <c r="O413" s="22" t="s">
        <v>5464</v>
      </c>
      <c r="Q413" s="6" t="s">
        <v>356</v>
      </c>
      <c r="R413" s="6" t="str">
        <f t="shared" ca="1" si="5"/>
        <v>NonCategory</v>
      </c>
    </row>
    <row r="414" spans="1:18">
      <c r="A414" s="162">
        <v>44344</v>
      </c>
      <c r="B414" s="164" t="s">
        <v>1261</v>
      </c>
      <c r="C414" s="168" t="s">
        <v>1262</v>
      </c>
      <c r="D414" s="6" t="s">
        <v>291</v>
      </c>
      <c r="E414" s="6" t="s">
        <v>96</v>
      </c>
      <c r="F414" s="80">
        <v>44317</v>
      </c>
      <c r="G414" s="6" t="s">
        <v>16</v>
      </c>
      <c r="H414" s="6" t="s">
        <v>1237</v>
      </c>
      <c r="I414" s="6">
        <v>1</v>
      </c>
      <c r="J414" s="8">
        <v>19000</v>
      </c>
      <c r="K414" s="8">
        <f t="shared" si="4"/>
        <v>217.59047182775998</v>
      </c>
      <c r="L414" s="96">
        <v>44344</v>
      </c>
      <c r="M414" s="6" t="s">
        <v>253</v>
      </c>
      <c r="N414" s="96">
        <v>44344</v>
      </c>
      <c r="O414" s="22" t="s">
        <v>5465</v>
      </c>
      <c r="Q414" s="6" t="s">
        <v>280</v>
      </c>
      <c r="R414" s="6" t="str">
        <f t="shared" ca="1" si="5"/>
        <v>NonCategory</v>
      </c>
    </row>
    <row r="415" spans="1:18">
      <c r="A415" s="162">
        <v>44342</v>
      </c>
      <c r="B415" s="164" t="s">
        <v>1263</v>
      </c>
      <c r="C415" s="168" t="s">
        <v>1264</v>
      </c>
      <c r="D415" s="6" t="s">
        <v>303</v>
      </c>
      <c r="E415" s="6" t="s">
        <v>22</v>
      </c>
      <c r="F415" s="80">
        <v>44317</v>
      </c>
      <c r="G415" s="6" t="s">
        <v>13</v>
      </c>
      <c r="H415" s="6" t="s">
        <v>21</v>
      </c>
      <c r="I415" s="6">
        <v>1</v>
      </c>
      <c r="J415" s="6">
        <v>8000</v>
      </c>
      <c r="K415" s="8">
        <f t="shared" si="4"/>
        <v>91.617040769583156</v>
      </c>
      <c r="L415" s="96">
        <v>44342</v>
      </c>
      <c r="R415" s="6" t="str">
        <f t="shared" ca="1" si="5"/>
        <v>NonCategory</v>
      </c>
    </row>
    <row r="416" spans="1:18">
      <c r="A416" s="162">
        <v>44345</v>
      </c>
      <c r="B416" s="164" t="s">
        <v>1265</v>
      </c>
      <c r="C416" s="168" t="s">
        <v>1266</v>
      </c>
      <c r="D416" s="6" t="s">
        <v>278</v>
      </c>
      <c r="E416" s="2" t="s">
        <v>150</v>
      </c>
      <c r="F416" s="80">
        <v>44317</v>
      </c>
      <c r="G416" s="6" t="s">
        <v>16</v>
      </c>
      <c r="H416" s="6" t="s">
        <v>1237</v>
      </c>
      <c r="I416" s="6">
        <v>1</v>
      </c>
      <c r="J416" s="8">
        <v>20000</v>
      </c>
      <c r="K416" s="8">
        <f t="shared" si="4"/>
        <v>229.04260192395787</v>
      </c>
      <c r="L416" s="96">
        <v>44345</v>
      </c>
      <c r="M416" s="6" t="s">
        <v>253</v>
      </c>
      <c r="N416" s="96">
        <v>44345</v>
      </c>
      <c r="O416" s="22" t="s">
        <v>5466</v>
      </c>
      <c r="Q416" s="6" t="s">
        <v>280</v>
      </c>
      <c r="R416" s="6" t="str">
        <f t="shared" ca="1" si="5"/>
        <v>NonCategory</v>
      </c>
    </row>
    <row r="417" spans="1:18">
      <c r="A417" s="162">
        <v>44345</v>
      </c>
      <c r="B417" s="164" t="s">
        <v>1267</v>
      </c>
      <c r="C417" s="168" t="s">
        <v>1268</v>
      </c>
      <c r="D417" s="6" t="s">
        <v>287</v>
      </c>
      <c r="E417" s="6" t="s">
        <v>538</v>
      </c>
      <c r="F417" s="80">
        <v>44317</v>
      </c>
      <c r="G417" s="6" t="s">
        <v>16</v>
      </c>
      <c r="H417" s="80">
        <v>44348</v>
      </c>
      <c r="I417" s="6">
        <v>1</v>
      </c>
      <c r="J417" s="8">
        <v>12000</v>
      </c>
      <c r="K417" s="8">
        <f t="shared" si="4"/>
        <v>137.42556115437472</v>
      </c>
      <c r="L417" s="96">
        <v>44345</v>
      </c>
      <c r="M417" s="6" t="s">
        <v>253</v>
      </c>
      <c r="N417" s="96">
        <v>44345</v>
      </c>
      <c r="O417" s="22" t="s">
        <v>5467</v>
      </c>
      <c r="R417" s="6" t="str">
        <f t="shared" ca="1" si="5"/>
        <v>NonCategory</v>
      </c>
    </row>
    <row r="418" spans="1:18">
      <c r="A418" s="162">
        <v>44345</v>
      </c>
      <c r="B418" s="164" t="s">
        <v>1269</v>
      </c>
      <c r="C418" s="168" t="s">
        <v>1270</v>
      </c>
      <c r="D418" s="6" t="s">
        <v>303</v>
      </c>
      <c r="E418" s="6" t="s">
        <v>25</v>
      </c>
      <c r="F418" s="80">
        <v>44317</v>
      </c>
      <c r="G418" s="6" t="s">
        <v>16</v>
      </c>
      <c r="H418" s="6" t="s">
        <v>1226</v>
      </c>
      <c r="I418" s="6">
        <v>1</v>
      </c>
      <c r="J418" s="8">
        <v>45000</v>
      </c>
      <c r="K418" s="8">
        <f t="shared" si="4"/>
        <v>515.34585432890515</v>
      </c>
      <c r="L418" s="96">
        <v>44345</v>
      </c>
      <c r="M418" s="6" t="s">
        <v>253</v>
      </c>
      <c r="N418" s="96">
        <v>44345</v>
      </c>
      <c r="O418" s="22" t="s">
        <v>5468</v>
      </c>
      <c r="Q418" s="6" t="s">
        <v>280</v>
      </c>
      <c r="R418" s="6" t="str">
        <f t="shared" ca="1" si="5"/>
        <v>NonCategory</v>
      </c>
    </row>
    <row r="419" spans="1:18">
      <c r="A419" s="162">
        <v>44345</v>
      </c>
      <c r="B419" s="164" t="s">
        <v>1271</v>
      </c>
      <c r="C419" s="168" t="s">
        <v>1272</v>
      </c>
      <c r="D419" s="6" t="s">
        <v>278</v>
      </c>
      <c r="E419" s="6" t="s">
        <v>25</v>
      </c>
      <c r="F419" s="80">
        <v>44317</v>
      </c>
      <c r="G419" s="6" t="s">
        <v>16</v>
      </c>
      <c r="H419" s="6" t="s">
        <v>1226</v>
      </c>
      <c r="I419" s="6">
        <v>1</v>
      </c>
      <c r="J419" s="8">
        <v>45000</v>
      </c>
      <c r="K419" s="8">
        <f t="shared" si="4"/>
        <v>515.34585432890515</v>
      </c>
      <c r="L419" s="96">
        <v>44345</v>
      </c>
      <c r="M419" s="6" t="s">
        <v>253</v>
      </c>
      <c r="N419" s="96">
        <v>44345</v>
      </c>
      <c r="O419" s="22" t="s">
        <v>5469</v>
      </c>
      <c r="Q419" s="6" t="s">
        <v>356</v>
      </c>
      <c r="R419" s="6" t="str">
        <f t="shared" ca="1" si="5"/>
        <v>NonCategory</v>
      </c>
    </row>
    <row r="420" spans="1:18">
      <c r="A420" s="162">
        <v>44236</v>
      </c>
      <c r="B420" s="164" t="s">
        <v>1273</v>
      </c>
      <c r="C420" s="168" t="s">
        <v>1274</v>
      </c>
      <c r="D420" s="6" t="s">
        <v>319</v>
      </c>
      <c r="E420" s="6" t="s">
        <v>96</v>
      </c>
      <c r="F420" s="80">
        <v>44348</v>
      </c>
      <c r="G420" s="6" t="s">
        <v>16</v>
      </c>
      <c r="H420" s="6" t="s">
        <v>1202</v>
      </c>
      <c r="I420" s="6">
        <v>1</v>
      </c>
      <c r="J420" s="8">
        <v>20000</v>
      </c>
      <c r="K420" s="8">
        <f t="shared" si="4"/>
        <v>229.04260192395787</v>
      </c>
      <c r="L420" s="97">
        <v>44348</v>
      </c>
      <c r="M420" s="6" t="s">
        <v>251</v>
      </c>
      <c r="N420" s="96">
        <v>44348</v>
      </c>
      <c r="O420" s="22" t="s">
        <v>5470</v>
      </c>
      <c r="Q420" s="6" t="s">
        <v>280</v>
      </c>
      <c r="R420" s="6" t="str">
        <f t="shared" ca="1" si="5"/>
        <v>NonCategory</v>
      </c>
    </row>
    <row r="421" spans="1:18">
      <c r="A421" s="162">
        <v>44348</v>
      </c>
      <c r="B421" s="164" t="s">
        <v>1275</v>
      </c>
      <c r="C421" s="168" t="s">
        <v>1276</v>
      </c>
      <c r="D421" s="6" t="s">
        <v>278</v>
      </c>
      <c r="E421" s="6" t="s">
        <v>1277</v>
      </c>
      <c r="F421" s="80">
        <v>44348</v>
      </c>
      <c r="G421" s="6" t="s">
        <v>16</v>
      </c>
      <c r="H421" s="80">
        <v>44348</v>
      </c>
      <c r="I421" s="6">
        <v>1</v>
      </c>
      <c r="J421" s="8">
        <v>36000</v>
      </c>
      <c r="K421" s="8">
        <f t="shared" si="4"/>
        <v>412.27668346312413</v>
      </c>
      <c r="L421" s="96">
        <v>44348</v>
      </c>
      <c r="M421" s="6" t="s">
        <v>251</v>
      </c>
      <c r="N421" s="96">
        <v>44348</v>
      </c>
      <c r="O421" s="22" t="s">
        <v>5471</v>
      </c>
      <c r="P421" s="6" t="s">
        <v>1278</v>
      </c>
      <c r="Q421" s="6" t="s">
        <v>356</v>
      </c>
      <c r="R421" s="6" t="str">
        <f t="shared" ca="1" si="5"/>
        <v>NonCategory</v>
      </c>
    </row>
    <row r="422" spans="1:18">
      <c r="A422" s="162">
        <v>44349</v>
      </c>
      <c r="B422" s="164" t="s">
        <v>1279</v>
      </c>
      <c r="C422" s="168" t="s">
        <v>1280</v>
      </c>
      <c r="D422" s="6" t="s">
        <v>303</v>
      </c>
      <c r="E422" s="2" t="s">
        <v>150</v>
      </c>
      <c r="F422" s="80">
        <v>44348</v>
      </c>
      <c r="G422" s="6" t="s">
        <v>16</v>
      </c>
      <c r="H422" s="6" t="s">
        <v>1237</v>
      </c>
      <c r="I422" s="6">
        <v>1</v>
      </c>
      <c r="J422" s="8">
        <v>20000</v>
      </c>
      <c r="K422" s="8">
        <f t="shared" si="4"/>
        <v>229.04260192395787</v>
      </c>
      <c r="L422" s="96">
        <v>44349</v>
      </c>
      <c r="M422" s="6" t="s">
        <v>251</v>
      </c>
      <c r="N422" s="96">
        <v>44349</v>
      </c>
      <c r="O422" s="22" t="s">
        <v>5472</v>
      </c>
      <c r="Q422" s="6" t="s">
        <v>356</v>
      </c>
      <c r="R422" s="6" t="str">
        <f t="shared" ca="1" si="5"/>
        <v>NonCategory</v>
      </c>
    </row>
    <row r="423" spans="1:18">
      <c r="A423" s="162">
        <v>44349</v>
      </c>
      <c r="B423" s="164" t="s">
        <v>1281</v>
      </c>
      <c r="C423" s="168" t="s">
        <v>1282</v>
      </c>
      <c r="D423" s="6" t="s">
        <v>303</v>
      </c>
      <c r="E423" s="6" t="s">
        <v>25</v>
      </c>
      <c r="F423" s="80">
        <v>44348</v>
      </c>
      <c r="G423" s="6" t="s">
        <v>16</v>
      </c>
      <c r="H423" s="6" t="s">
        <v>1226</v>
      </c>
      <c r="I423" s="6">
        <v>1</v>
      </c>
      <c r="J423" s="8">
        <v>45000</v>
      </c>
      <c r="K423" s="8">
        <f t="shared" si="4"/>
        <v>515.34585432890515</v>
      </c>
      <c r="L423" s="96">
        <v>44349</v>
      </c>
      <c r="M423" s="6" t="s">
        <v>251</v>
      </c>
      <c r="N423" s="96">
        <v>44349</v>
      </c>
      <c r="O423" s="22" t="s">
        <v>5473</v>
      </c>
      <c r="Q423" s="6" t="s">
        <v>280</v>
      </c>
      <c r="R423" s="6" t="str">
        <f t="shared" ca="1" si="5"/>
        <v>NonCategory</v>
      </c>
    </row>
    <row r="424" spans="1:18">
      <c r="A424" s="162">
        <v>44350</v>
      </c>
      <c r="B424" s="164" t="s">
        <v>1283</v>
      </c>
      <c r="C424" s="168" t="s">
        <v>1284</v>
      </c>
      <c r="D424" s="6" t="s">
        <v>303</v>
      </c>
      <c r="E424" s="2" t="s">
        <v>150</v>
      </c>
      <c r="F424" s="80">
        <v>44348</v>
      </c>
      <c r="G424" s="6" t="s">
        <v>16</v>
      </c>
      <c r="H424" s="6" t="s">
        <v>1237</v>
      </c>
      <c r="I424" s="6">
        <v>1</v>
      </c>
      <c r="J424" s="8">
        <v>20500</v>
      </c>
      <c r="K424" s="8">
        <f t="shared" si="4"/>
        <v>234.76866697205682</v>
      </c>
      <c r="L424" s="96">
        <v>44350</v>
      </c>
      <c r="M424" s="6" t="s">
        <v>251</v>
      </c>
      <c r="N424" s="96">
        <v>44350</v>
      </c>
      <c r="O424" s="22" t="s">
        <v>5474</v>
      </c>
      <c r="Q424" s="6" t="s">
        <v>280</v>
      </c>
      <c r="R424" s="6" t="str">
        <f t="shared" ca="1" si="5"/>
        <v>NonCategory</v>
      </c>
    </row>
    <row r="425" spans="1:18">
      <c r="A425" s="162">
        <v>44350</v>
      </c>
      <c r="B425" s="164" t="s">
        <v>1285</v>
      </c>
      <c r="C425" s="168" t="s">
        <v>1286</v>
      </c>
      <c r="D425" s="6" t="s">
        <v>278</v>
      </c>
      <c r="E425" s="6" t="s">
        <v>1277</v>
      </c>
      <c r="F425" s="80">
        <v>44348</v>
      </c>
      <c r="G425" s="6" t="s">
        <v>16</v>
      </c>
      <c r="H425" s="80">
        <v>44348</v>
      </c>
      <c r="I425" s="6">
        <v>1</v>
      </c>
      <c r="J425" s="8">
        <v>36000</v>
      </c>
      <c r="K425" s="8">
        <f t="shared" si="4"/>
        <v>412.27668346312413</v>
      </c>
      <c r="L425" s="96">
        <v>44350</v>
      </c>
      <c r="M425" s="6" t="s">
        <v>251</v>
      </c>
      <c r="N425" s="96">
        <v>44350</v>
      </c>
      <c r="O425" s="22" t="s">
        <v>5475</v>
      </c>
      <c r="P425" s="6" t="s">
        <v>1278</v>
      </c>
      <c r="R425" s="6" t="str">
        <f t="shared" ca="1" si="5"/>
        <v>NonCategory</v>
      </c>
    </row>
    <row r="426" spans="1:18">
      <c r="A426" s="162">
        <v>44350</v>
      </c>
      <c r="B426" s="164" t="s">
        <v>1287</v>
      </c>
      <c r="C426" s="168" t="s">
        <v>1288</v>
      </c>
      <c r="D426" s="6" t="s">
        <v>306</v>
      </c>
      <c r="E426" s="6" t="s">
        <v>6</v>
      </c>
      <c r="F426" s="80">
        <v>44348</v>
      </c>
      <c r="G426" s="6" t="s">
        <v>16</v>
      </c>
      <c r="H426" s="6" t="s">
        <v>1237</v>
      </c>
      <c r="I426" s="6">
        <v>1</v>
      </c>
      <c r="J426" s="8">
        <v>45000</v>
      </c>
      <c r="K426" s="8">
        <f t="shared" si="4"/>
        <v>515.34585432890515</v>
      </c>
      <c r="L426" s="96">
        <v>44350</v>
      </c>
      <c r="M426" s="6" t="s">
        <v>251</v>
      </c>
      <c r="N426" s="96">
        <v>44350</v>
      </c>
      <c r="O426" s="22" t="s">
        <v>5476</v>
      </c>
      <c r="Q426" s="6" t="s">
        <v>356</v>
      </c>
      <c r="R426" s="6" t="str">
        <f t="shared" ca="1" si="5"/>
        <v>NonCategory</v>
      </c>
    </row>
    <row r="427" spans="1:18">
      <c r="A427" s="162">
        <v>44350</v>
      </c>
      <c r="B427" s="164" t="s">
        <v>1289</v>
      </c>
      <c r="C427" s="168" t="s">
        <v>1290</v>
      </c>
      <c r="D427" s="6" t="s">
        <v>1291</v>
      </c>
      <c r="E427" s="6" t="s">
        <v>6</v>
      </c>
      <c r="F427" s="80">
        <v>44348</v>
      </c>
      <c r="G427" s="6" t="s">
        <v>16</v>
      </c>
      <c r="H427" s="6" t="s">
        <v>1237</v>
      </c>
      <c r="I427" s="6">
        <v>1</v>
      </c>
      <c r="J427" s="8">
        <v>45000</v>
      </c>
      <c r="K427" s="8">
        <f t="shared" si="4"/>
        <v>515.34585432890515</v>
      </c>
      <c r="L427" s="96">
        <v>44350</v>
      </c>
      <c r="M427" s="6" t="s">
        <v>251</v>
      </c>
      <c r="N427" s="96">
        <v>44350</v>
      </c>
      <c r="O427" s="22" t="s">
        <v>5477</v>
      </c>
      <c r="Q427" s="6" t="s">
        <v>356</v>
      </c>
      <c r="R427" s="6" t="str">
        <f t="shared" ca="1" si="5"/>
        <v>NonCategory</v>
      </c>
    </row>
    <row r="428" spans="1:18">
      <c r="A428" s="162">
        <v>44350</v>
      </c>
      <c r="B428" s="164" t="s">
        <v>1292</v>
      </c>
      <c r="C428" s="168" t="s">
        <v>1293</v>
      </c>
      <c r="D428" s="6" t="s">
        <v>1295</v>
      </c>
      <c r="E428" s="6" t="s">
        <v>96</v>
      </c>
      <c r="F428" s="80">
        <v>44348</v>
      </c>
      <c r="G428" s="6" t="s">
        <v>16</v>
      </c>
      <c r="H428" s="6" t="s">
        <v>1226</v>
      </c>
      <c r="I428" s="6">
        <v>2</v>
      </c>
      <c r="J428" s="8">
        <v>38000</v>
      </c>
      <c r="K428" s="8">
        <f t="shared" si="4"/>
        <v>435.18094365551997</v>
      </c>
      <c r="L428" s="96">
        <v>44350</v>
      </c>
      <c r="M428" s="6" t="s">
        <v>251</v>
      </c>
      <c r="N428" s="96">
        <v>44350</v>
      </c>
      <c r="O428" s="54" t="s">
        <v>220</v>
      </c>
      <c r="Q428" s="6" t="s">
        <v>356</v>
      </c>
      <c r="R428" s="6" t="str">
        <f t="shared" ca="1" si="5"/>
        <v>NonCategory</v>
      </c>
    </row>
    <row r="429" spans="1:18">
      <c r="A429" s="162">
        <v>44351</v>
      </c>
      <c r="B429" s="164" t="s">
        <v>1296</v>
      </c>
      <c r="C429" s="168" t="s">
        <v>1297</v>
      </c>
      <c r="D429" s="6" t="s">
        <v>291</v>
      </c>
      <c r="E429" s="2" t="s">
        <v>150</v>
      </c>
      <c r="F429" s="80">
        <v>44348</v>
      </c>
      <c r="G429" s="6" t="s">
        <v>16</v>
      </c>
      <c r="H429" s="6" t="s">
        <v>1237</v>
      </c>
      <c r="I429" s="6">
        <v>1</v>
      </c>
      <c r="J429" s="8">
        <v>20000</v>
      </c>
      <c r="K429" s="8">
        <f t="shared" si="4"/>
        <v>229.04260192395787</v>
      </c>
      <c r="L429" s="96">
        <v>44351</v>
      </c>
      <c r="M429" s="6" t="s">
        <v>251</v>
      </c>
      <c r="N429" s="96">
        <v>44351</v>
      </c>
      <c r="O429" s="22" t="s">
        <v>5478</v>
      </c>
      <c r="Q429" s="6" t="s">
        <v>356</v>
      </c>
      <c r="R429" s="6" t="str">
        <f t="shared" ca="1" si="5"/>
        <v>NonCategory</v>
      </c>
    </row>
    <row r="430" spans="1:18">
      <c r="A430" s="162">
        <v>44352</v>
      </c>
      <c r="B430" s="164" t="s">
        <v>1298</v>
      </c>
      <c r="C430" s="168" t="s">
        <v>1299</v>
      </c>
      <c r="D430" s="6" t="s">
        <v>291</v>
      </c>
      <c r="E430" s="6" t="s">
        <v>25</v>
      </c>
      <c r="F430" s="80">
        <v>44348</v>
      </c>
      <c r="G430" s="6" t="s">
        <v>16</v>
      </c>
      <c r="H430" s="6" t="s">
        <v>1226</v>
      </c>
      <c r="I430" s="6">
        <v>1</v>
      </c>
      <c r="J430" s="8">
        <v>45000</v>
      </c>
      <c r="K430" s="8">
        <f t="shared" si="4"/>
        <v>515.34585432890515</v>
      </c>
      <c r="L430" s="96">
        <v>44352</v>
      </c>
      <c r="M430" s="6" t="s">
        <v>251</v>
      </c>
      <c r="N430" s="96">
        <v>44352</v>
      </c>
      <c r="O430" s="22" t="s">
        <v>5479</v>
      </c>
      <c r="Q430" s="6" t="s">
        <v>280</v>
      </c>
      <c r="R430" s="6" t="str">
        <f t="shared" ca="1" si="5"/>
        <v>NonCategory</v>
      </c>
    </row>
    <row r="431" spans="1:18">
      <c r="A431" s="162">
        <v>44353</v>
      </c>
      <c r="B431" s="164" t="s">
        <v>851</v>
      </c>
      <c r="C431" s="168" t="s">
        <v>1300</v>
      </c>
      <c r="D431" s="6" t="s">
        <v>278</v>
      </c>
      <c r="E431" s="6" t="s">
        <v>96</v>
      </c>
      <c r="F431" s="80">
        <v>44348</v>
      </c>
      <c r="G431" s="6" t="s">
        <v>16</v>
      </c>
      <c r="H431" s="6" t="s">
        <v>1226</v>
      </c>
      <c r="I431" s="6">
        <v>1</v>
      </c>
      <c r="J431" s="8">
        <v>20000</v>
      </c>
      <c r="K431" s="8">
        <f t="shared" si="4"/>
        <v>229.04260192395787</v>
      </c>
      <c r="L431" s="96">
        <v>44353</v>
      </c>
      <c r="M431" s="6" t="s">
        <v>251</v>
      </c>
      <c r="N431" s="96">
        <v>44353</v>
      </c>
      <c r="O431" s="22" t="s">
        <v>5480</v>
      </c>
      <c r="Q431" s="6" t="s">
        <v>356</v>
      </c>
      <c r="R431" s="6" t="str">
        <f t="shared" ca="1" si="5"/>
        <v>NonCategory</v>
      </c>
    </row>
    <row r="432" spans="1:18">
      <c r="A432" s="162">
        <v>44354</v>
      </c>
      <c r="B432" s="164" t="s">
        <v>1301</v>
      </c>
      <c r="C432" s="168" t="s">
        <v>1302</v>
      </c>
      <c r="D432" s="6" t="s">
        <v>291</v>
      </c>
      <c r="E432" s="6" t="s">
        <v>538</v>
      </c>
      <c r="F432" s="80">
        <v>44348</v>
      </c>
      <c r="G432" s="6" t="s">
        <v>16</v>
      </c>
      <c r="H432" s="96">
        <v>44359</v>
      </c>
      <c r="I432" s="6">
        <v>1</v>
      </c>
      <c r="J432" s="8">
        <v>12000</v>
      </c>
      <c r="K432" s="8">
        <f t="shared" si="4"/>
        <v>137.42556115437472</v>
      </c>
      <c r="L432" s="96">
        <v>44354</v>
      </c>
      <c r="M432" s="6" t="s">
        <v>251</v>
      </c>
      <c r="N432" s="96">
        <v>44354</v>
      </c>
      <c r="O432" s="22" t="s">
        <v>5481</v>
      </c>
      <c r="R432" s="6" t="str">
        <f t="shared" ca="1" si="5"/>
        <v>NonCategory</v>
      </c>
    </row>
    <row r="433" spans="1:18">
      <c r="A433" s="162">
        <v>44354</v>
      </c>
      <c r="B433" s="164" t="s">
        <v>1303</v>
      </c>
      <c r="C433" s="168" t="s">
        <v>1304</v>
      </c>
      <c r="D433" s="6" t="s">
        <v>303</v>
      </c>
      <c r="E433" s="6" t="s">
        <v>25</v>
      </c>
      <c r="F433" s="80">
        <v>44348</v>
      </c>
      <c r="G433" s="6" t="s">
        <v>16</v>
      </c>
      <c r="H433" s="6" t="s">
        <v>1226</v>
      </c>
      <c r="I433" s="6">
        <v>1</v>
      </c>
      <c r="J433" s="8">
        <v>45000</v>
      </c>
      <c r="K433" s="8">
        <f t="shared" si="4"/>
        <v>515.34585432890515</v>
      </c>
      <c r="L433" s="96">
        <v>44354</v>
      </c>
      <c r="M433" s="6" t="s">
        <v>251</v>
      </c>
      <c r="N433" s="96">
        <v>44354</v>
      </c>
      <c r="O433" s="18" t="s">
        <v>5482</v>
      </c>
      <c r="Q433" s="6" t="s">
        <v>356</v>
      </c>
      <c r="R433" s="6" t="str">
        <f t="shared" ca="1" si="5"/>
        <v>NonCategory</v>
      </c>
    </row>
    <row r="434" spans="1:18" ht="14.4">
      <c r="A434" s="162">
        <v>44355</v>
      </c>
      <c r="B434" s="164" t="s">
        <v>1305</v>
      </c>
      <c r="C434" s="168" t="s">
        <v>1306</v>
      </c>
      <c r="D434" s="6" t="s">
        <v>278</v>
      </c>
      <c r="E434" s="6" t="s">
        <v>96</v>
      </c>
      <c r="F434" s="80">
        <v>44348</v>
      </c>
      <c r="G434" s="6" t="s">
        <v>16</v>
      </c>
      <c r="H434" s="6" t="s">
        <v>1202</v>
      </c>
      <c r="I434" s="6">
        <v>1</v>
      </c>
      <c r="J434" s="8">
        <v>19000</v>
      </c>
      <c r="K434" s="8">
        <f t="shared" si="4"/>
        <v>217.59047182775998</v>
      </c>
      <c r="L434" s="96">
        <v>44355</v>
      </c>
      <c r="M434" s="6" t="s">
        <v>251</v>
      </c>
      <c r="N434" s="96">
        <v>44355</v>
      </c>
      <c r="O434" s="22" t="s">
        <v>5483</v>
      </c>
      <c r="P434" s="122" t="s">
        <v>1306</v>
      </c>
      <c r="Q434" s="6" t="s">
        <v>280</v>
      </c>
      <c r="R434" s="6" t="str">
        <f t="shared" ca="1" si="5"/>
        <v>NonCategory</v>
      </c>
    </row>
    <row r="435" spans="1:18">
      <c r="A435" s="162">
        <v>44355</v>
      </c>
      <c r="B435" s="164" t="s">
        <v>1307</v>
      </c>
      <c r="C435" s="168" t="s">
        <v>1308</v>
      </c>
      <c r="D435" s="6" t="s">
        <v>319</v>
      </c>
      <c r="E435" s="2" t="s">
        <v>150</v>
      </c>
      <c r="F435" s="80">
        <v>44348</v>
      </c>
      <c r="G435" s="6" t="s">
        <v>16</v>
      </c>
      <c r="H435" s="6" t="s">
        <v>1226</v>
      </c>
      <c r="I435" s="6">
        <v>1</v>
      </c>
      <c r="J435" s="8">
        <v>20000</v>
      </c>
      <c r="K435" s="8">
        <f t="shared" si="4"/>
        <v>229.04260192395787</v>
      </c>
      <c r="L435" s="96">
        <v>44355</v>
      </c>
      <c r="M435" s="6" t="s">
        <v>251</v>
      </c>
      <c r="N435" s="96">
        <v>44355</v>
      </c>
      <c r="O435" s="22" t="s">
        <v>5484</v>
      </c>
      <c r="Q435" s="6" t="s">
        <v>280</v>
      </c>
      <c r="R435" s="6" t="str">
        <f t="shared" ca="1" si="5"/>
        <v>NonCategory</v>
      </c>
    </row>
    <row r="436" spans="1:18">
      <c r="A436" s="162">
        <v>44355</v>
      </c>
      <c r="B436" s="164" t="s">
        <v>1309</v>
      </c>
      <c r="C436" s="168" t="s">
        <v>1310</v>
      </c>
      <c r="D436" s="6" t="s">
        <v>278</v>
      </c>
      <c r="E436" s="6" t="s">
        <v>96</v>
      </c>
      <c r="F436" s="80">
        <v>44348</v>
      </c>
      <c r="G436" s="6" t="s">
        <v>16</v>
      </c>
      <c r="H436" s="6" t="s">
        <v>1202</v>
      </c>
      <c r="I436" s="6">
        <v>1</v>
      </c>
      <c r="J436" s="8">
        <v>19000</v>
      </c>
      <c r="K436" s="8">
        <f t="shared" si="4"/>
        <v>217.59047182775998</v>
      </c>
      <c r="L436" s="96">
        <v>44355</v>
      </c>
      <c r="M436" s="6" t="s">
        <v>251</v>
      </c>
      <c r="N436" s="96">
        <v>44355</v>
      </c>
      <c r="O436" s="22" t="s">
        <v>5485</v>
      </c>
      <c r="Q436" s="6" t="s">
        <v>280</v>
      </c>
      <c r="R436" s="6" t="str">
        <f t="shared" ca="1" si="5"/>
        <v>NonCategory</v>
      </c>
    </row>
    <row r="437" spans="1:18">
      <c r="A437" s="162">
        <v>44355</v>
      </c>
      <c r="B437" s="164" t="s">
        <v>1311</v>
      </c>
      <c r="C437" s="168" t="s">
        <v>1312</v>
      </c>
      <c r="D437" s="6" t="s">
        <v>547</v>
      </c>
      <c r="E437" s="6" t="s">
        <v>96</v>
      </c>
      <c r="F437" s="80">
        <v>44348</v>
      </c>
      <c r="G437" s="6" t="s">
        <v>16</v>
      </c>
      <c r="H437" s="6" t="s">
        <v>1202</v>
      </c>
      <c r="I437" s="6">
        <v>1</v>
      </c>
      <c r="J437" s="8">
        <v>18000</v>
      </c>
      <c r="K437" s="8">
        <f t="shared" si="4"/>
        <v>206.13834173156206</v>
      </c>
      <c r="L437" s="96">
        <v>44355</v>
      </c>
      <c r="M437" s="6" t="s">
        <v>251</v>
      </c>
      <c r="N437" s="96">
        <v>44355</v>
      </c>
      <c r="O437" s="22" t="s">
        <v>5486</v>
      </c>
      <c r="Q437" s="6" t="s">
        <v>280</v>
      </c>
      <c r="R437" s="6" t="str">
        <f t="shared" ca="1" si="5"/>
        <v>NonCategory</v>
      </c>
    </row>
    <row r="438" spans="1:18">
      <c r="A438" s="162">
        <v>44355</v>
      </c>
      <c r="B438" s="164" t="s">
        <v>1313</v>
      </c>
      <c r="C438" s="168" t="s">
        <v>1314</v>
      </c>
      <c r="D438" s="6" t="s">
        <v>343</v>
      </c>
      <c r="E438" s="2" t="s">
        <v>150</v>
      </c>
      <c r="F438" s="80">
        <v>44348</v>
      </c>
      <c r="G438" s="6" t="s">
        <v>16</v>
      </c>
      <c r="H438" s="6" t="s">
        <v>1226</v>
      </c>
      <c r="I438" s="6">
        <v>1</v>
      </c>
      <c r="J438" s="8">
        <v>20500</v>
      </c>
      <c r="K438" s="8">
        <f t="shared" si="4"/>
        <v>234.76866697205682</v>
      </c>
      <c r="L438" s="96">
        <v>44355</v>
      </c>
      <c r="M438" s="6" t="s">
        <v>251</v>
      </c>
      <c r="N438" s="96">
        <v>44356</v>
      </c>
      <c r="O438" s="22" t="s">
        <v>5487</v>
      </c>
      <c r="Q438" s="6" t="s">
        <v>280</v>
      </c>
      <c r="R438" s="6" t="str">
        <f t="shared" ca="1" si="5"/>
        <v>NonCategory</v>
      </c>
    </row>
    <row r="439" spans="1:18">
      <c r="A439" s="162">
        <v>44356</v>
      </c>
      <c r="B439" s="164" t="s">
        <v>1315</v>
      </c>
      <c r="C439" s="168" t="s">
        <v>1316</v>
      </c>
      <c r="D439" s="6" t="s">
        <v>278</v>
      </c>
      <c r="E439" s="6" t="s">
        <v>1317</v>
      </c>
      <c r="F439" s="80">
        <v>44348</v>
      </c>
      <c r="G439" s="6" t="s">
        <v>16</v>
      </c>
      <c r="H439" s="80">
        <v>44348</v>
      </c>
      <c r="I439" s="6">
        <v>1</v>
      </c>
      <c r="J439" s="8">
        <v>4500</v>
      </c>
      <c r="K439" s="8">
        <f t="shared" si="4"/>
        <v>51.534585432890516</v>
      </c>
      <c r="L439" s="96">
        <v>44356</v>
      </c>
      <c r="M439" s="6" t="s">
        <v>251</v>
      </c>
      <c r="N439" s="96">
        <v>44356</v>
      </c>
      <c r="O439" s="22" t="s">
        <v>5488</v>
      </c>
      <c r="R439" s="6" t="str">
        <f t="shared" ca="1" si="5"/>
        <v>NonCategory</v>
      </c>
    </row>
    <row r="440" spans="1:18">
      <c r="A440" s="162">
        <v>44357</v>
      </c>
      <c r="B440" s="164" t="s">
        <v>1318</v>
      </c>
      <c r="C440" s="168" t="s">
        <v>1319</v>
      </c>
      <c r="D440" s="6" t="s">
        <v>319</v>
      </c>
      <c r="E440" s="6" t="s">
        <v>96</v>
      </c>
      <c r="F440" s="80">
        <v>44348</v>
      </c>
      <c r="G440" s="6" t="s">
        <v>16</v>
      </c>
      <c r="H440" s="6" t="s">
        <v>1157</v>
      </c>
      <c r="I440" s="6">
        <v>1</v>
      </c>
      <c r="J440" s="8">
        <v>19000</v>
      </c>
      <c r="K440" s="8">
        <f t="shared" si="4"/>
        <v>217.59047182775998</v>
      </c>
      <c r="L440" s="96">
        <v>44357</v>
      </c>
      <c r="M440" s="6" t="s">
        <v>251</v>
      </c>
      <c r="N440" s="96">
        <v>44357</v>
      </c>
      <c r="O440" s="22" t="s">
        <v>5489</v>
      </c>
      <c r="Q440" s="6" t="s">
        <v>356</v>
      </c>
      <c r="R440" s="6" t="str">
        <f t="shared" ca="1" si="5"/>
        <v>NonCategory</v>
      </c>
    </row>
    <row r="441" spans="1:18">
      <c r="A441" s="162">
        <v>44357</v>
      </c>
      <c r="B441" s="164" t="s">
        <v>1261</v>
      </c>
      <c r="C441" s="168" t="s">
        <v>1262</v>
      </c>
      <c r="D441" s="6" t="s">
        <v>274</v>
      </c>
      <c r="E441" s="6" t="s">
        <v>976</v>
      </c>
      <c r="F441" s="80">
        <v>44348</v>
      </c>
      <c r="G441" s="6" t="s">
        <v>16</v>
      </c>
      <c r="H441" s="80">
        <v>44348</v>
      </c>
      <c r="I441" s="6">
        <v>1</v>
      </c>
      <c r="J441" s="8">
        <v>16000</v>
      </c>
      <c r="K441" s="8">
        <f t="shared" si="4"/>
        <v>183.23408153916631</v>
      </c>
      <c r="L441" s="96">
        <v>44357</v>
      </c>
      <c r="M441" s="6" t="s">
        <v>251</v>
      </c>
      <c r="N441" s="96">
        <v>44357</v>
      </c>
      <c r="O441" s="22" t="s">
        <v>5490</v>
      </c>
      <c r="R441" s="6" t="str">
        <f t="shared" ca="1" si="5"/>
        <v>NonCategory</v>
      </c>
    </row>
    <row r="442" spans="1:18">
      <c r="A442" s="162">
        <v>44357</v>
      </c>
      <c r="B442" s="164" t="s">
        <v>1320</v>
      </c>
      <c r="C442" s="168" t="s">
        <v>1321</v>
      </c>
      <c r="D442" s="6" t="s">
        <v>291</v>
      </c>
      <c r="E442" s="2" t="s">
        <v>150</v>
      </c>
      <c r="F442" s="80">
        <v>44348</v>
      </c>
      <c r="G442" s="6" t="s">
        <v>16</v>
      </c>
      <c r="H442" s="6" t="s">
        <v>1157</v>
      </c>
      <c r="I442" s="6">
        <v>1</v>
      </c>
      <c r="J442" s="8">
        <v>21000</v>
      </c>
      <c r="K442" s="8">
        <f t="shared" si="4"/>
        <v>240.49473202015577</v>
      </c>
      <c r="L442" s="96">
        <v>44357</v>
      </c>
      <c r="M442" s="6" t="s">
        <v>251</v>
      </c>
      <c r="N442" s="96">
        <v>44357</v>
      </c>
      <c r="O442" s="22" t="s">
        <v>5491</v>
      </c>
      <c r="Q442" s="6" t="s">
        <v>280</v>
      </c>
      <c r="R442" s="6" t="str">
        <f t="shared" ca="1" si="5"/>
        <v>NonCategory</v>
      </c>
    </row>
    <row r="443" spans="1:18">
      <c r="A443" s="162">
        <v>44357</v>
      </c>
      <c r="B443" s="164" t="s">
        <v>1322</v>
      </c>
      <c r="C443" s="168" t="s">
        <v>1323</v>
      </c>
      <c r="D443" s="6" t="s">
        <v>278</v>
      </c>
      <c r="E443" s="2" t="s">
        <v>150</v>
      </c>
      <c r="F443" s="80">
        <v>44348</v>
      </c>
      <c r="G443" s="6" t="s">
        <v>16</v>
      </c>
      <c r="H443" s="6" t="s">
        <v>1157</v>
      </c>
      <c r="I443" s="6">
        <v>1</v>
      </c>
      <c r="J443" s="8">
        <v>21000</v>
      </c>
      <c r="K443" s="8">
        <f t="shared" si="4"/>
        <v>240.49473202015577</v>
      </c>
      <c r="L443" s="96">
        <v>44357</v>
      </c>
      <c r="M443" s="6" t="s">
        <v>251</v>
      </c>
      <c r="N443" s="96">
        <v>44357</v>
      </c>
      <c r="O443" s="22" t="s">
        <v>5492</v>
      </c>
      <c r="P443" s="6" t="s">
        <v>1324</v>
      </c>
      <c r="Q443" s="6" t="s">
        <v>280</v>
      </c>
      <c r="R443" s="6" t="str">
        <f t="shared" ca="1" si="5"/>
        <v>NonCategory</v>
      </c>
    </row>
    <row r="444" spans="1:18">
      <c r="A444" s="162">
        <v>44358</v>
      </c>
      <c r="B444" s="164" t="s">
        <v>1325</v>
      </c>
      <c r="C444" s="168" t="s">
        <v>1326</v>
      </c>
      <c r="D444" s="6" t="s">
        <v>291</v>
      </c>
      <c r="E444" s="2" t="s">
        <v>150</v>
      </c>
      <c r="F444" s="80">
        <v>44348</v>
      </c>
      <c r="G444" s="6" t="s">
        <v>16</v>
      </c>
      <c r="H444" s="6" t="s">
        <v>1226</v>
      </c>
      <c r="I444" s="6">
        <v>1</v>
      </c>
      <c r="J444" s="8">
        <v>20500</v>
      </c>
      <c r="K444" s="8">
        <f t="shared" si="4"/>
        <v>234.76866697205682</v>
      </c>
      <c r="L444" s="96">
        <v>44358</v>
      </c>
      <c r="M444" s="6" t="s">
        <v>252</v>
      </c>
      <c r="N444" s="96">
        <v>44358</v>
      </c>
      <c r="O444" s="22" t="s">
        <v>5493</v>
      </c>
      <c r="Q444" s="6" t="s">
        <v>280</v>
      </c>
      <c r="R444" s="6" t="str">
        <f t="shared" ca="1" si="5"/>
        <v>NonCategory</v>
      </c>
    </row>
    <row r="445" spans="1:18">
      <c r="A445" s="162">
        <v>44358</v>
      </c>
      <c r="B445" s="164" t="s">
        <v>1327</v>
      </c>
      <c r="C445" s="168" t="s">
        <v>1328</v>
      </c>
      <c r="D445" s="6" t="s">
        <v>278</v>
      </c>
      <c r="E445" s="6" t="s">
        <v>151</v>
      </c>
      <c r="F445" s="80">
        <v>44348</v>
      </c>
      <c r="G445" s="6" t="s">
        <v>16</v>
      </c>
      <c r="H445" s="6" t="s">
        <v>1226</v>
      </c>
      <c r="I445" s="6">
        <v>1</v>
      </c>
      <c r="J445" s="8">
        <v>20500</v>
      </c>
      <c r="K445" s="8">
        <f t="shared" si="4"/>
        <v>234.76866697205682</v>
      </c>
      <c r="L445" s="96">
        <v>44359</v>
      </c>
      <c r="M445" s="6" t="s">
        <v>252</v>
      </c>
      <c r="N445" s="96">
        <v>44358</v>
      </c>
      <c r="O445" s="22" t="s">
        <v>5494</v>
      </c>
      <c r="Q445" s="6" t="s">
        <v>356</v>
      </c>
      <c r="R445" s="6" t="str">
        <f t="shared" ca="1" si="5"/>
        <v>NonCategory</v>
      </c>
    </row>
    <row r="446" spans="1:18">
      <c r="A446" s="162">
        <v>44361</v>
      </c>
      <c r="B446" s="164" t="s">
        <v>1329</v>
      </c>
      <c r="C446" s="168" t="s">
        <v>1330</v>
      </c>
      <c r="D446" s="6" t="s">
        <v>278</v>
      </c>
      <c r="E446" s="6" t="s">
        <v>96</v>
      </c>
      <c r="F446" s="80">
        <v>44348</v>
      </c>
      <c r="G446" s="6" t="s">
        <v>16</v>
      </c>
      <c r="H446" s="6" t="s">
        <v>1202</v>
      </c>
      <c r="I446" s="6">
        <v>1</v>
      </c>
      <c r="J446" s="8">
        <v>19000</v>
      </c>
      <c r="K446" s="8">
        <f t="shared" si="4"/>
        <v>217.59047182775998</v>
      </c>
      <c r="L446" s="96">
        <v>44361</v>
      </c>
      <c r="M446" s="6" t="s">
        <v>252</v>
      </c>
      <c r="N446" s="96">
        <v>44361</v>
      </c>
      <c r="O446" s="22" t="s">
        <v>5495</v>
      </c>
      <c r="Q446" s="6" t="s">
        <v>280</v>
      </c>
      <c r="R446" s="6" t="str">
        <f t="shared" ca="1" si="5"/>
        <v>NonCategory</v>
      </c>
    </row>
    <row r="447" spans="1:18">
      <c r="A447" s="162">
        <v>44361</v>
      </c>
      <c r="B447" s="164" t="s">
        <v>1331</v>
      </c>
      <c r="C447" s="168" t="s">
        <v>1332</v>
      </c>
      <c r="D447" s="6" t="s">
        <v>278</v>
      </c>
      <c r="E447" s="6" t="s">
        <v>96</v>
      </c>
      <c r="F447" s="80">
        <v>44348</v>
      </c>
      <c r="G447" s="6" t="s">
        <v>16</v>
      </c>
      <c r="H447" s="6" t="s">
        <v>1333</v>
      </c>
      <c r="I447" s="6">
        <v>1</v>
      </c>
      <c r="J447" s="8">
        <v>19000</v>
      </c>
      <c r="K447" s="8">
        <f t="shared" si="4"/>
        <v>217.59047182775998</v>
      </c>
      <c r="L447" s="96">
        <v>44361</v>
      </c>
      <c r="M447" s="6" t="s">
        <v>252</v>
      </c>
      <c r="N447" s="96">
        <v>44361</v>
      </c>
      <c r="O447" s="22" t="s">
        <v>5496</v>
      </c>
      <c r="P447" s="6" t="s">
        <v>1334</v>
      </c>
      <c r="Q447" s="6" t="s">
        <v>356</v>
      </c>
      <c r="R447" s="6" t="str">
        <f t="shared" ca="1" si="5"/>
        <v>NonCategory</v>
      </c>
    </row>
    <row r="448" spans="1:18">
      <c r="A448" s="162">
        <v>44361</v>
      </c>
      <c r="B448" s="164" t="s">
        <v>1335</v>
      </c>
      <c r="C448" s="168" t="s">
        <v>1336</v>
      </c>
      <c r="D448" s="6" t="s">
        <v>291</v>
      </c>
      <c r="E448" s="6" t="s">
        <v>25</v>
      </c>
      <c r="F448" s="80">
        <v>44348</v>
      </c>
      <c r="G448" s="6" t="s">
        <v>16</v>
      </c>
      <c r="H448" s="6" t="s">
        <v>1202</v>
      </c>
      <c r="I448" s="6">
        <v>1</v>
      </c>
      <c r="J448" s="8">
        <v>45000</v>
      </c>
      <c r="K448" s="8">
        <f t="shared" si="4"/>
        <v>515.34585432890515</v>
      </c>
      <c r="L448" s="96">
        <v>44361</v>
      </c>
      <c r="M448" s="6" t="s">
        <v>252</v>
      </c>
      <c r="N448" s="96">
        <v>44361</v>
      </c>
      <c r="O448" s="22" t="s">
        <v>5497</v>
      </c>
      <c r="Q448" s="6" t="s">
        <v>356</v>
      </c>
      <c r="R448" s="6" t="str">
        <f t="shared" ca="1" si="5"/>
        <v>NonCategory</v>
      </c>
    </row>
    <row r="449" spans="1:18">
      <c r="A449" s="162">
        <v>44363</v>
      </c>
      <c r="B449" s="164" t="s">
        <v>1337</v>
      </c>
      <c r="C449" s="168" t="s">
        <v>1338</v>
      </c>
      <c r="D449" s="6" t="s">
        <v>319</v>
      </c>
      <c r="E449" s="6" t="s">
        <v>7</v>
      </c>
      <c r="F449" s="80">
        <v>44348</v>
      </c>
      <c r="G449" s="6" t="s">
        <v>16</v>
      </c>
      <c r="H449" s="6" t="s">
        <v>1202</v>
      </c>
      <c r="I449" s="6">
        <v>1</v>
      </c>
      <c r="J449" s="8">
        <v>45000</v>
      </c>
      <c r="K449" s="8">
        <f t="shared" si="4"/>
        <v>515.34585432890515</v>
      </c>
      <c r="L449" s="96">
        <v>44363</v>
      </c>
      <c r="M449" s="6" t="s">
        <v>252</v>
      </c>
      <c r="N449" s="96">
        <v>44363</v>
      </c>
      <c r="O449" s="22" t="s">
        <v>5498</v>
      </c>
      <c r="Q449" s="6" t="s">
        <v>280</v>
      </c>
      <c r="R449" s="6" t="str">
        <f t="shared" ca="1" si="5"/>
        <v>NonCategory</v>
      </c>
    </row>
    <row r="450" spans="1:18">
      <c r="A450" s="162">
        <v>44363</v>
      </c>
      <c r="B450" s="164" t="s">
        <v>1339</v>
      </c>
      <c r="C450" s="168" t="s">
        <v>1340</v>
      </c>
      <c r="D450" s="6" t="s">
        <v>303</v>
      </c>
      <c r="E450" s="6" t="s">
        <v>6</v>
      </c>
      <c r="F450" s="80">
        <v>44348</v>
      </c>
      <c r="G450" s="6" t="s">
        <v>13</v>
      </c>
      <c r="H450" s="6" t="s">
        <v>1202</v>
      </c>
      <c r="I450" s="6">
        <v>1</v>
      </c>
      <c r="J450" s="6">
        <v>45000</v>
      </c>
      <c r="K450" s="8">
        <f t="shared" si="4"/>
        <v>515.34585432890515</v>
      </c>
      <c r="L450" s="96">
        <v>44363</v>
      </c>
      <c r="R450" s="6" t="str">
        <f t="shared" ca="1" si="5"/>
        <v>NonCategory</v>
      </c>
    </row>
    <row r="451" spans="1:18">
      <c r="A451" s="162">
        <v>44363</v>
      </c>
      <c r="B451" s="164" t="s">
        <v>1341</v>
      </c>
      <c r="C451" s="168" t="s">
        <v>1342</v>
      </c>
      <c r="D451" s="6" t="s">
        <v>278</v>
      </c>
      <c r="E451" s="6" t="s">
        <v>6</v>
      </c>
      <c r="F451" s="80">
        <v>44348</v>
      </c>
      <c r="G451" s="6" t="s">
        <v>13</v>
      </c>
      <c r="H451" s="6" t="s">
        <v>1202</v>
      </c>
      <c r="I451" s="6">
        <v>1</v>
      </c>
      <c r="J451" s="6">
        <v>45000</v>
      </c>
      <c r="K451" s="8">
        <f t="shared" si="4"/>
        <v>515.34585432890515</v>
      </c>
      <c r="L451" s="96">
        <v>44363</v>
      </c>
      <c r="R451" s="6" t="str">
        <f t="shared" ca="1" si="5"/>
        <v>NonCategory</v>
      </c>
    </row>
    <row r="452" spans="1:18">
      <c r="A452" s="162">
        <v>44356</v>
      </c>
      <c r="B452" s="164" t="s">
        <v>1315</v>
      </c>
      <c r="C452" s="168" t="s">
        <v>1316</v>
      </c>
      <c r="D452" s="6" t="s">
        <v>278</v>
      </c>
      <c r="E452" s="6" t="s">
        <v>1317</v>
      </c>
      <c r="F452" s="80">
        <v>44348</v>
      </c>
      <c r="G452" s="6" t="s">
        <v>16</v>
      </c>
      <c r="H452" s="80">
        <v>44348</v>
      </c>
      <c r="I452" s="6">
        <v>1</v>
      </c>
      <c r="J452" s="8">
        <v>25500</v>
      </c>
      <c r="K452" s="8">
        <f t="shared" si="4"/>
        <v>292.0293174530463</v>
      </c>
      <c r="L452" s="96">
        <v>44363</v>
      </c>
      <c r="M452" s="6" t="s">
        <v>252</v>
      </c>
      <c r="N452" s="96">
        <v>44363</v>
      </c>
      <c r="O452" s="22" t="s">
        <v>5499</v>
      </c>
      <c r="R452" s="6" t="str">
        <f t="shared" ca="1" si="5"/>
        <v>NonCategory</v>
      </c>
    </row>
    <row r="453" spans="1:18">
      <c r="A453" s="162">
        <v>44364</v>
      </c>
      <c r="B453" s="164" t="s">
        <v>1343</v>
      </c>
      <c r="C453" s="168" t="s">
        <v>1344</v>
      </c>
      <c r="D453" s="6" t="s">
        <v>319</v>
      </c>
      <c r="E453" s="6" t="s">
        <v>96</v>
      </c>
      <c r="F453" s="80">
        <v>44348</v>
      </c>
      <c r="G453" s="6" t="s">
        <v>16</v>
      </c>
      <c r="H453" s="6" t="s">
        <v>1202</v>
      </c>
      <c r="I453" s="6">
        <v>1</v>
      </c>
      <c r="J453" s="8">
        <v>20000</v>
      </c>
      <c r="K453" s="8">
        <f t="shared" si="4"/>
        <v>229.04260192395787</v>
      </c>
      <c r="L453" s="96">
        <v>44364</v>
      </c>
      <c r="M453" s="6" t="s">
        <v>252</v>
      </c>
      <c r="N453" s="96">
        <v>44364</v>
      </c>
      <c r="O453" s="22" t="s">
        <v>5500</v>
      </c>
      <c r="Q453" s="6" t="s">
        <v>280</v>
      </c>
      <c r="R453" s="6" t="str">
        <f t="shared" ca="1" si="5"/>
        <v>NonCategory</v>
      </c>
    </row>
    <row r="454" spans="1:18">
      <c r="A454" s="162">
        <v>44375</v>
      </c>
      <c r="B454" s="164" t="s">
        <v>831</v>
      </c>
      <c r="C454" s="168" t="s">
        <v>832</v>
      </c>
      <c r="D454" s="6" t="s">
        <v>278</v>
      </c>
      <c r="E454" s="6" t="s">
        <v>96</v>
      </c>
      <c r="F454" s="80">
        <v>44348</v>
      </c>
      <c r="G454" s="6" t="s">
        <v>16</v>
      </c>
      <c r="H454" s="6" t="s">
        <v>1345</v>
      </c>
      <c r="I454" s="6">
        <v>1</v>
      </c>
      <c r="J454" s="8">
        <v>19300</v>
      </c>
      <c r="K454" s="8">
        <f t="shared" si="4"/>
        <v>221.02611085661934</v>
      </c>
      <c r="L454" s="96">
        <v>44375</v>
      </c>
      <c r="M454" s="6" t="s">
        <v>253</v>
      </c>
      <c r="N454" s="96">
        <v>44376</v>
      </c>
      <c r="O454" s="22" t="s">
        <v>5501</v>
      </c>
      <c r="Q454" s="6" t="s">
        <v>280</v>
      </c>
      <c r="R454" s="6" t="str">
        <f t="shared" ca="1" si="5"/>
        <v>NonCategory</v>
      </c>
    </row>
    <row r="455" spans="1:18">
      <c r="A455" s="162">
        <v>44364</v>
      </c>
      <c r="B455" s="164" t="s">
        <v>996</v>
      </c>
      <c r="C455" s="168" t="s">
        <v>1346</v>
      </c>
      <c r="D455" s="6" t="s">
        <v>278</v>
      </c>
      <c r="E455" s="6" t="s">
        <v>150</v>
      </c>
      <c r="F455" s="80">
        <v>44348</v>
      </c>
      <c r="G455" s="6" t="s">
        <v>16</v>
      </c>
      <c r="H455" s="6" t="s">
        <v>1157</v>
      </c>
      <c r="I455" s="6">
        <v>1</v>
      </c>
      <c r="J455" s="8">
        <v>20000</v>
      </c>
      <c r="K455" s="8">
        <f t="shared" si="4"/>
        <v>229.04260192395787</v>
      </c>
      <c r="L455" s="96">
        <v>44364</v>
      </c>
      <c r="M455" s="6" t="s">
        <v>252</v>
      </c>
      <c r="N455" s="96">
        <v>44364</v>
      </c>
      <c r="O455" s="22" t="s">
        <v>5502</v>
      </c>
      <c r="Q455" s="6" t="s">
        <v>280</v>
      </c>
      <c r="R455" s="6" t="str">
        <f t="shared" ca="1" si="5"/>
        <v>NonCategory</v>
      </c>
    </row>
    <row r="456" spans="1:18">
      <c r="A456" s="163">
        <v>44252</v>
      </c>
      <c r="B456" s="165" t="s">
        <v>1347</v>
      </c>
      <c r="C456" s="168" t="s">
        <v>1348</v>
      </c>
      <c r="D456" s="2" t="s">
        <v>306</v>
      </c>
      <c r="E456" s="2" t="s">
        <v>97</v>
      </c>
      <c r="F456" s="80">
        <v>44348</v>
      </c>
      <c r="G456" s="6" t="s">
        <v>16</v>
      </c>
      <c r="H456" s="6" t="s">
        <v>1349</v>
      </c>
      <c r="I456" s="6">
        <v>1</v>
      </c>
      <c r="J456" s="8">
        <v>19000</v>
      </c>
      <c r="K456" s="8">
        <f t="shared" si="4"/>
        <v>217.59047182775998</v>
      </c>
      <c r="L456" s="97">
        <v>44254</v>
      </c>
      <c r="M456" s="6" t="s">
        <v>252</v>
      </c>
      <c r="O456" s="22" t="s">
        <v>5503</v>
      </c>
      <c r="Q456" s="6" t="s">
        <v>356</v>
      </c>
      <c r="R456" s="6" t="str">
        <f t="shared" ca="1" si="5"/>
        <v>NonCategory</v>
      </c>
    </row>
    <row r="457" spans="1:18">
      <c r="A457" s="162">
        <v>44367</v>
      </c>
      <c r="B457" s="164" t="s">
        <v>1350</v>
      </c>
      <c r="C457" s="168" t="s">
        <v>1351</v>
      </c>
      <c r="D457" s="6" t="s">
        <v>319</v>
      </c>
      <c r="E457" s="6" t="s">
        <v>7</v>
      </c>
      <c r="F457" s="80">
        <v>44348</v>
      </c>
      <c r="G457" s="6" t="s">
        <v>16</v>
      </c>
      <c r="H457" s="6" t="s">
        <v>1202</v>
      </c>
      <c r="I457" s="6">
        <v>1</v>
      </c>
      <c r="J457" s="8">
        <v>45000</v>
      </c>
      <c r="K457" s="8">
        <f t="shared" si="4"/>
        <v>515.34585432890515</v>
      </c>
      <c r="L457" s="96">
        <v>44368</v>
      </c>
      <c r="M457" s="6" t="s">
        <v>253</v>
      </c>
      <c r="N457" s="96">
        <v>44368</v>
      </c>
      <c r="O457" s="22" t="s">
        <v>5504</v>
      </c>
      <c r="Q457" s="6" t="s">
        <v>356</v>
      </c>
      <c r="R457" s="6" t="str">
        <f t="shared" ca="1" si="5"/>
        <v>NonCategory</v>
      </c>
    </row>
    <row r="458" spans="1:18">
      <c r="A458" s="162">
        <v>44368</v>
      </c>
      <c r="B458" s="164" t="s">
        <v>1352</v>
      </c>
      <c r="C458" s="168" t="s">
        <v>1353</v>
      </c>
      <c r="D458" s="6" t="s">
        <v>319</v>
      </c>
      <c r="E458" s="6" t="s">
        <v>150</v>
      </c>
      <c r="F458" s="80">
        <v>44348</v>
      </c>
      <c r="G458" s="6" t="s">
        <v>16</v>
      </c>
      <c r="H458" s="6" t="s">
        <v>1354</v>
      </c>
      <c r="I458" s="6">
        <v>1</v>
      </c>
      <c r="J458" s="8">
        <v>21000</v>
      </c>
      <c r="K458" s="8">
        <f t="shared" si="4"/>
        <v>240.49473202015577</v>
      </c>
      <c r="L458" s="96">
        <v>44369</v>
      </c>
      <c r="M458" s="6" t="s">
        <v>253</v>
      </c>
      <c r="N458" s="96">
        <v>44369</v>
      </c>
      <c r="O458" s="22" t="s">
        <v>5505</v>
      </c>
      <c r="Q458" s="6" t="s">
        <v>356</v>
      </c>
      <c r="R458" s="6" t="str">
        <f t="shared" ca="1" si="5"/>
        <v>NonCategory</v>
      </c>
    </row>
    <row r="459" spans="1:18">
      <c r="A459" s="162">
        <v>44375</v>
      </c>
      <c r="B459" s="164" t="s">
        <v>1355</v>
      </c>
      <c r="C459" s="168" t="s">
        <v>1356</v>
      </c>
      <c r="D459" s="6" t="s">
        <v>278</v>
      </c>
      <c r="E459" s="6" t="s">
        <v>96</v>
      </c>
      <c r="F459" s="80">
        <v>44348</v>
      </c>
      <c r="G459" s="6" t="s">
        <v>16</v>
      </c>
      <c r="H459" s="6" t="s">
        <v>1345</v>
      </c>
      <c r="I459" s="6">
        <v>1</v>
      </c>
      <c r="J459" s="8">
        <v>19300</v>
      </c>
      <c r="K459" s="8">
        <f t="shared" si="4"/>
        <v>221.02611085661934</v>
      </c>
      <c r="L459" s="96">
        <v>44375</v>
      </c>
      <c r="M459" s="6" t="s">
        <v>253</v>
      </c>
      <c r="N459" s="96">
        <v>44376</v>
      </c>
      <c r="O459" s="22" t="s">
        <v>5506</v>
      </c>
      <c r="Q459" s="6" t="s">
        <v>356</v>
      </c>
      <c r="R459" s="6" t="str">
        <f t="shared" ca="1" si="5"/>
        <v>NonCategory</v>
      </c>
    </row>
    <row r="460" spans="1:18">
      <c r="A460" s="162">
        <v>44370</v>
      </c>
      <c r="B460" s="164" t="s">
        <v>1357</v>
      </c>
      <c r="C460" s="168" t="s">
        <v>1358</v>
      </c>
      <c r="D460" s="6" t="s">
        <v>291</v>
      </c>
      <c r="E460" s="6" t="s">
        <v>1359</v>
      </c>
      <c r="F460" s="80">
        <v>44348</v>
      </c>
      <c r="G460" s="6" t="s">
        <v>16</v>
      </c>
      <c r="H460" s="80">
        <v>44348</v>
      </c>
      <c r="I460" s="6">
        <v>1</v>
      </c>
      <c r="J460" s="8">
        <v>37000</v>
      </c>
      <c r="K460" s="8">
        <f t="shared" si="4"/>
        <v>423.72881355932202</v>
      </c>
      <c r="L460" s="96">
        <v>44370</v>
      </c>
      <c r="M460" s="6" t="s">
        <v>253</v>
      </c>
      <c r="N460" s="96">
        <v>44369</v>
      </c>
      <c r="O460" s="22" t="s">
        <v>5507</v>
      </c>
      <c r="Q460" s="6" t="s">
        <v>356</v>
      </c>
      <c r="R460" s="6" t="str">
        <f t="shared" ca="1" si="5"/>
        <v>NonCategory</v>
      </c>
    </row>
    <row r="461" spans="1:18">
      <c r="A461" s="162">
        <v>44372</v>
      </c>
      <c r="B461" s="164" t="s">
        <v>1360</v>
      </c>
      <c r="C461" s="168" t="s">
        <v>1361</v>
      </c>
      <c r="D461" s="6" t="s">
        <v>303</v>
      </c>
      <c r="E461" s="6" t="s">
        <v>14</v>
      </c>
      <c r="F461" s="80">
        <v>44348</v>
      </c>
      <c r="G461" s="6" t="s">
        <v>16</v>
      </c>
      <c r="H461" s="6" t="s">
        <v>1362</v>
      </c>
      <c r="I461" s="6">
        <v>1</v>
      </c>
      <c r="J461" s="8">
        <v>31000</v>
      </c>
      <c r="K461" s="8">
        <f t="shared" si="4"/>
        <v>355.01603298213467</v>
      </c>
      <c r="L461" s="96">
        <v>44372</v>
      </c>
      <c r="M461" s="6" t="s">
        <v>253</v>
      </c>
      <c r="N461" s="96">
        <v>44372</v>
      </c>
      <c r="O461" s="22" t="s">
        <v>5508</v>
      </c>
      <c r="Q461" s="6" t="s">
        <v>356</v>
      </c>
      <c r="R461" s="6" t="str">
        <f t="shared" ca="1" si="5"/>
        <v>NonCategory</v>
      </c>
    </row>
    <row r="462" spans="1:18">
      <c r="A462" s="162">
        <v>44365</v>
      </c>
      <c r="B462" s="164" t="s">
        <v>1363</v>
      </c>
      <c r="C462" s="168" t="s">
        <v>1364</v>
      </c>
      <c r="D462" s="6" t="s">
        <v>278</v>
      </c>
      <c r="E462" s="6" t="s">
        <v>150</v>
      </c>
      <c r="F462" s="80">
        <v>44348</v>
      </c>
      <c r="G462" s="6" t="s">
        <v>16</v>
      </c>
      <c r="H462" s="6" t="s">
        <v>1349</v>
      </c>
      <c r="I462" s="6">
        <v>1</v>
      </c>
      <c r="J462" s="8">
        <v>21000</v>
      </c>
      <c r="K462" s="8">
        <f t="shared" si="4"/>
        <v>240.49473202015577</v>
      </c>
      <c r="L462" s="96">
        <v>44365</v>
      </c>
      <c r="M462" s="6" t="s">
        <v>252</v>
      </c>
      <c r="N462" s="96">
        <v>44365</v>
      </c>
      <c r="O462" s="22" t="s">
        <v>5509</v>
      </c>
      <c r="Q462" s="6" t="s">
        <v>280</v>
      </c>
      <c r="R462" s="6" t="str">
        <f t="shared" ca="1" si="5"/>
        <v>NonCategory</v>
      </c>
    </row>
    <row r="463" spans="1:18">
      <c r="A463" s="162">
        <v>44371</v>
      </c>
      <c r="B463" s="164" t="s">
        <v>1365</v>
      </c>
      <c r="C463" s="168" t="s">
        <v>1366</v>
      </c>
      <c r="D463" s="6" t="s">
        <v>287</v>
      </c>
      <c r="E463" s="6" t="s">
        <v>151</v>
      </c>
      <c r="F463" s="80">
        <v>44348</v>
      </c>
      <c r="G463" s="6" t="s">
        <v>13</v>
      </c>
      <c r="H463" s="6" t="s">
        <v>1367</v>
      </c>
      <c r="I463" s="6">
        <v>1</v>
      </c>
      <c r="J463" s="6">
        <v>20000</v>
      </c>
      <c r="K463" s="8">
        <f t="shared" si="4"/>
        <v>229.04260192395787</v>
      </c>
      <c r="L463" s="96">
        <v>44371</v>
      </c>
      <c r="R463" s="6" t="str">
        <f t="shared" ca="1" si="5"/>
        <v>NonCategory</v>
      </c>
    </row>
    <row r="464" spans="1:18">
      <c r="A464" s="162">
        <v>44373</v>
      </c>
      <c r="B464" s="164" t="s">
        <v>1368</v>
      </c>
      <c r="C464" s="168" t="s">
        <v>1369</v>
      </c>
      <c r="D464" s="6" t="s">
        <v>319</v>
      </c>
      <c r="E464" s="6" t="s">
        <v>150</v>
      </c>
      <c r="F464" s="80">
        <v>44348</v>
      </c>
      <c r="G464" s="6" t="s">
        <v>16</v>
      </c>
      <c r="H464" s="6" t="s">
        <v>1349</v>
      </c>
      <c r="I464" s="6">
        <v>1</v>
      </c>
      <c r="J464" s="8">
        <v>21000</v>
      </c>
      <c r="K464" s="8">
        <f t="shared" si="4"/>
        <v>240.49473202015577</v>
      </c>
      <c r="L464" s="96">
        <v>44373</v>
      </c>
      <c r="M464" s="6" t="s">
        <v>253</v>
      </c>
      <c r="N464" s="96">
        <v>44373</v>
      </c>
      <c r="O464" s="22" t="s">
        <v>5510</v>
      </c>
      <c r="Q464" s="6" t="s">
        <v>280</v>
      </c>
      <c r="R464" s="6" t="str">
        <f t="shared" ca="1" si="5"/>
        <v>NonCategory</v>
      </c>
    </row>
    <row r="465" spans="1:18">
      <c r="A465" s="162">
        <v>44375</v>
      </c>
      <c r="B465" s="164" t="s">
        <v>1370</v>
      </c>
      <c r="C465" s="168" t="s">
        <v>1371</v>
      </c>
      <c r="D465" s="6" t="s">
        <v>278</v>
      </c>
      <c r="E465" s="6" t="s">
        <v>96</v>
      </c>
      <c r="F465" s="80">
        <v>44348</v>
      </c>
      <c r="G465" s="6" t="s">
        <v>16</v>
      </c>
      <c r="H465" s="6" t="s">
        <v>1345</v>
      </c>
      <c r="I465" s="6">
        <v>1</v>
      </c>
      <c r="J465" s="8">
        <v>19300</v>
      </c>
      <c r="K465" s="8">
        <f t="shared" si="4"/>
        <v>221.02611085661934</v>
      </c>
      <c r="L465" s="96">
        <v>44375</v>
      </c>
      <c r="M465" s="6" t="s">
        <v>253</v>
      </c>
      <c r="N465" s="96">
        <v>44376</v>
      </c>
      <c r="O465" s="22" t="s">
        <v>5511</v>
      </c>
      <c r="Q465" s="6" t="s">
        <v>280</v>
      </c>
      <c r="R465" s="6" t="str">
        <f t="shared" ca="1" si="5"/>
        <v>NonCategory</v>
      </c>
    </row>
    <row r="466" spans="1:18">
      <c r="A466" s="162">
        <v>44375</v>
      </c>
      <c r="B466" s="164" t="s">
        <v>1372</v>
      </c>
      <c r="C466" s="168" t="s">
        <v>1373</v>
      </c>
      <c r="D466" s="6" t="s">
        <v>297</v>
      </c>
      <c r="E466" s="6" t="s">
        <v>150</v>
      </c>
      <c r="F466" s="80">
        <v>44348</v>
      </c>
      <c r="G466" s="6" t="s">
        <v>16</v>
      </c>
      <c r="H466" s="6" t="s">
        <v>1374</v>
      </c>
      <c r="I466" s="6">
        <v>1</v>
      </c>
      <c r="J466" s="8">
        <v>21000</v>
      </c>
      <c r="K466" s="8">
        <f t="shared" si="4"/>
        <v>240.49473202015577</v>
      </c>
      <c r="L466" s="96">
        <v>44375</v>
      </c>
      <c r="M466" s="6" t="s">
        <v>253</v>
      </c>
      <c r="N466" s="96">
        <v>44375</v>
      </c>
      <c r="O466" s="22" t="s">
        <v>5512</v>
      </c>
      <c r="Q466" s="6" t="s">
        <v>356</v>
      </c>
      <c r="R466" s="6" t="str">
        <f t="shared" ca="1" si="5"/>
        <v>NonCategory</v>
      </c>
    </row>
    <row r="467" spans="1:18">
      <c r="A467" s="162">
        <v>44377</v>
      </c>
      <c r="B467" s="164" t="s">
        <v>1375</v>
      </c>
      <c r="C467" s="168" t="s">
        <v>1376</v>
      </c>
      <c r="D467" s="6" t="s">
        <v>278</v>
      </c>
      <c r="E467" s="6" t="s">
        <v>96</v>
      </c>
      <c r="F467" s="80">
        <v>44348</v>
      </c>
      <c r="G467" s="6" t="s">
        <v>16</v>
      </c>
      <c r="H467" s="6" t="s">
        <v>1345</v>
      </c>
      <c r="I467" s="6">
        <v>1</v>
      </c>
      <c r="J467" s="8">
        <v>19000</v>
      </c>
      <c r="K467" s="8">
        <f t="shared" si="4"/>
        <v>217.59047182775998</v>
      </c>
      <c r="L467" s="96">
        <v>44377</v>
      </c>
      <c r="M467" s="6" t="s">
        <v>253</v>
      </c>
      <c r="N467" s="96">
        <v>44377</v>
      </c>
      <c r="O467" s="22" t="s">
        <v>5513</v>
      </c>
      <c r="Q467" s="6" t="s">
        <v>280</v>
      </c>
      <c r="R467" s="6" t="str">
        <f t="shared" ca="1" si="5"/>
        <v>NonCategory</v>
      </c>
    </row>
    <row r="468" spans="1:18">
      <c r="A468" s="162">
        <v>44378</v>
      </c>
      <c r="B468" s="164" t="s">
        <v>1377</v>
      </c>
      <c r="C468" s="168" t="s">
        <v>1378</v>
      </c>
      <c r="D468" s="6" t="s">
        <v>297</v>
      </c>
      <c r="E468" s="6" t="s">
        <v>96</v>
      </c>
      <c r="F468" s="80">
        <v>44378</v>
      </c>
      <c r="G468" s="6" t="s">
        <v>16</v>
      </c>
      <c r="H468" s="6" t="s">
        <v>1345</v>
      </c>
      <c r="I468" s="6">
        <v>1</v>
      </c>
      <c r="J468" s="8">
        <v>19000</v>
      </c>
      <c r="K468" s="8">
        <f t="shared" si="4"/>
        <v>217.59047182775998</v>
      </c>
      <c r="L468" s="96">
        <v>44378</v>
      </c>
      <c r="M468" s="6" t="s">
        <v>251</v>
      </c>
      <c r="N468" s="96">
        <v>44378</v>
      </c>
      <c r="O468" s="22" t="s">
        <v>5514</v>
      </c>
      <c r="Q468" s="6" t="s">
        <v>280</v>
      </c>
      <c r="R468" s="6" t="str">
        <f t="shared" ca="1" si="5"/>
        <v>NonCategory</v>
      </c>
    </row>
    <row r="469" spans="1:18">
      <c r="A469" s="162">
        <v>44382</v>
      </c>
      <c r="B469" s="165" t="s">
        <v>1379</v>
      </c>
      <c r="C469" s="168" t="s">
        <v>1380</v>
      </c>
      <c r="D469" s="2" t="s">
        <v>319</v>
      </c>
      <c r="E469" s="2" t="s">
        <v>150</v>
      </c>
      <c r="F469" s="80">
        <v>44378</v>
      </c>
      <c r="G469" s="6" t="s">
        <v>16</v>
      </c>
      <c r="H469" s="6" t="s">
        <v>1345</v>
      </c>
      <c r="I469" s="6">
        <v>1</v>
      </c>
      <c r="J469" s="8">
        <v>21000</v>
      </c>
      <c r="K469" s="8">
        <f t="shared" si="4"/>
        <v>240.49473202015577</v>
      </c>
      <c r="L469" s="96">
        <v>44382</v>
      </c>
      <c r="M469" s="6" t="s">
        <v>251</v>
      </c>
      <c r="N469" s="96">
        <v>44382</v>
      </c>
      <c r="O469" s="22" t="s">
        <v>5515</v>
      </c>
      <c r="Q469" s="6" t="s">
        <v>280</v>
      </c>
      <c r="R469" s="6" t="str">
        <f t="shared" ca="1" si="5"/>
        <v>NonCategory</v>
      </c>
    </row>
    <row r="470" spans="1:18">
      <c r="A470" s="162">
        <v>44384</v>
      </c>
      <c r="B470" s="164" t="s">
        <v>1381</v>
      </c>
      <c r="C470" s="168" t="s">
        <v>1382</v>
      </c>
      <c r="D470" s="6" t="s">
        <v>495</v>
      </c>
      <c r="E470" s="6" t="s">
        <v>150</v>
      </c>
      <c r="F470" s="80">
        <v>44378</v>
      </c>
      <c r="G470" s="6" t="s">
        <v>16</v>
      </c>
      <c r="H470" s="6" t="s">
        <v>1345</v>
      </c>
      <c r="I470" s="6">
        <v>1</v>
      </c>
      <c r="J470" s="8">
        <v>20500</v>
      </c>
      <c r="K470" s="8">
        <f t="shared" si="4"/>
        <v>234.76866697205682</v>
      </c>
      <c r="L470" s="96">
        <v>44384</v>
      </c>
      <c r="M470" s="6" t="s">
        <v>251</v>
      </c>
      <c r="N470" s="96">
        <v>44384</v>
      </c>
      <c r="O470" s="22" t="s">
        <v>5516</v>
      </c>
      <c r="Q470" s="6" t="s">
        <v>280</v>
      </c>
      <c r="R470" s="6" t="str">
        <f t="shared" ca="1" si="5"/>
        <v>NonCategory</v>
      </c>
    </row>
    <row r="471" spans="1:18">
      <c r="A471" s="162">
        <v>44377</v>
      </c>
      <c r="B471" s="164" t="s">
        <v>1383</v>
      </c>
      <c r="C471" s="168" t="s">
        <v>806</v>
      </c>
      <c r="D471" s="6" t="s">
        <v>303</v>
      </c>
      <c r="E471" s="6" t="s">
        <v>538</v>
      </c>
      <c r="F471" s="123">
        <v>44440</v>
      </c>
      <c r="G471" s="6" t="s">
        <v>16</v>
      </c>
      <c r="H471" s="80">
        <v>44378</v>
      </c>
      <c r="I471" s="6">
        <v>1</v>
      </c>
      <c r="J471" s="8">
        <v>12500</v>
      </c>
      <c r="K471" s="8">
        <f t="shared" si="4"/>
        <v>143.15162620247366</v>
      </c>
      <c r="L471" s="96">
        <v>44377</v>
      </c>
      <c r="M471" s="6" t="s">
        <v>252</v>
      </c>
      <c r="N471" s="97">
        <v>44453</v>
      </c>
      <c r="O471" s="22" t="s">
        <v>5517</v>
      </c>
      <c r="Q471" s="6" t="s">
        <v>356</v>
      </c>
      <c r="R471" s="6" t="str">
        <f t="shared" ca="1" si="5"/>
        <v>NonCategory</v>
      </c>
    </row>
    <row r="472" spans="1:18">
      <c r="A472" s="162">
        <v>44377</v>
      </c>
      <c r="B472" s="164" t="s">
        <v>1384</v>
      </c>
      <c r="C472" s="168" t="s">
        <v>1385</v>
      </c>
      <c r="D472" s="6" t="s">
        <v>343</v>
      </c>
      <c r="E472" s="6" t="s">
        <v>96</v>
      </c>
      <c r="F472" s="80">
        <v>44348</v>
      </c>
      <c r="G472" s="6" t="s">
        <v>13</v>
      </c>
      <c r="H472" s="6" t="s">
        <v>1386</v>
      </c>
      <c r="I472" s="6">
        <v>1</v>
      </c>
      <c r="J472" s="6">
        <v>18500</v>
      </c>
      <c r="K472" s="8">
        <f t="shared" si="4"/>
        <v>211.86440677966101</v>
      </c>
      <c r="L472" s="96">
        <v>44377</v>
      </c>
      <c r="R472" s="6" t="str">
        <f t="shared" ca="1" si="5"/>
        <v>NonCategory</v>
      </c>
    </row>
    <row r="473" spans="1:18">
      <c r="A473" s="162">
        <v>44371</v>
      </c>
      <c r="B473" s="164" t="s">
        <v>1387</v>
      </c>
      <c r="C473" s="168" t="s">
        <v>1388</v>
      </c>
      <c r="D473" s="6" t="s">
        <v>274</v>
      </c>
      <c r="E473" s="6" t="s">
        <v>151</v>
      </c>
      <c r="F473" s="80">
        <v>44348</v>
      </c>
      <c r="G473" s="6" t="s">
        <v>16</v>
      </c>
      <c r="H473" s="6" t="s">
        <v>1049</v>
      </c>
      <c r="I473" s="6">
        <v>1</v>
      </c>
      <c r="J473" s="8">
        <v>20000</v>
      </c>
      <c r="K473" s="8">
        <f t="shared" si="4"/>
        <v>229.04260192395787</v>
      </c>
      <c r="L473" s="96">
        <v>44371</v>
      </c>
      <c r="M473" s="6" t="s">
        <v>253</v>
      </c>
      <c r="N473" s="96">
        <v>44376</v>
      </c>
      <c r="O473" s="22" t="s">
        <v>5518</v>
      </c>
      <c r="Q473" s="6" t="s">
        <v>280</v>
      </c>
      <c r="R473" s="6" t="str">
        <f t="shared" ca="1" si="5"/>
        <v>NonCategory</v>
      </c>
    </row>
    <row r="474" spans="1:18">
      <c r="A474" s="162">
        <v>44378</v>
      </c>
      <c r="B474" s="164" t="s">
        <v>1389</v>
      </c>
      <c r="C474" s="168" t="s">
        <v>1390</v>
      </c>
      <c r="D474" s="6" t="s">
        <v>319</v>
      </c>
      <c r="E474" s="6" t="s">
        <v>150</v>
      </c>
      <c r="F474" s="80">
        <v>44378</v>
      </c>
      <c r="G474" s="6" t="s">
        <v>16</v>
      </c>
      <c r="H474" s="6" t="s">
        <v>1349</v>
      </c>
      <c r="I474" s="6">
        <v>1</v>
      </c>
      <c r="J474" s="8">
        <v>21000</v>
      </c>
      <c r="K474" s="8">
        <f t="shared" si="4"/>
        <v>240.49473202015577</v>
      </c>
      <c r="L474" s="96">
        <v>44378</v>
      </c>
      <c r="M474" s="6" t="s">
        <v>251</v>
      </c>
      <c r="N474" s="96">
        <v>44378</v>
      </c>
      <c r="O474" s="124" t="s">
        <v>5519</v>
      </c>
      <c r="Q474" s="6" t="s">
        <v>280</v>
      </c>
      <c r="R474" s="6" t="str">
        <f t="shared" ca="1" si="5"/>
        <v>NonCategory</v>
      </c>
    </row>
    <row r="475" spans="1:18">
      <c r="A475" s="162">
        <v>44369</v>
      </c>
      <c r="B475" s="164" t="s">
        <v>1391</v>
      </c>
      <c r="C475" s="168" t="s">
        <v>1392</v>
      </c>
      <c r="D475" s="6" t="s">
        <v>303</v>
      </c>
      <c r="E475" s="6" t="s">
        <v>25</v>
      </c>
      <c r="F475" s="80">
        <v>44348</v>
      </c>
      <c r="G475" s="6" t="s">
        <v>16</v>
      </c>
      <c r="H475" s="6" t="s">
        <v>1345</v>
      </c>
      <c r="I475" s="6">
        <v>1</v>
      </c>
      <c r="J475" s="8">
        <v>45000</v>
      </c>
      <c r="K475" s="8">
        <f t="shared" si="4"/>
        <v>515.34585432890515</v>
      </c>
      <c r="L475" s="96">
        <v>44369</v>
      </c>
      <c r="M475" s="6" t="s">
        <v>253</v>
      </c>
      <c r="N475" s="96">
        <v>44369</v>
      </c>
      <c r="O475" s="22" t="s">
        <v>5520</v>
      </c>
      <c r="Q475" s="6" t="s">
        <v>280</v>
      </c>
      <c r="R475" s="6" t="str">
        <f t="shared" ca="1" si="5"/>
        <v>NonCategory</v>
      </c>
    </row>
    <row r="476" spans="1:18">
      <c r="A476" s="162">
        <v>44384</v>
      </c>
      <c r="B476" s="165" t="s">
        <v>1393</v>
      </c>
      <c r="C476" s="168" t="s">
        <v>1394</v>
      </c>
      <c r="D476" s="2" t="s">
        <v>291</v>
      </c>
      <c r="E476" s="6" t="s">
        <v>25</v>
      </c>
      <c r="F476" s="80">
        <v>44378</v>
      </c>
      <c r="G476" s="6" t="s">
        <v>16</v>
      </c>
      <c r="H476" s="6" t="s">
        <v>1345</v>
      </c>
      <c r="I476" s="6">
        <v>1</v>
      </c>
      <c r="J476" s="8">
        <v>45000</v>
      </c>
      <c r="K476" s="8">
        <f t="shared" si="4"/>
        <v>515.34585432890515</v>
      </c>
      <c r="L476" s="96">
        <v>44384</v>
      </c>
      <c r="M476" s="6" t="s">
        <v>251</v>
      </c>
      <c r="N476" s="96">
        <v>44384</v>
      </c>
      <c r="O476" s="22" t="s">
        <v>5521</v>
      </c>
      <c r="Q476" s="6" t="s">
        <v>280</v>
      </c>
      <c r="R476" s="6" t="str">
        <f t="shared" ca="1" si="5"/>
        <v>NonCategory</v>
      </c>
    </row>
    <row r="477" spans="1:18">
      <c r="A477" s="162">
        <v>44379</v>
      </c>
      <c r="B477" s="164" t="s">
        <v>1395</v>
      </c>
      <c r="C477" s="168" t="s">
        <v>1396</v>
      </c>
      <c r="D477" s="6" t="s">
        <v>319</v>
      </c>
      <c r="E477" s="6" t="s">
        <v>96</v>
      </c>
      <c r="F477" s="80">
        <v>44348</v>
      </c>
      <c r="G477" s="6" t="s">
        <v>13</v>
      </c>
      <c r="H477" s="6" t="s">
        <v>1374</v>
      </c>
      <c r="I477" s="6">
        <v>1</v>
      </c>
      <c r="J477" s="6">
        <v>20000</v>
      </c>
      <c r="K477" s="8">
        <f t="shared" si="4"/>
        <v>229.04260192395787</v>
      </c>
      <c r="L477" s="96">
        <v>44379</v>
      </c>
      <c r="R477" s="6" t="str">
        <f t="shared" ca="1" si="5"/>
        <v>NonCategory</v>
      </c>
    </row>
    <row r="478" spans="1:18">
      <c r="A478" s="162">
        <v>44380</v>
      </c>
      <c r="B478" s="164" t="s">
        <v>1397</v>
      </c>
      <c r="C478" s="168" t="s">
        <v>1398</v>
      </c>
      <c r="D478" s="6" t="s">
        <v>319</v>
      </c>
      <c r="E478" s="6" t="s">
        <v>150</v>
      </c>
      <c r="F478" s="80">
        <v>44378</v>
      </c>
      <c r="G478" s="6" t="s">
        <v>16</v>
      </c>
      <c r="H478" s="6" t="s">
        <v>48</v>
      </c>
      <c r="I478" s="6">
        <v>1</v>
      </c>
      <c r="J478" s="8">
        <v>21000</v>
      </c>
      <c r="K478" s="8">
        <f t="shared" si="4"/>
        <v>240.49473202015577</v>
      </c>
      <c r="L478" s="96">
        <v>44380</v>
      </c>
      <c r="M478" s="6" t="s">
        <v>251</v>
      </c>
      <c r="N478" s="96">
        <v>44385</v>
      </c>
      <c r="O478" s="22" t="s">
        <v>5522</v>
      </c>
      <c r="Q478" s="6" t="s">
        <v>280</v>
      </c>
      <c r="R478" s="6" t="str">
        <f t="shared" ca="1" si="5"/>
        <v>NonCategory</v>
      </c>
    </row>
    <row r="479" spans="1:18">
      <c r="A479" s="162">
        <v>44385</v>
      </c>
      <c r="B479" s="164" t="s">
        <v>1399</v>
      </c>
      <c r="C479" s="168" t="s">
        <v>1400</v>
      </c>
      <c r="D479" s="6" t="s">
        <v>303</v>
      </c>
      <c r="E479" s="6" t="s">
        <v>25</v>
      </c>
      <c r="F479" s="80">
        <v>44378</v>
      </c>
      <c r="G479" s="6" t="s">
        <v>16</v>
      </c>
      <c r="H479" s="6" t="s">
        <v>1345</v>
      </c>
      <c r="I479" s="6">
        <v>1</v>
      </c>
      <c r="J479" s="8">
        <v>45000</v>
      </c>
      <c r="K479" s="8">
        <f t="shared" si="4"/>
        <v>515.34585432890515</v>
      </c>
      <c r="L479" s="96">
        <v>44385</v>
      </c>
      <c r="M479" s="6" t="s">
        <v>251</v>
      </c>
      <c r="N479" s="96">
        <v>44385</v>
      </c>
      <c r="O479" s="22" t="s">
        <v>5523</v>
      </c>
      <c r="Q479" s="6" t="s">
        <v>280</v>
      </c>
      <c r="R479" s="6" t="str">
        <f t="shared" ca="1" si="5"/>
        <v>NonCategory</v>
      </c>
    </row>
    <row r="480" spans="1:18">
      <c r="A480" s="162">
        <v>44364</v>
      </c>
      <c r="B480" s="164" t="s">
        <v>1401</v>
      </c>
      <c r="C480" s="168" t="s">
        <v>1402</v>
      </c>
      <c r="D480" s="6" t="s">
        <v>287</v>
      </c>
      <c r="E480" s="6" t="s">
        <v>6</v>
      </c>
      <c r="F480" s="80">
        <v>44348</v>
      </c>
      <c r="G480" s="6" t="s">
        <v>16</v>
      </c>
      <c r="H480" s="6" t="s">
        <v>1345</v>
      </c>
      <c r="I480" s="6">
        <v>1</v>
      </c>
      <c r="J480" s="8">
        <v>47000</v>
      </c>
      <c r="K480" s="8">
        <f t="shared" si="4"/>
        <v>538.25011452130093</v>
      </c>
      <c r="L480" s="96">
        <v>44364</v>
      </c>
      <c r="M480" s="6" t="s">
        <v>252</v>
      </c>
      <c r="N480" s="96">
        <v>44364</v>
      </c>
      <c r="O480" s="22" t="s">
        <v>5524</v>
      </c>
      <c r="Q480" s="6" t="s">
        <v>356</v>
      </c>
      <c r="R480" s="6" t="str">
        <f t="shared" ca="1" si="5"/>
        <v>NonCategory</v>
      </c>
    </row>
    <row r="481" spans="1:18">
      <c r="A481" s="162">
        <v>44383</v>
      </c>
      <c r="B481" s="164" t="s">
        <v>1403</v>
      </c>
      <c r="C481" s="168" t="s">
        <v>1404</v>
      </c>
      <c r="D481" s="6" t="s">
        <v>291</v>
      </c>
      <c r="E481" s="6" t="s">
        <v>25</v>
      </c>
      <c r="F481" s="80">
        <v>44378</v>
      </c>
      <c r="G481" s="6" t="s">
        <v>16</v>
      </c>
      <c r="H481" s="6" t="s">
        <v>82</v>
      </c>
      <c r="I481" s="6">
        <v>1</v>
      </c>
      <c r="J481" s="8">
        <v>45000</v>
      </c>
      <c r="K481" s="8">
        <f t="shared" si="4"/>
        <v>515.34585432890515</v>
      </c>
      <c r="L481" s="96">
        <v>44383</v>
      </c>
      <c r="M481" s="6" t="s">
        <v>251</v>
      </c>
      <c r="N481" s="96">
        <v>44385</v>
      </c>
      <c r="O481" s="22" t="s">
        <v>5525</v>
      </c>
      <c r="Q481" s="6" t="s">
        <v>356</v>
      </c>
      <c r="R481" s="6" t="str">
        <f t="shared" ca="1" si="5"/>
        <v>NonCategory</v>
      </c>
    </row>
    <row r="482" spans="1:18">
      <c r="A482" s="162">
        <v>44383</v>
      </c>
      <c r="B482" s="164" t="s">
        <v>1405</v>
      </c>
      <c r="C482" s="168" t="s">
        <v>1406</v>
      </c>
      <c r="D482" s="6" t="s">
        <v>278</v>
      </c>
      <c r="E482" s="6" t="s">
        <v>25</v>
      </c>
      <c r="F482" s="80">
        <v>44378</v>
      </c>
      <c r="G482" s="6" t="s">
        <v>16</v>
      </c>
      <c r="H482" s="6" t="s">
        <v>82</v>
      </c>
      <c r="I482" s="6">
        <v>1</v>
      </c>
      <c r="J482" s="8">
        <v>45000</v>
      </c>
      <c r="K482" s="8">
        <f t="shared" si="4"/>
        <v>515.34585432890515</v>
      </c>
      <c r="L482" s="96">
        <v>44383</v>
      </c>
      <c r="M482" s="6" t="s">
        <v>252</v>
      </c>
      <c r="N482" s="96">
        <v>44391</v>
      </c>
      <c r="O482" s="22" t="s">
        <v>5526</v>
      </c>
      <c r="Q482" s="6" t="s">
        <v>280</v>
      </c>
      <c r="R482" s="6" t="str">
        <f t="shared" ca="1" si="5"/>
        <v>NonCategory</v>
      </c>
    </row>
    <row r="483" spans="1:18">
      <c r="A483" s="162">
        <v>44383</v>
      </c>
      <c r="B483" s="164" t="s">
        <v>1407</v>
      </c>
      <c r="C483" s="168" t="s">
        <v>1408</v>
      </c>
      <c r="D483" s="6" t="s">
        <v>287</v>
      </c>
      <c r="E483" s="6" t="s">
        <v>7</v>
      </c>
      <c r="F483" s="80">
        <v>44378</v>
      </c>
      <c r="G483" s="6" t="s">
        <v>13</v>
      </c>
      <c r="H483" s="6" t="s">
        <v>1049</v>
      </c>
      <c r="I483" s="6">
        <v>1</v>
      </c>
      <c r="J483" s="8">
        <v>48000</v>
      </c>
      <c r="K483" s="8">
        <f t="shared" si="4"/>
        <v>549.70224461749888</v>
      </c>
      <c r="L483" s="96">
        <v>44383</v>
      </c>
      <c r="R483" s="6" t="str">
        <f t="shared" ca="1" si="5"/>
        <v>NonCategory</v>
      </c>
    </row>
    <row r="484" spans="1:18">
      <c r="A484" s="162">
        <v>44383</v>
      </c>
      <c r="B484" s="164" t="s">
        <v>406</v>
      </c>
      <c r="C484" s="168" t="s">
        <v>1409</v>
      </c>
      <c r="D484" s="6" t="s">
        <v>319</v>
      </c>
      <c r="E484" s="6" t="s">
        <v>6</v>
      </c>
      <c r="F484" s="80">
        <v>44378</v>
      </c>
      <c r="G484" s="6" t="s">
        <v>16</v>
      </c>
      <c r="H484" s="6" t="s">
        <v>1410</v>
      </c>
      <c r="I484" s="6">
        <v>1</v>
      </c>
      <c r="J484" s="8">
        <v>45000</v>
      </c>
      <c r="K484" s="8">
        <f t="shared" si="4"/>
        <v>515.34585432890515</v>
      </c>
      <c r="L484" s="96">
        <v>44383</v>
      </c>
      <c r="M484" s="6" t="s">
        <v>252</v>
      </c>
      <c r="N484" s="96">
        <v>44391</v>
      </c>
      <c r="O484" s="22" t="s">
        <v>5527</v>
      </c>
      <c r="Q484" s="6" t="s">
        <v>356</v>
      </c>
      <c r="R484" s="6" t="str">
        <f t="shared" ca="1" si="5"/>
        <v>NonCategory</v>
      </c>
    </row>
    <row r="485" spans="1:18">
      <c r="A485" s="162">
        <v>44383</v>
      </c>
      <c r="B485" s="164" t="s">
        <v>1411</v>
      </c>
      <c r="C485" s="168" t="s">
        <v>1412</v>
      </c>
      <c r="D485" s="6" t="s">
        <v>319</v>
      </c>
      <c r="E485" s="6" t="s">
        <v>151</v>
      </c>
      <c r="F485" s="80">
        <v>44378</v>
      </c>
      <c r="G485" s="6" t="s">
        <v>16</v>
      </c>
      <c r="H485" s="6" t="s">
        <v>1410</v>
      </c>
      <c r="I485" s="6">
        <v>1</v>
      </c>
      <c r="J485" s="8">
        <v>24780</v>
      </c>
      <c r="K485" s="8">
        <f t="shared" si="4"/>
        <v>283.7837837837838</v>
      </c>
      <c r="L485" s="96">
        <v>44383</v>
      </c>
      <c r="M485" s="6" t="s">
        <v>251</v>
      </c>
      <c r="N485" s="96">
        <v>44383</v>
      </c>
      <c r="O485" s="22" t="s">
        <v>1413</v>
      </c>
      <c r="Q485" s="6" t="s">
        <v>280</v>
      </c>
      <c r="R485" s="6" t="str">
        <f t="shared" ca="1" si="5"/>
        <v>NonCategory</v>
      </c>
    </row>
    <row r="486" spans="1:18">
      <c r="A486" s="162">
        <v>44384</v>
      </c>
      <c r="B486" s="165" t="s">
        <v>1414</v>
      </c>
      <c r="C486" s="168" t="s">
        <v>1415</v>
      </c>
      <c r="D486" s="6" t="s">
        <v>495</v>
      </c>
      <c r="E486" s="6" t="s">
        <v>150</v>
      </c>
      <c r="F486" s="80">
        <v>44378</v>
      </c>
      <c r="G486" s="6" t="s">
        <v>16</v>
      </c>
      <c r="H486" s="6" t="s">
        <v>1374</v>
      </c>
      <c r="I486" s="6">
        <v>1</v>
      </c>
      <c r="J486" s="8">
        <v>21000</v>
      </c>
      <c r="K486" s="8">
        <f t="shared" si="4"/>
        <v>240.49473202015577</v>
      </c>
      <c r="L486" s="96">
        <v>44384</v>
      </c>
      <c r="M486" s="6" t="s">
        <v>252</v>
      </c>
      <c r="N486" s="96">
        <v>44390</v>
      </c>
      <c r="O486" s="22" t="s">
        <v>5528</v>
      </c>
      <c r="Q486" s="6" t="s">
        <v>280</v>
      </c>
      <c r="R486" s="6" t="str">
        <f t="shared" ca="1" si="5"/>
        <v>NonCategory</v>
      </c>
    </row>
    <row r="487" spans="1:18">
      <c r="A487" s="162">
        <v>44375</v>
      </c>
      <c r="B487" s="164" t="s">
        <v>1416</v>
      </c>
      <c r="C487" s="168" t="s">
        <v>1417</v>
      </c>
      <c r="D487" s="6" t="s">
        <v>287</v>
      </c>
      <c r="E487" s="6" t="s">
        <v>6</v>
      </c>
      <c r="F487" s="80">
        <v>44348</v>
      </c>
      <c r="G487" s="6" t="s">
        <v>16</v>
      </c>
      <c r="H487" s="6" t="s">
        <v>1345</v>
      </c>
      <c r="I487" s="6">
        <v>1</v>
      </c>
      <c r="J487" s="8">
        <v>45000</v>
      </c>
      <c r="K487" s="8">
        <f t="shared" si="4"/>
        <v>515.34585432890515</v>
      </c>
      <c r="L487" s="96">
        <v>44375</v>
      </c>
      <c r="M487" s="6" t="s">
        <v>253</v>
      </c>
      <c r="N487" s="96">
        <v>44375</v>
      </c>
      <c r="O487" s="22" t="s">
        <v>5529</v>
      </c>
      <c r="Q487" s="6" t="s">
        <v>1418</v>
      </c>
      <c r="R487" s="6" t="str">
        <f t="shared" ca="1" si="5"/>
        <v>NonCategory</v>
      </c>
    </row>
    <row r="488" spans="1:18">
      <c r="A488" s="162">
        <v>44377</v>
      </c>
      <c r="B488" s="164" t="s">
        <v>1170</v>
      </c>
      <c r="C488" s="168" t="s">
        <v>1419</v>
      </c>
      <c r="D488" s="6" t="s">
        <v>319</v>
      </c>
      <c r="E488" s="6" t="s">
        <v>6</v>
      </c>
      <c r="F488" s="80">
        <v>44378</v>
      </c>
      <c r="G488" s="6" t="s">
        <v>16</v>
      </c>
      <c r="H488" s="6" t="s">
        <v>1345</v>
      </c>
      <c r="I488" s="6">
        <v>1</v>
      </c>
      <c r="J488" s="8">
        <v>45000</v>
      </c>
      <c r="K488" s="8">
        <f t="shared" si="4"/>
        <v>515.34585432890515</v>
      </c>
      <c r="L488" s="96">
        <v>44377</v>
      </c>
      <c r="M488" s="6" t="s">
        <v>251</v>
      </c>
      <c r="N488" s="96">
        <v>44378</v>
      </c>
      <c r="O488" s="22" t="s">
        <v>5530</v>
      </c>
      <c r="Q488" s="6" t="s">
        <v>280</v>
      </c>
      <c r="R488" s="6" t="str">
        <f t="shared" ca="1" si="5"/>
        <v>NonCategory</v>
      </c>
    </row>
    <row r="489" spans="1:18">
      <c r="A489" s="162">
        <v>44382</v>
      </c>
      <c r="B489" s="164" t="s">
        <v>1420</v>
      </c>
      <c r="C489" s="168" t="s">
        <v>1421</v>
      </c>
      <c r="D489" s="6" t="s">
        <v>278</v>
      </c>
      <c r="E489" s="6" t="s">
        <v>6</v>
      </c>
      <c r="F489" s="80">
        <v>44378</v>
      </c>
      <c r="G489" s="6" t="s">
        <v>16</v>
      </c>
      <c r="H489" s="6" t="s">
        <v>1345</v>
      </c>
      <c r="I489" s="6">
        <v>1</v>
      </c>
      <c r="J489" s="8">
        <v>45000</v>
      </c>
      <c r="K489" s="8">
        <f t="shared" si="4"/>
        <v>515.34585432890515</v>
      </c>
      <c r="L489" s="96">
        <v>44382</v>
      </c>
      <c r="M489" s="6" t="s">
        <v>251</v>
      </c>
      <c r="N489" s="96">
        <v>44382</v>
      </c>
      <c r="O489" s="22" t="s">
        <v>5531</v>
      </c>
      <c r="Q489" s="6" t="s">
        <v>280</v>
      </c>
      <c r="R489" s="6" t="str">
        <f t="shared" ca="1" si="5"/>
        <v>NonCategory</v>
      </c>
    </row>
    <row r="490" spans="1:18">
      <c r="A490" s="162">
        <v>44385</v>
      </c>
      <c r="B490" s="164" t="s">
        <v>1422</v>
      </c>
      <c r="C490" s="168" t="s">
        <v>1423</v>
      </c>
      <c r="D490" s="6" t="s">
        <v>319</v>
      </c>
      <c r="E490" s="6" t="s">
        <v>96</v>
      </c>
      <c r="F490" s="80">
        <v>44378</v>
      </c>
      <c r="G490" s="6" t="s">
        <v>16</v>
      </c>
      <c r="H490" s="6" t="s">
        <v>1374</v>
      </c>
      <c r="I490" s="6">
        <v>1</v>
      </c>
      <c r="J490" s="8">
        <v>19000</v>
      </c>
      <c r="K490" s="8">
        <f t="shared" si="4"/>
        <v>217.59047182775998</v>
      </c>
      <c r="L490" s="96">
        <v>44385</v>
      </c>
      <c r="M490" s="6" t="s">
        <v>251</v>
      </c>
      <c r="N490" s="96">
        <v>44385</v>
      </c>
      <c r="O490" s="22" t="s">
        <v>5532</v>
      </c>
      <c r="Q490" s="6" t="s">
        <v>280</v>
      </c>
      <c r="R490" s="6" t="str">
        <f t="shared" ca="1" si="5"/>
        <v>NonCategory</v>
      </c>
    </row>
    <row r="491" spans="1:18">
      <c r="A491" s="162">
        <v>44389</v>
      </c>
      <c r="B491" s="164" t="s">
        <v>1424</v>
      </c>
      <c r="C491" s="168" t="s">
        <v>1425</v>
      </c>
      <c r="D491" s="6" t="s">
        <v>287</v>
      </c>
      <c r="E491" s="6" t="s">
        <v>151</v>
      </c>
      <c r="F491" s="80">
        <v>44378</v>
      </c>
      <c r="G491" s="6" t="s">
        <v>13</v>
      </c>
      <c r="H491" s="6" t="s">
        <v>1049</v>
      </c>
      <c r="I491" s="6">
        <v>1</v>
      </c>
      <c r="J491" s="8">
        <v>21000</v>
      </c>
      <c r="K491" s="8">
        <f t="shared" si="4"/>
        <v>240.49473202015577</v>
      </c>
      <c r="L491" s="96">
        <v>44389</v>
      </c>
      <c r="R491" s="6" t="str">
        <f t="shared" ca="1" si="5"/>
        <v>NonCategory</v>
      </c>
    </row>
    <row r="492" spans="1:18">
      <c r="A492" s="162">
        <v>44389</v>
      </c>
      <c r="B492" s="164" t="s">
        <v>1426</v>
      </c>
      <c r="C492" s="168" t="s">
        <v>1427</v>
      </c>
      <c r="D492" s="6" t="s">
        <v>278</v>
      </c>
      <c r="E492" s="6" t="s">
        <v>151</v>
      </c>
      <c r="F492" s="80">
        <v>44378</v>
      </c>
      <c r="G492" s="6" t="s">
        <v>16</v>
      </c>
      <c r="H492" s="6" t="s">
        <v>1428</v>
      </c>
      <c r="I492" s="6">
        <v>1</v>
      </c>
      <c r="J492" s="8">
        <v>21000</v>
      </c>
      <c r="K492" s="8">
        <f t="shared" si="4"/>
        <v>240.49473202015577</v>
      </c>
      <c r="L492" s="96">
        <v>44389</v>
      </c>
      <c r="M492" s="6" t="s">
        <v>252</v>
      </c>
      <c r="N492" s="96">
        <v>44389</v>
      </c>
      <c r="O492" s="22" t="s">
        <v>5533</v>
      </c>
      <c r="P492" s="6" t="s">
        <v>1429</v>
      </c>
      <c r="Q492" s="6" t="s">
        <v>280</v>
      </c>
      <c r="R492" s="6" t="str">
        <f t="shared" ca="1" si="5"/>
        <v>NonCategory</v>
      </c>
    </row>
    <row r="493" spans="1:18">
      <c r="A493" s="162">
        <v>44390</v>
      </c>
      <c r="B493" s="164" t="s">
        <v>1430</v>
      </c>
      <c r="C493" s="168" t="s">
        <v>1431</v>
      </c>
      <c r="D493" s="6" t="s">
        <v>278</v>
      </c>
      <c r="E493" s="6" t="s">
        <v>150</v>
      </c>
      <c r="F493" s="80">
        <v>44378</v>
      </c>
      <c r="G493" s="6" t="s">
        <v>16</v>
      </c>
      <c r="H493" s="6" t="s">
        <v>1374</v>
      </c>
      <c r="I493" s="6">
        <v>1</v>
      </c>
      <c r="J493" s="8">
        <v>21000</v>
      </c>
      <c r="K493" s="8">
        <f t="shared" si="4"/>
        <v>240.49473202015577</v>
      </c>
      <c r="L493" s="96">
        <v>44390</v>
      </c>
      <c r="M493" s="6" t="s">
        <v>252</v>
      </c>
      <c r="N493" s="96">
        <v>44390</v>
      </c>
      <c r="O493" s="22" t="s">
        <v>5534</v>
      </c>
      <c r="P493" s="6" t="s">
        <v>1432</v>
      </c>
      <c r="Q493" s="6" t="s">
        <v>280</v>
      </c>
      <c r="R493" s="6" t="str">
        <f t="shared" ca="1" si="5"/>
        <v>NonCategory</v>
      </c>
    </row>
    <row r="494" spans="1:18">
      <c r="A494" s="162">
        <v>44390</v>
      </c>
      <c r="B494" s="164" t="s">
        <v>1433</v>
      </c>
      <c r="C494" s="168" t="s">
        <v>1434</v>
      </c>
      <c r="D494" s="6" t="s">
        <v>278</v>
      </c>
      <c r="E494" s="6" t="s">
        <v>96</v>
      </c>
      <c r="F494" s="80">
        <v>44378</v>
      </c>
      <c r="G494" s="6" t="s">
        <v>16</v>
      </c>
      <c r="H494" s="6" t="s">
        <v>82</v>
      </c>
      <c r="I494" s="6">
        <v>1</v>
      </c>
      <c r="J494" s="8">
        <v>18500</v>
      </c>
      <c r="K494" s="8">
        <f t="shared" si="4"/>
        <v>211.86440677966101</v>
      </c>
      <c r="L494" s="96">
        <v>44390</v>
      </c>
      <c r="M494" s="6" t="s">
        <v>252</v>
      </c>
      <c r="N494" s="96">
        <v>44390</v>
      </c>
      <c r="O494" s="22" t="s">
        <v>5535</v>
      </c>
      <c r="P494" s="6" t="s">
        <v>1435</v>
      </c>
      <c r="Q494" s="6" t="s">
        <v>356</v>
      </c>
      <c r="R494" s="6" t="str">
        <f t="shared" ca="1" si="5"/>
        <v>NonCategory</v>
      </c>
    </row>
    <row r="495" spans="1:18">
      <c r="A495" s="162">
        <v>44391</v>
      </c>
      <c r="B495" s="164" t="s">
        <v>1436</v>
      </c>
      <c r="C495" s="168" t="s">
        <v>1437</v>
      </c>
      <c r="D495" s="6" t="s">
        <v>278</v>
      </c>
      <c r="E495" s="6" t="s">
        <v>150</v>
      </c>
      <c r="F495" s="80">
        <v>44378</v>
      </c>
      <c r="G495" s="6" t="s">
        <v>16</v>
      </c>
      <c r="H495" s="6" t="s">
        <v>1374</v>
      </c>
      <c r="I495" s="6">
        <v>1</v>
      </c>
      <c r="J495" s="8">
        <v>21000</v>
      </c>
      <c r="K495" s="8">
        <f t="shared" si="4"/>
        <v>240.49473202015577</v>
      </c>
      <c r="L495" s="96">
        <v>44391</v>
      </c>
      <c r="M495" s="6" t="s">
        <v>252</v>
      </c>
      <c r="N495" s="96">
        <v>44391</v>
      </c>
      <c r="O495" s="22" t="s">
        <v>5536</v>
      </c>
      <c r="P495" s="6" t="s">
        <v>1034</v>
      </c>
      <c r="Q495" s="6" t="s">
        <v>356</v>
      </c>
      <c r="R495" s="6" t="str">
        <f t="shared" ca="1" si="5"/>
        <v>NonCategory</v>
      </c>
    </row>
    <row r="496" spans="1:18">
      <c r="A496" s="162">
        <v>44392</v>
      </c>
      <c r="B496" s="164" t="s">
        <v>1438</v>
      </c>
      <c r="C496" s="168" t="s">
        <v>1439</v>
      </c>
      <c r="D496" s="6" t="s">
        <v>319</v>
      </c>
      <c r="E496" s="6" t="s">
        <v>14</v>
      </c>
      <c r="F496" s="80">
        <v>44378</v>
      </c>
      <c r="G496" s="6" t="s">
        <v>16</v>
      </c>
      <c r="H496" s="6" t="s">
        <v>1440</v>
      </c>
      <c r="I496" s="6">
        <v>1</v>
      </c>
      <c r="J496" s="8">
        <v>31000</v>
      </c>
      <c r="K496" s="8">
        <f t="shared" si="4"/>
        <v>355.01603298213467</v>
      </c>
      <c r="L496" s="96">
        <v>44392</v>
      </c>
      <c r="M496" s="6" t="s">
        <v>252</v>
      </c>
      <c r="N496" s="96">
        <v>44392</v>
      </c>
      <c r="O496" s="22" t="s">
        <v>5537</v>
      </c>
      <c r="Q496" s="6" t="s">
        <v>356</v>
      </c>
      <c r="R496" s="6" t="str">
        <f t="shared" ca="1" si="5"/>
        <v>NonCategory</v>
      </c>
    </row>
    <row r="497" spans="1:18">
      <c r="A497" s="162">
        <v>44392</v>
      </c>
      <c r="B497" s="164" t="s">
        <v>1441</v>
      </c>
      <c r="C497" s="168" t="s">
        <v>1442</v>
      </c>
      <c r="D497" s="6" t="s">
        <v>291</v>
      </c>
      <c r="E497" s="6" t="s">
        <v>25</v>
      </c>
      <c r="F497" s="80">
        <v>44378</v>
      </c>
      <c r="G497" s="6" t="s">
        <v>16</v>
      </c>
      <c r="H497" s="6" t="s">
        <v>1049</v>
      </c>
      <c r="I497" s="6">
        <v>1</v>
      </c>
      <c r="J497" s="8">
        <v>46000</v>
      </c>
      <c r="K497" s="8">
        <f t="shared" si="4"/>
        <v>526.7979844251031</v>
      </c>
      <c r="L497" s="96">
        <v>44392</v>
      </c>
      <c r="M497" s="6" t="s">
        <v>252</v>
      </c>
      <c r="N497" s="96">
        <v>44392</v>
      </c>
      <c r="O497" s="22" t="s">
        <v>5538</v>
      </c>
      <c r="Q497" s="6" t="s">
        <v>280</v>
      </c>
      <c r="R497" s="6" t="str">
        <f t="shared" ca="1" si="5"/>
        <v>NonCategory</v>
      </c>
    </row>
    <row r="498" spans="1:18">
      <c r="A498" s="162">
        <v>44393</v>
      </c>
      <c r="B498" s="164" t="s">
        <v>1443</v>
      </c>
      <c r="C498" s="168" t="s">
        <v>1444</v>
      </c>
      <c r="D498" s="6" t="s">
        <v>278</v>
      </c>
      <c r="E498" s="6" t="s">
        <v>97</v>
      </c>
      <c r="F498" s="80">
        <v>44378</v>
      </c>
      <c r="G498" s="6" t="s">
        <v>16</v>
      </c>
      <c r="H498" s="6" t="s">
        <v>1410</v>
      </c>
      <c r="I498" s="6">
        <v>1</v>
      </c>
      <c r="J498" s="8">
        <v>19000</v>
      </c>
      <c r="K498" s="8">
        <f t="shared" si="4"/>
        <v>217.59047182775998</v>
      </c>
      <c r="L498" s="96">
        <v>44393</v>
      </c>
      <c r="M498" s="6" t="s">
        <v>252</v>
      </c>
      <c r="N498" s="96">
        <v>44393</v>
      </c>
      <c r="O498" s="22" t="s">
        <v>5539</v>
      </c>
      <c r="P498" s="19" t="s">
        <v>1278</v>
      </c>
      <c r="Q498" s="6" t="s">
        <v>280</v>
      </c>
      <c r="R498" s="6" t="str">
        <f t="shared" ca="1" si="5"/>
        <v>NonCategory</v>
      </c>
    </row>
    <row r="499" spans="1:18">
      <c r="A499" s="162">
        <v>44396</v>
      </c>
      <c r="B499" s="164" t="s">
        <v>1445</v>
      </c>
      <c r="C499" s="168" t="s">
        <v>1446</v>
      </c>
      <c r="D499" s="6" t="s">
        <v>278</v>
      </c>
      <c r="E499" s="6" t="s">
        <v>96</v>
      </c>
      <c r="F499" s="80">
        <v>44378</v>
      </c>
      <c r="G499" s="6" t="s">
        <v>16</v>
      </c>
      <c r="H499" s="6" t="s">
        <v>1447</v>
      </c>
      <c r="I499" s="6">
        <v>1</v>
      </c>
      <c r="J499" s="8">
        <v>20000</v>
      </c>
      <c r="K499" s="8">
        <f t="shared" si="4"/>
        <v>229.04260192395787</v>
      </c>
      <c r="L499" s="96">
        <v>44396</v>
      </c>
      <c r="M499" s="6" t="s">
        <v>252</v>
      </c>
      <c r="N499" s="96">
        <v>44396</v>
      </c>
      <c r="O499" s="22" t="s">
        <v>5540</v>
      </c>
      <c r="P499" s="6" t="s">
        <v>732</v>
      </c>
      <c r="Q499" s="6" t="s">
        <v>356</v>
      </c>
      <c r="R499" s="6" t="str">
        <f t="shared" ca="1" si="5"/>
        <v>NonCategory</v>
      </c>
    </row>
    <row r="500" spans="1:18">
      <c r="A500" s="162">
        <v>44396</v>
      </c>
      <c r="B500" s="164" t="s">
        <v>1448</v>
      </c>
      <c r="C500" s="168" t="s">
        <v>1449</v>
      </c>
      <c r="D500" s="6" t="s">
        <v>319</v>
      </c>
      <c r="E500" s="6" t="s">
        <v>150</v>
      </c>
      <c r="F500" s="80">
        <v>44378</v>
      </c>
      <c r="G500" s="6" t="s">
        <v>16</v>
      </c>
      <c r="H500" s="6" t="s">
        <v>1410</v>
      </c>
      <c r="I500" s="6">
        <v>1</v>
      </c>
      <c r="J500" s="8">
        <v>21000</v>
      </c>
      <c r="K500" s="8">
        <f t="shared" si="4"/>
        <v>240.49473202015577</v>
      </c>
      <c r="L500" s="96">
        <v>44396</v>
      </c>
      <c r="M500" s="6" t="s">
        <v>252</v>
      </c>
      <c r="N500" s="96">
        <v>44396</v>
      </c>
      <c r="O500" s="22" t="s">
        <v>5541</v>
      </c>
      <c r="Q500" s="6" t="s">
        <v>280</v>
      </c>
      <c r="R500" s="6" t="str">
        <f t="shared" ca="1" si="5"/>
        <v>NonCategory</v>
      </c>
    </row>
    <row r="501" spans="1:18">
      <c r="A501" s="162">
        <v>44396</v>
      </c>
      <c r="B501" s="164" t="s">
        <v>1450</v>
      </c>
      <c r="C501" s="168" t="s">
        <v>1451</v>
      </c>
      <c r="D501" s="6" t="s">
        <v>303</v>
      </c>
      <c r="E501" s="6" t="s">
        <v>7</v>
      </c>
      <c r="F501" s="80">
        <v>44378</v>
      </c>
      <c r="G501" s="6" t="s">
        <v>16</v>
      </c>
      <c r="H501" s="6" t="s">
        <v>1049</v>
      </c>
      <c r="I501" s="6">
        <v>1</v>
      </c>
      <c r="J501" s="8">
        <v>48000</v>
      </c>
      <c r="K501" s="8">
        <f t="shared" si="4"/>
        <v>549.70224461749888</v>
      </c>
      <c r="L501" s="96">
        <v>44396</v>
      </c>
      <c r="M501" s="6" t="s">
        <v>252</v>
      </c>
      <c r="N501" s="96">
        <v>44396</v>
      </c>
      <c r="O501" s="22" t="s">
        <v>5542</v>
      </c>
      <c r="Q501" s="6" t="s">
        <v>280</v>
      </c>
      <c r="R501" s="6" t="str">
        <f t="shared" ca="1" si="5"/>
        <v>NonCategory</v>
      </c>
    </row>
    <row r="502" spans="1:18">
      <c r="A502" s="162">
        <v>44398</v>
      </c>
      <c r="B502" s="164" t="s">
        <v>1452</v>
      </c>
      <c r="C502" s="168" t="s">
        <v>1102</v>
      </c>
      <c r="D502" s="6" t="s">
        <v>303</v>
      </c>
      <c r="E502" s="6" t="s">
        <v>25</v>
      </c>
      <c r="F502" s="80">
        <v>44378</v>
      </c>
      <c r="G502" s="6" t="s">
        <v>16</v>
      </c>
      <c r="H502" s="6" t="s">
        <v>1049</v>
      </c>
      <c r="I502" s="6">
        <v>1</v>
      </c>
      <c r="J502" s="8">
        <v>45000</v>
      </c>
      <c r="K502" s="8">
        <f t="shared" si="4"/>
        <v>515.34585432890515</v>
      </c>
      <c r="L502" s="96">
        <v>44398</v>
      </c>
      <c r="M502" s="6" t="s">
        <v>253</v>
      </c>
      <c r="N502" s="96">
        <v>44398</v>
      </c>
      <c r="O502" s="22" t="s">
        <v>5543</v>
      </c>
      <c r="Q502" s="6" t="s">
        <v>280</v>
      </c>
      <c r="R502" s="6" t="str">
        <f t="shared" ca="1" si="5"/>
        <v>NonCategory</v>
      </c>
    </row>
    <row r="503" spans="1:18" ht="14.4">
      <c r="A503" s="162">
        <v>44399</v>
      </c>
      <c r="B503" s="164" t="s">
        <v>1453</v>
      </c>
      <c r="C503" s="168" t="s">
        <v>1454</v>
      </c>
      <c r="D503" s="6" t="s">
        <v>278</v>
      </c>
      <c r="E503" s="6" t="s">
        <v>25</v>
      </c>
      <c r="F503" s="80">
        <v>44378</v>
      </c>
      <c r="G503" s="6" t="s">
        <v>16</v>
      </c>
      <c r="H503" s="6" t="s">
        <v>1049</v>
      </c>
      <c r="I503" s="6">
        <v>1</v>
      </c>
      <c r="J503" s="8">
        <v>45000</v>
      </c>
      <c r="K503" s="8">
        <f t="shared" si="4"/>
        <v>515.34585432890515</v>
      </c>
      <c r="L503" s="96">
        <v>44399</v>
      </c>
      <c r="M503" s="6" t="s">
        <v>253</v>
      </c>
      <c r="N503" s="96">
        <v>44399</v>
      </c>
      <c r="O503" s="22" t="s">
        <v>5544</v>
      </c>
      <c r="P503" s="44" t="s">
        <v>1455</v>
      </c>
      <c r="Q503" s="6" t="s">
        <v>280</v>
      </c>
      <c r="R503" s="6" t="str">
        <f t="shared" ca="1" si="5"/>
        <v>NonCategory</v>
      </c>
    </row>
    <row r="504" spans="1:18">
      <c r="A504" s="162">
        <v>44400</v>
      </c>
      <c r="B504" s="164" t="s">
        <v>1456</v>
      </c>
      <c r="C504" s="168" t="s">
        <v>1457</v>
      </c>
      <c r="D504" s="6" t="s">
        <v>278</v>
      </c>
      <c r="E504" s="6" t="s">
        <v>96</v>
      </c>
      <c r="F504" s="80">
        <v>44378</v>
      </c>
      <c r="G504" s="6" t="s">
        <v>16</v>
      </c>
      <c r="H504" s="6" t="s">
        <v>82</v>
      </c>
      <c r="I504" s="6">
        <v>1</v>
      </c>
      <c r="J504" s="8">
        <v>18000</v>
      </c>
      <c r="K504" s="8">
        <f t="shared" si="4"/>
        <v>206.13834173156206</v>
      </c>
      <c r="L504" s="96">
        <v>44400</v>
      </c>
      <c r="M504" s="6" t="s">
        <v>253</v>
      </c>
      <c r="N504" s="96">
        <v>44400</v>
      </c>
      <c r="O504" s="22" t="s">
        <v>5545</v>
      </c>
      <c r="P504" s="6" t="s">
        <v>1278</v>
      </c>
      <c r="Q504" s="6" t="s">
        <v>1458</v>
      </c>
      <c r="R504" s="6" t="str">
        <f t="shared" ca="1" si="5"/>
        <v>NonCategory</v>
      </c>
    </row>
    <row r="505" spans="1:18">
      <c r="A505" s="162">
        <v>44400</v>
      </c>
      <c r="B505" s="164" t="s">
        <v>1459</v>
      </c>
      <c r="C505" s="168" t="s">
        <v>1460</v>
      </c>
      <c r="D505" s="6" t="s">
        <v>278</v>
      </c>
      <c r="E505" s="6" t="s">
        <v>96</v>
      </c>
      <c r="F505" s="80">
        <v>44378</v>
      </c>
      <c r="G505" s="6" t="s">
        <v>16</v>
      </c>
      <c r="H505" s="6" t="s">
        <v>82</v>
      </c>
      <c r="I505" s="6">
        <v>1</v>
      </c>
      <c r="J505" s="8">
        <v>18000</v>
      </c>
      <c r="K505" s="8">
        <f t="shared" si="4"/>
        <v>206.13834173156206</v>
      </c>
      <c r="L505" s="96">
        <v>44400</v>
      </c>
      <c r="M505" s="6" t="s">
        <v>253</v>
      </c>
      <c r="N505" s="96">
        <v>44400</v>
      </c>
      <c r="O505" s="22" t="s">
        <v>5546</v>
      </c>
      <c r="P505" s="6" t="s">
        <v>1278</v>
      </c>
      <c r="Q505" s="6" t="s">
        <v>1458</v>
      </c>
      <c r="R505" s="6" t="str">
        <f t="shared" ca="1" si="5"/>
        <v>NonCategory</v>
      </c>
    </row>
    <row r="506" spans="1:18">
      <c r="A506" s="162">
        <v>44401</v>
      </c>
      <c r="B506" s="164" t="s">
        <v>1461</v>
      </c>
      <c r="C506" s="168" t="s">
        <v>1462</v>
      </c>
      <c r="D506" s="6" t="s">
        <v>278</v>
      </c>
      <c r="E506" s="6" t="s">
        <v>96</v>
      </c>
      <c r="F506" s="80">
        <v>44378</v>
      </c>
      <c r="G506" s="6" t="s">
        <v>16</v>
      </c>
      <c r="H506" s="6" t="s">
        <v>82</v>
      </c>
      <c r="I506" s="6">
        <v>1</v>
      </c>
      <c r="J506" s="8">
        <v>18000</v>
      </c>
      <c r="K506" s="8">
        <f t="shared" si="4"/>
        <v>206.13834173156206</v>
      </c>
      <c r="L506" s="96">
        <v>44401</v>
      </c>
      <c r="M506" s="6" t="s">
        <v>253</v>
      </c>
      <c r="N506" s="96">
        <v>44401</v>
      </c>
      <c r="O506" s="22" t="s">
        <v>5547</v>
      </c>
      <c r="P506" s="6" t="s">
        <v>1278</v>
      </c>
      <c r="Q506" s="6" t="s">
        <v>1458</v>
      </c>
      <c r="R506" s="6" t="str">
        <f t="shared" ca="1" si="5"/>
        <v>NonCategory</v>
      </c>
    </row>
    <row r="507" spans="1:18">
      <c r="A507" s="162">
        <v>44403</v>
      </c>
      <c r="B507" s="164" t="s">
        <v>1463</v>
      </c>
      <c r="C507" s="168" t="s">
        <v>1464</v>
      </c>
      <c r="D507" s="6" t="s">
        <v>278</v>
      </c>
      <c r="E507" s="6" t="s">
        <v>1465</v>
      </c>
      <c r="F507" s="80">
        <v>44378</v>
      </c>
      <c r="G507" s="6" t="s">
        <v>16</v>
      </c>
      <c r="H507" s="6" t="s">
        <v>21</v>
      </c>
      <c r="I507" s="6">
        <v>1</v>
      </c>
      <c r="J507" s="8">
        <v>36000</v>
      </c>
      <c r="K507" s="8">
        <f t="shared" si="4"/>
        <v>412.27668346312413</v>
      </c>
      <c r="L507" s="96">
        <v>44403</v>
      </c>
      <c r="M507" s="6" t="s">
        <v>253</v>
      </c>
      <c r="N507" s="96">
        <v>44405</v>
      </c>
      <c r="O507" s="22" t="s">
        <v>5548</v>
      </c>
      <c r="P507" s="6" t="s">
        <v>1278</v>
      </c>
      <c r="Q507" s="6" t="s">
        <v>356</v>
      </c>
      <c r="R507" s="6" t="str">
        <f t="shared" ca="1" si="5"/>
        <v>NonCategory</v>
      </c>
    </row>
    <row r="508" spans="1:18">
      <c r="A508" s="162">
        <v>44406</v>
      </c>
      <c r="B508" s="164" t="s">
        <v>1466</v>
      </c>
      <c r="C508" s="168" t="s">
        <v>1467</v>
      </c>
      <c r="D508" s="6" t="s">
        <v>495</v>
      </c>
      <c r="E508" s="6" t="s">
        <v>96</v>
      </c>
      <c r="F508" s="80">
        <v>44378</v>
      </c>
      <c r="G508" s="6" t="s">
        <v>16</v>
      </c>
      <c r="H508" s="6" t="s">
        <v>1428</v>
      </c>
      <c r="I508" s="6">
        <v>1</v>
      </c>
      <c r="J508" s="8">
        <v>18500</v>
      </c>
      <c r="K508" s="8">
        <f t="shared" si="4"/>
        <v>211.86440677966101</v>
      </c>
      <c r="L508" s="96">
        <v>44406</v>
      </c>
      <c r="M508" s="6" t="s">
        <v>253</v>
      </c>
      <c r="N508" s="96">
        <v>44406</v>
      </c>
      <c r="O508" s="22" t="s">
        <v>5549</v>
      </c>
      <c r="Q508" s="6" t="s">
        <v>1458</v>
      </c>
      <c r="R508" s="6" t="str">
        <f t="shared" ca="1" si="5"/>
        <v>NonCategory</v>
      </c>
    </row>
    <row r="509" spans="1:18">
      <c r="A509" s="162">
        <v>44406</v>
      </c>
      <c r="B509" s="164" t="s">
        <v>1285</v>
      </c>
      <c r="C509" s="168" t="s">
        <v>1286</v>
      </c>
      <c r="D509" s="6" t="s">
        <v>274</v>
      </c>
      <c r="E509" s="6" t="s">
        <v>1468</v>
      </c>
      <c r="F509" s="80">
        <v>44378</v>
      </c>
      <c r="G509" s="6" t="s">
        <v>16</v>
      </c>
      <c r="H509" s="6" t="s">
        <v>21</v>
      </c>
      <c r="I509" s="6">
        <v>1</v>
      </c>
      <c r="J509" s="8">
        <v>20000</v>
      </c>
      <c r="K509" s="8">
        <f t="shared" si="4"/>
        <v>229.04260192395787</v>
      </c>
      <c r="L509" s="96">
        <v>44406</v>
      </c>
      <c r="M509" s="6" t="s">
        <v>253</v>
      </c>
      <c r="N509" s="96">
        <v>44406</v>
      </c>
      <c r="O509" s="22" t="s">
        <v>5550</v>
      </c>
      <c r="Q509" s="6" t="s">
        <v>356</v>
      </c>
      <c r="R509" s="6" t="str">
        <f t="shared" ca="1" si="5"/>
        <v>NonCategory</v>
      </c>
    </row>
    <row r="510" spans="1:18" ht="14.4">
      <c r="A510" s="162">
        <v>44407</v>
      </c>
      <c r="B510" s="164" t="s">
        <v>1469</v>
      </c>
      <c r="C510" s="168" t="s">
        <v>1470</v>
      </c>
      <c r="D510" s="6" t="s">
        <v>278</v>
      </c>
      <c r="E510" s="6" t="s">
        <v>25</v>
      </c>
      <c r="F510" s="80">
        <v>44378</v>
      </c>
      <c r="G510" s="6" t="s">
        <v>16</v>
      </c>
      <c r="H510" s="6" t="s">
        <v>38</v>
      </c>
      <c r="I510" s="6">
        <v>1</v>
      </c>
      <c r="J510" s="8">
        <v>45000</v>
      </c>
      <c r="K510" s="8">
        <f t="shared" ref="K510:K764" si="6">IFERROR((($J510/1.18))/74,"")</f>
        <v>515.34585432890515</v>
      </c>
      <c r="L510" s="96">
        <v>44407</v>
      </c>
      <c r="M510" s="6" t="s">
        <v>253</v>
      </c>
      <c r="N510" s="96">
        <v>44407</v>
      </c>
      <c r="O510" s="22" t="s">
        <v>5551</v>
      </c>
      <c r="P510" s="44" t="s">
        <v>1206</v>
      </c>
      <c r="Q510" s="6" t="s">
        <v>356</v>
      </c>
      <c r="R510" s="6" t="str">
        <f t="shared" ca="1" si="5"/>
        <v>NonCategory</v>
      </c>
    </row>
    <row r="511" spans="1:18">
      <c r="A511" s="162">
        <v>44407</v>
      </c>
      <c r="B511" s="164" t="s">
        <v>1471</v>
      </c>
      <c r="C511" s="168" t="s">
        <v>1472</v>
      </c>
      <c r="D511" s="6" t="s">
        <v>278</v>
      </c>
      <c r="E511" s="6" t="s">
        <v>150</v>
      </c>
      <c r="F511" s="80">
        <v>44378</v>
      </c>
      <c r="G511" s="6" t="s">
        <v>16</v>
      </c>
      <c r="H511" s="6" t="s">
        <v>120</v>
      </c>
      <c r="I511" s="6">
        <v>1</v>
      </c>
      <c r="J511" s="8">
        <v>21000</v>
      </c>
      <c r="K511" s="8">
        <f t="shared" si="6"/>
        <v>240.49473202015577</v>
      </c>
      <c r="L511" s="96">
        <v>44407</v>
      </c>
      <c r="M511" s="6" t="s">
        <v>253</v>
      </c>
      <c r="N511" s="96">
        <v>44407</v>
      </c>
      <c r="O511" s="22" t="s">
        <v>5552</v>
      </c>
      <c r="P511" s="6" t="s">
        <v>1473</v>
      </c>
      <c r="Q511" s="6" t="s">
        <v>356</v>
      </c>
      <c r="R511" s="6" t="str">
        <f t="shared" ref="R511:R765" ca="1" si="7">IFERROR(_xludf.IFS($E511="CSM","Category",$E511="CSPO","Category", $E511="PSM","Category",$E511="PSPO","Category",$E511="SAFe Agile","SAFe",$E511="SAFe SSM","SAFe",$E511="SAFe POPM","SAFe",$E511="SASM","SAFe",$E511="PMI-ACP","Category",$E511="ICP-ACC","Category",$E511="PSM 2","Category",$E511="SAFe RTE","SAFe",$E511="",""),"NonCategory")</f>
        <v>NonCategory</v>
      </c>
    </row>
    <row r="512" spans="1:18">
      <c r="A512" s="162">
        <v>44408</v>
      </c>
      <c r="B512" s="164" t="s">
        <v>1190</v>
      </c>
      <c r="C512" s="168" t="s">
        <v>1191</v>
      </c>
      <c r="D512" s="6" t="s">
        <v>274</v>
      </c>
      <c r="E512" s="6" t="s">
        <v>97</v>
      </c>
      <c r="F512" s="80">
        <v>44378</v>
      </c>
      <c r="G512" s="6" t="s">
        <v>13</v>
      </c>
      <c r="H512" s="6" t="s">
        <v>1410</v>
      </c>
      <c r="I512" s="6">
        <v>1</v>
      </c>
      <c r="J512" s="8">
        <v>18500</v>
      </c>
      <c r="K512" s="8">
        <f t="shared" si="6"/>
        <v>211.86440677966101</v>
      </c>
      <c r="L512" s="96">
        <v>44408</v>
      </c>
      <c r="R512" s="6" t="str">
        <f t="shared" ca="1" si="7"/>
        <v>NonCategory</v>
      </c>
    </row>
    <row r="513" spans="1:18">
      <c r="A513" s="162">
        <v>44408</v>
      </c>
      <c r="B513" s="164" t="s">
        <v>1193</v>
      </c>
      <c r="C513" s="168" t="s">
        <v>1194</v>
      </c>
      <c r="D513" s="6" t="s">
        <v>274</v>
      </c>
      <c r="E513" s="6" t="s">
        <v>97</v>
      </c>
      <c r="F513" s="80">
        <v>44378</v>
      </c>
      <c r="G513" s="6" t="s">
        <v>16</v>
      </c>
      <c r="H513" s="6" t="s">
        <v>1410</v>
      </c>
      <c r="I513" s="6">
        <v>1</v>
      </c>
      <c r="J513" s="8">
        <v>18500</v>
      </c>
      <c r="K513" s="8">
        <f t="shared" si="6"/>
        <v>211.86440677966101</v>
      </c>
      <c r="L513" s="96">
        <v>44408</v>
      </c>
      <c r="M513" s="6" t="s">
        <v>253</v>
      </c>
      <c r="N513" s="96">
        <v>44408</v>
      </c>
      <c r="O513" s="22" t="s">
        <v>5553</v>
      </c>
      <c r="Q513" s="6" t="s">
        <v>356</v>
      </c>
      <c r="R513" s="6" t="str">
        <f t="shared" ca="1" si="7"/>
        <v>NonCategory</v>
      </c>
    </row>
    <row r="514" spans="1:18">
      <c r="A514" s="162">
        <v>44408</v>
      </c>
      <c r="B514" s="164" t="s">
        <v>1196</v>
      </c>
      <c r="C514" s="168" t="s">
        <v>1197</v>
      </c>
      <c r="D514" s="6" t="s">
        <v>274</v>
      </c>
      <c r="E514" s="6" t="s">
        <v>97</v>
      </c>
      <c r="F514" s="80">
        <v>44378</v>
      </c>
      <c r="G514" s="6" t="s">
        <v>16</v>
      </c>
      <c r="H514" s="6" t="s">
        <v>1410</v>
      </c>
      <c r="I514" s="6">
        <v>1</v>
      </c>
      <c r="J514" s="8">
        <v>18500</v>
      </c>
      <c r="K514" s="8">
        <f t="shared" si="6"/>
        <v>211.86440677966101</v>
      </c>
      <c r="L514" s="96">
        <v>44408</v>
      </c>
      <c r="M514" s="6" t="s">
        <v>253</v>
      </c>
      <c r="N514" s="96">
        <v>44408</v>
      </c>
      <c r="O514" s="22" t="s">
        <v>5554</v>
      </c>
      <c r="Q514" s="6" t="s">
        <v>356</v>
      </c>
      <c r="R514" s="6" t="str">
        <f t="shared" ca="1" si="7"/>
        <v>NonCategory</v>
      </c>
    </row>
    <row r="515" spans="1:18">
      <c r="A515" s="162">
        <v>44408</v>
      </c>
      <c r="B515" s="164" t="s">
        <v>1474</v>
      </c>
      <c r="C515" s="168" t="s">
        <v>1475</v>
      </c>
      <c r="D515" s="6" t="s">
        <v>287</v>
      </c>
      <c r="E515" s="6" t="s">
        <v>151</v>
      </c>
      <c r="F515" s="80">
        <v>44378</v>
      </c>
      <c r="G515" s="6" t="s">
        <v>16</v>
      </c>
      <c r="H515" s="6" t="s">
        <v>1410</v>
      </c>
      <c r="I515" s="6">
        <v>1</v>
      </c>
      <c r="J515" s="8">
        <v>21000</v>
      </c>
      <c r="K515" s="8">
        <f t="shared" si="6"/>
        <v>240.49473202015577</v>
      </c>
      <c r="L515" s="96">
        <v>44408</v>
      </c>
      <c r="M515" s="6" t="s">
        <v>253</v>
      </c>
      <c r="N515" s="96">
        <v>44408</v>
      </c>
      <c r="O515" s="22" t="s">
        <v>5555</v>
      </c>
      <c r="Q515" s="6" t="s">
        <v>280</v>
      </c>
      <c r="R515" s="6" t="str">
        <f t="shared" ca="1" si="7"/>
        <v>NonCategory</v>
      </c>
    </row>
    <row r="516" spans="1:18">
      <c r="A516" s="162">
        <v>44409</v>
      </c>
      <c r="B516" s="164" t="s">
        <v>1476</v>
      </c>
      <c r="C516" s="168" t="s">
        <v>1477</v>
      </c>
      <c r="D516" s="6" t="s">
        <v>278</v>
      </c>
      <c r="E516" s="6" t="s">
        <v>96</v>
      </c>
      <c r="F516" s="79">
        <v>44409</v>
      </c>
      <c r="G516" s="6" t="s">
        <v>16</v>
      </c>
      <c r="H516" s="6" t="s">
        <v>120</v>
      </c>
      <c r="I516" s="6">
        <v>1</v>
      </c>
      <c r="J516" s="8">
        <v>18000</v>
      </c>
      <c r="K516" s="8">
        <f t="shared" si="6"/>
        <v>206.13834173156206</v>
      </c>
      <c r="L516" s="97">
        <v>44409</v>
      </c>
      <c r="M516" s="6" t="s">
        <v>251</v>
      </c>
      <c r="N516" s="97">
        <v>44409</v>
      </c>
      <c r="O516" s="22" t="s">
        <v>5556</v>
      </c>
      <c r="P516" s="6" t="s">
        <v>1478</v>
      </c>
      <c r="Q516" s="6" t="s">
        <v>280</v>
      </c>
      <c r="R516" s="6" t="str">
        <f t="shared" ca="1" si="7"/>
        <v>NonCategory</v>
      </c>
    </row>
    <row r="517" spans="1:18">
      <c r="A517" s="162">
        <v>44409</v>
      </c>
      <c r="B517" s="164" t="s">
        <v>1479</v>
      </c>
      <c r="C517" s="168" t="s">
        <v>1480</v>
      </c>
      <c r="D517" s="6" t="s">
        <v>278</v>
      </c>
      <c r="E517" s="6" t="s">
        <v>96</v>
      </c>
      <c r="F517" s="79">
        <v>44409</v>
      </c>
      <c r="G517" s="6" t="s">
        <v>16</v>
      </c>
      <c r="H517" s="6" t="s">
        <v>120</v>
      </c>
      <c r="I517" s="6">
        <v>1</v>
      </c>
      <c r="J517" s="8">
        <v>18000</v>
      </c>
      <c r="K517" s="8">
        <f t="shared" si="6"/>
        <v>206.13834173156206</v>
      </c>
      <c r="L517" s="97">
        <v>44409</v>
      </c>
      <c r="M517" s="6" t="s">
        <v>251</v>
      </c>
      <c r="N517" s="97">
        <v>44409</v>
      </c>
      <c r="O517" s="22" t="s">
        <v>5557</v>
      </c>
      <c r="P517" s="6" t="s">
        <v>1478</v>
      </c>
      <c r="Q517" s="6" t="s">
        <v>280</v>
      </c>
      <c r="R517" s="6" t="str">
        <f t="shared" ca="1" si="7"/>
        <v>NonCategory</v>
      </c>
    </row>
    <row r="518" spans="1:18">
      <c r="A518" s="162">
        <v>44416</v>
      </c>
      <c r="B518" s="164" t="s">
        <v>1481</v>
      </c>
      <c r="C518" s="168" t="s">
        <v>1482</v>
      </c>
      <c r="D518" s="6" t="s">
        <v>303</v>
      </c>
      <c r="E518" s="6" t="s">
        <v>7</v>
      </c>
      <c r="F518" s="79">
        <v>44409</v>
      </c>
      <c r="G518" s="6" t="s">
        <v>16</v>
      </c>
      <c r="H518" s="6" t="s">
        <v>88</v>
      </c>
      <c r="I518" s="6">
        <v>1</v>
      </c>
      <c r="J518" s="8">
        <v>46000</v>
      </c>
      <c r="K518" s="8">
        <f t="shared" si="6"/>
        <v>526.7979844251031</v>
      </c>
      <c r="L518" s="97">
        <v>44410</v>
      </c>
      <c r="M518" s="6" t="s">
        <v>251</v>
      </c>
      <c r="N518" s="97">
        <v>44410</v>
      </c>
      <c r="O518" s="22" t="s">
        <v>5558</v>
      </c>
      <c r="Q518" s="6" t="s">
        <v>280</v>
      </c>
      <c r="R518" s="6" t="str">
        <f t="shared" ca="1" si="7"/>
        <v>NonCategory</v>
      </c>
    </row>
    <row r="519" spans="1:18">
      <c r="A519" s="162">
        <v>44416</v>
      </c>
      <c r="B519" s="164" t="s">
        <v>1483</v>
      </c>
      <c r="C519" s="168" t="s">
        <v>1484</v>
      </c>
      <c r="D519" s="6" t="s">
        <v>319</v>
      </c>
      <c r="E519" s="6" t="s">
        <v>151</v>
      </c>
      <c r="F519" s="79">
        <v>44409</v>
      </c>
      <c r="G519" s="6" t="s">
        <v>16</v>
      </c>
      <c r="H519" s="6" t="s">
        <v>1410</v>
      </c>
      <c r="I519" s="6">
        <v>1</v>
      </c>
      <c r="J519" s="8">
        <v>21000</v>
      </c>
      <c r="K519" s="8">
        <f t="shared" si="6"/>
        <v>240.49473202015577</v>
      </c>
      <c r="L519" s="97">
        <v>44410</v>
      </c>
      <c r="M519" s="6" t="s">
        <v>251</v>
      </c>
      <c r="N519" s="97">
        <v>44410</v>
      </c>
      <c r="O519" s="22" t="s">
        <v>5559</v>
      </c>
      <c r="Q519" s="6" t="s">
        <v>280</v>
      </c>
      <c r="R519" s="6" t="str">
        <f t="shared" ca="1" si="7"/>
        <v>NonCategory</v>
      </c>
    </row>
    <row r="520" spans="1:18">
      <c r="A520" s="162">
        <v>44411</v>
      </c>
      <c r="B520" s="164" t="s">
        <v>1485</v>
      </c>
      <c r="C520" s="168" t="s">
        <v>1486</v>
      </c>
      <c r="D520" s="6" t="s">
        <v>303</v>
      </c>
      <c r="E520" s="6" t="s">
        <v>150</v>
      </c>
      <c r="F520" s="79">
        <v>44409</v>
      </c>
      <c r="G520" s="6" t="s">
        <v>16</v>
      </c>
      <c r="H520" s="6" t="s">
        <v>1410</v>
      </c>
      <c r="I520" s="6">
        <v>1</v>
      </c>
      <c r="J520" s="8">
        <v>21000</v>
      </c>
      <c r="K520" s="8">
        <f t="shared" si="6"/>
        <v>240.49473202015577</v>
      </c>
      <c r="L520" s="97">
        <v>44411</v>
      </c>
      <c r="M520" s="6" t="s">
        <v>251</v>
      </c>
      <c r="N520" s="97">
        <v>44412</v>
      </c>
      <c r="O520" s="22" t="s">
        <v>5560</v>
      </c>
      <c r="Q520" s="6" t="s">
        <v>280</v>
      </c>
      <c r="R520" s="6" t="str">
        <f t="shared" ca="1" si="7"/>
        <v>NonCategory</v>
      </c>
    </row>
    <row r="521" spans="1:18">
      <c r="A521" s="162">
        <v>44411</v>
      </c>
      <c r="B521" s="164" t="s">
        <v>1487</v>
      </c>
      <c r="C521" s="168" t="s">
        <v>1488</v>
      </c>
      <c r="D521" s="6" t="s">
        <v>306</v>
      </c>
      <c r="E521" s="6" t="s">
        <v>96</v>
      </c>
      <c r="F521" s="79">
        <v>44409</v>
      </c>
      <c r="G521" s="6" t="s">
        <v>16</v>
      </c>
      <c r="H521" s="6" t="s">
        <v>120</v>
      </c>
      <c r="I521" s="6">
        <v>1</v>
      </c>
      <c r="J521" s="8">
        <v>19500</v>
      </c>
      <c r="K521" s="8">
        <f t="shared" si="6"/>
        <v>223.3165368758589</v>
      </c>
      <c r="L521" s="97">
        <v>44411</v>
      </c>
      <c r="M521" s="6" t="s">
        <v>252</v>
      </c>
      <c r="N521" s="97">
        <v>44420</v>
      </c>
      <c r="O521" s="22" t="s">
        <v>5561</v>
      </c>
      <c r="Q521" s="6" t="s">
        <v>280</v>
      </c>
      <c r="R521" s="6" t="str">
        <f t="shared" ca="1" si="7"/>
        <v>NonCategory</v>
      </c>
    </row>
    <row r="522" spans="1:18" ht="14.4">
      <c r="A522" s="162">
        <v>44411</v>
      </c>
      <c r="B522" s="164" t="s">
        <v>1489</v>
      </c>
      <c r="C522" s="168" t="s">
        <v>1490</v>
      </c>
      <c r="D522" s="6" t="s">
        <v>278</v>
      </c>
      <c r="E522" s="6" t="s">
        <v>97</v>
      </c>
      <c r="F522" s="79">
        <v>44409</v>
      </c>
      <c r="G522" s="6" t="s">
        <v>16</v>
      </c>
      <c r="H522" s="6" t="s">
        <v>88</v>
      </c>
      <c r="I522" s="6">
        <v>1</v>
      </c>
      <c r="J522" s="8">
        <v>19000</v>
      </c>
      <c r="K522" s="8">
        <f t="shared" si="6"/>
        <v>217.59047182775998</v>
      </c>
      <c r="L522" s="97">
        <v>44411</v>
      </c>
      <c r="M522" s="6" t="s">
        <v>251</v>
      </c>
      <c r="N522" s="97">
        <v>44411</v>
      </c>
      <c r="O522" s="22" t="s">
        <v>5562</v>
      </c>
      <c r="P522" s="44" t="s">
        <v>1444</v>
      </c>
      <c r="Q522" s="6" t="s">
        <v>280</v>
      </c>
      <c r="R522" s="6" t="str">
        <f t="shared" ca="1" si="7"/>
        <v>NonCategory</v>
      </c>
    </row>
    <row r="523" spans="1:18">
      <c r="A523" s="162">
        <v>44411</v>
      </c>
      <c r="B523" s="164" t="s">
        <v>1217</v>
      </c>
      <c r="C523" s="168" t="s">
        <v>1211</v>
      </c>
      <c r="D523" s="6" t="s">
        <v>274</v>
      </c>
      <c r="E523" s="6" t="s">
        <v>97</v>
      </c>
      <c r="F523" s="79">
        <v>44409</v>
      </c>
      <c r="G523" s="6" t="s">
        <v>16</v>
      </c>
      <c r="H523" s="6" t="s">
        <v>1410</v>
      </c>
      <c r="I523" s="6">
        <v>1</v>
      </c>
      <c r="J523" s="8">
        <v>19000</v>
      </c>
      <c r="K523" s="8">
        <f t="shared" si="6"/>
        <v>217.59047182775998</v>
      </c>
      <c r="L523" s="97">
        <v>44411</v>
      </c>
      <c r="M523" s="6" t="s">
        <v>251</v>
      </c>
      <c r="N523" s="97">
        <v>44411</v>
      </c>
      <c r="O523" s="22" t="s">
        <v>5563</v>
      </c>
      <c r="Q523" s="6" t="s">
        <v>688</v>
      </c>
      <c r="R523" s="6" t="str">
        <f t="shared" ca="1" si="7"/>
        <v>NonCategory</v>
      </c>
    </row>
    <row r="524" spans="1:18">
      <c r="A524" s="162">
        <v>44412</v>
      </c>
      <c r="B524" s="164" t="s">
        <v>1209</v>
      </c>
      <c r="C524" s="168" t="s">
        <v>1210</v>
      </c>
      <c r="D524" s="6" t="s">
        <v>274</v>
      </c>
      <c r="E524" s="6" t="s">
        <v>1468</v>
      </c>
      <c r="F524" s="79">
        <v>44409</v>
      </c>
      <c r="G524" s="6" t="s">
        <v>16</v>
      </c>
      <c r="H524" s="6" t="s">
        <v>21</v>
      </c>
      <c r="I524" s="6">
        <v>1</v>
      </c>
      <c r="J524" s="8">
        <v>25000</v>
      </c>
      <c r="K524" s="8">
        <f t="shared" si="6"/>
        <v>286.30325240494733</v>
      </c>
      <c r="L524" s="97">
        <v>44412</v>
      </c>
      <c r="M524" s="6" t="s">
        <v>251</v>
      </c>
      <c r="N524" s="97">
        <v>44412</v>
      </c>
      <c r="O524" s="22" t="s">
        <v>5564</v>
      </c>
      <c r="Q524" s="6" t="s">
        <v>356</v>
      </c>
      <c r="R524" s="6" t="str">
        <f t="shared" ca="1" si="7"/>
        <v>NonCategory</v>
      </c>
    </row>
    <row r="525" spans="1:18">
      <c r="A525" s="162">
        <v>44412</v>
      </c>
      <c r="B525" s="164" t="s">
        <v>1491</v>
      </c>
      <c r="C525" s="168" t="s">
        <v>1492</v>
      </c>
      <c r="D525" s="6" t="s">
        <v>306</v>
      </c>
      <c r="E525" s="6" t="s">
        <v>25</v>
      </c>
      <c r="F525" s="79">
        <v>44409</v>
      </c>
      <c r="G525" s="6" t="s">
        <v>16</v>
      </c>
      <c r="H525" s="6" t="s">
        <v>82</v>
      </c>
      <c r="I525" s="6">
        <v>1</v>
      </c>
      <c r="J525" s="8">
        <v>48000</v>
      </c>
      <c r="K525" s="8">
        <f t="shared" si="6"/>
        <v>549.70224461749888</v>
      </c>
      <c r="L525" s="97">
        <v>44412</v>
      </c>
      <c r="M525" s="6" t="s">
        <v>251</v>
      </c>
      <c r="N525" s="97">
        <v>44412</v>
      </c>
      <c r="O525" s="22" t="s">
        <v>5565</v>
      </c>
      <c r="Q525" s="6" t="s">
        <v>356</v>
      </c>
      <c r="R525" s="6" t="str">
        <f t="shared" ca="1" si="7"/>
        <v>NonCategory</v>
      </c>
    </row>
    <row r="526" spans="1:18">
      <c r="A526" s="162">
        <v>44412</v>
      </c>
      <c r="B526" s="164" t="s">
        <v>1493</v>
      </c>
      <c r="C526" s="168" t="s">
        <v>1494</v>
      </c>
      <c r="D526" s="6" t="s">
        <v>278</v>
      </c>
      <c r="E526" s="6" t="s">
        <v>97</v>
      </c>
      <c r="F526" s="79">
        <v>44440</v>
      </c>
      <c r="G526" s="6" t="s">
        <v>16</v>
      </c>
      <c r="H526" s="6" t="s">
        <v>46</v>
      </c>
      <c r="I526" s="6">
        <v>1</v>
      </c>
      <c r="J526" s="8">
        <v>19500</v>
      </c>
      <c r="K526" s="8">
        <f t="shared" si="6"/>
        <v>223.3165368758589</v>
      </c>
      <c r="L526" s="97">
        <v>44412</v>
      </c>
      <c r="M526" s="6" t="s">
        <v>251</v>
      </c>
      <c r="N526" s="97">
        <v>44440</v>
      </c>
      <c r="O526" s="22" t="s">
        <v>5566</v>
      </c>
      <c r="P526" s="6" t="s">
        <v>1478</v>
      </c>
      <c r="Q526" s="6" t="s">
        <v>280</v>
      </c>
      <c r="R526" s="6" t="str">
        <f t="shared" ca="1" si="7"/>
        <v>NonCategory</v>
      </c>
    </row>
    <row r="527" spans="1:18">
      <c r="A527" s="162">
        <v>44413</v>
      </c>
      <c r="B527" s="164" t="s">
        <v>1495</v>
      </c>
      <c r="C527" s="168" t="s">
        <v>1496</v>
      </c>
      <c r="D527" s="6" t="s">
        <v>274</v>
      </c>
      <c r="E527" s="6" t="s">
        <v>1497</v>
      </c>
      <c r="F527" s="79">
        <v>44409</v>
      </c>
      <c r="G527" s="6" t="s">
        <v>16</v>
      </c>
      <c r="H527" s="6" t="s">
        <v>82</v>
      </c>
      <c r="I527" s="6">
        <v>1</v>
      </c>
      <c r="J527" s="8">
        <v>24000</v>
      </c>
      <c r="K527" s="8">
        <f t="shared" si="6"/>
        <v>274.85112230874944</v>
      </c>
      <c r="L527" s="97">
        <v>44413</v>
      </c>
      <c r="M527" s="6" t="s">
        <v>251</v>
      </c>
      <c r="N527" s="97">
        <v>44413</v>
      </c>
      <c r="O527" s="22" t="s">
        <v>5567</v>
      </c>
      <c r="Q527" s="6" t="s">
        <v>1458</v>
      </c>
      <c r="R527" s="6" t="str">
        <f t="shared" ca="1" si="7"/>
        <v>NonCategory</v>
      </c>
    </row>
    <row r="528" spans="1:18">
      <c r="A528" s="162">
        <v>44414</v>
      </c>
      <c r="B528" s="164" t="s">
        <v>1498</v>
      </c>
      <c r="C528" s="168" t="s">
        <v>1499</v>
      </c>
      <c r="D528" s="6" t="s">
        <v>278</v>
      </c>
      <c r="E528" s="6" t="s">
        <v>150</v>
      </c>
      <c r="F528" s="79">
        <v>44409</v>
      </c>
      <c r="G528" s="6" t="s">
        <v>16</v>
      </c>
      <c r="H528" s="6" t="s">
        <v>1410</v>
      </c>
      <c r="I528" s="6">
        <v>1</v>
      </c>
      <c r="J528" s="8">
        <v>21000</v>
      </c>
      <c r="K528" s="8">
        <f t="shared" si="6"/>
        <v>240.49473202015577</v>
      </c>
      <c r="L528" s="97">
        <v>44414</v>
      </c>
      <c r="M528" s="6" t="s">
        <v>251</v>
      </c>
      <c r="N528" s="97">
        <v>44414</v>
      </c>
      <c r="O528" s="22" t="s">
        <v>5568</v>
      </c>
      <c r="Q528" s="6" t="s">
        <v>356</v>
      </c>
      <c r="R528" s="6" t="str">
        <f t="shared" ca="1" si="7"/>
        <v>NonCategory</v>
      </c>
    </row>
    <row r="529" spans="1:18">
      <c r="A529" s="162">
        <v>44414</v>
      </c>
      <c r="B529" s="164" t="s">
        <v>1500</v>
      </c>
      <c r="C529" s="168" t="s">
        <v>1501</v>
      </c>
      <c r="D529" s="6" t="s">
        <v>278</v>
      </c>
      <c r="E529" s="6" t="s">
        <v>150</v>
      </c>
      <c r="F529" s="79">
        <v>44409</v>
      </c>
      <c r="G529" s="6" t="s">
        <v>16</v>
      </c>
      <c r="H529" s="6" t="s">
        <v>82</v>
      </c>
      <c r="I529" s="6">
        <v>1</v>
      </c>
      <c r="J529" s="8">
        <v>21000</v>
      </c>
      <c r="K529" s="8">
        <f t="shared" si="6"/>
        <v>240.49473202015577</v>
      </c>
      <c r="L529" s="97">
        <v>44414</v>
      </c>
      <c r="M529" s="6" t="s">
        <v>251</v>
      </c>
      <c r="N529" s="97">
        <v>44414</v>
      </c>
      <c r="O529" s="22" t="s">
        <v>5569</v>
      </c>
      <c r="P529" s="6" t="s">
        <v>1278</v>
      </c>
      <c r="Q529" s="6" t="s">
        <v>356</v>
      </c>
      <c r="R529" s="6" t="str">
        <f t="shared" ca="1" si="7"/>
        <v>NonCategory</v>
      </c>
    </row>
    <row r="530" spans="1:18">
      <c r="A530" s="162">
        <v>44414</v>
      </c>
      <c r="B530" s="164" t="s">
        <v>1502</v>
      </c>
      <c r="C530" s="168" t="s">
        <v>1503</v>
      </c>
      <c r="D530" s="6" t="s">
        <v>303</v>
      </c>
      <c r="E530" s="6" t="s">
        <v>151</v>
      </c>
      <c r="F530" s="79">
        <v>44409</v>
      </c>
      <c r="G530" s="6" t="s">
        <v>16</v>
      </c>
      <c r="H530" s="6" t="s">
        <v>1410</v>
      </c>
      <c r="I530" s="6">
        <v>1</v>
      </c>
      <c r="J530" s="8">
        <v>21000</v>
      </c>
      <c r="K530" s="8">
        <f t="shared" si="6"/>
        <v>240.49473202015577</v>
      </c>
      <c r="L530" s="97">
        <v>44414</v>
      </c>
      <c r="M530" s="6" t="s">
        <v>251</v>
      </c>
      <c r="N530" s="97">
        <v>44414</v>
      </c>
      <c r="O530" s="22" t="s">
        <v>5570</v>
      </c>
      <c r="Q530" s="6" t="s">
        <v>280</v>
      </c>
      <c r="R530" s="6" t="str">
        <f t="shared" ca="1" si="7"/>
        <v>NonCategory</v>
      </c>
    </row>
    <row r="531" spans="1:18">
      <c r="A531" s="162">
        <v>44415</v>
      </c>
      <c r="B531" s="164" t="s">
        <v>1504</v>
      </c>
      <c r="C531" s="168" t="s">
        <v>1505</v>
      </c>
      <c r="D531" s="6" t="s">
        <v>287</v>
      </c>
      <c r="E531" s="6" t="s">
        <v>25</v>
      </c>
      <c r="F531" s="79">
        <v>44409</v>
      </c>
      <c r="G531" s="6" t="s">
        <v>16</v>
      </c>
      <c r="H531" s="6" t="s">
        <v>1428</v>
      </c>
      <c r="I531" s="6">
        <v>1</v>
      </c>
      <c r="J531" s="8">
        <v>46000</v>
      </c>
      <c r="K531" s="8">
        <f t="shared" si="6"/>
        <v>526.7979844251031</v>
      </c>
      <c r="L531" s="97">
        <v>44415</v>
      </c>
      <c r="M531" s="6" t="s">
        <v>251</v>
      </c>
      <c r="N531" s="97">
        <v>44415</v>
      </c>
      <c r="O531" s="22" t="s">
        <v>5571</v>
      </c>
      <c r="Q531" s="6" t="s">
        <v>1458</v>
      </c>
      <c r="R531" s="6" t="str">
        <f t="shared" ca="1" si="7"/>
        <v>NonCategory</v>
      </c>
    </row>
    <row r="532" spans="1:18">
      <c r="A532" s="162">
        <v>44417</v>
      </c>
      <c r="B532" s="164" t="s">
        <v>1506</v>
      </c>
      <c r="C532" s="168" t="s">
        <v>965</v>
      </c>
      <c r="D532" s="6" t="s">
        <v>319</v>
      </c>
      <c r="E532" s="6" t="s">
        <v>25</v>
      </c>
      <c r="F532" s="79">
        <v>44409</v>
      </c>
      <c r="G532" s="6" t="s">
        <v>16</v>
      </c>
      <c r="H532" s="6" t="s">
        <v>82</v>
      </c>
      <c r="I532" s="6">
        <v>1</v>
      </c>
      <c r="J532" s="8">
        <v>45000</v>
      </c>
      <c r="K532" s="8">
        <f t="shared" si="6"/>
        <v>515.34585432890515</v>
      </c>
      <c r="L532" s="97">
        <v>44417</v>
      </c>
      <c r="M532" s="6" t="s">
        <v>251</v>
      </c>
      <c r="N532" s="97">
        <v>44417</v>
      </c>
      <c r="O532" s="22" t="s">
        <v>5572</v>
      </c>
      <c r="Q532" s="6" t="s">
        <v>356</v>
      </c>
      <c r="R532" s="6" t="str">
        <f t="shared" ca="1" si="7"/>
        <v>NonCategory</v>
      </c>
    </row>
    <row r="533" spans="1:18">
      <c r="A533" s="162">
        <v>44418</v>
      </c>
      <c r="B533" s="164" t="s">
        <v>1507</v>
      </c>
      <c r="C533" s="168" t="s">
        <v>1508</v>
      </c>
      <c r="D533" s="6" t="s">
        <v>297</v>
      </c>
      <c r="E533" s="6" t="s">
        <v>150</v>
      </c>
      <c r="F533" s="79">
        <v>44409</v>
      </c>
      <c r="G533" s="6" t="s">
        <v>16</v>
      </c>
      <c r="H533" s="6" t="s">
        <v>1428</v>
      </c>
      <c r="I533" s="6">
        <v>1</v>
      </c>
      <c r="J533" s="8">
        <v>21000</v>
      </c>
      <c r="K533" s="8">
        <f t="shared" si="6"/>
        <v>240.49473202015577</v>
      </c>
      <c r="L533" s="97">
        <v>44418</v>
      </c>
      <c r="M533" s="6" t="s">
        <v>251</v>
      </c>
      <c r="N533" s="97">
        <v>44418</v>
      </c>
      <c r="O533" s="22" t="s">
        <v>5573</v>
      </c>
      <c r="Q533" s="6" t="s">
        <v>280</v>
      </c>
      <c r="R533" s="6" t="str">
        <f t="shared" ca="1" si="7"/>
        <v>NonCategory</v>
      </c>
    </row>
    <row r="534" spans="1:18">
      <c r="A534" s="162">
        <v>44418</v>
      </c>
      <c r="B534" s="164" t="s">
        <v>1261</v>
      </c>
      <c r="C534" s="168" t="s">
        <v>1262</v>
      </c>
      <c r="D534" s="6" t="s">
        <v>274</v>
      </c>
      <c r="E534" s="6" t="s">
        <v>1218</v>
      </c>
      <c r="F534" s="79">
        <v>44409</v>
      </c>
      <c r="G534" s="6" t="s">
        <v>16</v>
      </c>
      <c r="H534" s="79">
        <v>44409</v>
      </c>
      <c r="I534" s="6">
        <v>1</v>
      </c>
      <c r="J534" s="8">
        <v>15000</v>
      </c>
      <c r="K534" s="8">
        <f t="shared" si="6"/>
        <v>171.78195144296839</v>
      </c>
      <c r="L534" s="97">
        <v>44418</v>
      </c>
      <c r="M534" s="6" t="s">
        <v>251</v>
      </c>
      <c r="N534" s="97">
        <v>44417</v>
      </c>
      <c r="O534" s="22" t="s">
        <v>5574</v>
      </c>
      <c r="Q534" s="6" t="s">
        <v>356</v>
      </c>
      <c r="R534" s="6" t="str">
        <f t="shared" ca="1" si="7"/>
        <v>NonCategory</v>
      </c>
    </row>
    <row r="535" spans="1:18">
      <c r="A535" s="162">
        <v>44418</v>
      </c>
      <c r="B535" s="165" t="s">
        <v>1261</v>
      </c>
      <c r="C535" s="168" t="s">
        <v>1262</v>
      </c>
      <c r="D535" s="6" t="s">
        <v>274</v>
      </c>
      <c r="E535" s="6" t="s">
        <v>1218</v>
      </c>
      <c r="F535" s="79">
        <v>44409</v>
      </c>
      <c r="G535" s="6" t="s">
        <v>16</v>
      </c>
      <c r="H535" s="79">
        <v>44409</v>
      </c>
      <c r="I535" s="6">
        <v>1</v>
      </c>
      <c r="J535" s="8">
        <v>145000</v>
      </c>
      <c r="K535" s="8">
        <f t="shared" si="6"/>
        <v>1660.5588639486946</v>
      </c>
      <c r="L535" s="97">
        <v>44418</v>
      </c>
      <c r="M535" s="6" t="s">
        <v>251</v>
      </c>
      <c r="N535" s="97">
        <v>44418</v>
      </c>
      <c r="O535" s="22" t="s">
        <v>5575</v>
      </c>
      <c r="Q535" s="6" t="s">
        <v>356</v>
      </c>
      <c r="R535" s="6" t="str">
        <f t="shared" ca="1" si="7"/>
        <v>NonCategory</v>
      </c>
    </row>
    <row r="536" spans="1:18">
      <c r="A536" s="162">
        <v>44419</v>
      </c>
      <c r="B536" s="164" t="s">
        <v>1509</v>
      </c>
      <c r="C536" s="168" t="s">
        <v>1510</v>
      </c>
      <c r="D536" s="6" t="s">
        <v>287</v>
      </c>
      <c r="E536" s="6" t="s">
        <v>150</v>
      </c>
      <c r="F536" s="79">
        <v>44409</v>
      </c>
      <c r="G536" s="6" t="s">
        <v>16</v>
      </c>
      <c r="H536" s="6" t="s">
        <v>82</v>
      </c>
      <c r="I536" s="6">
        <v>1</v>
      </c>
      <c r="J536" s="8">
        <v>21000</v>
      </c>
      <c r="K536" s="8">
        <f t="shared" si="6"/>
        <v>240.49473202015577</v>
      </c>
      <c r="L536" s="97">
        <v>44419</v>
      </c>
      <c r="M536" s="6" t="s">
        <v>252</v>
      </c>
      <c r="N536" s="97">
        <v>44419</v>
      </c>
      <c r="O536" s="22" t="s">
        <v>5576</v>
      </c>
      <c r="Q536" s="6" t="s">
        <v>1458</v>
      </c>
      <c r="R536" s="6" t="str">
        <f t="shared" ca="1" si="7"/>
        <v>NonCategory</v>
      </c>
    </row>
    <row r="537" spans="1:18">
      <c r="A537" s="162">
        <v>44419</v>
      </c>
      <c r="B537" s="164" t="s">
        <v>1511</v>
      </c>
      <c r="C537" s="168" t="s">
        <v>1512</v>
      </c>
      <c r="D537" s="6" t="s">
        <v>278</v>
      </c>
      <c r="E537" s="6" t="s">
        <v>97</v>
      </c>
      <c r="F537" s="79">
        <v>44409</v>
      </c>
      <c r="G537" s="6" t="s">
        <v>16</v>
      </c>
      <c r="H537" s="6" t="s">
        <v>82</v>
      </c>
      <c r="I537" s="6">
        <v>1</v>
      </c>
      <c r="J537" s="8">
        <v>19500</v>
      </c>
      <c r="K537" s="8">
        <f t="shared" si="6"/>
        <v>223.3165368758589</v>
      </c>
      <c r="L537" s="97">
        <v>44419</v>
      </c>
      <c r="M537" s="6" t="s">
        <v>252</v>
      </c>
      <c r="N537" s="97">
        <v>44419</v>
      </c>
      <c r="O537" s="22" t="s">
        <v>5577</v>
      </c>
      <c r="P537" s="6" t="s">
        <v>1278</v>
      </c>
      <c r="Q537" s="6" t="s">
        <v>356</v>
      </c>
      <c r="R537" s="6" t="str">
        <f t="shared" ca="1" si="7"/>
        <v>NonCategory</v>
      </c>
    </row>
    <row r="538" spans="1:18">
      <c r="A538" s="162">
        <v>44420</v>
      </c>
      <c r="B538" s="164" t="s">
        <v>1513</v>
      </c>
      <c r="C538" s="168" t="s">
        <v>1514</v>
      </c>
      <c r="D538" s="6" t="s">
        <v>287</v>
      </c>
      <c r="E538" s="6" t="s">
        <v>14</v>
      </c>
      <c r="F538" s="79">
        <v>44409</v>
      </c>
      <c r="G538" s="6" t="s">
        <v>16</v>
      </c>
      <c r="H538" s="6" t="s">
        <v>1515</v>
      </c>
      <c r="I538" s="6">
        <v>1</v>
      </c>
      <c r="J538" s="8">
        <v>31000</v>
      </c>
      <c r="K538" s="8">
        <f t="shared" si="6"/>
        <v>355.01603298213467</v>
      </c>
      <c r="L538" s="97">
        <v>44420</v>
      </c>
      <c r="M538" s="6" t="s">
        <v>252</v>
      </c>
      <c r="N538" s="97">
        <v>44420</v>
      </c>
      <c r="O538" s="22" t="s">
        <v>5578</v>
      </c>
      <c r="Q538" s="6" t="s">
        <v>356</v>
      </c>
      <c r="R538" s="6" t="str">
        <f t="shared" ca="1" si="7"/>
        <v>NonCategory</v>
      </c>
    </row>
    <row r="539" spans="1:18">
      <c r="A539" s="162">
        <v>44421</v>
      </c>
      <c r="B539" s="164" t="s">
        <v>1516</v>
      </c>
      <c r="C539" s="168" t="s">
        <v>1517</v>
      </c>
      <c r="D539" s="6" t="s">
        <v>297</v>
      </c>
      <c r="E539" s="6" t="s">
        <v>25</v>
      </c>
      <c r="F539" s="79">
        <v>44409</v>
      </c>
      <c r="G539" s="6" t="s">
        <v>16</v>
      </c>
      <c r="H539" s="6" t="s">
        <v>82</v>
      </c>
      <c r="I539" s="6">
        <v>1</v>
      </c>
      <c r="J539" s="8">
        <v>45000</v>
      </c>
      <c r="K539" s="8">
        <f t="shared" si="6"/>
        <v>515.34585432890515</v>
      </c>
      <c r="L539" s="97">
        <v>44421</v>
      </c>
      <c r="M539" s="6" t="s">
        <v>252</v>
      </c>
      <c r="N539" s="97">
        <v>44421</v>
      </c>
      <c r="O539" s="22" t="s">
        <v>5579</v>
      </c>
      <c r="Q539" s="6" t="s">
        <v>1458</v>
      </c>
      <c r="R539" s="6" t="str">
        <f t="shared" ca="1" si="7"/>
        <v>NonCategory</v>
      </c>
    </row>
    <row r="540" spans="1:18">
      <c r="A540" s="162">
        <v>44421</v>
      </c>
      <c r="B540" s="164" t="s">
        <v>1518</v>
      </c>
      <c r="C540" s="168" t="s">
        <v>1519</v>
      </c>
      <c r="D540" s="6" t="s">
        <v>303</v>
      </c>
      <c r="E540" s="6" t="s">
        <v>25</v>
      </c>
      <c r="F540" s="79">
        <v>44409</v>
      </c>
      <c r="G540" s="6" t="s">
        <v>16</v>
      </c>
      <c r="H540" s="6" t="s">
        <v>82</v>
      </c>
      <c r="I540" s="6">
        <v>1</v>
      </c>
      <c r="J540" s="8">
        <v>45000</v>
      </c>
      <c r="K540" s="8">
        <f t="shared" si="6"/>
        <v>515.34585432890515</v>
      </c>
      <c r="L540" s="97">
        <v>44421</v>
      </c>
      <c r="M540" s="6" t="s">
        <v>252</v>
      </c>
      <c r="N540" s="97">
        <v>44421</v>
      </c>
      <c r="O540" s="22" t="s">
        <v>5580</v>
      </c>
      <c r="Q540" s="6" t="s">
        <v>356</v>
      </c>
      <c r="R540" s="6" t="str">
        <f t="shared" ca="1" si="7"/>
        <v>NonCategory</v>
      </c>
    </row>
    <row r="541" spans="1:18" ht="14.4">
      <c r="A541" s="162">
        <v>44421</v>
      </c>
      <c r="B541" s="164" t="s">
        <v>1520</v>
      </c>
      <c r="C541" s="168" t="s">
        <v>1521</v>
      </c>
      <c r="D541" s="6" t="s">
        <v>278</v>
      </c>
      <c r="E541" s="6" t="s">
        <v>96</v>
      </c>
      <c r="F541" s="79">
        <v>44409</v>
      </c>
      <c r="G541" s="6" t="s">
        <v>16</v>
      </c>
      <c r="H541" s="6" t="s">
        <v>82</v>
      </c>
      <c r="I541" s="6">
        <v>1</v>
      </c>
      <c r="J541" s="8">
        <v>19500</v>
      </c>
      <c r="K541" s="8">
        <f t="shared" si="6"/>
        <v>223.3165368758589</v>
      </c>
      <c r="L541" s="97">
        <v>44421</v>
      </c>
      <c r="M541" s="6" t="s">
        <v>252</v>
      </c>
      <c r="N541" s="97">
        <v>44421</v>
      </c>
      <c r="O541" s="22" t="s">
        <v>5581</v>
      </c>
      <c r="P541" s="44" t="s">
        <v>816</v>
      </c>
      <c r="Q541" s="6" t="s">
        <v>1458</v>
      </c>
      <c r="R541" s="6" t="str">
        <f t="shared" ca="1" si="7"/>
        <v>NonCategory</v>
      </c>
    </row>
    <row r="542" spans="1:18">
      <c r="A542" s="162">
        <v>44422</v>
      </c>
      <c r="B542" s="164" t="s">
        <v>1522</v>
      </c>
      <c r="C542" s="168" t="s">
        <v>1523</v>
      </c>
      <c r="D542" s="6" t="s">
        <v>287</v>
      </c>
      <c r="E542" s="6" t="s">
        <v>1524</v>
      </c>
      <c r="F542" s="79">
        <v>44409</v>
      </c>
      <c r="G542" s="6" t="s">
        <v>16</v>
      </c>
      <c r="H542" s="6" t="s">
        <v>82</v>
      </c>
      <c r="I542" s="6">
        <v>1</v>
      </c>
      <c r="J542" s="8">
        <v>24000</v>
      </c>
      <c r="K542" s="8">
        <f t="shared" si="6"/>
        <v>274.85112230874944</v>
      </c>
      <c r="L542" s="97">
        <v>44422</v>
      </c>
      <c r="M542" s="6" t="s">
        <v>252</v>
      </c>
      <c r="N542" s="97">
        <v>44422</v>
      </c>
      <c r="O542" s="22" t="s">
        <v>5582</v>
      </c>
      <c r="Q542" s="6" t="s">
        <v>356</v>
      </c>
      <c r="R542" s="6" t="str">
        <f t="shared" ca="1" si="7"/>
        <v>NonCategory</v>
      </c>
    </row>
    <row r="543" spans="1:18">
      <c r="A543" s="162">
        <v>44423</v>
      </c>
      <c r="B543" s="164" t="s">
        <v>1525</v>
      </c>
      <c r="C543" s="168" t="s">
        <v>1526</v>
      </c>
      <c r="D543" s="6" t="s">
        <v>278</v>
      </c>
      <c r="E543" s="6" t="s">
        <v>97</v>
      </c>
      <c r="F543" s="79">
        <v>44409</v>
      </c>
      <c r="G543" s="6" t="s">
        <v>16</v>
      </c>
      <c r="H543" s="6" t="s">
        <v>1428</v>
      </c>
      <c r="I543" s="6">
        <v>1</v>
      </c>
      <c r="J543" s="8">
        <v>20000</v>
      </c>
      <c r="K543" s="8">
        <f t="shared" si="6"/>
        <v>229.04260192395787</v>
      </c>
      <c r="L543" s="97">
        <v>44423</v>
      </c>
      <c r="M543" s="6" t="s">
        <v>252</v>
      </c>
      <c r="N543" s="97">
        <v>44423</v>
      </c>
      <c r="O543" s="22" t="s">
        <v>5583</v>
      </c>
      <c r="P543" s="6" t="s">
        <v>1527</v>
      </c>
      <c r="Q543" s="6" t="s">
        <v>280</v>
      </c>
      <c r="R543" s="6" t="str">
        <f t="shared" ca="1" si="7"/>
        <v>NonCategory</v>
      </c>
    </row>
    <row r="544" spans="1:18" ht="14.4">
      <c r="A544" s="162">
        <v>44424</v>
      </c>
      <c r="B544" s="164" t="s">
        <v>734</v>
      </c>
      <c r="C544" s="168" t="s">
        <v>1528</v>
      </c>
      <c r="D544" s="6" t="s">
        <v>278</v>
      </c>
      <c r="E544" s="6" t="s">
        <v>96</v>
      </c>
      <c r="F544" s="79">
        <v>44409</v>
      </c>
      <c r="G544" s="6" t="s">
        <v>16</v>
      </c>
      <c r="H544" s="6" t="s">
        <v>88</v>
      </c>
      <c r="I544" s="6">
        <v>1</v>
      </c>
      <c r="J544" s="8">
        <v>18500</v>
      </c>
      <c r="K544" s="8">
        <f t="shared" si="6"/>
        <v>211.86440677966101</v>
      </c>
      <c r="L544" s="97">
        <v>44424</v>
      </c>
      <c r="M544" s="6" t="s">
        <v>252</v>
      </c>
      <c r="N544" s="97">
        <v>44424</v>
      </c>
      <c r="O544" s="22" t="s">
        <v>5584</v>
      </c>
      <c r="P544" s="44" t="s">
        <v>1529</v>
      </c>
      <c r="Q544" s="6" t="s">
        <v>356</v>
      </c>
      <c r="R544" s="6" t="str">
        <f t="shared" ca="1" si="7"/>
        <v>NonCategory</v>
      </c>
    </row>
    <row r="545" spans="1:18">
      <c r="A545" s="162">
        <v>44424</v>
      </c>
      <c r="B545" s="164" t="s">
        <v>1530</v>
      </c>
      <c r="C545" s="168" t="s">
        <v>1531</v>
      </c>
      <c r="D545" s="6" t="s">
        <v>278</v>
      </c>
      <c r="E545" s="6" t="s">
        <v>96</v>
      </c>
      <c r="F545" s="79">
        <v>44409</v>
      </c>
      <c r="G545" s="6" t="s">
        <v>16</v>
      </c>
      <c r="H545" s="6" t="s">
        <v>59</v>
      </c>
      <c r="I545" s="6">
        <v>1</v>
      </c>
      <c r="J545" s="8">
        <v>33470</v>
      </c>
      <c r="K545" s="8">
        <f t="shared" si="6"/>
        <v>383.3027943197435</v>
      </c>
      <c r="L545" s="97">
        <v>44424</v>
      </c>
      <c r="M545" s="6" t="s">
        <v>252</v>
      </c>
      <c r="N545" s="97">
        <v>44425</v>
      </c>
      <c r="O545" s="22" t="s">
        <v>5585</v>
      </c>
      <c r="P545" s="6" t="s">
        <v>1278</v>
      </c>
      <c r="Q545" s="6" t="s">
        <v>356</v>
      </c>
      <c r="R545" s="6" t="str">
        <f t="shared" ca="1" si="7"/>
        <v>NonCategory</v>
      </c>
    </row>
    <row r="546" spans="1:18" ht="14.4">
      <c r="A546" s="162">
        <v>44425</v>
      </c>
      <c r="B546" s="164" t="s">
        <v>1532</v>
      </c>
      <c r="C546" s="168" t="s">
        <v>1533</v>
      </c>
      <c r="D546" s="6" t="s">
        <v>278</v>
      </c>
      <c r="E546" s="6" t="s">
        <v>96</v>
      </c>
      <c r="F546" s="79">
        <v>44409</v>
      </c>
      <c r="G546" s="6" t="s">
        <v>16</v>
      </c>
      <c r="H546" s="6" t="s">
        <v>38</v>
      </c>
      <c r="I546" s="6">
        <v>1</v>
      </c>
      <c r="J546" s="8">
        <v>19000</v>
      </c>
      <c r="K546" s="8">
        <f t="shared" si="6"/>
        <v>217.59047182775998</v>
      </c>
      <c r="L546" s="97">
        <v>44425</v>
      </c>
      <c r="M546" s="6" t="s">
        <v>252</v>
      </c>
      <c r="N546" s="97">
        <v>44425</v>
      </c>
      <c r="O546" s="22" t="s">
        <v>5586</v>
      </c>
      <c r="P546" s="44" t="s">
        <v>692</v>
      </c>
      <c r="Q546" s="6" t="s">
        <v>280</v>
      </c>
      <c r="R546" s="6" t="str">
        <f t="shared" ca="1" si="7"/>
        <v>NonCategory</v>
      </c>
    </row>
    <row r="547" spans="1:18">
      <c r="A547" s="162">
        <v>44426</v>
      </c>
      <c r="B547" s="164" t="s">
        <v>1534</v>
      </c>
      <c r="C547" s="168" t="s">
        <v>1535</v>
      </c>
      <c r="D547" s="6" t="s">
        <v>278</v>
      </c>
      <c r="E547" s="6" t="s">
        <v>96</v>
      </c>
      <c r="F547" s="79">
        <v>44409</v>
      </c>
      <c r="G547" s="6" t="s">
        <v>16</v>
      </c>
      <c r="H547" s="6" t="s">
        <v>56</v>
      </c>
      <c r="I547" s="6">
        <v>1</v>
      </c>
      <c r="J547" s="8">
        <v>18000</v>
      </c>
      <c r="K547" s="8">
        <f t="shared" si="6"/>
        <v>206.13834173156206</v>
      </c>
      <c r="L547" s="97">
        <v>44426</v>
      </c>
      <c r="M547" s="6" t="s">
        <v>252</v>
      </c>
      <c r="N547" s="97">
        <v>44427</v>
      </c>
      <c r="O547" s="22" t="s">
        <v>5587</v>
      </c>
      <c r="P547" s="6" t="s">
        <v>1278</v>
      </c>
      <c r="Q547" s="6" t="s">
        <v>280</v>
      </c>
      <c r="R547" s="6" t="str">
        <f t="shared" ca="1" si="7"/>
        <v>NonCategory</v>
      </c>
    </row>
    <row r="548" spans="1:18" ht="14.4">
      <c r="A548" s="162">
        <v>44426</v>
      </c>
      <c r="B548" s="164" t="s">
        <v>1536</v>
      </c>
      <c r="C548" s="168" t="s">
        <v>1537</v>
      </c>
      <c r="D548" s="6" t="s">
        <v>278</v>
      </c>
      <c r="E548" s="6" t="s">
        <v>14</v>
      </c>
      <c r="F548" s="79">
        <v>44409</v>
      </c>
      <c r="G548" s="6" t="s">
        <v>16</v>
      </c>
      <c r="H548" s="6" t="s">
        <v>1538</v>
      </c>
      <c r="I548" s="6">
        <v>1</v>
      </c>
      <c r="J548" s="8">
        <v>31000</v>
      </c>
      <c r="K548" s="8">
        <f t="shared" si="6"/>
        <v>355.01603298213467</v>
      </c>
      <c r="L548" s="97">
        <v>44426</v>
      </c>
      <c r="M548" s="6" t="s">
        <v>252</v>
      </c>
      <c r="N548" s="97">
        <v>44426</v>
      </c>
      <c r="O548" s="22" t="s">
        <v>5588</v>
      </c>
      <c r="P548" s="44" t="s">
        <v>1113</v>
      </c>
      <c r="Q548" s="6" t="s">
        <v>356</v>
      </c>
      <c r="R548" s="6" t="str">
        <f t="shared" ca="1" si="7"/>
        <v>NonCategory</v>
      </c>
    </row>
    <row r="549" spans="1:18">
      <c r="A549" s="162">
        <v>44428</v>
      </c>
      <c r="B549" s="164" t="s">
        <v>1539</v>
      </c>
      <c r="C549" s="168" t="s">
        <v>1540</v>
      </c>
      <c r="D549" s="6" t="s">
        <v>291</v>
      </c>
      <c r="E549" s="6" t="s">
        <v>25</v>
      </c>
      <c r="F549" s="79">
        <v>44409</v>
      </c>
      <c r="G549" s="6" t="s">
        <v>16</v>
      </c>
      <c r="H549" s="6" t="s">
        <v>120</v>
      </c>
      <c r="I549" s="6">
        <v>1</v>
      </c>
      <c r="J549" s="8">
        <v>45000</v>
      </c>
      <c r="K549" s="8">
        <f t="shared" si="6"/>
        <v>515.34585432890515</v>
      </c>
      <c r="L549" s="97">
        <v>44428</v>
      </c>
      <c r="M549" s="6" t="s">
        <v>252</v>
      </c>
      <c r="N549" s="97">
        <v>44428</v>
      </c>
      <c r="O549" s="22" t="s">
        <v>5589</v>
      </c>
      <c r="Q549" s="6" t="s">
        <v>280</v>
      </c>
      <c r="R549" s="6" t="str">
        <f t="shared" ca="1" si="7"/>
        <v>NonCategory</v>
      </c>
    </row>
    <row r="550" spans="1:18">
      <c r="A550" s="162">
        <v>44428</v>
      </c>
      <c r="B550" s="164" t="s">
        <v>1541</v>
      </c>
      <c r="C550" s="168" t="s">
        <v>1542</v>
      </c>
      <c r="D550" s="6" t="s">
        <v>495</v>
      </c>
      <c r="E550" s="6" t="s">
        <v>7</v>
      </c>
      <c r="F550" s="79">
        <v>44409</v>
      </c>
      <c r="G550" s="6" t="s">
        <v>16</v>
      </c>
      <c r="H550" s="6" t="s">
        <v>120</v>
      </c>
      <c r="I550" s="6">
        <v>1</v>
      </c>
      <c r="J550" s="8">
        <v>45000</v>
      </c>
      <c r="K550" s="8">
        <f t="shared" si="6"/>
        <v>515.34585432890515</v>
      </c>
      <c r="L550" s="97">
        <v>44428</v>
      </c>
      <c r="M550" s="6" t="s">
        <v>252</v>
      </c>
      <c r="N550" s="97">
        <v>44428</v>
      </c>
      <c r="O550" s="22" t="s">
        <v>5590</v>
      </c>
      <c r="Q550" s="6" t="s">
        <v>356</v>
      </c>
      <c r="R550" s="6" t="str">
        <f t="shared" ca="1" si="7"/>
        <v>NonCategory</v>
      </c>
    </row>
    <row r="551" spans="1:18" ht="14.4">
      <c r="A551" s="162">
        <v>44431</v>
      </c>
      <c r="B551" s="164" t="s">
        <v>1543</v>
      </c>
      <c r="C551" s="168" t="s">
        <v>1544</v>
      </c>
      <c r="D551" s="6" t="s">
        <v>278</v>
      </c>
      <c r="E551" s="6" t="s">
        <v>96</v>
      </c>
      <c r="F551" s="79">
        <v>44409</v>
      </c>
      <c r="G551" s="6" t="s">
        <v>16</v>
      </c>
      <c r="H551" s="6" t="s">
        <v>88</v>
      </c>
      <c r="I551" s="6">
        <v>1</v>
      </c>
      <c r="J551" s="8">
        <v>19000</v>
      </c>
      <c r="K551" s="8">
        <f t="shared" si="6"/>
        <v>217.59047182775998</v>
      </c>
      <c r="L551" s="97">
        <v>44431</v>
      </c>
      <c r="M551" s="6" t="s">
        <v>253</v>
      </c>
      <c r="N551" s="97">
        <v>44431</v>
      </c>
      <c r="O551" s="22" t="s">
        <v>5591</v>
      </c>
      <c r="P551" s="44" t="s">
        <v>1376</v>
      </c>
      <c r="Q551" s="6" t="s">
        <v>280</v>
      </c>
      <c r="R551" s="6" t="str">
        <f t="shared" ca="1" si="7"/>
        <v>NonCategory</v>
      </c>
    </row>
    <row r="552" spans="1:18">
      <c r="A552" s="162">
        <v>44431</v>
      </c>
      <c r="B552" s="164" t="s">
        <v>1203</v>
      </c>
      <c r="C552" s="168" t="s">
        <v>1204</v>
      </c>
      <c r="D552" s="6" t="s">
        <v>274</v>
      </c>
      <c r="E552" s="6" t="s">
        <v>1545</v>
      </c>
      <c r="F552" s="79">
        <v>44409</v>
      </c>
      <c r="G552" s="6" t="s">
        <v>16</v>
      </c>
      <c r="H552" s="79">
        <v>44440</v>
      </c>
      <c r="I552" s="6">
        <v>1</v>
      </c>
      <c r="J552" s="8">
        <v>16000</v>
      </c>
      <c r="K552" s="8">
        <f t="shared" si="6"/>
        <v>183.23408153916631</v>
      </c>
      <c r="L552" s="97">
        <v>44431</v>
      </c>
      <c r="M552" s="6" t="s">
        <v>253</v>
      </c>
      <c r="N552" s="97">
        <v>44431</v>
      </c>
      <c r="O552" s="22" t="s">
        <v>5592</v>
      </c>
      <c r="Q552" s="6" t="s">
        <v>356</v>
      </c>
      <c r="R552" s="6" t="str">
        <f t="shared" ca="1" si="7"/>
        <v>NonCategory</v>
      </c>
    </row>
    <row r="553" spans="1:18">
      <c r="A553" s="162">
        <v>44431</v>
      </c>
      <c r="B553" s="164" t="s">
        <v>1546</v>
      </c>
      <c r="C553" s="168" t="s">
        <v>1547</v>
      </c>
      <c r="D553" s="6" t="s">
        <v>278</v>
      </c>
      <c r="E553" s="6" t="s">
        <v>96</v>
      </c>
      <c r="F553" s="79">
        <v>44409</v>
      </c>
      <c r="G553" s="6" t="s">
        <v>16</v>
      </c>
      <c r="H553" s="6" t="s">
        <v>1548</v>
      </c>
      <c r="I553" s="6">
        <v>1</v>
      </c>
      <c r="J553" s="8">
        <v>20000</v>
      </c>
      <c r="K553" s="8">
        <f t="shared" si="6"/>
        <v>229.04260192395787</v>
      </c>
      <c r="L553" s="97">
        <v>44431</v>
      </c>
      <c r="M553" s="6" t="s">
        <v>253</v>
      </c>
      <c r="N553" s="97">
        <v>44432</v>
      </c>
      <c r="O553" s="22" t="s">
        <v>5593</v>
      </c>
      <c r="P553" s="6" t="s">
        <v>732</v>
      </c>
      <c r="Q553" s="6" t="s">
        <v>356</v>
      </c>
      <c r="R553" s="6" t="str">
        <f t="shared" ca="1" si="7"/>
        <v>NonCategory</v>
      </c>
    </row>
    <row r="554" spans="1:18">
      <c r="A554" s="162">
        <v>44433</v>
      </c>
      <c r="B554" s="164" t="s">
        <v>1549</v>
      </c>
      <c r="C554" s="168" t="s">
        <v>1550</v>
      </c>
      <c r="D554" s="6" t="s">
        <v>319</v>
      </c>
      <c r="E554" s="6" t="s">
        <v>25</v>
      </c>
      <c r="F554" s="79">
        <v>44409</v>
      </c>
      <c r="G554" s="6" t="s">
        <v>16</v>
      </c>
      <c r="H554" s="6" t="s">
        <v>1428</v>
      </c>
      <c r="I554" s="6">
        <v>1</v>
      </c>
      <c r="J554" s="8">
        <v>46000</v>
      </c>
      <c r="K554" s="8">
        <f t="shared" si="6"/>
        <v>526.7979844251031</v>
      </c>
      <c r="L554" s="97">
        <v>44433</v>
      </c>
      <c r="M554" s="6" t="s">
        <v>253</v>
      </c>
      <c r="N554" s="97">
        <v>44433</v>
      </c>
      <c r="O554" s="22" t="s">
        <v>5594</v>
      </c>
      <c r="Q554" s="6" t="s">
        <v>280</v>
      </c>
      <c r="R554" s="6" t="str">
        <f t="shared" ca="1" si="7"/>
        <v>NonCategory</v>
      </c>
    </row>
    <row r="555" spans="1:18">
      <c r="A555" s="162">
        <v>44434</v>
      </c>
      <c r="B555" s="164" t="s">
        <v>1551</v>
      </c>
      <c r="C555" s="168" t="s">
        <v>1552</v>
      </c>
      <c r="D555" s="6" t="s">
        <v>287</v>
      </c>
      <c r="E555" s="6" t="s">
        <v>150</v>
      </c>
      <c r="F555" s="79">
        <v>44409</v>
      </c>
      <c r="G555" s="6" t="s">
        <v>16</v>
      </c>
      <c r="H555" s="6" t="s">
        <v>88</v>
      </c>
      <c r="I555" s="6">
        <v>1</v>
      </c>
      <c r="J555" s="8">
        <v>20500</v>
      </c>
      <c r="K555" s="8">
        <f t="shared" si="6"/>
        <v>234.76866697205682</v>
      </c>
      <c r="L555" s="97">
        <v>44434</v>
      </c>
      <c r="M555" s="6" t="s">
        <v>253</v>
      </c>
      <c r="N555" s="97">
        <v>44434</v>
      </c>
      <c r="O555" s="22" t="s">
        <v>5595</v>
      </c>
      <c r="Q555" s="6" t="s">
        <v>1418</v>
      </c>
      <c r="R555" s="6" t="str">
        <f t="shared" ca="1" si="7"/>
        <v>NonCategory</v>
      </c>
    </row>
    <row r="556" spans="1:18" ht="14.4">
      <c r="A556" s="162">
        <v>44434</v>
      </c>
      <c r="B556" s="164" t="s">
        <v>1553</v>
      </c>
      <c r="C556" s="168" t="s">
        <v>1554</v>
      </c>
      <c r="D556" s="6" t="s">
        <v>278</v>
      </c>
      <c r="E556" s="6" t="s">
        <v>150</v>
      </c>
      <c r="F556" s="79">
        <v>44409</v>
      </c>
      <c r="G556" s="6" t="s">
        <v>16</v>
      </c>
      <c r="H556" s="6" t="s">
        <v>88</v>
      </c>
      <c r="I556" s="6">
        <v>1</v>
      </c>
      <c r="J556" s="8">
        <v>20500</v>
      </c>
      <c r="K556" s="8">
        <f t="shared" si="6"/>
        <v>234.76866697205682</v>
      </c>
      <c r="L556" s="97">
        <v>44434</v>
      </c>
      <c r="M556" s="6" t="s">
        <v>253</v>
      </c>
      <c r="N556" s="97">
        <v>44434</v>
      </c>
      <c r="O556" s="22" t="s">
        <v>5596</v>
      </c>
      <c r="P556" s="44" t="s">
        <v>1552</v>
      </c>
      <c r="Q556" s="6" t="s">
        <v>1418</v>
      </c>
      <c r="R556" s="6" t="str">
        <f t="shared" ca="1" si="7"/>
        <v>NonCategory</v>
      </c>
    </row>
    <row r="557" spans="1:18" ht="14.4">
      <c r="A557" s="162">
        <v>44434</v>
      </c>
      <c r="B557" s="164" t="s">
        <v>1555</v>
      </c>
      <c r="C557" s="168" t="s">
        <v>1556</v>
      </c>
      <c r="D557" s="6" t="s">
        <v>278</v>
      </c>
      <c r="E557" s="6" t="s">
        <v>150</v>
      </c>
      <c r="F557" s="79">
        <v>44409</v>
      </c>
      <c r="G557" s="6" t="s">
        <v>16</v>
      </c>
      <c r="H557" s="6" t="s">
        <v>88</v>
      </c>
      <c r="I557" s="6">
        <v>1</v>
      </c>
      <c r="J557" s="8">
        <v>20500</v>
      </c>
      <c r="K557" s="8">
        <f t="shared" si="6"/>
        <v>234.76866697205682</v>
      </c>
      <c r="L557" s="97">
        <v>44434</v>
      </c>
      <c r="M557" s="6" t="s">
        <v>253</v>
      </c>
      <c r="N557" s="97">
        <v>44434</v>
      </c>
      <c r="O557" s="22" t="s">
        <v>5597</v>
      </c>
      <c r="P557" s="44" t="s">
        <v>1552</v>
      </c>
      <c r="Q557" s="6" t="s">
        <v>1418</v>
      </c>
      <c r="R557" s="6" t="str">
        <f t="shared" ca="1" si="7"/>
        <v>NonCategory</v>
      </c>
    </row>
    <row r="558" spans="1:18">
      <c r="A558" s="162">
        <v>44438</v>
      </c>
      <c r="B558" s="164" t="s">
        <v>1557</v>
      </c>
      <c r="C558" s="168" t="s">
        <v>1558</v>
      </c>
      <c r="D558" s="6" t="s">
        <v>319</v>
      </c>
      <c r="E558" s="6" t="s">
        <v>96</v>
      </c>
      <c r="F558" s="79">
        <v>44409</v>
      </c>
      <c r="G558" s="6" t="s">
        <v>16</v>
      </c>
      <c r="H558" s="6" t="s">
        <v>88</v>
      </c>
      <c r="I558" s="6">
        <v>1</v>
      </c>
      <c r="J558" s="8">
        <v>19300</v>
      </c>
      <c r="K558" s="8">
        <f t="shared" si="6"/>
        <v>221.02611085661934</v>
      </c>
      <c r="L558" s="97">
        <v>44438</v>
      </c>
      <c r="M558" s="6" t="s">
        <v>253</v>
      </c>
      <c r="N558" s="97">
        <v>44438</v>
      </c>
      <c r="O558" s="22" t="s">
        <v>5598</v>
      </c>
      <c r="Q558" s="6" t="s">
        <v>1418</v>
      </c>
      <c r="R558" s="6" t="str">
        <f t="shared" ca="1" si="7"/>
        <v>NonCategory</v>
      </c>
    </row>
    <row r="559" spans="1:18">
      <c r="A559" s="162">
        <v>44439</v>
      </c>
      <c r="B559" s="164" t="s">
        <v>1559</v>
      </c>
      <c r="C559" s="168" t="s">
        <v>1560</v>
      </c>
      <c r="D559" s="6" t="s">
        <v>278</v>
      </c>
      <c r="E559" s="6" t="s">
        <v>72</v>
      </c>
      <c r="F559" s="79">
        <v>44409</v>
      </c>
      <c r="G559" s="6" t="s">
        <v>16</v>
      </c>
      <c r="H559" s="6" t="s">
        <v>1561</v>
      </c>
      <c r="I559" s="6">
        <v>1</v>
      </c>
      <c r="J559" s="8">
        <v>59000</v>
      </c>
      <c r="K559" s="8">
        <f t="shared" si="6"/>
        <v>675.67567567567562</v>
      </c>
      <c r="L559" s="97">
        <v>44439</v>
      </c>
      <c r="M559" s="6" t="s">
        <v>253</v>
      </c>
      <c r="N559" s="97">
        <v>44439</v>
      </c>
      <c r="O559" s="22" t="s">
        <v>1562</v>
      </c>
      <c r="P559" s="6" t="s">
        <v>1478</v>
      </c>
      <c r="Q559" s="6" t="s">
        <v>356</v>
      </c>
      <c r="R559" s="6" t="str">
        <f t="shared" ca="1" si="7"/>
        <v>NonCategory</v>
      </c>
    </row>
    <row r="560" spans="1:18">
      <c r="A560" s="162">
        <v>44439</v>
      </c>
      <c r="B560" s="164" t="s">
        <v>1559</v>
      </c>
      <c r="C560" s="168" t="s">
        <v>1560</v>
      </c>
      <c r="D560" s="6" t="s">
        <v>278</v>
      </c>
      <c r="E560" s="6" t="s">
        <v>72</v>
      </c>
      <c r="F560" s="79">
        <v>44409</v>
      </c>
      <c r="G560" s="6" t="s">
        <v>16</v>
      </c>
      <c r="H560" s="6" t="s">
        <v>1561</v>
      </c>
      <c r="I560" s="6">
        <v>1</v>
      </c>
      <c r="J560" s="8">
        <v>59000</v>
      </c>
      <c r="K560" s="8">
        <f t="shared" si="6"/>
        <v>675.67567567567562</v>
      </c>
      <c r="L560" s="97">
        <v>44439</v>
      </c>
      <c r="M560" s="6" t="s">
        <v>253</v>
      </c>
      <c r="N560" s="97">
        <v>44439</v>
      </c>
      <c r="O560" s="22" t="s">
        <v>1563</v>
      </c>
      <c r="P560" s="6" t="s">
        <v>1564</v>
      </c>
      <c r="Q560" s="6" t="s">
        <v>356</v>
      </c>
      <c r="R560" s="6" t="str">
        <f t="shared" ca="1" si="7"/>
        <v>NonCategory</v>
      </c>
    </row>
    <row r="561" spans="1:18">
      <c r="A561" s="163">
        <v>44439</v>
      </c>
      <c r="B561" s="165" t="s">
        <v>1559</v>
      </c>
      <c r="C561" s="168" t="s">
        <v>1560</v>
      </c>
      <c r="D561" s="2" t="s">
        <v>278</v>
      </c>
      <c r="E561" s="6" t="s">
        <v>72</v>
      </c>
      <c r="F561" s="123">
        <v>44440</v>
      </c>
      <c r="G561" s="2" t="s">
        <v>16</v>
      </c>
      <c r="H561" s="6" t="s">
        <v>1561</v>
      </c>
      <c r="I561" s="126">
        <v>1</v>
      </c>
      <c r="J561" s="8">
        <v>12000</v>
      </c>
      <c r="K561" s="8">
        <f t="shared" si="6"/>
        <v>137.42556115437472</v>
      </c>
      <c r="L561" s="127">
        <v>44440</v>
      </c>
      <c r="M561" s="6" t="s">
        <v>251</v>
      </c>
      <c r="N561" s="97">
        <v>44440</v>
      </c>
      <c r="O561" s="22" t="s">
        <v>1565</v>
      </c>
      <c r="P561" s="6" t="s">
        <v>1564</v>
      </c>
      <c r="Q561" s="6" t="s">
        <v>356</v>
      </c>
      <c r="R561" s="6" t="str">
        <f t="shared" ca="1" si="7"/>
        <v>NonCategory</v>
      </c>
    </row>
    <row r="562" spans="1:18">
      <c r="A562" s="162">
        <v>44441</v>
      </c>
      <c r="B562" s="164" t="s">
        <v>1566</v>
      </c>
      <c r="C562" s="168" t="s">
        <v>1567</v>
      </c>
      <c r="D562" s="6" t="s">
        <v>319</v>
      </c>
      <c r="E562" s="6" t="s">
        <v>151</v>
      </c>
      <c r="F562" s="79">
        <v>44440</v>
      </c>
      <c r="G562" s="6" t="s">
        <v>16</v>
      </c>
      <c r="H562" s="6" t="s">
        <v>52</v>
      </c>
      <c r="I562" s="6">
        <v>1</v>
      </c>
      <c r="J562" s="8">
        <v>21000</v>
      </c>
      <c r="K562" s="8">
        <f t="shared" si="6"/>
        <v>240.49473202015577</v>
      </c>
      <c r="L562" s="97">
        <v>44441</v>
      </c>
      <c r="M562" s="6" t="s">
        <v>251</v>
      </c>
      <c r="N562" s="97">
        <v>44441</v>
      </c>
      <c r="O562" s="22" t="s">
        <v>5599</v>
      </c>
      <c r="Q562" s="6" t="s">
        <v>280</v>
      </c>
      <c r="R562" s="6" t="str">
        <f t="shared" ca="1" si="7"/>
        <v>NonCategory</v>
      </c>
    </row>
    <row r="563" spans="1:18">
      <c r="A563" s="162">
        <v>44441</v>
      </c>
      <c r="B563" s="164" t="s">
        <v>1568</v>
      </c>
      <c r="C563" s="168" t="s">
        <v>1569</v>
      </c>
      <c r="D563" s="6" t="s">
        <v>274</v>
      </c>
      <c r="E563" s="6" t="s">
        <v>1570</v>
      </c>
      <c r="F563" s="79">
        <v>44440</v>
      </c>
      <c r="G563" s="6" t="s">
        <v>16</v>
      </c>
      <c r="H563" s="97">
        <v>44457</v>
      </c>
      <c r="I563" s="6">
        <v>1</v>
      </c>
      <c r="J563" s="8">
        <v>16000</v>
      </c>
      <c r="K563" s="8">
        <f t="shared" si="6"/>
        <v>183.23408153916631</v>
      </c>
      <c r="L563" s="97">
        <v>44441</v>
      </c>
      <c r="M563" s="6" t="s">
        <v>252</v>
      </c>
      <c r="N563" s="97">
        <v>44455</v>
      </c>
      <c r="O563" s="22" t="s">
        <v>5600</v>
      </c>
      <c r="Q563" s="6" t="s">
        <v>356</v>
      </c>
      <c r="R563" s="6" t="str">
        <f t="shared" ca="1" si="7"/>
        <v>NonCategory</v>
      </c>
    </row>
    <row r="564" spans="1:18">
      <c r="A564" s="162">
        <v>44441</v>
      </c>
      <c r="B564" s="164" t="s">
        <v>1487</v>
      </c>
      <c r="C564" s="168" t="s">
        <v>1571</v>
      </c>
      <c r="D564" s="6" t="s">
        <v>278</v>
      </c>
      <c r="E564" s="6" t="s">
        <v>538</v>
      </c>
      <c r="F564" s="79">
        <v>44440</v>
      </c>
      <c r="G564" s="6" t="s">
        <v>16</v>
      </c>
      <c r="H564" s="97">
        <v>44445</v>
      </c>
      <c r="I564" s="6">
        <v>1</v>
      </c>
      <c r="J564" s="8">
        <v>12000</v>
      </c>
      <c r="K564" s="8">
        <f t="shared" si="6"/>
        <v>137.42556115437472</v>
      </c>
      <c r="L564" s="97">
        <v>44441</v>
      </c>
      <c r="M564" s="6" t="s">
        <v>251</v>
      </c>
      <c r="N564" s="97">
        <v>44441</v>
      </c>
      <c r="O564" s="22" t="s">
        <v>5601</v>
      </c>
      <c r="P564" s="6" t="s">
        <v>1278</v>
      </c>
      <c r="Q564" s="6" t="s">
        <v>356</v>
      </c>
      <c r="R564" s="6" t="str">
        <f t="shared" ca="1" si="7"/>
        <v>NonCategory</v>
      </c>
    </row>
    <row r="565" spans="1:18">
      <c r="A565" s="162">
        <v>44441</v>
      </c>
      <c r="B565" s="164" t="s">
        <v>1572</v>
      </c>
      <c r="C565" s="168" t="s">
        <v>1573</v>
      </c>
      <c r="D565" s="6" t="s">
        <v>278</v>
      </c>
      <c r="E565" s="6" t="s">
        <v>538</v>
      </c>
      <c r="F565" s="79">
        <v>44440</v>
      </c>
      <c r="G565" s="6" t="s">
        <v>16</v>
      </c>
      <c r="H565" s="97">
        <v>44445</v>
      </c>
      <c r="I565" s="6">
        <v>1</v>
      </c>
      <c r="J565" s="8">
        <v>12000</v>
      </c>
      <c r="K565" s="8">
        <f t="shared" si="6"/>
        <v>137.42556115437472</v>
      </c>
      <c r="L565" s="97">
        <v>44441</v>
      </c>
      <c r="M565" s="6" t="s">
        <v>251</v>
      </c>
      <c r="N565" s="97">
        <v>44441</v>
      </c>
      <c r="O565" s="22" t="s">
        <v>5602</v>
      </c>
      <c r="P565" s="6" t="s">
        <v>1278</v>
      </c>
      <c r="Q565" s="6" t="s">
        <v>356</v>
      </c>
      <c r="R565" s="6" t="str">
        <f t="shared" ca="1" si="7"/>
        <v>NonCategory</v>
      </c>
    </row>
    <row r="566" spans="1:18">
      <c r="A566" s="162">
        <v>44442</v>
      </c>
      <c r="B566" s="164" t="s">
        <v>1574</v>
      </c>
      <c r="C566" s="168" t="s">
        <v>1575</v>
      </c>
      <c r="D566" s="6" t="s">
        <v>343</v>
      </c>
      <c r="E566" s="6" t="s">
        <v>96</v>
      </c>
      <c r="F566" s="79">
        <v>44440</v>
      </c>
      <c r="G566" s="6" t="s">
        <v>16</v>
      </c>
      <c r="H566" s="6" t="s">
        <v>88</v>
      </c>
      <c r="I566" s="6">
        <v>1</v>
      </c>
      <c r="J566" s="8">
        <v>20000</v>
      </c>
      <c r="K566" s="8">
        <f t="shared" si="6"/>
        <v>229.04260192395787</v>
      </c>
      <c r="L566" s="97">
        <v>44442</v>
      </c>
      <c r="M566" s="6" t="s">
        <v>251</v>
      </c>
      <c r="N566" s="97">
        <v>44442</v>
      </c>
      <c r="O566" s="22" t="s">
        <v>5603</v>
      </c>
      <c r="Q566" s="6" t="s">
        <v>280</v>
      </c>
      <c r="R566" s="6" t="str">
        <f t="shared" ca="1" si="7"/>
        <v>NonCategory</v>
      </c>
    </row>
    <row r="567" spans="1:18">
      <c r="A567" s="162">
        <v>44442</v>
      </c>
      <c r="B567" s="164" t="s">
        <v>1576</v>
      </c>
      <c r="C567" s="168" t="s">
        <v>1577</v>
      </c>
      <c r="D567" s="6" t="s">
        <v>303</v>
      </c>
      <c r="E567" s="6" t="s">
        <v>532</v>
      </c>
      <c r="F567" s="79">
        <v>44440</v>
      </c>
      <c r="G567" s="6" t="s">
        <v>16</v>
      </c>
      <c r="H567" s="6" t="s">
        <v>480</v>
      </c>
      <c r="I567" s="6">
        <v>1</v>
      </c>
      <c r="J567" s="8">
        <v>12788</v>
      </c>
      <c r="K567" s="8">
        <f t="shared" si="6"/>
        <v>146.44983967017865</v>
      </c>
      <c r="L567" s="97">
        <v>44441</v>
      </c>
      <c r="M567" s="6" t="s">
        <v>251</v>
      </c>
      <c r="N567" s="97">
        <v>44441</v>
      </c>
      <c r="O567" s="22" t="s">
        <v>5604</v>
      </c>
      <c r="Q567" s="6" t="s">
        <v>356</v>
      </c>
      <c r="R567" s="6" t="str">
        <f t="shared" ca="1" si="7"/>
        <v>NonCategory</v>
      </c>
    </row>
    <row r="568" spans="1:18">
      <c r="A568" s="162">
        <v>44443</v>
      </c>
      <c r="B568" s="164" t="s">
        <v>1578</v>
      </c>
      <c r="C568" s="168" t="s">
        <v>1519</v>
      </c>
      <c r="D568" s="6" t="s">
        <v>274</v>
      </c>
      <c r="E568" s="6" t="s">
        <v>1359</v>
      </c>
      <c r="F568" s="79">
        <v>44440</v>
      </c>
      <c r="G568" s="6" t="s">
        <v>16</v>
      </c>
      <c r="H568" s="97">
        <v>44443</v>
      </c>
      <c r="I568" s="6">
        <v>1</v>
      </c>
      <c r="J568" s="8">
        <v>38000</v>
      </c>
      <c r="K568" s="8">
        <f t="shared" si="6"/>
        <v>435.18094365551997</v>
      </c>
      <c r="L568" s="97">
        <v>44443</v>
      </c>
      <c r="M568" s="6" t="s">
        <v>251</v>
      </c>
      <c r="N568" s="97">
        <v>44443</v>
      </c>
      <c r="O568" s="22" t="s">
        <v>5605</v>
      </c>
      <c r="Q568" s="6" t="s">
        <v>356</v>
      </c>
      <c r="R568" s="6" t="str">
        <f t="shared" ca="1" si="7"/>
        <v>NonCategory</v>
      </c>
    </row>
    <row r="569" spans="1:18">
      <c r="A569" s="162">
        <v>44444</v>
      </c>
      <c r="B569" s="164" t="s">
        <v>1579</v>
      </c>
      <c r="C569" s="168" t="s">
        <v>1580</v>
      </c>
      <c r="D569" s="6" t="s">
        <v>278</v>
      </c>
      <c r="E569" s="6" t="s">
        <v>25</v>
      </c>
      <c r="F569" s="79">
        <v>44440</v>
      </c>
      <c r="G569" s="6" t="s">
        <v>16</v>
      </c>
      <c r="H569" s="6" t="s">
        <v>38</v>
      </c>
      <c r="I569" s="6">
        <v>1</v>
      </c>
      <c r="J569" s="8">
        <v>45000</v>
      </c>
      <c r="K569" s="8">
        <f t="shared" si="6"/>
        <v>515.34585432890515</v>
      </c>
      <c r="L569" s="97">
        <v>44444</v>
      </c>
      <c r="M569" s="6" t="s">
        <v>251</v>
      </c>
      <c r="N569" s="97">
        <v>44444</v>
      </c>
      <c r="O569" s="22" t="s">
        <v>5606</v>
      </c>
      <c r="P569" s="6" t="s">
        <v>1478</v>
      </c>
      <c r="Q569" s="6" t="s">
        <v>356</v>
      </c>
      <c r="R569" s="6" t="str">
        <f t="shared" ca="1" si="7"/>
        <v>NonCategory</v>
      </c>
    </row>
    <row r="570" spans="1:18">
      <c r="A570" s="162">
        <v>44445</v>
      </c>
      <c r="B570" s="164" t="s">
        <v>1581</v>
      </c>
      <c r="C570" s="168" t="s">
        <v>1220</v>
      </c>
      <c r="D570" s="6" t="s">
        <v>274</v>
      </c>
      <c r="E570" s="6" t="s">
        <v>1582</v>
      </c>
      <c r="F570" s="79">
        <v>44440</v>
      </c>
      <c r="G570" s="6" t="s">
        <v>16</v>
      </c>
      <c r="H570" s="97">
        <v>44457</v>
      </c>
      <c r="I570" s="6">
        <v>1</v>
      </c>
      <c r="J570" s="8">
        <v>17000</v>
      </c>
      <c r="K570" s="8">
        <f t="shared" si="6"/>
        <v>194.68621163536417</v>
      </c>
      <c r="L570" s="97">
        <v>44445</v>
      </c>
      <c r="M570" s="6" t="s">
        <v>251</v>
      </c>
      <c r="N570" s="97">
        <v>44445</v>
      </c>
      <c r="O570" s="22" t="s">
        <v>5607</v>
      </c>
      <c r="Q570" s="6" t="s">
        <v>356</v>
      </c>
      <c r="R570" s="6" t="str">
        <f t="shared" ca="1" si="7"/>
        <v>NonCategory</v>
      </c>
    </row>
    <row r="571" spans="1:18">
      <c r="A571" s="162">
        <v>44446</v>
      </c>
      <c r="B571" s="164" t="s">
        <v>1583</v>
      </c>
      <c r="C571" s="168" t="s">
        <v>1584</v>
      </c>
      <c r="D571" s="6" t="s">
        <v>319</v>
      </c>
      <c r="E571" s="6" t="s">
        <v>150</v>
      </c>
      <c r="F571" s="79">
        <v>44440</v>
      </c>
      <c r="G571" s="6" t="s">
        <v>16</v>
      </c>
      <c r="H571" s="6" t="s">
        <v>46</v>
      </c>
      <c r="I571" s="6">
        <v>1</v>
      </c>
      <c r="J571" s="8">
        <v>21000</v>
      </c>
      <c r="K571" s="8">
        <f t="shared" si="6"/>
        <v>240.49473202015577</v>
      </c>
      <c r="L571" s="97">
        <v>44446</v>
      </c>
      <c r="M571" s="6" t="s">
        <v>251</v>
      </c>
      <c r="N571" s="97">
        <v>44446</v>
      </c>
      <c r="O571" s="22" t="s">
        <v>5608</v>
      </c>
      <c r="Q571" s="6" t="s">
        <v>356</v>
      </c>
      <c r="R571" s="6" t="str">
        <f t="shared" ca="1" si="7"/>
        <v>NonCategory</v>
      </c>
    </row>
    <row r="572" spans="1:18">
      <c r="A572" s="162">
        <v>44446</v>
      </c>
      <c r="B572" s="164" t="s">
        <v>1585</v>
      </c>
      <c r="C572" s="168" t="s">
        <v>1586</v>
      </c>
      <c r="D572" s="6" t="s">
        <v>319</v>
      </c>
      <c r="E572" s="6" t="s">
        <v>25</v>
      </c>
      <c r="F572" s="79">
        <v>44440</v>
      </c>
      <c r="G572" s="6" t="s">
        <v>13</v>
      </c>
      <c r="H572" s="6" t="s">
        <v>38</v>
      </c>
      <c r="I572" s="6">
        <v>1</v>
      </c>
      <c r="J572" s="8">
        <v>45000</v>
      </c>
      <c r="K572" s="8">
        <f t="shared" si="6"/>
        <v>515.34585432890515</v>
      </c>
      <c r="L572" s="97">
        <v>44446</v>
      </c>
      <c r="R572" s="6" t="str">
        <f t="shared" ca="1" si="7"/>
        <v>NonCategory</v>
      </c>
    </row>
    <row r="573" spans="1:18" ht="14.4">
      <c r="A573" s="162">
        <v>44446</v>
      </c>
      <c r="B573" s="164" t="s">
        <v>1587</v>
      </c>
      <c r="C573" s="168" t="s">
        <v>1588</v>
      </c>
      <c r="D573" s="6" t="s">
        <v>278</v>
      </c>
      <c r="E573" s="6" t="s">
        <v>97</v>
      </c>
      <c r="F573" s="79">
        <v>44440</v>
      </c>
      <c r="G573" s="6" t="s">
        <v>16</v>
      </c>
      <c r="H573" s="6" t="s">
        <v>170</v>
      </c>
      <c r="I573" s="6">
        <v>1</v>
      </c>
      <c r="J573" s="8">
        <v>18000</v>
      </c>
      <c r="K573" s="8">
        <f t="shared" si="6"/>
        <v>206.13834173156206</v>
      </c>
      <c r="L573" s="97">
        <v>44446</v>
      </c>
      <c r="M573" s="6" t="s">
        <v>251</v>
      </c>
      <c r="N573" s="97">
        <v>44446</v>
      </c>
      <c r="O573" s="22" t="s">
        <v>5609</v>
      </c>
      <c r="P573" s="44" t="s">
        <v>1589</v>
      </c>
      <c r="Q573" s="6" t="s">
        <v>356</v>
      </c>
      <c r="R573" s="6" t="str">
        <f t="shared" ca="1" si="7"/>
        <v>NonCategory</v>
      </c>
    </row>
    <row r="574" spans="1:18">
      <c r="A574" s="162">
        <v>44446</v>
      </c>
      <c r="B574" s="164" t="s">
        <v>1581</v>
      </c>
      <c r="C574" s="168" t="s">
        <v>1220</v>
      </c>
      <c r="D574" s="6" t="s">
        <v>274</v>
      </c>
      <c r="E574" s="6" t="s">
        <v>1582</v>
      </c>
      <c r="F574" s="79">
        <v>44440</v>
      </c>
      <c r="G574" s="6" t="s">
        <v>16</v>
      </c>
      <c r="H574" s="97">
        <v>44457</v>
      </c>
      <c r="I574" s="6">
        <v>1</v>
      </c>
      <c r="J574" s="8">
        <v>101000</v>
      </c>
      <c r="K574" s="8">
        <f t="shared" si="6"/>
        <v>1156.6651397159872</v>
      </c>
      <c r="L574" s="97">
        <v>44446</v>
      </c>
      <c r="M574" s="6" t="s">
        <v>251</v>
      </c>
      <c r="N574" s="97">
        <v>44446</v>
      </c>
      <c r="O574" s="22" t="s">
        <v>5610</v>
      </c>
      <c r="Q574" s="6" t="s">
        <v>356</v>
      </c>
      <c r="R574" s="6" t="str">
        <f t="shared" ca="1" si="7"/>
        <v>NonCategory</v>
      </c>
    </row>
    <row r="575" spans="1:18" ht="14.4">
      <c r="A575" s="162">
        <v>44446</v>
      </c>
      <c r="B575" s="165" t="s">
        <v>1590</v>
      </c>
      <c r="C575" s="168" t="s">
        <v>1591</v>
      </c>
      <c r="D575" s="6" t="s">
        <v>278</v>
      </c>
      <c r="E575" s="6" t="s">
        <v>97</v>
      </c>
      <c r="F575" s="79">
        <v>44440</v>
      </c>
      <c r="G575" s="6" t="s">
        <v>16</v>
      </c>
      <c r="H575" s="6" t="s">
        <v>170</v>
      </c>
      <c r="I575" s="6">
        <v>1</v>
      </c>
      <c r="J575" s="8">
        <v>18000</v>
      </c>
      <c r="K575" s="8">
        <f t="shared" si="6"/>
        <v>206.13834173156206</v>
      </c>
      <c r="L575" s="97">
        <v>44446</v>
      </c>
      <c r="M575" s="6" t="s">
        <v>251</v>
      </c>
      <c r="N575" s="97">
        <v>44446</v>
      </c>
      <c r="O575" s="22" t="s">
        <v>5611</v>
      </c>
      <c r="P575" s="44" t="s">
        <v>1589</v>
      </c>
      <c r="Q575" s="6" t="s">
        <v>356</v>
      </c>
      <c r="R575" s="6" t="str">
        <f t="shared" ca="1" si="7"/>
        <v>NonCategory</v>
      </c>
    </row>
    <row r="576" spans="1:18" ht="14.4">
      <c r="A576" s="162">
        <v>44446</v>
      </c>
      <c r="B576" s="165" t="s">
        <v>1592</v>
      </c>
      <c r="C576" s="168" t="s">
        <v>1593</v>
      </c>
      <c r="D576" s="6" t="s">
        <v>278</v>
      </c>
      <c r="E576" s="6" t="s">
        <v>97</v>
      </c>
      <c r="F576" s="79">
        <v>44440</v>
      </c>
      <c r="G576" s="6" t="s">
        <v>16</v>
      </c>
      <c r="H576" s="6" t="s">
        <v>170</v>
      </c>
      <c r="I576" s="6">
        <v>1</v>
      </c>
      <c r="J576" s="8">
        <v>18000</v>
      </c>
      <c r="K576" s="8">
        <f t="shared" si="6"/>
        <v>206.13834173156206</v>
      </c>
      <c r="L576" s="97">
        <v>44446</v>
      </c>
      <c r="M576" s="6" t="s">
        <v>251</v>
      </c>
      <c r="N576" s="97">
        <v>44446</v>
      </c>
      <c r="O576" s="22" t="s">
        <v>5612</v>
      </c>
      <c r="P576" s="44" t="s">
        <v>1589</v>
      </c>
      <c r="Q576" s="6" t="s">
        <v>356</v>
      </c>
      <c r="R576" s="6" t="str">
        <f t="shared" ca="1" si="7"/>
        <v>NonCategory</v>
      </c>
    </row>
    <row r="577" spans="1:18" ht="14.4">
      <c r="A577" s="162">
        <v>44446</v>
      </c>
      <c r="B577" s="165" t="s">
        <v>1594</v>
      </c>
      <c r="C577" s="168" t="s">
        <v>1595</v>
      </c>
      <c r="D577" s="6" t="s">
        <v>278</v>
      </c>
      <c r="E577" s="6" t="s">
        <v>97</v>
      </c>
      <c r="F577" s="79">
        <v>44440</v>
      </c>
      <c r="G577" s="6" t="s">
        <v>16</v>
      </c>
      <c r="H577" s="6" t="s">
        <v>170</v>
      </c>
      <c r="I577" s="6">
        <v>1</v>
      </c>
      <c r="J577" s="8">
        <v>18000</v>
      </c>
      <c r="K577" s="8">
        <f t="shared" si="6"/>
        <v>206.13834173156206</v>
      </c>
      <c r="L577" s="97">
        <v>44446</v>
      </c>
      <c r="M577" s="6" t="s">
        <v>251</v>
      </c>
      <c r="N577" s="97">
        <v>44446</v>
      </c>
      <c r="O577" s="22" t="s">
        <v>5613</v>
      </c>
      <c r="P577" s="44" t="s">
        <v>1589</v>
      </c>
      <c r="Q577" s="6" t="s">
        <v>356</v>
      </c>
      <c r="R577" s="6" t="str">
        <f t="shared" ca="1" si="7"/>
        <v>NonCategory</v>
      </c>
    </row>
    <row r="578" spans="1:18" ht="14.4">
      <c r="A578" s="162">
        <v>44446</v>
      </c>
      <c r="B578" s="165" t="s">
        <v>1596</v>
      </c>
      <c r="C578" s="168" t="s">
        <v>1597</v>
      </c>
      <c r="D578" s="6" t="s">
        <v>278</v>
      </c>
      <c r="E578" s="6" t="s">
        <v>97</v>
      </c>
      <c r="F578" s="79">
        <v>44440</v>
      </c>
      <c r="G578" s="6" t="s">
        <v>16</v>
      </c>
      <c r="H578" s="6" t="s">
        <v>170</v>
      </c>
      <c r="I578" s="6">
        <v>1</v>
      </c>
      <c r="J578" s="8">
        <v>18000</v>
      </c>
      <c r="K578" s="8">
        <f t="shared" si="6"/>
        <v>206.13834173156206</v>
      </c>
      <c r="L578" s="97">
        <v>44446</v>
      </c>
      <c r="M578" s="6" t="s">
        <v>251</v>
      </c>
      <c r="N578" s="97">
        <v>44446</v>
      </c>
      <c r="O578" s="22" t="s">
        <v>5614</v>
      </c>
      <c r="P578" s="44" t="s">
        <v>1589</v>
      </c>
      <c r="Q578" s="6" t="s">
        <v>356</v>
      </c>
      <c r="R578" s="6" t="str">
        <f t="shared" ca="1" si="7"/>
        <v>NonCategory</v>
      </c>
    </row>
    <row r="579" spans="1:18" ht="14.4">
      <c r="A579" s="162">
        <v>44446</v>
      </c>
      <c r="B579" s="165" t="s">
        <v>1598</v>
      </c>
      <c r="C579" s="168" t="s">
        <v>1599</v>
      </c>
      <c r="D579" s="6" t="s">
        <v>278</v>
      </c>
      <c r="E579" s="6" t="s">
        <v>97</v>
      </c>
      <c r="F579" s="79">
        <v>44440</v>
      </c>
      <c r="G579" s="6" t="s">
        <v>16</v>
      </c>
      <c r="H579" s="6" t="s">
        <v>170</v>
      </c>
      <c r="I579" s="6">
        <v>1</v>
      </c>
      <c r="J579" s="8">
        <v>18000</v>
      </c>
      <c r="K579" s="8">
        <f t="shared" si="6"/>
        <v>206.13834173156206</v>
      </c>
      <c r="L579" s="97">
        <v>44446</v>
      </c>
      <c r="M579" s="6" t="s">
        <v>251</v>
      </c>
      <c r="N579" s="97">
        <v>44446</v>
      </c>
      <c r="O579" s="22" t="s">
        <v>5615</v>
      </c>
      <c r="P579" s="44" t="s">
        <v>1589</v>
      </c>
      <c r="Q579" s="6" t="s">
        <v>356</v>
      </c>
      <c r="R579" s="6" t="str">
        <f t="shared" ca="1" si="7"/>
        <v>NonCategory</v>
      </c>
    </row>
    <row r="580" spans="1:18" ht="14.4">
      <c r="A580" s="162">
        <v>44446</v>
      </c>
      <c r="B580" s="165" t="s">
        <v>1600</v>
      </c>
      <c r="C580" s="168" t="s">
        <v>1601</v>
      </c>
      <c r="D580" s="6" t="s">
        <v>278</v>
      </c>
      <c r="E580" s="6" t="s">
        <v>97</v>
      </c>
      <c r="F580" s="79">
        <v>44440</v>
      </c>
      <c r="G580" s="6" t="s">
        <v>16</v>
      </c>
      <c r="H580" s="6" t="s">
        <v>170</v>
      </c>
      <c r="I580" s="6">
        <v>1</v>
      </c>
      <c r="J580" s="8">
        <v>18000</v>
      </c>
      <c r="K580" s="8">
        <f t="shared" si="6"/>
        <v>206.13834173156206</v>
      </c>
      <c r="L580" s="97">
        <v>44446</v>
      </c>
      <c r="M580" s="6" t="s">
        <v>251</v>
      </c>
      <c r="N580" s="97">
        <v>44446</v>
      </c>
      <c r="O580" s="22" t="s">
        <v>5616</v>
      </c>
      <c r="P580" s="44" t="s">
        <v>1589</v>
      </c>
      <c r="Q580" s="6" t="s">
        <v>356</v>
      </c>
      <c r="R580" s="6" t="str">
        <f t="shared" ca="1" si="7"/>
        <v>NonCategory</v>
      </c>
    </row>
    <row r="581" spans="1:18" ht="14.4">
      <c r="A581" s="162">
        <v>44446</v>
      </c>
      <c r="B581" s="165" t="s">
        <v>1602</v>
      </c>
      <c r="C581" s="168" t="s">
        <v>1603</v>
      </c>
      <c r="D581" s="6" t="s">
        <v>278</v>
      </c>
      <c r="E581" s="6" t="s">
        <v>97</v>
      </c>
      <c r="F581" s="79">
        <v>44440</v>
      </c>
      <c r="G581" s="6" t="s">
        <v>16</v>
      </c>
      <c r="H581" s="6" t="s">
        <v>170</v>
      </c>
      <c r="I581" s="6">
        <v>1</v>
      </c>
      <c r="J581" s="8">
        <v>18000</v>
      </c>
      <c r="K581" s="8">
        <f t="shared" si="6"/>
        <v>206.13834173156206</v>
      </c>
      <c r="L581" s="97">
        <v>44446</v>
      </c>
      <c r="M581" s="6" t="s">
        <v>251</v>
      </c>
      <c r="N581" s="97">
        <v>44446</v>
      </c>
      <c r="O581" s="22" t="s">
        <v>5617</v>
      </c>
      <c r="P581" s="44" t="s">
        <v>1589</v>
      </c>
      <c r="Q581" s="6" t="s">
        <v>356</v>
      </c>
      <c r="R581" s="6" t="str">
        <f t="shared" ca="1" si="7"/>
        <v>NonCategory</v>
      </c>
    </row>
    <row r="582" spans="1:18" ht="14.4">
      <c r="A582" s="162">
        <v>44446</v>
      </c>
      <c r="B582" s="165" t="s">
        <v>1604</v>
      </c>
      <c r="C582" s="168" t="s">
        <v>1605</v>
      </c>
      <c r="D582" s="6" t="s">
        <v>278</v>
      </c>
      <c r="E582" s="6" t="s">
        <v>97</v>
      </c>
      <c r="F582" s="79">
        <v>44440</v>
      </c>
      <c r="G582" s="6" t="s">
        <v>16</v>
      </c>
      <c r="H582" s="6" t="s">
        <v>170</v>
      </c>
      <c r="I582" s="6">
        <v>1</v>
      </c>
      <c r="J582" s="8">
        <v>18000</v>
      </c>
      <c r="K582" s="8">
        <f t="shared" si="6"/>
        <v>206.13834173156206</v>
      </c>
      <c r="L582" s="97">
        <v>44446</v>
      </c>
      <c r="M582" s="6" t="s">
        <v>251</v>
      </c>
      <c r="N582" s="97">
        <v>44446</v>
      </c>
      <c r="O582" s="22" t="s">
        <v>5618</v>
      </c>
      <c r="P582" s="44" t="s">
        <v>1589</v>
      </c>
      <c r="Q582" s="6" t="s">
        <v>356</v>
      </c>
      <c r="R582" s="6" t="str">
        <f t="shared" ca="1" si="7"/>
        <v>NonCategory</v>
      </c>
    </row>
    <row r="583" spans="1:18" ht="14.4">
      <c r="A583" s="162">
        <v>44446</v>
      </c>
      <c r="B583" s="165" t="s">
        <v>1606</v>
      </c>
      <c r="C583" s="168" t="s">
        <v>1607</v>
      </c>
      <c r="D583" s="6" t="s">
        <v>278</v>
      </c>
      <c r="E583" s="6" t="s">
        <v>97</v>
      </c>
      <c r="F583" s="79">
        <v>44440</v>
      </c>
      <c r="G583" s="6" t="s">
        <v>16</v>
      </c>
      <c r="H583" s="6" t="s">
        <v>170</v>
      </c>
      <c r="I583" s="6">
        <v>1</v>
      </c>
      <c r="J583" s="8">
        <v>18000</v>
      </c>
      <c r="K583" s="8">
        <f t="shared" si="6"/>
        <v>206.13834173156206</v>
      </c>
      <c r="L583" s="97">
        <v>44446</v>
      </c>
      <c r="M583" s="6" t="s">
        <v>251</v>
      </c>
      <c r="N583" s="97">
        <v>44446</v>
      </c>
      <c r="O583" s="22" t="s">
        <v>5619</v>
      </c>
      <c r="P583" s="44" t="s">
        <v>1589</v>
      </c>
      <c r="Q583" s="6" t="s">
        <v>356</v>
      </c>
      <c r="R583" s="6" t="str">
        <f t="shared" ca="1" si="7"/>
        <v>NonCategory</v>
      </c>
    </row>
    <row r="584" spans="1:18" ht="14.4">
      <c r="A584" s="162">
        <v>44446</v>
      </c>
      <c r="B584" s="165" t="s">
        <v>15</v>
      </c>
      <c r="C584" s="168" t="s">
        <v>1608</v>
      </c>
      <c r="D584" s="6" t="s">
        <v>278</v>
      </c>
      <c r="E584" s="6" t="s">
        <v>97</v>
      </c>
      <c r="F584" s="79">
        <v>44440</v>
      </c>
      <c r="G584" s="6" t="s">
        <v>16</v>
      </c>
      <c r="H584" s="6" t="s">
        <v>170</v>
      </c>
      <c r="I584" s="6">
        <v>1</v>
      </c>
      <c r="J584" s="8">
        <v>18000</v>
      </c>
      <c r="K584" s="8">
        <f t="shared" si="6"/>
        <v>206.13834173156206</v>
      </c>
      <c r="L584" s="97">
        <v>44446</v>
      </c>
      <c r="M584" s="6" t="s">
        <v>251</v>
      </c>
      <c r="N584" s="97">
        <v>44446</v>
      </c>
      <c r="O584" s="22" t="s">
        <v>5620</v>
      </c>
      <c r="P584" s="44" t="s">
        <v>1589</v>
      </c>
      <c r="Q584" s="6" t="s">
        <v>356</v>
      </c>
      <c r="R584" s="6" t="str">
        <f t="shared" ca="1" si="7"/>
        <v>NonCategory</v>
      </c>
    </row>
    <row r="585" spans="1:18" ht="14.4">
      <c r="A585" s="162">
        <v>44446</v>
      </c>
      <c r="B585" s="165" t="s">
        <v>1609</v>
      </c>
      <c r="C585" s="168" t="s">
        <v>1610</v>
      </c>
      <c r="D585" s="6" t="s">
        <v>278</v>
      </c>
      <c r="E585" s="6" t="s">
        <v>97</v>
      </c>
      <c r="F585" s="79">
        <v>44440</v>
      </c>
      <c r="G585" s="6" t="s">
        <v>16</v>
      </c>
      <c r="H585" s="6" t="s">
        <v>170</v>
      </c>
      <c r="I585" s="6">
        <v>1</v>
      </c>
      <c r="J585" s="8">
        <v>18000</v>
      </c>
      <c r="K585" s="8">
        <f t="shared" si="6"/>
        <v>206.13834173156206</v>
      </c>
      <c r="L585" s="97">
        <v>44446</v>
      </c>
      <c r="M585" s="6" t="s">
        <v>251</v>
      </c>
      <c r="N585" s="97">
        <v>44446</v>
      </c>
      <c r="O585" s="22" t="s">
        <v>5621</v>
      </c>
      <c r="P585" s="44" t="s">
        <v>1589</v>
      </c>
      <c r="Q585" s="6" t="s">
        <v>356</v>
      </c>
      <c r="R585" s="6" t="str">
        <f t="shared" ca="1" si="7"/>
        <v>NonCategory</v>
      </c>
    </row>
    <row r="586" spans="1:18" ht="14.4">
      <c r="A586" s="162">
        <v>44446</v>
      </c>
      <c r="B586" s="165" t="s">
        <v>1611</v>
      </c>
      <c r="C586" s="168" t="s">
        <v>1612</v>
      </c>
      <c r="D586" s="6" t="s">
        <v>278</v>
      </c>
      <c r="E586" s="6" t="s">
        <v>97</v>
      </c>
      <c r="F586" s="79">
        <v>44440</v>
      </c>
      <c r="G586" s="6" t="s">
        <v>16</v>
      </c>
      <c r="H586" s="6" t="s">
        <v>170</v>
      </c>
      <c r="I586" s="6">
        <v>1</v>
      </c>
      <c r="J586" s="8">
        <v>18000</v>
      </c>
      <c r="K586" s="8">
        <f t="shared" si="6"/>
        <v>206.13834173156206</v>
      </c>
      <c r="L586" s="97">
        <v>44446</v>
      </c>
      <c r="M586" s="6" t="s">
        <v>251</v>
      </c>
      <c r="N586" s="97">
        <v>44446</v>
      </c>
      <c r="O586" s="22" t="s">
        <v>5622</v>
      </c>
      <c r="P586" s="44" t="s">
        <v>1589</v>
      </c>
      <c r="Q586" s="6" t="s">
        <v>356</v>
      </c>
      <c r="R586" s="6" t="str">
        <f t="shared" ca="1" si="7"/>
        <v>NonCategory</v>
      </c>
    </row>
    <row r="587" spans="1:18">
      <c r="A587" s="162">
        <v>44447</v>
      </c>
      <c r="B587" s="164" t="s">
        <v>1613</v>
      </c>
      <c r="C587" s="168" t="s">
        <v>1614</v>
      </c>
      <c r="D587" s="6" t="s">
        <v>303</v>
      </c>
      <c r="E587" s="6" t="s">
        <v>25</v>
      </c>
      <c r="F587" s="79">
        <v>44440</v>
      </c>
      <c r="G587" s="6" t="s">
        <v>16</v>
      </c>
      <c r="H587" s="6" t="s">
        <v>38</v>
      </c>
      <c r="I587" s="6">
        <v>1</v>
      </c>
      <c r="J587" s="8">
        <v>47000</v>
      </c>
      <c r="K587" s="8">
        <f t="shared" si="6"/>
        <v>538.25011452130093</v>
      </c>
      <c r="L587" s="97">
        <v>44447</v>
      </c>
      <c r="M587" s="6" t="s">
        <v>251</v>
      </c>
      <c r="N587" s="97">
        <v>44447</v>
      </c>
      <c r="O587" s="22" t="s">
        <v>5623</v>
      </c>
      <c r="Q587" s="6" t="s">
        <v>280</v>
      </c>
      <c r="R587" s="6" t="str">
        <f t="shared" ca="1" si="7"/>
        <v>NonCategory</v>
      </c>
    </row>
    <row r="588" spans="1:18" ht="14.4">
      <c r="A588" s="162">
        <v>44447</v>
      </c>
      <c r="B588" s="164" t="s">
        <v>1615</v>
      </c>
      <c r="C588" s="168" t="s">
        <v>1616</v>
      </c>
      <c r="D588" s="6" t="s">
        <v>278</v>
      </c>
      <c r="E588" s="6" t="s">
        <v>150</v>
      </c>
      <c r="F588" s="79">
        <v>44440</v>
      </c>
      <c r="G588" s="6" t="s">
        <v>16</v>
      </c>
      <c r="H588" s="6" t="s">
        <v>46</v>
      </c>
      <c r="I588" s="6">
        <v>1</v>
      </c>
      <c r="J588" s="8">
        <v>21000</v>
      </c>
      <c r="K588" s="8">
        <f t="shared" si="6"/>
        <v>240.49473202015577</v>
      </c>
      <c r="L588" s="97">
        <v>44447</v>
      </c>
      <c r="M588" s="6" t="s">
        <v>251</v>
      </c>
      <c r="N588" s="97">
        <v>44447</v>
      </c>
      <c r="O588" s="22" t="s">
        <v>5624</v>
      </c>
      <c r="P588" s="44" t="s">
        <v>1617</v>
      </c>
      <c r="Q588" s="6" t="s">
        <v>280</v>
      </c>
      <c r="R588" s="6" t="str">
        <f t="shared" ca="1" si="7"/>
        <v>NonCategory</v>
      </c>
    </row>
    <row r="589" spans="1:18" ht="14.4">
      <c r="A589" s="162">
        <v>44447</v>
      </c>
      <c r="B589" s="164" t="s">
        <v>1618</v>
      </c>
      <c r="C589" s="168" t="s">
        <v>1619</v>
      </c>
      <c r="D589" s="6" t="s">
        <v>278</v>
      </c>
      <c r="E589" s="6" t="s">
        <v>97</v>
      </c>
      <c r="F589" s="79">
        <v>44440</v>
      </c>
      <c r="G589" s="6" t="s">
        <v>16</v>
      </c>
      <c r="H589" s="6" t="s">
        <v>170</v>
      </c>
      <c r="I589" s="6">
        <v>1</v>
      </c>
      <c r="J589" s="8">
        <v>18000</v>
      </c>
      <c r="K589" s="8">
        <f t="shared" si="6"/>
        <v>206.13834173156206</v>
      </c>
      <c r="L589" s="97">
        <v>44447</v>
      </c>
      <c r="M589" s="6" t="s">
        <v>251</v>
      </c>
      <c r="N589" s="97">
        <v>44447</v>
      </c>
      <c r="O589" s="22" t="s">
        <v>5625</v>
      </c>
      <c r="P589" s="44" t="s">
        <v>1589</v>
      </c>
      <c r="Q589" s="6" t="s">
        <v>356</v>
      </c>
      <c r="R589" s="6" t="str">
        <f t="shared" ca="1" si="7"/>
        <v>NonCategory</v>
      </c>
    </row>
    <row r="590" spans="1:18" ht="14.4">
      <c r="A590" s="162">
        <v>44447</v>
      </c>
      <c r="B590" s="164" t="s">
        <v>1620</v>
      </c>
      <c r="C590" s="168" t="s">
        <v>1621</v>
      </c>
      <c r="D590" s="6" t="s">
        <v>278</v>
      </c>
      <c r="E590" s="6" t="s">
        <v>97</v>
      </c>
      <c r="F590" s="79">
        <v>44440</v>
      </c>
      <c r="G590" s="6" t="s">
        <v>16</v>
      </c>
      <c r="H590" s="6" t="s">
        <v>170</v>
      </c>
      <c r="I590" s="6">
        <v>1</v>
      </c>
      <c r="J590" s="8">
        <v>18000</v>
      </c>
      <c r="K590" s="8">
        <f t="shared" si="6"/>
        <v>206.13834173156206</v>
      </c>
      <c r="L590" s="97">
        <v>44447</v>
      </c>
      <c r="M590" s="6" t="s">
        <v>251</v>
      </c>
      <c r="N590" s="97">
        <v>44447</v>
      </c>
      <c r="O590" s="22" t="s">
        <v>5626</v>
      </c>
      <c r="P590" s="44" t="s">
        <v>1589</v>
      </c>
      <c r="Q590" s="6" t="s">
        <v>356</v>
      </c>
      <c r="R590" s="6" t="str">
        <f t="shared" ca="1" si="7"/>
        <v>NonCategory</v>
      </c>
    </row>
    <row r="591" spans="1:18">
      <c r="A591" s="162">
        <v>44448</v>
      </c>
      <c r="B591" s="164" t="s">
        <v>1622</v>
      </c>
      <c r="C591" s="168" t="s">
        <v>1623</v>
      </c>
      <c r="D591" s="6" t="s">
        <v>278</v>
      </c>
      <c r="E591" s="6" t="s">
        <v>96</v>
      </c>
      <c r="F591" s="79">
        <v>44440</v>
      </c>
      <c r="G591" s="6" t="s">
        <v>16</v>
      </c>
      <c r="H591" s="6" t="s">
        <v>1624</v>
      </c>
      <c r="I591" s="6">
        <v>1</v>
      </c>
      <c r="J591" s="8">
        <v>20000</v>
      </c>
      <c r="K591" s="8">
        <f t="shared" si="6"/>
        <v>229.04260192395787</v>
      </c>
      <c r="L591" s="97">
        <v>44448</v>
      </c>
      <c r="M591" s="6" t="s">
        <v>251</v>
      </c>
      <c r="N591" s="97">
        <v>44448</v>
      </c>
      <c r="O591" s="22" t="s">
        <v>5627</v>
      </c>
      <c r="P591" s="6" t="s">
        <v>732</v>
      </c>
      <c r="Q591" s="6" t="s">
        <v>356</v>
      </c>
      <c r="R591" s="6" t="str">
        <f t="shared" ca="1" si="7"/>
        <v>NonCategory</v>
      </c>
    </row>
    <row r="592" spans="1:18">
      <c r="A592" s="162">
        <v>44448</v>
      </c>
      <c r="B592" s="164" t="s">
        <v>1625</v>
      </c>
      <c r="C592" s="168" t="s">
        <v>1626</v>
      </c>
      <c r="D592" s="6" t="s">
        <v>287</v>
      </c>
      <c r="E592" s="6" t="s">
        <v>25</v>
      </c>
      <c r="F592" s="79">
        <v>44440</v>
      </c>
      <c r="G592" s="6" t="s">
        <v>16</v>
      </c>
      <c r="H592" s="6" t="s">
        <v>38</v>
      </c>
      <c r="I592" s="6">
        <v>1</v>
      </c>
      <c r="J592" s="8">
        <v>45000</v>
      </c>
      <c r="K592" s="8">
        <f t="shared" si="6"/>
        <v>515.34585432890515</v>
      </c>
      <c r="L592" s="97">
        <v>44448</v>
      </c>
      <c r="M592" s="6" t="s">
        <v>251</v>
      </c>
      <c r="N592" s="97">
        <v>44448</v>
      </c>
      <c r="O592" s="22" t="s">
        <v>5628</v>
      </c>
      <c r="Q592" s="6" t="s">
        <v>280</v>
      </c>
      <c r="R592" s="6" t="str">
        <f t="shared" ca="1" si="7"/>
        <v>NonCategory</v>
      </c>
    </row>
    <row r="593" spans="1:18">
      <c r="A593" s="162">
        <v>44449</v>
      </c>
      <c r="B593" s="164" t="s">
        <v>1627</v>
      </c>
      <c r="C593" s="168" t="s">
        <v>1628</v>
      </c>
      <c r="D593" s="6" t="s">
        <v>297</v>
      </c>
      <c r="E593" s="6" t="s">
        <v>150</v>
      </c>
      <c r="F593" s="79">
        <v>44440</v>
      </c>
      <c r="G593" s="6" t="s">
        <v>16</v>
      </c>
      <c r="H593" s="6" t="s">
        <v>46</v>
      </c>
      <c r="I593" s="6">
        <v>1</v>
      </c>
      <c r="J593" s="8">
        <v>21000</v>
      </c>
      <c r="K593" s="8">
        <f t="shared" si="6"/>
        <v>240.49473202015577</v>
      </c>
      <c r="L593" s="97">
        <v>44449</v>
      </c>
      <c r="M593" s="6" t="s">
        <v>251</v>
      </c>
      <c r="N593" s="97">
        <v>44449</v>
      </c>
      <c r="O593" s="22" t="s">
        <v>5629</v>
      </c>
      <c r="Q593" s="6" t="s">
        <v>280</v>
      </c>
      <c r="R593" s="6" t="str">
        <f t="shared" ca="1" si="7"/>
        <v>NonCategory</v>
      </c>
    </row>
    <row r="594" spans="1:18">
      <c r="A594" s="162">
        <v>44449</v>
      </c>
      <c r="B594" s="164" t="s">
        <v>1546</v>
      </c>
      <c r="C594" s="168" t="s">
        <v>1547</v>
      </c>
      <c r="D594" s="6" t="s">
        <v>274</v>
      </c>
      <c r="E594" s="6" t="s">
        <v>97</v>
      </c>
      <c r="F594" s="79">
        <v>44440</v>
      </c>
      <c r="G594" s="6" t="s">
        <v>16</v>
      </c>
      <c r="H594" s="6" t="s">
        <v>46</v>
      </c>
      <c r="I594" s="6">
        <v>1</v>
      </c>
      <c r="J594" s="8">
        <v>20000</v>
      </c>
      <c r="K594" s="8">
        <f t="shared" si="6"/>
        <v>229.04260192395787</v>
      </c>
      <c r="L594" s="97">
        <v>44449</v>
      </c>
      <c r="M594" s="6" t="s">
        <v>251</v>
      </c>
      <c r="N594" s="97">
        <v>44449</v>
      </c>
      <c r="O594" s="22" t="s">
        <v>5630</v>
      </c>
      <c r="Q594" s="6" t="s">
        <v>280</v>
      </c>
      <c r="R594" s="6" t="str">
        <f t="shared" ca="1" si="7"/>
        <v>NonCategory</v>
      </c>
    </row>
    <row r="595" spans="1:18" ht="14.4">
      <c r="A595" s="162">
        <v>44452</v>
      </c>
      <c r="B595" s="165" t="s">
        <v>1629</v>
      </c>
      <c r="C595" s="168" t="s">
        <v>1630</v>
      </c>
      <c r="D595" s="6" t="s">
        <v>278</v>
      </c>
      <c r="E595" s="6" t="s">
        <v>97</v>
      </c>
      <c r="F595" s="79">
        <v>44440</v>
      </c>
      <c r="G595" s="6" t="s">
        <v>16</v>
      </c>
      <c r="H595" s="6" t="s">
        <v>170</v>
      </c>
      <c r="I595" s="6">
        <v>1</v>
      </c>
      <c r="J595" s="8">
        <v>18000</v>
      </c>
      <c r="K595" s="8">
        <f t="shared" si="6"/>
        <v>206.13834173156206</v>
      </c>
      <c r="L595" s="97">
        <v>44452</v>
      </c>
      <c r="M595" s="6" t="s">
        <v>252</v>
      </c>
      <c r="N595" s="97">
        <v>44452</v>
      </c>
      <c r="O595" s="22" t="s">
        <v>5631</v>
      </c>
      <c r="P595" s="44" t="s">
        <v>1589</v>
      </c>
      <c r="Q595" s="6" t="s">
        <v>356</v>
      </c>
      <c r="R595" s="6" t="str">
        <f t="shared" ca="1" si="7"/>
        <v>NonCategory</v>
      </c>
    </row>
    <row r="596" spans="1:18" ht="14.4">
      <c r="A596" s="162">
        <v>44453</v>
      </c>
      <c r="B596" s="165" t="s">
        <v>1631</v>
      </c>
      <c r="C596" s="168" t="s">
        <v>1632</v>
      </c>
      <c r="D596" s="6" t="s">
        <v>278</v>
      </c>
      <c r="E596" s="6" t="s">
        <v>97</v>
      </c>
      <c r="F596" s="79">
        <v>44440</v>
      </c>
      <c r="G596" s="6" t="s">
        <v>16</v>
      </c>
      <c r="H596" s="6" t="s">
        <v>170</v>
      </c>
      <c r="I596" s="6">
        <v>1</v>
      </c>
      <c r="J596" s="8">
        <v>18000</v>
      </c>
      <c r="K596" s="8">
        <f t="shared" si="6"/>
        <v>206.13834173156206</v>
      </c>
      <c r="L596" s="97">
        <v>44453</v>
      </c>
      <c r="M596" s="6" t="s">
        <v>252</v>
      </c>
      <c r="N596" s="97">
        <v>44453</v>
      </c>
      <c r="O596" s="22" t="s">
        <v>5632</v>
      </c>
      <c r="P596" s="44" t="s">
        <v>1589</v>
      </c>
      <c r="Q596" s="6" t="s">
        <v>356</v>
      </c>
      <c r="R596" s="6" t="str">
        <f t="shared" ca="1" si="7"/>
        <v>NonCategory</v>
      </c>
    </row>
    <row r="597" spans="1:18">
      <c r="A597" s="162">
        <v>44453</v>
      </c>
      <c r="B597" s="164" t="s">
        <v>1633</v>
      </c>
      <c r="C597" s="168" t="s">
        <v>1634</v>
      </c>
      <c r="D597" s="6" t="s">
        <v>319</v>
      </c>
      <c r="E597" s="6" t="s">
        <v>6</v>
      </c>
      <c r="F597" s="79">
        <v>44440</v>
      </c>
      <c r="G597" s="6" t="s">
        <v>16</v>
      </c>
      <c r="H597" s="6" t="s">
        <v>48</v>
      </c>
      <c r="I597" s="6">
        <v>1</v>
      </c>
      <c r="J597" s="8">
        <v>45000</v>
      </c>
      <c r="K597" s="8">
        <f t="shared" si="6"/>
        <v>515.34585432890515</v>
      </c>
      <c r="L597" s="97">
        <v>44454</v>
      </c>
      <c r="M597" s="6" t="s">
        <v>252</v>
      </c>
      <c r="N597" s="97">
        <v>44454</v>
      </c>
      <c r="O597" s="22" t="s">
        <v>5633</v>
      </c>
      <c r="Q597" s="6" t="s">
        <v>280</v>
      </c>
      <c r="R597" s="6" t="str">
        <f t="shared" ca="1" si="7"/>
        <v>NonCategory</v>
      </c>
    </row>
    <row r="598" spans="1:18" ht="14.4">
      <c r="A598" s="162">
        <v>44454</v>
      </c>
      <c r="B598" s="164" t="s">
        <v>1635</v>
      </c>
      <c r="C598" s="168" t="s">
        <v>1636</v>
      </c>
      <c r="D598" s="6" t="s">
        <v>278</v>
      </c>
      <c r="E598" s="6" t="s">
        <v>6</v>
      </c>
      <c r="F598" s="79">
        <v>44440</v>
      </c>
      <c r="G598" s="6" t="s">
        <v>16</v>
      </c>
      <c r="H598" s="6" t="s">
        <v>48</v>
      </c>
      <c r="I598" s="6">
        <v>1</v>
      </c>
      <c r="J598" s="8">
        <v>45000</v>
      </c>
      <c r="K598" s="8">
        <f t="shared" si="6"/>
        <v>515.34585432890515</v>
      </c>
      <c r="L598" s="97">
        <v>44454</v>
      </c>
      <c r="M598" s="6" t="s">
        <v>252</v>
      </c>
      <c r="N598" s="97">
        <v>44454</v>
      </c>
      <c r="O598" s="22" t="s">
        <v>5634</v>
      </c>
      <c r="P598" s="44" t="s">
        <v>1589</v>
      </c>
      <c r="Q598" s="6" t="s">
        <v>280</v>
      </c>
      <c r="R598" s="6" t="str">
        <f t="shared" ca="1" si="7"/>
        <v>NonCategory</v>
      </c>
    </row>
    <row r="599" spans="1:18">
      <c r="A599" s="162">
        <v>44454</v>
      </c>
      <c r="B599" s="164" t="s">
        <v>1637</v>
      </c>
      <c r="C599" s="168" t="s">
        <v>1638</v>
      </c>
      <c r="D599" s="6" t="s">
        <v>303</v>
      </c>
      <c r="E599" s="6" t="s">
        <v>96</v>
      </c>
      <c r="F599" s="79">
        <v>44440</v>
      </c>
      <c r="G599" s="6" t="s">
        <v>16</v>
      </c>
      <c r="H599" s="6" t="s">
        <v>46</v>
      </c>
      <c r="I599" s="6">
        <v>1</v>
      </c>
      <c r="J599" s="8">
        <v>20000</v>
      </c>
      <c r="K599" s="8">
        <f t="shared" si="6"/>
        <v>229.04260192395787</v>
      </c>
      <c r="L599" s="97">
        <v>44454</v>
      </c>
      <c r="M599" s="6" t="s">
        <v>252</v>
      </c>
      <c r="N599" s="97">
        <v>44454</v>
      </c>
      <c r="O599" s="22" t="s">
        <v>5635</v>
      </c>
      <c r="Q599" s="6" t="s">
        <v>280</v>
      </c>
      <c r="R599" s="6" t="str">
        <f t="shared" ca="1" si="7"/>
        <v>NonCategory</v>
      </c>
    </row>
    <row r="600" spans="1:18">
      <c r="A600" s="162">
        <v>44455</v>
      </c>
      <c r="B600" s="164" t="s">
        <v>1639</v>
      </c>
      <c r="C600" s="168" t="s">
        <v>1640</v>
      </c>
      <c r="D600" s="6" t="s">
        <v>291</v>
      </c>
      <c r="E600" s="6" t="s">
        <v>96</v>
      </c>
      <c r="F600" s="79">
        <v>44440</v>
      </c>
      <c r="G600" s="6" t="s">
        <v>16</v>
      </c>
      <c r="H600" s="6" t="s">
        <v>52</v>
      </c>
      <c r="I600" s="6">
        <v>1</v>
      </c>
      <c r="J600" s="8">
        <v>20000</v>
      </c>
      <c r="K600" s="8">
        <f t="shared" si="6"/>
        <v>229.04260192395787</v>
      </c>
      <c r="L600" s="97">
        <v>44455</v>
      </c>
      <c r="M600" s="6" t="s">
        <v>252</v>
      </c>
      <c r="N600" s="97">
        <v>44455</v>
      </c>
      <c r="O600" s="22" t="s">
        <v>5636</v>
      </c>
      <c r="Q600" s="6" t="s">
        <v>280</v>
      </c>
      <c r="R600" s="6" t="str">
        <f t="shared" ca="1" si="7"/>
        <v>NonCategory</v>
      </c>
    </row>
    <row r="601" spans="1:18" ht="14.4">
      <c r="A601" s="162">
        <v>44455</v>
      </c>
      <c r="B601" s="165" t="s">
        <v>1641</v>
      </c>
      <c r="C601" s="168" t="s">
        <v>1642</v>
      </c>
      <c r="D601" s="6" t="s">
        <v>278</v>
      </c>
      <c r="E601" s="6" t="s">
        <v>97</v>
      </c>
      <c r="F601" s="79">
        <v>44440</v>
      </c>
      <c r="G601" s="6" t="s">
        <v>16</v>
      </c>
      <c r="H601" s="6" t="s">
        <v>170</v>
      </c>
      <c r="I601" s="6">
        <v>1</v>
      </c>
      <c r="J601" s="8">
        <v>18000</v>
      </c>
      <c r="K601" s="8">
        <f t="shared" si="6"/>
        <v>206.13834173156206</v>
      </c>
      <c r="L601" s="97">
        <v>44455</v>
      </c>
      <c r="M601" s="6" t="s">
        <v>252</v>
      </c>
      <c r="N601" s="97">
        <v>44455</v>
      </c>
      <c r="O601" s="22" t="s">
        <v>5637</v>
      </c>
      <c r="P601" s="44" t="s">
        <v>1589</v>
      </c>
      <c r="Q601" s="6" t="s">
        <v>356</v>
      </c>
      <c r="R601" s="6" t="str">
        <f t="shared" ca="1" si="7"/>
        <v>NonCategory</v>
      </c>
    </row>
    <row r="602" spans="1:18" ht="14.4">
      <c r="A602" s="162">
        <v>44455</v>
      </c>
      <c r="B602" s="165" t="s">
        <v>1643</v>
      </c>
      <c r="C602" s="168" t="s">
        <v>1644</v>
      </c>
      <c r="D602" s="6" t="s">
        <v>278</v>
      </c>
      <c r="E602" s="6" t="s">
        <v>97</v>
      </c>
      <c r="F602" s="79">
        <v>44440</v>
      </c>
      <c r="G602" s="6" t="s">
        <v>16</v>
      </c>
      <c r="H602" s="6" t="s">
        <v>170</v>
      </c>
      <c r="I602" s="6">
        <v>1</v>
      </c>
      <c r="J602" s="8">
        <v>18000</v>
      </c>
      <c r="K602" s="8">
        <f t="shared" si="6"/>
        <v>206.13834173156206</v>
      </c>
      <c r="L602" s="97">
        <v>44455</v>
      </c>
      <c r="M602" s="6" t="s">
        <v>252</v>
      </c>
      <c r="N602" s="97">
        <v>44455</v>
      </c>
      <c r="O602" s="22" t="s">
        <v>5638</v>
      </c>
      <c r="P602" s="44" t="s">
        <v>1589</v>
      </c>
      <c r="Q602" s="6" t="s">
        <v>356</v>
      </c>
      <c r="R602" s="6" t="str">
        <f t="shared" ca="1" si="7"/>
        <v>NonCategory</v>
      </c>
    </row>
    <row r="603" spans="1:18" ht="14.4">
      <c r="A603" s="162">
        <v>44455</v>
      </c>
      <c r="B603" s="165" t="s">
        <v>1645</v>
      </c>
      <c r="C603" s="168" t="s">
        <v>1646</v>
      </c>
      <c r="D603" s="6" t="s">
        <v>278</v>
      </c>
      <c r="E603" s="6" t="s">
        <v>97</v>
      </c>
      <c r="F603" s="79">
        <v>44440</v>
      </c>
      <c r="G603" s="6" t="s">
        <v>16</v>
      </c>
      <c r="H603" s="6" t="s">
        <v>170</v>
      </c>
      <c r="I603" s="6">
        <v>1</v>
      </c>
      <c r="J603" s="8">
        <v>18000</v>
      </c>
      <c r="K603" s="8">
        <f t="shared" si="6"/>
        <v>206.13834173156206</v>
      </c>
      <c r="L603" s="97">
        <v>44455</v>
      </c>
      <c r="M603" s="6" t="s">
        <v>252</v>
      </c>
      <c r="N603" s="97">
        <v>44455</v>
      </c>
      <c r="O603" s="22" t="s">
        <v>5639</v>
      </c>
      <c r="P603" s="44" t="s">
        <v>1589</v>
      </c>
      <c r="Q603" s="6" t="s">
        <v>356</v>
      </c>
      <c r="R603" s="6" t="str">
        <f t="shared" ca="1" si="7"/>
        <v>NonCategory</v>
      </c>
    </row>
    <row r="604" spans="1:18" ht="14.4">
      <c r="A604" s="162">
        <v>44455</v>
      </c>
      <c r="B604" s="165" t="s">
        <v>1647</v>
      </c>
      <c r="C604" s="168" t="s">
        <v>1648</v>
      </c>
      <c r="D604" s="6" t="s">
        <v>278</v>
      </c>
      <c r="E604" s="6" t="s">
        <v>97</v>
      </c>
      <c r="F604" s="79">
        <v>44440</v>
      </c>
      <c r="G604" s="6" t="s">
        <v>16</v>
      </c>
      <c r="H604" s="6" t="s">
        <v>170</v>
      </c>
      <c r="I604" s="6">
        <v>1</v>
      </c>
      <c r="J604" s="8">
        <v>18000</v>
      </c>
      <c r="K604" s="8">
        <f t="shared" si="6"/>
        <v>206.13834173156206</v>
      </c>
      <c r="L604" s="97">
        <v>44455</v>
      </c>
      <c r="M604" s="6" t="s">
        <v>252</v>
      </c>
      <c r="N604" s="97">
        <v>44455</v>
      </c>
      <c r="O604" s="22" t="s">
        <v>5640</v>
      </c>
      <c r="P604" s="44" t="s">
        <v>1589</v>
      </c>
      <c r="Q604" s="6" t="s">
        <v>356</v>
      </c>
      <c r="R604" s="6" t="str">
        <f t="shared" ca="1" si="7"/>
        <v>NonCategory</v>
      </c>
    </row>
    <row r="605" spans="1:18">
      <c r="A605" s="162">
        <v>44456</v>
      </c>
      <c r="B605" s="164" t="s">
        <v>1649</v>
      </c>
      <c r="C605" s="168" t="s">
        <v>1650</v>
      </c>
      <c r="D605" s="6" t="s">
        <v>287</v>
      </c>
      <c r="E605" s="6" t="s">
        <v>96</v>
      </c>
      <c r="F605" s="79">
        <v>44440</v>
      </c>
      <c r="G605" s="6" t="s">
        <v>16</v>
      </c>
      <c r="H605" s="6" t="s">
        <v>52</v>
      </c>
      <c r="I605" s="6">
        <v>1</v>
      </c>
      <c r="J605" s="8">
        <v>18500</v>
      </c>
      <c r="K605" s="8">
        <f t="shared" si="6"/>
        <v>211.86440677966101</v>
      </c>
      <c r="L605" s="97">
        <v>44456</v>
      </c>
      <c r="M605" s="6" t="s">
        <v>252</v>
      </c>
      <c r="N605" s="97">
        <v>44456</v>
      </c>
      <c r="O605" s="22" t="s">
        <v>5641</v>
      </c>
      <c r="Q605" s="6" t="s">
        <v>280</v>
      </c>
      <c r="R605" s="6" t="str">
        <f t="shared" ca="1" si="7"/>
        <v>NonCategory</v>
      </c>
    </row>
    <row r="606" spans="1:18">
      <c r="A606" s="162">
        <v>44456</v>
      </c>
      <c r="B606" s="164" t="s">
        <v>1309</v>
      </c>
      <c r="C606" s="168" t="s">
        <v>1310</v>
      </c>
      <c r="D606" s="6" t="s">
        <v>274</v>
      </c>
      <c r="E606" s="6" t="s">
        <v>538</v>
      </c>
      <c r="F606" s="79">
        <v>44440</v>
      </c>
      <c r="G606" s="6" t="s">
        <v>16</v>
      </c>
      <c r="H606" s="97">
        <v>44464</v>
      </c>
      <c r="I606" s="6">
        <v>1</v>
      </c>
      <c r="J606" s="8">
        <v>11000</v>
      </c>
      <c r="K606" s="8">
        <f t="shared" si="6"/>
        <v>125.97343105817684</v>
      </c>
      <c r="L606" s="97">
        <v>44456</v>
      </c>
      <c r="M606" s="6" t="s">
        <v>252</v>
      </c>
      <c r="N606" s="97">
        <v>44456</v>
      </c>
      <c r="O606" s="22" t="s">
        <v>5642</v>
      </c>
      <c r="Q606" s="6" t="s">
        <v>356</v>
      </c>
      <c r="R606" s="6" t="str">
        <f t="shared" ca="1" si="7"/>
        <v>NonCategory</v>
      </c>
    </row>
    <row r="607" spans="1:18">
      <c r="A607" s="162">
        <v>44456</v>
      </c>
      <c r="B607" s="164" t="s">
        <v>1309</v>
      </c>
      <c r="C607" s="168" t="s">
        <v>1310</v>
      </c>
      <c r="D607" s="6" t="s">
        <v>274</v>
      </c>
      <c r="E607" s="6" t="s">
        <v>1651</v>
      </c>
      <c r="F607" s="79">
        <v>44440</v>
      </c>
      <c r="G607" s="6" t="s">
        <v>16</v>
      </c>
      <c r="H607" s="97">
        <v>44464</v>
      </c>
      <c r="I607" s="6">
        <v>1</v>
      </c>
      <c r="J607" s="8">
        <v>37000</v>
      </c>
      <c r="K607" s="8">
        <f t="shared" si="6"/>
        <v>423.72881355932202</v>
      </c>
      <c r="L607" s="97">
        <v>44456</v>
      </c>
      <c r="M607" s="6" t="s">
        <v>252</v>
      </c>
      <c r="N607" s="97">
        <v>44456</v>
      </c>
      <c r="O607" s="22" t="s">
        <v>5643</v>
      </c>
      <c r="Q607" s="6" t="s">
        <v>356</v>
      </c>
      <c r="R607" s="6" t="str">
        <f t="shared" ca="1" si="7"/>
        <v>NonCategory</v>
      </c>
    </row>
    <row r="608" spans="1:18" ht="14.4">
      <c r="A608" s="162">
        <v>44456</v>
      </c>
      <c r="B608" s="165" t="s">
        <v>1652</v>
      </c>
      <c r="C608" s="168" t="s">
        <v>1653</v>
      </c>
      <c r="D608" s="6" t="s">
        <v>278</v>
      </c>
      <c r="E608" s="6" t="s">
        <v>97</v>
      </c>
      <c r="F608" s="79">
        <v>44440</v>
      </c>
      <c r="G608" s="6" t="s">
        <v>16</v>
      </c>
      <c r="H608" s="6" t="s">
        <v>170</v>
      </c>
      <c r="I608" s="6">
        <v>1</v>
      </c>
      <c r="J608" s="8">
        <v>18000</v>
      </c>
      <c r="K608" s="8">
        <f t="shared" si="6"/>
        <v>206.13834173156206</v>
      </c>
      <c r="L608" s="97">
        <v>44456</v>
      </c>
      <c r="M608" s="6" t="s">
        <v>252</v>
      </c>
      <c r="N608" s="97">
        <v>44456</v>
      </c>
      <c r="O608" s="22" t="s">
        <v>5644</v>
      </c>
      <c r="P608" s="44" t="s">
        <v>1589</v>
      </c>
      <c r="Q608" s="6" t="s">
        <v>356</v>
      </c>
      <c r="R608" s="6" t="str">
        <f t="shared" ca="1" si="7"/>
        <v>NonCategory</v>
      </c>
    </row>
    <row r="609" spans="1:18" ht="14.4">
      <c r="A609" s="162">
        <v>44456</v>
      </c>
      <c r="B609" s="165" t="s">
        <v>1654</v>
      </c>
      <c r="C609" s="168" t="s">
        <v>1655</v>
      </c>
      <c r="D609" s="6" t="s">
        <v>278</v>
      </c>
      <c r="E609" s="6" t="s">
        <v>97</v>
      </c>
      <c r="F609" s="79">
        <v>44440</v>
      </c>
      <c r="G609" s="6" t="s">
        <v>16</v>
      </c>
      <c r="H609" s="6" t="s">
        <v>170</v>
      </c>
      <c r="I609" s="6">
        <v>1</v>
      </c>
      <c r="J609" s="8">
        <v>18000</v>
      </c>
      <c r="K609" s="8">
        <f t="shared" si="6"/>
        <v>206.13834173156206</v>
      </c>
      <c r="L609" s="97">
        <v>44457</v>
      </c>
      <c r="M609" s="6" t="s">
        <v>252</v>
      </c>
      <c r="N609" s="97">
        <v>44457</v>
      </c>
      <c r="O609" s="22" t="s">
        <v>5645</v>
      </c>
      <c r="P609" s="44" t="s">
        <v>1589</v>
      </c>
      <c r="Q609" s="6" t="s">
        <v>356</v>
      </c>
      <c r="R609" s="6" t="str">
        <f t="shared" ca="1" si="7"/>
        <v>NonCategory</v>
      </c>
    </row>
    <row r="610" spans="1:18">
      <c r="A610" s="162">
        <v>44457</v>
      </c>
      <c r="B610" s="165" t="s">
        <v>1656</v>
      </c>
      <c r="C610" s="168" t="s">
        <v>1657</v>
      </c>
      <c r="D610" s="6" t="s">
        <v>278</v>
      </c>
      <c r="E610" s="6" t="s">
        <v>97</v>
      </c>
      <c r="F610" s="79">
        <v>44440</v>
      </c>
      <c r="G610" s="6" t="s">
        <v>13</v>
      </c>
      <c r="H610" s="6" t="s">
        <v>170</v>
      </c>
      <c r="I610" s="6">
        <v>1</v>
      </c>
      <c r="J610" s="8">
        <v>18000</v>
      </c>
      <c r="K610" s="8">
        <f t="shared" si="6"/>
        <v>206.13834173156206</v>
      </c>
      <c r="L610" s="97">
        <v>44457</v>
      </c>
      <c r="R610" s="6" t="str">
        <f t="shared" ca="1" si="7"/>
        <v>NonCategory</v>
      </c>
    </row>
    <row r="611" spans="1:18" ht="14.4">
      <c r="A611" s="162">
        <v>44457</v>
      </c>
      <c r="B611" s="165" t="s">
        <v>1658</v>
      </c>
      <c r="C611" s="168" t="s">
        <v>1659</v>
      </c>
      <c r="D611" s="6" t="s">
        <v>278</v>
      </c>
      <c r="E611" s="6" t="s">
        <v>97</v>
      </c>
      <c r="F611" s="79">
        <v>44440</v>
      </c>
      <c r="G611" s="6" t="s">
        <v>16</v>
      </c>
      <c r="H611" s="6" t="s">
        <v>170</v>
      </c>
      <c r="I611" s="6">
        <v>1</v>
      </c>
      <c r="J611" s="8">
        <v>18000</v>
      </c>
      <c r="K611" s="8">
        <f t="shared" si="6"/>
        <v>206.13834173156206</v>
      </c>
      <c r="L611" s="97">
        <v>44457</v>
      </c>
      <c r="M611" s="6" t="s">
        <v>252</v>
      </c>
      <c r="N611" s="97">
        <v>44457</v>
      </c>
      <c r="O611" s="22" t="s">
        <v>5646</v>
      </c>
      <c r="P611" s="44" t="s">
        <v>1589</v>
      </c>
      <c r="Q611" s="6" t="s">
        <v>356</v>
      </c>
      <c r="R611" s="6" t="str">
        <f t="shared" ca="1" si="7"/>
        <v>NonCategory</v>
      </c>
    </row>
    <row r="612" spans="1:18">
      <c r="A612" s="162">
        <v>44457</v>
      </c>
      <c r="B612" s="164" t="s">
        <v>1660</v>
      </c>
      <c r="C612" s="168" t="s">
        <v>1661</v>
      </c>
      <c r="D612" s="6" t="s">
        <v>297</v>
      </c>
      <c r="E612" s="6" t="s">
        <v>151</v>
      </c>
      <c r="F612" s="79">
        <v>44440</v>
      </c>
      <c r="G612" s="6" t="s">
        <v>16</v>
      </c>
      <c r="H612" s="6" t="s">
        <v>52</v>
      </c>
      <c r="I612" s="6">
        <v>1</v>
      </c>
      <c r="J612" s="8">
        <v>21000</v>
      </c>
      <c r="K612" s="8">
        <f t="shared" si="6"/>
        <v>240.49473202015577</v>
      </c>
      <c r="L612" s="97">
        <v>44457</v>
      </c>
      <c r="M612" s="6" t="s">
        <v>252</v>
      </c>
      <c r="N612" s="97">
        <v>44457</v>
      </c>
      <c r="O612" s="22" t="s">
        <v>5647</v>
      </c>
      <c r="Q612" s="6" t="s">
        <v>280</v>
      </c>
      <c r="R612" s="6" t="str">
        <f t="shared" ca="1" si="7"/>
        <v>NonCategory</v>
      </c>
    </row>
    <row r="613" spans="1:18" ht="14.4">
      <c r="A613" s="162">
        <v>44457</v>
      </c>
      <c r="B613" s="165" t="s">
        <v>1662</v>
      </c>
      <c r="C613" s="168" t="s">
        <v>1663</v>
      </c>
      <c r="D613" s="6" t="s">
        <v>278</v>
      </c>
      <c r="E613" s="6" t="s">
        <v>97</v>
      </c>
      <c r="F613" s="79">
        <v>44440</v>
      </c>
      <c r="G613" s="6" t="s">
        <v>16</v>
      </c>
      <c r="H613" s="6" t="s">
        <v>63</v>
      </c>
      <c r="I613" s="6">
        <v>1</v>
      </c>
      <c r="J613" s="8">
        <v>18000</v>
      </c>
      <c r="K613" s="8">
        <f t="shared" si="6"/>
        <v>206.13834173156206</v>
      </c>
      <c r="L613" s="97">
        <v>44457</v>
      </c>
      <c r="M613" s="6" t="s">
        <v>252</v>
      </c>
      <c r="N613" s="97">
        <v>44457</v>
      </c>
      <c r="O613" s="22" t="s">
        <v>5648</v>
      </c>
      <c r="P613" s="44" t="s">
        <v>1589</v>
      </c>
      <c r="Q613" s="6" t="s">
        <v>280</v>
      </c>
      <c r="R613" s="6" t="str">
        <f t="shared" ca="1" si="7"/>
        <v>NonCategory</v>
      </c>
    </row>
    <row r="614" spans="1:18" ht="14.4">
      <c r="A614" s="162">
        <v>44457</v>
      </c>
      <c r="B614" s="165" t="s">
        <v>1664</v>
      </c>
      <c r="C614" s="168" t="s">
        <v>1665</v>
      </c>
      <c r="D614" s="6" t="s">
        <v>278</v>
      </c>
      <c r="E614" s="6" t="s">
        <v>97</v>
      </c>
      <c r="F614" s="79">
        <v>44440</v>
      </c>
      <c r="G614" s="6" t="s">
        <v>16</v>
      </c>
      <c r="H614" s="6" t="s">
        <v>170</v>
      </c>
      <c r="I614" s="6">
        <v>1</v>
      </c>
      <c r="J614" s="8">
        <v>18000</v>
      </c>
      <c r="K614" s="8">
        <f t="shared" si="6"/>
        <v>206.13834173156206</v>
      </c>
      <c r="L614" s="97">
        <v>44457</v>
      </c>
      <c r="M614" s="6" t="s">
        <v>252</v>
      </c>
      <c r="N614" s="97">
        <v>44457</v>
      </c>
      <c r="O614" s="22" t="s">
        <v>5649</v>
      </c>
      <c r="P614" s="44" t="s">
        <v>1589</v>
      </c>
      <c r="Q614" s="6" t="s">
        <v>356</v>
      </c>
      <c r="R614" s="6" t="str">
        <f t="shared" ca="1" si="7"/>
        <v>NonCategory</v>
      </c>
    </row>
    <row r="615" spans="1:18" ht="14.4">
      <c r="A615" s="162">
        <v>44457</v>
      </c>
      <c r="B615" s="165" t="s">
        <v>1666</v>
      </c>
      <c r="C615" s="168" t="s">
        <v>1667</v>
      </c>
      <c r="D615" s="6" t="s">
        <v>278</v>
      </c>
      <c r="E615" s="6" t="s">
        <v>97</v>
      </c>
      <c r="F615" s="79">
        <v>44440</v>
      </c>
      <c r="G615" s="6" t="s">
        <v>16</v>
      </c>
      <c r="H615" s="6" t="s">
        <v>170</v>
      </c>
      <c r="I615" s="6">
        <v>1</v>
      </c>
      <c r="J615" s="8">
        <v>18000</v>
      </c>
      <c r="K615" s="8">
        <f t="shared" si="6"/>
        <v>206.13834173156206</v>
      </c>
      <c r="L615" s="97">
        <v>44457</v>
      </c>
      <c r="M615" s="6" t="s">
        <v>252</v>
      </c>
      <c r="N615" s="97">
        <v>44457</v>
      </c>
      <c r="O615" s="22" t="s">
        <v>5650</v>
      </c>
      <c r="P615" s="44" t="s">
        <v>1589</v>
      </c>
      <c r="Q615" s="6" t="s">
        <v>356</v>
      </c>
      <c r="R615" s="6" t="str">
        <f t="shared" ca="1" si="7"/>
        <v>NonCategory</v>
      </c>
    </row>
    <row r="616" spans="1:18" ht="14.4">
      <c r="A616" s="162">
        <v>44457</v>
      </c>
      <c r="B616" s="165" t="s">
        <v>1668</v>
      </c>
      <c r="C616" s="168" t="s">
        <v>1669</v>
      </c>
      <c r="D616" s="6" t="s">
        <v>278</v>
      </c>
      <c r="E616" s="6" t="s">
        <v>97</v>
      </c>
      <c r="F616" s="79">
        <v>44440</v>
      </c>
      <c r="G616" s="6" t="s">
        <v>16</v>
      </c>
      <c r="H616" s="6" t="s">
        <v>170</v>
      </c>
      <c r="I616" s="6">
        <v>1</v>
      </c>
      <c r="J616" s="8">
        <v>18000</v>
      </c>
      <c r="K616" s="8">
        <f t="shared" si="6"/>
        <v>206.13834173156206</v>
      </c>
      <c r="L616" s="97">
        <v>44457</v>
      </c>
      <c r="M616" s="6" t="s">
        <v>252</v>
      </c>
      <c r="N616" s="97">
        <v>44457</v>
      </c>
      <c r="O616" s="22" t="s">
        <v>5651</v>
      </c>
      <c r="P616" s="44" t="s">
        <v>1589</v>
      </c>
      <c r="Q616" s="6" t="s">
        <v>356</v>
      </c>
      <c r="R616" s="6" t="str">
        <f t="shared" ca="1" si="7"/>
        <v>NonCategory</v>
      </c>
    </row>
    <row r="617" spans="1:18" ht="14.4">
      <c r="A617" s="162">
        <v>44457</v>
      </c>
      <c r="B617" s="165" t="s">
        <v>1670</v>
      </c>
      <c r="C617" s="168" t="s">
        <v>1671</v>
      </c>
      <c r="D617" s="6" t="s">
        <v>278</v>
      </c>
      <c r="E617" s="6" t="s">
        <v>97</v>
      </c>
      <c r="F617" s="79">
        <v>44440</v>
      </c>
      <c r="G617" s="6" t="s">
        <v>16</v>
      </c>
      <c r="H617" s="6" t="s">
        <v>170</v>
      </c>
      <c r="I617" s="6">
        <v>1</v>
      </c>
      <c r="J617" s="8">
        <v>18000</v>
      </c>
      <c r="K617" s="8">
        <f t="shared" si="6"/>
        <v>206.13834173156206</v>
      </c>
      <c r="L617" s="97">
        <v>44457</v>
      </c>
      <c r="M617" s="6" t="s">
        <v>252</v>
      </c>
      <c r="N617" s="97">
        <v>44457</v>
      </c>
      <c r="O617" s="18" t="s">
        <v>5652</v>
      </c>
      <c r="P617" s="44" t="s">
        <v>1589</v>
      </c>
      <c r="Q617" s="6" t="s">
        <v>356</v>
      </c>
      <c r="R617" s="6" t="str">
        <f t="shared" ca="1" si="7"/>
        <v>NonCategory</v>
      </c>
    </row>
    <row r="618" spans="1:18">
      <c r="A618" s="162">
        <v>44458</v>
      </c>
      <c r="B618" s="165" t="s">
        <v>1672</v>
      </c>
      <c r="C618" s="168" t="s">
        <v>1673</v>
      </c>
      <c r="D618" s="2" t="s">
        <v>303</v>
      </c>
      <c r="E618" s="6" t="s">
        <v>25</v>
      </c>
      <c r="F618" s="79">
        <v>44440</v>
      </c>
      <c r="G618" s="6" t="s">
        <v>16</v>
      </c>
      <c r="H618" s="6" t="s">
        <v>48</v>
      </c>
      <c r="I618" s="6">
        <v>1</v>
      </c>
      <c r="J618" s="8">
        <v>45000</v>
      </c>
      <c r="K618" s="8">
        <f t="shared" si="6"/>
        <v>515.34585432890515</v>
      </c>
      <c r="L618" s="97">
        <v>44458</v>
      </c>
      <c r="M618" s="6" t="s">
        <v>252</v>
      </c>
      <c r="N618" s="97">
        <v>44458</v>
      </c>
      <c r="O618" s="22" t="s">
        <v>5653</v>
      </c>
      <c r="Q618" s="6" t="s">
        <v>356</v>
      </c>
      <c r="R618" s="6" t="str">
        <f t="shared" ca="1" si="7"/>
        <v>NonCategory</v>
      </c>
    </row>
    <row r="619" spans="1:18" ht="14.4">
      <c r="A619" s="162">
        <v>44458</v>
      </c>
      <c r="B619" s="165" t="s">
        <v>1674</v>
      </c>
      <c r="C619" s="168" t="s">
        <v>1675</v>
      </c>
      <c r="D619" s="6" t="s">
        <v>278</v>
      </c>
      <c r="E619" s="6" t="s">
        <v>97</v>
      </c>
      <c r="F619" s="79">
        <v>44440</v>
      </c>
      <c r="G619" s="6" t="s">
        <v>16</v>
      </c>
      <c r="H619" s="6" t="s">
        <v>170</v>
      </c>
      <c r="I619" s="6">
        <v>1</v>
      </c>
      <c r="J619" s="8">
        <v>18000</v>
      </c>
      <c r="K619" s="8">
        <f t="shared" si="6"/>
        <v>206.13834173156206</v>
      </c>
      <c r="L619" s="97">
        <v>44458</v>
      </c>
      <c r="M619" s="6" t="s">
        <v>252</v>
      </c>
      <c r="N619" s="97">
        <v>44458</v>
      </c>
      <c r="O619" s="22" t="s">
        <v>5654</v>
      </c>
      <c r="P619" s="44" t="s">
        <v>1589</v>
      </c>
      <c r="Q619" s="6" t="s">
        <v>356</v>
      </c>
      <c r="R619" s="6" t="str">
        <f t="shared" ca="1" si="7"/>
        <v>NonCategory</v>
      </c>
    </row>
    <row r="620" spans="1:18" ht="14.4">
      <c r="A620" s="162">
        <v>44458</v>
      </c>
      <c r="B620" s="165" t="s">
        <v>1676</v>
      </c>
      <c r="C620" s="168" t="s">
        <v>1677</v>
      </c>
      <c r="D620" s="6" t="s">
        <v>278</v>
      </c>
      <c r="E620" s="6" t="s">
        <v>97</v>
      </c>
      <c r="F620" s="79">
        <v>44440</v>
      </c>
      <c r="G620" s="6" t="s">
        <v>16</v>
      </c>
      <c r="H620" s="6" t="s">
        <v>170</v>
      </c>
      <c r="I620" s="6">
        <v>1</v>
      </c>
      <c r="J620" s="8">
        <v>18000</v>
      </c>
      <c r="K620" s="8">
        <f t="shared" si="6"/>
        <v>206.13834173156206</v>
      </c>
      <c r="L620" s="97">
        <v>44458</v>
      </c>
      <c r="M620" s="6" t="s">
        <v>252</v>
      </c>
      <c r="N620" s="97">
        <v>44458</v>
      </c>
      <c r="O620" s="22" t="s">
        <v>5655</v>
      </c>
      <c r="P620" s="44" t="s">
        <v>1589</v>
      </c>
      <c r="Q620" s="6" t="s">
        <v>356</v>
      </c>
      <c r="R620" s="6" t="str">
        <f t="shared" ca="1" si="7"/>
        <v>NonCategory</v>
      </c>
    </row>
    <row r="621" spans="1:18" ht="14.4">
      <c r="A621" s="162">
        <v>44460</v>
      </c>
      <c r="B621" s="164" t="s">
        <v>1678</v>
      </c>
      <c r="C621" s="168" t="s">
        <v>1679</v>
      </c>
      <c r="D621" s="6" t="s">
        <v>278</v>
      </c>
      <c r="E621" s="6" t="s">
        <v>96</v>
      </c>
      <c r="F621" s="79">
        <v>44440</v>
      </c>
      <c r="G621" s="6" t="s">
        <v>16</v>
      </c>
      <c r="H621" s="6" t="s">
        <v>48</v>
      </c>
      <c r="I621" s="6">
        <v>1</v>
      </c>
      <c r="J621" s="8">
        <v>19500</v>
      </c>
      <c r="K621" s="8">
        <f t="shared" si="6"/>
        <v>223.3165368758589</v>
      </c>
      <c r="L621" s="97">
        <v>44460</v>
      </c>
      <c r="M621" s="6" t="s">
        <v>253</v>
      </c>
      <c r="N621" s="97">
        <v>44460</v>
      </c>
      <c r="O621" s="22" t="s">
        <v>5656</v>
      </c>
      <c r="P621" s="44" t="s">
        <v>1650</v>
      </c>
      <c r="Q621" s="6" t="s">
        <v>356</v>
      </c>
      <c r="R621" s="6" t="str">
        <f t="shared" ca="1" si="7"/>
        <v>NonCategory</v>
      </c>
    </row>
    <row r="622" spans="1:18">
      <c r="A622" s="162">
        <v>44460</v>
      </c>
      <c r="B622" s="164" t="s">
        <v>1680</v>
      </c>
      <c r="C622" s="168" t="s">
        <v>1681</v>
      </c>
      <c r="D622" s="6" t="s">
        <v>274</v>
      </c>
      <c r="E622" s="6" t="s">
        <v>97</v>
      </c>
      <c r="F622" s="79">
        <v>44440</v>
      </c>
      <c r="G622" s="6" t="s">
        <v>16</v>
      </c>
      <c r="H622" s="6" t="s">
        <v>52</v>
      </c>
      <c r="I622" s="6">
        <v>1</v>
      </c>
      <c r="J622" s="8">
        <v>19000</v>
      </c>
      <c r="K622" s="8">
        <f t="shared" si="6"/>
        <v>217.59047182775998</v>
      </c>
      <c r="L622" s="97">
        <v>44460</v>
      </c>
      <c r="M622" s="6" t="s">
        <v>253</v>
      </c>
      <c r="N622" s="97">
        <v>44461</v>
      </c>
      <c r="O622" s="22" t="s">
        <v>5657</v>
      </c>
      <c r="Q622" s="6" t="s">
        <v>280</v>
      </c>
      <c r="R622" s="6" t="str">
        <f t="shared" ca="1" si="7"/>
        <v>NonCategory</v>
      </c>
    </row>
    <row r="623" spans="1:18">
      <c r="A623" s="162">
        <v>44461</v>
      </c>
      <c r="B623" s="164" t="s">
        <v>1682</v>
      </c>
      <c r="C623" s="168" t="s">
        <v>1683</v>
      </c>
      <c r="D623" s="6" t="s">
        <v>306</v>
      </c>
      <c r="E623" s="6" t="s">
        <v>96</v>
      </c>
      <c r="F623" s="79">
        <v>44440</v>
      </c>
      <c r="G623" s="6" t="s">
        <v>16</v>
      </c>
      <c r="H623" s="6" t="s">
        <v>48</v>
      </c>
      <c r="I623" s="6">
        <v>1</v>
      </c>
      <c r="J623" s="8">
        <v>20000</v>
      </c>
      <c r="K623" s="8">
        <f t="shared" si="6"/>
        <v>229.04260192395787</v>
      </c>
      <c r="L623" s="97">
        <v>44461</v>
      </c>
      <c r="M623" s="6" t="s">
        <v>253</v>
      </c>
      <c r="N623" s="97">
        <v>44461</v>
      </c>
      <c r="O623" s="22" t="s">
        <v>5658</v>
      </c>
      <c r="Q623" s="6" t="s">
        <v>280</v>
      </c>
      <c r="R623" s="6" t="str">
        <f t="shared" ca="1" si="7"/>
        <v>NonCategory</v>
      </c>
    </row>
    <row r="624" spans="1:18" ht="14.4">
      <c r="A624" s="162">
        <v>44462</v>
      </c>
      <c r="B624" s="165" t="s">
        <v>1656</v>
      </c>
      <c r="C624" s="168" t="s">
        <v>1657</v>
      </c>
      <c r="D624" s="6" t="s">
        <v>278</v>
      </c>
      <c r="E624" s="6" t="s">
        <v>97</v>
      </c>
      <c r="F624" s="79">
        <v>44440</v>
      </c>
      <c r="G624" s="6" t="s">
        <v>16</v>
      </c>
      <c r="H624" s="6" t="s">
        <v>170</v>
      </c>
      <c r="I624" s="6">
        <v>1</v>
      </c>
      <c r="J624" s="8">
        <v>18000</v>
      </c>
      <c r="K624" s="8">
        <f t="shared" si="6"/>
        <v>206.13834173156206</v>
      </c>
      <c r="L624" s="97">
        <v>44462</v>
      </c>
      <c r="M624" s="6" t="s">
        <v>253</v>
      </c>
      <c r="N624" s="97">
        <v>44462</v>
      </c>
      <c r="O624" s="22" t="s">
        <v>5659</v>
      </c>
      <c r="P624" s="44" t="s">
        <v>1589</v>
      </c>
      <c r="Q624" s="6" t="s">
        <v>356</v>
      </c>
      <c r="R624" s="6" t="str">
        <f t="shared" ca="1" si="7"/>
        <v>NonCategory</v>
      </c>
    </row>
    <row r="625" spans="1:18">
      <c r="A625" s="162">
        <v>44463</v>
      </c>
      <c r="B625" s="164" t="s">
        <v>1684</v>
      </c>
      <c r="C625" s="168" t="s">
        <v>1685</v>
      </c>
      <c r="D625" s="6" t="s">
        <v>343</v>
      </c>
      <c r="E625" s="6" t="s">
        <v>97</v>
      </c>
      <c r="F625" s="79">
        <v>44440</v>
      </c>
      <c r="G625" s="6" t="s">
        <v>16</v>
      </c>
      <c r="H625" s="6" t="s">
        <v>52</v>
      </c>
      <c r="I625" s="6">
        <v>1</v>
      </c>
      <c r="J625" s="8">
        <v>20000</v>
      </c>
      <c r="K625" s="8">
        <f t="shared" si="6"/>
        <v>229.04260192395787</v>
      </c>
      <c r="L625" s="97">
        <v>44463</v>
      </c>
      <c r="M625" s="6" t="s">
        <v>253</v>
      </c>
      <c r="N625" s="97">
        <v>44463</v>
      </c>
      <c r="O625" s="22" t="s">
        <v>5660</v>
      </c>
      <c r="Q625" s="6" t="s">
        <v>356</v>
      </c>
      <c r="R625" s="6" t="str">
        <f t="shared" ca="1" si="7"/>
        <v>NonCategory</v>
      </c>
    </row>
    <row r="626" spans="1:18">
      <c r="A626" s="162">
        <v>44463</v>
      </c>
      <c r="B626" s="164" t="s">
        <v>1686</v>
      </c>
      <c r="C626" s="168" t="s">
        <v>1687</v>
      </c>
      <c r="D626" s="6" t="s">
        <v>319</v>
      </c>
      <c r="E626" s="6" t="s">
        <v>25</v>
      </c>
      <c r="F626" s="79">
        <v>44440</v>
      </c>
      <c r="G626" s="6" t="s">
        <v>16</v>
      </c>
      <c r="H626" s="6" t="s">
        <v>63</v>
      </c>
      <c r="I626" s="6">
        <v>1</v>
      </c>
      <c r="J626" s="8">
        <v>41000</v>
      </c>
      <c r="K626" s="8">
        <f t="shared" si="6"/>
        <v>469.53733394411364</v>
      </c>
      <c r="L626" s="97">
        <v>44463</v>
      </c>
      <c r="M626" s="6" t="s">
        <v>253</v>
      </c>
      <c r="N626" s="97">
        <v>44463</v>
      </c>
      <c r="O626" s="22" t="s">
        <v>5661</v>
      </c>
      <c r="Q626" s="6" t="s">
        <v>280</v>
      </c>
      <c r="R626" s="6" t="str">
        <f t="shared" ca="1" si="7"/>
        <v>NonCategory</v>
      </c>
    </row>
    <row r="627" spans="1:18">
      <c r="A627" s="162">
        <v>44463</v>
      </c>
      <c r="B627" s="164" t="s">
        <v>1688</v>
      </c>
      <c r="C627" s="168" t="s">
        <v>1689</v>
      </c>
      <c r="D627" s="6" t="s">
        <v>278</v>
      </c>
      <c r="E627" s="6" t="s">
        <v>25</v>
      </c>
      <c r="F627" s="79">
        <v>44440</v>
      </c>
      <c r="G627" s="6" t="s">
        <v>16</v>
      </c>
      <c r="H627" s="6" t="s">
        <v>63</v>
      </c>
      <c r="I627" s="6">
        <v>1</v>
      </c>
      <c r="J627" s="8">
        <v>41000</v>
      </c>
      <c r="K627" s="8">
        <f t="shared" si="6"/>
        <v>469.53733394411364</v>
      </c>
      <c r="L627" s="97">
        <v>44463</v>
      </c>
      <c r="M627" s="6" t="s">
        <v>253</v>
      </c>
      <c r="N627" s="97">
        <v>44463</v>
      </c>
      <c r="O627" s="22" t="s">
        <v>5662</v>
      </c>
      <c r="P627" s="6" t="s">
        <v>1690</v>
      </c>
      <c r="Q627" s="6" t="s">
        <v>280</v>
      </c>
      <c r="R627" s="6" t="str">
        <f t="shared" ca="1" si="7"/>
        <v>NonCategory</v>
      </c>
    </row>
    <row r="628" spans="1:18">
      <c r="A628" s="162">
        <v>44463</v>
      </c>
      <c r="B628" s="164" t="s">
        <v>1691</v>
      </c>
      <c r="C628" s="168" t="s">
        <v>1692</v>
      </c>
      <c r="D628" s="6" t="s">
        <v>278</v>
      </c>
      <c r="E628" s="6" t="s">
        <v>25</v>
      </c>
      <c r="F628" s="79">
        <v>44440</v>
      </c>
      <c r="G628" s="6" t="s">
        <v>16</v>
      </c>
      <c r="H628" s="6" t="s">
        <v>63</v>
      </c>
      <c r="I628" s="6">
        <v>1</v>
      </c>
      <c r="J628" s="8">
        <v>41000</v>
      </c>
      <c r="K628" s="8">
        <f t="shared" si="6"/>
        <v>469.53733394411364</v>
      </c>
      <c r="L628" s="97">
        <v>44463</v>
      </c>
      <c r="M628" s="6" t="s">
        <v>253</v>
      </c>
      <c r="N628" s="97">
        <v>44463</v>
      </c>
      <c r="O628" s="22" t="s">
        <v>5663</v>
      </c>
      <c r="P628" s="6" t="s">
        <v>1690</v>
      </c>
      <c r="Q628" s="6" t="s">
        <v>280</v>
      </c>
      <c r="R628" s="6" t="str">
        <f t="shared" ca="1" si="7"/>
        <v>NonCategory</v>
      </c>
    </row>
    <row r="629" spans="1:18">
      <c r="A629" s="162">
        <v>44463</v>
      </c>
      <c r="B629" s="164" t="s">
        <v>1693</v>
      </c>
      <c r="C629" s="168" t="s">
        <v>1694</v>
      </c>
      <c r="D629" s="6" t="s">
        <v>303</v>
      </c>
      <c r="E629" s="6" t="s">
        <v>97</v>
      </c>
      <c r="F629" s="79">
        <v>44440</v>
      </c>
      <c r="G629" s="6" t="s">
        <v>16</v>
      </c>
      <c r="H629" s="6" t="s">
        <v>1695</v>
      </c>
      <c r="I629" s="6">
        <v>1</v>
      </c>
      <c r="J629" s="8">
        <v>20000</v>
      </c>
      <c r="K629" s="8">
        <f t="shared" si="6"/>
        <v>229.04260192395787</v>
      </c>
      <c r="L629" s="97">
        <v>44463</v>
      </c>
      <c r="M629" s="6" t="s">
        <v>253</v>
      </c>
      <c r="N629" s="97">
        <v>44464</v>
      </c>
      <c r="O629" s="22" t="s">
        <v>5664</v>
      </c>
      <c r="Q629" s="6" t="s">
        <v>356</v>
      </c>
      <c r="R629" s="6" t="str">
        <f t="shared" ca="1" si="7"/>
        <v>NonCategory</v>
      </c>
    </row>
    <row r="630" spans="1:18" ht="14.4">
      <c r="A630" s="162">
        <v>44466</v>
      </c>
      <c r="B630" s="164" t="s">
        <v>1696</v>
      </c>
      <c r="C630" s="168" t="s">
        <v>1697</v>
      </c>
      <c r="D630" s="6" t="s">
        <v>278</v>
      </c>
      <c r="E630" s="6" t="s">
        <v>1698</v>
      </c>
      <c r="F630" s="79">
        <v>44440</v>
      </c>
      <c r="G630" s="6" t="s">
        <v>16</v>
      </c>
      <c r="H630" s="79">
        <v>44470</v>
      </c>
      <c r="I630" s="6">
        <v>1</v>
      </c>
      <c r="J630" s="8">
        <v>38000</v>
      </c>
      <c r="K630" s="8">
        <f t="shared" si="6"/>
        <v>435.18094365551997</v>
      </c>
      <c r="L630" s="97">
        <v>44466</v>
      </c>
      <c r="M630" s="6" t="s">
        <v>253</v>
      </c>
      <c r="N630" s="97">
        <v>44466</v>
      </c>
      <c r="O630" s="22" t="s">
        <v>5665</v>
      </c>
      <c r="P630" s="44" t="s">
        <v>1210</v>
      </c>
      <c r="Q630" s="6" t="s">
        <v>356</v>
      </c>
      <c r="R630" s="6" t="str">
        <f t="shared" ca="1" si="7"/>
        <v>NonCategory</v>
      </c>
    </row>
    <row r="631" spans="1:18">
      <c r="A631" s="162">
        <v>44467</v>
      </c>
      <c r="B631" s="164" t="s">
        <v>1699</v>
      </c>
      <c r="C631" s="168" t="s">
        <v>1700</v>
      </c>
      <c r="D631" s="6" t="s">
        <v>278</v>
      </c>
      <c r="E631" s="6" t="s">
        <v>6</v>
      </c>
      <c r="F631" s="79">
        <v>44440</v>
      </c>
      <c r="G631" s="6" t="s">
        <v>16</v>
      </c>
      <c r="H631" s="6" t="s">
        <v>48</v>
      </c>
      <c r="I631" s="6">
        <v>1</v>
      </c>
      <c r="J631" s="8">
        <v>45000</v>
      </c>
      <c r="K631" s="8">
        <f t="shared" si="6"/>
        <v>515.34585432890515</v>
      </c>
      <c r="L631" s="97">
        <v>44467</v>
      </c>
      <c r="M631" s="6" t="s">
        <v>253</v>
      </c>
      <c r="N631" s="97">
        <v>44467</v>
      </c>
      <c r="O631" s="22" t="s">
        <v>5666</v>
      </c>
      <c r="P631" s="6" t="s">
        <v>1478</v>
      </c>
      <c r="Q631" s="6" t="s">
        <v>280</v>
      </c>
      <c r="R631" s="6" t="str">
        <f t="shared" ca="1" si="7"/>
        <v>NonCategory</v>
      </c>
    </row>
    <row r="632" spans="1:18">
      <c r="A632" s="162">
        <v>44468</v>
      </c>
      <c r="B632" s="164" t="s">
        <v>1579</v>
      </c>
      <c r="C632" s="168" t="s">
        <v>1701</v>
      </c>
      <c r="D632" s="6" t="s">
        <v>274</v>
      </c>
      <c r="E632" s="6" t="s">
        <v>25</v>
      </c>
      <c r="F632" s="79">
        <v>44440</v>
      </c>
      <c r="G632" s="6" t="s">
        <v>16</v>
      </c>
      <c r="H632" s="6" t="s">
        <v>1698</v>
      </c>
      <c r="I632" s="6">
        <v>1</v>
      </c>
      <c r="J632" s="8">
        <v>38000</v>
      </c>
      <c r="K632" s="8">
        <f t="shared" si="6"/>
        <v>435.18094365551997</v>
      </c>
      <c r="L632" s="97">
        <v>44468</v>
      </c>
      <c r="M632" s="6" t="s">
        <v>253</v>
      </c>
      <c r="N632" s="97">
        <v>44467</v>
      </c>
      <c r="O632" s="22" t="s">
        <v>5667</v>
      </c>
      <c r="Q632" s="6" t="s">
        <v>356</v>
      </c>
      <c r="R632" s="6" t="str">
        <f t="shared" ca="1" si="7"/>
        <v>NonCategory</v>
      </c>
    </row>
    <row r="633" spans="1:18">
      <c r="A633" s="162">
        <v>44470</v>
      </c>
      <c r="B633" s="164" t="s">
        <v>1702</v>
      </c>
      <c r="C633" s="168" t="s">
        <v>1703</v>
      </c>
      <c r="D633" s="6" t="s">
        <v>319</v>
      </c>
      <c r="E633" s="6" t="s">
        <v>6</v>
      </c>
      <c r="F633" s="79">
        <v>44470</v>
      </c>
      <c r="G633" s="6" t="s">
        <v>16</v>
      </c>
      <c r="H633" s="6" t="s">
        <v>48</v>
      </c>
      <c r="I633" s="6">
        <v>1</v>
      </c>
      <c r="J633" s="8">
        <v>45000</v>
      </c>
      <c r="K633" s="8">
        <f t="shared" si="6"/>
        <v>515.34585432890515</v>
      </c>
      <c r="L633" s="97">
        <v>44470</v>
      </c>
      <c r="M633" s="6" t="s">
        <v>251</v>
      </c>
      <c r="N633" s="97">
        <v>44470</v>
      </c>
      <c r="O633" s="22" t="s">
        <v>5668</v>
      </c>
      <c r="Q633" s="6" t="s">
        <v>356</v>
      </c>
      <c r="R633" s="6" t="str">
        <f t="shared" ca="1" si="7"/>
        <v>NonCategory</v>
      </c>
    </row>
    <row r="634" spans="1:18" ht="14.4">
      <c r="A634" s="162">
        <v>44470</v>
      </c>
      <c r="B634" s="164" t="s">
        <v>1704</v>
      </c>
      <c r="C634" s="168" t="s">
        <v>1705</v>
      </c>
      <c r="D634" s="6" t="s">
        <v>278</v>
      </c>
      <c r="E634" s="6" t="s">
        <v>150</v>
      </c>
      <c r="F634" s="79">
        <v>44470</v>
      </c>
      <c r="G634" s="6" t="s">
        <v>16</v>
      </c>
      <c r="H634" s="6" t="s">
        <v>48</v>
      </c>
      <c r="I634" s="6">
        <v>1</v>
      </c>
      <c r="J634" s="8">
        <v>21000</v>
      </c>
      <c r="K634" s="8">
        <f t="shared" si="6"/>
        <v>240.49473202015577</v>
      </c>
      <c r="L634" s="97">
        <v>44470</v>
      </c>
      <c r="M634" s="6" t="s">
        <v>251</v>
      </c>
      <c r="N634" s="97">
        <v>44470</v>
      </c>
      <c r="O634" s="22" t="s">
        <v>5669</v>
      </c>
      <c r="P634" s="44" t="s">
        <v>1127</v>
      </c>
      <c r="Q634" s="6" t="s">
        <v>280</v>
      </c>
      <c r="R634" s="6" t="str">
        <f t="shared" ca="1" si="7"/>
        <v>NonCategory</v>
      </c>
    </row>
    <row r="635" spans="1:18">
      <c r="A635" s="162">
        <v>44470</v>
      </c>
      <c r="B635" s="164" t="s">
        <v>1706</v>
      </c>
      <c r="C635" s="168" t="s">
        <v>1707</v>
      </c>
      <c r="D635" s="6" t="s">
        <v>306</v>
      </c>
      <c r="E635" s="6" t="s">
        <v>6</v>
      </c>
      <c r="F635" s="79">
        <v>44470</v>
      </c>
      <c r="G635" s="6" t="s">
        <v>16</v>
      </c>
      <c r="H635" s="6" t="s">
        <v>48</v>
      </c>
      <c r="I635" s="6">
        <v>1</v>
      </c>
      <c r="J635" s="8">
        <v>45000</v>
      </c>
      <c r="K635" s="8">
        <f t="shared" si="6"/>
        <v>515.34585432890515</v>
      </c>
      <c r="L635" s="97">
        <v>44470</v>
      </c>
      <c r="M635" s="6" t="s">
        <v>251</v>
      </c>
      <c r="N635" s="97">
        <v>44470</v>
      </c>
      <c r="O635" s="22" t="s">
        <v>5670</v>
      </c>
      <c r="Q635" s="6" t="s">
        <v>356</v>
      </c>
      <c r="R635" s="6" t="str">
        <f t="shared" ca="1" si="7"/>
        <v>NonCategory</v>
      </c>
    </row>
    <row r="636" spans="1:18">
      <c r="A636" s="162">
        <v>44470</v>
      </c>
      <c r="B636" s="164" t="s">
        <v>1708</v>
      </c>
      <c r="C636" s="168" t="s">
        <v>1709</v>
      </c>
      <c r="D636" s="6" t="s">
        <v>306</v>
      </c>
      <c r="E636" s="6" t="s">
        <v>25</v>
      </c>
      <c r="F636" s="79">
        <v>44470</v>
      </c>
      <c r="G636" s="6" t="s">
        <v>16</v>
      </c>
      <c r="H636" s="6" t="s">
        <v>48</v>
      </c>
      <c r="I636" s="6">
        <v>1</v>
      </c>
      <c r="J636" s="8">
        <v>45000</v>
      </c>
      <c r="K636" s="8">
        <f t="shared" si="6"/>
        <v>515.34585432890515</v>
      </c>
      <c r="L636" s="97">
        <v>44470</v>
      </c>
      <c r="M636" s="6" t="s">
        <v>251</v>
      </c>
      <c r="N636" s="97">
        <v>44470</v>
      </c>
      <c r="O636" s="22" t="s">
        <v>5671</v>
      </c>
      <c r="Q636" s="6" t="s">
        <v>356</v>
      </c>
      <c r="R636" s="6" t="str">
        <f t="shared" ca="1" si="7"/>
        <v>NonCategory</v>
      </c>
    </row>
    <row r="637" spans="1:18">
      <c r="A637" s="162">
        <v>44471</v>
      </c>
      <c r="B637" s="164" t="s">
        <v>1710</v>
      </c>
      <c r="C637" s="168" t="s">
        <v>1711</v>
      </c>
      <c r="D637" s="6" t="s">
        <v>291</v>
      </c>
      <c r="E637" s="6" t="s">
        <v>1712</v>
      </c>
      <c r="F637" s="79">
        <v>44470</v>
      </c>
      <c r="G637" s="6" t="s">
        <v>16</v>
      </c>
      <c r="H637" s="97">
        <v>44471</v>
      </c>
      <c r="I637" s="6">
        <v>1</v>
      </c>
      <c r="J637" s="8">
        <v>41000</v>
      </c>
      <c r="K637" s="8">
        <f t="shared" si="6"/>
        <v>469.53733394411364</v>
      </c>
      <c r="L637" s="97">
        <v>44471</v>
      </c>
      <c r="M637" s="6" t="s">
        <v>251</v>
      </c>
      <c r="N637" s="97">
        <v>44471</v>
      </c>
      <c r="O637" s="22" t="s">
        <v>5672</v>
      </c>
      <c r="Q637" s="6" t="s">
        <v>356</v>
      </c>
      <c r="R637" s="6" t="str">
        <f t="shared" ca="1" si="7"/>
        <v>NonCategory</v>
      </c>
    </row>
    <row r="638" spans="1:18">
      <c r="A638" s="162">
        <v>44471</v>
      </c>
      <c r="B638" s="164" t="s">
        <v>1713</v>
      </c>
      <c r="C638" s="168" t="s">
        <v>1714</v>
      </c>
      <c r="D638" s="6" t="s">
        <v>278</v>
      </c>
      <c r="E638" s="6" t="s">
        <v>1715</v>
      </c>
      <c r="F638" s="79">
        <v>44470</v>
      </c>
      <c r="G638" s="6" t="s">
        <v>16</v>
      </c>
      <c r="H638" s="97">
        <v>44471</v>
      </c>
      <c r="I638" s="6">
        <v>1</v>
      </c>
      <c r="J638" s="8">
        <v>16000</v>
      </c>
      <c r="K638" s="8">
        <f t="shared" si="6"/>
        <v>183.23408153916631</v>
      </c>
      <c r="L638" s="97">
        <v>44471</v>
      </c>
      <c r="M638" s="6" t="s">
        <v>251</v>
      </c>
      <c r="N638" s="97">
        <v>44471</v>
      </c>
      <c r="O638" s="22" t="s">
        <v>5673</v>
      </c>
      <c r="P638" s="6" t="s">
        <v>1278</v>
      </c>
      <c r="Q638" s="6" t="s">
        <v>356</v>
      </c>
      <c r="R638" s="6" t="str">
        <f t="shared" ca="1" si="7"/>
        <v>NonCategory</v>
      </c>
    </row>
    <row r="639" spans="1:18">
      <c r="A639" s="162">
        <v>44471</v>
      </c>
      <c r="B639" s="164" t="s">
        <v>1713</v>
      </c>
      <c r="C639" s="168" t="s">
        <v>1714</v>
      </c>
      <c r="D639" s="6" t="s">
        <v>274</v>
      </c>
      <c r="E639" s="6" t="s">
        <v>1716</v>
      </c>
      <c r="F639" s="79">
        <v>44470</v>
      </c>
      <c r="G639" s="6" t="s">
        <v>16</v>
      </c>
      <c r="H639" s="97">
        <v>44471</v>
      </c>
      <c r="I639" s="6">
        <v>1</v>
      </c>
      <c r="J639" s="8">
        <v>20000</v>
      </c>
      <c r="K639" s="8">
        <f t="shared" si="6"/>
        <v>229.04260192395787</v>
      </c>
      <c r="L639" s="97">
        <v>44471</v>
      </c>
      <c r="M639" s="6" t="s">
        <v>251</v>
      </c>
      <c r="N639" s="97">
        <v>44471</v>
      </c>
      <c r="O639" s="22" t="s">
        <v>5674</v>
      </c>
      <c r="Q639" s="6" t="s">
        <v>356</v>
      </c>
      <c r="R639" s="6" t="str">
        <f t="shared" ca="1" si="7"/>
        <v>NonCategory</v>
      </c>
    </row>
    <row r="640" spans="1:18" ht="14.4">
      <c r="A640" s="162">
        <v>44473</v>
      </c>
      <c r="B640" s="164" t="s">
        <v>1717</v>
      </c>
      <c r="C640" s="168" t="s">
        <v>1718</v>
      </c>
      <c r="D640" s="6" t="s">
        <v>278</v>
      </c>
      <c r="E640" s="6" t="s">
        <v>96</v>
      </c>
      <c r="F640" s="79">
        <v>44470</v>
      </c>
      <c r="G640" s="6" t="s">
        <v>16</v>
      </c>
      <c r="H640" s="6" t="s">
        <v>1695</v>
      </c>
      <c r="I640" s="6">
        <v>1</v>
      </c>
      <c r="J640" s="8">
        <v>20000</v>
      </c>
      <c r="K640" s="8">
        <f t="shared" si="6"/>
        <v>229.04260192395787</v>
      </c>
      <c r="L640" s="97">
        <v>44473</v>
      </c>
      <c r="M640" s="6" t="s">
        <v>251</v>
      </c>
      <c r="N640" s="97">
        <v>44473</v>
      </c>
      <c r="O640" s="22" t="s">
        <v>5675</v>
      </c>
      <c r="P640" s="44" t="s">
        <v>1127</v>
      </c>
      <c r="Q640" s="6" t="s">
        <v>356</v>
      </c>
      <c r="R640" s="6" t="str">
        <f t="shared" ca="1" si="7"/>
        <v>NonCategory</v>
      </c>
    </row>
    <row r="641" spans="1:18" ht="14.4">
      <c r="A641" s="162">
        <v>44473</v>
      </c>
      <c r="B641" s="164" t="s">
        <v>1719</v>
      </c>
      <c r="C641" s="168" t="s">
        <v>1720</v>
      </c>
      <c r="D641" s="6" t="s">
        <v>278</v>
      </c>
      <c r="E641" s="6" t="s">
        <v>97</v>
      </c>
      <c r="F641" s="79">
        <v>44470</v>
      </c>
      <c r="G641" s="6" t="s">
        <v>16</v>
      </c>
      <c r="H641" s="6" t="s">
        <v>63</v>
      </c>
      <c r="I641" s="6">
        <v>1</v>
      </c>
      <c r="J641" s="8">
        <v>19000</v>
      </c>
      <c r="K641" s="8">
        <f t="shared" si="6"/>
        <v>217.59047182775998</v>
      </c>
      <c r="L641" s="97">
        <v>44473</v>
      </c>
      <c r="M641" s="6" t="s">
        <v>251</v>
      </c>
      <c r="N641" s="97">
        <v>44473</v>
      </c>
      <c r="O641" s="22" t="s">
        <v>5676</v>
      </c>
      <c r="P641" s="44" t="s">
        <v>1721</v>
      </c>
      <c r="Q641" s="6" t="s">
        <v>356</v>
      </c>
      <c r="R641" s="6" t="str">
        <f t="shared" ca="1" si="7"/>
        <v>NonCategory</v>
      </c>
    </row>
    <row r="642" spans="1:18">
      <c r="A642" s="162">
        <v>44473</v>
      </c>
      <c r="B642" s="164" t="s">
        <v>1722</v>
      </c>
      <c r="C642" s="168" t="s">
        <v>1723</v>
      </c>
      <c r="D642" s="6" t="s">
        <v>319</v>
      </c>
      <c r="E642" s="6" t="s">
        <v>25</v>
      </c>
      <c r="F642" s="79">
        <v>44470</v>
      </c>
      <c r="G642" s="6" t="s">
        <v>16</v>
      </c>
      <c r="H642" s="6" t="s">
        <v>56</v>
      </c>
      <c r="I642" s="6">
        <v>1</v>
      </c>
      <c r="J642" s="8">
        <v>45000</v>
      </c>
      <c r="K642" s="8">
        <f t="shared" si="6"/>
        <v>515.34585432890515</v>
      </c>
      <c r="L642" s="97">
        <v>44473</v>
      </c>
      <c r="M642" s="6" t="s">
        <v>251</v>
      </c>
      <c r="N642" s="97">
        <v>44473</v>
      </c>
      <c r="O642" s="22" t="s">
        <v>5677</v>
      </c>
      <c r="Q642" s="6" t="s">
        <v>280</v>
      </c>
      <c r="R642" s="6" t="str">
        <f t="shared" ca="1" si="7"/>
        <v>NonCategory</v>
      </c>
    </row>
    <row r="643" spans="1:18">
      <c r="A643" s="162">
        <v>44473</v>
      </c>
      <c r="B643" s="164" t="s">
        <v>1724</v>
      </c>
      <c r="C643" s="168" t="s">
        <v>1725</v>
      </c>
      <c r="D643" s="6" t="s">
        <v>319</v>
      </c>
      <c r="E643" s="6" t="s">
        <v>7</v>
      </c>
      <c r="F643" s="79">
        <v>44470</v>
      </c>
      <c r="G643" s="6" t="s">
        <v>16</v>
      </c>
      <c r="H643" s="6" t="s">
        <v>56</v>
      </c>
      <c r="I643" s="6">
        <v>1</v>
      </c>
      <c r="J643" s="8">
        <v>45000</v>
      </c>
      <c r="K643" s="8">
        <f t="shared" si="6"/>
        <v>515.34585432890515</v>
      </c>
      <c r="L643" s="97">
        <v>44473</v>
      </c>
      <c r="M643" s="6" t="s">
        <v>251</v>
      </c>
      <c r="N643" s="97">
        <v>44473</v>
      </c>
      <c r="O643" s="22" t="s">
        <v>5678</v>
      </c>
      <c r="Q643" s="6" t="s">
        <v>356</v>
      </c>
      <c r="R643" s="6" t="str">
        <f t="shared" ca="1" si="7"/>
        <v>NonCategory</v>
      </c>
    </row>
    <row r="644" spans="1:18">
      <c r="A644" s="162">
        <v>44473</v>
      </c>
      <c r="B644" s="164" t="s">
        <v>1726</v>
      </c>
      <c r="C644" s="168" t="s">
        <v>1727</v>
      </c>
      <c r="D644" s="6" t="s">
        <v>319</v>
      </c>
      <c r="E644" s="6" t="s">
        <v>6</v>
      </c>
      <c r="F644" s="79">
        <v>44470</v>
      </c>
      <c r="G644" s="6" t="s">
        <v>16</v>
      </c>
      <c r="H644" s="6" t="s">
        <v>1728</v>
      </c>
      <c r="I644" s="6">
        <v>1</v>
      </c>
      <c r="J644" s="8">
        <v>45000</v>
      </c>
      <c r="K644" s="8">
        <f t="shared" si="6"/>
        <v>515.34585432890515</v>
      </c>
      <c r="L644" s="97">
        <v>44473</v>
      </c>
      <c r="M644" s="6" t="s">
        <v>251</v>
      </c>
      <c r="N644" s="97">
        <v>44473</v>
      </c>
      <c r="O644" s="22" t="s">
        <v>5679</v>
      </c>
      <c r="Q644" s="6" t="s">
        <v>280</v>
      </c>
      <c r="R644" s="6" t="str">
        <f t="shared" ca="1" si="7"/>
        <v>NonCategory</v>
      </c>
    </row>
    <row r="645" spans="1:18">
      <c r="A645" s="162">
        <v>44474</v>
      </c>
      <c r="B645" s="164" t="s">
        <v>1729</v>
      </c>
      <c r="C645" s="168" t="s">
        <v>1730</v>
      </c>
      <c r="D645" s="6" t="s">
        <v>1731</v>
      </c>
      <c r="E645" s="6" t="s">
        <v>96</v>
      </c>
      <c r="F645" s="79">
        <v>44470</v>
      </c>
      <c r="G645" s="6" t="s">
        <v>16</v>
      </c>
      <c r="H645" s="6" t="s">
        <v>1732</v>
      </c>
      <c r="I645" s="6">
        <v>1</v>
      </c>
      <c r="J645" s="8">
        <v>19000</v>
      </c>
      <c r="K645" s="8">
        <f t="shared" si="6"/>
        <v>217.59047182775998</v>
      </c>
      <c r="L645" s="97">
        <v>44474</v>
      </c>
      <c r="M645" s="6" t="s">
        <v>251</v>
      </c>
      <c r="N645" s="97">
        <v>44474</v>
      </c>
      <c r="O645" s="22" t="s">
        <v>5680</v>
      </c>
      <c r="Q645" s="6" t="s">
        <v>356</v>
      </c>
      <c r="R645" s="6" t="str">
        <f t="shared" ca="1" si="7"/>
        <v>NonCategory</v>
      </c>
    </row>
    <row r="646" spans="1:18">
      <c r="A646" s="162">
        <v>44474</v>
      </c>
      <c r="B646" s="164" t="s">
        <v>1733</v>
      </c>
      <c r="C646" s="168" t="s">
        <v>1734</v>
      </c>
      <c r="D646" s="6" t="s">
        <v>278</v>
      </c>
      <c r="E646" s="6" t="s">
        <v>96</v>
      </c>
      <c r="F646" s="79">
        <v>44470</v>
      </c>
      <c r="G646" s="6" t="s">
        <v>16</v>
      </c>
      <c r="H646" s="6" t="s">
        <v>1732</v>
      </c>
      <c r="I646" s="6">
        <v>1</v>
      </c>
      <c r="J646" s="8">
        <v>19000</v>
      </c>
      <c r="K646" s="8">
        <f t="shared" si="6"/>
        <v>217.59047182775998</v>
      </c>
      <c r="L646" s="97">
        <v>44474</v>
      </c>
      <c r="M646" s="6" t="s">
        <v>251</v>
      </c>
      <c r="N646" s="97">
        <v>44474</v>
      </c>
      <c r="O646" s="22" t="s">
        <v>5681</v>
      </c>
      <c r="Q646" s="6" t="s">
        <v>356</v>
      </c>
      <c r="R646" s="6" t="str">
        <f t="shared" ca="1" si="7"/>
        <v>NonCategory</v>
      </c>
    </row>
    <row r="647" spans="1:18">
      <c r="A647" s="162">
        <v>44475</v>
      </c>
      <c r="B647" s="164" t="s">
        <v>1735</v>
      </c>
      <c r="C647" s="168" t="s">
        <v>1736</v>
      </c>
      <c r="D647" s="6" t="s">
        <v>319</v>
      </c>
      <c r="E647" s="6" t="s">
        <v>150</v>
      </c>
      <c r="F647" s="79">
        <v>44470</v>
      </c>
      <c r="G647" s="6" t="s">
        <v>16</v>
      </c>
      <c r="H647" s="6" t="s">
        <v>56</v>
      </c>
      <c r="I647" s="6">
        <v>1</v>
      </c>
      <c r="J647" s="8">
        <v>21000</v>
      </c>
      <c r="K647" s="8">
        <f t="shared" si="6"/>
        <v>240.49473202015577</v>
      </c>
      <c r="L647" s="97">
        <v>44475</v>
      </c>
      <c r="M647" s="6" t="s">
        <v>251</v>
      </c>
      <c r="N647" s="97">
        <v>44475</v>
      </c>
      <c r="O647" s="22" t="s">
        <v>5682</v>
      </c>
      <c r="Q647" s="6" t="s">
        <v>280</v>
      </c>
      <c r="R647" s="6" t="str">
        <f t="shared" ca="1" si="7"/>
        <v>NonCategory</v>
      </c>
    </row>
    <row r="648" spans="1:18">
      <c r="A648" s="162">
        <v>44476</v>
      </c>
      <c r="B648" s="164" t="s">
        <v>1737</v>
      </c>
      <c r="C648" s="168" t="s">
        <v>1738</v>
      </c>
      <c r="D648" s="6" t="s">
        <v>319</v>
      </c>
      <c r="E648" s="6" t="s">
        <v>150</v>
      </c>
      <c r="F648" s="79">
        <v>44470</v>
      </c>
      <c r="G648" s="6" t="s">
        <v>16</v>
      </c>
      <c r="H648" s="6" t="s">
        <v>56</v>
      </c>
      <c r="I648" s="6">
        <v>1</v>
      </c>
      <c r="J648" s="8">
        <v>21000</v>
      </c>
      <c r="K648" s="8">
        <f t="shared" si="6"/>
        <v>240.49473202015577</v>
      </c>
      <c r="L648" s="97">
        <v>44476</v>
      </c>
      <c r="M648" s="6" t="s">
        <v>251</v>
      </c>
      <c r="N648" s="97">
        <v>44476</v>
      </c>
      <c r="O648" s="22" t="s">
        <v>5683</v>
      </c>
      <c r="Q648" s="6" t="s">
        <v>356</v>
      </c>
      <c r="R648" s="6" t="str">
        <f t="shared" ca="1" si="7"/>
        <v>NonCategory</v>
      </c>
    </row>
    <row r="649" spans="1:18" ht="14.4">
      <c r="A649" s="162">
        <v>44477</v>
      </c>
      <c r="B649" s="164" t="s">
        <v>1739</v>
      </c>
      <c r="C649" s="168" t="s">
        <v>1740</v>
      </c>
      <c r="D649" s="6" t="s">
        <v>278</v>
      </c>
      <c r="E649" s="6" t="s">
        <v>1741</v>
      </c>
      <c r="F649" s="79">
        <v>44470</v>
      </c>
      <c r="G649" s="6" t="s">
        <v>16</v>
      </c>
      <c r="H649" s="97">
        <v>44477</v>
      </c>
      <c r="I649" s="6">
        <v>1</v>
      </c>
      <c r="J649" s="8">
        <v>25000</v>
      </c>
      <c r="K649" s="8">
        <f t="shared" si="6"/>
        <v>286.30325240494733</v>
      </c>
      <c r="L649" s="97">
        <v>44477</v>
      </c>
      <c r="M649" s="6" t="s">
        <v>251</v>
      </c>
      <c r="N649" s="97">
        <v>44477</v>
      </c>
      <c r="O649" s="22" t="s">
        <v>5684</v>
      </c>
      <c r="P649" s="44" t="s">
        <v>1210</v>
      </c>
      <c r="Q649" s="6" t="s">
        <v>356</v>
      </c>
      <c r="R649" s="6" t="str">
        <f t="shared" ca="1" si="7"/>
        <v>NonCategory</v>
      </c>
    </row>
    <row r="650" spans="1:18">
      <c r="A650" s="162">
        <v>44477</v>
      </c>
      <c r="B650" s="164" t="s">
        <v>1742</v>
      </c>
      <c r="C650" s="168" t="s">
        <v>1743</v>
      </c>
      <c r="D650" s="6" t="s">
        <v>306</v>
      </c>
      <c r="E650" s="6" t="s">
        <v>151</v>
      </c>
      <c r="F650" s="79">
        <v>44470</v>
      </c>
      <c r="G650" s="6" t="s">
        <v>16</v>
      </c>
      <c r="H650" s="6" t="s">
        <v>1744</v>
      </c>
      <c r="I650" s="6">
        <v>1</v>
      </c>
      <c r="J650" s="8">
        <v>21000</v>
      </c>
      <c r="K650" s="8">
        <f t="shared" si="6"/>
        <v>240.49473202015577</v>
      </c>
      <c r="L650" s="97">
        <v>44477</v>
      </c>
      <c r="M650" s="6" t="s">
        <v>251</v>
      </c>
      <c r="N650" s="97">
        <v>44477</v>
      </c>
      <c r="O650" s="22" t="s">
        <v>5685</v>
      </c>
      <c r="Q650" s="6" t="s">
        <v>280</v>
      </c>
      <c r="R650" s="6" t="str">
        <f t="shared" ca="1" si="7"/>
        <v>NonCategory</v>
      </c>
    </row>
    <row r="651" spans="1:18">
      <c r="A651" s="162">
        <v>44478</v>
      </c>
      <c r="B651" s="164" t="s">
        <v>584</v>
      </c>
      <c r="C651" s="168" t="s">
        <v>1745</v>
      </c>
      <c r="D651" s="6" t="s">
        <v>319</v>
      </c>
      <c r="E651" s="6" t="s">
        <v>96</v>
      </c>
      <c r="F651" s="79">
        <v>44470</v>
      </c>
      <c r="G651" s="6" t="s">
        <v>16</v>
      </c>
      <c r="H651" s="6" t="s">
        <v>63</v>
      </c>
      <c r="I651" s="6">
        <v>1</v>
      </c>
      <c r="J651" s="8">
        <v>21000</v>
      </c>
      <c r="K651" s="8">
        <f t="shared" si="6"/>
        <v>240.49473202015577</v>
      </c>
      <c r="L651" s="97">
        <v>44478</v>
      </c>
      <c r="M651" s="6" t="s">
        <v>251</v>
      </c>
      <c r="N651" s="97">
        <v>44478</v>
      </c>
      <c r="O651" s="22" t="s">
        <v>5686</v>
      </c>
      <c r="P651" s="20"/>
      <c r="Q651" s="6" t="s">
        <v>280</v>
      </c>
      <c r="R651" s="6" t="str">
        <f t="shared" ca="1" si="7"/>
        <v>NonCategory</v>
      </c>
    </row>
    <row r="652" spans="1:18" ht="14.4">
      <c r="A652" s="162">
        <v>44481</v>
      </c>
      <c r="B652" s="164" t="s">
        <v>1746</v>
      </c>
      <c r="C652" s="168" t="s">
        <v>1747</v>
      </c>
      <c r="D652" s="6" t="s">
        <v>278</v>
      </c>
      <c r="E652" s="6" t="s">
        <v>25</v>
      </c>
      <c r="F652" s="79">
        <v>44470</v>
      </c>
      <c r="G652" s="6" t="s">
        <v>16</v>
      </c>
      <c r="H652" s="6" t="s">
        <v>59</v>
      </c>
      <c r="I652" s="6">
        <v>1</v>
      </c>
      <c r="J652" s="8">
        <v>45000</v>
      </c>
      <c r="K652" s="8">
        <f t="shared" si="6"/>
        <v>515.34585432890515</v>
      </c>
      <c r="L652" s="97">
        <v>44481</v>
      </c>
      <c r="M652" s="6" t="s">
        <v>252</v>
      </c>
      <c r="N652" s="97">
        <v>44481</v>
      </c>
      <c r="O652" s="22" t="s">
        <v>5687</v>
      </c>
      <c r="P652" s="44" t="s">
        <v>1748</v>
      </c>
      <c r="Q652" s="6" t="s">
        <v>280</v>
      </c>
      <c r="R652" s="6" t="str">
        <f t="shared" ca="1" si="7"/>
        <v>NonCategory</v>
      </c>
    </row>
    <row r="653" spans="1:18">
      <c r="A653" s="162">
        <v>44481</v>
      </c>
      <c r="B653" s="164" t="s">
        <v>1749</v>
      </c>
      <c r="C653" s="168" t="s">
        <v>1750</v>
      </c>
      <c r="D653" s="6" t="s">
        <v>287</v>
      </c>
      <c r="E653" s="6" t="s">
        <v>151</v>
      </c>
      <c r="F653" s="79">
        <v>44470</v>
      </c>
      <c r="G653" s="6" t="s">
        <v>16</v>
      </c>
      <c r="H653" s="6" t="s">
        <v>59</v>
      </c>
      <c r="I653" s="6">
        <v>1</v>
      </c>
      <c r="J653" s="8">
        <v>21000</v>
      </c>
      <c r="K653" s="8">
        <f t="shared" si="6"/>
        <v>240.49473202015577</v>
      </c>
      <c r="L653" s="97">
        <v>44481</v>
      </c>
      <c r="M653" s="6" t="s">
        <v>252</v>
      </c>
      <c r="N653" s="97">
        <v>44481</v>
      </c>
      <c r="O653" s="22" t="s">
        <v>5688</v>
      </c>
      <c r="Q653" s="6" t="s">
        <v>280</v>
      </c>
      <c r="R653" s="6" t="str">
        <f t="shared" ca="1" si="7"/>
        <v>NonCategory</v>
      </c>
    </row>
    <row r="654" spans="1:18">
      <c r="A654" s="162">
        <v>44482</v>
      </c>
      <c r="B654" s="164" t="s">
        <v>1751</v>
      </c>
      <c r="C654" s="168" t="s">
        <v>1752</v>
      </c>
      <c r="D654" s="6" t="s">
        <v>291</v>
      </c>
      <c r="E654" s="6" t="s">
        <v>25</v>
      </c>
      <c r="F654" s="79">
        <v>44470</v>
      </c>
      <c r="G654" s="6" t="s">
        <v>16</v>
      </c>
      <c r="H654" s="6" t="s">
        <v>59</v>
      </c>
      <c r="I654" s="6">
        <v>1</v>
      </c>
      <c r="J654" s="8">
        <v>45000</v>
      </c>
      <c r="K654" s="8">
        <f t="shared" si="6"/>
        <v>515.34585432890515</v>
      </c>
      <c r="L654" s="97">
        <v>44482</v>
      </c>
      <c r="M654" s="6" t="s">
        <v>252</v>
      </c>
      <c r="N654" s="97">
        <v>44482</v>
      </c>
      <c r="O654" s="22" t="s">
        <v>5689</v>
      </c>
      <c r="Q654" s="6" t="s">
        <v>280</v>
      </c>
      <c r="R654" s="6" t="str">
        <f t="shared" ca="1" si="7"/>
        <v>NonCategory</v>
      </c>
    </row>
    <row r="655" spans="1:18">
      <c r="A655" s="162">
        <v>44482</v>
      </c>
      <c r="B655" s="164" t="s">
        <v>1753</v>
      </c>
      <c r="C655" s="168" t="s">
        <v>1754</v>
      </c>
      <c r="D655" s="6" t="s">
        <v>319</v>
      </c>
      <c r="E655" s="6" t="s">
        <v>97</v>
      </c>
      <c r="F655" s="79">
        <v>44470</v>
      </c>
      <c r="G655" s="6" t="s">
        <v>16</v>
      </c>
      <c r="H655" s="6" t="s">
        <v>63</v>
      </c>
      <c r="I655" s="6">
        <v>1</v>
      </c>
      <c r="J655" s="8">
        <v>20000</v>
      </c>
      <c r="K655" s="8">
        <f t="shared" si="6"/>
        <v>229.04260192395787</v>
      </c>
      <c r="L655" s="97">
        <v>44482</v>
      </c>
      <c r="M655" s="6" t="s">
        <v>252</v>
      </c>
      <c r="N655" s="97">
        <v>44482</v>
      </c>
      <c r="O655" s="22" t="s">
        <v>5690</v>
      </c>
      <c r="Q655" s="6" t="s">
        <v>280</v>
      </c>
      <c r="R655" s="6" t="str">
        <f t="shared" ca="1" si="7"/>
        <v>NonCategory</v>
      </c>
    </row>
    <row r="656" spans="1:18">
      <c r="A656" s="162">
        <v>44482</v>
      </c>
      <c r="B656" s="164" t="s">
        <v>1755</v>
      </c>
      <c r="C656" s="168" t="s">
        <v>1756</v>
      </c>
      <c r="D656" s="6" t="s">
        <v>287</v>
      </c>
      <c r="E656" s="6" t="s">
        <v>1757</v>
      </c>
      <c r="F656" s="79">
        <v>44470</v>
      </c>
      <c r="G656" s="6" t="s">
        <v>16</v>
      </c>
      <c r="H656" s="6" t="s">
        <v>1758</v>
      </c>
      <c r="I656" s="6">
        <v>1</v>
      </c>
      <c r="J656" s="8">
        <v>297000</v>
      </c>
      <c r="K656" s="8">
        <f t="shared" si="6"/>
        <v>3401.2826385707745</v>
      </c>
      <c r="L656" s="97">
        <v>44482</v>
      </c>
      <c r="M656" s="6" t="s">
        <v>252</v>
      </c>
      <c r="N656" s="97">
        <v>44482</v>
      </c>
      <c r="O656" s="128" t="s">
        <v>1759</v>
      </c>
      <c r="Q656" s="6" t="s">
        <v>356</v>
      </c>
      <c r="R656" s="6" t="str">
        <f t="shared" ca="1" si="7"/>
        <v>NonCategory</v>
      </c>
    </row>
    <row r="657" spans="1:18">
      <c r="A657" s="162">
        <v>44483</v>
      </c>
      <c r="B657" s="164" t="s">
        <v>1760</v>
      </c>
      <c r="C657" s="168" t="s">
        <v>1761</v>
      </c>
      <c r="D657" s="6" t="s">
        <v>278</v>
      </c>
      <c r="E657" s="6" t="s">
        <v>150</v>
      </c>
      <c r="F657" s="79">
        <v>44470</v>
      </c>
      <c r="G657" s="6" t="s">
        <v>16</v>
      </c>
      <c r="H657" s="6" t="s">
        <v>1744</v>
      </c>
      <c r="I657" s="6">
        <v>1</v>
      </c>
      <c r="J657" s="8">
        <v>21000</v>
      </c>
      <c r="K657" s="8">
        <f t="shared" si="6"/>
        <v>240.49473202015577</v>
      </c>
      <c r="L657" s="97">
        <v>44483</v>
      </c>
      <c r="M657" s="6" t="s">
        <v>252</v>
      </c>
      <c r="N657" s="97">
        <v>44483</v>
      </c>
      <c r="O657" s="22" t="s">
        <v>5691</v>
      </c>
      <c r="P657" s="6" t="s">
        <v>1478</v>
      </c>
      <c r="Q657" s="6" t="s">
        <v>356</v>
      </c>
      <c r="R657" s="6" t="str">
        <f t="shared" ca="1" si="7"/>
        <v>NonCategory</v>
      </c>
    </row>
    <row r="658" spans="1:18">
      <c r="A658" s="162">
        <v>44483</v>
      </c>
      <c r="B658" s="164" t="s">
        <v>1110</v>
      </c>
      <c r="C658" s="168" t="s">
        <v>1111</v>
      </c>
      <c r="D658" s="6" t="s">
        <v>274</v>
      </c>
      <c r="E658" s="6" t="s">
        <v>849</v>
      </c>
      <c r="F658" s="79">
        <v>44470</v>
      </c>
      <c r="G658" s="6" t="s">
        <v>16</v>
      </c>
      <c r="H658" s="97">
        <v>44485</v>
      </c>
      <c r="I658" s="6">
        <v>1</v>
      </c>
      <c r="J658" s="8">
        <v>15000</v>
      </c>
      <c r="K658" s="8">
        <f t="shared" si="6"/>
        <v>171.78195144296839</v>
      </c>
      <c r="L658" s="97">
        <v>44483</v>
      </c>
      <c r="M658" s="6" t="s">
        <v>252</v>
      </c>
      <c r="N658" s="97">
        <v>44483</v>
      </c>
      <c r="O658" s="22" t="s">
        <v>5692</v>
      </c>
      <c r="Q658" s="6" t="s">
        <v>356</v>
      </c>
      <c r="R658" s="6" t="str">
        <f t="shared" ca="1" si="7"/>
        <v>NonCategory</v>
      </c>
    </row>
    <row r="659" spans="1:18">
      <c r="A659" s="162">
        <v>44483</v>
      </c>
      <c r="B659" s="164" t="s">
        <v>293</v>
      </c>
      <c r="C659" s="168" t="s">
        <v>294</v>
      </c>
      <c r="D659" s="6" t="s">
        <v>274</v>
      </c>
      <c r="E659" s="6" t="s">
        <v>1762</v>
      </c>
      <c r="F659" s="79">
        <v>44470</v>
      </c>
      <c r="G659" s="6" t="s">
        <v>16</v>
      </c>
      <c r="H659" s="6" t="s">
        <v>63</v>
      </c>
      <c r="I659" s="6">
        <v>1</v>
      </c>
      <c r="J659" s="8">
        <v>41000</v>
      </c>
      <c r="K659" s="8">
        <f t="shared" si="6"/>
        <v>469.53733394411364</v>
      </c>
      <c r="L659" s="97">
        <v>44483</v>
      </c>
      <c r="M659" s="6" t="s">
        <v>252</v>
      </c>
      <c r="N659" s="97">
        <v>44483</v>
      </c>
      <c r="O659" s="22" t="s">
        <v>5693</v>
      </c>
      <c r="Q659" s="6" t="s">
        <v>280</v>
      </c>
      <c r="R659" s="6" t="str">
        <f t="shared" ca="1" si="7"/>
        <v>NonCategory</v>
      </c>
    </row>
    <row r="660" spans="1:18">
      <c r="A660" s="162">
        <v>44483</v>
      </c>
      <c r="B660" s="164" t="s">
        <v>1763</v>
      </c>
      <c r="C660" s="168" t="s">
        <v>1764</v>
      </c>
      <c r="D660" s="6" t="s">
        <v>291</v>
      </c>
      <c r="E660" s="6" t="s">
        <v>96</v>
      </c>
      <c r="F660" s="79">
        <v>44470</v>
      </c>
      <c r="G660" s="6" t="s">
        <v>16</v>
      </c>
      <c r="H660" s="6" t="s">
        <v>63</v>
      </c>
      <c r="I660" s="6">
        <v>1</v>
      </c>
      <c r="J660" s="8">
        <v>20000</v>
      </c>
      <c r="K660" s="8">
        <f t="shared" si="6"/>
        <v>229.04260192395787</v>
      </c>
      <c r="L660" s="97">
        <v>44483</v>
      </c>
      <c r="M660" s="6" t="s">
        <v>252</v>
      </c>
      <c r="N660" s="97">
        <v>44483</v>
      </c>
      <c r="O660" s="22" t="s">
        <v>5694</v>
      </c>
      <c r="Q660" s="6" t="s">
        <v>280</v>
      </c>
      <c r="R660" s="6" t="str">
        <f t="shared" ca="1" si="7"/>
        <v>NonCategory</v>
      </c>
    </row>
    <row r="661" spans="1:18" ht="14.4">
      <c r="A661" s="162">
        <v>44483</v>
      </c>
      <c r="B661" s="164" t="s">
        <v>1765</v>
      </c>
      <c r="C661" s="168" t="s">
        <v>1766</v>
      </c>
      <c r="D661" s="6" t="s">
        <v>278</v>
      </c>
      <c r="E661" s="6" t="s">
        <v>96</v>
      </c>
      <c r="F661" s="79">
        <v>44470</v>
      </c>
      <c r="G661" s="6" t="s">
        <v>16</v>
      </c>
      <c r="H661" s="6" t="s">
        <v>63</v>
      </c>
      <c r="I661" s="6">
        <v>1</v>
      </c>
      <c r="J661" s="8">
        <v>20000</v>
      </c>
      <c r="K661" s="8">
        <f t="shared" si="6"/>
        <v>229.04260192395787</v>
      </c>
      <c r="L661" s="97">
        <v>44483</v>
      </c>
      <c r="M661" s="6" t="s">
        <v>252</v>
      </c>
      <c r="N661" s="97">
        <v>44485</v>
      </c>
      <c r="O661" s="22" t="s">
        <v>5695</v>
      </c>
      <c r="P661" s="44" t="s">
        <v>1764</v>
      </c>
      <c r="Q661" s="6" t="s">
        <v>280</v>
      </c>
      <c r="R661" s="6" t="str">
        <f t="shared" ca="1" si="7"/>
        <v>NonCategory</v>
      </c>
    </row>
    <row r="662" spans="1:18">
      <c r="A662" s="162">
        <v>44483</v>
      </c>
      <c r="B662" s="164" t="s">
        <v>1767</v>
      </c>
      <c r="C662" s="168" t="s">
        <v>1768</v>
      </c>
      <c r="D662" s="6" t="s">
        <v>303</v>
      </c>
      <c r="E662" s="6" t="s">
        <v>150</v>
      </c>
      <c r="F662" s="79">
        <v>44470</v>
      </c>
      <c r="G662" s="6" t="s">
        <v>16</v>
      </c>
      <c r="H662" s="6" t="s">
        <v>63</v>
      </c>
      <c r="I662" s="6">
        <v>1</v>
      </c>
      <c r="J662" s="8">
        <v>21000</v>
      </c>
      <c r="K662" s="8">
        <f t="shared" si="6"/>
        <v>240.49473202015577</v>
      </c>
      <c r="L662" s="97">
        <v>44484</v>
      </c>
      <c r="M662" s="6" t="s">
        <v>252</v>
      </c>
      <c r="N662" s="97">
        <v>44484</v>
      </c>
      <c r="O662" s="22" t="s">
        <v>5696</v>
      </c>
      <c r="Q662" s="6" t="s">
        <v>280</v>
      </c>
      <c r="R662" s="6" t="str">
        <f t="shared" ca="1" si="7"/>
        <v>NonCategory</v>
      </c>
    </row>
    <row r="663" spans="1:18">
      <c r="A663" s="162">
        <v>44487</v>
      </c>
      <c r="B663" s="164" t="s">
        <v>1769</v>
      </c>
      <c r="C663" s="168" t="s">
        <v>1770</v>
      </c>
      <c r="D663" s="6" t="s">
        <v>278</v>
      </c>
      <c r="E663" s="6" t="s">
        <v>1698</v>
      </c>
      <c r="F663" s="79">
        <v>44470</v>
      </c>
      <c r="G663" s="6" t="s">
        <v>16</v>
      </c>
      <c r="H663" s="97">
        <v>44487</v>
      </c>
      <c r="I663" s="6">
        <v>1</v>
      </c>
      <c r="J663" s="8">
        <v>38000</v>
      </c>
      <c r="K663" s="8">
        <f t="shared" si="6"/>
        <v>435.18094365551997</v>
      </c>
      <c r="L663" s="97">
        <v>44487</v>
      </c>
      <c r="M663" s="6" t="s">
        <v>252</v>
      </c>
      <c r="N663" s="97">
        <v>44487</v>
      </c>
      <c r="O663" s="22" t="s">
        <v>5697</v>
      </c>
      <c r="P663" s="6" t="s">
        <v>1478</v>
      </c>
      <c r="Q663" s="6" t="s">
        <v>356</v>
      </c>
      <c r="R663" s="6" t="str">
        <f t="shared" ca="1" si="7"/>
        <v>NonCategory</v>
      </c>
    </row>
    <row r="664" spans="1:18">
      <c r="A664" s="162">
        <v>44487</v>
      </c>
      <c r="B664" s="164" t="s">
        <v>1771</v>
      </c>
      <c r="C664" s="168" t="s">
        <v>1772</v>
      </c>
      <c r="D664" s="6" t="s">
        <v>303</v>
      </c>
      <c r="E664" s="6" t="s">
        <v>150</v>
      </c>
      <c r="F664" s="79">
        <v>44470</v>
      </c>
      <c r="G664" s="6" t="s">
        <v>16</v>
      </c>
      <c r="H664" s="6" t="s">
        <v>63</v>
      </c>
      <c r="I664" s="6">
        <v>1</v>
      </c>
      <c r="J664" s="8">
        <v>21000</v>
      </c>
      <c r="K664" s="8">
        <f t="shared" si="6"/>
        <v>240.49473202015577</v>
      </c>
      <c r="L664" s="97">
        <v>44487</v>
      </c>
      <c r="M664" s="6" t="s">
        <v>252</v>
      </c>
      <c r="N664" s="97">
        <v>44487</v>
      </c>
      <c r="O664" s="22" t="s">
        <v>5698</v>
      </c>
      <c r="Q664" s="6" t="s">
        <v>280</v>
      </c>
      <c r="R664" s="6" t="str">
        <f t="shared" ca="1" si="7"/>
        <v>NonCategory</v>
      </c>
    </row>
    <row r="665" spans="1:18">
      <c r="A665" s="162">
        <v>44487</v>
      </c>
      <c r="B665" s="164" t="s">
        <v>1773</v>
      </c>
      <c r="C665" s="168" t="s">
        <v>1774</v>
      </c>
      <c r="D665" s="6" t="s">
        <v>343</v>
      </c>
      <c r="E665" s="6" t="s">
        <v>151</v>
      </c>
      <c r="F665" s="79">
        <v>44470</v>
      </c>
      <c r="G665" s="6" t="s">
        <v>16</v>
      </c>
      <c r="H665" s="6" t="s">
        <v>1775</v>
      </c>
      <c r="I665" s="6">
        <v>1</v>
      </c>
      <c r="J665" s="8">
        <v>21000</v>
      </c>
      <c r="K665" s="8">
        <f t="shared" si="6"/>
        <v>240.49473202015577</v>
      </c>
      <c r="L665" s="97">
        <v>44487</v>
      </c>
      <c r="M665" s="6" t="s">
        <v>252</v>
      </c>
      <c r="N665" s="97">
        <v>44487</v>
      </c>
      <c r="O665" s="22" t="s">
        <v>5699</v>
      </c>
      <c r="Q665" s="6" t="s">
        <v>280</v>
      </c>
      <c r="R665" s="6" t="str">
        <f t="shared" ca="1" si="7"/>
        <v>NonCategory</v>
      </c>
    </row>
    <row r="666" spans="1:18">
      <c r="A666" s="162">
        <v>44488</v>
      </c>
      <c r="B666" s="164" t="s">
        <v>1776</v>
      </c>
      <c r="C666" s="168" t="s">
        <v>1777</v>
      </c>
      <c r="D666" s="6" t="s">
        <v>278</v>
      </c>
      <c r="E666" s="6" t="s">
        <v>150</v>
      </c>
      <c r="F666" s="79">
        <v>44470</v>
      </c>
      <c r="G666" s="6" t="s">
        <v>16</v>
      </c>
      <c r="H666" s="6" t="s">
        <v>63</v>
      </c>
      <c r="I666" s="6">
        <v>1</v>
      </c>
      <c r="J666" s="8">
        <v>21000</v>
      </c>
      <c r="K666" s="8">
        <f t="shared" si="6"/>
        <v>240.49473202015577</v>
      </c>
      <c r="L666" s="97">
        <v>44488</v>
      </c>
      <c r="M666" s="6" t="s">
        <v>252</v>
      </c>
      <c r="N666" s="97">
        <v>44488</v>
      </c>
      <c r="O666" s="22" t="s">
        <v>5700</v>
      </c>
      <c r="P666" s="6" t="s">
        <v>1778</v>
      </c>
      <c r="Q666" s="6" t="s">
        <v>280</v>
      </c>
      <c r="R666" s="6" t="str">
        <f t="shared" ca="1" si="7"/>
        <v>NonCategory</v>
      </c>
    </row>
    <row r="667" spans="1:18">
      <c r="A667" s="162">
        <v>44488</v>
      </c>
      <c r="B667" s="164" t="s">
        <v>1779</v>
      </c>
      <c r="C667" s="168" t="s">
        <v>1780</v>
      </c>
      <c r="D667" s="6" t="s">
        <v>319</v>
      </c>
      <c r="E667" s="6" t="s">
        <v>25</v>
      </c>
      <c r="F667" s="79">
        <v>44470</v>
      </c>
      <c r="G667" s="6" t="s">
        <v>16</v>
      </c>
      <c r="H667" s="6" t="s">
        <v>1781</v>
      </c>
      <c r="I667" s="6">
        <v>1</v>
      </c>
      <c r="J667" s="8">
        <v>45000</v>
      </c>
      <c r="K667" s="8">
        <f t="shared" si="6"/>
        <v>515.34585432890515</v>
      </c>
      <c r="L667" s="97">
        <v>44488</v>
      </c>
      <c r="M667" s="6" t="s">
        <v>253</v>
      </c>
      <c r="N667" s="97">
        <v>44490</v>
      </c>
      <c r="O667" s="22" t="s">
        <v>5701</v>
      </c>
      <c r="Q667" s="6" t="s">
        <v>280</v>
      </c>
      <c r="R667" s="6" t="str">
        <f t="shared" ca="1" si="7"/>
        <v>NonCategory</v>
      </c>
    </row>
    <row r="668" spans="1:18">
      <c r="A668" s="162">
        <v>44490</v>
      </c>
      <c r="B668" s="164" t="s">
        <v>1782</v>
      </c>
      <c r="C668" s="168" t="s">
        <v>1783</v>
      </c>
      <c r="D668" s="6" t="s">
        <v>287</v>
      </c>
      <c r="E668" s="6" t="s">
        <v>150</v>
      </c>
      <c r="F668" s="79">
        <v>44470</v>
      </c>
      <c r="G668" s="6" t="s">
        <v>16</v>
      </c>
      <c r="H668" s="6" t="s">
        <v>1775</v>
      </c>
      <c r="I668" s="6">
        <v>1</v>
      </c>
      <c r="J668" s="8">
        <v>21000</v>
      </c>
      <c r="K668" s="8">
        <f t="shared" si="6"/>
        <v>240.49473202015577</v>
      </c>
      <c r="L668" s="97">
        <v>44490</v>
      </c>
      <c r="M668" s="6" t="s">
        <v>253</v>
      </c>
      <c r="N668" s="97">
        <v>44490</v>
      </c>
      <c r="O668" s="22" t="s">
        <v>5702</v>
      </c>
      <c r="Q668" s="6" t="s">
        <v>356</v>
      </c>
      <c r="R668" s="6" t="str">
        <f t="shared" ca="1" si="7"/>
        <v>NonCategory</v>
      </c>
    </row>
    <row r="669" spans="1:18">
      <c r="A669" s="162">
        <v>44490</v>
      </c>
      <c r="B669" s="164" t="s">
        <v>1784</v>
      </c>
      <c r="C669" s="168" t="s">
        <v>1785</v>
      </c>
      <c r="D669" s="6" t="s">
        <v>278</v>
      </c>
      <c r="E669" s="6" t="s">
        <v>150</v>
      </c>
      <c r="F669" s="79">
        <v>44470</v>
      </c>
      <c r="G669" s="6" t="s">
        <v>16</v>
      </c>
      <c r="H669" s="6" t="s">
        <v>63</v>
      </c>
      <c r="I669" s="6">
        <v>1</v>
      </c>
      <c r="J669" s="8">
        <v>21000</v>
      </c>
      <c r="K669" s="8">
        <f t="shared" si="6"/>
        <v>240.49473202015577</v>
      </c>
      <c r="L669" s="97">
        <v>44490</v>
      </c>
      <c r="M669" s="6" t="s">
        <v>253</v>
      </c>
      <c r="N669" s="97">
        <v>44490</v>
      </c>
      <c r="O669" s="22" t="s">
        <v>5703</v>
      </c>
      <c r="P669" s="6" t="s">
        <v>1786</v>
      </c>
      <c r="Q669" s="6" t="s">
        <v>280</v>
      </c>
      <c r="R669" s="6" t="str">
        <f t="shared" ca="1" si="7"/>
        <v>NonCategory</v>
      </c>
    </row>
    <row r="670" spans="1:18">
      <c r="A670" s="162">
        <v>44490</v>
      </c>
      <c r="B670" s="164" t="s">
        <v>1441</v>
      </c>
      <c r="C670" s="168" t="s">
        <v>1787</v>
      </c>
      <c r="D670" s="6" t="s">
        <v>303</v>
      </c>
      <c r="E670" s="6" t="s">
        <v>96</v>
      </c>
      <c r="F670" s="79">
        <v>44470</v>
      </c>
      <c r="G670" s="6" t="s">
        <v>16</v>
      </c>
      <c r="H670" s="6" t="s">
        <v>1788</v>
      </c>
      <c r="I670" s="6">
        <v>1</v>
      </c>
      <c r="J670" s="8">
        <v>19000</v>
      </c>
      <c r="K670" s="8">
        <f t="shared" si="6"/>
        <v>217.59047182775998</v>
      </c>
      <c r="L670" s="97">
        <v>44490</v>
      </c>
      <c r="M670" s="6" t="s">
        <v>253</v>
      </c>
      <c r="N670" s="97">
        <v>44490</v>
      </c>
      <c r="O670" s="22" t="s">
        <v>5704</v>
      </c>
      <c r="Q670" s="6" t="s">
        <v>356</v>
      </c>
      <c r="R670" s="6" t="str">
        <f t="shared" ca="1" si="7"/>
        <v>NonCategory</v>
      </c>
    </row>
    <row r="671" spans="1:18">
      <c r="A671" s="162">
        <v>44491</v>
      </c>
      <c r="B671" s="164" t="s">
        <v>1789</v>
      </c>
      <c r="C671" s="168" t="s">
        <v>1790</v>
      </c>
      <c r="D671" s="6" t="s">
        <v>291</v>
      </c>
      <c r="E671" s="6" t="s">
        <v>150</v>
      </c>
      <c r="F671" s="79">
        <v>44470</v>
      </c>
      <c r="G671" s="6" t="s">
        <v>16</v>
      </c>
      <c r="H671" s="6" t="s">
        <v>1791</v>
      </c>
      <c r="I671" s="6">
        <v>1</v>
      </c>
      <c r="J671" s="8">
        <v>113280</v>
      </c>
      <c r="K671" s="8">
        <f t="shared" si="6"/>
        <v>1297.2972972972973</v>
      </c>
      <c r="L671" s="97">
        <v>44491</v>
      </c>
      <c r="M671" s="6" t="s">
        <v>253</v>
      </c>
      <c r="N671" s="97">
        <v>44491</v>
      </c>
      <c r="O671" s="128" t="s">
        <v>1792</v>
      </c>
      <c r="Q671" s="6" t="s">
        <v>356</v>
      </c>
      <c r="R671" s="6" t="str">
        <f t="shared" ca="1" si="7"/>
        <v>NonCategory</v>
      </c>
    </row>
    <row r="672" spans="1:18">
      <c r="A672" s="162">
        <v>44494</v>
      </c>
      <c r="B672" s="164" t="s">
        <v>1078</v>
      </c>
      <c r="C672" s="168" t="s">
        <v>1079</v>
      </c>
      <c r="D672" s="6" t="s">
        <v>274</v>
      </c>
      <c r="E672" s="6" t="s">
        <v>97</v>
      </c>
      <c r="F672" s="79">
        <v>44470</v>
      </c>
      <c r="G672" s="6" t="s">
        <v>16</v>
      </c>
      <c r="H672" s="6" t="s">
        <v>1793</v>
      </c>
      <c r="I672" s="6">
        <v>1</v>
      </c>
      <c r="J672" s="8">
        <v>20000</v>
      </c>
      <c r="K672" s="8">
        <f t="shared" si="6"/>
        <v>229.04260192395787</v>
      </c>
      <c r="L672" s="97">
        <v>44494</v>
      </c>
      <c r="M672" s="6" t="s">
        <v>253</v>
      </c>
      <c r="N672" s="97">
        <v>44494</v>
      </c>
      <c r="O672" s="22" t="s">
        <v>5705</v>
      </c>
      <c r="Q672" s="6" t="s">
        <v>356</v>
      </c>
      <c r="R672" s="6" t="str">
        <f t="shared" ca="1" si="7"/>
        <v>NonCategory</v>
      </c>
    </row>
    <row r="673" spans="1:18">
      <c r="A673" s="162">
        <v>44494</v>
      </c>
      <c r="B673" s="164" t="s">
        <v>1794</v>
      </c>
      <c r="C673" s="168" t="s">
        <v>1795</v>
      </c>
      <c r="D673" s="6" t="s">
        <v>291</v>
      </c>
      <c r="E673" s="6" t="s">
        <v>150</v>
      </c>
      <c r="F673" s="79">
        <v>44470</v>
      </c>
      <c r="G673" s="6" t="s">
        <v>16</v>
      </c>
      <c r="H673" s="6" t="s">
        <v>1775</v>
      </c>
      <c r="I673" s="6">
        <v>1</v>
      </c>
      <c r="J673" s="8">
        <v>21000</v>
      </c>
      <c r="K673" s="8">
        <f t="shared" si="6"/>
        <v>240.49473202015577</v>
      </c>
      <c r="L673" s="97">
        <v>44494</v>
      </c>
      <c r="M673" s="6" t="s">
        <v>253</v>
      </c>
      <c r="N673" s="97">
        <v>44494</v>
      </c>
      <c r="O673" s="22" t="s">
        <v>5706</v>
      </c>
      <c r="Q673" s="6" t="s">
        <v>280</v>
      </c>
      <c r="R673" s="6" t="str">
        <f t="shared" ca="1" si="7"/>
        <v>NonCategory</v>
      </c>
    </row>
    <row r="674" spans="1:18">
      <c r="A674" s="162">
        <v>44494</v>
      </c>
      <c r="B674" s="164" t="s">
        <v>1796</v>
      </c>
      <c r="C674" s="168" t="s">
        <v>1797</v>
      </c>
      <c r="D674" s="6" t="s">
        <v>278</v>
      </c>
      <c r="E674" s="6" t="s">
        <v>150</v>
      </c>
      <c r="F674" s="79">
        <v>44470</v>
      </c>
      <c r="G674" s="6" t="s">
        <v>16</v>
      </c>
      <c r="H674" s="6" t="s">
        <v>1775</v>
      </c>
      <c r="I674" s="6">
        <v>1</v>
      </c>
      <c r="J674" s="8">
        <v>21000</v>
      </c>
      <c r="K674" s="8">
        <f t="shared" si="6"/>
        <v>240.49473202015577</v>
      </c>
      <c r="L674" s="97">
        <v>44494</v>
      </c>
      <c r="M674" s="6" t="s">
        <v>253</v>
      </c>
      <c r="N674" s="97">
        <v>44494</v>
      </c>
      <c r="O674" s="22" t="s">
        <v>5707</v>
      </c>
      <c r="P674" s="6" t="s">
        <v>1798</v>
      </c>
      <c r="Q674" s="6" t="s">
        <v>280</v>
      </c>
      <c r="R674" s="6" t="str">
        <f t="shared" ca="1" si="7"/>
        <v>NonCategory</v>
      </c>
    </row>
    <row r="675" spans="1:18">
      <c r="A675" s="162">
        <v>44495</v>
      </c>
      <c r="B675" s="164" t="s">
        <v>1680</v>
      </c>
      <c r="C675" s="168" t="s">
        <v>1681</v>
      </c>
      <c r="D675" s="6" t="s">
        <v>274</v>
      </c>
      <c r="E675" s="6" t="s">
        <v>150</v>
      </c>
      <c r="F675" s="79">
        <v>44470</v>
      </c>
      <c r="G675" s="6" t="s">
        <v>16</v>
      </c>
      <c r="H675" s="6" t="s">
        <v>1775</v>
      </c>
      <c r="I675" s="6">
        <v>1</v>
      </c>
      <c r="J675" s="8">
        <v>20500</v>
      </c>
      <c r="K675" s="8">
        <f t="shared" si="6"/>
        <v>234.76866697205682</v>
      </c>
      <c r="L675" s="97">
        <v>44495</v>
      </c>
      <c r="M675" s="6" t="s">
        <v>253</v>
      </c>
      <c r="N675" s="97">
        <v>44495</v>
      </c>
      <c r="O675" s="22" t="s">
        <v>5708</v>
      </c>
      <c r="Q675" s="6" t="s">
        <v>280</v>
      </c>
      <c r="R675" s="6" t="str">
        <f t="shared" ca="1" si="7"/>
        <v>NonCategory</v>
      </c>
    </row>
    <row r="676" spans="1:18" ht="14.4">
      <c r="A676" s="162">
        <v>44495</v>
      </c>
      <c r="B676" s="164" t="s">
        <v>1799</v>
      </c>
      <c r="C676" s="168" t="s">
        <v>1800</v>
      </c>
      <c r="D676" s="6" t="s">
        <v>278</v>
      </c>
      <c r="E676" s="6" t="s">
        <v>97</v>
      </c>
      <c r="F676" s="79">
        <v>44470</v>
      </c>
      <c r="G676" s="6" t="s">
        <v>16</v>
      </c>
      <c r="H676" s="6" t="s">
        <v>1801</v>
      </c>
      <c r="I676" s="6">
        <v>1</v>
      </c>
      <c r="J676" s="8">
        <v>22000</v>
      </c>
      <c r="K676" s="8">
        <f t="shared" si="6"/>
        <v>251.94686211635369</v>
      </c>
      <c r="L676" s="97">
        <v>44495</v>
      </c>
      <c r="M676" s="6" t="s">
        <v>253</v>
      </c>
      <c r="N676" s="97">
        <v>44495</v>
      </c>
      <c r="O676" s="22" t="s">
        <v>5709</v>
      </c>
      <c r="P676" s="44" t="s">
        <v>1802</v>
      </c>
      <c r="Q676" s="6" t="s">
        <v>356</v>
      </c>
      <c r="R676" s="6" t="str">
        <f t="shared" ca="1" si="7"/>
        <v>NonCategory</v>
      </c>
    </row>
    <row r="677" spans="1:18" ht="14.4">
      <c r="A677" s="162">
        <v>44495</v>
      </c>
      <c r="B677" s="164" t="s">
        <v>1803</v>
      </c>
      <c r="C677" s="168" t="s">
        <v>1804</v>
      </c>
      <c r="D677" s="6" t="s">
        <v>278</v>
      </c>
      <c r="E677" s="6" t="s">
        <v>97</v>
      </c>
      <c r="F677" s="79">
        <v>44470</v>
      </c>
      <c r="G677" s="6" t="s">
        <v>16</v>
      </c>
      <c r="H677" s="6" t="s">
        <v>1801</v>
      </c>
      <c r="I677" s="6">
        <v>1</v>
      </c>
      <c r="J677" s="8">
        <v>22000</v>
      </c>
      <c r="K677" s="8">
        <f t="shared" si="6"/>
        <v>251.94686211635369</v>
      </c>
      <c r="L677" s="97">
        <v>44495</v>
      </c>
      <c r="M677" s="6" t="s">
        <v>253</v>
      </c>
      <c r="N677" s="97">
        <v>44495</v>
      </c>
      <c r="O677" s="22" t="s">
        <v>5710</v>
      </c>
      <c r="P677" s="44" t="s">
        <v>1802</v>
      </c>
      <c r="Q677" s="6" t="s">
        <v>356</v>
      </c>
      <c r="R677" s="6" t="str">
        <f t="shared" ca="1" si="7"/>
        <v>NonCategory</v>
      </c>
    </row>
    <row r="678" spans="1:18" ht="14.4">
      <c r="A678" s="162">
        <v>44495</v>
      </c>
      <c r="B678" s="164" t="s">
        <v>1805</v>
      </c>
      <c r="C678" s="168" t="s">
        <v>1806</v>
      </c>
      <c r="D678" s="6" t="s">
        <v>278</v>
      </c>
      <c r="E678" s="6" t="s">
        <v>97</v>
      </c>
      <c r="F678" s="79">
        <v>44470</v>
      </c>
      <c r="G678" s="6" t="s">
        <v>16</v>
      </c>
      <c r="H678" s="6" t="s">
        <v>1801</v>
      </c>
      <c r="I678" s="6">
        <v>1</v>
      </c>
      <c r="J678" s="8">
        <v>22000</v>
      </c>
      <c r="K678" s="8">
        <f t="shared" si="6"/>
        <v>251.94686211635369</v>
      </c>
      <c r="L678" s="97">
        <v>44495</v>
      </c>
      <c r="M678" s="6" t="s">
        <v>253</v>
      </c>
      <c r="N678" s="97">
        <v>44495</v>
      </c>
      <c r="O678" s="22" t="s">
        <v>5711</v>
      </c>
      <c r="P678" s="44" t="s">
        <v>1802</v>
      </c>
      <c r="Q678" s="6" t="s">
        <v>356</v>
      </c>
      <c r="R678" s="6" t="str">
        <f t="shared" ca="1" si="7"/>
        <v>NonCategory</v>
      </c>
    </row>
    <row r="679" spans="1:18">
      <c r="A679" s="162">
        <v>44495</v>
      </c>
      <c r="B679" s="164" t="s">
        <v>1807</v>
      </c>
      <c r="C679" s="168" t="s">
        <v>1808</v>
      </c>
      <c r="D679" s="6" t="s">
        <v>291</v>
      </c>
      <c r="E679" s="6" t="s">
        <v>25</v>
      </c>
      <c r="F679" s="79">
        <v>44470</v>
      </c>
      <c r="G679" s="6" t="s">
        <v>16</v>
      </c>
      <c r="H679" s="6" t="s">
        <v>1781</v>
      </c>
      <c r="I679" s="6">
        <v>1</v>
      </c>
      <c r="J679" s="8">
        <v>45000</v>
      </c>
      <c r="K679" s="8">
        <f t="shared" si="6"/>
        <v>515.34585432890515</v>
      </c>
      <c r="L679" s="97">
        <v>44495</v>
      </c>
      <c r="M679" s="6" t="s">
        <v>253</v>
      </c>
      <c r="N679" s="97">
        <v>44495</v>
      </c>
      <c r="O679" s="22" t="s">
        <v>5712</v>
      </c>
      <c r="Q679" s="6" t="s">
        <v>280</v>
      </c>
      <c r="R679" s="6" t="str">
        <f t="shared" ca="1" si="7"/>
        <v>NonCategory</v>
      </c>
    </row>
    <row r="680" spans="1:18">
      <c r="A680" s="162">
        <v>44496</v>
      </c>
      <c r="B680" s="164" t="s">
        <v>1809</v>
      </c>
      <c r="C680" s="168" t="s">
        <v>1810</v>
      </c>
      <c r="D680" s="6" t="s">
        <v>287</v>
      </c>
      <c r="E680" s="6" t="s">
        <v>96</v>
      </c>
      <c r="F680" s="79">
        <v>44470</v>
      </c>
      <c r="G680" s="6" t="s">
        <v>16</v>
      </c>
      <c r="H680" s="6" t="s">
        <v>1811</v>
      </c>
      <c r="I680" s="6">
        <v>1</v>
      </c>
      <c r="J680" s="8">
        <v>19000</v>
      </c>
      <c r="K680" s="8">
        <f t="shared" si="6"/>
        <v>217.59047182775998</v>
      </c>
      <c r="L680" s="97">
        <v>44496</v>
      </c>
      <c r="M680" s="6" t="s">
        <v>253</v>
      </c>
      <c r="N680" s="97">
        <v>44496</v>
      </c>
      <c r="O680" s="22" t="s">
        <v>5713</v>
      </c>
      <c r="Q680" s="6" t="s">
        <v>356</v>
      </c>
      <c r="R680" s="6" t="str">
        <f t="shared" ca="1" si="7"/>
        <v>NonCategory</v>
      </c>
    </row>
    <row r="681" spans="1:18">
      <c r="A681" s="162">
        <v>44499</v>
      </c>
      <c r="B681" s="164" t="s">
        <v>1812</v>
      </c>
      <c r="C681" s="168" t="s">
        <v>1813</v>
      </c>
      <c r="D681" s="6" t="s">
        <v>297</v>
      </c>
      <c r="E681" s="6" t="s">
        <v>25</v>
      </c>
      <c r="F681" s="79">
        <v>44470</v>
      </c>
      <c r="G681" s="6" t="s">
        <v>16</v>
      </c>
      <c r="H681" s="6" t="s">
        <v>1744</v>
      </c>
      <c r="I681" s="6">
        <v>1</v>
      </c>
      <c r="J681" s="8">
        <v>45000</v>
      </c>
      <c r="K681" s="8">
        <f t="shared" si="6"/>
        <v>515.34585432890515</v>
      </c>
      <c r="L681" s="97">
        <v>44499</v>
      </c>
      <c r="M681" s="6" t="s">
        <v>253</v>
      </c>
      <c r="N681" s="97">
        <v>44499</v>
      </c>
      <c r="O681" s="22" t="s">
        <v>5714</v>
      </c>
      <c r="Q681" s="6" t="s">
        <v>280</v>
      </c>
      <c r="R681" s="6" t="str">
        <f t="shared" ca="1" si="7"/>
        <v>NonCategory</v>
      </c>
    </row>
    <row r="682" spans="1:18">
      <c r="A682" s="162">
        <v>44502</v>
      </c>
      <c r="B682" s="164" t="s">
        <v>1814</v>
      </c>
      <c r="C682" s="168" t="s">
        <v>1815</v>
      </c>
      <c r="D682" s="6" t="s">
        <v>287</v>
      </c>
      <c r="E682" s="6" t="s">
        <v>150</v>
      </c>
      <c r="F682" s="79">
        <v>44501</v>
      </c>
      <c r="G682" s="6" t="s">
        <v>16</v>
      </c>
      <c r="H682" s="6" t="s">
        <v>1816</v>
      </c>
      <c r="I682" s="6">
        <v>1</v>
      </c>
      <c r="J682" s="8">
        <v>21000</v>
      </c>
      <c r="K682" s="8">
        <f t="shared" si="6"/>
        <v>240.49473202015577</v>
      </c>
      <c r="L682" s="97">
        <v>44502</v>
      </c>
      <c r="M682" s="6" t="s">
        <v>251</v>
      </c>
      <c r="N682" s="97">
        <v>44502</v>
      </c>
      <c r="O682" s="22" t="s">
        <v>5715</v>
      </c>
      <c r="Q682" s="6" t="s">
        <v>356</v>
      </c>
      <c r="R682" s="6" t="str">
        <f t="shared" ca="1" si="7"/>
        <v>NonCategory</v>
      </c>
    </row>
    <row r="683" spans="1:18">
      <c r="A683" s="162">
        <v>44502</v>
      </c>
      <c r="B683" s="164" t="s">
        <v>1817</v>
      </c>
      <c r="C683" s="168" t="s">
        <v>1818</v>
      </c>
      <c r="D683" s="6" t="s">
        <v>306</v>
      </c>
      <c r="E683" s="6" t="s">
        <v>1277</v>
      </c>
      <c r="F683" s="79">
        <v>44501</v>
      </c>
      <c r="G683" s="6" t="s">
        <v>16</v>
      </c>
      <c r="H683" s="97">
        <v>44502</v>
      </c>
      <c r="I683" s="6">
        <v>1</v>
      </c>
      <c r="J683" s="8">
        <v>37000</v>
      </c>
      <c r="K683" s="8">
        <f t="shared" si="6"/>
        <v>423.72881355932202</v>
      </c>
      <c r="L683" s="97">
        <v>44502</v>
      </c>
      <c r="M683" s="6" t="s">
        <v>251</v>
      </c>
      <c r="N683" s="97">
        <v>44502</v>
      </c>
      <c r="O683" s="22" t="s">
        <v>5716</v>
      </c>
      <c r="Q683" s="6" t="s">
        <v>356</v>
      </c>
      <c r="R683" s="6" t="str">
        <f t="shared" ca="1" si="7"/>
        <v>NonCategory</v>
      </c>
    </row>
    <row r="684" spans="1:18">
      <c r="A684" s="162">
        <v>44502</v>
      </c>
      <c r="B684" s="164" t="s">
        <v>1819</v>
      </c>
      <c r="C684" s="168" t="s">
        <v>1820</v>
      </c>
      <c r="D684" s="6" t="s">
        <v>278</v>
      </c>
      <c r="E684" s="6" t="s">
        <v>25</v>
      </c>
      <c r="F684" s="79">
        <v>44501</v>
      </c>
      <c r="G684" s="6" t="s">
        <v>16</v>
      </c>
      <c r="H684" s="6" t="s">
        <v>1781</v>
      </c>
      <c r="I684" s="6">
        <v>1</v>
      </c>
      <c r="J684" s="8">
        <v>41000</v>
      </c>
      <c r="K684" s="8">
        <f t="shared" si="6"/>
        <v>469.53733394411364</v>
      </c>
      <c r="L684" s="97">
        <v>44502</v>
      </c>
      <c r="M684" s="6" t="s">
        <v>251</v>
      </c>
      <c r="N684" s="97">
        <v>44502</v>
      </c>
      <c r="O684" s="22" t="s">
        <v>5717</v>
      </c>
      <c r="P684" s="6" t="s">
        <v>1278</v>
      </c>
      <c r="Q684" s="6" t="s">
        <v>280</v>
      </c>
      <c r="R684" s="6" t="str">
        <f t="shared" ca="1" si="7"/>
        <v>NonCategory</v>
      </c>
    </row>
    <row r="685" spans="1:18">
      <c r="A685" s="162">
        <v>44502</v>
      </c>
      <c r="B685" s="164" t="s">
        <v>1821</v>
      </c>
      <c r="C685" s="168" t="s">
        <v>1822</v>
      </c>
      <c r="D685" s="6" t="s">
        <v>278</v>
      </c>
      <c r="E685" s="6" t="s">
        <v>25</v>
      </c>
      <c r="F685" s="79">
        <v>44501</v>
      </c>
      <c r="G685" s="6" t="s">
        <v>16</v>
      </c>
      <c r="H685" s="6" t="s">
        <v>1781</v>
      </c>
      <c r="I685" s="6">
        <v>1</v>
      </c>
      <c r="J685" s="8">
        <v>41000</v>
      </c>
      <c r="K685" s="8">
        <f t="shared" si="6"/>
        <v>469.53733394411364</v>
      </c>
      <c r="L685" s="97">
        <v>44502</v>
      </c>
      <c r="M685" s="6" t="s">
        <v>251</v>
      </c>
      <c r="N685" s="97">
        <v>44502</v>
      </c>
      <c r="O685" s="22" t="s">
        <v>5718</v>
      </c>
      <c r="P685" s="6" t="s">
        <v>1778</v>
      </c>
      <c r="Q685" s="6" t="s">
        <v>280</v>
      </c>
      <c r="R685" s="6" t="str">
        <f t="shared" ca="1" si="7"/>
        <v>NonCategory</v>
      </c>
    </row>
    <row r="686" spans="1:18">
      <c r="A686" s="162">
        <v>44502</v>
      </c>
      <c r="B686" s="164" t="s">
        <v>1823</v>
      </c>
      <c r="C686" s="168" t="s">
        <v>1824</v>
      </c>
      <c r="D686" s="6" t="s">
        <v>278</v>
      </c>
      <c r="E686" s="6" t="s">
        <v>25</v>
      </c>
      <c r="F686" s="79">
        <v>44501</v>
      </c>
      <c r="G686" s="6" t="s">
        <v>16</v>
      </c>
      <c r="H686" s="6" t="s">
        <v>1781</v>
      </c>
      <c r="I686" s="6">
        <v>1</v>
      </c>
      <c r="J686" s="8">
        <v>41000</v>
      </c>
      <c r="K686" s="8">
        <f t="shared" si="6"/>
        <v>469.53733394411364</v>
      </c>
      <c r="L686" s="97">
        <v>44502</v>
      </c>
      <c r="M686" s="6" t="s">
        <v>251</v>
      </c>
      <c r="N686" s="97">
        <v>44505</v>
      </c>
      <c r="O686" s="22" t="s">
        <v>5719</v>
      </c>
      <c r="P686" s="6" t="s">
        <v>1778</v>
      </c>
      <c r="Q686" s="6" t="s">
        <v>280</v>
      </c>
      <c r="R686" s="6" t="str">
        <f t="shared" ca="1" si="7"/>
        <v>NonCategory</v>
      </c>
    </row>
    <row r="687" spans="1:18">
      <c r="A687" s="162">
        <v>44502</v>
      </c>
      <c r="B687" s="164" t="s">
        <v>1825</v>
      </c>
      <c r="C687" s="168" t="s">
        <v>1826</v>
      </c>
      <c r="D687" s="6" t="s">
        <v>278</v>
      </c>
      <c r="E687" s="6" t="s">
        <v>25</v>
      </c>
      <c r="F687" s="79">
        <v>44501</v>
      </c>
      <c r="G687" s="6" t="s">
        <v>16</v>
      </c>
      <c r="H687" s="6" t="s">
        <v>1781</v>
      </c>
      <c r="I687" s="6">
        <v>1</v>
      </c>
      <c r="J687" s="8">
        <v>41000</v>
      </c>
      <c r="K687" s="8">
        <f t="shared" si="6"/>
        <v>469.53733394411364</v>
      </c>
      <c r="L687" s="97">
        <v>44502</v>
      </c>
      <c r="M687" s="6" t="s">
        <v>251</v>
      </c>
      <c r="N687" s="97">
        <v>44502</v>
      </c>
      <c r="O687" s="22" t="s">
        <v>5720</v>
      </c>
      <c r="P687" s="6" t="s">
        <v>1778</v>
      </c>
      <c r="Q687" s="6" t="s">
        <v>280</v>
      </c>
      <c r="R687" s="6" t="str">
        <f t="shared" ca="1" si="7"/>
        <v>NonCategory</v>
      </c>
    </row>
    <row r="688" spans="1:18">
      <c r="A688" s="162">
        <v>44503</v>
      </c>
      <c r="B688" s="164" t="s">
        <v>1827</v>
      </c>
      <c r="C688" s="168" t="s">
        <v>1828</v>
      </c>
      <c r="D688" s="6" t="s">
        <v>297</v>
      </c>
      <c r="E688" s="6" t="s">
        <v>25</v>
      </c>
      <c r="F688" s="79">
        <v>44501</v>
      </c>
      <c r="G688" s="6" t="s">
        <v>16</v>
      </c>
      <c r="H688" s="6" t="s">
        <v>1781</v>
      </c>
      <c r="I688" s="6">
        <v>1</v>
      </c>
      <c r="J688" s="8">
        <v>45000</v>
      </c>
      <c r="K688" s="8">
        <f t="shared" si="6"/>
        <v>515.34585432890515</v>
      </c>
      <c r="L688" s="97">
        <v>44503</v>
      </c>
      <c r="M688" s="6" t="s">
        <v>251</v>
      </c>
      <c r="N688" s="97">
        <v>44503</v>
      </c>
      <c r="O688" s="22" t="s">
        <v>5721</v>
      </c>
      <c r="Q688" s="6" t="s">
        <v>280</v>
      </c>
      <c r="R688" s="6" t="str">
        <f t="shared" ca="1" si="7"/>
        <v>NonCategory</v>
      </c>
    </row>
    <row r="689" spans="1:18">
      <c r="A689" s="162">
        <v>44506</v>
      </c>
      <c r="B689" s="164" t="s">
        <v>1729</v>
      </c>
      <c r="C689" s="168" t="s">
        <v>1730</v>
      </c>
      <c r="D689" s="6" t="s">
        <v>274</v>
      </c>
      <c r="E689" s="6" t="s">
        <v>538</v>
      </c>
      <c r="F689" s="79">
        <v>44501</v>
      </c>
      <c r="G689" s="6" t="s">
        <v>16</v>
      </c>
      <c r="H689" s="97">
        <v>44506</v>
      </c>
      <c r="I689" s="6">
        <v>1</v>
      </c>
      <c r="J689" s="8">
        <v>11000</v>
      </c>
      <c r="K689" s="8">
        <f t="shared" si="6"/>
        <v>125.97343105817684</v>
      </c>
      <c r="L689" s="97">
        <v>44506</v>
      </c>
      <c r="M689" s="6" t="s">
        <v>251</v>
      </c>
      <c r="N689" s="97">
        <v>44506</v>
      </c>
      <c r="O689" s="22" t="s">
        <v>5722</v>
      </c>
      <c r="Q689" s="6" t="s">
        <v>356</v>
      </c>
      <c r="R689" s="6" t="str">
        <f t="shared" ca="1" si="7"/>
        <v>NonCategory</v>
      </c>
    </row>
    <row r="690" spans="1:18">
      <c r="A690" s="162">
        <v>44508</v>
      </c>
      <c r="B690" s="164" t="s">
        <v>1829</v>
      </c>
      <c r="C690" s="168" t="s">
        <v>1830</v>
      </c>
      <c r="D690" s="6" t="s">
        <v>319</v>
      </c>
      <c r="E690" s="6" t="s">
        <v>96</v>
      </c>
      <c r="F690" s="79">
        <v>44501</v>
      </c>
      <c r="G690" s="6" t="s">
        <v>16</v>
      </c>
      <c r="H690" s="6" t="s">
        <v>1831</v>
      </c>
      <c r="I690" s="6">
        <v>1</v>
      </c>
      <c r="J690" s="8">
        <v>20000</v>
      </c>
      <c r="K690" s="8">
        <f t="shared" si="6"/>
        <v>229.04260192395787</v>
      </c>
      <c r="L690" s="97">
        <v>44508</v>
      </c>
      <c r="M690" s="6" t="s">
        <v>251</v>
      </c>
      <c r="N690" s="97">
        <v>44508</v>
      </c>
      <c r="O690" s="22" t="s">
        <v>5723</v>
      </c>
      <c r="P690" s="20"/>
      <c r="Q690" s="6" t="s">
        <v>356</v>
      </c>
      <c r="R690" s="6" t="str">
        <f t="shared" ca="1" si="7"/>
        <v>NonCategory</v>
      </c>
    </row>
    <row r="691" spans="1:18">
      <c r="A691" s="162">
        <v>44508</v>
      </c>
      <c r="B691" s="164" t="s">
        <v>1832</v>
      </c>
      <c r="C691" s="168" t="s">
        <v>1833</v>
      </c>
      <c r="D691" s="6" t="s">
        <v>278</v>
      </c>
      <c r="E691" s="6" t="s">
        <v>150</v>
      </c>
      <c r="F691" s="79">
        <v>44501</v>
      </c>
      <c r="G691" s="6" t="s">
        <v>16</v>
      </c>
      <c r="H691" s="6" t="s">
        <v>1744</v>
      </c>
      <c r="I691" s="6">
        <v>1</v>
      </c>
      <c r="J691" s="8">
        <v>21000</v>
      </c>
      <c r="K691" s="8">
        <f t="shared" si="6"/>
        <v>240.49473202015577</v>
      </c>
      <c r="L691" s="97">
        <v>44508</v>
      </c>
      <c r="M691" s="6" t="s">
        <v>251</v>
      </c>
      <c r="N691" s="97">
        <v>44508</v>
      </c>
      <c r="O691" s="18" t="s">
        <v>5724</v>
      </c>
      <c r="P691" s="6" t="s">
        <v>1834</v>
      </c>
      <c r="Q691" s="6" t="s">
        <v>280</v>
      </c>
      <c r="R691" s="6" t="str">
        <f t="shared" ca="1" si="7"/>
        <v>NonCategory</v>
      </c>
    </row>
    <row r="692" spans="1:18">
      <c r="A692" s="162">
        <v>44508</v>
      </c>
      <c r="B692" s="164" t="s">
        <v>1835</v>
      </c>
      <c r="C692" s="168" t="s">
        <v>1836</v>
      </c>
      <c r="D692" s="6" t="s">
        <v>278</v>
      </c>
      <c r="E692" s="6" t="s">
        <v>151</v>
      </c>
      <c r="F692" s="79">
        <v>44501</v>
      </c>
      <c r="G692" s="6" t="s">
        <v>16</v>
      </c>
      <c r="H692" s="6" t="s">
        <v>1744</v>
      </c>
      <c r="I692" s="6">
        <v>1</v>
      </c>
      <c r="J692" s="8">
        <v>21000</v>
      </c>
      <c r="K692" s="8">
        <f t="shared" si="6"/>
        <v>240.49473202015577</v>
      </c>
      <c r="L692" s="97">
        <v>44508</v>
      </c>
      <c r="M692" s="6" t="s">
        <v>251</v>
      </c>
      <c r="N692" s="97">
        <v>44508</v>
      </c>
      <c r="O692" s="22" t="s">
        <v>5725</v>
      </c>
      <c r="P692" s="6" t="s">
        <v>1834</v>
      </c>
      <c r="Q692" s="6" t="s">
        <v>280</v>
      </c>
      <c r="R692" s="6" t="str">
        <f t="shared" ca="1" si="7"/>
        <v>NonCategory</v>
      </c>
    </row>
    <row r="693" spans="1:18">
      <c r="A693" s="162">
        <v>44509</v>
      </c>
      <c r="B693" s="164" t="s">
        <v>1717</v>
      </c>
      <c r="C693" s="168" t="s">
        <v>1718</v>
      </c>
      <c r="D693" s="6" t="s">
        <v>274</v>
      </c>
      <c r="E693" s="6" t="s">
        <v>6</v>
      </c>
      <c r="F693" s="79">
        <v>44501</v>
      </c>
      <c r="G693" s="6" t="s">
        <v>16</v>
      </c>
      <c r="H693" s="6" t="s">
        <v>1744</v>
      </c>
      <c r="I693" s="6">
        <v>1</v>
      </c>
      <c r="J693" s="8">
        <v>45000</v>
      </c>
      <c r="K693" s="8">
        <f t="shared" si="6"/>
        <v>515.34585432890515</v>
      </c>
      <c r="L693" s="97">
        <v>44509</v>
      </c>
      <c r="M693" s="6" t="s">
        <v>251</v>
      </c>
      <c r="N693" s="97">
        <v>44509</v>
      </c>
      <c r="O693" s="22" t="s">
        <v>5726</v>
      </c>
      <c r="Q693" s="6" t="s">
        <v>280</v>
      </c>
      <c r="R693" s="6" t="str">
        <f t="shared" ca="1" si="7"/>
        <v>NonCategory</v>
      </c>
    </row>
    <row r="694" spans="1:18">
      <c r="A694" s="162">
        <v>44509</v>
      </c>
      <c r="B694" s="164" t="s">
        <v>1837</v>
      </c>
      <c r="C694" s="168" t="s">
        <v>1838</v>
      </c>
      <c r="D694" s="6" t="s">
        <v>278</v>
      </c>
      <c r="E694" s="6" t="s">
        <v>6</v>
      </c>
      <c r="F694" s="79">
        <v>44501</v>
      </c>
      <c r="G694" s="6" t="s">
        <v>16</v>
      </c>
      <c r="H694" s="6" t="s">
        <v>1744</v>
      </c>
      <c r="I694" s="6">
        <v>1</v>
      </c>
      <c r="J694" s="8">
        <v>45000</v>
      </c>
      <c r="K694" s="8">
        <f t="shared" si="6"/>
        <v>515.34585432890515</v>
      </c>
      <c r="L694" s="97">
        <v>44509</v>
      </c>
      <c r="M694" s="6" t="s">
        <v>251</v>
      </c>
      <c r="N694" s="97">
        <v>44509</v>
      </c>
      <c r="O694" s="22" t="s">
        <v>5727</v>
      </c>
      <c r="P694" s="6" t="s">
        <v>1839</v>
      </c>
      <c r="Q694" s="6" t="s">
        <v>280</v>
      </c>
      <c r="R694" s="6" t="str">
        <f t="shared" ca="1" si="7"/>
        <v>NonCategory</v>
      </c>
    </row>
    <row r="695" spans="1:18">
      <c r="A695" s="162">
        <v>44509</v>
      </c>
      <c r="B695" s="164" t="s">
        <v>1840</v>
      </c>
      <c r="C695" s="168" t="s">
        <v>1841</v>
      </c>
      <c r="D695" s="6" t="s">
        <v>1842</v>
      </c>
      <c r="E695" s="6" t="s">
        <v>150</v>
      </c>
      <c r="F695" s="79">
        <v>44501</v>
      </c>
      <c r="G695" s="6" t="s">
        <v>16</v>
      </c>
      <c r="H695" s="6" t="s">
        <v>1744</v>
      </c>
      <c r="I695" s="6">
        <v>1</v>
      </c>
      <c r="J695" s="8">
        <v>21000</v>
      </c>
      <c r="K695" s="8">
        <f t="shared" si="6"/>
        <v>240.49473202015577</v>
      </c>
      <c r="L695" s="97">
        <v>44509</v>
      </c>
      <c r="M695" s="6" t="s">
        <v>251</v>
      </c>
      <c r="N695" s="97">
        <v>44509</v>
      </c>
      <c r="O695" s="22" t="s">
        <v>5728</v>
      </c>
      <c r="Q695" s="6" t="s">
        <v>280</v>
      </c>
      <c r="R695" s="6" t="str">
        <f t="shared" ca="1" si="7"/>
        <v>NonCategory</v>
      </c>
    </row>
    <row r="696" spans="1:18">
      <c r="A696" s="162">
        <v>44509</v>
      </c>
      <c r="B696" s="164" t="s">
        <v>1843</v>
      </c>
      <c r="C696" s="168" t="s">
        <v>1844</v>
      </c>
      <c r="D696" s="6" t="s">
        <v>291</v>
      </c>
      <c r="E696" s="6" t="s">
        <v>150</v>
      </c>
      <c r="F696" s="79">
        <v>44501</v>
      </c>
      <c r="G696" s="6" t="s">
        <v>16</v>
      </c>
      <c r="H696" s="6" t="s">
        <v>1744</v>
      </c>
      <c r="I696" s="6">
        <v>1</v>
      </c>
      <c r="J696" s="8">
        <v>20500</v>
      </c>
      <c r="K696" s="8">
        <f t="shared" si="6"/>
        <v>234.76866697205682</v>
      </c>
      <c r="L696" s="97">
        <v>44509</v>
      </c>
      <c r="M696" s="6" t="s">
        <v>251</v>
      </c>
      <c r="N696" s="97">
        <v>44509</v>
      </c>
      <c r="O696" s="22" t="s">
        <v>5729</v>
      </c>
      <c r="Q696" s="6" t="s">
        <v>280</v>
      </c>
      <c r="R696" s="6" t="str">
        <f t="shared" ca="1" si="7"/>
        <v>NonCategory</v>
      </c>
    </row>
    <row r="697" spans="1:18">
      <c r="A697" s="162">
        <v>44510</v>
      </c>
      <c r="B697" s="164" t="s">
        <v>1845</v>
      </c>
      <c r="C697" s="168" t="s">
        <v>1846</v>
      </c>
      <c r="D697" s="6" t="s">
        <v>287</v>
      </c>
      <c r="E697" s="6" t="s">
        <v>150</v>
      </c>
      <c r="F697" s="79">
        <v>44501</v>
      </c>
      <c r="G697" s="6" t="s">
        <v>16</v>
      </c>
      <c r="H697" s="6" t="s">
        <v>1847</v>
      </c>
      <c r="I697" s="6">
        <v>1</v>
      </c>
      <c r="J697" s="8">
        <v>21000</v>
      </c>
      <c r="K697" s="8">
        <f t="shared" si="6"/>
        <v>240.49473202015577</v>
      </c>
      <c r="L697" s="97">
        <v>44510</v>
      </c>
      <c r="M697" s="6" t="s">
        <v>251</v>
      </c>
      <c r="N697" s="97">
        <v>44510</v>
      </c>
      <c r="O697" s="22" t="s">
        <v>5730</v>
      </c>
      <c r="Q697" s="6" t="s">
        <v>280</v>
      </c>
      <c r="R697" s="6" t="str">
        <f t="shared" ca="1" si="7"/>
        <v>NonCategory</v>
      </c>
    </row>
    <row r="698" spans="1:18">
      <c r="A698" s="162">
        <v>44510</v>
      </c>
      <c r="B698" s="164" t="s">
        <v>1848</v>
      </c>
      <c r="C698" s="168" t="s">
        <v>1849</v>
      </c>
      <c r="D698" s="6" t="s">
        <v>287</v>
      </c>
      <c r="E698" s="6" t="s">
        <v>151</v>
      </c>
      <c r="F698" s="79">
        <v>44501</v>
      </c>
      <c r="G698" s="6" t="s">
        <v>16</v>
      </c>
      <c r="H698" s="6" t="s">
        <v>1744</v>
      </c>
      <c r="I698" s="6">
        <v>1</v>
      </c>
      <c r="J698" s="8">
        <v>21000</v>
      </c>
      <c r="K698" s="8">
        <f t="shared" si="6"/>
        <v>240.49473202015577</v>
      </c>
      <c r="L698" s="97">
        <v>44510</v>
      </c>
      <c r="M698" s="6" t="s">
        <v>252</v>
      </c>
      <c r="N698" s="97">
        <v>44511</v>
      </c>
      <c r="O698" s="22" t="s">
        <v>5731</v>
      </c>
      <c r="Q698" s="6" t="s">
        <v>356</v>
      </c>
      <c r="R698" s="6" t="str">
        <f t="shared" ca="1" si="7"/>
        <v>NonCategory</v>
      </c>
    </row>
    <row r="699" spans="1:18" ht="14.4">
      <c r="A699" s="162">
        <v>44510</v>
      </c>
      <c r="B699" s="164" t="s">
        <v>1850</v>
      </c>
      <c r="C699" s="168" t="s">
        <v>1851</v>
      </c>
      <c r="D699" s="6" t="s">
        <v>1291</v>
      </c>
      <c r="E699" s="6" t="s">
        <v>96</v>
      </c>
      <c r="F699" s="79">
        <v>44501</v>
      </c>
      <c r="G699" s="6" t="s">
        <v>16</v>
      </c>
      <c r="H699" s="6" t="s">
        <v>1852</v>
      </c>
      <c r="I699" s="6">
        <v>1</v>
      </c>
      <c r="J699" s="8">
        <v>19000</v>
      </c>
      <c r="K699" s="8">
        <f t="shared" si="6"/>
        <v>217.59047182775998</v>
      </c>
      <c r="L699" s="97">
        <v>44510</v>
      </c>
      <c r="M699" s="6" t="s">
        <v>251</v>
      </c>
      <c r="N699" s="97">
        <v>44510</v>
      </c>
      <c r="O699" s="22" t="s">
        <v>5732</v>
      </c>
      <c r="P699" s="44" t="s">
        <v>1853</v>
      </c>
      <c r="Q699" s="6" t="s">
        <v>280</v>
      </c>
      <c r="R699" s="6" t="str">
        <f t="shared" ca="1" si="7"/>
        <v>NonCategory</v>
      </c>
    </row>
    <row r="700" spans="1:18">
      <c r="A700" s="162">
        <v>44510</v>
      </c>
      <c r="B700" s="164" t="s">
        <v>1854</v>
      </c>
      <c r="C700" s="168" t="s">
        <v>1855</v>
      </c>
      <c r="D700" s="6" t="s">
        <v>319</v>
      </c>
      <c r="E700" s="6" t="s">
        <v>7</v>
      </c>
      <c r="F700" s="79">
        <v>44501</v>
      </c>
      <c r="G700" s="6" t="s">
        <v>16</v>
      </c>
      <c r="H700" s="6" t="s">
        <v>1744</v>
      </c>
      <c r="I700" s="6">
        <v>1</v>
      </c>
      <c r="J700" s="8">
        <v>45000</v>
      </c>
      <c r="K700" s="8">
        <f t="shared" si="6"/>
        <v>515.34585432890515</v>
      </c>
      <c r="L700" s="97">
        <v>44510</v>
      </c>
      <c r="M700" s="6" t="s">
        <v>251</v>
      </c>
      <c r="N700" s="97">
        <v>44510</v>
      </c>
      <c r="O700" s="22" t="s">
        <v>5733</v>
      </c>
      <c r="Q700" s="6" t="s">
        <v>356</v>
      </c>
      <c r="R700" s="6" t="str">
        <f t="shared" ca="1" si="7"/>
        <v>NonCategory</v>
      </c>
    </row>
    <row r="701" spans="1:18" ht="14.4">
      <c r="A701" s="162">
        <v>44511</v>
      </c>
      <c r="B701" s="164" t="s">
        <v>1796</v>
      </c>
      <c r="C701" s="168" t="s">
        <v>1856</v>
      </c>
      <c r="D701" s="6" t="s">
        <v>278</v>
      </c>
      <c r="E701" s="6" t="s">
        <v>151</v>
      </c>
      <c r="F701" s="79">
        <v>44501</v>
      </c>
      <c r="G701" s="6" t="s">
        <v>16</v>
      </c>
      <c r="H701" s="6" t="s">
        <v>1744</v>
      </c>
      <c r="I701" s="6">
        <v>1</v>
      </c>
      <c r="J701" s="8">
        <v>21000</v>
      </c>
      <c r="K701" s="8">
        <f t="shared" si="6"/>
        <v>240.49473202015577</v>
      </c>
      <c r="L701" s="97">
        <v>44511</v>
      </c>
      <c r="M701" s="6" t="s">
        <v>252</v>
      </c>
      <c r="N701" s="97">
        <v>44511</v>
      </c>
      <c r="O701" s="22" t="s">
        <v>5734</v>
      </c>
      <c r="P701" s="44" t="s">
        <v>1857</v>
      </c>
      <c r="Q701" s="6" t="s">
        <v>280</v>
      </c>
      <c r="R701" s="6" t="str">
        <f t="shared" ca="1" si="7"/>
        <v>NonCategory</v>
      </c>
    </row>
    <row r="702" spans="1:18">
      <c r="A702" s="162">
        <v>44511</v>
      </c>
      <c r="B702" s="164" t="s">
        <v>1858</v>
      </c>
      <c r="C702" s="168" t="s">
        <v>1859</v>
      </c>
      <c r="D702" s="6" t="s">
        <v>495</v>
      </c>
      <c r="E702" s="6" t="s">
        <v>151</v>
      </c>
      <c r="F702" s="79">
        <v>44501</v>
      </c>
      <c r="G702" s="6" t="s">
        <v>16</v>
      </c>
      <c r="H702" s="6" t="s">
        <v>1744</v>
      </c>
      <c r="I702" s="6">
        <v>1</v>
      </c>
      <c r="J702" s="8">
        <v>21000</v>
      </c>
      <c r="K702" s="8">
        <f t="shared" si="6"/>
        <v>240.49473202015577</v>
      </c>
      <c r="L702" s="97">
        <v>44511</v>
      </c>
      <c r="M702" s="6" t="s">
        <v>252</v>
      </c>
      <c r="N702" s="97">
        <v>44511</v>
      </c>
      <c r="O702" s="22" t="s">
        <v>5735</v>
      </c>
      <c r="Q702" s="6" t="s">
        <v>280</v>
      </c>
      <c r="R702" s="6" t="str">
        <f t="shared" ca="1" si="7"/>
        <v>NonCategory</v>
      </c>
    </row>
    <row r="703" spans="1:18">
      <c r="A703" s="162">
        <v>44512</v>
      </c>
      <c r="B703" s="164" t="s">
        <v>1860</v>
      </c>
      <c r="C703" s="168" t="s">
        <v>1861</v>
      </c>
      <c r="D703" s="6" t="s">
        <v>278</v>
      </c>
      <c r="E703" s="6" t="s">
        <v>151</v>
      </c>
      <c r="F703" s="79">
        <v>44501</v>
      </c>
      <c r="G703" s="6" t="s">
        <v>16</v>
      </c>
      <c r="H703" s="6" t="s">
        <v>1744</v>
      </c>
      <c r="I703" s="6">
        <v>1</v>
      </c>
      <c r="J703" s="8">
        <v>21000</v>
      </c>
      <c r="K703" s="8">
        <f t="shared" si="6"/>
        <v>240.49473202015577</v>
      </c>
      <c r="L703" s="97">
        <v>44512</v>
      </c>
      <c r="M703" s="6" t="s">
        <v>252</v>
      </c>
      <c r="N703" s="97">
        <v>44512</v>
      </c>
      <c r="O703" s="18" t="s">
        <v>5736</v>
      </c>
      <c r="P703" s="6" t="s">
        <v>1862</v>
      </c>
      <c r="Q703" s="6" t="s">
        <v>280</v>
      </c>
      <c r="R703" s="6" t="str">
        <f t="shared" ca="1" si="7"/>
        <v>NonCategory</v>
      </c>
    </row>
    <row r="704" spans="1:18">
      <c r="A704" s="162">
        <v>44512</v>
      </c>
      <c r="B704" s="164" t="s">
        <v>1863</v>
      </c>
      <c r="C704" s="168" t="s">
        <v>1864</v>
      </c>
      <c r="D704" s="6" t="s">
        <v>287</v>
      </c>
      <c r="E704" s="6" t="s">
        <v>6</v>
      </c>
      <c r="F704" s="79">
        <v>44501</v>
      </c>
      <c r="G704" s="6" t="s">
        <v>16</v>
      </c>
      <c r="H704" s="6" t="s">
        <v>1744</v>
      </c>
      <c r="I704" s="6">
        <v>1</v>
      </c>
      <c r="J704" s="8">
        <v>45000</v>
      </c>
      <c r="K704" s="8">
        <f t="shared" si="6"/>
        <v>515.34585432890515</v>
      </c>
      <c r="L704" s="97">
        <v>44512</v>
      </c>
      <c r="M704" s="6" t="s">
        <v>252</v>
      </c>
      <c r="N704" s="97">
        <v>44512</v>
      </c>
      <c r="O704" s="22" t="s">
        <v>5737</v>
      </c>
      <c r="Q704" s="6" t="s">
        <v>280</v>
      </c>
      <c r="R704" s="6" t="str">
        <f t="shared" ca="1" si="7"/>
        <v>NonCategory</v>
      </c>
    </row>
    <row r="705" spans="1:18">
      <c r="A705" s="162">
        <v>44512</v>
      </c>
      <c r="B705" s="164" t="s">
        <v>1865</v>
      </c>
      <c r="C705" s="168" t="s">
        <v>1866</v>
      </c>
      <c r="D705" s="6" t="s">
        <v>278</v>
      </c>
      <c r="E705" s="6" t="s">
        <v>97</v>
      </c>
      <c r="F705" s="79">
        <v>44501</v>
      </c>
      <c r="G705" s="6" t="s">
        <v>16</v>
      </c>
      <c r="H705" s="6" t="s">
        <v>1744</v>
      </c>
      <c r="I705" s="6">
        <v>1</v>
      </c>
      <c r="J705" s="8">
        <v>20000</v>
      </c>
      <c r="K705" s="8">
        <f t="shared" si="6"/>
        <v>229.04260192395787</v>
      </c>
      <c r="L705" s="97">
        <v>44512</v>
      </c>
      <c r="M705" s="6" t="s">
        <v>252</v>
      </c>
      <c r="N705" s="97">
        <v>44512</v>
      </c>
      <c r="O705" s="22" t="s">
        <v>5738</v>
      </c>
      <c r="P705" s="6" t="s">
        <v>1867</v>
      </c>
      <c r="Q705" s="6" t="s">
        <v>280</v>
      </c>
      <c r="R705" s="6" t="str">
        <f t="shared" ca="1" si="7"/>
        <v>NonCategory</v>
      </c>
    </row>
    <row r="706" spans="1:18">
      <c r="A706" s="162">
        <v>44516</v>
      </c>
      <c r="B706" s="164" t="s">
        <v>1868</v>
      </c>
      <c r="C706" s="168" t="s">
        <v>1869</v>
      </c>
      <c r="D706" s="6" t="s">
        <v>1731</v>
      </c>
      <c r="E706" s="6" t="s">
        <v>151</v>
      </c>
      <c r="F706" s="79">
        <v>44501</v>
      </c>
      <c r="G706" s="6" t="s">
        <v>16</v>
      </c>
      <c r="H706" s="6" t="s">
        <v>1852</v>
      </c>
      <c r="I706" s="6">
        <v>1</v>
      </c>
      <c r="J706" s="8">
        <v>21000</v>
      </c>
      <c r="K706" s="8">
        <f t="shared" si="6"/>
        <v>240.49473202015577</v>
      </c>
      <c r="L706" s="97">
        <v>44516</v>
      </c>
      <c r="M706" s="6" t="s">
        <v>252</v>
      </c>
      <c r="N706" s="97">
        <v>44516</v>
      </c>
      <c r="O706" s="22" t="s">
        <v>5739</v>
      </c>
      <c r="Q706" s="6" t="s">
        <v>356</v>
      </c>
      <c r="R706" s="6" t="str">
        <f t="shared" ca="1" si="7"/>
        <v>NonCategory</v>
      </c>
    </row>
    <row r="707" spans="1:18">
      <c r="A707" s="162">
        <v>44516</v>
      </c>
      <c r="B707" s="164" t="s">
        <v>1870</v>
      </c>
      <c r="C707" s="168" t="s">
        <v>1871</v>
      </c>
      <c r="D707" s="6" t="s">
        <v>495</v>
      </c>
      <c r="E707" s="6" t="s">
        <v>14</v>
      </c>
      <c r="F707" s="79">
        <v>44501</v>
      </c>
      <c r="G707" s="6" t="s">
        <v>16</v>
      </c>
      <c r="H707" s="6" t="s">
        <v>1872</v>
      </c>
      <c r="I707" s="6">
        <v>1</v>
      </c>
      <c r="J707" s="8">
        <v>31000</v>
      </c>
      <c r="K707" s="8">
        <f t="shared" si="6"/>
        <v>355.01603298213467</v>
      </c>
      <c r="L707" s="97">
        <v>44516</v>
      </c>
      <c r="M707" s="6" t="s">
        <v>252</v>
      </c>
      <c r="N707" s="97">
        <v>44516</v>
      </c>
      <c r="O707" s="22" t="s">
        <v>5740</v>
      </c>
      <c r="Q707" s="6" t="s">
        <v>356</v>
      </c>
      <c r="R707" s="6" t="str">
        <f t="shared" ca="1" si="7"/>
        <v>NonCategory</v>
      </c>
    </row>
    <row r="708" spans="1:18">
      <c r="A708" s="162">
        <v>44518</v>
      </c>
      <c r="B708" s="164" t="s">
        <v>1873</v>
      </c>
      <c r="C708" s="168" t="s">
        <v>1874</v>
      </c>
      <c r="D708" s="6" t="s">
        <v>287</v>
      </c>
      <c r="E708" s="6" t="s">
        <v>96</v>
      </c>
      <c r="F708" s="79">
        <v>44501</v>
      </c>
      <c r="G708" s="6" t="s">
        <v>16</v>
      </c>
      <c r="H708" s="6" t="s">
        <v>1728</v>
      </c>
      <c r="I708" s="6">
        <v>1</v>
      </c>
      <c r="J708" s="8">
        <v>20000</v>
      </c>
      <c r="K708" s="8">
        <f t="shared" si="6"/>
        <v>229.04260192395787</v>
      </c>
      <c r="L708" s="97">
        <v>44518</v>
      </c>
      <c r="M708" s="6" t="s">
        <v>252</v>
      </c>
      <c r="N708" s="97">
        <v>44518</v>
      </c>
      <c r="O708" s="22" t="s">
        <v>5741</v>
      </c>
      <c r="Q708" s="6" t="s">
        <v>280</v>
      </c>
      <c r="R708" s="6" t="str">
        <f t="shared" ca="1" si="7"/>
        <v>NonCategory</v>
      </c>
    </row>
    <row r="709" spans="1:18">
      <c r="A709" s="162">
        <v>44520</v>
      </c>
      <c r="B709" s="164" t="s">
        <v>1875</v>
      </c>
      <c r="C709" s="168" t="s">
        <v>1876</v>
      </c>
      <c r="D709" s="6" t="s">
        <v>1842</v>
      </c>
      <c r="E709" s="6" t="s">
        <v>150</v>
      </c>
      <c r="F709" s="79">
        <v>44501</v>
      </c>
      <c r="G709" s="6" t="s">
        <v>16</v>
      </c>
      <c r="H709" s="6" t="s">
        <v>1852</v>
      </c>
      <c r="I709" s="6">
        <v>1</v>
      </c>
      <c r="J709" s="8">
        <v>21000</v>
      </c>
      <c r="K709" s="8">
        <f t="shared" si="6"/>
        <v>240.49473202015577</v>
      </c>
      <c r="L709" s="97">
        <v>44520</v>
      </c>
      <c r="M709" s="6" t="s">
        <v>252</v>
      </c>
      <c r="N709" s="97">
        <v>44520</v>
      </c>
      <c r="O709" s="22" t="s">
        <v>5742</v>
      </c>
      <c r="Q709" s="6" t="s">
        <v>356</v>
      </c>
      <c r="R709" s="6" t="str">
        <f t="shared" ca="1" si="7"/>
        <v>NonCategory</v>
      </c>
    </row>
    <row r="710" spans="1:18">
      <c r="A710" s="162">
        <v>44521</v>
      </c>
      <c r="B710" s="164" t="s">
        <v>1722</v>
      </c>
      <c r="C710" s="168" t="s">
        <v>1723</v>
      </c>
      <c r="D710" s="6" t="s">
        <v>274</v>
      </c>
      <c r="E710" s="6" t="s">
        <v>1698</v>
      </c>
      <c r="F710" s="79">
        <v>44501</v>
      </c>
      <c r="G710" s="6" t="s">
        <v>16</v>
      </c>
      <c r="H710" s="97">
        <v>44527</v>
      </c>
      <c r="I710" s="6">
        <v>1</v>
      </c>
      <c r="J710" s="8">
        <v>38000</v>
      </c>
      <c r="K710" s="8">
        <f t="shared" si="6"/>
        <v>435.18094365551997</v>
      </c>
      <c r="L710" s="97">
        <v>44521</v>
      </c>
      <c r="M710" s="6" t="s">
        <v>253</v>
      </c>
      <c r="N710" s="97">
        <v>44521</v>
      </c>
      <c r="O710" s="22" t="s">
        <v>5743</v>
      </c>
      <c r="Q710" s="6" t="s">
        <v>356</v>
      </c>
      <c r="R710" s="6" t="str">
        <f t="shared" ca="1" si="7"/>
        <v>NonCategory</v>
      </c>
    </row>
    <row r="711" spans="1:18" ht="14.4">
      <c r="A711" s="162">
        <v>44523</v>
      </c>
      <c r="B711" s="164" t="s">
        <v>1877</v>
      </c>
      <c r="C711" s="168" t="s">
        <v>1878</v>
      </c>
      <c r="D711" s="6" t="s">
        <v>278</v>
      </c>
      <c r="E711" s="6" t="s">
        <v>97</v>
      </c>
      <c r="F711" s="79">
        <v>44501</v>
      </c>
      <c r="G711" s="6" t="s">
        <v>16</v>
      </c>
      <c r="H711" s="6" t="s">
        <v>1728</v>
      </c>
      <c r="I711" s="6">
        <v>1</v>
      </c>
      <c r="J711" s="8">
        <v>22000</v>
      </c>
      <c r="K711" s="8">
        <f t="shared" si="6"/>
        <v>251.94686211635369</v>
      </c>
      <c r="L711" s="97">
        <v>44523</v>
      </c>
      <c r="M711" s="6" t="s">
        <v>253</v>
      </c>
      <c r="N711" s="97">
        <v>44523</v>
      </c>
      <c r="O711" s="22" t="s">
        <v>5744</v>
      </c>
      <c r="P711" s="44" t="s">
        <v>1802</v>
      </c>
      <c r="Q711" s="6" t="s">
        <v>280</v>
      </c>
      <c r="R711" s="6" t="str">
        <f t="shared" ca="1" si="7"/>
        <v>NonCategory</v>
      </c>
    </row>
    <row r="712" spans="1:18">
      <c r="A712" s="162">
        <v>44523</v>
      </c>
      <c r="B712" s="164" t="s">
        <v>1879</v>
      </c>
      <c r="C712" s="168" t="s">
        <v>1880</v>
      </c>
      <c r="D712" s="6" t="s">
        <v>319</v>
      </c>
      <c r="E712" s="6" t="s">
        <v>151</v>
      </c>
      <c r="F712" s="79">
        <v>44501</v>
      </c>
      <c r="G712" s="6" t="s">
        <v>16</v>
      </c>
      <c r="H712" s="6" t="s">
        <v>1881</v>
      </c>
      <c r="I712" s="6">
        <v>1</v>
      </c>
      <c r="J712" s="8">
        <v>21000</v>
      </c>
      <c r="K712" s="8">
        <f t="shared" si="6"/>
        <v>240.49473202015577</v>
      </c>
      <c r="L712" s="97">
        <v>44523</v>
      </c>
      <c r="M712" s="6" t="s">
        <v>253</v>
      </c>
      <c r="N712" s="97">
        <v>44523</v>
      </c>
      <c r="O712" s="22" t="s">
        <v>5745</v>
      </c>
      <c r="Q712" s="6" t="s">
        <v>356</v>
      </c>
      <c r="R712" s="6" t="str">
        <f t="shared" ca="1" si="7"/>
        <v>NonCategory</v>
      </c>
    </row>
    <row r="713" spans="1:18" ht="14.4">
      <c r="A713" s="162">
        <v>44523</v>
      </c>
      <c r="B713" s="164" t="s">
        <v>1882</v>
      </c>
      <c r="C713" s="168" t="s">
        <v>1883</v>
      </c>
      <c r="D713" s="6" t="s">
        <v>278</v>
      </c>
      <c r="E713" s="6" t="s">
        <v>1884</v>
      </c>
      <c r="F713" s="79">
        <v>44501</v>
      </c>
      <c r="G713" s="6" t="s">
        <v>16</v>
      </c>
      <c r="H713" s="97">
        <v>44523</v>
      </c>
      <c r="I713" s="6">
        <v>1</v>
      </c>
      <c r="J713" s="8">
        <v>43000</v>
      </c>
      <c r="K713" s="8">
        <f t="shared" si="6"/>
        <v>492.44159413650942</v>
      </c>
      <c r="L713" s="97">
        <v>44523</v>
      </c>
      <c r="M713" s="6" t="s">
        <v>253</v>
      </c>
      <c r="N713" s="97">
        <v>44523</v>
      </c>
      <c r="O713" s="22" t="s">
        <v>5746</v>
      </c>
      <c r="P713" s="44" t="s">
        <v>1204</v>
      </c>
      <c r="Q713" s="6" t="s">
        <v>356</v>
      </c>
      <c r="R713" s="6" t="str">
        <f t="shared" ca="1" si="7"/>
        <v>NonCategory</v>
      </c>
    </row>
    <row r="714" spans="1:18" ht="14.4">
      <c r="A714" s="162">
        <v>44524</v>
      </c>
      <c r="B714" s="164" t="s">
        <v>1885</v>
      </c>
      <c r="C714" s="168" t="s">
        <v>1886</v>
      </c>
      <c r="D714" s="6" t="s">
        <v>278</v>
      </c>
      <c r="E714" s="6" t="s">
        <v>97</v>
      </c>
      <c r="F714" s="79">
        <v>44501</v>
      </c>
      <c r="G714" s="6" t="s">
        <v>16</v>
      </c>
      <c r="H714" s="6" t="s">
        <v>1728</v>
      </c>
      <c r="I714" s="6">
        <v>1</v>
      </c>
      <c r="J714" s="8">
        <v>19000</v>
      </c>
      <c r="K714" s="8">
        <f t="shared" si="6"/>
        <v>217.59047182775998</v>
      </c>
      <c r="L714" s="97">
        <v>44524</v>
      </c>
      <c r="M714" s="6" t="s">
        <v>253</v>
      </c>
      <c r="N714" s="97">
        <v>44524</v>
      </c>
      <c r="O714" s="18" t="s">
        <v>5747</v>
      </c>
      <c r="P714" s="44" t="s">
        <v>1887</v>
      </c>
      <c r="Q714" s="6" t="s">
        <v>280</v>
      </c>
      <c r="R714" s="6" t="str">
        <f t="shared" ca="1" si="7"/>
        <v>NonCategory</v>
      </c>
    </row>
    <row r="715" spans="1:18">
      <c r="A715" s="162">
        <v>44524</v>
      </c>
      <c r="B715" s="164" t="s">
        <v>1888</v>
      </c>
      <c r="C715" s="168" t="s">
        <v>1889</v>
      </c>
      <c r="D715" s="6" t="s">
        <v>319</v>
      </c>
      <c r="E715" s="6" t="s">
        <v>151</v>
      </c>
      <c r="F715" s="79">
        <v>44531</v>
      </c>
      <c r="G715" s="6" t="s">
        <v>16</v>
      </c>
      <c r="H715" s="6" t="s">
        <v>1847</v>
      </c>
      <c r="I715" s="6">
        <v>1</v>
      </c>
      <c r="J715" s="8">
        <v>21000</v>
      </c>
      <c r="K715" s="8">
        <f t="shared" si="6"/>
        <v>240.49473202015577</v>
      </c>
      <c r="L715" s="97">
        <v>44524</v>
      </c>
      <c r="M715" s="6" t="s">
        <v>251</v>
      </c>
      <c r="N715" s="97">
        <v>44531</v>
      </c>
      <c r="O715" s="22" t="s">
        <v>5748</v>
      </c>
      <c r="P715" s="20"/>
      <c r="Q715" s="6" t="s">
        <v>280</v>
      </c>
      <c r="R715" s="6" t="str">
        <f t="shared" ca="1" si="7"/>
        <v>NonCategory</v>
      </c>
    </row>
    <row r="716" spans="1:18">
      <c r="A716" s="162">
        <v>44526</v>
      </c>
      <c r="B716" s="164" t="s">
        <v>1890</v>
      </c>
      <c r="C716" s="168" t="s">
        <v>1891</v>
      </c>
      <c r="D716" s="6" t="s">
        <v>319</v>
      </c>
      <c r="E716" s="6" t="s">
        <v>97</v>
      </c>
      <c r="F716" s="79">
        <v>44501</v>
      </c>
      <c r="G716" s="6" t="s">
        <v>16</v>
      </c>
      <c r="H716" s="6" t="s">
        <v>1881</v>
      </c>
      <c r="I716" s="6">
        <v>1</v>
      </c>
      <c r="J716" s="8">
        <v>20000</v>
      </c>
      <c r="K716" s="8">
        <f t="shared" si="6"/>
        <v>229.04260192395787</v>
      </c>
      <c r="L716" s="97">
        <v>44526</v>
      </c>
      <c r="M716" s="6" t="s">
        <v>253</v>
      </c>
      <c r="N716" s="97">
        <v>44526</v>
      </c>
      <c r="O716" s="22" t="s">
        <v>5749</v>
      </c>
      <c r="Q716" s="6" t="s">
        <v>280</v>
      </c>
      <c r="R716" s="6" t="str">
        <f t="shared" ca="1" si="7"/>
        <v>NonCategory</v>
      </c>
    </row>
    <row r="717" spans="1:18">
      <c r="A717" s="162">
        <v>44526</v>
      </c>
      <c r="B717" s="164" t="s">
        <v>1892</v>
      </c>
      <c r="C717" s="168" t="s">
        <v>1893</v>
      </c>
      <c r="D717" s="6" t="s">
        <v>319</v>
      </c>
      <c r="E717" s="6" t="s">
        <v>151</v>
      </c>
      <c r="F717" s="79">
        <v>44501</v>
      </c>
      <c r="G717" s="6" t="s">
        <v>16</v>
      </c>
      <c r="H717" s="6" t="s">
        <v>1881</v>
      </c>
      <c r="I717" s="6">
        <v>1</v>
      </c>
      <c r="J717" s="8">
        <v>21000</v>
      </c>
      <c r="K717" s="8">
        <f t="shared" si="6"/>
        <v>240.49473202015577</v>
      </c>
      <c r="L717" s="97">
        <v>44526</v>
      </c>
      <c r="M717" s="6" t="s">
        <v>253</v>
      </c>
      <c r="N717" s="97">
        <v>44526</v>
      </c>
      <c r="O717" s="22" t="s">
        <v>5750</v>
      </c>
      <c r="Q717" s="6" t="s">
        <v>280</v>
      </c>
      <c r="R717" s="6" t="str">
        <f t="shared" ca="1" si="7"/>
        <v>NonCategory</v>
      </c>
    </row>
    <row r="718" spans="1:18">
      <c r="A718" s="162">
        <v>44527</v>
      </c>
      <c r="B718" s="164" t="s">
        <v>1894</v>
      </c>
      <c r="C718" s="168" t="s">
        <v>1895</v>
      </c>
      <c r="D718" s="6" t="s">
        <v>274</v>
      </c>
      <c r="E718" s="6" t="s">
        <v>150</v>
      </c>
      <c r="F718" s="79">
        <v>44501</v>
      </c>
      <c r="G718" s="6" t="s">
        <v>16</v>
      </c>
      <c r="H718" s="6" t="s">
        <v>1896</v>
      </c>
      <c r="I718" s="6">
        <v>20</v>
      </c>
      <c r="J718" s="8">
        <v>141600</v>
      </c>
      <c r="K718" s="8">
        <f t="shared" si="6"/>
        <v>1621.6216216216217</v>
      </c>
      <c r="L718" s="97">
        <v>44525</v>
      </c>
      <c r="M718" s="6" t="s">
        <v>253</v>
      </c>
      <c r="N718" s="97">
        <v>44525</v>
      </c>
      <c r="O718" s="128" t="s">
        <v>1897</v>
      </c>
      <c r="Q718" s="6" t="s">
        <v>356</v>
      </c>
      <c r="R718" s="6" t="str">
        <f t="shared" ca="1" si="7"/>
        <v>NonCategory</v>
      </c>
    </row>
    <row r="719" spans="1:18">
      <c r="A719" s="162">
        <v>44528</v>
      </c>
      <c r="B719" s="164" t="s">
        <v>1898</v>
      </c>
      <c r="C719" s="168" t="s">
        <v>1899</v>
      </c>
      <c r="D719" s="6" t="s">
        <v>303</v>
      </c>
      <c r="E719" s="6" t="s">
        <v>96</v>
      </c>
      <c r="F719" s="79">
        <v>44501</v>
      </c>
      <c r="G719" s="6" t="s">
        <v>16</v>
      </c>
      <c r="H719" s="6" t="s">
        <v>1881</v>
      </c>
      <c r="I719" s="6">
        <v>1</v>
      </c>
      <c r="J719" s="8">
        <v>20000</v>
      </c>
      <c r="K719" s="8">
        <f t="shared" si="6"/>
        <v>229.04260192395787</v>
      </c>
      <c r="L719" s="97">
        <v>44528</v>
      </c>
      <c r="M719" s="6" t="s">
        <v>253</v>
      </c>
      <c r="N719" s="97">
        <v>44528</v>
      </c>
      <c r="O719" s="22" t="s">
        <v>5751</v>
      </c>
      <c r="Q719" s="6" t="s">
        <v>280</v>
      </c>
      <c r="R719" s="6" t="str">
        <f t="shared" ca="1" si="7"/>
        <v>NonCategory</v>
      </c>
    </row>
    <row r="720" spans="1:18">
      <c r="A720" s="162">
        <v>44529</v>
      </c>
      <c r="B720" s="164" t="s">
        <v>1900</v>
      </c>
      <c r="C720" s="168" t="s">
        <v>1901</v>
      </c>
      <c r="D720" s="6" t="s">
        <v>303</v>
      </c>
      <c r="E720" s="6" t="s">
        <v>151</v>
      </c>
      <c r="F720" s="79">
        <v>44501</v>
      </c>
      <c r="G720" s="6" t="s">
        <v>16</v>
      </c>
      <c r="H720" s="6" t="s">
        <v>1881</v>
      </c>
      <c r="I720" s="6">
        <v>1</v>
      </c>
      <c r="J720" s="8">
        <v>21000</v>
      </c>
      <c r="K720" s="8">
        <f t="shared" si="6"/>
        <v>240.49473202015577</v>
      </c>
      <c r="L720" s="97">
        <v>44529</v>
      </c>
      <c r="M720" s="6" t="s">
        <v>253</v>
      </c>
      <c r="N720" s="97">
        <v>44529</v>
      </c>
      <c r="O720" s="22" t="s">
        <v>5752</v>
      </c>
      <c r="Q720" s="6" t="s">
        <v>280</v>
      </c>
      <c r="R720" s="6" t="str">
        <f t="shared" ca="1" si="7"/>
        <v>NonCategory</v>
      </c>
    </row>
    <row r="721" spans="1:18">
      <c r="A721" s="162">
        <v>44529</v>
      </c>
      <c r="B721" s="164" t="s">
        <v>1902</v>
      </c>
      <c r="C721" s="168" t="s">
        <v>1903</v>
      </c>
      <c r="D721" s="6" t="s">
        <v>303</v>
      </c>
      <c r="E721" s="6" t="s">
        <v>151</v>
      </c>
      <c r="F721" s="79">
        <v>44501</v>
      </c>
      <c r="G721" s="6" t="s">
        <v>16</v>
      </c>
      <c r="H721" s="6" t="s">
        <v>1847</v>
      </c>
      <c r="I721" s="6">
        <v>1</v>
      </c>
      <c r="J721" s="8">
        <v>21000</v>
      </c>
      <c r="K721" s="8">
        <f t="shared" si="6"/>
        <v>240.49473202015577</v>
      </c>
      <c r="L721" s="97">
        <v>44529</v>
      </c>
      <c r="M721" s="6" t="s">
        <v>253</v>
      </c>
      <c r="N721" s="97">
        <v>44529</v>
      </c>
      <c r="O721" s="22" t="s">
        <v>5753</v>
      </c>
      <c r="Q721" s="6" t="s">
        <v>356</v>
      </c>
      <c r="R721" s="6" t="str">
        <f t="shared" ca="1" si="7"/>
        <v>NonCategory</v>
      </c>
    </row>
    <row r="722" spans="1:18">
      <c r="A722" s="162">
        <v>44530</v>
      </c>
      <c r="B722" s="164" t="s">
        <v>1904</v>
      </c>
      <c r="C722" s="168" t="s">
        <v>1905</v>
      </c>
      <c r="D722" s="6" t="s">
        <v>287</v>
      </c>
      <c r="E722" s="6" t="s">
        <v>151</v>
      </c>
      <c r="F722" s="79">
        <v>44501</v>
      </c>
      <c r="G722" s="6" t="s">
        <v>16</v>
      </c>
      <c r="H722" s="6" t="s">
        <v>1881</v>
      </c>
      <c r="I722" s="6">
        <v>1</v>
      </c>
      <c r="J722" s="8">
        <v>21000</v>
      </c>
      <c r="K722" s="8">
        <f t="shared" si="6"/>
        <v>240.49473202015577</v>
      </c>
      <c r="L722" s="97">
        <v>44530</v>
      </c>
      <c r="M722" s="6" t="s">
        <v>253</v>
      </c>
      <c r="N722" s="97">
        <v>44530</v>
      </c>
      <c r="O722" s="22" t="s">
        <v>5754</v>
      </c>
      <c r="Q722" s="6" t="s">
        <v>280</v>
      </c>
      <c r="R722" s="6" t="str">
        <f t="shared" ca="1" si="7"/>
        <v>NonCategory</v>
      </c>
    </row>
    <row r="723" spans="1:18">
      <c r="A723" s="162">
        <v>44530</v>
      </c>
      <c r="B723" s="164" t="s">
        <v>1906</v>
      </c>
      <c r="C723" s="168" t="s">
        <v>1907</v>
      </c>
      <c r="D723" s="6" t="s">
        <v>319</v>
      </c>
      <c r="E723" s="6" t="s">
        <v>1715</v>
      </c>
      <c r="F723" s="79">
        <v>44501</v>
      </c>
      <c r="G723" s="6" t="s">
        <v>16</v>
      </c>
      <c r="H723" s="97">
        <v>44530</v>
      </c>
      <c r="I723" s="6">
        <v>1</v>
      </c>
      <c r="J723" s="8">
        <v>15500</v>
      </c>
      <c r="K723" s="8">
        <f t="shared" si="6"/>
        <v>177.50801649106734</v>
      </c>
      <c r="L723" s="97">
        <v>44530</v>
      </c>
      <c r="M723" s="6" t="s">
        <v>253</v>
      </c>
      <c r="N723" s="97">
        <v>44530</v>
      </c>
      <c r="O723" s="18" t="s">
        <v>5755</v>
      </c>
      <c r="Q723" s="6" t="s">
        <v>356</v>
      </c>
      <c r="R723" s="6" t="str">
        <f t="shared" ca="1" si="7"/>
        <v>NonCategory</v>
      </c>
    </row>
    <row r="724" spans="1:18">
      <c r="A724" s="162">
        <v>44530</v>
      </c>
      <c r="B724" s="164" t="s">
        <v>1908</v>
      </c>
      <c r="C724" s="168" t="s">
        <v>1909</v>
      </c>
      <c r="D724" s="6" t="s">
        <v>278</v>
      </c>
      <c r="E724" s="6" t="s">
        <v>150</v>
      </c>
      <c r="F724" s="79">
        <v>44501</v>
      </c>
      <c r="G724" s="6" t="s">
        <v>16</v>
      </c>
      <c r="H724" s="6" t="s">
        <v>1728</v>
      </c>
      <c r="I724" s="6">
        <v>1</v>
      </c>
      <c r="J724" s="8">
        <v>21000</v>
      </c>
      <c r="K724" s="8">
        <f t="shared" si="6"/>
        <v>240.49473202015577</v>
      </c>
      <c r="L724" s="97">
        <v>44530</v>
      </c>
      <c r="M724" s="6" t="s">
        <v>253</v>
      </c>
      <c r="N724" s="97">
        <v>44530</v>
      </c>
      <c r="O724" s="22" t="s">
        <v>5756</v>
      </c>
      <c r="P724" s="6" t="s">
        <v>1478</v>
      </c>
      <c r="Q724" s="6" t="s">
        <v>280</v>
      </c>
      <c r="R724" s="6" t="str">
        <f t="shared" ca="1" si="7"/>
        <v>NonCategory</v>
      </c>
    </row>
    <row r="725" spans="1:18">
      <c r="A725" s="162">
        <v>44530</v>
      </c>
      <c r="B725" s="164" t="s">
        <v>1910</v>
      </c>
      <c r="C725" s="168" t="s">
        <v>1911</v>
      </c>
      <c r="D725" s="6" t="s">
        <v>274</v>
      </c>
      <c r="E725" s="6" t="s">
        <v>150</v>
      </c>
      <c r="F725" s="79">
        <v>44501</v>
      </c>
      <c r="G725" s="6" t="s">
        <v>16</v>
      </c>
      <c r="H725" s="6" t="s">
        <v>1728</v>
      </c>
      <c r="I725" s="6">
        <v>1</v>
      </c>
      <c r="J725" s="8">
        <v>21000</v>
      </c>
      <c r="K725" s="8">
        <f t="shared" si="6"/>
        <v>240.49473202015577</v>
      </c>
      <c r="L725" s="97">
        <v>44530</v>
      </c>
      <c r="M725" s="6" t="s">
        <v>253</v>
      </c>
      <c r="N725" s="97">
        <v>44530</v>
      </c>
      <c r="O725" s="22" t="s">
        <v>5757</v>
      </c>
      <c r="Q725" s="6" t="s">
        <v>280</v>
      </c>
      <c r="R725" s="6" t="str">
        <f t="shared" ca="1" si="7"/>
        <v>NonCategory</v>
      </c>
    </row>
    <row r="726" spans="1:18">
      <c r="A726" s="162">
        <v>44530</v>
      </c>
      <c r="B726" s="164" t="s">
        <v>1912</v>
      </c>
      <c r="C726" s="168" t="s">
        <v>1913</v>
      </c>
      <c r="D726" s="6" t="s">
        <v>278</v>
      </c>
      <c r="E726" s="6" t="s">
        <v>150</v>
      </c>
      <c r="F726" s="79">
        <v>44501</v>
      </c>
      <c r="G726" s="6" t="s">
        <v>16</v>
      </c>
      <c r="H726" s="6" t="s">
        <v>1847</v>
      </c>
      <c r="I726" s="6">
        <v>1</v>
      </c>
      <c r="J726" s="8">
        <v>21000</v>
      </c>
      <c r="K726" s="8">
        <f t="shared" si="6"/>
        <v>240.49473202015577</v>
      </c>
      <c r="L726" s="97">
        <v>44530</v>
      </c>
      <c r="M726" s="6" t="s">
        <v>253</v>
      </c>
      <c r="N726" s="97">
        <v>44530</v>
      </c>
      <c r="O726" s="22" t="s">
        <v>5758</v>
      </c>
      <c r="P726" s="6" t="s">
        <v>1914</v>
      </c>
      <c r="Q726" s="6" t="s">
        <v>280</v>
      </c>
      <c r="R726" s="6" t="str">
        <f t="shared" ca="1" si="7"/>
        <v>NonCategory</v>
      </c>
    </row>
    <row r="727" spans="1:18">
      <c r="A727" s="162">
        <v>44530</v>
      </c>
      <c r="B727" s="164" t="s">
        <v>1915</v>
      </c>
      <c r="C727" s="168" t="s">
        <v>1916</v>
      </c>
      <c r="D727" s="6" t="s">
        <v>278</v>
      </c>
      <c r="E727" s="6" t="s">
        <v>150</v>
      </c>
      <c r="F727" s="79">
        <v>44501</v>
      </c>
      <c r="G727" s="6" t="s">
        <v>16</v>
      </c>
      <c r="H727" s="6" t="s">
        <v>1847</v>
      </c>
      <c r="I727" s="6">
        <v>1</v>
      </c>
      <c r="J727" s="8">
        <v>21000</v>
      </c>
      <c r="K727" s="8">
        <f t="shared" si="6"/>
        <v>240.49473202015577</v>
      </c>
      <c r="L727" s="97">
        <v>44530</v>
      </c>
      <c r="M727" s="6" t="s">
        <v>253</v>
      </c>
      <c r="N727" s="97">
        <v>44530</v>
      </c>
      <c r="O727" s="22" t="s">
        <v>5759</v>
      </c>
      <c r="P727" s="6" t="s">
        <v>1917</v>
      </c>
      <c r="Q727" s="6" t="s">
        <v>280</v>
      </c>
      <c r="R727" s="6" t="str">
        <f t="shared" ca="1" si="7"/>
        <v>NonCategory</v>
      </c>
    </row>
    <row r="728" spans="1:18">
      <c r="A728" s="162">
        <v>44531</v>
      </c>
      <c r="B728" s="164" t="s">
        <v>1918</v>
      </c>
      <c r="C728" s="168" t="s">
        <v>1919</v>
      </c>
      <c r="D728" s="6" t="s">
        <v>303</v>
      </c>
      <c r="E728" s="6" t="s">
        <v>25</v>
      </c>
      <c r="F728" s="79">
        <v>44531</v>
      </c>
      <c r="G728" s="6" t="s">
        <v>16</v>
      </c>
      <c r="H728" s="6" t="s">
        <v>1847</v>
      </c>
      <c r="I728" s="6">
        <v>1</v>
      </c>
      <c r="J728" s="8">
        <v>45000</v>
      </c>
      <c r="K728" s="8">
        <f t="shared" si="6"/>
        <v>515.34585432890515</v>
      </c>
      <c r="L728" s="97">
        <v>44531</v>
      </c>
      <c r="M728" s="6" t="s">
        <v>251</v>
      </c>
      <c r="N728" s="97">
        <v>44531</v>
      </c>
      <c r="O728" s="22" t="s">
        <v>5760</v>
      </c>
      <c r="Q728" s="6" t="s">
        <v>356</v>
      </c>
      <c r="R728" s="6" t="str">
        <f t="shared" ca="1" si="7"/>
        <v>NonCategory</v>
      </c>
    </row>
    <row r="729" spans="1:18" ht="14.4">
      <c r="A729" s="162">
        <v>44532</v>
      </c>
      <c r="B729" s="164" t="s">
        <v>1920</v>
      </c>
      <c r="C729" s="168" t="s">
        <v>1921</v>
      </c>
      <c r="D729" s="6" t="s">
        <v>278</v>
      </c>
      <c r="E729" s="6" t="s">
        <v>96</v>
      </c>
      <c r="F729" s="79">
        <v>44531</v>
      </c>
      <c r="G729" s="6" t="s">
        <v>16</v>
      </c>
      <c r="H729" s="6" t="s">
        <v>1922</v>
      </c>
      <c r="I729" s="6">
        <v>1</v>
      </c>
      <c r="J729" s="8">
        <v>20000</v>
      </c>
      <c r="K729" s="8">
        <f t="shared" si="6"/>
        <v>229.04260192395787</v>
      </c>
      <c r="L729" s="97">
        <v>44532</v>
      </c>
      <c r="M729" s="6" t="s">
        <v>251</v>
      </c>
      <c r="N729" s="97">
        <v>44532</v>
      </c>
      <c r="O729" s="22" t="s">
        <v>5761</v>
      </c>
      <c r="P729" s="44" t="s">
        <v>1830</v>
      </c>
      <c r="Q729" s="6" t="s">
        <v>356</v>
      </c>
      <c r="R729" s="6" t="str">
        <f t="shared" ca="1" si="7"/>
        <v>NonCategory</v>
      </c>
    </row>
    <row r="730" spans="1:18">
      <c r="A730" s="162">
        <v>44532</v>
      </c>
      <c r="B730" s="164" t="s">
        <v>1923</v>
      </c>
      <c r="C730" s="168" t="s">
        <v>1924</v>
      </c>
      <c r="D730" s="6" t="s">
        <v>287</v>
      </c>
      <c r="E730" s="6" t="s">
        <v>151</v>
      </c>
      <c r="F730" s="79">
        <v>44531</v>
      </c>
      <c r="G730" s="6" t="s">
        <v>16</v>
      </c>
      <c r="H730" s="6" t="s">
        <v>1728</v>
      </c>
      <c r="I730" s="6">
        <v>1</v>
      </c>
      <c r="J730" s="8">
        <v>21000</v>
      </c>
      <c r="K730" s="8">
        <f t="shared" si="6"/>
        <v>240.49473202015577</v>
      </c>
      <c r="L730" s="97">
        <v>44532</v>
      </c>
      <c r="M730" s="6" t="s">
        <v>251</v>
      </c>
      <c r="N730" s="97">
        <v>44532</v>
      </c>
      <c r="O730" s="22" t="s">
        <v>5762</v>
      </c>
      <c r="Q730" s="6" t="s">
        <v>280</v>
      </c>
      <c r="R730" s="6" t="str">
        <f t="shared" ca="1" si="7"/>
        <v>NonCategory</v>
      </c>
    </row>
    <row r="731" spans="1:18">
      <c r="A731" s="162">
        <v>44532</v>
      </c>
      <c r="B731" s="164" t="s">
        <v>1925</v>
      </c>
      <c r="C731" s="168" t="s">
        <v>1926</v>
      </c>
      <c r="D731" s="6" t="s">
        <v>278</v>
      </c>
      <c r="E731" s="6" t="s">
        <v>97</v>
      </c>
      <c r="F731" s="79">
        <v>44531</v>
      </c>
      <c r="G731" s="6" t="s">
        <v>16</v>
      </c>
      <c r="H731" s="6" t="s">
        <v>1728</v>
      </c>
      <c r="I731" s="6">
        <v>1</v>
      </c>
      <c r="J731" s="8">
        <v>22000</v>
      </c>
      <c r="K731" s="8">
        <f t="shared" si="6"/>
        <v>251.94686211635369</v>
      </c>
      <c r="L731" s="97">
        <v>44532</v>
      </c>
      <c r="M731" s="6" t="s">
        <v>251</v>
      </c>
      <c r="N731" s="97">
        <v>44532</v>
      </c>
      <c r="O731" s="22" t="s">
        <v>5763</v>
      </c>
      <c r="P731" s="6" t="s">
        <v>1927</v>
      </c>
      <c r="Q731" s="6" t="s">
        <v>280</v>
      </c>
      <c r="R731" s="6" t="str">
        <f t="shared" ca="1" si="7"/>
        <v>NonCategory</v>
      </c>
    </row>
    <row r="732" spans="1:18">
      <c r="A732" s="162">
        <v>44532</v>
      </c>
      <c r="B732" s="164" t="s">
        <v>1928</v>
      </c>
      <c r="C732" s="168" t="s">
        <v>1929</v>
      </c>
      <c r="D732" s="6" t="s">
        <v>1842</v>
      </c>
      <c r="E732" s="6" t="s">
        <v>1545</v>
      </c>
      <c r="F732" s="79">
        <v>44531</v>
      </c>
      <c r="G732" s="6" t="s">
        <v>16</v>
      </c>
      <c r="H732" s="97">
        <v>44534</v>
      </c>
      <c r="I732" s="6">
        <v>1</v>
      </c>
      <c r="J732" s="8">
        <v>16000</v>
      </c>
      <c r="K732" s="8">
        <f t="shared" si="6"/>
        <v>183.23408153916631</v>
      </c>
      <c r="L732" s="97">
        <v>44532</v>
      </c>
      <c r="M732" s="6" t="s">
        <v>251</v>
      </c>
      <c r="N732" s="97">
        <v>44532</v>
      </c>
      <c r="O732" s="22" t="s">
        <v>5764</v>
      </c>
      <c r="Q732" s="6" t="s">
        <v>356</v>
      </c>
      <c r="R732" s="6" t="str">
        <f t="shared" ca="1" si="7"/>
        <v>NonCategory</v>
      </c>
    </row>
    <row r="733" spans="1:18">
      <c r="A733" s="162">
        <v>44533</v>
      </c>
      <c r="B733" s="164" t="s">
        <v>1930</v>
      </c>
      <c r="C733" s="168" t="s">
        <v>1931</v>
      </c>
      <c r="D733" s="6" t="s">
        <v>291</v>
      </c>
      <c r="E733" s="6" t="s">
        <v>96</v>
      </c>
      <c r="F733" s="79">
        <v>44531</v>
      </c>
      <c r="G733" s="6" t="s">
        <v>16</v>
      </c>
      <c r="H733" s="6" t="s">
        <v>1932</v>
      </c>
      <c r="I733" s="6">
        <v>1</v>
      </c>
      <c r="J733" s="8">
        <v>20000</v>
      </c>
      <c r="K733" s="8">
        <f t="shared" si="6"/>
        <v>229.04260192395787</v>
      </c>
      <c r="L733" s="97">
        <v>44533</v>
      </c>
      <c r="M733" s="6" t="s">
        <v>251</v>
      </c>
      <c r="N733" s="97">
        <v>44533</v>
      </c>
      <c r="O733" s="22" t="s">
        <v>5765</v>
      </c>
      <c r="Q733" s="6" t="s">
        <v>356</v>
      </c>
      <c r="R733" s="6" t="str">
        <f t="shared" ca="1" si="7"/>
        <v>NonCategory</v>
      </c>
    </row>
    <row r="734" spans="1:18">
      <c r="A734" s="162">
        <v>44533</v>
      </c>
      <c r="B734" s="164" t="s">
        <v>1933</v>
      </c>
      <c r="C734" s="168" t="s">
        <v>1934</v>
      </c>
      <c r="D734" s="6" t="s">
        <v>274</v>
      </c>
      <c r="E734" s="6" t="s">
        <v>151</v>
      </c>
      <c r="F734" s="79">
        <v>44531</v>
      </c>
      <c r="G734" s="6" t="s">
        <v>16</v>
      </c>
      <c r="H734" s="6" t="s">
        <v>1881</v>
      </c>
      <c r="I734" s="6">
        <v>1</v>
      </c>
      <c r="J734" s="8">
        <v>21000</v>
      </c>
      <c r="K734" s="8">
        <f t="shared" si="6"/>
        <v>240.49473202015577</v>
      </c>
      <c r="L734" s="97">
        <v>44533</v>
      </c>
      <c r="M734" s="6" t="s">
        <v>251</v>
      </c>
      <c r="N734" s="97">
        <v>44533</v>
      </c>
      <c r="O734" s="22" t="s">
        <v>5766</v>
      </c>
      <c r="Q734" s="6" t="s">
        <v>280</v>
      </c>
      <c r="R734" s="6" t="str">
        <f t="shared" ca="1" si="7"/>
        <v>NonCategory</v>
      </c>
    </row>
    <row r="735" spans="1:18">
      <c r="A735" s="162">
        <v>44534</v>
      </c>
      <c r="B735" s="164" t="s">
        <v>1935</v>
      </c>
      <c r="C735" s="168" t="s">
        <v>1936</v>
      </c>
      <c r="D735" s="6" t="s">
        <v>303</v>
      </c>
      <c r="E735" s="6" t="s">
        <v>150</v>
      </c>
      <c r="F735" s="79">
        <v>44531</v>
      </c>
      <c r="G735" s="6" t="s">
        <v>16</v>
      </c>
      <c r="H735" s="6" t="s">
        <v>1847</v>
      </c>
      <c r="I735" s="6">
        <v>1</v>
      </c>
      <c r="J735" s="8">
        <v>21000</v>
      </c>
      <c r="K735" s="8">
        <f t="shared" si="6"/>
        <v>240.49473202015577</v>
      </c>
      <c r="L735" s="97">
        <v>44534</v>
      </c>
      <c r="M735" s="6" t="s">
        <v>251</v>
      </c>
      <c r="N735" s="97">
        <v>44534</v>
      </c>
      <c r="O735" s="22" t="s">
        <v>5767</v>
      </c>
      <c r="Q735" s="6" t="s">
        <v>280</v>
      </c>
      <c r="R735" s="6" t="str">
        <f t="shared" ca="1" si="7"/>
        <v>NonCategory</v>
      </c>
    </row>
    <row r="736" spans="1:18">
      <c r="A736" s="162">
        <v>44534</v>
      </c>
      <c r="B736" s="164" t="s">
        <v>1937</v>
      </c>
      <c r="C736" s="168" t="s">
        <v>1938</v>
      </c>
      <c r="D736" s="6" t="s">
        <v>278</v>
      </c>
      <c r="E736" s="6" t="s">
        <v>25</v>
      </c>
      <c r="F736" s="79">
        <v>44531</v>
      </c>
      <c r="G736" s="6" t="s">
        <v>16</v>
      </c>
      <c r="H736" s="6" t="s">
        <v>1881</v>
      </c>
      <c r="I736" s="6">
        <v>1</v>
      </c>
      <c r="J736" s="8">
        <v>45000</v>
      </c>
      <c r="K736" s="8">
        <f t="shared" si="6"/>
        <v>515.34585432890515</v>
      </c>
      <c r="L736" s="97">
        <v>44534</v>
      </c>
      <c r="M736" s="6" t="s">
        <v>251</v>
      </c>
      <c r="N736" s="97">
        <v>44534</v>
      </c>
      <c r="O736" s="22" t="s">
        <v>5768</v>
      </c>
      <c r="P736" s="6" t="s">
        <v>1939</v>
      </c>
      <c r="Q736" s="6" t="s">
        <v>280</v>
      </c>
      <c r="R736" s="6" t="str">
        <f t="shared" ca="1" si="7"/>
        <v>NonCategory</v>
      </c>
    </row>
    <row r="737" spans="1:18">
      <c r="A737" s="162">
        <v>44536</v>
      </c>
      <c r="B737" s="164" t="s">
        <v>1940</v>
      </c>
      <c r="C737" s="168" t="s">
        <v>1941</v>
      </c>
      <c r="D737" s="6" t="s">
        <v>287</v>
      </c>
      <c r="E737" s="6" t="s">
        <v>7</v>
      </c>
      <c r="F737" s="79">
        <v>44531</v>
      </c>
      <c r="G737" s="6" t="s">
        <v>16</v>
      </c>
      <c r="H737" s="6" t="s">
        <v>1881</v>
      </c>
      <c r="I737" s="6">
        <v>1</v>
      </c>
      <c r="J737" s="8">
        <v>45000</v>
      </c>
      <c r="K737" s="8">
        <f t="shared" si="6"/>
        <v>515.34585432890515</v>
      </c>
      <c r="L737" s="97">
        <v>44536</v>
      </c>
      <c r="M737" s="6" t="s">
        <v>251</v>
      </c>
      <c r="N737" s="97">
        <v>44536</v>
      </c>
      <c r="O737" s="22" t="s">
        <v>5769</v>
      </c>
      <c r="Q737" s="6" t="s">
        <v>280</v>
      </c>
      <c r="R737" s="6" t="str">
        <f t="shared" ca="1" si="7"/>
        <v>NonCategory</v>
      </c>
    </row>
    <row r="738" spans="1:18">
      <c r="A738" s="162">
        <v>44537</v>
      </c>
      <c r="B738" s="164" t="s">
        <v>1942</v>
      </c>
      <c r="C738" s="168" t="s">
        <v>1943</v>
      </c>
      <c r="D738" s="6" t="s">
        <v>1842</v>
      </c>
      <c r="E738" s="6" t="s">
        <v>96</v>
      </c>
      <c r="F738" s="79">
        <v>44531</v>
      </c>
      <c r="G738" s="6" t="s">
        <v>16</v>
      </c>
      <c r="H738" s="6" t="s">
        <v>1944</v>
      </c>
      <c r="I738" s="6">
        <v>1</v>
      </c>
      <c r="J738" s="8">
        <v>19000</v>
      </c>
      <c r="K738" s="8">
        <f t="shared" si="6"/>
        <v>217.59047182775998</v>
      </c>
      <c r="L738" s="97">
        <v>44537</v>
      </c>
      <c r="M738" s="6" t="s">
        <v>251</v>
      </c>
      <c r="N738" s="97">
        <v>44537</v>
      </c>
      <c r="O738" s="22" t="s">
        <v>5770</v>
      </c>
      <c r="Q738" s="6" t="s">
        <v>280</v>
      </c>
      <c r="R738" s="6" t="str">
        <f t="shared" ca="1" si="7"/>
        <v>NonCategory</v>
      </c>
    </row>
    <row r="739" spans="1:18">
      <c r="A739" s="162">
        <v>44537</v>
      </c>
      <c r="B739" s="164" t="s">
        <v>1945</v>
      </c>
      <c r="C739" s="168" t="s">
        <v>1946</v>
      </c>
      <c r="D739" s="6" t="s">
        <v>278</v>
      </c>
      <c r="E739" s="6" t="s">
        <v>96</v>
      </c>
      <c r="F739" s="79">
        <v>44531</v>
      </c>
      <c r="G739" s="6" t="s">
        <v>16</v>
      </c>
      <c r="H739" s="6" t="s">
        <v>1944</v>
      </c>
      <c r="I739" s="6">
        <v>1</v>
      </c>
      <c r="J739" s="8">
        <v>19000</v>
      </c>
      <c r="K739" s="8">
        <f t="shared" si="6"/>
        <v>217.59047182775998</v>
      </c>
      <c r="L739" s="97">
        <v>44537</v>
      </c>
      <c r="M739" s="6" t="s">
        <v>251</v>
      </c>
      <c r="N739" s="97">
        <v>44537</v>
      </c>
      <c r="O739" s="22" t="s">
        <v>5771</v>
      </c>
      <c r="P739" s="6" t="s">
        <v>1947</v>
      </c>
      <c r="Q739" s="6" t="s">
        <v>280</v>
      </c>
      <c r="R739" s="6" t="str">
        <f t="shared" ca="1" si="7"/>
        <v>NonCategory</v>
      </c>
    </row>
    <row r="740" spans="1:18">
      <c r="A740" s="162">
        <v>44538</v>
      </c>
      <c r="B740" s="164" t="s">
        <v>1948</v>
      </c>
      <c r="C740" s="168" t="s">
        <v>1949</v>
      </c>
      <c r="D740" s="6" t="s">
        <v>303</v>
      </c>
      <c r="E740" s="6" t="s">
        <v>150</v>
      </c>
      <c r="F740" s="79">
        <v>44531</v>
      </c>
      <c r="G740" s="6" t="s">
        <v>16</v>
      </c>
      <c r="H740" s="6" t="s">
        <v>1847</v>
      </c>
      <c r="I740" s="6">
        <v>1</v>
      </c>
      <c r="J740" s="8">
        <v>21000</v>
      </c>
      <c r="K740" s="8">
        <f t="shared" si="6"/>
        <v>240.49473202015577</v>
      </c>
      <c r="L740" s="97">
        <v>44538</v>
      </c>
      <c r="M740" s="6" t="s">
        <v>251</v>
      </c>
      <c r="N740" s="97">
        <v>44538</v>
      </c>
      <c r="O740" s="22" t="s">
        <v>5772</v>
      </c>
      <c r="Q740" s="6" t="s">
        <v>280</v>
      </c>
      <c r="R740" s="6" t="str">
        <f t="shared" ca="1" si="7"/>
        <v>NonCategory</v>
      </c>
    </row>
    <row r="741" spans="1:18">
      <c r="A741" s="162">
        <v>44539</v>
      </c>
      <c r="B741" s="165" t="s">
        <v>1950</v>
      </c>
      <c r="C741" s="168" t="s">
        <v>1951</v>
      </c>
      <c r="D741" s="6" t="s">
        <v>287</v>
      </c>
      <c r="E741" s="6" t="s">
        <v>22</v>
      </c>
      <c r="F741" s="79">
        <v>44531</v>
      </c>
      <c r="G741" s="6" t="s">
        <v>16</v>
      </c>
      <c r="H741" s="97">
        <v>44539</v>
      </c>
      <c r="I741" s="6">
        <v>1</v>
      </c>
      <c r="J741" s="8">
        <v>11000</v>
      </c>
      <c r="K741" s="8">
        <f t="shared" si="6"/>
        <v>125.97343105817684</v>
      </c>
      <c r="L741" s="97">
        <v>44539</v>
      </c>
      <c r="M741" s="6" t="s">
        <v>251</v>
      </c>
      <c r="N741" s="97">
        <v>44540</v>
      </c>
      <c r="O741" s="22" t="s">
        <v>5773</v>
      </c>
      <c r="Q741" s="6" t="s">
        <v>356</v>
      </c>
      <c r="R741" s="6" t="str">
        <f t="shared" ca="1" si="7"/>
        <v>NonCategory</v>
      </c>
    </row>
    <row r="742" spans="1:18">
      <c r="A742" s="162">
        <v>44539</v>
      </c>
      <c r="B742" s="164" t="s">
        <v>1952</v>
      </c>
      <c r="C742" s="168" t="s">
        <v>1953</v>
      </c>
      <c r="D742" s="6" t="s">
        <v>287</v>
      </c>
      <c r="E742" s="6" t="s">
        <v>25</v>
      </c>
      <c r="F742" s="79">
        <v>44531</v>
      </c>
      <c r="G742" s="6" t="s">
        <v>16</v>
      </c>
      <c r="H742" s="6" t="s">
        <v>1881</v>
      </c>
      <c r="I742" s="6">
        <v>1</v>
      </c>
      <c r="J742" s="8">
        <v>45000</v>
      </c>
      <c r="K742" s="8">
        <f t="shared" si="6"/>
        <v>515.34585432890515</v>
      </c>
      <c r="L742" s="97">
        <v>44539</v>
      </c>
      <c r="M742" s="6" t="s">
        <v>251</v>
      </c>
      <c r="N742" s="97">
        <v>44539</v>
      </c>
      <c r="O742" s="22" t="s">
        <v>5774</v>
      </c>
      <c r="Q742" s="6" t="s">
        <v>280</v>
      </c>
      <c r="R742" s="6" t="str">
        <f t="shared" ca="1" si="7"/>
        <v>NonCategory</v>
      </c>
    </row>
    <row r="743" spans="1:18" ht="14.4">
      <c r="A743" s="162">
        <v>44540</v>
      </c>
      <c r="B743" s="164" t="s">
        <v>1954</v>
      </c>
      <c r="C743" s="168" t="s">
        <v>1955</v>
      </c>
      <c r="D743" s="6" t="s">
        <v>1291</v>
      </c>
      <c r="E743" s="6" t="s">
        <v>25</v>
      </c>
      <c r="F743" s="79">
        <v>44531</v>
      </c>
      <c r="G743" s="6" t="s">
        <v>16</v>
      </c>
      <c r="H743" s="6" t="s">
        <v>1881</v>
      </c>
      <c r="I743" s="6">
        <v>1</v>
      </c>
      <c r="J743" s="8">
        <v>42000</v>
      </c>
      <c r="K743" s="8">
        <f t="shared" si="6"/>
        <v>480.98946404031153</v>
      </c>
      <c r="L743" s="97">
        <v>44540</v>
      </c>
      <c r="M743" s="6" t="s">
        <v>251</v>
      </c>
      <c r="N743" s="97">
        <v>44540</v>
      </c>
      <c r="O743" s="22" t="s">
        <v>5775</v>
      </c>
      <c r="P743" s="44" t="s">
        <v>1723</v>
      </c>
      <c r="Q743" s="6" t="s">
        <v>356</v>
      </c>
      <c r="R743" s="6" t="str">
        <f t="shared" ca="1" si="7"/>
        <v>NonCategory</v>
      </c>
    </row>
    <row r="744" spans="1:18">
      <c r="A744" s="162">
        <v>44540</v>
      </c>
      <c r="B744" s="164" t="s">
        <v>1956</v>
      </c>
      <c r="C744" s="168" t="s">
        <v>1957</v>
      </c>
      <c r="D744" s="6" t="s">
        <v>319</v>
      </c>
      <c r="E744" s="6" t="s">
        <v>96</v>
      </c>
      <c r="F744" s="79">
        <v>44531</v>
      </c>
      <c r="G744" s="6" t="s">
        <v>13</v>
      </c>
      <c r="H744" s="6" t="s">
        <v>1881</v>
      </c>
      <c r="I744" s="6">
        <v>1</v>
      </c>
      <c r="J744" s="8">
        <v>20000</v>
      </c>
      <c r="K744" s="8">
        <f t="shared" si="6"/>
        <v>229.04260192395787</v>
      </c>
      <c r="L744" s="97">
        <v>44540</v>
      </c>
      <c r="R744" s="6" t="str">
        <f t="shared" ca="1" si="7"/>
        <v>NonCategory</v>
      </c>
    </row>
    <row r="745" spans="1:18">
      <c r="A745" s="162">
        <v>44542</v>
      </c>
      <c r="B745" s="164" t="s">
        <v>1958</v>
      </c>
      <c r="C745" s="168" t="s">
        <v>1959</v>
      </c>
      <c r="D745" s="6" t="s">
        <v>287</v>
      </c>
      <c r="E745" s="6" t="s">
        <v>151</v>
      </c>
      <c r="F745" s="79">
        <v>44531</v>
      </c>
      <c r="G745" s="6" t="s">
        <v>16</v>
      </c>
      <c r="H745" s="6" t="s">
        <v>1944</v>
      </c>
      <c r="I745" s="6">
        <v>1</v>
      </c>
      <c r="J745" s="8">
        <v>20500</v>
      </c>
      <c r="K745" s="8">
        <f t="shared" si="6"/>
        <v>234.76866697205682</v>
      </c>
      <c r="L745" s="97">
        <v>44542</v>
      </c>
      <c r="M745" s="6" t="s">
        <v>252</v>
      </c>
      <c r="N745" s="97">
        <v>44542</v>
      </c>
      <c r="O745" s="22" t="s">
        <v>5776</v>
      </c>
      <c r="Q745" s="6" t="s">
        <v>280</v>
      </c>
      <c r="R745" s="6" t="str">
        <f t="shared" ca="1" si="7"/>
        <v>NonCategory</v>
      </c>
    </row>
    <row r="746" spans="1:18" ht="14.4">
      <c r="A746" s="162">
        <v>44542</v>
      </c>
      <c r="B746" s="164" t="s">
        <v>1960</v>
      </c>
      <c r="C746" s="168" t="s">
        <v>1961</v>
      </c>
      <c r="D746" s="6" t="s">
        <v>278</v>
      </c>
      <c r="E746" s="6" t="s">
        <v>151</v>
      </c>
      <c r="F746" s="79">
        <v>44531</v>
      </c>
      <c r="G746" s="6" t="s">
        <v>16</v>
      </c>
      <c r="H746" s="6" t="s">
        <v>1944</v>
      </c>
      <c r="I746" s="6">
        <v>1</v>
      </c>
      <c r="J746" s="8">
        <v>20500</v>
      </c>
      <c r="K746" s="8">
        <f t="shared" si="6"/>
        <v>234.76866697205682</v>
      </c>
      <c r="L746" s="97">
        <v>44542</v>
      </c>
      <c r="M746" s="6" t="s">
        <v>252</v>
      </c>
      <c r="N746" s="97">
        <v>44542</v>
      </c>
      <c r="O746" s="22" t="s">
        <v>5777</v>
      </c>
      <c r="P746" s="44" t="s">
        <v>1959</v>
      </c>
      <c r="Q746" s="6" t="s">
        <v>280</v>
      </c>
      <c r="R746" s="6" t="str">
        <f t="shared" ca="1" si="7"/>
        <v>NonCategory</v>
      </c>
    </row>
    <row r="747" spans="1:18" ht="14.4">
      <c r="A747" s="162">
        <v>44542</v>
      </c>
      <c r="B747" s="164" t="s">
        <v>1962</v>
      </c>
      <c r="C747" s="168" t="s">
        <v>1963</v>
      </c>
      <c r="D747" s="6" t="s">
        <v>278</v>
      </c>
      <c r="E747" s="6" t="s">
        <v>151</v>
      </c>
      <c r="F747" s="79">
        <v>44531</v>
      </c>
      <c r="G747" s="6" t="s">
        <v>16</v>
      </c>
      <c r="H747" s="6" t="s">
        <v>1944</v>
      </c>
      <c r="I747" s="6">
        <v>1</v>
      </c>
      <c r="J747" s="8">
        <v>20500</v>
      </c>
      <c r="K747" s="8">
        <f t="shared" si="6"/>
        <v>234.76866697205682</v>
      </c>
      <c r="L747" s="97">
        <v>44542</v>
      </c>
      <c r="M747" s="6" t="s">
        <v>252</v>
      </c>
      <c r="N747" s="97">
        <v>44542</v>
      </c>
      <c r="O747" s="22" t="s">
        <v>5778</v>
      </c>
      <c r="P747" s="44" t="s">
        <v>1959</v>
      </c>
      <c r="Q747" s="6" t="s">
        <v>280</v>
      </c>
      <c r="R747" s="6" t="str">
        <f t="shared" ca="1" si="7"/>
        <v>NonCategory</v>
      </c>
    </row>
    <row r="748" spans="1:18" ht="14.4">
      <c r="A748" s="162">
        <v>44542</v>
      </c>
      <c r="B748" s="164" t="s">
        <v>1964</v>
      </c>
      <c r="C748" s="168" t="s">
        <v>1965</v>
      </c>
      <c r="D748" s="6" t="s">
        <v>278</v>
      </c>
      <c r="E748" s="6" t="s">
        <v>151</v>
      </c>
      <c r="F748" s="79">
        <v>44531</v>
      </c>
      <c r="G748" s="6" t="s">
        <v>16</v>
      </c>
      <c r="H748" s="6" t="s">
        <v>1944</v>
      </c>
      <c r="I748" s="6">
        <v>1</v>
      </c>
      <c r="J748" s="8">
        <v>20500</v>
      </c>
      <c r="K748" s="8">
        <f t="shared" si="6"/>
        <v>234.76866697205682</v>
      </c>
      <c r="L748" s="97">
        <v>44542</v>
      </c>
      <c r="M748" s="6" t="s">
        <v>252</v>
      </c>
      <c r="N748" s="97">
        <v>44542</v>
      </c>
      <c r="O748" s="22" t="s">
        <v>5779</v>
      </c>
      <c r="P748" s="44" t="s">
        <v>1959</v>
      </c>
      <c r="Q748" s="6" t="s">
        <v>280</v>
      </c>
      <c r="R748" s="6" t="str">
        <f t="shared" ca="1" si="7"/>
        <v>NonCategory</v>
      </c>
    </row>
    <row r="749" spans="1:18" ht="14.4">
      <c r="A749" s="162">
        <v>44542</v>
      </c>
      <c r="B749" s="164" t="s">
        <v>1966</v>
      </c>
      <c r="C749" s="168" t="s">
        <v>1967</v>
      </c>
      <c r="D749" s="6" t="s">
        <v>278</v>
      </c>
      <c r="E749" s="6" t="s">
        <v>151</v>
      </c>
      <c r="F749" s="79">
        <v>44531</v>
      </c>
      <c r="G749" s="6" t="s">
        <v>16</v>
      </c>
      <c r="H749" s="6" t="s">
        <v>1944</v>
      </c>
      <c r="I749" s="6">
        <v>1</v>
      </c>
      <c r="J749" s="8">
        <v>20500</v>
      </c>
      <c r="K749" s="8">
        <f t="shared" si="6"/>
        <v>234.76866697205682</v>
      </c>
      <c r="L749" s="97">
        <v>44542</v>
      </c>
      <c r="M749" s="6" t="s">
        <v>252</v>
      </c>
      <c r="N749" s="97">
        <v>44542</v>
      </c>
      <c r="O749" s="22" t="s">
        <v>5780</v>
      </c>
      <c r="P749" s="44" t="s">
        <v>1959</v>
      </c>
      <c r="Q749" s="6" t="s">
        <v>280</v>
      </c>
      <c r="R749" s="6" t="str">
        <f t="shared" ca="1" si="7"/>
        <v>NonCategory</v>
      </c>
    </row>
    <row r="750" spans="1:18" ht="14.4">
      <c r="A750" s="162">
        <v>44542</v>
      </c>
      <c r="B750" s="164" t="s">
        <v>1968</v>
      </c>
      <c r="C750" s="168" t="s">
        <v>1969</v>
      </c>
      <c r="D750" s="6" t="s">
        <v>278</v>
      </c>
      <c r="E750" s="6" t="s">
        <v>151</v>
      </c>
      <c r="F750" s="79">
        <v>44531</v>
      </c>
      <c r="G750" s="6" t="s">
        <v>16</v>
      </c>
      <c r="H750" s="6" t="s">
        <v>1944</v>
      </c>
      <c r="I750" s="6">
        <v>1</v>
      </c>
      <c r="J750" s="8">
        <v>20500</v>
      </c>
      <c r="K750" s="8">
        <f t="shared" si="6"/>
        <v>234.76866697205682</v>
      </c>
      <c r="L750" s="97">
        <v>44542</v>
      </c>
      <c r="M750" s="6" t="s">
        <v>252</v>
      </c>
      <c r="N750" s="97">
        <v>44542</v>
      </c>
      <c r="O750" s="22" t="s">
        <v>5781</v>
      </c>
      <c r="P750" s="44" t="s">
        <v>1959</v>
      </c>
      <c r="Q750" s="6" t="s">
        <v>356</v>
      </c>
      <c r="R750" s="6" t="str">
        <f t="shared" ca="1" si="7"/>
        <v>NonCategory</v>
      </c>
    </row>
    <row r="751" spans="1:18">
      <c r="A751" s="162">
        <v>44543</v>
      </c>
      <c r="B751" s="164" t="s">
        <v>1970</v>
      </c>
      <c r="C751" s="168" t="s">
        <v>1971</v>
      </c>
      <c r="D751" s="6" t="s">
        <v>1842</v>
      </c>
      <c r="E751" s="6" t="s">
        <v>96</v>
      </c>
      <c r="F751" s="79">
        <v>44531</v>
      </c>
      <c r="G751" s="6" t="s">
        <v>16</v>
      </c>
      <c r="H751" s="6" t="s">
        <v>1972</v>
      </c>
      <c r="I751" s="6">
        <v>1</v>
      </c>
      <c r="J751" s="8">
        <v>20000</v>
      </c>
      <c r="K751" s="8">
        <f t="shared" si="6"/>
        <v>229.04260192395787</v>
      </c>
      <c r="L751" s="97">
        <v>44543</v>
      </c>
      <c r="M751" s="6" t="s">
        <v>252</v>
      </c>
      <c r="N751" s="97">
        <v>44543</v>
      </c>
      <c r="O751" s="22" t="s">
        <v>5782</v>
      </c>
      <c r="Q751" s="6" t="s">
        <v>280</v>
      </c>
      <c r="R751" s="6" t="str">
        <f t="shared" ca="1" si="7"/>
        <v>NonCategory</v>
      </c>
    </row>
    <row r="752" spans="1:18" ht="14.4">
      <c r="A752" s="162">
        <v>44544</v>
      </c>
      <c r="B752" s="164" t="s">
        <v>1973</v>
      </c>
      <c r="C752" s="168" t="s">
        <v>1974</v>
      </c>
      <c r="D752" s="6" t="s">
        <v>1291</v>
      </c>
      <c r="E752" s="6" t="s">
        <v>96</v>
      </c>
      <c r="F752" s="79">
        <v>44531</v>
      </c>
      <c r="G752" s="6" t="s">
        <v>16</v>
      </c>
      <c r="H752" s="6" t="s">
        <v>1944</v>
      </c>
      <c r="I752" s="6">
        <v>1</v>
      </c>
      <c r="J752" s="8">
        <v>19000</v>
      </c>
      <c r="K752" s="8">
        <f t="shared" si="6"/>
        <v>217.59047182775998</v>
      </c>
      <c r="L752" s="97">
        <v>44544</v>
      </c>
      <c r="M752" s="6" t="s">
        <v>252</v>
      </c>
      <c r="N752" s="97">
        <v>44544</v>
      </c>
      <c r="O752" s="22" t="s">
        <v>5783</v>
      </c>
      <c r="P752" s="44" t="s">
        <v>1975</v>
      </c>
      <c r="Q752" s="6" t="s">
        <v>280</v>
      </c>
      <c r="R752" s="6" t="str">
        <f t="shared" ca="1" si="7"/>
        <v>NonCategory</v>
      </c>
    </row>
    <row r="753" spans="1:18">
      <c r="A753" s="162">
        <v>44544</v>
      </c>
      <c r="B753" s="164" t="s">
        <v>1976</v>
      </c>
      <c r="C753" s="168" t="s">
        <v>1977</v>
      </c>
      <c r="D753" s="6" t="s">
        <v>319</v>
      </c>
      <c r="E753" s="6" t="s">
        <v>25</v>
      </c>
      <c r="F753" s="79">
        <v>44531</v>
      </c>
      <c r="G753" s="6" t="s">
        <v>16</v>
      </c>
      <c r="H753" s="6" t="s">
        <v>1847</v>
      </c>
      <c r="I753" s="6">
        <v>1</v>
      </c>
      <c r="J753" s="8">
        <v>41000</v>
      </c>
      <c r="K753" s="8">
        <f t="shared" si="6"/>
        <v>469.53733394411364</v>
      </c>
      <c r="L753" s="97">
        <v>44544</v>
      </c>
      <c r="M753" s="6" t="s">
        <v>252</v>
      </c>
      <c r="N753" s="97">
        <v>44544</v>
      </c>
      <c r="O753" s="22" t="s">
        <v>5784</v>
      </c>
      <c r="Q753" s="6" t="s">
        <v>280</v>
      </c>
      <c r="R753" s="6" t="str">
        <f t="shared" ca="1" si="7"/>
        <v>NonCategory</v>
      </c>
    </row>
    <row r="754" spans="1:18">
      <c r="A754" s="162">
        <v>44545</v>
      </c>
      <c r="B754" s="164" t="s">
        <v>1978</v>
      </c>
      <c r="C754" s="168" t="s">
        <v>1979</v>
      </c>
      <c r="D754" s="6" t="s">
        <v>287</v>
      </c>
      <c r="E754" s="6" t="s">
        <v>25</v>
      </c>
      <c r="F754" s="79">
        <v>44531</v>
      </c>
      <c r="G754" s="6" t="s">
        <v>16</v>
      </c>
      <c r="H754" s="6" t="s">
        <v>1847</v>
      </c>
      <c r="I754" s="6">
        <v>1</v>
      </c>
      <c r="J754" s="8">
        <v>45000</v>
      </c>
      <c r="K754" s="8">
        <f t="shared" si="6"/>
        <v>515.34585432890515</v>
      </c>
      <c r="L754" s="97">
        <v>44545</v>
      </c>
      <c r="M754" s="6" t="s">
        <v>252</v>
      </c>
      <c r="N754" s="97">
        <v>44545</v>
      </c>
      <c r="O754" s="22" t="s">
        <v>5785</v>
      </c>
      <c r="Q754" s="6" t="s">
        <v>280</v>
      </c>
      <c r="R754" s="6" t="str">
        <f t="shared" ca="1" si="7"/>
        <v>NonCategory</v>
      </c>
    </row>
    <row r="755" spans="1:18">
      <c r="A755" s="162">
        <v>44546</v>
      </c>
      <c r="B755" s="164" t="s">
        <v>1980</v>
      </c>
      <c r="C755" s="168" t="s">
        <v>1981</v>
      </c>
      <c r="D755" s="6" t="s">
        <v>319</v>
      </c>
      <c r="E755" s="6" t="s">
        <v>25</v>
      </c>
      <c r="F755" s="79">
        <v>44531</v>
      </c>
      <c r="G755" s="6" t="s">
        <v>16</v>
      </c>
      <c r="H755" s="6" t="s">
        <v>1944</v>
      </c>
      <c r="I755" s="6">
        <v>1</v>
      </c>
      <c r="J755" s="8">
        <v>42000</v>
      </c>
      <c r="K755" s="8">
        <f t="shared" si="6"/>
        <v>480.98946404031153</v>
      </c>
      <c r="L755" s="97">
        <v>44546</v>
      </c>
      <c r="M755" s="6" t="s">
        <v>252</v>
      </c>
      <c r="N755" s="97">
        <v>44546</v>
      </c>
      <c r="O755" s="22" t="s">
        <v>5786</v>
      </c>
      <c r="Q755" s="6" t="s">
        <v>356</v>
      </c>
      <c r="R755" s="6" t="str">
        <f t="shared" ca="1" si="7"/>
        <v>NonCategory</v>
      </c>
    </row>
    <row r="756" spans="1:18">
      <c r="A756" s="162">
        <v>44547</v>
      </c>
      <c r="B756" s="164" t="s">
        <v>1982</v>
      </c>
      <c r="C756" s="168" t="s">
        <v>1983</v>
      </c>
      <c r="D756" s="6" t="s">
        <v>1291</v>
      </c>
      <c r="E756" s="6" t="s">
        <v>96</v>
      </c>
      <c r="F756" s="79">
        <v>44531</v>
      </c>
      <c r="G756" s="6" t="s">
        <v>13</v>
      </c>
      <c r="H756" s="6" t="s">
        <v>1972</v>
      </c>
      <c r="I756" s="6">
        <v>1</v>
      </c>
      <c r="J756" s="8">
        <v>19000</v>
      </c>
      <c r="K756" s="8">
        <f t="shared" si="6"/>
        <v>217.59047182775998</v>
      </c>
      <c r="L756" s="97">
        <v>44547</v>
      </c>
      <c r="R756" s="6" t="str">
        <f t="shared" ca="1" si="7"/>
        <v>NonCategory</v>
      </c>
    </row>
    <row r="757" spans="1:18">
      <c r="A757" s="162">
        <v>44547</v>
      </c>
      <c r="B757" s="164" t="s">
        <v>1375</v>
      </c>
      <c r="C757" s="168" t="s">
        <v>1984</v>
      </c>
      <c r="D757" s="6" t="s">
        <v>278</v>
      </c>
      <c r="E757" s="6" t="s">
        <v>97</v>
      </c>
      <c r="F757" s="79">
        <v>44531</v>
      </c>
      <c r="G757" s="6" t="s">
        <v>16</v>
      </c>
      <c r="H757" s="6" t="s">
        <v>1985</v>
      </c>
      <c r="I757" s="6">
        <v>1</v>
      </c>
      <c r="J757" s="8">
        <v>20000</v>
      </c>
      <c r="K757" s="8">
        <f t="shared" si="6"/>
        <v>229.04260192395787</v>
      </c>
      <c r="L757" s="97">
        <v>44547</v>
      </c>
      <c r="M757" s="6" t="s">
        <v>252</v>
      </c>
      <c r="N757" s="97">
        <v>44547</v>
      </c>
      <c r="O757" s="22" t="s">
        <v>5787</v>
      </c>
      <c r="P757" s="6" t="s">
        <v>1939</v>
      </c>
      <c r="Q757" s="6" t="s">
        <v>280</v>
      </c>
      <c r="R757" s="6" t="str">
        <f t="shared" ca="1" si="7"/>
        <v>NonCategory</v>
      </c>
    </row>
    <row r="758" spans="1:18">
      <c r="A758" s="162">
        <v>44548</v>
      </c>
      <c r="B758" s="164" t="s">
        <v>1986</v>
      </c>
      <c r="C758" s="168" t="s">
        <v>1987</v>
      </c>
      <c r="D758" s="6" t="s">
        <v>278</v>
      </c>
      <c r="E758" s="6" t="s">
        <v>150</v>
      </c>
      <c r="F758" s="79">
        <v>44531</v>
      </c>
      <c r="G758" s="6" t="s">
        <v>16</v>
      </c>
      <c r="H758" s="6" t="s">
        <v>1972</v>
      </c>
      <c r="I758" s="6">
        <v>1</v>
      </c>
      <c r="J758" s="8">
        <v>21000</v>
      </c>
      <c r="K758" s="8">
        <f t="shared" si="6"/>
        <v>240.49473202015577</v>
      </c>
      <c r="L758" s="97">
        <v>44548</v>
      </c>
      <c r="M758" s="6" t="s">
        <v>252</v>
      </c>
      <c r="N758" s="97">
        <v>44548</v>
      </c>
      <c r="O758" s="22" t="s">
        <v>5788</v>
      </c>
      <c r="P758" s="6" t="s">
        <v>1988</v>
      </c>
      <c r="Q758" s="6" t="s">
        <v>356</v>
      </c>
      <c r="R758" s="6" t="str">
        <f t="shared" ca="1" si="7"/>
        <v>NonCategory</v>
      </c>
    </row>
    <row r="759" spans="1:18">
      <c r="A759" s="162">
        <v>44547</v>
      </c>
      <c r="B759" s="164" t="s">
        <v>1989</v>
      </c>
      <c r="C759" s="168" t="s">
        <v>1990</v>
      </c>
      <c r="D759" s="6" t="s">
        <v>278</v>
      </c>
      <c r="E759" s="6" t="s">
        <v>1991</v>
      </c>
      <c r="F759" s="79">
        <v>44531</v>
      </c>
      <c r="G759" s="6" t="s">
        <v>16</v>
      </c>
      <c r="H759" s="97">
        <v>44547</v>
      </c>
      <c r="I759" s="6">
        <v>1</v>
      </c>
      <c r="J759" s="8">
        <v>5000</v>
      </c>
      <c r="K759" s="8">
        <f t="shared" si="6"/>
        <v>57.260650480989469</v>
      </c>
      <c r="L759" s="97">
        <v>44547</v>
      </c>
      <c r="M759" s="6" t="s">
        <v>252</v>
      </c>
      <c r="N759" s="97">
        <v>44546</v>
      </c>
      <c r="O759" s="22" t="s">
        <v>5789</v>
      </c>
      <c r="P759" s="6" t="s">
        <v>1992</v>
      </c>
      <c r="Q759" s="6" t="s">
        <v>356</v>
      </c>
      <c r="R759" s="6" t="str">
        <f t="shared" ca="1" si="7"/>
        <v>NonCategory</v>
      </c>
    </row>
    <row r="760" spans="1:18">
      <c r="A760" s="162">
        <v>44547</v>
      </c>
      <c r="B760" s="164" t="s">
        <v>1989</v>
      </c>
      <c r="C760" s="168" t="s">
        <v>1990</v>
      </c>
      <c r="D760" s="6" t="s">
        <v>278</v>
      </c>
      <c r="E760" s="6" t="s">
        <v>1991</v>
      </c>
      <c r="F760" s="79">
        <v>44531</v>
      </c>
      <c r="G760" s="6" t="s">
        <v>16</v>
      </c>
      <c r="H760" s="97">
        <v>44547</v>
      </c>
      <c r="I760" s="6">
        <v>1</v>
      </c>
      <c r="J760" s="8">
        <v>30000</v>
      </c>
      <c r="K760" s="8">
        <f t="shared" si="6"/>
        <v>343.56390288593678</v>
      </c>
      <c r="L760" s="97">
        <v>44547</v>
      </c>
      <c r="M760" s="6" t="s">
        <v>252</v>
      </c>
      <c r="N760" s="97">
        <v>44547</v>
      </c>
      <c r="O760" s="22" t="s">
        <v>5790</v>
      </c>
      <c r="P760" s="6" t="s">
        <v>1992</v>
      </c>
      <c r="Q760" s="6" t="s">
        <v>356</v>
      </c>
      <c r="R760" s="6" t="str">
        <f t="shared" ca="1" si="7"/>
        <v>NonCategory</v>
      </c>
    </row>
    <row r="761" spans="1:18">
      <c r="A761" s="162">
        <v>44548</v>
      </c>
      <c r="B761" s="164" t="s">
        <v>1993</v>
      </c>
      <c r="C761" s="168" t="s">
        <v>1994</v>
      </c>
      <c r="D761" s="6" t="s">
        <v>287</v>
      </c>
      <c r="E761" s="6" t="s">
        <v>25</v>
      </c>
      <c r="F761" s="79">
        <v>44531</v>
      </c>
      <c r="G761" s="6" t="s">
        <v>16</v>
      </c>
      <c r="H761" s="6" t="s">
        <v>1944</v>
      </c>
      <c r="I761" s="6">
        <v>1</v>
      </c>
      <c r="J761" s="8">
        <v>42000</v>
      </c>
      <c r="K761" s="8">
        <f t="shared" si="6"/>
        <v>480.98946404031153</v>
      </c>
      <c r="L761" s="97">
        <v>44548</v>
      </c>
      <c r="M761" s="6" t="s">
        <v>252</v>
      </c>
      <c r="N761" s="97">
        <v>44548</v>
      </c>
      <c r="O761" s="22" t="s">
        <v>5791</v>
      </c>
      <c r="Q761" s="6" t="s">
        <v>280</v>
      </c>
      <c r="R761" s="6" t="str">
        <f t="shared" ca="1" si="7"/>
        <v>NonCategory</v>
      </c>
    </row>
    <row r="762" spans="1:18">
      <c r="A762" s="162">
        <v>44549</v>
      </c>
      <c r="B762" s="164" t="s">
        <v>1995</v>
      </c>
      <c r="C762" s="168" t="s">
        <v>1996</v>
      </c>
      <c r="D762" s="6" t="s">
        <v>287</v>
      </c>
      <c r="E762" s="6" t="s">
        <v>150</v>
      </c>
      <c r="F762" s="79">
        <v>44531</v>
      </c>
      <c r="G762" s="6" t="s">
        <v>16</v>
      </c>
      <c r="H762" s="6" t="s">
        <v>1944</v>
      </c>
      <c r="I762" s="6">
        <v>1</v>
      </c>
      <c r="J762" s="8">
        <v>21000</v>
      </c>
      <c r="K762" s="8">
        <f t="shared" si="6"/>
        <v>240.49473202015577</v>
      </c>
      <c r="L762" s="97">
        <v>44549</v>
      </c>
      <c r="M762" s="6" t="s">
        <v>252</v>
      </c>
      <c r="N762" s="97">
        <v>44549</v>
      </c>
      <c r="O762" s="22" t="s">
        <v>5792</v>
      </c>
      <c r="Q762" s="6" t="s">
        <v>280</v>
      </c>
      <c r="R762" s="6" t="str">
        <f t="shared" ca="1" si="7"/>
        <v>NonCategory</v>
      </c>
    </row>
    <row r="763" spans="1:18">
      <c r="A763" s="162">
        <v>44549</v>
      </c>
      <c r="B763" s="164" t="s">
        <v>1997</v>
      </c>
      <c r="C763" s="168" t="s">
        <v>1998</v>
      </c>
      <c r="D763" s="6" t="s">
        <v>319</v>
      </c>
      <c r="E763" s="6" t="s">
        <v>151</v>
      </c>
      <c r="F763" s="79">
        <v>44531</v>
      </c>
      <c r="G763" s="6" t="s">
        <v>16</v>
      </c>
      <c r="H763" s="6" t="s">
        <v>1944</v>
      </c>
      <c r="I763" s="6">
        <v>1</v>
      </c>
      <c r="J763" s="8">
        <v>21000</v>
      </c>
      <c r="K763" s="8">
        <f t="shared" si="6"/>
        <v>240.49473202015577</v>
      </c>
      <c r="L763" s="97">
        <v>44549</v>
      </c>
      <c r="M763" s="6" t="s">
        <v>252</v>
      </c>
      <c r="N763" s="97">
        <v>44550</v>
      </c>
      <c r="O763" s="22" t="s">
        <v>5793</v>
      </c>
      <c r="Q763" s="6" t="s">
        <v>356</v>
      </c>
      <c r="R763" s="6" t="str">
        <f t="shared" ca="1" si="7"/>
        <v>NonCategory</v>
      </c>
    </row>
    <row r="764" spans="1:18" ht="14.4">
      <c r="A764" s="162">
        <v>44550</v>
      </c>
      <c r="B764" s="164" t="s">
        <v>1375</v>
      </c>
      <c r="C764" s="168" t="s">
        <v>1999</v>
      </c>
      <c r="D764" s="6" t="s">
        <v>278</v>
      </c>
      <c r="E764" s="6" t="s">
        <v>25</v>
      </c>
      <c r="F764" s="79">
        <v>44531</v>
      </c>
      <c r="G764" s="6" t="s">
        <v>16</v>
      </c>
      <c r="H764" s="6" t="s">
        <v>1944</v>
      </c>
      <c r="I764" s="6">
        <v>1</v>
      </c>
      <c r="J764" s="8">
        <v>40000</v>
      </c>
      <c r="K764" s="8">
        <f t="shared" si="6"/>
        <v>458.08520384791575</v>
      </c>
      <c r="L764" s="97">
        <v>44550</v>
      </c>
      <c r="M764" s="6" t="s">
        <v>253</v>
      </c>
      <c r="N764" s="97">
        <v>44551</v>
      </c>
      <c r="O764" s="22" t="s">
        <v>5794</v>
      </c>
      <c r="P764" s="44" t="s">
        <v>2000</v>
      </c>
      <c r="Q764" s="6" t="s">
        <v>280</v>
      </c>
      <c r="R764" s="6" t="str">
        <f t="shared" ca="1" si="7"/>
        <v>NonCategory</v>
      </c>
    </row>
    <row r="765" spans="1:18">
      <c r="A765" s="162">
        <v>44550</v>
      </c>
      <c r="B765" s="164" t="s">
        <v>2001</v>
      </c>
      <c r="C765" s="168" t="s">
        <v>2002</v>
      </c>
      <c r="D765" s="6" t="s">
        <v>287</v>
      </c>
      <c r="E765" s="6" t="s">
        <v>151</v>
      </c>
      <c r="F765" s="79">
        <v>44531</v>
      </c>
      <c r="G765" s="6" t="s">
        <v>16</v>
      </c>
      <c r="H765" s="6" t="s">
        <v>1944</v>
      </c>
      <c r="I765" s="6">
        <v>1</v>
      </c>
      <c r="J765" s="8">
        <v>21000</v>
      </c>
      <c r="K765" s="8">
        <f t="shared" ref="K765:K844" si="8">IFERROR((($J765/1.18))/74,"")</f>
        <v>240.49473202015577</v>
      </c>
      <c r="L765" s="97">
        <v>44550</v>
      </c>
      <c r="M765" s="6" t="s">
        <v>253</v>
      </c>
      <c r="N765" s="97">
        <v>44551</v>
      </c>
      <c r="O765" s="22" t="s">
        <v>5795</v>
      </c>
      <c r="Q765" s="6" t="s">
        <v>280</v>
      </c>
      <c r="R765" s="6" t="str">
        <f t="shared" ca="1" si="7"/>
        <v>NonCategory</v>
      </c>
    </row>
    <row r="766" spans="1:18">
      <c r="A766" s="162">
        <v>44551</v>
      </c>
      <c r="B766" s="164" t="s">
        <v>2003</v>
      </c>
      <c r="C766" s="168" t="s">
        <v>2004</v>
      </c>
      <c r="D766" s="6" t="s">
        <v>291</v>
      </c>
      <c r="E766" s="6" t="s">
        <v>150</v>
      </c>
      <c r="F766" s="79">
        <v>44531</v>
      </c>
      <c r="G766" s="6" t="s">
        <v>16</v>
      </c>
      <c r="H766" s="6" t="s">
        <v>1944</v>
      </c>
      <c r="I766" s="6">
        <v>1</v>
      </c>
      <c r="J766" s="8">
        <v>21000</v>
      </c>
      <c r="K766" s="8">
        <f t="shared" si="8"/>
        <v>240.49473202015577</v>
      </c>
      <c r="L766" s="97">
        <v>44551</v>
      </c>
      <c r="M766" s="6" t="s">
        <v>253</v>
      </c>
      <c r="N766" s="97">
        <v>44551</v>
      </c>
      <c r="O766" s="22" t="s">
        <v>5796</v>
      </c>
      <c r="Q766" s="6" t="s">
        <v>280</v>
      </c>
      <c r="R766" s="6" t="str">
        <f t="shared" ref="R766:R1020" ca="1" si="9">IFERROR(_xludf.IFS($E766="CSM","Category",$E766="CSPO","Category", $E766="PSM","Category",$E766="PSPO","Category",$E766="SAFe Agile","SAFe",$E766="SAFe SSM","SAFe",$E766="SAFe POPM","SAFe",$E766="SASM","SAFe",$E766="PMI-ACP","Category",$E766="ICP-ACC","Category",$E766="PSM 2","Category",$E766="SAFe RTE","SAFe",$E766="",""),"NonCategory")</f>
        <v>NonCategory</v>
      </c>
    </row>
    <row r="767" spans="1:18">
      <c r="A767" s="162">
        <v>44551</v>
      </c>
      <c r="B767" s="164" t="s">
        <v>2005</v>
      </c>
      <c r="C767" s="168" t="s">
        <v>2006</v>
      </c>
      <c r="D767" s="6" t="s">
        <v>287</v>
      </c>
      <c r="E767" s="6" t="s">
        <v>151</v>
      </c>
      <c r="F767" s="79">
        <v>44531</v>
      </c>
      <c r="G767" s="6" t="s">
        <v>16</v>
      </c>
      <c r="H767" s="6" t="s">
        <v>1944</v>
      </c>
      <c r="I767" s="6">
        <v>1</v>
      </c>
      <c r="J767" s="8">
        <v>21000</v>
      </c>
      <c r="K767" s="8">
        <f t="shared" si="8"/>
        <v>240.49473202015577</v>
      </c>
      <c r="L767" s="97">
        <v>44551</v>
      </c>
      <c r="M767" s="6" t="s">
        <v>253</v>
      </c>
      <c r="N767" s="97">
        <v>44551</v>
      </c>
      <c r="O767" s="22" t="s">
        <v>5797</v>
      </c>
      <c r="Q767" s="6" t="s">
        <v>280</v>
      </c>
      <c r="R767" s="6" t="str">
        <f t="shared" ca="1" si="9"/>
        <v>NonCategory</v>
      </c>
    </row>
    <row r="768" spans="1:18">
      <c r="A768" s="162">
        <v>44551</v>
      </c>
      <c r="B768" s="164" t="s">
        <v>2007</v>
      </c>
      <c r="C768" s="168" t="s">
        <v>2008</v>
      </c>
      <c r="D768" s="6" t="s">
        <v>278</v>
      </c>
      <c r="E768" s="6" t="s">
        <v>96</v>
      </c>
      <c r="F768" s="79">
        <v>44531</v>
      </c>
      <c r="G768" s="6" t="s">
        <v>16</v>
      </c>
      <c r="H768" s="6" t="s">
        <v>2009</v>
      </c>
      <c r="I768" s="6">
        <v>1</v>
      </c>
      <c r="J768" s="8">
        <v>20000</v>
      </c>
      <c r="K768" s="8">
        <f t="shared" si="8"/>
        <v>229.04260192395787</v>
      </c>
      <c r="L768" s="97">
        <v>44551</v>
      </c>
      <c r="M768" s="6" t="s">
        <v>253</v>
      </c>
      <c r="N768" s="97">
        <v>44551</v>
      </c>
      <c r="O768" s="22" t="s">
        <v>5798</v>
      </c>
      <c r="P768" s="6" t="s">
        <v>1939</v>
      </c>
      <c r="Q768" s="6" t="s">
        <v>356</v>
      </c>
      <c r="R768" s="6" t="str">
        <f t="shared" ca="1" si="9"/>
        <v>NonCategory</v>
      </c>
    </row>
    <row r="769" spans="1:18">
      <c r="A769" s="162">
        <v>44551</v>
      </c>
      <c r="B769" s="164" t="s">
        <v>2010</v>
      </c>
      <c r="C769" s="168" t="s">
        <v>2011</v>
      </c>
      <c r="D769" s="6" t="s">
        <v>287</v>
      </c>
      <c r="E769" s="6" t="s">
        <v>150</v>
      </c>
      <c r="F769" s="79">
        <v>44531</v>
      </c>
      <c r="G769" s="6" t="s">
        <v>16</v>
      </c>
      <c r="H769" s="6" t="s">
        <v>2012</v>
      </c>
      <c r="I769" s="6">
        <v>1</v>
      </c>
      <c r="J769" s="8">
        <v>21000</v>
      </c>
      <c r="K769" s="8">
        <f t="shared" si="8"/>
        <v>240.49473202015577</v>
      </c>
      <c r="L769" s="97">
        <v>44551</v>
      </c>
      <c r="M769" s="6" t="s">
        <v>253</v>
      </c>
      <c r="N769" s="97">
        <v>44551</v>
      </c>
      <c r="O769" s="22" t="s">
        <v>5799</v>
      </c>
      <c r="Q769" s="6" t="s">
        <v>356</v>
      </c>
      <c r="R769" s="6" t="str">
        <f t="shared" ca="1" si="9"/>
        <v>NonCategory</v>
      </c>
    </row>
    <row r="770" spans="1:18" ht="14.4">
      <c r="A770" s="162">
        <v>44552</v>
      </c>
      <c r="B770" s="164" t="s">
        <v>2013</v>
      </c>
      <c r="C770" s="168" t="s">
        <v>2014</v>
      </c>
      <c r="D770" s="6" t="s">
        <v>278</v>
      </c>
      <c r="E770" s="6" t="s">
        <v>25</v>
      </c>
      <c r="F770" s="79">
        <v>44531</v>
      </c>
      <c r="G770" s="6" t="s">
        <v>16</v>
      </c>
      <c r="H770" s="6" t="s">
        <v>1944</v>
      </c>
      <c r="I770" s="6">
        <v>1</v>
      </c>
      <c r="J770" s="8">
        <v>41000</v>
      </c>
      <c r="K770" s="8">
        <f t="shared" si="8"/>
        <v>469.53733394411364</v>
      </c>
      <c r="L770" s="97">
        <v>44552</v>
      </c>
      <c r="M770" s="6" t="s">
        <v>253</v>
      </c>
      <c r="N770" s="97">
        <v>44552</v>
      </c>
      <c r="O770" s="22" t="s">
        <v>5800</v>
      </c>
      <c r="P770" s="44" t="s">
        <v>1687</v>
      </c>
      <c r="Q770" s="6" t="s">
        <v>280</v>
      </c>
      <c r="R770" s="6" t="str">
        <f t="shared" ca="1" si="9"/>
        <v>NonCategory</v>
      </c>
    </row>
    <row r="771" spans="1:18">
      <c r="A771" s="162">
        <v>44552</v>
      </c>
      <c r="B771" s="164" t="s">
        <v>1108</v>
      </c>
      <c r="C771" s="168" t="s">
        <v>1109</v>
      </c>
      <c r="D771" s="6" t="s">
        <v>274</v>
      </c>
      <c r="E771" s="6" t="s">
        <v>97</v>
      </c>
      <c r="F771" s="79">
        <v>44531</v>
      </c>
      <c r="G771" s="6" t="s">
        <v>16</v>
      </c>
      <c r="H771" s="6" t="s">
        <v>2015</v>
      </c>
      <c r="I771" s="6">
        <v>1</v>
      </c>
      <c r="J771" s="8">
        <v>20000</v>
      </c>
      <c r="K771" s="8">
        <f t="shared" si="8"/>
        <v>229.04260192395787</v>
      </c>
      <c r="L771" s="97">
        <v>44552</v>
      </c>
      <c r="M771" s="6" t="s">
        <v>253</v>
      </c>
      <c r="N771" s="97">
        <v>44552</v>
      </c>
      <c r="O771" s="22" t="s">
        <v>5801</v>
      </c>
      <c r="Q771" s="6" t="s">
        <v>356</v>
      </c>
      <c r="R771" s="6" t="str">
        <f t="shared" ca="1" si="9"/>
        <v>NonCategory</v>
      </c>
    </row>
    <row r="772" spans="1:18">
      <c r="A772" s="162">
        <v>44552</v>
      </c>
      <c r="B772" s="164" t="s">
        <v>1615</v>
      </c>
      <c r="C772" s="168" t="s">
        <v>2016</v>
      </c>
      <c r="D772" s="6" t="s">
        <v>303</v>
      </c>
      <c r="E772" s="6" t="s">
        <v>151</v>
      </c>
      <c r="F772" s="79">
        <v>44531</v>
      </c>
      <c r="G772" s="6" t="s">
        <v>16</v>
      </c>
      <c r="H772" s="6" t="s">
        <v>1944</v>
      </c>
      <c r="I772" s="6">
        <v>1</v>
      </c>
      <c r="J772" s="8">
        <v>21000</v>
      </c>
      <c r="K772" s="8">
        <f t="shared" si="8"/>
        <v>240.49473202015577</v>
      </c>
      <c r="L772" s="97">
        <v>44552</v>
      </c>
      <c r="M772" s="6" t="s">
        <v>253</v>
      </c>
      <c r="N772" s="97">
        <v>44552</v>
      </c>
      <c r="O772" s="22" t="s">
        <v>5802</v>
      </c>
      <c r="Q772" s="6" t="s">
        <v>280</v>
      </c>
      <c r="R772" s="6" t="str">
        <f t="shared" ca="1" si="9"/>
        <v>NonCategory</v>
      </c>
    </row>
    <row r="773" spans="1:18" ht="14.4">
      <c r="A773" s="162">
        <v>44553</v>
      </c>
      <c r="B773" s="164" t="s">
        <v>2017</v>
      </c>
      <c r="C773" s="168" t="s">
        <v>2018</v>
      </c>
      <c r="D773" s="6" t="s">
        <v>278</v>
      </c>
      <c r="E773" s="6" t="s">
        <v>25</v>
      </c>
      <c r="F773" s="79">
        <v>44531</v>
      </c>
      <c r="G773" s="6" t="s">
        <v>16</v>
      </c>
      <c r="H773" s="6" t="s">
        <v>1944</v>
      </c>
      <c r="I773" s="6">
        <v>1</v>
      </c>
      <c r="J773" s="8">
        <v>45000</v>
      </c>
      <c r="K773" s="8">
        <f t="shared" si="8"/>
        <v>515.34585432890515</v>
      </c>
      <c r="L773" s="97">
        <v>44553</v>
      </c>
      <c r="M773" s="6" t="s">
        <v>253</v>
      </c>
      <c r="N773" s="97">
        <v>44553</v>
      </c>
      <c r="O773" s="22" t="s">
        <v>5803</v>
      </c>
      <c r="P773" s="44" t="s">
        <v>1953</v>
      </c>
      <c r="Q773" s="6" t="s">
        <v>280</v>
      </c>
      <c r="R773" s="6" t="str">
        <f t="shared" ca="1" si="9"/>
        <v>NonCategory</v>
      </c>
    </row>
    <row r="774" spans="1:18">
      <c r="A774" s="162">
        <v>44553</v>
      </c>
      <c r="B774" s="164" t="s">
        <v>2019</v>
      </c>
      <c r="C774" s="168" t="s">
        <v>2020</v>
      </c>
      <c r="D774" s="6" t="s">
        <v>278</v>
      </c>
      <c r="E774" s="6" t="s">
        <v>96</v>
      </c>
      <c r="F774" s="79">
        <v>44531</v>
      </c>
      <c r="G774" s="6" t="s">
        <v>16</v>
      </c>
      <c r="H774" s="6" t="s">
        <v>2009</v>
      </c>
      <c r="I774" s="6">
        <v>1</v>
      </c>
      <c r="J774" s="8">
        <v>20000</v>
      </c>
      <c r="K774" s="8">
        <f t="shared" si="8"/>
        <v>229.04260192395787</v>
      </c>
      <c r="L774" s="97">
        <v>44553</v>
      </c>
      <c r="M774" s="6" t="s">
        <v>253</v>
      </c>
      <c r="N774" s="97">
        <v>44553</v>
      </c>
      <c r="O774" s="22" t="s">
        <v>5804</v>
      </c>
      <c r="P774" s="6" t="s">
        <v>2021</v>
      </c>
      <c r="Q774" s="6" t="s">
        <v>356</v>
      </c>
      <c r="R774" s="6" t="str">
        <f t="shared" ca="1" si="9"/>
        <v>NonCategory</v>
      </c>
    </row>
    <row r="775" spans="1:18">
      <c r="A775" s="162">
        <v>44554</v>
      </c>
      <c r="B775" s="164" t="s">
        <v>2022</v>
      </c>
      <c r="C775" s="168" t="s">
        <v>2023</v>
      </c>
      <c r="D775" s="6" t="s">
        <v>306</v>
      </c>
      <c r="E775" s="6" t="s">
        <v>150</v>
      </c>
      <c r="F775" s="79">
        <v>44531</v>
      </c>
      <c r="G775" s="6" t="s">
        <v>16</v>
      </c>
      <c r="H775" s="6" t="s">
        <v>1944</v>
      </c>
      <c r="I775" s="6">
        <v>1</v>
      </c>
      <c r="J775" s="8">
        <v>20500</v>
      </c>
      <c r="K775" s="8">
        <f t="shared" si="8"/>
        <v>234.76866697205682</v>
      </c>
      <c r="L775" s="97">
        <v>44554</v>
      </c>
      <c r="M775" s="6" t="s">
        <v>253</v>
      </c>
      <c r="N775" s="97">
        <v>44554</v>
      </c>
      <c r="O775" s="22" t="s">
        <v>5805</v>
      </c>
      <c r="Q775" s="6" t="s">
        <v>280</v>
      </c>
      <c r="R775" s="6" t="str">
        <f t="shared" ca="1" si="9"/>
        <v>NonCategory</v>
      </c>
    </row>
    <row r="776" spans="1:18">
      <c r="A776" s="162">
        <v>44554</v>
      </c>
      <c r="B776" s="164" t="s">
        <v>2024</v>
      </c>
      <c r="C776" s="168" t="s">
        <v>2025</v>
      </c>
      <c r="D776" s="6" t="s">
        <v>278</v>
      </c>
      <c r="E776" s="6" t="s">
        <v>96</v>
      </c>
      <c r="F776" s="79">
        <v>44531</v>
      </c>
      <c r="G776" s="6" t="s">
        <v>16</v>
      </c>
      <c r="H776" s="6" t="s">
        <v>2009</v>
      </c>
      <c r="I776" s="6">
        <v>1</v>
      </c>
      <c r="J776" s="8">
        <v>20000</v>
      </c>
      <c r="K776" s="8">
        <f t="shared" si="8"/>
        <v>229.04260192395787</v>
      </c>
      <c r="L776" s="97">
        <v>44554</v>
      </c>
      <c r="M776" s="6" t="s">
        <v>253</v>
      </c>
      <c r="N776" s="97">
        <v>44554</v>
      </c>
      <c r="O776" s="22" t="s">
        <v>5806</v>
      </c>
      <c r="P776" s="6" t="s">
        <v>2026</v>
      </c>
      <c r="Q776" s="6" t="s">
        <v>356</v>
      </c>
      <c r="R776" s="6" t="str">
        <f t="shared" ca="1" si="9"/>
        <v>NonCategory</v>
      </c>
    </row>
    <row r="777" spans="1:18">
      <c r="A777" s="162">
        <v>44556</v>
      </c>
      <c r="B777" s="164" t="s">
        <v>2027</v>
      </c>
      <c r="C777" s="168" t="s">
        <v>2028</v>
      </c>
      <c r="D777" s="6" t="s">
        <v>495</v>
      </c>
      <c r="E777" s="6" t="s">
        <v>7</v>
      </c>
      <c r="F777" s="79">
        <v>44531</v>
      </c>
      <c r="G777" s="6" t="s">
        <v>16</v>
      </c>
      <c r="H777" s="6" t="s">
        <v>1972</v>
      </c>
      <c r="I777" s="6">
        <v>1</v>
      </c>
      <c r="J777" s="8">
        <v>41000</v>
      </c>
      <c r="K777" s="8">
        <f t="shared" si="8"/>
        <v>469.53733394411364</v>
      </c>
      <c r="L777" s="97">
        <v>44556</v>
      </c>
      <c r="M777" s="6" t="s">
        <v>253</v>
      </c>
      <c r="N777" s="97">
        <v>44556</v>
      </c>
      <c r="O777" s="22" t="s">
        <v>5807</v>
      </c>
      <c r="Q777" s="6" t="s">
        <v>356</v>
      </c>
      <c r="R777" s="6" t="str">
        <f t="shared" ca="1" si="9"/>
        <v>NonCategory</v>
      </c>
    </row>
    <row r="778" spans="1:18">
      <c r="A778" s="162">
        <v>44557</v>
      </c>
      <c r="B778" s="164" t="s">
        <v>2029</v>
      </c>
      <c r="C778" s="168" t="s">
        <v>2030</v>
      </c>
      <c r="D778" s="6" t="s">
        <v>303</v>
      </c>
      <c r="E778" s="6" t="s">
        <v>150</v>
      </c>
      <c r="F778" s="79">
        <v>44531</v>
      </c>
      <c r="G778" s="6" t="s">
        <v>13</v>
      </c>
      <c r="H778" s="6" t="s">
        <v>1985</v>
      </c>
      <c r="I778" s="6">
        <v>1</v>
      </c>
      <c r="J778" s="8">
        <v>21000</v>
      </c>
      <c r="K778" s="8">
        <f t="shared" si="8"/>
        <v>240.49473202015577</v>
      </c>
      <c r="L778" s="97">
        <v>44557</v>
      </c>
      <c r="R778" s="6" t="str">
        <f t="shared" ca="1" si="9"/>
        <v>NonCategory</v>
      </c>
    </row>
    <row r="779" spans="1:18">
      <c r="A779" s="162">
        <v>44558</v>
      </c>
      <c r="B779" s="164" t="s">
        <v>2031</v>
      </c>
      <c r="C779" s="168" t="s">
        <v>2032</v>
      </c>
      <c r="D779" s="6" t="s">
        <v>1842</v>
      </c>
      <c r="E779" s="6" t="s">
        <v>96</v>
      </c>
      <c r="F779" s="79">
        <v>44531</v>
      </c>
      <c r="G779" s="6" t="s">
        <v>16</v>
      </c>
      <c r="H779" s="6" t="s">
        <v>1972</v>
      </c>
      <c r="I779" s="6">
        <v>1</v>
      </c>
      <c r="J779" s="8">
        <v>20000</v>
      </c>
      <c r="K779" s="8">
        <f t="shared" si="8"/>
        <v>229.04260192395787</v>
      </c>
      <c r="L779" s="97">
        <v>44558</v>
      </c>
      <c r="M779" s="6" t="s">
        <v>253</v>
      </c>
      <c r="N779" s="97">
        <v>44558</v>
      </c>
      <c r="O779" s="22" t="s">
        <v>5808</v>
      </c>
      <c r="Q779" s="6" t="s">
        <v>356</v>
      </c>
      <c r="R779" s="6" t="str">
        <f t="shared" ca="1" si="9"/>
        <v>NonCategory</v>
      </c>
    </row>
    <row r="780" spans="1:18" ht="14.4">
      <c r="A780" s="162">
        <v>44558</v>
      </c>
      <c r="B780" s="164" t="s">
        <v>2033</v>
      </c>
      <c r="C780" s="168" t="s">
        <v>2034</v>
      </c>
      <c r="D780" s="6" t="s">
        <v>278</v>
      </c>
      <c r="E780" s="6" t="s">
        <v>96</v>
      </c>
      <c r="F780" s="79">
        <v>44531</v>
      </c>
      <c r="G780" s="6" t="s">
        <v>16</v>
      </c>
      <c r="H780" s="6" t="s">
        <v>1985</v>
      </c>
      <c r="I780" s="6">
        <v>1</v>
      </c>
      <c r="J780" s="8">
        <v>20000</v>
      </c>
      <c r="K780" s="8">
        <f t="shared" si="8"/>
        <v>229.04260192395787</v>
      </c>
      <c r="L780" s="97">
        <v>44558</v>
      </c>
      <c r="M780" s="6" t="s">
        <v>253</v>
      </c>
      <c r="N780" s="97">
        <v>44558</v>
      </c>
      <c r="O780" s="22" t="s">
        <v>5809</v>
      </c>
      <c r="P780" s="17" t="s">
        <v>1921</v>
      </c>
      <c r="Q780" s="6" t="s">
        <v>356</v>
      </c>
      <c r="R780" s="6" t="str">
        <f t="shared" ca="1" si="9"/>
        <v>NonCategory</v>
      </c>
    </row>
    <row r="781" spans="1:18">
      <c r="A781" s="162">
        <v>44558</v>
      </c>
      <c r="B781" s="164" t="s">
        <v>2035</v>
      </c>
      <c r="C781" s="168" t="s">
        <v>2036</v>
      </c>
      <c r="D781" s="6" t="s">
        <v>303</v>
      </c>
      <c r="E781" s="6" t="s">
        <v>25</v>
      </c>
      <c r="F781" s="79">
        <v>44531</v>
      </c>
      <c r="G781" s="6" t="s">
        <v>16</v>
      </c>
      <c r="H781" s="6" t="s">
        <v>2012</v>
      </c>
      <c r="I781" s="6">
        <v>1</v>
      </c>
      <c r="J781" s="8">
        <v>40000</v>
      </c>
      <c r="K781" s="8">
        <f t="shared" si="8"/>
        <v>458.08520384791575</v>
      </c>
      <c r="L781" s="97">
        <v>44558</v>
      </c>
      <c r="M781" s="6" t="s">
        <v>253</v>
      </c>
      <c r="N781" s="97">
        <v>44558</v>
      </c>
      <c r="O781" s="22" t="s">
        <v>5810</v>
      </c>
      <c r="Q781" s="6" t="s">
        <v>356</v>
      </c>
      <c r="R781" s="6" t="str">
        <f t="shared" ca="1" si="9"/>
        <v>NonCategory</v>
      </c>
    </row>
    <row r="782" spans="1:18">
      <c r="A782" s="162">
        <v>44559</v>
      </c>
      <c r="B782" s="164" t="s">
        <v>729</v>
      </c>
      <c r="C782" s="168" t="s">
        <v>730</v>
      </c>
      <c r="D782" s="6" t="s">
        <v>274</v>
      </c>
      <c r="E782" s="6" t="s">
        <v>1277</v>
      </c>
      <c r="F782" s="79">
        <v>44531</v>
      </c>
      <c r="G782" s="6" t="s">
        <v>16</v>
      </c>
      <c r="H782" s="97">
        <v>44559</v>
      </c>
      <c r="I782" s="6">
        <v>1</v>
      </c>
      <c r="J782" s="8">
        <v>38000</v>
      </c>
      <c r="K782" s="8">
        <f t="shared" si="8"/>
        <v>435.18094365551997</v>
      </c>
      <c r="L782" s="97">
        <v>44559</v>
      </c>
      <c r="M782" s="6" t="s">
        <v>253</v>
      </c>
      <c r="N782" s="97">
        <v>44560</v>
      </c>
      <c r="O782" s="22" t="s">
        <v>5811</v>
      </c>
      <c r="Q782" s="6" t="s">
        <v>356</v>
      </c>
      <c r="R782" s="6" t="str">
        <f t="shared" ca="1" si="9"/>
        <v>NonCategory</v>
      </c>
    </row>
    <row r="783" spans="1:18">
      <c r="A783" s="162">
        <v>44560</v>
      </c>
      <c r="B783" s="164" t="s">
        <v>2037</v>
      </c>
      <c r="C783" s="168" t="s">
        <v>2038</v>
      </c>
      <c r="D783" s="6" t="s">
        <v>278</v>
      </c>
      <c r="E783" s="6" t="s">
        <v>150</v>
      </c>
      <c r="F783" s="79">
        <v>44531</v>
      </c>
      <c r="G783" s="6" t="s">
        <v>16</v>
      </c>
      <c r="H783" s="6" t="s">
        <v>2039</v>
      </c>
      <c r="I783" s="6">
        <v>1</v>
      </c>
      <c r="J783" s="8">
        <v>21000</v>
      </c>
      <c r="K783" s="8">
        <f t="shared" si="8"/>
        <v>240.49473202015577</v>
      </c>
      <c r="L783" s="97">
        <v>44560</v>
      </c>
      <c r="M783" s="6" t="s">
        <v>253</v>
      </c>
      <c r="N783" s="97">
        <v>44560</v>
      </c>
      <c r="O783" s="22" t="s">
        <v>5812</v>
      </c>
      <c r="P783" s="6" t="s">
        <v>1939</v>
      </c>
      <c r="Q783" s="6" t="s">
        <v>356</v>
      </c>
      <c r="R783" s="6" t="str">
        <f t="shared" ca="1" si="9"/>
        <v>NonCategory</v>
      </c>
    </row>
    <row r="784" spans="1:18">
      <c r="A784" s="162">
        <v>44562</v>
      </c>
      <c r="B784" s="164" t="s">
        <v>2040</v>
      </c>
      <c r="C784" s="168" t="s">
        <v>2041</v>
      </c>
      <c r="D784" s="6" t="s">
        <v>319</v>
      </c>
      <c r="E784" s="6" t="s">
        <v>1524</v>
      </c>
      <c r="F784" s="79">
        <v>44562</v>
      </c>
      <c r="G784" s="6" t="s">
        <v>16</v>
      </c>
      <c r="H784" s="6" t="s">
        <v>2009</v>
      </c>
      <c r="I784" s="6">
        <v>1</v>
      </c>
      <c r="J784" s="8">
        <v>24000</v>
      </c>
      <c r="K784" s="8">
        <f t="shared" si="8"/>
        <v>274.85112230874944</v>
      </c>
      <c r="L784" s="97">
        <v>44562</v>
      </c>
      <c r="M784" s="6" t="s">
        <v>251</v>
      </c>
      <c r="N784" s="97">
        <v>44562</v>
      </c>
      <c r="O784" s="22" t="s">
        <v>5813</v>
      </c>
      <c r="Q784" s="6" t="s">
        <v>356</v>
      </c>
      <c r="R784" s="6" t="str">
        <f t="shared" ca="1" si="9"/>
        <v>NonCategory</v>
      </c>
    </row>
    <row r="785" spans="1:18">
      <c r="A785" s="162">
        <v>44562</v>
      </c>
      <c r="B785" s="164" t="s">
        <v>468</v>
      </c>
      <c r="C785" s="168" t="s">
        <v>2042</v>
      </c>
      <c r="D785" s="6" t="s">
        <v>470</v>
      </c>
      <c r="E785" s="6" t="s">
        <v>2043</v>
      </c>
      <c r="F785" s="79">
        <v>44562</v>
      </c>
      <c r="G785" s="6" t="s">
        <v>16</v>
      </c>
      <c r="H785" s="97">
        <v>44562</v>
      </c>
      <c r="I785" s="6">
        <v>1</v>
      </c>
      <c r="J785" s="8">
        <v>12000</v>
      </c>
      <c r="K785" s="8">
        <f t="shared" si="8"/>
        <v>137.42556115437472</v>
      </c>
      <c r="L785" s="97">
        <v>44562</v>
      </c>
      <c r="M785" s="6" t="s">
        <v>251</v>
      </c>
      <c r="N785" s="97">
        <v>44562</v>
      </c>
      <c r="O785" s="22" t="s">
        <v>5814</v>
      </c>
      <c r="Q785" s="6" t="s">
        <v>356</v>
      </c>
      <c r="R785" s="6" t="str">
        <f t="shared" ca="1" si="9"/>
        <v>NonCategory</v>
      </c>
    </row>
    <row r="786" spans="1:18">
      <c r="A786" s="162">
        <v>44564</v>
      </c>
      <c r="B786" s="164" t="s">
        <v>2044</v>
      </c>
      <c r="C786" s="168" t="s">
        <v>2045</v>
      </c>
      <c r="D786" s="6" t="s">
        <v>1731</v>
      </c>
      <c r="E786" s="6" t="s">
        <v>96</v>
      </c>
      <c r="F786" s="79">
        <v>44562</v>
      </c>
      <c r="G786" s="6" t="s">
        <v>16</v>
      </c>
      <c r="H786" s="6" t="s">
        <v>2009</v>
      </c>
      <c r="I786" s="6">
        <v>1</v>
      </c>
      <c r="J786" s="8">
        <v>20000</v>
      </c>
      <c r="K786" s="8">
        <f t="shared" si="8"/>
        <v>229.04260192395787</v>
      </c>
      <c r="L786" s="97">
        <v>44564</v>
      </c>
      <c r="M786" s="6" t="s">
        <v>251</v>
      </c>
      <c r="N786" s="97">
        <v>44564</v>
      </c>
      <c r="O786" s="22" t="s">
        <v>5815</v>
      </c>
      <c r="Q786" s="6" t="s">
        <v>356</v>
      </c>
      <c r="R786" s="6" t="str">
        <f t="shared" ca="1" si="9"/>
        <v>NonCategory</v>
      </c>
    </row>
    <row r="787" spans="1:18">
      <c r="A787" s="162">
        <v>44564</v>
      </c>
      <c r="B787" s="164" t="s">
        <v>2046</v>
      </c>
      <c r="C787" s="168" t="s">
        <v>2047</v>
      </c>
      <c r="D787" s="6" t="s">
        <v>319</v>
      </c>
      <c r="E787" s="6" t="s">
        <v>150</v>
      </c>
      <c r="F787" s="79">
        <v>44562</v>
      </c>
      <c r="G787" s="6" t="s">
        <v>16</v>
      </c>
      <c r="H787" s="6" t="s">
        <v>2009</v>
      </c>
      <c r="I787" s="6">
        <v>1</v>
      </c>
      <c r="J787" s="8">
        <v>20500</v>
      </c>
      <c r="K787" s="8">
        <f t="shared" si="8"/>
        <v>234.76866697205682</v>
      </c>
      <c r="L787" s="97">
        <v>44564</v>
      </c>
      <c r="M787" s="6" t="s">
        <v>251</v>
      </c>
      <c r="N787" s="97">
        <v>44564</v>
      </c>
      <c r="O787" s="22" t="s">
        <v>5816</v>
      </c>
      <c r="Q787" s="6" t="s">
        <v>356</v>
      </c>
      <c r="R787" s="6" t="str">
        <f t="shared" ca="1" si="9"/>
        <v>NonCategory</v>
      </c>
    </row>
    <row r="788" spans="1:18">
      <c r="A788" s="162">
        <v>44565</v>
      </c>
      <c r="B788" s="164" t="s">
        <v>2048</v>
      </c>
      <c r="C788" s="168" t="s">
        <v>2049</v>
      </c>
      <c r="D788" s="6" t="s">
        <v>291</v>
      </c>
      <c r="E788" s="6" t="s">
        <v>96</v>
      </c>
      <c r="F788" s="79">
        <v>44562</v>
      </c>
      <c r="G788" s="6" t="s">
        <v>16</v>
      </c>
      <c r="H788" s="6" t="s">
        <v>1972</v>
      </c>
      <c r="I788" s="6">
        <v>1</v>
      </c>
      <c r="J788" s="8">
        <v>21000</v>
      </c>
      <c r="K788" s="8">
        <f t="shared" si="8"/>
        <v>240.49473202015577</v>
      </c>
      <c r="L788" s="97">
        <v>44565</v>
      </c>
      <c r="M788" s="6" t="s">
        <v>251</v>
      </c>
      <c r="N788" s="97">
        <v>44565</v>
      </c>
      <c r="O788" s="22" t="s">
        <v>5817</v>
      </c>
      <c r="Q788" s="6" t="s">
        <v>2050</v>
      </c>
      <c r="R788" s="6" t="str">
        <f t="shared" ca="1" si="9"/>
        <v>NonCategory</v>
      </c>
    </row>
    <row r="789" spans="1:18">
      <c r="A789" s="162">
        <v>44565</v>
      </c>
      <c r="B789" s="164" t="s">
        <v>2051</v>
      </c>
      <c r="C789" s="168" t="s">
        <v>2052</v>
      </c>
      <c r="D789" s="6" t="s">
        <v>287</v>
      </c>
      <c r="E789" s="6" t="s">
        <v>96</v>
      </c>
      <c r="F789" s="79">
        <v>44562</v>
      </c>
      <c r="G789" s="6" t="s">
        <v>16</v>
      </c>
      <c r="H789" s="6" t="s">
        <v>2053</v>
      </c>
      <c r="I789" s="6">
        <v>1</v>
      </c>
      <c r="J789" s="8">
        <v>20000</v>
      </c>
      <c r="K789" s="8">
        <f t="shared" si="8"/>
        <v>229.04260192395787</v>
      </c>
      <c r="L789" s="97">
        <v>44565</v>
      </c>
      <c r="M789" s="6" t="s">
        <v>251</v>
      </c>
      <c r="N789" s="97">
        <v>44565</v>
      </c>
      <c r="O789" s="22" t="s">
        <v>5818</v>
      </c>
      <c r="Q789" s="6" t="s">
        <v>356</v>
      </c>
      <c r="R789" s="6" t="str">
        <f t="shared" ca="1" si="9"/>
        <v>NonCategory</v>
      </c>
    </row>
    <row r="790" spans="1:18" ht="14.4">
      <c r="A790" s="162">
        <v>44566</v>
      </c>
      <c r="B790" s="164" t="s">
        <v>2054</v>
      </c>
      <c r="C790" s="168" t="s">
        <v>2055</v>
      </c>
      <c r="D790" s="6" t="s">
        <v>278</v>
      </c>
      <c r="E790" s="6" t="s">
        <v>96</v>
      </c>
      <c r="F790" s="79">
        <v>44562</v>
      </c>
      <c r="G790" s="6" t="s">
        <v>16</v>
      </c>
      <c r="H790" s="6" t="s">
        <v>2012</v>
      </c>
      <c r="I790" s="6">
        <v>1</v>
      </c>
      <c r="J790" s="8">
        <v>19000</v>
      </c>
      <c r="K790" s="8">
        <f t="shared" si="8"/>
        <v>217.59047182775998</v>
      </c>
      <c r="L790" s="97">
        <v>44566</v>
      </c>
      <c r="M790" s="6" t="s">
        <v>251</v>
      </c>
      <c r="N790" s="97">
        <v>44566</v>
      </c>
      <c r="O790" s="22" t="s">
        <v>5819</v>
      </c>
      <c r="P790" s="44" t="s">
        <v>1943</v>
      </c>
      <c r="Q790" s="6" t="s">
        <v>356</v>
      </c>
      <c r="R790" s="6" t="str">
        <f t="shared" ca="1" si="9"/>
        <v>NonCategory</v>
      </c>
    </row>
    <row r="791" spans="1:18">
      <c r="A791" s="162">
        <v>44566</v>
      </c>
      <c r="B791" s="164" t="s">
        <v>2056</v>
      </c>
      <c r="C791" s="168" t="s">
        <v>2057</v>
      </c>
      <c r="D791" s="6" t="s">
        <v>278</v>
      </c>
      <c r="E791" s="6" t="s">
        <v>25</v>
      </c>
      <c r="F791" s="79">
        <v>44562</v>
      </c>
      <c r="G791" s="6" t="s">
        <v>16</v>
      </c>
      <c r="H791" s="6" t="s">
        <v>1972</v>
      </c>
      <c r="I791" s="6">
        <v>1</v>
      </c>
      <c r="J791" s="8">
        <v>40000</v>
      </c>
      <c r="K791" s="8">
        <f t="shared" si="8"/>
        <v>458.08520384791575</v>
      </c>
      <c r="L791" s="97">
        <v>44566</v>
      </c>
      <c r="M791" s="6" t="s">
        <v>251</v>
      </c>
      <c r="N791" s="97">
        <v>44567</v>
      </c>
      <c r="O791" s="22" t="s">
        <v>5820</v>
      </c>
      <c r="P791" s="6" t="s">
        <v>2058</v>
      </c>
      <c r="Q791" s="6" t="s">
        <v>356</v>
      </c>
      <c r="R791" s="6" t="str">
        <f t="shared" ca="1" si="9"/>
        <v>NonCategory</v>
      </c>
    </row>
    <row r="792" spans="1:18">
      <c r="A792" s="162">
        <v>44566</v>
      </c>
      <c r="B792" s="164" t="s">
        <v>2059</v>
      </c>
      <c r="C792" s="168" t="s">
        <v>2060</v>
      </c>
      <c r="D792" s="6" t="s">
        <v>278</v>
      </c>
      <c r="E792" s="6" t="s">
        <v>25</v>
      </c>
      <c r="F792" s="79">
        <v>44562</v>
      </c>
      <c r="G792" s="6" t="s">
        <v>16</v>
      </c>
      <c r="H792" s="6" t="s">
        <v>1972</v>
      </c>
      <c r="I792" s="6">
        <v>1</v>
      </c>
      <c r="J792" s="8">
        <v>40000</v>
      </c>
      <c r="K792" s="8">
        <f t="shared" si="8"/>
        <v>458.08520384791575</v>
      </c>
      <c r="L792" s="97">
        <v>44566</v>
      </c>
      <c r="M792" s="6" t="s">
        <v>251</v>
      </c>
      <c r="N792" s="97">
        <v>44567</v>
      </c>
      <c r="O792" s="22" t="s">
        <v>5821</v>
      </c>
      <c r="P792" s="6" t="s">
        <v>2058</v>
      </c>
      <c r="Q792" s="6" t="s">
        <v>356</v>
      </c>
      <c r="R792" s="6" t="str">
        <f t="shared" ca="1" si="9"/>
        <v>NonCategory</v>
      </c>
    </row>
    <row r="793" spans="1:18">
      <c r="A793" s="162">
        <v>44567</v>
      </c>
      <c r="B793" s="164" t="s">
        <v>2061</v>
      </c>
      <c r="C793" s="168" t="s">
        <v>1909</v>
      </c>
      <c r="D793" s="6" t="s">
        <v>470</v>
      </c>
      <c r="E793" s="6" t="s">
        <v>998</v>
      </c>
      <c r="F793" s="79">
        <v>44562</v>
      </c>
      <c r="G793" s="6" t="s">
        <v>16</v>
      </c>
      <c r="H793" s="97">
        <v>44567</v>
      </c>
      <c r="I793" s="6">
        <v>1</v>
      </c>
      <c r="J793" s="8">
        <v>17000</v>
      </c>
      <c r="K793" s="8">
        <f t="shared" si="8"/>
        <v>194.68621163536417</v>
      </c>
      <c r="L793" s="97">
        <v>44567</v>
      </c>
      <c r="M793" s="6" t="s">
        <v>251</v>
      </c>
      <c r="N793" s="97">
        <v>44567</v>
      </c>
      <c r="O793" s="22" t="s">
        <v>5822</v>
      </c>
      <c r="Q793" s="6" t="s">
        <v>356</v>
      </c>
      <c r="R793" s="6" t="str">
        <f t="shared" ca="1" si="9"/>
        <v>NonCategory</v>
      </c>
    </row>
    <row r="794" spans="1:18">
      <c r="A794" s="162">
        <v>44568</v>
      </c>
      <c r="B794" s="164" t="s">
        <v>2062</v>
      </c>
      <c r="C794" s="168" t="s">
        <v>2063</v>
      </c>
      <c r="D794" s="6" t="s">
        <v>278</v>
      </c>
      <c r="E794" s="6" t="s">
        <v>96</v>
      </c>
      <c r="F794" s="79">
        <v>44562</v>
      </c>
      <c r="G794" s="6" t="s">
        <v>16</v>
      </c>
      <c r="H794" s="6" t="s">
        <v>2039</v>
      </c>
      <c r="I794" s="6">
        <v>1</v>
      </c>
      <c r="J794" s="8">
        <v>20000</v>
      </c>
      <c r="K794" s="8">
        <f t="shared" si="8"/>
        <v>229.04260192395787</v>
      </c>
      <c r="L794" s="97">
        <v>44568</v>
      </c>
      <c r="M794" s="6" t="s">
        <v>251</v>
      </c>
      <c r="N794" s="97">
        <v>44568</v>
      </c>
      <c r="O794" s="22" t="s">
        <v>5823</v>
      </c>
      <c r="P794" s="6" t="s">
        <v>2064</v>
      </c>
      <c r="Q794" s="6" t="s">
        <v>356</v>
      </c>
      <c r="R794" s="6" t="str">
        <f t="shared" ca="1" si="9"/>
        <v>NonCategory</v>
      </c>
    </row>
    <row r="795" spans="1:18">
      <c r="A795" s="162">
        <v>44568</v>
      </c>
      <c r="B795" s="164" t="s">
        <v>2065</v>
      </c>
      <c r="C795" s="168" t="s">
        <v>2066</v>
      </c>
      <c r="D795" s="6" t="s">
        <v>291</v>
      </c>
      <c r="E795" s="6" t="s">
        <v>96</v>
      </c>
      <c r="F795" s="79">
        <v>44562</v>
      </c>
      <c r="G795" s="6" t="s">
        <v>16</v>
      </c>
      <c r="H795" s="6" t="s">
        <v>2012</v>
      </c>
      <c r="I795" s="6">
        <v>1</v>
      </c>
      <c r="J795" s="8">
        <v>20000</v>
      </c>
      <c r="K795" s="8">
        <f t="shared" si="8"/>
        <v>229.04260192395787</v>
      </c>
      <c r="L795" s="97">
        <v>44568</v>
      </c>
      <c r="M795" s="6" t="s">
        <v>251</v>
      </c>
      <c r="N795" s="97">
        <v>44568</v>
      </c>
      <c r="O795" s="22" t="s">
        <v>5824</v>
      </c>
      <c r="Q795" s="6" t="s">
        <v>356</v>
      </c>
      <c r="R795" s="6" t="str">
        <f t="shared" ca="1" si="9"/>
        <v>NonCategory</v>
      </c>
    </row>
    <row r="796" spans="1:18">
      <c r="A796" s="162">
        <v>44568</v>
      </c>
      <c r="B796" s="164" t="s">
        <v>357</v>
      </c>
      <c r="C796" s="168" t="s">
        <v>2067</v>
      </c>
      <c r="D796" s="6" t="s">
        <v>303</v>
      </c>
      <c r="E796" s="6" t="s">
        <v>150</v>
      </c>
      <c r="F796" s="79">
        <v>44562</v>
      </c>
      <c r="G796" s="6" t="s">
        <v>16</v>
      </c>
      <c r="H796" s="6" t="s">
        <v>2012</v>
      </c>
      <c r="I796" s="6">
        <v>1</v>
      </c>
      <c r="J796" s="8">
        <v>21000</v>
      </c>
      <c r="K796" s="8">
        <f t="shared" si="8"/>
        <v>240.49473202015577</v>
      </c>
      <c r="L796" s="97">
        <v>44568</v>
      </c>
      <c r="M796" s="6" t="s">
        <v>251</v>
      </c>
      <c r="N796" s="97">
        <v>44568</v>
      </c>
      <c r="O796" s="22" t="s">
        <v>5825</v>
      </c>
      <c r="Q796" s="6" t="s">
        <v>356</v>
      </c>
      <c r="R796" s="6" t="str">
        <f t="shared" ca="1" si="9"/>
        <v>NonCategory</v>
      </c>
    </row>
    <row r="797" spans="1:18" ht="14.4">
      <c r="A797" s="162">
        <v>44569</v>
      </c>
      <c r="B797" s="164" t="s">
        <v>2068</v>
      </c>
      <c r="C797" s="168" t="s">
        <v>2069</v>
      </c>
      <c r="D797" s="6" t="s">
        <v>278</v>
      </c>
      <c r="E797" s="6" t="s">
        <v>151</v>
      </c>
      <c r="F797" s="79">
        <v>44562</v>
      </c>
      <c r="G797" s="6" t="s">
        <v>16</v>
      </c>
      <c r="H797" s="6" t="s">
        <v>2009</v>
      </c>
      <c r="I797" s="6">
        <v>1</v>
      </c>
      <c r="J797" s="8">
        <v>21000</v>
      </c>
      <c r="K797" s="8">
        <f t="shared" si="8"/>
        <v>240.49473202015577</v>
      </c>
      <c r="L797" s="97">
        <v>44569</v>
      </c>
      <c r="M797" s="6" t="s">
        <v>251</v>
      </c>
      <c r="N797" s="97">
        <v>44569</v>
      </c>
      <c r="O797" s="22" t="s">
        <v>5826</v>
      </c>
      <c r="P797" s="44" t="s">
        <v>2016</v>
      </c>
      <c r="Q797" s="6" t="s">
        <v>356</v>
      </c>
      <c r="R797" s="6" t="str">
        <f t="shared" ca="1" si="9"/>
        <v>NonCategory</v>
      </c>
    </row>
    <row r="798" spans="1:18">
      <c r="A798" s="162">
        <v>44569</v>
      </c>
      <c r="B798" s="164" t="s">
        <v>2070</v>
      </c>
      <c r="C798" s="168" t="s">
        <v>2071</v>
      </c>
      <c r="D798" s="6" t="s">
        <v>343</v>
      </c>
      <c r="E798" s="6" t="s">
        <v>150</v>
      </c>
      <c r="F798" s="79">
        <v>44562</v>
      </c>
      <c r="G798" s="6" t="s">
        <v>16</v>
      </c>
      <c r="H798" s="6" t="s">
        <v>2012</v>
      </c>
      <c r="I798" s="6">
        <v>1</v>
      </c>
      <c r="J798" s="8">
        <v>21000</v>
      </c>
      <c r="K798" s="8">
        <f t="shared" si="8"/>
        <v>240.49473202015577</v>
      </c>
      <c r="L798" s="97">
        <v>44569</v>
      </c>
      <c r="M798" s="6" t="s">
        <v>251</v>
      </c>
      <c r="N798" s="97">
        <v>44569</v>
      </c>
      <c r="O798" s="22" t="s">
        <v>5827</v>
      </c>
      <c r="Q798" s="6" t="s">
        <v>356</v>
      </c>
      <c r="R798" s="6" t="str">
        <f t="shared" ca="1" si="9"/>
        <v>NonCategory</v>
      </c>
    </row>
    <row r="799" spans="1:18">
      <c r="A799" s="162">
        <v>44570</v>
      </c>
      <c r="B799" s="164" t="s">
        <v>2072</v>
      </c>
      <c r="C799" s="168" t="s">
        <v>2073</v>
      </c>
      <c r="D799" s="6" t="s">
        <v>278</v>
      </c>
      <c r="E799" s="6" t="s">
        <v>96</v>
      </c>
      <c r="F799" s="79">
        <v>44562</v>
      </c>
      <c r="G799" s="6" t="s">
        <v>16</v>
      </c>
      <c r="H799" s="6" t="s">
        <v>2012</v>
      </c>
      <c r="I799" s="6">
        <v>1</v>
      </c>
      <c r="J799" s="8">
        <v>20000</v>
      </c>
      <c r="K799" s="8">
        <f t="shared" si="8"/>
        <v>229.04260192395787</v>
      </c>
      <c r="L799" s="97">
        <v>44570</v>
      </c>
      <c r="M799" s="6" t="s">
        <v>251</v>
      </c>
      <c r="N799" s="97">
        <v>44570</v>
      </c>
      <c r="O799" s="22" t="s">
        <v>5828</v>
      </c>
      <c r="P799" s="6" t="s">
        <v>2074</v>
      </c>
      <c r="Q799" s="6" t="s">
        <v>356</v>
      </c>
      <c r="R799" s="6" t="str">
        <f t="shared" ca="1" si="9"/>
        <v>NonCategory</v>
      </c>
    </row>
    <row r="800" spans="1:18">
      <c r="A800" s="162">
        <v>44570</v>
      </c>
      <c r="B800" s="164" t="s">
        <v>2075</v>
      </c>
      <c r="C800" s="168" t="s">
        <v>2076</v>
      </c>
      <c r="D800" s="6" t="s">
        <v>319</v>
      </c>
      <c r="E800" s="6" t="s">
        <v>151</v>
      </c>
      <c r="F800" s="79">
        <v>44562</v>
      </c>
      <c r="G800" s="6" t="s">
        <v>16</v>
      </c>
      <c r="H800" s="6" t="s">
        <v>1985</v>
      </c>
      <c r="I800" s="6">
        <v>1</v>
      </c>
      <c r="J800" s="8">
        <v>21000</v>
      </c>
      <c r="K800" s="8">
        <f t="shared" si="8"/>
        <v>240.49473202015577</v>
      </c>
      <c r="L800" s="97">
        <v>44570</v>
      </c>
      <c r="M800" s="6" t="s">
        <v>251</v>
      </c>
      <c r="N800" s="97">
        <v>44571</v>
      </c>
      <c r="O800" s="22" t="s">
        <v>5829</v>
      </c>
      <c r="Q800" s="6" t="s">
        <v>356</v>
      </c>
      <c r="R800" s="6" t="str">
        <f t="shared" ca="1" si="9"/>
        <v>NonCategory</v>
      </c>
    </row>
    <row r="801" spans="1:18">
      <c r="A801" s="162">
        <v>44571</v>
      </c>
      <c r="B801" s="164" t="s">
        <v>2077</v>
      </c>
      <c r="C801" s="168" t="s">
        <v>2078</v>
      </c>
      <c r="D801" s="6" t="s">
        <v>495</v>
      </c>
      <c r="E801" s="6" t="s">
        <v>96</v>
      </c>
      <c r="F801" s="79">
        <v>44562</v>
      </c>
      <c r="G801" s="6" t="s">
        <v>16</v>
      </c>
      <c r="H801" s="6" t="s">
        <v>2079</v>
      </c>
      <c r="I801" s="6">
        <v>1</v>
      </c>
      <c r="J801" s="8">
        <v>20000</v>
      </c>
      <c r="K801" s="8">
        <f t="shared" si="8"/>
        <v>229.04260192395787</v>
      </c>
      <c r="L801" s="97">
        <v>44571</v>
      </c>
      <c r="M801" s="6" t="s">
        <v>251</v>
      </c>
      <c r="N801" s="97">
        <v>44571</v>
      </c>
      <c r="O801" s="22" t="s">
        <v>5830</v>
      </c>
      <c r="Q801" s="6" t="s">
        <v>356</v>
      </c>
      <c r="R801" s="6" t="str">
        <f t="shared" ca="1" si="9"/>
        <v>NonCategory</v>
      </c>
    </row>
    <row r="802" spans="1:18">
      <c r="A802" s="162">
        <v>44571</v>
      </c>
      <c r="B802" s="164" t="s">
        <v>2080</v>
      </c>
      <c r="C802" s="168" t="s">
        <v>2081</v>
      </c>
      <c r="D802" s="6" t="s">
        <v>303</v>
      </c>
      <c r="E802" s="6" t="s">
        <v>150</v>
      </c>
      <c r="F802" s="79">
        <v>44562</v>
      </c>
      <c r="G802" s="6" t="s">
        <v>16</v>
      </c>
      <c r="H802" s="6" t="s">
        <v>1985</v>
      </c>
      <c r="I802" s="6">
        <v>1</v>
      </c>
      <c r="J802" s="8">
        <v>21000</v>
      </c>
      <c r="K802" s="8">
        <f t="shared" si="8"/>
        <v>240.49473202015577</v>
      </c>
      <c r="L802" s="97">
        <v>44571</v>
      </c>
      <c r="M802" s="6" t="s">
        <v>251</v>
      </c>
      <c r="N802" s="97">
        <v>44571</v>
      </c>
      <c r="O802" s="22" t="s">
        <v>5831</v>
      </c>
      <c r="Q802" s="6" t="s">
        <v>356</v>
      </c>
      <c r="R802" s="6" t="str">
        <f t="shared" ca="1" si="9"/>
        <v>NonCategory</v>
      </c>
    </row>
    <row r="803" spans="1:18">
      <c r="A803" s="162">
        <v>44571</v>
      </c>
      <c r="B803" s="164" t="s">
        <v>2029</v>
      </c>
      <c r="C803" s="168" t="s">
        <v>2030</v>
      </c>
      <c r="D803" s="6" t="s">
        <v>303</v>
      </c>
      <c r="E803" s="6" t="s">
        <v>150</v>
      </c>
      <c r="F803" s="79">
        <v>44562</v>
      </c>
      <c r="G803" s="6" t="s">
        <v>16</v>
      </c>
      <c r="H803" s="6" t="s">
        <v>1985</v>
      </c>
      <c r="I803" s="6">
        <v>1</v>
      </c>
      <c r="J803" s="8">
        <v>21000</v>
      </c>
      <c r="K803" s="8">
        <f t="shared" si="8"/>
        <v>240.49473202015577</v>
      </c>
      <c r="L803" s="97">
        <v>44571</v>
      </c>
      <c r="M803" s="6" t="s">
        <v>251</v>
      </c>
      <c r="N803" s="97">
        <v>44571</v>
      </c>
      <c r="O803" s="22" t="s">
        <v>5832</v>
      </c>
      <c r="Q803" s="6" t="s">
        <v>356</v>
      </c>
      <c r="R803" s="6" t="str">
        <f t="shared" ca="1" si="9"/>
        <v>NonCategory</v>
      </c>
    </row>
    <row r="804" spans="1:18">
      <c r="A804" s="162">
        <v>44572</v>
      </c>
      <c r="B804" s="164" t="s">
        <v>2082</v>
      </c>
      <c r="C804" s="168" t="s">
        <v>2083</v>
      </c>
      <c r="D804" s="6" t="s">
        <v>303</v>
      </c>
      <c r="E804" s="6" t="s">
        <v>150</v>
      </c>
      <c r="F804" s="79">
        <v>44562</v>
      </c>
      <c r="G804" s="6" t="s">
        <v>16</v>
      </c>
      <c r="H804" s="6" t="s">
        <v>1985</v>
      </c>
      <c r="I804" s="6">
        <v>1</v>
      </c>
      <c r="J804" s="8">
        <v>21000</v>
      </c>
      <c r="K804" s="8">
        <f t="shared" si="8"/>
        <v>240.49473202015577</v>
      </c>
      <c r="L804" s="97">
        <v>44572</v>
      </c>
      <c r="M804" s="6" t="s">
        <v>252</v>
      </c>
      <c r="N804" s="97">
        <v>44572</v>
      </c>
      <c r="O804" s="22" t="s">
        <v>5833</v>
      </c>
      <c r="Q804" s="6" t="s">
        <v>356</v>
      </c>
      <c r="R804" s="6" t="str">
        <f t="shared" ca="1" si="9"/>
        <v>NonCategory</v>
      </c>
    </row>
    <row r="805" spans="1:18">
      <c r="A805" s="162">
        <v>44572</v>
      </c>
      <c r="B805" s="164" t="s">
        <v>2084</v>
      </c>
      <c r="C805" s="168" t="s">
        <v>2085</v>
      </c>
      <c r="D805" s="6" t="s">
        <v>319</v>
      </c>
      <c r="E805" s="6" t="s">
        <v>96</v>
      </c>
      <c r="F805" s="79">
        <v>44562</v>
      </c>
      <c r="G805" s="6" t="s">
        <v>16</v>
      </c>
      <c r="H805" s="6" t="s">
        <v>2012</v>
      </c>
      <c r="I805" s="6">
        <v>1</v>
      </c>
      <c r="J805" s="8">
        <v>20000</v>
      </c>
      <c r="K805" s="8">
        <f t="shared" si="8"/>
        <v>229.04260192395787</v>
      </c>
      <c r="L805" s="97">
        <v>44572</v>
      </c>
      <c r="M805" s="6" t="s">
        <v>252</v>
      </c>
      <c r="N805" s="97">
        <v>44573</v>
      </c>
      <c r="O805" s="22" t="s">
        <v>5834</v>
      </c>
      <c r="Q805" s="6" t="s">
        <v>356</v>
      </c>
      <c r="R805" s="6" t="str">
        <f t="shared" ca="1" si="9"/>
        <v>NonCategory</v>
      </c>
    </row>
    <row r="806" spans="1:18">
      <c r="A806" s="162">
        <v>44573</v>
      </c>
      <c r="B806" s="164" t="s">
        <v>1217</v>
      </c>
      <c r="C806" s="168" t="s">
        <v>1211</v>
      </c>
      <c r="D806" s="6" t="s">
        <v>470</v>
      </c>
      <c r="E806" s="6" t="s">
        <v>96</v>
      </c>
      <c r="F806" s="79">
        <v>44562</v>
      </c>
      <c r="G806" s="6" t="s">
        <v>16</v>
      </c>
      <c r="H806" s="6" t="s">
        <v>2079</v>
      </c>
      <c r="I806" s="6">
        <v>1</v>
      </c>
      <c r="J806" s="8">
        <v>20000</v>
      </c>
      <c r="K806" s="8">
        <f t="shared" si="8"/>
        <v>229.04260192395787</v>
      </c>
      <c r="L806" s="97">
        <v>44573</v>
      </c>
      <c r="M806" s="6" t="s">
        <v>252</v>
      </c>
      <c r="N806" s="97">
        <v>44573</v>
      </c>
      <c r="O806" s="22" t="s">
        <v>5835</v>
      </c>
      <c r="Q806" s="6" t="s">
        <v>356</v>
      </c>
      <c r="R806" s="6" t="str">
        <f t="shared" ca="1" si="9"/>
        <v>NonCategory</v>
      </c>
    </row>
    <row r="807" spans="1:18">
      <c r="A807" s="162">
        <v>44574</v>
      </c>
      <c r="B807" s="164" t="s">
        <v>2086</v>
      </c>
      <c r="C807" s="168" t="s">
        <v>2087</v>
      </c>
      <c r="D807" s="6" t="s">
        <v>495</v>
      </c>
      <c r="E807" s="6" t="s">
        <v>97</v>
      </c>
      <c r="F807" s="79">
        <v>44562</v>
      </c>
      <c r="G807" s="6" t="s">
        <v>16</v>
      </c>
      <c r="H807" s="6" t="s">
        <v>2088</v>
      </c>
      <c r="I807" s="6">
        <v>1</v>
      </c>
      <c r="J807" s="8">
        <v>20000</v>
      </c>
      <c r="K807" s="8">
        <f t="shared" si="8"/>
        <v>229.04260192395787</v>
      </c>
      <c r="L807" s="97">
        <v>44574</v>
      </c>
      <c r="M807" s="6" t="s">
        <v>252</v>
      </c>
      <c r="N807" s="97">
        <v>44574</v>
      </c>
      <c r="O807" s="22" t="s">
        <v>5836</v>
      </c>
      <c r="Q807" s="6" t="s">
        <v>356</v>
      </c>
      <c r="R807" s="6" t="str">
        <f t="shared" ca="1" si="9"/>
        <v>NonCategory</v>
      </c>
    </row>
    <row r="808" spans="1:18">
      <c r="A808" s="162">
        <v>44575</v>
      </c>
      <c r="B808" s="164" t="s">
        <v>2089</v>
      </c>
      <c r="C808" s="168" t="s">
        <v>2090</v>
      </c>
      <c r="D808" s="6" t="s">
        <v>278</v>
      </c>
      <c r="E808" s="6" t="s">
        <v>96</v>
      </c>
      <c r="F808" s="79">
        <v>44562</v>
      </c>
      <c r="G808" s="6" t="s">
        <v>16</v>
      </c>
      <c r="H808" s="6" t="s">
        <v>2012</v>
      </c>
      <c r="I808" s="6">
        <v>1</v>
      </c>
      <c r="J808" s="8">
        <v>20000</v>
      </c>
      <c r="K808" s="8">
        <f t="shared" si="8"/>
        <v>229.04260192395787</v>
      </c>
      <c r="L808" s="97">
        <v>44575</v>
      </c>
      <c r="M808" s="6" t="s">
        <v>252</v>
      </c>
      <c r="N808" s="97">
        <v>44575</v>
      </c>
      <c r="O808" s="22" t="s">
        <v>5837</v>
      </c>
      <c r="P808" s="6" t="s">
        <v>2091</v>
      </c>
      <c r="Q808" s="6" t="s">
        <v>356</v>
      </c>
      <c r="R808" s="6" t="str">
        <f t="shared" ca="1" si="9"/>
        <v>NonCategory</v>
      </c>
    </row>
    <row r="809" spans="1:18">
      <c r="A809" s="162">
        <v>44575</v>
      </c>
      <c r="B809" s="164" t="s">
        <v>709</v>
      </c>
      <c r="C809" s="168" t="s">
        <v>2092</v>
      </c>
      <c r="D809" s="6" t="s">
        <v>278</v>
      </c>
      <c r="E809" s="6" t="s">
        <v>96</v>
      </c>
      <c r="F809" s="79">
        <v>44562</v>
      </c>
      <c r="G809" s="6" t="s">
        <v>16</v>
      </c>
      <c r="H809" s="6" t="s">
        <v>2012</v>
      </c>
      <c r="I809" s="6">
        <v>1</v>
      </c>
      <c r="J809" s="8">
        <v>20000</v>
      </c>
      <c r="K809" s="8">
        <f t="shared" si="8"/>
        <v>229.04260192395787</v>
      </c>
      <c r="L809" s="97">
        <v>44575</v>
      </c>
      <c r="M809" s="6" t="s">
        <v>252</v>
      </c>
      <c r="N809" s="97">
        <v>44575</v>
      </c>
      <c r="O809" s="22" t="s">
        <v>5838</v>
      </c>
      <c r="P809" s="6" t="s">
        <v>2091</v>
      </c>
      <c r="Q809" s="6" t="s">
        <v>356</v>
      </c>
      <c r="R809" s="6" t="str">
        <f t="shared" ca="1" si="9"/>
        <v>NonCategory</v>
      </c>
    </row>
    <row r="810" spans="1:18">
      <c r="A810" s="162">
        <v>44575</v>
      </c>
      <c r="B810" s="164" t="s">
        <v>2093</v>
      </c>
      <c r="C810" s="168" t="s">
        <v>2094</v>
      </c>
      <c r="D810" s="6" t="s">
        <v>319</v>
      </c>
      <c r="E810" s="6" t="s">
        <v>25</v>
      </c>
      <c r="F810" s="79">
        <v>44562</v>
      </c>
      <c r="G810" s="6" t="s">
        <v>16</v>
      </c>
      <c r="H810" s="6" t="s">
        <v>2012</v>
      </c>
      <c r="I810" s="6">
        <v>1</v>
      </c>
      <c r="J810" s="8">
        <v>42000</v>
      </c>
      <c r="K810" s="8">
        <f t="shared" si="8"/>
        <v>480.98946404031153</v>
      </c>
      <c r="L810" s="97">
        <v>44576</v>
      </c>
      <c r="M810" s="6" t="s">
        <v>252</v>
      </c>
      <c r="N810" s="97">
        <v>44576</v>
      </c>
      <c r="O810" s="22" t="s">
        <v>5839</v>
      </c>
      <c r="Q810" s="6" t="s">
        <v>356</v>
      </c>
      <c r="R810" s="6" t="str">
        <f t="shared" ca="1" si="9"/>
        <v>NonCategory</v>
      </c>
    </row>
    <row r="811" spans="1:18">
      <c r="A811" s="162">
        <v>44576</v>
      </c>
      <c r="B811" s="164" t="s">
        <v>2095</v>
      </c>
      <c r="C811" s="168" t="s">
        <v>2096</v>
      </c>
      <c r="D811" s="6" t="s">
        <v>278</v>
      </c>
      <c r="E811" s="6" t="s">
        <v>96</v>
      </c>
      <c r="F811" s="79">
        <v>44562</v>
      </c>
      <c r="G811" s="6" t="s">
        <v>16</v>
      </c>
      <c r="H811" s="6" t="s">
        <v>2097</v>
      </c>
      <c r="I811" s="6">
        <v>1</v>
      </c>
      <c r="J811" s="8">
        <v>19000</v>
      </c>
      <c r="K811" s="8">
        <f t="shared" si="8"/>
        <v>217.59047182775998</v>
      </c>
      <c r="L811" s="97">
        <v>44576</v>
      </c>
      <c r="M811" s="6" t="s">
        <v>252</v>
      </c>
      <c r="N811" s="97">
        <v>44576</v>
      </c>
      <c r="O811" s="22" t="s">
        <v>5840</v>
      </c>
      <c r="P811" s="6" t="s">
        <v>2098</v>
      </c>
      <c r="Q811" s="6" t="s">
        <v>356</v>
      </c>
      <c r="R811" s="6" t="str">
        <f t="shared" ca="1" si="9"/>
        <v>NonCategory</v>
      </c>
    </row>
    <row r="812" spans="1:18">
      <c r="A812" s="162">
        <v>44580</v>
      </c>
      <c r="B812" s="164" t="s">
        <v>2099</v>
      </c>
      <c r="C812" s="168" t="s">
        <v>2100</v>
      </c>
      <c r="D812" s="6" t="s">
        <v>278</v>
      </c>
      <c r="E812" s="6" t="s">
        <v>25</v>
      </c>
      <c r="F812" s="79">
        <v>44562</v>
      </c>
      <c r="G812" s="6" t="s">
        <v>16</v>
      </c>
      <c r="H812" s="6" t="s">
        <v>2012</v>
      </c>
      <c r="I812" s="6">
        <v>1</v>
      </c>
      <c r="J812" s="8">
        <v>40000</v>
      </c>
      <c r="K812" s="8">
        <f t="shared" si="8"/>
        <v>458.08520384791575</v>
      </c>
      <c r="L812" s="97">
        <v>44580</v>
      </c>
      <c r="M812" s="6" t="s">
        <v>252</v>
      </c>
      <c r="N812" s="97">
        <v>44580</v>
      </c>
      <c r="O812" s="22" t="s">
        <v>5841</v>
      </c>
      <c r="P812" s="6" t="s">
        <v>2101</v>
      </c>
      <c r="Q812" s="6" t="s">
        <v>356</v>
      </c>
      <c r="R812" s="6" t="str">
        <f t="shared" ca="1" si="9"/>
        <v>NonCategory</v>
      </c>
    </row>
    <row r="813" spans="1:18">
      <c r="A813" s="162">
        <v>44580</v>
      </c>
      <c r="B813" s="164" t="s">
        <v>2102</v>
      </c>
      <c r="C813" s="168" t="s">
        <v>2103</v>
      </c>
      <c r="D813" s="6" t="s">
        <v>287</v>
      </c>
      <c r="E813" s="6" t="s">
        <v>96</v>
      </c>
      <c r="F813" s="79">
        <v>44562</v>
      </c>
      <c r="G813" s="6" t="s">
        <v>16</v>
      </c>
      <c r="H813" s="6" t="s">
        <v>2104</v>
      </c>
      <c r="I813" s="6">
        <v>1</v>
      </c>
      <c r="J813" s="8">
        <v>20000</v>
      </c>
      <c r="K813" s="8">
        <f t="shared" si="8"/>
        <v>229.04260192395787</v>
      </c>
      <c r="L813" s="97">
        <v>44580</v>
      </c>
      <c r="M813" s="6" t="s">
        <v>252</v>
      </c>
      <c r="N813" s="97">
        <v>44580</v>
      </c>
      <c r="O813" s="22" t="s">
        <v>5842</v>
      </c>
      <c r="Q813" s="6" t="s">
        <v>2050</v>
      </c>
      <c r="R813" s="6" t="str">
        <f t="shared" ca="1" si="9"/>
        <v>NonCategory</v>
      </c>
    </row>
    <row r="814" spans="1:18">
      <c r="A814" s="162">
        <v>44581</v>
      </c>
      <c r="B814" s="164" t="s">
        <v>2105</v>
      </c>
      <c r="C814" s="168" t="s">
        <v>2106</v>
      </c>
      <c r="D814" s="6" t="s">
        <v>278</v>
      </c>
      <c r="E814" s="6" t="s">
        <v>96</v>
      </c>
      <c r="F814" s="79">
        <v>44562</v>
      </c>
      <c r="G814" s="6" t="s">
        <v>13</v>
      </c>
      <c r="H814" s="6" t="s">
        <v>2053</v>
      </c>
      <c r="I814" s="6">
        <v>1</v>
      </c>
      <c r="J814" s="8">
        <v>20000</v>
      </c>
      <c r="K814" s="8">
        <f t="shared" si="8"/>
        <v>229.04260192395787</v>
      </c>
      <c r="L814" s="97">
        <v>44581</v>
      </c>
      <c r="R814" s="6" t="str">
        <f t="shared" ca="1" si="9"/>
        <v>NonCategory</v>
      </c>
    </row>
    <row r="815" spans="1:18">
      <c r="A815" s="162">
        <v>44582</v>
      </c>
      <c r="B815" s="164" t="s">
        <v>2107</v>
      </c>
      <c r="C815" s="168" t="s">
        <v>2108</v>
      </c>
      <c r="D815" s="6" t="s">
        <v>319</v>
      </c>
      <c r="E815" s="6" t="s">
        <v>14</v>
      </c>
      <c r="F815" s="79">
        <v>44562</v>
      </c>
      <c r="G815" s="6" t="s">
        <v>16</v>
      </c>
      <c r="H815" s="6" t="s">
        <v>2109</v>
      </c>
      <c r="I815" s="6">
        <v>1</v>
      </c>
      <c r="J815" s="8">
        <v>31000</v>
      </c>
      <c r="K815" s="8">
        <f t="shared" si="8"/>
        <v>355.01603298213467</v>
      </c>
      <c r="L815" s="97">
        <v>44582</v>
      </c>
      <c r="M815" s="6" t="s">
        <v>253</v>
      </c>
      <c r="N815" s="97">
        <v>44582</v>
      </c>
      <c r="O815" s="22" t="s">
        <v>5843</v>
      </c>
      <c r="Q815" s="6" t="s">
        <v>356</v>
      </c>
      <c r="R815" s="6" t="str">
        <f t="shared" ca="1" si="9"/>
        <v>NonCategory</v>
      </c>
    </row>
    <row r="816" spans="1:18">
      <c r="A816" s="162">
        <v>44583</v>
      </c>
      <c r="B816" s="164" t="s">
        <v>2110</v>
      </c>
      <c r="C816" s="168" t="s">
        <v>2111</v>
      </c>
      <c r="D816" s="6" t="s">
        <v>287</v>
      </c>
      <c r="E816" s="6" t="s">
        <v>151</v>
      </c>
      <c r="F816" s="79">
        <v>44562</v>
      </c>
      <c r="G816" s="6" t="s">
        <v>16</v>
      </c>
      <c r="H816" s="6" t="s">
        <v>2112</v>
      </c>
      <c r="I816" s="6">
        <v>1</v>
      </c>
      <c r="J816" s="8">
        <v>21000</v>
      </c>
      <c r="K816" s="8">
        <f t="shared" si="8"/>
        <v>240.49473202015577</v>
      </c>
      <c r="L816" s="97">
        <v>44583</v>
      </c>
      <c r="M816" s="6" t="s">
        <v>253</v>
      </c>
      <c r="N816" s="97">
        <v>44583</v>
      </c>
      <c r="O816" s="22" t="s">
        <v>5844</v>
      </c>
      <c r="Q816" s="6" t="s">
        <v>356</v>
      </c>
      <c r="R816" s="6" t="str">
        <f t="shared" ca="1" si="9"/>
        <v>NonCategory</v>
      </c>
    </row>
    <row r="817" spans="1:18">
      <c r="A817" s="162">
        <v>44583</v>
      </c>
      <c r="B817" s="164" t="s">
        <v>2113</v>
      </c>
      <c r="C817" s="168" t="s">
        <v>2114</v>
      </c>
      <c r="D817" s="6" t="s">
        <v>278</v>
      </c>
      <c r="E817" s="6" t="s">
        <v>151</v>
      </c>
      <c r="F817" s="79">
        <v>44562</v>
      </c>
      <c r="G817" s="6" t="s">
        <v>16</v>
      </c>
      <c r="H817" s="6" t="s">
        <v>2112</v>
      </c>
      <c r="I817" s="6">
        <v>1</v>
      </c>
      <c r="J817" s="8">
        <v>21000</v>
      </c>
      <c r="K817" s="8">
        <f t="shared" si="8"/>
        <v>240.49473202015577</v>
      </c>
      <c r="L817" s="97">
        <v>44583</v>
      </c>
      <c r="M817" s="6" t="s">
        <v>253</v>
      </c>
      <c r="N817" s="97">
        <v>44583</v>
      </c>
      <c r="O817" s="22" t="s">
        <v>5845</v>
      </c>
      <c r="P817" s="6" t="s">
        <v>2115</v>
      </c>
      <c r="Q817" s="6" t="s">
        <v>356</v>
      </c>
      <c r="R817" s="6" t="str">
        <f t="shared" ca="1" si="9"/>
        <v>NonCategory</v>
      </c>
    </row>
    <row r="818" spans="1:18">
      <c r="A818" s="162">
        <v>44585</v>
      </c>
      <c r="B818" s="164" t="s">
        <v>2116</v>
      </c>
      <c r="C818" s="168" t="s">
        <v>2117</v>
      </c>
      <c r="D818" s="6" t="s">
        <v>303</v>
      </c>
      <c r="E818" s="6" t="s">
        <v>150</v>
      </c>
      <c r="F818" s="79">
        <v>44562</v>
      </c>
      <c r="G818" s="6" t="s">
        <v>13</v>
      </c>
      <c r="H818" s="6" t="s">
        <v>2012</v>
      </c>
      <c r="I818" s="6">
        <v>1</v>
      </c>
      <c r="J818" s="8">
        <v>20500</v>
      </c>
      <c r="K818" s="8">
        <f t="shared" si="8"/>
        <v>234.76866697205682</v>
      </c>
      <c r="L818" s="97">
        <v>44585</v>
      </c>
      <c r="R818" s="6" t="str">
        <f t="shared" ca="1" si="9"/>
        <v>NonCategory</v>
      </c>
    </row>
    <row r="819" spans="1:18">
      <c r="A819" s="162">
        <v>44585</v>
      </c>
      <c r="B819" s="164" t="s">
        <v>2118</v>
      </c>
      <c r="C819" s="168" t="s">
        <v>2119</v>
      </c>
      <c r="D819" s="6" t="s">
        <v>319</v>
      </c>
      <c r="E819" s="6" t="s">
        <v>150</v>
      </c>
      <c r="F819" s="79">
        <v>44562</v>
      </c>
      <c r="G819" s="6" t="s">
        <v>16</v>
      </c>
      <c r="H819" s="6" t="s">
        <v>2012</v>
      </c>
      <c r="I819" s="6">
        <v>1</v>
      </c>
      <c r="J819" s="8">
        <v>21000</v>
      </c>
      <c r="K819" s="8">
        <f t="shared" si="8"/>
        <v>240.49473202015577</v>
      </c>
      <c r="L819" s="97">
        <v>44585</v>
      </c>
      <c r="M819" s="6" t="s">
        <v>253</v>
      </c>
      <c r="N819" s="97">
        <v>44585</v>
      </c>
      <c r="O819" s="22" t="s">
        <v>5846</v>
      </c>
      <c r="Q819" s="6" t="s">
        <v>356</v>
      </c>
      <c r="R819" s="6" t="str">
        <f t="shared" ca="1" si="9"/>
        <v>NonCategory</v>
      </c>
    </row>
    <row r="820" spans="1:18">
      <c r="A820" s="162">
        <v>44585</v>
      </c>
      <c r="B820" s="164" t="s">
        <v>2120</v>
      </c>
      <c r="C820" s="168" t="s">
        <v>2121</v>
      </c>
      <c r="D820" s="6" t="s">
        <v>278</v>
      </c>
      <c r="E820" s="6" t="s">
        <v>150</v>
      </c>
      <c r="F820" s="79">
        <v>44562</v>
      </c>
      <c r="G820" s="6" t="s">
        <v>16</v>
      </c>
      <c r="H820" s="6" t="s">
        <v>2012</v>
      </c>
      <c r="I820" s="6">
        <v>1</v>
      </c>
      <c r="J820" s="8">
        <v>21000</v>
      </c>
      <c r="K820" s="8">
        <f t="shared" si="8"/>
        <v>240.49473202015577</v>
      </c>
      <c r="L820" s="97">
        <v>44585</v>
      </c>
      <c r="M820" s="6" t="s">
        <v>253</v>
      </c>
      <c r="N820" s="97">
        <v>44585</v>
      </c>
      <c r="O820" s="22" t="s">
        <v>5847</v>
      </c>
      <c r="P820" s="6" t="s">
        <v>2122</v>
      </c>
      <c r="Q820" s="6" t="s">
        <v>356</v>
      </c>
      <c r="R820" s="6" t="str">
        <f t="shared" ca="1" si="9"/>
        <v>NonCategory</v>
      </c>
    </row>
    <row r="821" spans="1:18">
      <c r="A821" s="162">
        <v>44586</v>
      </c>
      <c r="B821" s="164" t="s">
        <v>2123</v>
      </c>
      <c r="C821" s="168" t="s">
        <v>2124</v>
      </c>
      <c r="D821" s="6" t="s">
        <v>287</v>
      </c>
      <c r="E821" s="6" t="s">
        <v>150</v>
      </c>
      <c r="F821" s="79">
        <v>44562</v>
      </c>
      <c r="G821" s="6" t="s">
        <v>16</v>
      </c>
      <c r="H821" s="6" t="s">
        <v>2012</v>
      </c>
      <c r="I821" s="6">
        <v>1</v>
      </c>
      <c r="J821" s="8">
        <v>21000</v>
      </c>
      <c r="K821" s="8">
        <f t="shared" si="8"/>
        <v>240.49473202015577</v>
      </c>
      <c r="L821" s="97">
        <v>44586</v>
      </c>
      <c r="M821" s="6" t="s">
        <v>253</v>
      </c>
      <c r="N821" s="97">
        <v>44586</v>
      </c>
      <c r="O821" s="22" t="s">
        <v>5848</v>
      </c>
      <c r="Q821" s="6" t="s">
        <v>356</v>
      </c>
      <c r="R821" s="6" t="str">
        <f t="shared" ca="1" si="9"/>
        <v>NonCategory</v>
      </c>
    </row>
    <row r="822" spans="1:18">
      <c r="A822" s="162">
        <v>44586</v>
      </c>
      <c r="B822" s="164" t="s">
        <v>2125</v>
      </c>
      <c r="C822" s="168" t="s">
        <v>2126</v>
      </c>
      <c r="D822" s="6" t="s">
        <v>278</v>
      </c>
      <c r="E822" s="6" t="s">
        <v>97</v>
      </c>
      <c r="F822" s="79">
        <v>44562</v>
      </c>
      <c r="G822" s="6" t="s">
        <v>16</v>
      </c>
      <c r="H822" s="6" t="s">
        <v>2088</v>
      </c>
      <c r="I822" s="6">
        <v>1</v>
      </c>
      <c r="J822" s="8">
        <v>20000</v>
      </c>
      <c r="K822" s="8">
        <f t="shared" si="8"/>
        <v>229.04260192395787</v>
      </c>
      <c r="L822" s="97">
        <v>44586</v>
      </c>
      <c r="M822" s="6" t="s">
        <v>253</v>
      </c>
      <c r="N822" s="97">
        <v>44586</v>
      </c>
      <c r="O822" s="22" t="s">
        <v>5849</v>
      </c>
      <c r="P822" s="6" t="s">
        <v>2127</v>
      </c>
      <c r="Q822" s="6" t="s">
        <v>356</v>
      </c>
      <c r="R822" s="6" t="str">
        <f t="shared" ca="1" si="9"/>
        <v>NonCategory</v>
      </c>
    </row>
    <row r="823" spans="1:18">
      <c r="A823" s="162">
        <v>44586</v>
      </c>
      <c r="B823" s="164" t="s">
        <v>2128</v>
      </c>
      <c r="C823" s="168" t="s">
        <v>2129</v>
      </c>
      <c r="D823" s="6" t="s">
        <v>303</v>
      </c>
      <c r="E823" s="6" t="s">
        <v>150</v>
      </c>
      <c r="F823" s="79">
        <v>44562</v>
      </c>
      <c r="G823" s="6" t="s">
        <v>16</v>
      </c>
      <c r="H823" s="6" t="s">
        <v>2053</v>
      </c>
      <c r="I823" s="6">
        <v>1</v>
      </c>
      <c r="J823" s="8">
        <v>21000</v>
      </c>
      <c r="K823" s="8">
        <f t="shared" si="8"/>
        <v>240.49473202015577</v>
      </c>
      <c r="L823" s="97">
        <v>44586</v>
      </c>
      <c r="M823" s="6" t="s">
        <v>253</v>
      </c>
      <c r="N823" s="97">
        <v>44589</v>
      </c>
      <c r="O823" s="22" t="s">
        <v>5850</v>
      </c>
      <c r="Q823" s="6" t="s">
        <v>356</v>
      </c>
      <c r="R823" s="6" t="str">
        <f t="shared" ca="1" si="9"/>
        <v>NonCategory</v>
      </c>
    </row>
    <row r="824" spans="1:18">
      <c r="A824" s="162">
        <v>44588</v>
      </c>
      <c r="B824" s="164" t="s">
        <v>2130</v>
      </c>
      <c r="C824" s="168" t="s">
        <v>2131</v>
      </c>
      <c r="D824" s="6" t="s">
        <v>303</v>
      </c>
      <c r="E824" s="6" t="s">
        <v>7</v>
      </c>
      <c r="F824" s="79">
        <v>44562</v>
      </c>
      <c r="G824" s="6" t="s">
        <v>16</v>
      </c>
      <c r="H824" s="6" t="s">
        <v>2012</v>
      </c>
      <c r="I824" s="6">
        <v>1</v>
      </c>
      <c r="J824" s="8">
        <v>40000</v>
      </c>
      <c r="K824" s="8">
        <f t="shared" si="8"/>
        <v>458.08520384791575</v>
      </c>
      <c r="L824" s="97">
        <v>44588</v>
      </c>
      <c r="M824" s="6" t="s">
        <v>253</v>
      </c>
      <c r="N824" s="97">
        <v>44588</v>
      </c>
      <c r="O824" s="22" t="s">
        <v>5851</v>
      </c>
      <c r="Q824" s="6" t="s">
        <v>356</v>
      </c>
      <c r="R824" s="6" t="str">
        <f t="shared" ca="1" si="9"/>
        <v>NonCategory</v>
      </c>
    </row>
    <row r="825" spans="1:18">
      <c r="A825" s="162">
        <v>44588</v>
      </c>
      <c r="B825" s="164" t="s">
        <v>2132</v>
      </c>
      <c r="C825" s="168" t="s">
        <v>2133</v>
      </c>
      <c r="D825" s="6" t="s">
        <v>287</v>
      </c>
      <c r="E825" s="6" t="s">
        <v>25</v>
      </c>
      <c r="F825" s="79">
        <v>44562</v>
      </c>
      <c r="G825" s="6" t="s">
        <v>16</v>
      </c>
      <c r="H825" s="6" t="s">
        <v>2012</v>
      </c>
      <c r="I825" s="6">
        <v>1</v>
      </c>
      <c r="J825" s="8">
        <v>40000</v>
      </c>
      <c r="K825" s="8">
        <f t="shared" si="8"/>
        <v>458.08520384791575</v>
      </c>
      <c r="L825" s="97">
        <v>44588</v>
      </c>
      <c r="M825" s="6" t="s">
        <v>253</v>
      </c>
      <c r="N825" s="97">
        <v>44588</v>
      </c>
      <c r="O825" s="22" t="s">
        <v>5852</v>
      </c>
      <c r="Q825" s="6" t="s">
        <v>356</v>
      </c>
      <c r="R825" s="6" t="str">
        <f t="shared" ca="1" si="9"/>
        <v>NonCategory</v>
      </c>
    </row>
    <row r="826" spans="1:18">
      <c r="A826" s="162">
        <v>44582</v>
      </c>
      <c r="B826" s="164" t="s">
        <v>2134</v>
      </c>
      <c r="C826" s="168" t="s">
        <v>2135</v>
      </c>
      <c r="D826" s="6" t="s">
        <v>319</v>
      </c>
      <c r="E826" s="6" t="s">
        <v>25</v>
      </c>
      <c r="F826" s="79">
        <v>44562</v>
      </c>
      <c r="G826" s="6" t="s">
        <v>16</v>
      </c>
      <c r="H826" s="6" t="s">
        <v>2053</v>
      </c>
      <c r="I826" s="6">
        <v>1</v>
      </c>
      <c r="J826" s="8">
        <v>53100</v>
      </c>
      <c r="K826" s="8">
        <f t="shared" si="8"/>
        <v>608.10810810810813</v>
      </c>
      <c r="L826" s="97">
        <v>44582</v>
      </c>
      <c r="M826" s="6" t="s">
        <v>253</v>
      </c>
      <c r="N826" s="97">
        <v>44582</v>
      </c>
      <c r="O826" s="22" t="s">
        <v>2136</v>
      </c>
      <c r="Q826" s="6" t="s">
        <v>356</v>
      </c>
      <c r="R826" s="6" t="str">
        <f t="shared" ca="1" si="9"/>
        <v>NonCategory</v>
      </c>
    </row>
    <row r="827" spans="1:18">
      <c r="A827" s="162">
        <v>44589</v>
      </c>
      <c r="B827" s="164" t="s">
        <v>2137</v>
      </c>
      <c r="C827" s="168" t="s">
        <v>2138</v>
      </c>
      <c r="D827" s="6" t="s">
        <v>306</v>
      </c>
      <c r="E827" s="6" t="s">
        <v>25</v>
      </c>
      <c r="F827" s="79">
        <v>44562</v>
      </c>
      <c r="G827" s="6" t="s">
        <v>16</v>
      </c>
      <c r="H827" s="6" t="s">
        <v>2053</v>
      </c>
      <c r="I827" s="6">
        <v>1</v>
      </c>
      <c r="J827" s="8">
        <v>42000</v>
      </c>
      <c r="K827" s="8">
        <f t="shared" si="8"/>
        <v>480.98946404031153</v>
      </c>
      <c r="L827" s="97">
        <v>44589</v>
      </c>
      <c r="M827" s="6" t="s">
        <v>253</v>
      </c>
      <c r="N827" s="97">
        <v>44589</v>
      </c>
      <c r="O827" s="22" t="s">
        <v>5853</v>
      </c>
      <c r="Q827" s="6" t="s">
        <v>356</v>
      </c>
      <c r="R827" s="6" t="str">
        <f t="shared" ca="1" si="9"/>
        <v>NonCategory</v>
      </c>
    </row>
    <row r="828" spans="1:18">
      <c r="A828" s="162">
        <v>44589</v>
      </c>
      <c r="B828" s="164" t="s">
        <v>2139</v>
      </c>
      <c r="C828" s="168" t="s">
        <v>2140</v>
      </c>
      <c r="D828" s="6" t="s">
        <v>306</v>
      </c>
      <c r="E828" s="6" t="s">
        <v>7</v>
      </c>
      <c r="F828" s="79">
        <v>44562</v>
      </c>
      <c r="G828" s="6" t="s">
        <v>16</v>
      </c>
      <c r="H828" s="6" t="s">
        <v>2012</v>
      </c>
      <c r="I828" s="6">
        <v>1</v>
      </c>
      <c r="J828" s="8">
        <v>42000</v>
      </c>
      <c r="K828" s="8">
        <f t="shared" si="8"/>
        <v>480.98946404031153</v>
      </c>
      <c r="L828" s="97">
        <v>44589</v>
      </c>
      <c r="M828" s="6" t="s">
        <v>253</v>
      </c>
      <c r="N828" s="97">
        <v>44589</v>
      </c>
      <c r="O828" s="22" t="s">
        <v>5854</v>
      </c>
      <c r="Q828" s="6" t="s">
        <v>356</v>
      </c>
      <c r="R828" s="6" t="str">
        <f t="shared" ca="1" si="9"/>
        <v>NonCategory</v>
      </c>
    </row>
    <row r="829" spans="1:18">
      <c r="A829" s="162">
        <v>44589</v>
      </c>
      <c r="B829" s="164" t="s">
        <v>2141</v>
      </c>
      <c r="C829" s="168" t="s">
        <v>2142</v>
      </c>
      <c r="D829" s="6" t="s">
        <v>303</v>
      </c>
      <c r="E829" s="6" t="s">
        <v>25</v>
      </c>
      <c r="F829" s="79">
        <v>44562</v>
      </c>
      <c r="G829" s="6" t="s">
        <v>16</v>
      </c>
      <c r="H829" s="6" t="s">
        <v>2012</v>
      </c>
      <c r="I829" s="6">
        <v>1</v>
      </c>
      <c r="J829" s="8">
        <v>40000</v>
      </c>
      <c r="K829" s="8">
        <f t="shared" si="8"/>
        <v>458.08520384791575</v>
      </c>
      <c r="L829" s="97">
        <v>44589</v>
      </c>
      <c r="M829" s="6" t="s">
        <v>253</v>
      </c>
      <c r="N829" s="97">
        <v>44589</v>
      </c>
      <c r="O829" s="22" t="s">
        <v>5855</v>
      </c>
      <c r="Q829" s="6" t="s">
        <v>356</v>
      </c>
      <c r="R829" s="6" t="str">
        <f t="shared" ca="1" si="9"/>
        <v>NonCategory</v>
      </c>
    </row>
    <row r="830" spans="1:18">
      <c r="A830" s="162">
        <v>44589</v>
      </c>
      <c r="B830" s="164" t="s">
        <v>2143</v>
      </c>
      <c r="C830" s="168" t="s">
        <v>2144</v>
      </c>
      <c r="D830" s="6" t="s">
        <v>287</v>
      </c>
      <c r="E830" s="6" t="s">
        <v>25</v>
      </c>
      <c r="F830" s="79">
        <v>44562</v>
      </c>
      <c r="G830" s="6" t="s">
        <v>16</v>
      </c>
      <c r="H830" s="6" t="s">
        <v>2012</v>
      </c>
      <c r="I830" s="6">
        <v>1</v>
      </c>
      <c r="J830" s="8">
        <v>42000</v>
      </c>
      <c r="K830" s="8">
        <f t="shared" si="8"/>
        <v>480.98946404031153</v>
      </c>
      <c r="L830" s="97">
        <v>44589</v>
      </c>
      <c r="M830" s="6" t="s">
        <v>253</v>
      </c>
      <c r="N830" s="97">
        <v>44589</v>
      </c>
      <c r="O830" s="22" t="s">
        <v>5856</v>
      </c>
      <c r="Q830" s="6" t="s">
        <v>356</v>
      </c>
      <c r="R830" s="6" t="str">
        <f t="shared" ca="1" si="9"/>
        <v>NonCategory</v>
      </c>
    </row>
    <row r="831" spans="1:18">
      <c r="A831" s="162">
        <v>44590</v>
      </c>
      <c r="B831" s="164" t="s">
        <v>2145</v>
      </c>
      <c r="C831" s="168" t="s">
        <v>2146</v>
      </c>
      <c r="D831" s="6" t="s">
        <v>1731</v>
      </c>
      <c r="E831" s="6" t="s">
        <v>96</v>
      </c>
      <c r="F831" s="79">
        <v>44562</v>
      </c>
      <c r="G831" s="6" t="s">
        <v>16</v>
      </c>
      <c r="H831" s="6" t="s">
        <v>2097</v>
      </c>
      <c r="I831" s="6">
        <v>1</v>
      </c>
      <c r="J831" s="8">
        <v>20000</v>
      </c>
      <c r="K831" s="8">
        <f t="shared" si="8"/>
        <v>229.04260192395787</v>
      </c>
      <c r="L831" s="97">
        <v>44590</v>
      </c>
      <c r="M831" s="6" t="s">
        <v>253</v>
      </c>
      <c r="N831" s="97">
        <v>44590</v>
      </c>
      <c r="O831" s="22" t="s">
        <v>5857</v>
      </c>
      <c r="Q831" s="6" t="s">
        <v>356</v>
      </c>
      <c r="R831" s="6" t="str">
        <f t="shared" ca="1" si="9"/>
        <v>NonCategory</v>
      </c>
    </row>
    <row r="832" spans="1:18">
      <c r="A832" s="162">
        <v>44592</v>
      </c>
      <c r="B832" s="164" t="s">
        <v>2147</v>
      </c>
      <c r="C832" s="168" t="s">
        <v>2148</v>
      </c>
      <c r="D832" s="6" t="s">
        <v>278</v>
      </c>
      <c r="E832" s="6" t="s">
        <v>96</v>
      </c>
      <c r="F832" s="79">
        <v>44562</v>
      </c>
      <c r="G832" s="6" t="s">
        <v>16</v>
      </c>
      <c r="H832" s="6" t="s">
        <v>2149</v>
      </c>
      <c r="I832" s="6">
        <v>1</v>
      </c>
      <c r="J832" s="8">
        <v>19000</v>
      </c>
      <c r="K832" s="8">
        <f t="shared" si="8"/>
        <v>217.59047182775998</v>
      </c>
      <c r="L832" s="97">
        <v>44592</v>
      </c>
      <c r="M832" s="6" t="s">
        <v>253</v>
      </c>
      <c r="N832" s="97">
        <v>44592</v>
      </c>
      <c r="O832" s="22" t="s">
        <v>5858</v>
      </c>
      <c r="P832" s="6" t="s">
        <v>2150</v>
      </c>
      <c r="Q832" s="6" t="s">
        <v>356</v>
      </c>
      <c r="R832" s="6" t="str">
        <f t="shared" ca="1" si="9"/>
        <v>NonCategory</v>
      </c>
    </row>
    <row r="833" spans="1:18">
      <c r="A833" s="162">
        <v>44592</v>
      </c>
      <c r="B833" s="164" t="s">
        <v>2151</v>
      </c>
      <c r="C833" s="168" t="s">
        <v>2152</v>
      </c>
      <c r="D833" s="6" t="s">
        <v>291</v>
      </c>
      <c r="E833" s="6" t="s">
        <v>150</v>
      </c>
      <c r="F833" s="79">
        <v>44562</v>
      </c>
      <c r="G833" s="6" t="s">
        <v>16</v>
      </c>
      <c r="H833" s="6" t="s">
        <v>2053</v>
      </c>
      <c r="I833" s="6">
        <v>1</v>
      </c>
      <c r="J833" s="8">
        <v>21000</v>
      </c>
      <c r="K833" s="8">
        <f t="shared" si="8"/>
        <v>240.49473202015577</v>
      </c>
      <c r="L833" s="97">
        <v>44592</v>
      </c>
      <c r="M833" s="6" t="s">
        <v>253</v>
      </c>
      <c r="N833" s="97">
        <v>44592</v>
      </c>
      <c r="O833" s="22" t="s">
        <v>5859</v>
      </c>
      <c r="Q833" s="6" t="s">
        <v>356</v>
      </c>
      <c r="R833" s="6" t="str">
        <f t="shared" ca="1" si="9"/>
        <v>NonCategory</v>
      </c>
    </row>
    <row r="834" spans="1:18">
      <c r="A834" s="162">
        <v>44593</v>
      </c>
      <c r="B834" s="164" t="s">
        <v>2153</v>
      </c>
      <c r="C834" s="168" t="s">
        <v>2154</v>
      </c>
      <c r="D834" s="6" t="s">
        <v>278</v>
      </c>
      <c r="E834" s="6" t="s">
        <v>96</v>
      </c>
      <c r="F834" s="79">
        <v>44593</v>
      </c>
      <c r="G834" s="6" t="s">
        <v>16</v>
      </c>
      <c r="H834" s="6" t="s">
        <v>2155</v>
      </c>
      <c r="I834" s="6">
        <v>1</v>
      </c>
      <c r="J834" s="8">
        <v>19000</v>
      </c>
      <c r="K834" s="8">
        <f t="shared" si="8"/>
        <v>217.59047182775998</v>
      </c>
      <c r="L834" s="97">
        <v>44593</v>
      </c>
      <c r="M834" s="6" t="s">
        <v>251</v>
      </c>
      <c r="N834" s="97">
        <v>44593</v>
      </c>
      <c r="O834" s="22" t="s">
        <v>5860</v>
      </c>
      <c r="P834" s="6" t="s">
        <v>2156</v>
      </c>
      <c r="Q834" s="6" t="s">
        <v>356</v>
      </c>
      <c r="R834" s="6" t="str">
        <f t="shared" ca="1" si="9"/>
        <v>NonCategory</v>
      </c>
    </row>
    <row r="835" spans="1:18">
      <c r="A835" s="162">
        <v>44593</v>
      </c>
      <c r="B835" s="164" t="s">
        <v>2157</v>
      </c>
      <c r="C835" s="168" t="s">
        <v>2158</v>
      </c>
      <c r="D835" s="6" t="s">
        <v>303</v>
      </c>
      <c r="E835" s="6" t="s">
        <v>150</v>
      </c>
      <c r="F835" s="79">
        <v>44593</v>
      </c>
      <c r="G835" s="6" t="s">
        <v>16</v>
      </c>
      <c r="H835" s="6" t="s">
        <v>2053</v>
      </c>
      <c r="I835" s="6">
        <v>1</v>
      </c>
      <c r="J835" s="8">
        <v>21000</v>
      </c>
      <c r="K835" s="8">
        <f t="shared" si="8"/>
        <v>240.49473202015577</v>
      </c>
      <c r="L835" s="97">
        <v>44593</v>
      </c>
      <c r="M835" s="6" t="s">
        <v>251</v>
      </c>
      <c r="N835" s="97">
        <v>44593</v>
      </c>
      <c r="O835" s="22" t="s">
        <v>5861</v>
      </c>
      <c r="Q835" s="6" t="s">
        <v>356</v>
      </c>
      <c r="R835" s="6" t="str">
        <f t="shared" ca="1" si="9"/>
        <v>NonCategory</v>
      </c>
    </row>
    <row r="836" spans="1:18">
      <c r="A836" s="162">
        <v>44594</v>
      </c>
      <c r="B836" s="164" t="s">
        <v>2159</v>
      </c>
      <c r="C836" s="168" t="s">
        <v>2160</v>
      </c>
      <c r="D836" s="6" t="s">
        <v>278</v>
      </c>
      <c r="E836" s="6" t="s">
        <v>96</v>
      </c>
      <c r="F836" s="79">
        <v>44593</v>
      </c>
      <c r="G836" s="6" t="s">
        <v>16</v>
      </c>
      <c r="H836" s="6" t="s">
        <v>2161</v>
      </c>
      <c r="I836" s="6">
        <v>1</v>
      </c>
      <c r="J836" s="8">
        <v>20000</v>
      </c>
      <c r="K836" s="8">
        <f t="shared" si="8"/>
        <v>229.04260192395787</v>
      </c>
      <c r="L836" s="97">
        <v>44594</v>
      </c>
      <c r="M836" s="6" t="s">
        <v>251</v>
      </c>
      <c r="N836" s="97">
        <v>44594</v>
      </c>
      <c r="O836" s="22" t="s">
        <v>5862</v>
      </c>
      <c r="P836" s="6" t="s">
        <v>2162</v>
      </c>
      <c r="Q836" s="6" t="s">
        <v>356</v>
      </c>
      <c r="R836" s="6" t="str">
        <f t="shared" ca="1" si="9"/>
        <v>NonCategory</v>
      </c>
    </row>
    <row r="837" spans="1:18">
      <c r="A837" s="162">
        <v>44594</v>
      </c>
      <c r="B837" s="164" t="s">
        <v>2163</v>
      </c>
      <c r="C837" s="168" t="s">
        <v>2164</v>
      </c>
      <c r="D837" s="6" t="s">
        <v>278</v>
      </c>
      <c r="E837" s="6" t="s">
        <v>96</v>
      </c>
      <c r="F837" s="79">
        <v>44593</v>
      </c>
      <c r="G837" s="6" t="s">
        <v>16</v>
      </c>
      <c r="H837" s="6" t="s">
        <v>2161</v>
      </c>
      <c r="I837" s="6">
        <v>1</v>
      </c>
      <c r="J837" s="8">
        <v>20000</v>
      </c>
      <c r="K837" s="8">
        <f t="shared" si="8"/>
        <v>229.04260192395787</v>
      </c>
      <c r="L837" s="97">
        <v>44594</v>
      </c>
      <c r="M837" s="6" t="s">
        <v>251</v>
      </c>
      <c r="N837" s="97">
        <v>44594</v>
      </c>
      <c r="O837" s="22" t="s">
        <v>5863</v>
      </c>
      <c r="P837" s="6" t="s">
        <v>2162</v>
      </c>
      <c r="Q837" s="6" t="s">
        <v>356</v>
      </c>
      <c r="R837" s="6" t="str">
        <f t="shared" ca="1" si="9"/>
        <v>NonCategory</v>
      </c>
    </row>
    <row r="838" spans="1:18">
      <c r="A838" s="162">
        <v>44595</v>
      </c>
      <c r="B838" s="164" t="s">
        <v>2010</v>
      </c>
      <c r="C838" s="168" t="s">
        <v>2165</v>
      </c>
      <c r="D838" s="6" t="s">
        <v>278</v>
      </c>
      <c r="E838" s="6" t="s">
        <v>150</v>
      </c>
      <c r="F838" s="79">
        <v>44593</v>
      </c>
      <c r="G838" s="6" t="s">
        <v>16</v>
      </c>
      <c r="H838" s="6" t="s">
        <v>2053</v>
      </c>
      <c r="I838" s="6">
        <v>1</v>
      </c>
      <c r="J838" s="8">
        <v>21000</v>
      </c>
      <c r="K838" s="8">
        <f t="shared" si="8"/>
        <v>240.49473202015577</v>
      </c>
      <c r="L838" s="97">
        <v>44595</v>
      </c>
      <c r="M838" s="6" t="s">
        <v>251</v>
      </c>
      <c r="N838" s="97">
        <v>44595</v>
      </c>
      <c r="O838" s="22" t="s">
        <v>5864</v>
      </c>
      <c r="P838" s="6" t="s">
        <v>2166</v>
      </c>
      <c r="Q838" s="6" t="s">
        <v>356</v>
      </c>
      <c r="R838" s="6" t="str">
        <f t="shared" ca="1" si="9"/>
        <v>NonCategory</v>
      </c>
    </row>
    <row r="839" spans="1:18">
      <c r="A839" s="162">
        <v>44595</v>
      </c>
      <c r="B839" s="164" t="s">
        <v>2167</v>
      </c>
      <c r="C839" s="168" t="s">
        <v>2168</v>
      </c>
      <c r="D839" s="6" t="s">
        <v>303</v>
      </c>
      <c r="E839" s="6" t="s">
        <v>25</v>
      </c>
      <c r="F839" s="79">
        <v>44593</v>
      </c>
      <c r="G839" s="6" t="s">
        <v>16</v>
      </c>
      <c r="H839" s="6" t="s">
        <v>2053</v>
      </c>
      <c r="I839" s="6">
        <v>1</v>
      </c>
      <c r="J839" s="8">
        <v>42000</v>
      </c>
      <c r="K839" s="8">
        <f t="shared" si="8"/>
        <v>480.98946404031153</v>
      </c>
      <c r="L839" s="97">
        <v>44595</v>
      </c>
      <c r="M839" s="6" t="s">
        <v>251</v>
      </c>
      <c r="N839" s="97">
        <v>44595</v>
      </c>
      <c r="O839" s="22" t="s">
        <v>5865</v>
      </c>
      <c r="Q839" s="6" t="s">
        <v>356</v>
      </c>
      <c r="R839" s="6" t="str">
        <f t="shared" ca="1" si="9"/>
        <v>NonCategory</v>
      </c>
    </row>
    <row r="840" spans="1:18">
      <c r="A840" s="162">
        <v>44595</v>
      </c>
      <c r="B840" s="164" t="s">
        <v>2169</v>
      </c>
      <c r="C840" s="168" t="s">
        <v>2170</v>
      </c>
      <c r="D840" s="6" t="s">
        <v>287</v>
      </c>
      <c r="E840" s="6" t="s">
        <v>97</v>
      </c>
      <c r="F840" s="79">
        <v>44593</v>
      </c>
      <c r="G840" s="6" t="s">
        <v>13</v>
      </c>
      <c r="H840" s="6" t="s">
        <v>2053</v>
      </c>
      <c r="I840" s="6">
        <v>1</v>
      </c>
      <c r="J840" s="8">
        <v>20000</v>
      </c>
      <c r="K840" s="8">
        <f t="shared" si="8"/>
        <v>229.04260192395787</v>
      </c>
      <c r="L840" s="97">
        <v>44595</v>
      </c>
      <c r="R840" s="6" t="str">
        <f t="shared" ca="1" si="9"/>
        <v>NonCategory</v>
      </c>
    </row>
    <row r="841" spans="1:18">
      <c r="A841" s="162">
        <v>44595</v>
      </c>
      <c r="B841" s="164" t="s">
        <v>2171</v>
      </c>
      <c r="C841" s="168" t="s">
        <v>2172</v>
      </c>
      <c r="D841" s="6" t="s">
        <v>278</v>
      </c>
      <c r="E841" s="6" t="s">
        <v>150</v>
      </c>
      <c r="F841" s="79">
        <v>44593</v>
      </c>
      <c r="G841" s="6" t="s">
        <v>16</v>
      </c>
      <c r="H841" s="6" t="s">
        <v>2173</v>
      </c>
      <c r="I841" s="6">
        <v>1</v>
      </c>
      <c r="J841" s="8">
        <v>21000</v>
      </c>
      <c r="K841" s="8">
        <f t="shared" si="8"/>
        <v>240.49473202015577</v>
      </c>
      <c r="L841" s="97">
        <v>44595</v>
      </c>
      <c r="M841" s="6" t="s">
        <v>251</v>
      </c>
      <c r="N841" s="97">
        <v>44596</v>
      </c>
      <c r="O841" s="22" t="s">
        <v>5866</v>
      </c>
      <c r="P841" s="6" t="s">
        <v>2174</v>
      </c>
      <c r="Q841" s="6" t="s">
        <v>356</v>
      </c>
      <c r="R841" s="6" t="str">
        <f t="shared" ca="1" si="9"/>
        <v>NonCategory</v>
      </c>
    </row>
    <row r="842" spans="1:18">
      <c r="A842" s="162">
        <v>44596</v>
      </c>
      <c r="B842" s="164" t="s">
        <v>2175</v>
      </c>
      <c r="C842" s="168" t="s">
        <v>2176</v>
      </c>
      <c r="D842" s="6" t="s">
        <v>319</v>
      </c>
      <c r="E842" s="6" t="s">
        <v>6</v>
      </c>
      <c r="F842" s="79">
        <v>44593</v>
      </c>
      <c r="G842" s="6" t="s">
        <v>16</v>
      </c>
      <c r="H842" s="6" t="s">
        <v>2053</v>
      </c>
      <c r="I842" s="6">
        <v>1</v>
      </c>
      <c r="J842" s="8">
        <v>42000</v>
      </c>
      <c r="K842" s="8">
        <f t="shared" si="8"/>
        <v>480.98946404031153</v>
      </c>
      <c r="L842" s="97">
        <v>44596</v>
      </c>
      <c r="M842" s="6" t="s">
        <v>251</v>
      </c>
      <c r="N842" s="97">
        <v>44596</v>
      </c>
      <c r="O842" s="22" t="s">
        <v>5867</v>
      </c>
      <c r="Q842" s="6" t="s">
        <v>356</v>
      </c>
      <c r="R842" s="6" t="str">
        <f t="shared" ca="1" si="9"/>
        <v>NonCategory</v>
      </c>
    </row>
    <row r="843" spans="1:18">
      <c r="A843" s="162">
        <v>44596</v>
      </c>
      <c r="B843" s="164" t="s">
        <v>1331</v>
      </c>
      <c r="C843" s="168" t="s">
        <v>2177</v>
      </c>
      <c r="D843" s="6" t="s">
        <v>306</v>
      </c>
      <c r="E843" s="6" t="s">
        <v>1524</v>
      </c>
      <c r="F843" s="79">
        <v>44593</v>
      </c>
      <c r="G843" s="6" t="s">
        <v>16</v>
      </c>
      <c r="H843" s="6" t="s">
        <v>2178</v>
      </c>
      <c r="I843" s="6">
        <v>1</v>
      </c>
      <c r="J843" s="8">
        <v>24000</v>
      </c>
      <c r="K843" s="8">
        <f t="shared" si="8"/>
        <v>274.85112230874944</v>
      </c>
      <c r="L843" s="97">
        <v>44596</v>
      </c>
      <c r="M843" s="6" t="s">
        <v>251</v>
      </c>
      <c r="N843" s="97">
        <v>44596</v>
      </c>
      <c r="O843" s="22" t="s">
        <v>5868</v>
      </c>
      <c r="Q843" s="6" t="s">
        <v>356</v>
      </c>
      <c r="R843" s="6" t="str">
        <f t="shared" ca="1" si="9"/>
        <v>NonCategory</v>
      </c>
    </row>
    <row r="844" spans="1:18">
      <c r="A844" s="162">
        <v>44597</v>
      </c>
      <c r="B844" s="164" t="s">
        <v>1471</v>
      </c>
      <c r="C844" s="168" t="s">
        <v>2179</v>
      </c>
      <c r="D844" s="6" t="s">
        <v>278</v>
      </c>
      <c r="E844" s="6" t="s">
        <v>1524</v>
      </c>
      <c r="F844" s="79">
        <v>44593</v>
      </c>
      <c r="G844" s="6" t="s">
        <v>16</v>
      </c>
      <c r="H844" s="6" t="s">
        <v>2180</v>
      </c>
      <c r="I844" s="6">
        <v>1</v>
      </c>
      <c r="J844" s="8">
        <v>24000</v>
      </c>
      <c r="K844" s="8">
        <f t="shared" si="8"/>
        <v>274.85112230874944</v>
      </c>
      <c r="L844" s="97">
        <v>44597</v>
      </c>
      <c r="M844" s="6" t="s">
        <v>251</v>
      </c>
      <c r="N844" s="97">
        <v>44597</v>
      </c>
      <c r="O844" s="22" t="s">
        <v>5869</v>
      </c>
      <c r="P844" s="6" t="s">
        <v>2181</v>
      </c>
      <c r="Q844" s="6" t="s">
        <v>356</v>
      </c>
      <c r="R844" s="6" t="str">
        <f t="shared" ca="1" si="9"/>
        <v>NonCategory</v>
      </c>
    </row>
    <row r="845" spans="1:18">
      <c r="A845" s="162">
        <v>44599</v>
      </c>
      <c r="B845" s="164" t="s">
        <v>2182</v>
      </c>
      <c r="C845" s="168" t="s">
        <v>2183</v>
      </c>
      <c r="D845" s="6" t="s">
        <v>319</v>
      </c>
      <c r="E845" s="6" t="s">
        <v>2184</v>
      </c>
      <c r="F845" s="79">
        <v>44593</v>
      </c>
      <c r="G845" s="6" t="s">
        <v>16</v>
      </c>
      <c r="H845" s="97">
        <v>44599</v>
      </c>
      <c r="I845" s="6">
        <v>1</v>
      </c>
      <c r="J845" s="8"/>
      <c r="K845" s="8"/>
      <c r="L845" s="97">
        <v>44599</v>
      </c>
      <c r="M845" s="6" t="s">
        <v>251</v>
      </c>
      <c r="N845" s="97">
        <v>44599</v>
      </c>
      <c r="O845" s="22" t="s">
        <v>5870</v>
      </c>
      <c r="Q845" s="6" t="s">
        <v>356</v>
      </c>
      <c r="R845" s="6" t="str">
        <f t="shared" ca="1" si="9"/>
        <v>NonCategory</v>
      </c>
    </row>
    <row r="846" spans="1:18">
      <c r="A846" s="162">
        <v>44599</v>
      </c>
      <c r="B846" s="164" t="s">
        <v>2185</v>
      </c>
      <c r="C846" s="168" t="s">
        <v>2186</v>
      </c>
      <c r="D846" s="6" t="s">
        <v>470</v>
      </c>
      <c r="E846" s="6" t="s">
        <v>25</v>
      </c>
      <c r="F846" s="79">
        <v>44593</v>
      </c>
      <c r="G846" s="6" t="s">
        <v>16</v>
      </c>
      <c r="H846" s="6" t="s">
        <v>2104</v>
      </c>
      <c r="I846" s="6">
        <v>1</v>
      </c>
      <c r="J846" s="8">
        <v>42000</v>
      </c>
      <c r="K846" s="8">
        <f t="shared" ref="K846:K954" si="10">IFERROR((($J846/1.18))/74,"")</f>
        <v>480.98946404031153</v>
      </c>
      <c r="L846" s="97">
        <v>44599</v>
      </c>
      <c r="M846" s="6" t="s">
        <v>251</v>
      </c>
      <c r="N846" s="97">
        <v>44599</v>
      </c>
      <c r="O846" s="22" t="s">
        <v>5871</v>
      </c>
      <c r="Q846" s="6" t="s">
        <v>356</v>
      </c>
      <c r="R846" s="6" t="str">
        <f t="shared" ca="1" si="9"/>
        <v>NonCategory</v>
      </c>
    </row>
    <row r="847" spans="1:18">
      <c r="A847" s="162">
        <v>44599</v>
      </c>
      <c r="B847" s="164" t="s">
        <v>2187</v>
      </c>
      <c r="C847" s="168" t="s">
        <v>2188</v>
      </c>
      <c r="D847" s="6" t="s">
        <v>278</v>
      </c>
      <c r="E847" s="6" t="s">
        <v>150</v>
      </c>
      <c r="F847" s="79">
        <v>44593</v>
      </c>
      <c r="G847" s="6" t="s">
        <v>16</v>
      </c>
      <c r="H847" s="6" t="s">
        <v>2097</v>
      </c>
      <c r="I847" s="6">
        <v>1</v>
      </c>
      <c r="J847" s="8">
        <v>21000</v>
      </c>
      <c r="K847" s="8">
        <f t="shared" si="10"/>
        <v>240.49473202015577</v>
      </c>
      <c r="L847" s="97">
        <v>44599</v>
      </c>
      <c r="M847" s="6" t="s">
        <v>251</v>
      </c>
      <c r="N847" s="97">
        <v>44599</v>
      </c>
      <c r="O847" s="22" t="s">
        <v>5872</v>
      </c>
      <c r="P847" s="6" t="s">
        <v>2189</v>
      </c>
      <c r="Q847" s="6" t="s">
        <v>356</v>
      </c>
      <c r="R847" s="6" t="str">
        <f t="shared" ca="1" si="9"/>
        <v>NonCategory</v>
      </c>
    </row>
    <row r="848" spans="1:18">
      <c r="A848" s="162">
        <v>44600</v>
      </c>
      <c r="B848" s="164" t="s">
        <v>2190</v>
      </c>
      <c r="C848" s="168" t="s">
        <v>2191</v>
      </c>
      <c r="D848" s="6" t="s">
        <v>1731</v>
      </c>
      <c r="E848" s="6" t="s">
        <v>150</v>
      </c>
      <c r="F848" s="79">
        <v>44593</v>
      </c>
      <c r="G848" s="6" t="s">
        <v>16</v>
      </c>
      <c r="H848" s="6" t="s">
        <v>2097</v>
      </c>
      <c r="I848" s="6">
        <v>1</v>
      </c>
      <c r="J848" s="8">
        <v>21000</v>
      </c>
      <c r="K848" s="8">
        <f t="shared" si="10"/>
        <v>240.49473202015577</v>
      </c>
      <c r="L848" s="97">
        <v>44600</v>
      </c>
      <c r="M848" s="6" t="s">
        <v>251</v>
      </c>
      <c r="N848" s="97">
        <v>44600</v>
      </c>
      <c r="O848" s="22" t="s">
        <v>5873</v>
      </c>
      <c r="Q848" s="6" t="s">
        <v>356</v>
      </c>
      <c r="R848" s="6" t="str">
        <f t="shared" ca="1" si="9"/>
        <v>NonCategory</v>
      </c>
    </row>
    <row r="849" spans="1:18">
      <c r="A849" s="162">
        <v>44601</v>
      </c>
      <c r="B849" s="164" t="s">
        <v>2192</v>
      </c>
      <c r="C849" s="168" t="s">
        <v>2193</v>
      </c>
      <c r="D849" s="6" t="s">
        <v>278</v>
      </c>
      <c r="E849" s="6" t="s">
        <v>96</v>
      </c>
      <c r="F849" s="79">
        <v>44593</v>
      </c>
      <c r="G849" s="6" t="s">
        <v>16</v>
      </c>
      <c r="H849" s="6" t="s">
        <v>2194</v>
      </c>
      <c r="I849" s="6">
        <v>1</v>
      </c>
      <c r="J849" s="8">
        <v>20000</v>
      </c>
      <c r="K849" s="8">
        <f t="shared" si="10"/>
        <v>229.04260192395787</v>
      </c>
      <c r="L849" s="97">
        <v>44601</v>
      </c>
      <c r="M849" s="6" t="s">
        <v>251</v>
      </c>
      <c r="N849" s="97">
        <v>44602</v>
      </c>
      <c r="O849" s="22" t="s">
        <v>5874</v>
      </c>
      <c r="P849" s="6" t="s">
        <v>2127</v>
      </c>
      <c r="Q849" s="6" t="s">
        <v>356</v>
      </c>
      <c r="R849" s="6" t="str">
        <f t="shared" ca="1" si="9"/>
        <v>NonCategory</v>
      </c>
    </row>
    <row r="850" spans="1:18">
      <c r="A850" s="162">
        <v>44602</v>
      </c>
      <c r="B850" s="164" t="s">
        <v>2195</v>
      </c>
      <c r="C850" s="168" t="s">
        <v>2196</v>
      </c>
      <c r="D850" s="6" t="s">
        <v>287</v>
      </c>
      <c r="E850" s="6" t="s">
        <v>96</v>
      </c>
      <c r="F850" s="79">
        <v>44593</v>
      </c>
      <c r="G850" s="6" t="s">
        <v>16</v>
      </c>
      <c r="H850" s="6" t="s">
        <v>2180</v>
      </c>
      <c r="I850" s="6">
        <v>1</v>
      </c>
      <c r="J850" s="8">
        <v>20000</v>
      </c>
      <c r="K850" s="8">
        <f t="shared" si="10"/>
        <v>229.04260192395787</v>
      </c>
      <c r="L850" s="97">
        <v>44602</v>
      </c>
      <c r="M850" s="6" t="s">
        <v>251</v>
      </c>
      <c r="N850" s="97">
        <v>44602</v>
      </c>
      <c r="O850" s="22" t="s">
        <v>5875</v>
      </c>
      <c r="Q850" s="6" t="s">
        <v>356</v>
      </c>
      <c r="R850" s="6" t="str">
        <f t="shared" ca="1" si="9"/>
        <v>NonCategory</v>
      </c>
    </row>
    <row r="851" spans="1:18">
      <c r="A851" s="162">
        <v>44602</v>
      </c>
      <c r="B851" s="164" t="s">
        <v>2197</v>
      </c>
      <c r="C851" s="168" t="s">
        <v>2198</v>
      </c>
      <c r="D851" s="6" t="s">
        <v>278</v>
      </c>
      <c r="E851" s="6" t="s">
        <v>25</v>
      </c>
      <c r="F851" s="79">
        <v>44593</v>
      </c>
      <c r="G851" s="6" t="s">
        <v>16</v>
      </c>
      <c r="H851" s="6" t="s">
        <v>2097</v>
      </c>
      <c r="I851" s="6">
        <v>1</v>
      </c>
      <c r="J851" s="8">
        <v>44364</v>
      </c>
      <c r="K851" s="8">
        <f t="shared" si="10"/>
        <v>508.06229958772332</v>
      </c>
      <c r="L851" s="97">
        <v>44602</v>
      </c>
      <c r="M851" s="6" t="s">
        <v>251</v>
      </c>
      <c r="N851" s="97">
        <v>44602</v>
      </c>
      <c r="O851" s="22" t="s">
        <v>5876</v>
      </c>
      <c r="P851" s="6" t="s">
        <v>2199</v>
      </c>
      <c r="Q851" s="6" t="s">
        <v>356</v>
      </c>
      <c r="R851" s="6" t="str">
        <f t="shared" ca="1" si="9"/>
        <v>NonCategory</v>
      </c>
    </row>
    <row r="852" spans="1:18">
      <c r="A852" s="162">
        <v>44603</v>
      </c>
      <c r="B852" s="164" t="s">
        <v>2200</v>
      </c>
      <c r="C852" s="168" t="s">
        <v>2201</v>
      </c>
      <c r="D852" s="6" t="s">
        <v>303</v>
      </c>
      <c r="E852" s="6" t="s">
        <v>150</v>
      </c>
      <c r="F852" s="79">
        <v>44593</v>
      </c>
      <c r="G852" s="6" t="s">
        <v>16</v>
      </c>
      <c r="H852" s="6" t="s">
        <v>2104</v>
      </c>
      <c r="I852" s="6">
        <v>1</v>
      </c>
      <c r="J852" s="8">
        <v>21000</v>
      </c>
      <c r="K852" s="8">
        <f t="shared" si="10"/>
        <v>240.49473202015577</v>
      </c>
      <c r="L852" s="97">
        <v>44603</v>
      </c>
      <c r="M852" s="6" t="s">
        <v>252</v>
      </c>
      <c r="N852" s="97">
        <v>44606</v>
      </c>
      <c r="O852" s="22" t="s">
        <v>5877</v>
      </c>
      <c r="Q852" s="6" t="s">
        <v>356</v>
      </c>
      <c r="R852" s="6" t="str">
        <f t="shared" ca="1" si="9"/>
        <v>NonCategory</v>
      </c>
    </row>
    <row r="853" spans="1:18">
      <c r="A853" s="162">
        <v>44603</v>
      </c>
      <c r="B853" s="165" t="s">
        <v>2202</v>
      </c>
      <c r="C853" s="168" t="s">
        <v>2203</v>
      </c>
      <c r="D853" s="2" t="s">
        <v>306</v>
      </c>
      <c r="E853" s="6" t="s">
        <v>25</v>
      </c>
      <c r="F853" s="79">
        <v>44593</v>
      </c>
      <c r="G853" s="6" t="s">
        <v>16</v>
      </c>
      <c r="H853" s="6" t="s">
        <v>2097</v>
      </c>
      <c r="I853" s="6">
        <v>1</v>
      </c>
      <c r="J853" s="8">
        <v>42000</v>
      </c>
      <c r="K853" s="8">
        <f t="shared" si="10"/>
        <v>480.98946404031153</v>
      </c>
      <c r="L853" s="97">
        <v>44603</v>
      </c>
      <c r="M853" s="6" t="s">
        <v>252</v>
      </c>
      <c r="N853" s="97">
        <v>44603</v>
      </c>
      <c r="O853" s="22" t="s">
        <v>5878</v>
      </c>
      <c r="Q853" s="6" t="s">
        <v>356</v>
      </c>
      <c r="R853" s="6" t="str">
        <f t="shared" ca="1" si="9"/>
        <v>NonCategory</v>
      </c>
    </row>
    <row r="854" spans="1:18">
      <c r="A854" s="162">
        <v>44603</v>
      </c>
      <c r="B854" s="164" t="s">
        <v>2204</v>
      </c>
      <c r="C854" s="168" t="s">
        <v>2205</v>
      </c>
      <c r="D854" s="6" t="s">
        <v>303</v>
      </c>
      <c r="E854" s="6" t="s">
        <v>150</v>
      </c>
      <c r="F854" s="79">
        <v>44593</v>
      </c>
      <c r="G854" s="6" t="s">
        <v>16</v>
      </c>
      <c r="H854" s="6" t="s">
        <v>2155</v>
      </c>
      <c r="I854" s="6">
        <v>1</v>
      </c>
      <c r="J854" s="8">
        <v>21000</v>
      </c>
      <c r="K854" s="8">
        <f t="shared" si="10"/>
        <v>240.49473202015577</v>
      </c>
      <c r="L854" s="97">
        <v>44603</v>
      </c>
      <c r="M854" s="6" t="s">
        <v>252</v>
      </c>
      <c r="N854" s="97">
        <v>44603</v>
      </c>
      <c r="O854" s="22" t="s">
        <v>5879</v>
      </c>
      <c r="Q854" s="6" t="s">
        <v>356</v>
      </c>
      <c r="R854" s="6" t="str">
        <f t="shared" ca="1" si="9"/>
        <v>NonCategory</v>
      </c>
    </row>
    <row r="855" spans="1:18">
      <c r="A855" s="162">
        <v>44604</v>
      </c>
      <c r="B855" s="164" t="s">
        <v>2206</v>
      </c>
      <c r="C855" s="168" t="s">
        <v>2207</v>
      </c>
      <c r="D855" s="6" t="s">
        <v>303</v>
      </c>
      <c r="E855" s="6" t="s">
        <v>1545</v>
      </c>
      <c r="F855" s="79">
        <v>44593</v>
      </c>
      <c r="G855" s="6" t="s">
        <v>16</v>
      </c>
      <c r="H855" s="97">
        <v>44606</v>
      </c>
      <c r="I855" s="6">
        <v>1</v>
      </c>
      <c r="J855" s="8">
        <v>16000</v>
      </c>
      <c r="K855" s="8">
        <f t="shared" si="10"/>
        <v>183.23408153916631</v>
      </c>
      <c r="L855" s="97">
        <v>44604</v>
      </c>
      <c r="M855" s="6" t="s">
        <v>252</v>
      </c>
      <c r="N855" s="97">
        <v>44604</v>
      </c>
      <c r="O855" s="22" t="s">
        <v>5880</v>
      </c>
      <c r="Q855" s="6" t="s">
        <v>356</v>
      </c>
      <c r="R855" s="6" t="str">
        <f t="shared" ca="1" si="9"/>
        <v>NonCategory</v>
      </c>
    </row>
    <row r="856" spans="1:18">
      <c r="A856" s="162">
        <v>44604</v>
      </c>
      <c r="B856" s="164" t="s">
        <v>2208</v>
      </c>
      <c r="C856" s="168" t="s">
        <v>2209</v>
      </c>
      <c r="D856" s="6" t="s">
        <v>278</v>
      </c>
      <c r="E856" s="6" t="s">
        <v>150</v>
      </c>
      <c r="F856" s="79">
        <v>44593</v>
      </c>
      <c r="G856" s="6" t="s">
        <v>16</v>
      </c>
      <c r="H856" s="6" t="s">
        <v>2104</v>
      </c>
      <c r="I856" s="6">
        <v>1</v>
      </c>
      <c r="J856" s="8">
        <v>21000</v>
      </c>
      <c r="K856" s="8">
        <f t="shared" si="10"/>
        <v>240.49473202015577</v>
      </c>
      <c r="L856" s="97">
        <v>44604</v>
      </c>
      <c r="M856" s="6" t="s">
        <v>252</v>
      </c>
      <c r="N856" s="97">
        <v>44604</v>
      </c>
      <c r="O856" s="22" t="s">
        <v>5881</v>
      </c>
      <c r="P856" s="6" t="s">
        <v>2210</v>
      </c>
      <c r="Q856" s="6" t="s">
        <v>356</v>
      </c>
      <c r="R856" s="6" t="str">
        <f t="shared" ca="1" si="9"/>
        <v>NonCategory</v>
      </c>
    </row>
    <row r="857" spans="1:18">
      <c r="A857" s="162">
        <v>44606</v>
      </c>
      <c r="B857" s="164" t="s">
        <v>2065</v>
      </c>
      <c r="C857" s="168" t="s">
        <v>2066</v>
      </c>
      <c r="D857" s="6" t="s">
        <v>470</v>
      </c>
      <c r="E857" s="6" t="s">
        <v>538</v>
      </c>
      <c r="F857" s="79">
        <v>44593</v>
      </c>
      <c r="G857" s="6" t="s">
        <v>16</v>
      </c>
      <c r="H857" s="97">
        <v>44613</v>
      </c>
      <c r="I857" s="6">
        <v>1</v>
      </c>
      <c r="J857" s="8">
        <v>13500</v>
      </c>
      <c r="K857" s="8">
        <f t="shared" si="10"/>
        <v>154.60375629867156</v>
      </c>
      <c r="L857" s="97">
        <v>44606</v>
      </c>
      <c r="M857" s="6" t="s">
        <v>252</v>
      </c>
      <c r="N857" s="97">
        <v>44606</v>
      </c>
      <c r="O857" s="22" t="s">
        <v>5882</v>
      </c>
      <c r="Q857" s="6" t="s">
        <v>356</v>
      </c>
      <c r="R857" s="6" t="str">
        <f t="shared" ca="1" si="9"/>
        <v>NonCategory</v>
      </c>
    </row>
    <row r="858" spans="1:18">
      <c r="A858" s="162">
        <v>44606</v>
      </c>
      <c r="B858" s="164" t="s">
        <v>2211</v>
      </c>
      <c r="C858" s="168" t="s">
        <v>2212</v>
      </c>
      <c r="D858" s="6" t="s">
        <v>278</v>
      </c>
      <c r="E858" s="6" t="s">
        <v>96</v>
      </c>
      <c r="F858" s="79">
        <v>44593</v>
      </c>
      <c r="G858" s="6" t="s">
        <v>16</v>
      </c>
      <c r="H858" s="6" t="s">
        <v>2194</v>
      </c>
      <c r="I858" s="6">
        <v>1</v>
      </c>
      <c r="J858" s="8">
        <v>20000</v>
      </c>
      <c r="K858" s="8">
        <f t="shared" si="10"/>
        <v>229.04260192395787</v>
      </c>
      <c r="L858" s="97">
        <v>44606</v>
      </c>
      <c r="M858" s="6" t="s">
        <v>252</v>
      </c>
      <c r="N858" s="97">
        <v>44606</v>
      </c>
      <c r="O858" s="22" t="s">
        <v>5883</v>
      </c>
      <c r="P858" s="6" t="s">
        <v>2213</v>
      </c>
      <c r="Q858" s="6" t="s">
        <v>356</v>
      </c>
      <c r="R858" s="6" t="str">
        <f t="shared" ca="1" si="9"/>
        <v>NonCategory</v>
      </c>
    </row>
    <row r="859" spans="1:18">
      <c r="A859" s="162">
        <v>44606</v>
      </c>
      <c r="B859" s="164" t="s">
        <v>2214</v>
      </c>
      <c r="C859" s="168" t="s">
        <v>2215</v>
      </c>
      <c r="D859" s="6" t="s">
        <v>278</v>
      </c>
      <c r="E859" s="6" t="s">
        <v>96</v>
      </c>
      <c r="F859" s="79">
        <v>44593</v>
      </c>
      <c r="G859" s="6" t="s">
        <v>16</v>
      </c>
      <c r="H859" s="6" t="s">
        <v>2149</v>
      </c>
      <c r="I859" s="6">
        <v>1</v>
      </c>
      <c r="J859" s="8">
        <v>20000</v>
      </c>
      <c r="K859" s="8">
        <f t="shared" si="10"/>
        <v>229.04260192395787</v>
      </c>
      <c r="L859" s="97">
        <v>44606</v>
      </c>
      <c r="M859" s="6" t="s">
        <v>252</v>
      </c>
      <c r="N859" s="97">
        <v>44606</v>
      </c>
      <c r="O859" s="22" t="s">
        <v>5884</v>
      </c>
      <c r="P859" s="6" t="s">
        <v>2091</v>
      </c>
      <c r="Q859" s="6" t="s">
        <v>356</v>
      </c>
      <c r="R859" s="6" t="str">
        <f t="shared" ca="1" si="9"/>
        <v>NonCategory</v>
      </c>
    </row>
    <row r="860" spans="1:18">
      <c r="A860" s="162">
        <v>44606</v>
      </c>
      <c r="B860" s="164" t="s">
        <v>2216</v>
      </c>
      <c r="C860" s="168" t="s">
        <v>2217</v>
      </c>
      <c r="D860" s="6" t="s">
        <v>291</v>
      </c>
      <c r="E860" s="6" t="s">
        <v>96</v>
      </c>
      <c r="F860" s="79">
        <v>44593</v>
      </c>
      <c r="G860" s="6" t="s">
        <v>16</v>
      </c>
      <c r="H860" s="6" t="s">
        <v>2218</v>
      </c>
      <c r="I860" s="6">
        <v>1</v>
      </c>
      <c r="J860" s="8">
        <v>20000</v>
      </c>
      <c r="K860" s="8">
        <f t="shared" si="10"/>
        <v>229.04260192395787</v>
      </c>
      <c r="L860" s="97">
        <v>44606</v>
      </c>
      <c r="M860" s="6" t="s">
        <v>252</v>
      </c>
      <c r="N860" s="97">
        <v>44606</v>
      </c>
      <c r="O860" s="22" t="s">
        <v>5885</v>
      </c>
      <c r="Q860" s="6" t="s">
        <v>356</v>
      </c>
      <c r="R860" s="6" t="str">
        <f t="shared" ca="1" si="9"/>
        <v>NonCategory</v>
      </c>
    </row>
    <row r="861" spans="1:18">
      <c r="A861" s="162">
        <v>44607</v>
      </c>
      <c r="B861" s="164" t="s">
        <v>2219</v>
      </c>
      <c r="C861" s="168" t="s">
        <v>2220</v>
      </c>
      <c r="D861" s="6" t="s">
        <v>303</v>
      </c>
      <c r="E861" s="6" t="s">
        <v>97</v>
      </c>
      <c r="F861" s="79">
        <v>44593</v>
      </c>
      <c r="G861" s="6" t="s">
        <v>16</v>
      </c>
      <c r="H861" s="6" t="s">
        <v>2218</v>
      </c>
      <c r="I861" s="6">
        <v>1</v>
      </c>
      <c r="J861" s="8">
        <v>19000</v>
      </c>
      <c r="K861" s="8">
        <f t="shared" si="10"/>
        <v>217.59047182775998</v>
      </c>
      <c r="L861" s="97">
        <v>44607</v>
      </c>
      <c r="M861" s="6" t="s">
        <v>252</v>
      </c>
      <c r="N861" s="97">
        <v>44607</v>
      </c>
      <c r="O861" s="22" t="s">
        <v>5886</v>
      </c>
      <c r="Q861" s="6" t="s">
        <v>356</v>
      </c>
      <c r="R861" s="6" t="str">
        <f t="shared" ca="1" si="9"/>
        <v>NonCategory</v>
      </c>
    </row>
    <row r="862" spans="1:18">
      <c r="A862" s="162">
        <v>44608</v>
      </c>
      <c r="B862" s="164" t="s">
        <v>2221</v>
      </c>
      <c r="C862" s="168" t="s">
        <v>2222</v>
      </c>
      <c r="D862" s="6" t="s">
        <v>291</v>
      </c>
      <c r="E862" s="6" t="s">
        <v>96</v>
      </c>
      <c r="F862" s="79">
        <v>44593</v>
      </c>
      <c r="G862" s="6" t="s">
        <v>16</v>
      </c>
      <c r="H862" s="6" t="s">
        <v>2223</v>
      </c>
      <c r="I862" s="6">
        <v>1</v>
      </c>
      <c r="J862" s="8">
        <v>20000</v>
      </c>
      <c r="K862" s="8">
        <f t="shared" si="10"/>
        <v>229.04260192395787</v>
      </c>
      <c r="L862" s="97">
        <v>44608</v>
      </c>
      <c r="M862" s="6" t="s">
        <v>252</v>
      </c>
      <c r="N862" s="97">
        <v>44610</v>
      </c>
      <c r="O862" s="22" t="s">
        <v>5887</v>
      </c>
      <c r="Q862" s="6" t="s">
        <v>356</v>
      </c>
      <c r="R862" s="6" t="str">
        <f t="shared" ca="1" si="9"/>
        <v>NonCategory</v>
      </c>
    </row>
    <row r="863" spans="1:18">
      <c r="A863" s="162">
        <v>44608</v>
      </c>
      <c r="B863" s="164" t="s">
        <v>2224</v>
      </c>
      <c r="C863" s="168" t="s">
        <v>2225</v>
      </c>
      <c r="D863" s="6" t="s">
        <v>278</v>
      </c>
      <c r="E863" s="6" t="s">
        <v>96</v>
      </c>
      <c r="F863" s="79">
        <v>44593</v>
      </c>
      <c r="G863" s="6" t="s">
        <v>16</v>
      </c>
      <c r="H863" s="6" t="s">
        <v>2226</v>
      </c>
      <c r="I863" s="6">
        <v>1</v>
      </c>
      <c r="J863" s="8">
        <v>19000</v>
      </c>
      <c r="K863" s="8">
        <f t="shared" si="10"/>
        <v>217.59047182775998</v>
      </c>
      <c r="L863" s="97">
        <v>44608</v>
      </c>
      <c r="M863" s="6" t="s">
        <v>252</v>
      </c>
      <c r="N863" s="97">
        <v>44608</v>
      </c>
      <c r="O863" s="22" t="s">
        <v>5888</v>
      </c>
      <c r="P863" s="6" t="s">
        <v>2227</v>
      </c>
      <c r="Q863" s="6" t="s">
        <v>356</v>
      </c>
      <c r="R863" s="6" t="str">
        <f t="shared" ca="1" si="9"/>
        <v>NonCategory</v>
      </c>
    </row>
    <row r="864" spans="1:18">
      <c r="A864" s="162">
        <v>44608</v>
      </c>
      <c r="B864" s="164" t="s">
        <v>2228</v>
      </c>
      <c r="C864" s="168" t="s">
        <v>2229</v>
      </c>
      <c r="D864" s="6" t="s">
        <v>319</v>
      </c>
      <c r="E864" s="6" t="s">
        <v>25</v>
      </c>
      <c r="F864" s="79">
        <v>44593</v>
      </c>
      <c r="G864" s="6" t="s">
        <v>16</v>
      </c>
      <c r="H864" s="6" t="s">
        <v>2104</v>
      </c>
      <c r="I864" s="6">
        <v>1</v>
      </c>
      <c r="J864" s="8">
        <v>40000</v>
      </c>
      <c r="K864" s="8">
        <f t="shared" si="10"/>
        <v>458.08520384791575</v>
      </c>
      <c r="L864" s="97">
        <v>44608</v>
      </c>
      <c r="M864" s="6" t="s">
        <v>252</v>
      </c>
      <c r="N864" s="97">
        <v>44609</v>
      </c>
      <c r="O864" s="22" t="s">
        <v>5889</v>
      </c>
      <c r="Q864" s="6" t="s">
        <v>356</v>
      </c>
      <c r="R864" s="6" t="str">
        <f t="shared" ca="1" si="9"/>
        <v>NonCategory</v>
      </c>
    </row>
    <row r="865" spans="1:18">
      <c r="A865" s="162">
        <v>44609</v>
      </c>
      <c r="B865" s="164" t="s">
        <v>2230</v>
      </c>
      <c r="C865" s="168" t="s">
        <v>2231</v>
      </c>
      <c r="D865" s="6" t="s">
        <v>287</v>
      </c>
      <c r="E865" s="6" t="s">
        <v>150</v>
      </c>
      <c r="F865" s="79">
        <v>44593</v>
      </c>
      <c r="G865" s="6" t="s">
        <v>16</v>
      </c>
      <c r="H865" s="6" t="s">
        <v>2180</v>
      </c>
      <c r="I865" s="6">
        <v>1</v>
      </c>
      <c r="J865" s="8">
        <v>21000</v>
      </c>
      <c r="K865" s="8">
        <f t="shared" si="10"/>
        <v>240.49473202015577</v>
      </c>
      <c r="L865" s="97">
        <v>44609</v>
      </c>
      <c r="M865" s="6" t="s">
        <v>252</v>
      </c>
      <c r="N865" s="97">
        <v>44609</v>
      </c>
      <c r="O865" s="22" t="s">
        <v>5890</v>
      </c>
      <c r="Q865" s="6" t="s">
        <v>356</v>
      </c>
      <c r="R865" s="6" t="str">
        <f t="shared" ca="1" si="9"/>
        <v>NonCategory</v>
      </c>
    </row>
    <row r="866" spans="1:18">
      <c r="A866" s="162">
        <v>44609</v>
      </c>
      <c r="B866" s="164" t="s">
        <v>2232</v>
      </c>
      <c r="C866" s="168" t="s">
        <v>2233</v>
      </c>
      <c r="D866" s="6" t="s">
        <v>278</v>
      </c>
      <c r="E866" s="6" t="s">
        <v>96</v>
      </c>
      <c r="F866" s="79">
        <v>44593</v>
      </c>
      <c r="G866" s="6" t="s">
        <v>16</v>
      </c>
      <c r="H866" s="6" t="s">
        <v>2218</v>
      </c>
      <c r="I866" s="6">
        <v>1</v>
      </c>
      <c r="J866" s="8">
        <v>20000</v>
      </c>
      <c r="K866" s="8">
        <f t="shared" si="10"/>
        <v>229.04260192395787</v>
      </c>
      <c r="L866" s="97">
        <v>44609</v>
      </c>
      <c r="M866" s="6" t="s">
        <v>252</v>
      </c>
      <c r="N866" s="97">
        <v>44609</v>
      </c>
      <c r="O866" s="22" t="s">
        <v>5891</v>
      </c>
      <c r="P866" s="6" t="s">
        <v>2234</v>
      </c>
      <c r="Q866" s="6" t="s">
        <v>356</v>
      </c>
      <c r="R866" s="6" t="str">
        <f t="shared" ca="1" si="9"/>
        <v>NonCategory</v>
      </c>
    </row>
    <row r="867" spans="1:18">
      <c r="A867" s="162">
        <v>44609</v>
      </c>
      <c r="B867" s="164" t="s">
        <v>2235</v>
      </c>
      <c r="C867" s="168" t="s">
        <v>2236</v>
      </c>
      <c r="D867" s="6" t="s">
        <v>303</v>
      </c>
      <c r="E867" s="6" t="s">
        <v>538</v>
      </c>
      <c r="F867" s="79">
        <v>44593</v>
      </c>
      <c r="G867" s="6" t="s">
        <v>16</v>
      </c>
      <c r="H867" s="97">
        <v>44609</v>
      </c>
      <c r="I867" s="6">
        <v>1</v>
      </c>
      <c r="J867" s="8">
        <v>29000</v>
      </c>
      <c r="K867" s="8">
        <f t="shared" si="10"/>
        <v>332.11177278973895</v>
      </c>
      <c r="L867" s="97">
        <v>44609</v>
      </c>
      <c r="M867" s="6" t="s">
        <v>252</v>
      </c>
      <c r="N867" s="97">
        <v>44611</v>
      </c>
      <c r="O867" s="22" t="s">
        <v>5892</v>
      </c>
      <c r="Q867" s="6" t="s">
        <v>356</v>
      </c>
      <c r="R867" s="6" t="str">
        <f t="shared" ca="1" si="9"/>
        <v>NonCategory</v>
      </c>
    </row>
    <row r="868" spans="1:18">
      <c r="A868" s="162">
        <v>44610</v>
      </c>
      <c r="B868" s="164" t="s">
        <v>2237</v>
      </c>
      <c r="C868" s="168" t="s">
        <v>2238</v>
      </c>
      <c r="D868" s="6" t="s">
        <v>278</v>
      </c>
      <c r="E868" s="6" t="s">
        <v>1524</v>
      </c>
      <c r="F868" s="79">
        <v>44593</v>
      </c>
      <c r="G868" s="6" t="s">
        <v>16</v>
      </c>
      <c r="H868" s="6" t="s">
        <v>2180</v>
      </c>
      <c r="I868" s="6">
        <v>1</v>
      </c>
      <c r="J868" s="8">
        <v>24000</v>
      </c>
      <c r="K868" s="8">
        <f t="shared" si="10"/>
        <v>274.85112230874944</v>
      </c>
      <c r="L868" s="97">
        <v>44610</v>
      </c>
      <c r="M868" s="6" t="s">
        <v>252</v>
      </c>
      <c r="N868" s="97">
        <v>44610</v>
      </c>
      <c r="O868" s="22" t="s">
        <v>5893</v>
      </c>
      <c r="P868" s="6" t="s">
        <v>2156</v>
      </c>
      <c r="Q868" s="6" t="s">
        <v>356</v>
      </c>
      <c r="R868" s="6" t="str">
        <f t="shared" ca="1" si="9"/>
        <v>NonCategory</v>
      </c>
    </row>
    <row r="869" spans="1:18">
      <c r="A869" s="162">
        <v>44610</v>
      </c>
      <c r="B869" s="164" t="s">
        <v>2239</v>
      </c>
      <c r="C869" s="168" t="s">
        <v>2240</v>
      </c>
      <c r="D869" s="6" t="s">
        <v>278</v>
      </c>
      <c r="E869" s="6" t="s">
        <v>150</v>
      </c>
      <c r="F869" s="79">
        <v>44593</v>
      </c>
      <c r="G869" s="6" t="s">
        <v>16</v>
      </c>
      <c r="H869" s="6" t="s">
        <v>2180</v>
      </c>
      <c r="I869" s="6">
        <v>1</v>
      </c>
      <c r="J869" s="8">
        <v>21000</v>
      </c>
      <c r="K869" s="8">
        <f t="shared" si="10"/>
        <v>240.49473202015577</v>
      </c>
      <c r="L869" s="97">
        <v>44610</v>
      </c>
      <c r="M869" s="6" t="s">
        <v>252</v>
      </c>
      <c r="N869" s="97">
        <v>44610</v>
      </c>
      <c r="O869" s="22" t="s">
        <v>5894</v>
      </c>
      <c r="P869" s="6" t="s">
        <v>2241</v>
      </c>
      <c r="Q869" s="6" t="s">
        <v>356</v>
      </c>
      <c r="R869" s="6" t="str">
        <f t="shared" ca="1" si="9"/>
        <v>NonCategory</v>
      </c>
    </row>
    <row r="870" spans="1:18">
      <c r="A870" s="162">
        <v>44610</v>
      </c>
      <c r="B870" s="164" t="s">
        <v>2242</v>
      </c>
      <c r="C870" s="168" t="s">
        <v>2243</v>
      </c>
      <c r="D870" s="6" t="s">
        <v>278</v>
      </c>
      <c r="E870" s="6" t="s">
        <v>1524</v>
      </c>
      <c r="F870" s="79">
        <v>44593</v>
      </c>
      <c r="G870" s="6" t="s">
        <v>16</v>
      </c>
      <c r="H870" s="6" t="s">
        <v>2180</v>
      </c>
      <c r="I870" s="6">
        <v>1</v>
      </c>
      <c r="J870" s="8">
        <v>24000</v>
      </c>
      <c r="K870" s="8">
        <f t="shared" si="10"/>
        <v>274.85112230874944</v>
      </c>
      <c r="L870" s="97">
        <v>44610</v>
      </c>
      <c r="M870" s="6" t="s">
        <v>252</v>
      </c>
      <c r="N870" s="97">
        <v>44610</v>
      </c>
      <c r="O870" s="18" t="s">
        <v>5895</v>
      </c>
      <c r="P870" s="6" t="s">
        <v>2244</v>
      </c>
      <c r="Q870" s="6" t="s">
        <v>356</v>
      </c>
      <c r="R870" s="6" t="str">
        <f t="shared" ca="1" si="9"/>
        <v>NonCategory</v>
      </c>
    </row>
    <row r="871" spans="1:18">
      <c r="A871" s="162">
        <v>44611</v>
      </c>
      <c r="B871" s="164" t="s">
        <v>2245</v>
      </c>
      <c r="C871" s="168" t="s">
        <v>2246</v>
      </c>
      <c r="D871" s="6" t="s">
        <v>343</v>
      </c>
      <c r="E871" s="6" t="s">
        <v>96</v>
      </c>
      <c r="F871" s="79">
        <v>44593</v>
      </c>
      <c r="G871" s="6" t="s">
        <v>16</v>
      </c>
      <c r="H871" s="97">
        <v>44611</v>
      </c>
      <c r="I871" s="6">
        <v>1</v>
      </c>
      <c r="J871" s="8">
        <v>24000</v>
      </c>
      <c r="K871" s="8">
        <f t="shared" si="10"/>
        <v>274.85112230874944</v>
      </c>
      <c r="L871" s="97">
        <v>44611</v>
      </c>
      <c r="M871" s="6" t="s">
        <v>252</v>
      </c>
      <c r="N871" s="97">
        <v>44611</v>
      </c>
      <c r="O871" s="22" t="s">
        <v>5896</v>
      </c>
      <c r="Q871" s="6" t="s">
        <v>356</v>
      </c>
      <c r="R871" s="6" t="str">
        <f t="shared" ca="1" si="9"/>
        <v>NonCategory</v>
      </c>
    </row>
    <row r="872" spans="1:18">
      <c r="A872" s="162">
        <v>44611</v>
      </c>
      <c r="B872" s="164" t="s">
        <v>2247</v>
      </c>
      <c r="C872" s="168" t="s">
        <v>2248</v>
      </c>
      <c r="D872" s="6" t="s">
        <v>278</v>
      </c>
      <c r="E872" s="6" t="s">
        <v>7</v>
      </c>
      <c r="F872" s="79">
        <v>44593</v>
      </c>
      <c r="G872" s="6" t="s">
        <v>16</v>
      </c>
      <c r="H872" s="6" t="s">
        <v>2180</v>
      </c>
      <c r="I872" s="6">
        <v>1</v>
      </c>
      <c r="J872" s="8">
        <v>40000</v>
      </c>
      <c r="K872" s="8">
        <f t="shared" si="10"/>
        <v>458.08520384791575</v>
      </c>
      <c r="L872" s="97">
        <v>44611</v>
      </c>
      <c r="M872" s="6" t="s">
        <v>252</v>
      </c>
      <c r="N872" s="97">
        <v>44611</v>
      </c>
      <c r="O872" s="22" t="s">
        <v>5897</v>
      </c>
      <c r="P872" s="6" t="s">
        <v>2249</v>
      </c>
      <c r="Q872" s="6" t="s">
        <v>356</v>
      </c>
      <c r="R872" s="6" t="str">
        <f t="shared" ca="1" si="9"/>
        <v>NonCategory</v>
      </c>
    </row>
    <row r="873" spans="1:18">
      <c r="A873" s="162">
        <v>44613</v>
      </c>
      <c r="B873" s="164" t="s">
        <v>2250</v>
      </c>
      <c r="C873" s="168" t="s">
        <v>2251</v>
      </c>
      <c r="D873" s="6" t="s">
        <v>297</v>
      </c>
      <c r="E873" s="6" t="s">
        <v>1524</v>
      </c>
      <c r="F873" s="79">
        <v>44593</v>
      </c>
      <c r="G873" s="6" t="s">
        <v>16</v>
      </c>
      <c r="H873" s="6" t="s">
        <v>2180</v>
      </c>
      <c r="I873" s="6">
        <v>1</v>
      </c>
      <c r="J873" s="8">
        <v>24000</v>
      </c>
      <c r="K873" s="8">
        <f t="shared" si="10"/>
        <v>274.85112230874944</v>
      </c>
      <c r="L873" s="97">
        <v>44613</v>
      </c>
      <c r="M873" s="6" t="s">
        <v>253</v>
      </c>
      <c r="N873" s="97">
        <v>44613</v>
      </c>
      <c r="O873" s="22" t="s">
        <v>5898</v>
      </c>
      <c r="Q873" s="6" t="s">
        <v>356</v>
      </c>
      <c r="R873" s="6" t="str">
        <f t="shared" ca="1" si="9"/>
        <v>NonCategory</v>
      </c>
    </row>
    <row r="874" spans="1:18">
      <c r="A874" s="162">
        <v>44614</v>
      </c>
      <c r="B874" s="164" t="s">
        <v>2252</v>
      </c>
      <c r="C874" s="168" t="s">
        <v>2253</v>
      </c>
      <c r="D874" s="6" t="s">
        <v>287</v>
      </c>
      <c r="E874" s="6" t="s">
        <v>96</v>
      </c>
      <c r="F874" s="79">
        <v>44593</v>
      </c>
      <c r="G874" s="6" t="s">
        <v>16</v>
      </c>
      <c r="H874" s="6" t="s">
        <v>2254</v>
      </c>
      <c r="I874" s="6">
        <v>1</v>
      </c>
      <c r="J874" s="8">
        <v>20000</v>
      </c>
      <c r="K874" s="8">
        <f t="shared" si="10"/>
        <v>229.04260192395787</v>
      </c>
      <c r="L874" s="97">
        <v>44614</v>
      </c>
      <c r="M874" s="6" t="s">
        <v>253</v>
      </c>
      <c r="N874" s="97">
        <v>44614</v>
      </c>
      <c r="O874" s="22" t="s">
        <v>5899</v>
      </c>
      <c r="Q874" s="6" t="s">
        <v>356</v>
      </c>
      <c r="R874" s="6" t="str">
        <f t="shared" ca="1" si="9"/>
        <v>NonCategory</v>
      </c>
    </row>
    <row r="875" spans="1:18">
      <c r="A875" s="162">
        <v>44614</v>
      </c>
      <c r="B875" s="164" t="s">
        <v>2255</v>
      </c>
      <c r="C875" s="168" t="s">
        <v>2256</v>
      </c>
      <c r="D875" s="6" t="s">
        <v>303</v>
      </c>
      <c r="E875" s="6" t="s">
        <v>6</v>
      </c>
      <c r="F875" s="79">
        <v>44593</v>
      </c>
      <c r="G875" s="6" t="s">
        <v>16</v>
      </c>
      <c r="H875" s="6" t="s">
        <v>2155</v>
      </c>
      <c r="I875" s="6">
        <v>1</v>
      </c>
      <c r="J875" s="8">
        <v>42000</v>
      </c>
      <c r="K875" s="8">
        <f t="shared" si="10"/>
        <v>480.98946404031153</v>
      </c>
      <c r="L875" s="97">
        <v>44614</v>
      </c>
      <c r="M875" s="6" t="s">
        <v>253</v>
      </c>
      <c r="N875" s="97">
        <v>44614</v>
      </c>
      <c r="O875" s="22" t="s">
        <v>5900</v>
      </c>
      <c r="Q875" s="6" t="s">
        <v>356</v>
      </c>
      <c r="R875" s="6" t="str">
        <f t="shared" ca="1" si="9"/>
        <v>NonCategory</v>
      </c>
    </row>
    <row r="876" spans="1:18">
      <c r="A876" s="162">
        <v>44615</v>
      </c>
      <c r="B876" s="164" t="s">
        <v>2257</v>
      </c>
      <c r="C876" s="168" t="s">
        <v>2258</v>
      </c>
      <c r="D876" s="6" t="s">
        <v>1291</v>
      </c>
      <c r="E876" s="6" t="s">
        <v>96</v>
      </c>
      <c r="F876" s="79">
        <v>44593</v>
      </c>
      <c r="G876" s="6" t="s">
        <v>16</v>
      </c>
      <c r="H876" s="6" t="s">
        <v>2149</v>
      </c>
      <c r="I876" s="6">
        <v>1</v>
      </c>
      <c r="J876" s="8">
        <v>19000</v>
      </c>
      <c r="K876" s="8">
        <f t="shared" si="10"/>
        <v>217.59047182775998</v>
      </c>
      <c r="L876" s="97">
        <v>44615</v>
      </c>
      <c r="M876" s="6" t="s">
        <v>253</v>
      </c>
      <c r="N876" s="97">
        <v>44615</v>
      </c>
      <c r="O876" s="22" t="s">
        <v>5901</v>
      </c>
      <c r="Q876" s="6" t="s">
        <v>356</v>
      </c>
      <c r="R876" s="6" t="str">
        <f t="shared" ca="1" si="9"/>
        <v>NonCategory</v>
      </c>
    </row>
    <row r="877" spans="1:18">
      <c r="A877" s="162">
        <v>44615</v>
      </c>
      <c r="B877" s="164" t="s">
        <v>2259</v>
      </c>
      <c r="C877" s="168" t="s">
        <v>2260</v>
      </c>
      <c r="D877" s="6" t="s">
        <v>287</v>
      </c>
      <c r="E877" s="6" t="s">
        <v>1524</v>
      </c>
      <c r="F877" s="79">
        <v>44593</v>
      </c>
      <c r="G877" s="6" t="s">
        <v>16</v>
      </c>
      <c r="H877" s="6" t="s">
        <v>2180</v>
      </c>
      <c r="I877" s="6">
        <v>1</v>
      </c>
      <c r="J877" s="8">
        <v>24000</v>
      </c>
      <c r="K877" s="8">
        <f t="shared" si="10"/>
        <v>274.85112230874944</v>
      </c>
      <c r="L877" s="97">
        <v>44615</v>
      </c>
      <c r="M877" s="6" t="s">
        <v>253</v>
      </c>
      <c r="N877" s="97">
        <v>44615</v>
      </c>
      <c r="O877" s="22" t="s">
        <v>5902</v>
      </c>
      <c r="Q877" s="6" t="s">
        <v>356</v>
      </c>
      <c r="R877" s="6" t="str">
        <f t="shared" ca="1" si="9"/>
        <v>NonCategory</v>
      </c>
    </row>
    <row r="878" spans="1:18">
      <c r="A878" s="162">
        <v>44615</v>
      </c>
      <c r="B878" s="164" t="s">
        <v>2261</v>
      </c>
      <c r="C878" s="168" t="s">
        <v>2262</v>
      </c>
      <c r="D878" s="6" t="s">
        <v>278</v>
      </c>
      <c r="E878" s="6" t="s">
        <v>538</v>
      </c>
      <c r="F878" s="79">
        <v>44593</v>
      </c>
      <c r="G878" s="6" t="s">
        <v>16</v>
      </c>
      <c r="H878" s="97">
        <v>44618</v>
      </c>
      <c r="I878" s="6">
        <v>1</v>
      </c>
      <c r="J878" s="8">
        <v>13500</v>
      </c>
      <c r="K878" s="8">
        <f t="shared" si="10"/>
        <v>154.60375629867156</v>
      </c>
      <c r="L878" s="97">
        <v>44615</v>
      </c>
      <c r="M878" s="6" t="s">
        <v>253</v>
      </c>
      <c r="N878" s="97">
        <v>44615</v>
      </c>
      <c r="O878" s="22" t="s">
        <v>5903</v>
      </c>
      <c r="P878" s="6" t="s">
        <v>2210</v>
      </c>
      <c r="Q878" s="6" t="s">
        <v>356</v>
      </c>
      <c r="R878" s="6" t="str">
        <f t="shared" ca="1" si="9"/>
        <v>NonCategory</v>
      </c>
    </row>
    <row r="879" spans="1:18">
      <c r="A879" s="162">
        <v>44616</v>
      </c>
      <c r="B879" s="164" t="s">
        <v>2263</v>
      </c>
      <c r="C879" s="168" t="s">
        <v>2264</v>
      </c>
      <c r="D879" s="6" t="s">
        <v>470</v>
      </c>
      <c r="E879" s="6" t="s">
        <v>1524</v>
      </c>
      <c r="F879" s="80">
        <v>44621</v>
      </c>
      <c r="G879" s="6" t="s">
        <v>16</v>
      </c>
      <c r="H879" s="6" t="s">
        <v>2218</v>
      </c>
      <c r="I879" s="6">
        <v>1</v>
      </c>
      <c r="J879" s="8">
        <v>24000</v>
      </c>
      <c r="K879" s="8">
        <f t="shared" si="10"/>
        <v>274.85112230874944</v>
      </c>
      <c r="L879" s="97">
        <v>44616</v>
      </c>
      <c r="M879" s="6" t="s">
        <v>251</v>
      </c>
      <c r="N879" s="96">
        <v>44627</v>
      </c>
      <c r="O879" s="22" t="s">
        <v>5904</v>
      </c>
      <c r="Q879" s="6" t="s">
        <v>356</v>
      </c>
      <c r="R879" s="6" t="str">
        <f t="shared" ca="1" si="9"/>
        <v>NonCategory</v>
      </c>
    </row>
    <row r="880" spans="1:18">
      <c r="A880" s="162">
        <v>44616</v>
      </c>
      <c r="B880" s="164" t="s">
        <v>2265</v>
      </c>
      <c r="C880" s="168" t="s">
        <v>2266</v>
      </c>
      <c r="D880" s="6" t="s">
        <v>495</v>
      </c>
      <c r="E880" s="6" t="s">
        <v>1524</v>
      </c>
      <c r="F880" s="79">
        <v>44593</v>
      </c>
      <c r="G880" s="6" t="s">
        <v>16</v>
      </c>
      <c r="H880" s="6" t="s">
        <v>2218</v>
      </c>
      <c r="I880" s="6">
        <v>1</v>
      </c>
      <c r="J880" s="8">
        <v>24000</v>
      </c>
      <c r="K880" s="8">
        <f t="shared" si="10"/>
        <v>274.85112230874944</v>
      </c>
      <c r="L880" s="97">
        <v>44616</v>
      </c>
      <c r="M880" s="6" t="s">
        <v>253</v>
      </c>
      <c r="N880" s="97">
        <v>44616</v>
      </c>
      <c r="O880" s="22" t="s">
        <v>5905</v>
      </c>
      <c r="Q880" s="6" t="s">
        <v>356</v>
      </c>
      <c r="R880" s="6" t="str">
        <f t="shared" ca="1" si="9"/>
        <v>NonCategory</v>
      </c>
    </row>
    <row r="881" spans="1:18">
      <c r="A881" s="162">
        <v>44616</v>
      </c>
      <c r="B881" s="164" t="s">
        <v>723</v>
      </c>
      <c r="C881" s="168" t="s">
        <v>2267</v>
      </c>
      <c r="D881" s="6" t="s">
        <v>303</v>
      </c>
      <c r="E881" s="6" t="s">
        <v>151</v>
      </c>
      <c r="F881" s="79">
        <v>44593</v>
      </c>
      <c r="G881" s="6" t="s">
        <v>16</v>
      </c>
      <c r="H881" s="6" t="s">
        <v>2180</v>
      </c>
      <c r="I881" s="6">
        <v>1</v>
      </c>
      <c r="J881" s="8">
        <v>21000</v>
      </c>
      <c r="K881" s="8">
        <f t="shared" si="10"/>
        <v>240.49473202015577</v>
      </c>
      <c r="L881" s="97">
        <v>44616</v>
      </c>
      <c r="M881" s="6" t="s">
        <v>253</v>
      </c>
      <c r="N881" s="97">
        <v>44616</v>
      </c>
      <c r="O881" s="22" t="s">
        <v>5906</v>
      </c>
      <c r="Q881" s="6" t="s">
        <v>356</v>
      </c>
      <c r="R881" s="6" t="str">
        <f t="shared" ca="1" si="9"/>
        <v>NonCategory</v>
      </c>
    </row>
    <row r="882" spans="1:18">
      <c r="A882" s="162">
        <v>44616</v>
      </c>
      <c r="B882" s="164" t="s">
        <v>2268</v>
      </c>
      <c r="C882" s="168" t="s">
        <v>2269</v>
      </c>
      <c r="D882" s="6" t="s">
        <v>278</v>
      </c>
      <c r="E882" s="6" t="s">
        <v>151</v>
      </c>
      <c r="F882" s="79">
        <v>44593</v>
      </c>
      <c r="G882" s="6" t="s">
        <v>16</v>
      </c>
      <c r="H882" s="6" t="s">
        <v>2180</v>
      </c>
      <c r="I882" s="6">
        <v>1</v>
      </c>
      <c r="J882" s="8">
        <v>21000</v>
      </c>
      <c r="K882" s="8">
        <f t="shared" si="10"/>
        <v>240.49473202015577</v>
      </c>
      <c r="L882" s="97">
        <v>44616</v>
      </c>
      <c r="M882" s="6" t="s">
        <v>253</v>
      </c>
      <c r="N882" s="97">
        <v>44616</v>
      </c>
      <c r="O882" s="22" t="s">
        <v>5907</v>
      </c>
      <c r="P882" s="6" t="s">
        <v>2270</v>
      </c>
      <c r="Q882" s="6" t="s">
        <v>356</v>
      </c>
      <c r="R882" s="6" t="str">
        <f t="shared" ca="1" si="9"/>
        <v>NonCategory</v>
      </c>
    </row>
    <row r="883" spans="1:18">
      <c r="A883" s="162">
        <v>44616</v>
      </c>
      <c r="B883" s="164" t="s">
        <v>2153</v>
      </c>
      <c r="C883" s="168" t="s">
        <v>2271</v>
      </c>
      <c r="D883" s="6" t="s">
        <v>287</v>
      </c>
      <c r="E883" s="6" t="s">
        <v>7</v>
      </c>
      <c r="F883" s="79">
        <v>44593</v>
      </c>
      <c r="G883" s="6" t="s">
        <v>16</v>
      </c>
      <c r="H883" s="6" t="s">
        <v>2180</v>
      </c>
      <c r="I883" s="6">
        <v>1</v>
      </c>
      <c r="J883" s="8">
        <v>42000</v>
      </c>
      <c r="K883" s="8">
        <f t="shared" si="10"/>
        <v>480.98946404031153</v>
      </c>
      <c r="L883" s="97">
        <v>44616</v>
      </c>
      <c r="M883" s="6" t="s">
        <v>253</v>
      </c>
      <c r="N883" s="97">
        <v>44616</v>
      </c>
      <c r="O883" s="22" t="s">
        <v>5908</v>
      </c>
      <c r="Q883" s="6" t="s">
        <v>356</v>
      </c>
      <c r="R883" s="6" t="str">
        <f t="shared" ca="1" si="9"/>
        <v>NonCategory</v>
      </c>
    </row>
    <row r="884" spans="1:18">
      <c r="A884" s="162">
        <v>44617</v>
      </c>
      <c r="B884" s="164" t="s">
        <v>2272</v>
      </c>
      <c r="C884" s="168" t="s">
        <v>2273</v>
      </c>
      <c r="D884" s="6" t="s">
        <v>291</v>
      </c>
      <c r="E884" s="6" t="s">
        <v>150</v>
      </c>
      <c r="F884" s="79">
        <v>44593</v>
      </c>
      <c r="G884" s="6" t="s">
        <v>16</v>
      </c>
      <c r="H884" s="6" t="s">
        <v>2180</v>
      </c>
      <c r="I884" s="6">
        <v>1</v>
      </c>
      <c r="J884" s="8">
        <v>21000</v>
      </c>
      <c r="K884" s="8">
        <f t="shared" si="10"/>
        <v>240.49473202015577</v>
      </c>
      <c r="L884" s="97">
        <v>44617</v>
      </c>
      <c r="M884" s="6" t="s">
        <v>253</v>
      </c>
      <c r="N884" s="97">
        <v>44617</v>
      </c>
      <c r="O884" s="22" t="s">
        <v>5909</v>
      </c>
      <c r="Q884" s="6" t="s">
        <v>356</v>
      </c>
      <c r="R884" s="6" t="str">
        <f t="shared" ca="1" si="9"/>
        <v>NonCategory</v>
      </c>
    </row>
    <row r="885" spans="1:18">
      <c r="A885" s="162">
        <v>44617</v>
      </c>
      <c r="B885" s="164" t="s">
        <v>1414</v>
      </c>
      <c r="C885" s="168" t="s">
        <v>2274</v>
      </c>
      <c r="D885" s="6" t="s">
        <v>303</v>
      </c>
      <c r="E885" s="6" t="s">
        <v>25</v>
      </c>
      <c r="F885" s="79">
        <v>44593</v>
      </c>
      <c r="G885" s="6" t="s">
        <v>16</v>
      </c>
      <c r="H885" s="6" t="s">
        <v>2180</v>
      </c>
      <c r="I885" s="6">
        <v>1</v>
      </c>
      <c r="J885" s="8">
        <v>42000</v>
      </c>
      <c r="K885" s="8">
        <f t="shared" si="10"/>
        <v>480.98946404031153</v>
      </c>
      <c r="L885" s="97">
        <v>44617</v>
      </c>
      <c r="M885" s="6" t="s">
        <v>253</v>
      </c>
      <c r="N885" s="97">
        <v>44617</v>
      </c>
      <c r="O885" s="22" t="s">
        <v>5910</v>
      </c>
      <c r="Q885" s="6" t="s">
        <v>356</v>
      </c>
      <c r="R885" s="6" t="str">
        <f t="shared" ca="1" si="9"/>
        <v>NonCategory</v>
      </c>
    </row>
    <row r="886" spans="1:18">
      <c r="A886" s="162">
        <v>44617</v>
      </c>
      <c r="B886" s="164" t="s">
        <v>2275</v>
      </c>
      <c r="C886" s="168" t="s">
        <v>2276</v>
      </c>
      <c r="D886" s="6" t="s">
        <v>470</v>
      </c>
      <c r="E886" s="6" t="s">
        <v>96</v>
      </c>
      <c r="F886" s="79">
        <v>44593</v>
      </c>
      <c r="G886" s="6" t="s">
        <v>16</v>
      </c>
      <c r="H886" s="6" t="s">
        <v>2149</v>
      </c>
      <c r="I886" s="6">
        <v>1</v>
      </c>
      <c r="J886" s="8">
        <v>19000</v>
      </c>
      <c r="K886" s="8">
        <f t="shared" si="10"/>
        <v>217.59047182775998</v>
      </c>
      <c r="L886" s="97">
        <v>44617</v>
      </c>
      <c r="M886" s="6" t="s">
        <v>253</v>
      </c>
      <c r="N886" s="97">
        <v>44617</v>
      </c>
      <c r="O886" s="22" t="s">
        <v>5911</v>
      </c>
      <c r="Q886" s="6" t="s">
        <v>356</v>
      </c>
      <c r="R886" s="6" t="str">
        <f t="shared" ca="1" si="9"/>
        <v>NonCategory</v>
      </c>
    </row>
    <row r="887" spans="1:18">
      <c r="A887" s="162">
        <v>44617</v>
      </c>
      <c r="B887" s="164" t="s">
        <v>2277</v>
      </c>
      <c r="C887" s="168" t="s">
        <v>2278</v>
      </c>
      <c r="D887" s="6" t="s">
        <v>291</v>
      </c>
      <c r="E887" s="6" t="s">
        <v>96</v>
      </c>
      <c r="F887" s="79">
        <v>44593</v>
      </c>
      <c r="G887" s="6" t="s">
        <v>16</v>
      </c>
      <c r="H887" s="6" t="s">
        <v>2149</v>
      </c>
      <c r="I887" s="6">
        <v>1</v>
      </c>
      <c r="J887" s="8">
        <v>19000</v>
      </c>
      <c r="K887" s="8">
        <f t="shared" si="10"/>
        <v>217.59047182775998</v>
      </c>
      <c r="L887" s="97">
        <v>44617</v>
      </c>
      <c r="M887" s="6" t="s">
        <v>253</v>
      </c>
      <c r="N887" s="97">
        <v>44617</v>
      </c>
      <c r="O887" s="22" t="s">
        <v>5912</v>
      </c>
      <c r="Q887" s="6" t="s">
        <v>356</v>
      </c>
      <c r="R887" s="6" t="str">
        <f t="shared" ca="1" si="9"/>
        <v>NonCategory</v>
      </c>
    </row>
    <row r="888" spans="1:18">
      <c r="A888" s="162">
        <v>44617</v>
      </c>
      <c r="B888" s="164" t="s">
        <v>2279</v>
      </c>
      <c r="C888" s="168" t="s">
        <v>2280</v>
      </c>
      <c r="D888" s="6" t="s">
        <v>278</v>
      </c>
      <c r="E888" s="6" t="s">
        <v>96</v>
      </c>
      <c r="F888" s="79">
        <v>44593</v>
      </c>
      <c r="G888" s="6" t="s">
        <v>16</v>
      </c>
      <c r="H888" s="6" t="s">
        <v>2149</v>
      </c>
      <c r="I888" s="6">
        <v>1</v>
      </c>
      <c r="J888" s="8">
        <v>19000</v>
      </c>
      <c r="K888" s="8">
        <f t="shared" si="10"/>
        <v>217.59047182775998</v>
      </c>
      <c r="L888" s="97">
        <v>44617</v>
      </c>
      <c r="M888" s="6" t="s">
        <v>253</v>
      </c>
      <c r="N888" s="97">
        <v>44617</v>
      </c>
      <c r="O888" s="22" t="s">
        <v>5913</v>
      </c>
      <c r="P888" s="6" t="s">
        <v>2281</v>
      </c>
      <c r="Q888" s="6" t="s">
        <v>356</v>
      </c>
      <c r="R888" s="6" t="str">
        <f t="shared" ca="1" si="9"/>
        <v>NonCategory</v>
      </c>
    </row>
    <row r="889" spans="1:18">
      <c r="A889" s="162">
        <v>44619</v>
      </c>
      <c r="B889" s="164" t="s">
        <v>2282</v>
      </c>
      <c r="C889" s="168" t="s">
        <v>2283</v>
      </c>
      <c r="D889" s="6" t="s">
        <v>303</v>
      </c>
      <c r="E889" s="6" t="s">
        <v>97</v>
      </c>
      <c r="F889" s="79">
        <v>44593</v>
      </c>
      <c r="G889" s="6" t="s">
        <v>16</v>
      </c>
      <c r="H889" s="6" t="s">
        <v>2155</v>
      </c>
      <c r="I889" s="6">
        <v>1</v>
      </c>
      <c r="J889" s="8">
        <v>19000</v>
      </c>
      <c r="K889" s="8">
        <f t="shared" si="10"/>
        <v>217.59047182775998</v>
      </c>
      <c r="L889" s="97">
        <v>44619</v>
      </c>
      <c r="M889" s="6" t="s">
        <v>253</v>
      </c>
      <c r="N889" s="97">
        <v>44619</v>
      </c>
      <c r="O889" s="22" t="s">
        <v>5914</v>
      </c>
      <c r="Q889" s="6" t="s">
        <v>356</v>
      </c>
      <c r="R889" s="6" t="str">
        <f t="shared" ca="1" si="9"/>
        <v>NonCategory</v>
      </c>
    </row>
    <row r="890" spans="1:18">
      <c r="A890" s="162">
        <v>44619</v>
      </c>
      <c r="B890" s="164" t="s">
        <v>2284</v>
      </c>
      <c r="C890" s="168" t="s">
        <v>2285</v>
      </c>
      <c r="D890" s="6" t="s">
        <v>303</v>
      </c>
      <c r="E890" s="6" t="s">
        <v>150</v>
      </c>
      <c r="F890" s="79">
        <v>44593</v>
      </c>
      <c r="G890" s="6" t="s">
        <v>16</v>
      </c>
      <c r="H890" s="6" t="s">
        <v>2149</v>
      </c>
      <c r="I890" s="6">
        <v>1</v>
      </c>
      <c r="J890" s="8">
        <v>21000</v>
      </c>
      <c r="K890" s="8">
        <f t="shared" si="10"/>
        <v>240.49473202015577</v>
      </c>
      <c r="L890" s="97">
        <v>44619</v>
      </c>
      <c r="M890" s="6" t="s">
        <v>253</v>
      </c>
      <c r="N890" s="97">
        <v>44619</v>
      </c>
      <c r="O890" s="22" t="s">
        <v>5915</v>
      </c>
      <c r="Q890" s="6" t="s">
        <v>356</v>
      </c>
      <c r="R890" s="6" t="str">
        <f t="shared" ca="1" si="9"/>
        <v>NonCategory</v>
      </c>
    </row>
    <row r="891" spans="1:18">
      <c r="A891" s="162">
        <v>44620</v>
      </c>
      <c r="B891" s="164" t="s">
        <v>2286</v>
      </c>
      <c r="C891" s="168" t="s">
        <v>2287</v>
      </c>
      <c r="D891" s="6" t="s">
        <v>1842</v>
      </c>
      <c r="E891" s="6" t="s">
        <v>2288</v>
      </c>
      <c r="F891" s="79">
        <v>44593</v>
      </c>
      <c r="G891" s="6" t="s">
        <v>13</v>
      </c>
      <c r="H891" s="97">
        <v>44620</v>
      </c>
      <c r="I891" s="6">
        <v>1</v>
      </c>
      <c r="J891" s="8">
        <v>50000</v>
      </c>
      <c r="K891" s="8">
        <f t="shared" si="10"/>
        <v>572.60650480989466</v>
      </c>
      <c r="L891" s="97">
        <v>44620</v>
      </c>
      <c r="R891" s="6" t="str">
        <f t="shared" ca="1" si="9"/>
        <v>NonCategory</v>
      </c>
    </row>
    <row r="892" spans="1:18">
      <c r="A892" s="162">
        <v>44620</v>
      </c>
      <c r="B892" s="164" t="s">
        <v>2289</v>
      </c>
      <c r="C892" s="168" t="s">
        <v>2290</v>
      </c>
      <c r="D892" s="6" t="s">
        <v>278</v>
      </c>
      <c r="E892" s="6" t="s">
        <v>25</v>
      </c>
      <c r="F892" s="80">
        <v>44621</v>
      </c>
      <c r="G892" s="6" t="s">
        <v>16</v>
      </c>
      <c r="H892" s="6" t="s">
        <v>2218</v>
      </c>
      <c r="I892" s="6">
        <v>1</v>
      </c>
      <c r="J892" s="8">
        <v>40000</v>
      </c>
      <c r="K892" s="8">
        <f t="shared" si="10"/>
        <v>458.08520384791575</v>
      </c>
      <c r="L892" s="97">
        <v>44620</v>
      </c>
      <c r="M892" s="6" t="s">
        <v>251</v>
      </c>
      <c r="N892" s="96">
        <v>44621</v>
      </c>
      <c r="O892" s="22" t="s">
        <v>5916</v>
      </c>
      <c r="P892" s="6" t="s">
        <v>2291</v>
      </c>
      <c r="Q892" s="6" t="s">
        <v>356</v>
      </c>
      <c r="R892" s="6" t="str">
        <f t="shared" ca="1" si="9"/>
        <v>NonCategory</v>
      </c>
    </row>
    <row r="893" spans="1:18">
      <c r="A893" s="162">
        <v>44621</v>
      </c>
      <c r="B893" s="164" t="s">
        <v>2292</v>
      </c>
      <c r="C893" s="168" t="s">
        <v>2293</v>
      </c>
      <c r="D893" s="6" t="s">
        <v>303</v>
      </c>
      <c r="E893" s="6" t="s">
        <v>96</v>
      </c>
      <c r="F893" s="80">
        <v>44621</v>
      </c>
      <c r="G893" s="6" t="s">
        <v>13</v>
      </c>
      <c r="H893" s="6" t="s">
        <v>2294</v>
      </c>
      <c r="I893" s="6">
        <v>1</v>
      </c>
      <c r="J893" s="8">
        <v>20000</v>
      </c>
      <c r="K893" s="8">
        <f t="shared" si="10"/>
        <v>229.04260192395787</v>
      </c>
      <c r="L893" s="96">
        <v>44621</v>
      </c>
      <c r="R893" s="6" t="str">
        <f t="shared" ca="1" si="9"/>
        <v>NonCategory</v>
      </c>
    </row>
    <row r="894" spans="1:18">
      <c r="A894" s="162">
        <v>44621</v>
      </c>
      <c r="B894" s="164" t="s">
        <v>2295</v>
      </c>
      <c r="C894" s="168" t="s">
        <v>2296</v>
      </c>
      <c r="D894" s="6" t="s">
        <v>1291</v>
      </c>
      <c r="E894" s="6" t="s">
        <v>96</v>
      </c>
      <c r="F894" s="80">
        <v>44621</v>
      </c>
      <c r="G894" s="6" t="s">
        <v>16</v>
      </c>
      <c r="H894" s="6" t="s">
        <v>2149</v>
      </c>
      <c r="I894" s="6">
        <v>1</v>
      </c>
      <c r="J894" s="8">
        <v>19000</v>
      </c>
      <c r="K894" s="8">
        <f t="shared" si="10"/>
        <v>217.59047182775998</v>
      </c>
      <c r="L894" s="96">
        <v>44621</v>
      </c>
      <c r="M894" s="6" t="s">
        <v>251</v>
      </c>
      <c r="N894" s="96">
        <v>44621</v>
      </c>
      <c r="O894" s="22" t="s">
        <v>5917</v>
      </c>
      <c r="Q894" s="6" t="s">
        <v>356</v>
      </c>
      <c r="R894" s="6" t="str">
        <f t="shared" ca="1" si="9"/>
        <v>NonCategory</v>
      </c>
    </row>
    <row r="895" spans="1:18">
      <c r="A895" s="162">
        <v>44622</v>
      </c>
      <c r="B895" s="164" t="s">
        <v>2297</v>
      </c>
      <c r="C895" s="168" t="s">
        <v>2298</v>
      </c>
      <c r="D895" s="6" t="s">
        <v>287</v>
      </c>
      <c r="E895" s="6" t="s">
        <v>150</v>
      </c>
      <c r="F895" s="80">
        <v>44621</v>
      </c>
      <c r="G895" s="6" t="s">
        <v>16</v>
      </c>
      <c r="H895" s="6" t="s">
        <v>2155</v>
      </c>
      <c r="I895" s="6">
        <v>1</v>
      </c>
      <c r="J895" s="8">
        <v>21000</v>
      </c>
      <c r="K895" s="8">
        <f t="shared" si="10"/>
        <v>240.49473202015577</v>
      </c>
      <c r="L895" s="96">
        <v>44622</v>
      </c>
      <c r="M895" s="6" t="s">
        <v>251</v>
      </c>
      <c r="N895" s="96">
        <v>44623</v>
      </c>
      <c r="O895" s="22" t="s">
        <v>5918</v>
      </c>
      <c r="Q895" s="6" t="s">
        <v>356</v>
      </c>
      <c r="R895" s="6" t="str">
        <f t="shared" ca="1" si="9"/>
        <v>NonCategory</v>
      </c>
    </row>
    <row r="896" spans="1:18">
      <c r="A896" s="162">
        <v>44623</v>
      </c>
      <c r="B896" s="164" t="s">
        <v>2299</v>
      </c>
      <c r="C896" s="168" t="s">
        <v>2300</v>
      </c>
      <c r="D896" s="6" t="s">
        <v>470</v>
      </c>
      <c r="E896" s="6" t="s">
        <v>96</v>
      </c>
      <c r="F896" s="80">
        <v>44621</v>
      </c>
      <c r="G896" s="6" t="s">
        <v>16</v>
      </c>
      <c r="H896" s="6" t="s">
        <v>2112</v>
      </c>
      <c r="I896" s="6">
        <v>1</v>
      </c>
      <c r="J896" s="8">
        <v>20000</v>
      </c>
      <c r="K896" s="8">
        <f t="shared" si="10"/>
        <v>229.04260192395787</v>
      </c>
      <c r="L896" s="96">
        <v>44623</v>
      </c>
      <c r="M896" s="6" t="s">
        <v>251</v>
      </c>
      <c r="N896" s="96">
        <v>44624</v>
      </c>
      <c r="O896" s="22" t="s">
        <v>5919</v>
      </c>
      <c r="Q896" s="6" t="s">
        <v>356</v>
      </c>
      <c r="R896" s="6" t="str">
        <f t="shared" ca="1" si="9"/>
        <v>NonCategory</v>
      </c>
    </row>
    <row r="897" spans="1:18">
      <c r="A897" s="162">
        <v>44623</v>
      </c>
      <c r="B897" s="164" t="s">
        <v>2301</v>
      </c>
      <c r="C897" s="168" t="s">
        <v>2302</v>
      </c>
      <c r="D897" s="6" t="s">
        <v>291</v>
      </c>
      <c r="E897" s="6" t="s">
        <v>150</v>
      </c>
      <c r="F897" s="80">
        <v>44621</v>
      </c>
      <c r="G897" s="6" t="s">
        <v>16</v>
      </c>
      <c r="H897" s="6" t="s">
        <v>2155</v>
      </c>
      <c r="I897" s="6">
        <v>1</v>
      </c>
      <c r="J897" s="8">
        <v>21000</v>
      </c>
      <c r="K897" s="8">
        <f t="shared" si="10"/>
        <v>240.49473202015577</v>
      </c>
      <c r="L897" s="96">
        <v>44623</v>
      </c>
      <c r="M897" s="6" t="s">
        <v>251</v>
      </c>
      <c r="N897" s="96">
        <v>44623</v>
      </c>
      <c r="O897" s="22" t="s">
        <v>5920</v>
      </c>
      <c r="Q897" s="6" t="s">
        <v>356</v>
      </c>
      <c r="R897" s="6" t="str">
        <f t="shared" ca="1" si="9"/>
        <v>NonCategory</v>
      </c>
    </row>
    <row r="898" spans="1:18">
      <c r="A898" s="162">
        <v>44623</v>
      </c>
      <c r="B898" s="164" t="s">
        <v>2303</v>
      </c>
      <c r="C898" s="168" t="s">
        <v>2304</v>
      </c>
      <c r="D898" s="6" t="s">
        <v>306</v>
      </c>
      <c r="E898" s="6" t="s">
        <v>96</v>
      </c>
      <c r="F898" s="80">
        <v>44621</v>
      </c>
      <c r="G898" s="6" t="s">
        <v>16</v>
      </c>
      <c r="H898" s="6" t="s">
        <v>2218</v>
      </c>
      <c r="I898" s="6">
        <v>1</v>
      </c>
      <c r="J898" s="8">
        <v>20000</v>
      </c>
      <c r="K898" s="8">
        <f t="shared" si="10"/>
        <v>229.04260192395787</v>
      </c>
      <c r="L898" s="96">
        <v>44623</v>
      </c>
      <c r="M898" s="6" t="s">
        <v>251</v>
      </c>
      <c r="N898" s="96">
        <v>44623</v>
      </c>
      <c r="O898" s="22" t="s">
        <v>5921</v>
      </c>
      <c r="Q898" s="6" t="s">
        <v>356</v>
      </c>
      <c r="R898" s="6" t="str">
        <f t="shared" ca="1" si="9"/>
        <v>NonCategory</v>
      </c>
    </row>
    <row r="899" spans="1:18">
      <c r="A899" s="162">
        <v>44623</v>
      </c>
      <c r="B899" s="164" t="s">
        <v>2305</v>
      </c>
      <c r="C899" s="168" t="s">
        <v>2306</v>
      </c>
      <c r="D899" s="6" t="s">
        <v>303</v>
      </c>
      <c r="E899" s="6" t="s">
        <v>151</v>
      </c>
      <c r="F899" s="80">
        <v>44621</v>
      </c>
      <c r="G899" s="6" t="s">
        <v>16</v>
      </c>
      <c r="H899" s="6" t="s">
        <v>2112</v>
      </c>
      <c r="I899" s="6">
        <v>1</v>
      </c>
      <c r="J899" s="8">
        <v>21000</v>
      </c>
      <c r="K899" s="8">
        <f t="shared" si="10"/>
        <v>240.49473202015577</v>
      </c>
      <c r="L899" s="96">
        <v>44623</v>
      </c>
      <c r="M899" s="6" t="s">
        <v>251</v>
      </c>
      <c r="N899" s="96">
        <v>44623</v>
      </c>
      <c r="O899" s="22" t="s">
        <v>5922</v>
      </c>
      <c r="Q899" s="6" t="s">
        <v>280</v>
      </c>
      <c r="R899" s="6" t="str">
        <f t="shared" ca="1" si="9"/>
        <v>NonCategory</v>
      </c>
    </row>
    <row r="900" spans="1:18">
      <c r="A900" s="162">
        <v>44623</v>
      </c>
      <c r="B900" s="164" t="s">
        <v>2307</v>
      </c>
      <c r="C900" s="168" t="s">
        <v>2308</v>
      </c>
      <c r="D900" s="6" t="s">
        <v>291</v>
      </c>
      <c r="E900" s="6" t="s">
        <v>25</v>
      </c>
      <c r="F900" s="80">
        <v>44621</v>
      </c>
      <c r="G900" s="6" t="s">
        <v>16</v>
      </c>
      <c r="H900" s="6" t="s">
        <v>2155</v>
      </c>
      <c r="I900" s="6">
        <v>1</v>
      </c>
      <c r="J900" s="8">
        <v>40000</v>
      </c>
      <c r="K900" s="8">
        <f t="shared" si="10"/>
        <v>458.08520384791575</v>
      </c>
      <c r="L900" s="96">
        <v>44623</v>
      </c>
      <c r="M900" s="6" t="s">
        <v>251</v>
      </c>
      <c r="N900" s="96">
        <v>44623</v>
      </c>
      <c r="O900" s="22" t="s">
        <v>5923</v>
      </c>
      <c r="Q900" s="6" t="s">
        <v>356</v>
      </c>
      <c r="R900" s="6" t="str">
        <f t="shared" ca="1" si="9"/>
        <v>NonCategory</v>
      </c>
    </row>
    <row r="901" spans="1:18">
      <c r="A901" s="162">
        <v>44623</v>
      </c>
      <c r="B901" s="164" t="s">
        <v>2309</v>
      </c>
      <c r="C901" s="168" t="s">
        <v>2310</v>
      </c>
      <c r="D901" s="6" t="s">
        <v>278</v>
      </c>
      <c r="E901" s="6" t="s">
        <v>25</v>
      </c>
      <c r="F901" s="80">
        <v>44621</v>
      </c>
      <c r="G901" s="6" t="s">
        <v>13</v>
      </c>
      <c r="H901" s="6" t="s">
        <v>2218</v>
      </c>
      <c r="I901" s="6">
        <v>1</v>
      </c>
      <c r="J901" s="8">
        <v>40000</v>
      </c>
      <c r="K901" s="8">
        <f t="shared" si="10"/>
        <v>458.08520384791575</v>
      </c>
      <c r="L901" s="96">
        <v>44623</v>
      </c>
      <c r="P901" s="6" t="s">
        <v>2311</v>
      </c>
      <c r="R901" s="6" t="str">
        <f t="shared" ca="1" si="9"/>
        <v>NonCategory</v>
      </c>
    </row>
    <row r="902" spans="1:18">
      <c r="A902" s="162">
        <v>44624</v>
      </c>
      <c r="B902" s="164" t="s">
        <v>2312</v>
      </c>
      <c r="C902" s="168" t="s">
        <v>2313</v>
      </c>
      <c r="D902" s="6" t="s">
        <v>303</v>
      </c>
      <c r="E902" s="6" t="s">
        <v>6</v>
      </c>
      <c r="F902" s="80">
        <v>44621</v>
      </c>
      <c r="G902" s="6" t="s">
        <v>16</v>
      </c>
      <c r="H902" s="6" t="s">
        <v>2155</v>
      </c>
      <c r="I902" s="6">
        <v>1</v>
      </c>
      <c r="J902" s="8">
        <v>42000</v>
      </c>
      <c r="K902" s="8">
        <f t="shared" si="10"/>
        <v>480.98946404031153</v>
      </c>
      <c r="L902" s="96">
        <v>44624</v>
      </c>
      <c r="M902" s="6" t="s">
        <v>251</v>
      </c>
      <c r="N902" s="96">
        <v>44624</v>
      </c>
      <c r="O902" s="22" t="s">
        <v>5924</v>
      </c>
      <c r="Q902" s="6" t="s">
        <v>356</v>
      </c>
      <c r="R902" s="6" t="str">
        <f t="shared" ca="1" si="9"/>
        <v>NonCategory</v>
      </c>
    </row>
    <row r="903" spans="1:18">
      <c r="A903" s="162">
        <v>44624</v>
      </c>
      <c r="B903" s="164" t="s">
        <v>2314</v>
      </c>
      <c r="C903" s="168" t="s">
        <v>2315</v>
      </c>
      <c r="D903" s="6" t="s">
        <v>287</v>
      </c>
      <c r="E903" s="6" t="s">
        <v>151</v>
      </c>
      <c r="F903" s="80">
        <v>44621</v>
      </c>
      <c r="G903" s="6" t="s">
        <v>16</v>
      </c>
      <c r="H903" s="6" t="s">
        <v>2218</v>
      </c>
      <c r="I903" s="6">
        <v>1</v>
      </c>
      <c r="J903" s="8">
        <v>21000</v>
      </c>
      <c r="K903" s="8">
        <f t="shared" si="10"/>
        <v>240.49473202015577</v>
      </c>
      <c r="L903" s="96">
        <v>44624</v>
      </c>
      <c r="M903" s="6" t="s">
        <v>251</v>
      </c>
      <c r="N903" s="96">
        <v>44624</v>
      </c>
      <c r="O903" s="22" t="s">
        <v>5925</v>
      </c>
      <c r="Q903" s="6" t="s">
        <v>356</v>
      </c>
      <c r="R903" s="6" t="str">
        <f t="shared" ca="1" si="9"/>
        <v>NonCategory</v>
      </c>
    </row>
    <row r="904" spans="1:18">
      <c r="A904" s="162">
        <v>44624</v>
      </c>
      <c r="B904" s="164" t="s">
        <v>2316</v>
      </c>
      <c r="C904" s="168" t="s">
        <v>2317</v>
      </c>
      <c r="D904" s="6" t="s">
        <v>303</v>
      </c>
      <c r="E904" s="6" t="s">
        <v>25</v>
      </c>
      <c r="F904" s="80">
        <v>44621</v>
      </c>
      <c r="G904" s="6" t="s">
        <v>16</v>
      </c>
      <c r="H904" s="6" t="s">
        <v>2218</v>
      </c>
      <c r="I904" s="6">
        <v>1</v>
      </c>
      <c r="J904" s="8">
        <v>40000</v>
      </c>
      <c r="K904" s="8">
        <f t="shared" si="10"/>
        <v>458.08520384791575</v>
      </c>
      <c r="L904" s="96">
        <v>44624</v>
      </c>
      <c r="M904" s="6" t="s">
        <v>251</v>
      </c>
      <c r="N904" s="96">
        <v>44625</v>
      </c>
      <c r="O904" s="22" t="s">
        <v>5926</v>
      </c>
      <c r="Q904" s="6" t="s">
        <v>356</v>
      </c>
      <c r="R904" s="6" t="str">
        <f t="shared" ca="1" si="9"/>
        <v>NonCategory</v>
      </c>
    </row>
    <row r="905" spans="1:18">
      <c r="A905" s="162">
        <v>44625</v>
      </c>
      <c r="B905" s="164" t="s">
        <v>2318</v>
      </c>
      <c r="C905" s="168" t="s">
        <v>2319</v>
      </c>
      <c r="D905" s="6" t="s">
        <v>287</v>
      </c>
      <c r="E905" s="6" t="s">
        <v>150</v>
      </c>
      <c r="F905" s="80">
        <v>44621</v>
      </c>
      <c r="G905" s="6" t="s">
        <v>16</v>
      </c>
      <c r="H905" s="6" t="s">
        <v>2155</v>
      </c>
      <c r="I905" s="6">
        <v>1</v>
      </c>
      <c r="J905" s="8">
        <v>21000</v>
      </c>
      <c r="K905" s="8">
        <f t="shared" si="10"/>
        <v>240.49473202015577</v>
      </c>
      <c r="L905" s="96">
        <v>44625</v>
      </c>
      <c r="M905" s="6" t="s">
        <v>251</v>
      </c>
      <c r="N905" s="96">
        <v>44625</v>
      </c>
      <c r="O905" s="22" t="s">
        <v>5927</v>
      </c>
      <c r="Q905" s="6" t="s">
        <v>356</v>
      </c>
      <c r="R905" s="6" t="str">
        <f t="shared" ca="1" si="9"/>
        <v>NonCategory</v>
      </c>
    </row>
    <row r="906" spans="1:18">
      <c r="A906" s="162">
        <v>44625</v>
      </c>
      <c r="B906" s="164" t="s">
        <v>2320</v>
      </c>
      <c r="C906" s="168" t="s">
        <v>2321</v>
      </c>
      <c r="D906" s="6" t="s">
        <v>303</v>
      </c>
      <c r="E906" s="6" t="s">
        <v>25</v>
      </c>
      <c r="F906" s="80">
        <v>44621</v>
      </c>
      <c r="G906" s="6" t="s">
        <v>16</v>
      </c>
      <c r="H906" s="6" t="s">
        <v>2218</v>
      </c>
      <c r="I906" s="6">
        <v>1</v>
      </c>
      <c r="J906" s="8">
        <v>42000</v>
      </c>
      <c r="K906" s="8">
        <f t="shared" si="10"/>
        <v>480.98946404031153</v>
      </c>
      <c r="L906" s="96">
        <v>44625</v>
      </c>
      <c r="M906" s="6" t="s">
        <v>251</v>
      </c>
      <c r="N906" s="96">
        <v>44625</v>
      </c>
      <c r="O906" s="22" t="s">
        <v>5928</v>
      </c>
      <c r="Q906" s="6" t="s">
        <v>356</v>
      </c>
      <c r="R906" s="6" t="str">
        <f t="shared" ca="1" si="9"/>
        <v>NonCategory</v>
      </c>
    </row>
    <row r="907" spans="1:18">
      <c r="A907" s="162">
        <v>44625</v>
      </c>
      <c r="B907" s="164" t="s">
        <v>2322</v>
      </c>
      <c r="C907" s="168" t="s">
        <v>2323</v>
      </c>
      <c r="D907" s="6" t="s">
        <v>319</v>
      </c>
      <c r="E907" s="6" t="s">
        <v>150</v>
      </c>
      <c r="F907" s="80">
        <v>44621</v>
      </c>
      <c r="G907" s="6" t="s">
        <v>16</v>
      </c>
      <c r="H907" s="6" t="s">
        <v>2149</v>
      </c>
      <c r="I907" s="6">
        <v>1</v>
      </c>
      <c r="J907" s="8">
        <v>21000</v>
      </c>
      <c r="K907" s="8">
        <f t="shared" si="10"/>
        <v>240.49473202015577</v>
      </c>
      <c r="L907" s="96">
        <v>44625</v>
      </c>
      <c r="M907" s="6" t="s">
        <v>251</v>
      </c>
      <c r="N907" s="96">
        <v>44625</v>
      </c>
      <c r="O907" s="22" t="s">
        <v>5929</v>
      </c>
      <c r="Q907" s="6" t="s">
        <v>356</v>
      </c>
      <c r="R907" s="6" t="str">
        <f t="shared" ca="1" si="9"/>
        <v>NonCategory</v>
      </c>
    </row>
    <row r="908" spans="1:18">
      <c r="A908" s="162">
        <v>44627</v>
      </c>
      <c r="B908" s="164" t="s">
        <v>2324</v>
      </c>
      <c r="C908" s="168" t="s">
        <v>2325</v>
      </c>
      <c r="D908" s="6" t="s">
        <v>278</v>
      </c>
      <c r="E908" s="6" t="s">
        <v>538</v>
      </c>
      <c r="F908" s="80">
        <v>44621</v>
      </c>
      <c r="G908" s="6" t="s">
        <v>16</v>
      </c>
      <c r="H908" s="96">
        <v>44632</v>
      </c>
      <c r="I908" s="6">
        <v>1</v>
      </c>
      <c r="J908" s="8">
        <v>11000</v>
      </c>
      <c r="K908" s="8">
        <f t="shared" si="10"/>
        <v>125.97343105817684</v>
      </c>
      <c r="L908" s="96">
        <v>44627</v>
      </c>
      <c r="M908" s="6" t="s">
        <v>251</v>
      </c>
      <c r="N908" s="96">
        <v>44627</v>
      </c>
      <c r="O908" s="22" t="s">
        <v>5930</v>
      </c>
      <c r="P908" s="6" t="s">
        <v>2326</v>
      </c>
      <c r="Q908" s="6" t="s">
        <v>356</v>
      </c>
      <c r="R908" s="6" t="str">
        <f t="shared" ca="1" si="9"/>
        <v>NonCategory</v>
      </c>
    </row>
    <row r="909" spans="1:18">
      <c r="A909" s="162">
        <v>44627</v>
      </c>
      <c r="B909" s="164" t="s">
        <v>2327</v>
      </c>
      <c r="C909" s="168" t="s">
        <v>2328</v>
      </c>
      <c r="D909" s="6" t="s">
        <v>278</v>
      </c>
      <c r="E909" s="6" t="s">
        <v>97</v>
      </c>
      <c r="F909" s="80">
        <v>44621</v>
      </c>
      <c r="G909" s="6" t="s">
        <v>16</v>
      </c>
      <c r="H909" s="6" t="s">
        <v>2329</v>
      </c>
      <c r="I909" s="6">
        <v>1</v>
      </c>
      <c r="J909" s="8">
        <v>20000</v>
      </c>
      <c r="K909" s="8">
        <f t="shared" si="10"/>
        <v>229.04260192395787</v>
      </c>
      <c r="L909" s="96">
        <v>44627</v>
      </c>
      <c r="M909" s="6" t="s">
        <v>251</v>
      </c>
      <c r="N909" s="96">
        <v>44627</v>
      </c>
      <c r="O909" s="22" t="s">
        <v>5931</v>
      </c>
      <c r="P909" s="6" t="s">
        <v>2181</v>
      </c>
      <c r="Q909" s="6" t="s">
        <v>356</v>
      </c>
      <c r="R909" s="6" t="str">
        <f t="shared" ca="1" si="9"/>
        <v>NonCategory</v>
      </c>
    </row>
    <row r="910" spans="1:18">
      <c r="A910" s="162">
        <v>44629</v>
      </c>
      <c r="B910" s="164" t="s">
        <v>2330</v>
      </c>
      <c r="C910" s="168" t="s">
        <v>2331</v>
      </c>
      <c r="D910" s="6" t="s">
        <v>278</v>
      </c>
      <c r="E910" s="6" t="s">
        <v>150</v>
      </c>
      <c r="F910" s="80">
        <v>44621</v>
      </c>
      <c r="G910" s="6" t="s">
        <v>16</v>
      </c>
      <c r="H910" s="6" t="s">
        <v>2218</v>
      </c>
      <c r="I910" s="6">
        <v>1</v>
      </c>
      <c r="J910" s="8">
        <v>21000</v>
      </c>
      <c r="K910" s="8">
        <f t="shared" si="10"/>
        <v>240.49473202015577</v>
      </c>
      <c r="L910" s="96">
        <v>44629</v>
      </c>
      <c r="M910" s="6" t="s">
        <v>251</v>
      </c>
      <c r="N910" s="96">
        <v>44629</v>
      </c>
      <c r="O910" s="22" t="s">
        <v>5932</v>
      </c>
      <c r="P910" s="6" t="s">
        <v>2332</v>
      </c>
      <c r="Q910" s="6" t="s">
        <v>356</v>
      </c>
      <c r="R910" s="6" t="str">
        <f t="shared" ca="1" si="9"/>
        <v>NonCategory</v>
      </c>
    </row>
    <row r="911" spans="1:18">
      <c r="A911" s="162">
        <v>44630</v>
      </c>
      <c r="B911" s="164" t="s">
        <v>1037</v>
      </c>
      <c r="C911" s="168" t="s">
        <v>1038</v>
      </c>
      <c r="D911" s="6" t="s">
        <v>470</v>
      </c>
      <c r="E911" s="6" t="s">
        <v>97</v>
      </c>
      <c r="F911" s="80">
        <v>44621</v>
      </c>
      <c r="G911" s="6" t="s">
        <v>16</v>
      </c>
      <c r="H911" s="6" t="s">
        <v>2218</v>
      </c>
      <c r="I911" s="6">
        <v>1</v>
      </c>
      <c r="J911" s="8">
        <v>20000</v>
      </c>
      <c r="K911" s="8">
        <f t="shared" si="10"/>
        <v>229.04260192395787</v>
      </c>
      <c r="L911" s="96">
        <v>44630</v>
      </c>
      <c r="M911" s="6" t="s">
        <v>251</v>
      </c>
      <c r="N911" s="96">
        <v>44630</v>
      </c>
      <c r="O911" s="22" t="s">
        <v>5933</v>
      </c>
      <c r="Q911" s="6" t="s">
        <v>356</v>
      </c>
      <c r="R911" s="6" t="str">
        <f t="shared" ca="1" si="9"/>
        <v>NonCategory</v>
      </c>
    </row>
    <row r="912" spans="1:18">
      <c r="A912" s="162">
        <v>44631</v>
      </c>
      <c r="B912" s="164" t="s">
        <v>2333</v>
      </c>
      <c r="C912" s="168" t="s">
        <v>2334</v>
      </c>
      <c r="D912" s="6" t="s">
        <v>303</v>
      </c>
      <c r="E912" s="6" t="s">
        <v>150</v>
      </c>
      <c r="F912" s="80">
        <v>44621</v>
      </c>
      <c r="G912" s="6" t="s">
        <v>16</v>
      </c>
      <c r="H912" s="6" t="s">
        <v>2218</v>
      </c>
      <c r="I912" s="6">
        <v>1</v>
      </c>
      <c r="J912" s="8">
        <v>20500</v>
      </c>
      <c r="K912" s="8">
        <f t="shared" si="10"/>
        <v>234.76866697205682</v>
      </c>
      <c r="L912" s="96">
        <v>44631</v>
      </c>
      <c r="M912" s="6" t="s">
        <v>252</v>
      </c>
      <c r="N912" s="96">
        <v>44631</v>
      </c>
      <c r="O912" s="22" t="s">
        <v>5934</v>
      </c>
      <c r="Q912" s="6" t="s">
        <v>356</v>
      </c>
      <c r="R912" s="6" t="str">
        <f t="shared" ca="1" si="9"/>
        <v>NonCategory</v>
      </c>
    </row>
    <row r="913" spans="1:18">
      <c r="A913" s="162">
        <v>44632</v>
      </c>
      <c r="B913" s="164" t="s">
        <v>2335</v>
      </c>
      <c r="C913" s="168" t="s">
        <v>2336</v>
      </c>
      <c r="D913" s="6" t="s">
        <v>306</v>
      </c>
      <c r="E913" s="6" t="s">
        <v>150</v>
      </c>
      <c r="F913" s="80">
        <v>44621</v>
      </c>
      <c r="G913" s="6" t="s">
        <v>16</v>
      </c>
      <c r="H913" s="6" t="s">
        <v>2112</v>
      </c>
      <c r="I913" s="6">
        <v>1</v>
      </c>
      <c r="J913" s="8">
        <v>21000</v>
      </c>
      <c r="K913" s="8">
        <f t="shared" si="10"/>
        <v>240.49473202015577</v>
      </c>
      <c r="L913" s="96">
        <v>44632</v>
      </c>
      <c r="M913" s="6" t="s">
        <v>252</v>
      </c>
      <c r="N913" s="96">
        <v>44632</v>
      </c>
      <c r="O913" s="22" t="s">
        <v>5935</v>
      </c>
      <c r="Q913" s="6" t="s">
        <v>280</v>
      </c>
      <c r="R913" s="6" t="str">
        <f t="shared" ca="1" si="9"/>
        <v>NonCategory</v>
      </c>
    </row>
    <row r="914" spans="1:18">
      <c r="A914" s="162">
        <v>44632</v>
      </c>
      <c r="B914" s="164" t="s">
        <v>2337</v>
      </c>
      <c r="C914" s="168" t="s">
        <v>2338</v>
      </c>
      <c r="D914" s="6" t="s">
        <v>297</v>
      </c>
      <c r="E914" s="6" t="s">
        <v>96</v>
      </c>
      <c r="F914" s="80">
        <v>44621</v>
      </c>
      <c r="G914" s="6" t="s">
        <v>16</v>
      </c>
      <c r="H914" s="6" t="s">
        <v>2339</v>
      </c>
      <c r="I914" s="6">
        <v>1</v>
      </c>
      <c r="J914" s="8">
        <v>20000</v>
      </c>
      <c r="K914" s="8">
        <f t="shared" si="10"/>
        <v>229.04260192395787</v>
      </c>
      <c r="L914" s="96">
        <v>44632</v>
      </c>
      <c r="M914" s="6" t="s">
        <v>252</v>
      </c>
      <c r="N914" s="96">
        <v>44632</v>
      </c>
      <c r="O914" s="22" t="s">
        <v>5936</v>
      </c>
      <c r="Q914" s="6" t="s">
        <v>356</v>
      </c>
      <c r="R914" s="6" t="str">
        <f t="shared" ca="1" si="9"/>
        <v>NonCategory</v>
      </c>
    </row>
    <row r="915" spans="1:18">
      <c r="A915" s="162">
        <v>44634</v>
      </c>
      <c r="B915" s="164" t="s">
        <v>2340</v>
      </c>
      <c r="C915" s="168" t="s">
        <v>2341</v>
      </c>
      <c r="D915" s="6" t="s">
        <v>319</v>
      </c>
      <c r="E915" s="6" t="s">
        <v>25</v>
      </c>
      <c r="F915" s="80">
        <v>44621</v>
      </c>
      <c r="G915" s="6" t="s">
        <v>16</v>
      </c>
      <c r="H915" s="6" t="s">
        <v>2149</v>
      </c>
      <c r="I915" s="6">
        <v>1</v>
      </c>
      <c r="J915" s="8">
        <v>42000</v>
      </c>
      <c r="K915" s="8">
        <f t="shared" si="10"/>
        <v>480.98946404031153</v>
      </c>
      <c r="L915" s="96">
        <v>44634</v>
      </c>
      <c r="M915" s="6" t="s">
        <v>252</v>
      </c>
      <c r="N915" s="96">
        <v>44634</v>
      </c>
      <c r="O915" s="22" t="s">
        <v>5937</v>
      </c>
      <c r="Q915" s="6" t="s">
        <v>356</v>
      </c>
      <c r="R915" s="6" t="str">
        <f t="shared" ca="1" si="9"/>
        <v>NonCategory</v>
      </c>
    </row>
    <row r="916" spans="1:18">
      <c r="A916" s="162">
        <v>44634</v>
      </c>
      <c r="B916" s="164" t="s">
        <v>76</v>
      </c>
      <c r="C916" s="168" t="s">
        <v>85</v>
      </c>
      <c r="D916" s="6" t="s">
        <v>319</v>
      </c>
      <c r="E916" s="6" t="s">
        <v>150</v>
      </c>
      <c r="F916" s="80">
        <v>44621</v>
      </c>
      <c r="G916" s="6" t="s">
        <v>16</v>
      </c>
      <c r="H916" s="6" t="s">
        <v>2112</v>
      </c>
      <c r="I916" s="6">
        <v>1</v>
      </c>
      <c r="J916" s="8">
        <v>21000</v>
      </c>
      <c r="K916" s="8">
        <f t="shared" si="10"/>
        <v>240.49473202015577</v>
      </c>
      <c r="L916" s="96">
        <v>44634</v>
      </c>
      <c r="M916" s="6" t="s">
        <v>252</v>
      </c>
      <c r="N916" s="96">
        <v>44634</v>
      </c>
      <c r="O916" s="22" t="s">
        <v>5938</v>
      </c>
      <c r="Q916" s="6" t="s">
        <v>280</v>
      </c>
      <c r="R916" s="6" t="str">
        <f t="shared" ca="1" si="9"/>
        <v>NonCategory</v>
      </c>
    </row>
    <row r="917" spans="1:18">
      <c r="A917" s="162">
        <v>44635</v>
      </c>
      <c r="B917" s="164" t="s">
        <v>2342</v>
      </c>
      <c r="C917" s="168" t="s">
        <v>2343</v>
      </c>
      <c r="D917" s="6" t="s">
        <v>319</v>
      </c>
      <c r="E917" s="6" t="s">
        <v>151</v>
      </c>
      <c r="F917" s="80">
        <v>44621</v>
      </c>
      <c r="G917" s="6" t="s">
        <v>16</v>
      </c>
      <c r="H917" s="6" t="s">
        <v>2344</v>
      </c>
      <c r="I917" s="6">
        <v>1</v>
      </c>
      <c r="J917" s="8">
        <v>21000</v>
      </c>
      <c r="K917" s="8">
        <f t="shared" si="10"/>
        <v>240.49473202015577</v>
      </c>
      <c r="L917" s="96">
        <v>44635</v>
      </c>
      <c r="M917" s="6" t="s">
        <v>252</v>
      </c>
      <c r="N917" s="96">
        <v>44636</v>
      </c>
      <c r="O917" s="22" t="s">
        <v>5939</v>
      </c>
      <c r="Q917" s="6" t="s">
        <v>356</v>
      </c>
      <c r="R917" s="6" t="str">
        <f t="shared" ca="1" si="9"/>
        <v>NonCategory</v>
      </c>
    </row>
    <row r="918" spans="1:18">
      <c r="A918" s="162">
        <v>44635</v>
      </c>
      <c r="B918" s="164" t="s">
        <v>2345</v>
      </c>
      <c r="C918" s="168" t="s">
        <v>2346</v>
      </c>
      <c r="D918" s="6" t="s">
        <v>303</v>
      </c>
      <c r="E918" s="6" t="s">
        <v>150</v>
      </c>
      <c r="F918" s="80">
        <v>44621</v>
      </c>
      <c r="G918" s="6" t="s">
        <v>16</v>
      </c>
      <c r="H918" s="6" t="s">
        <v>2112</v>
      </c>
      <c r="I918" s="6">
        <v>1</v>
      </c>
      <c r="J918" s="8">
        <v>21000</v>
      </c>
      <c r="K918" s="8">
        <f t="shared" si="10"/>
        <v>240.49473202015577</v>
      </c>
      <c r="L918" s="96">
        <v>44635</v>
      </c>
      <c r="M918" s="6" t="s">
        <v>252</v>
      </c>
      <c r="N918" s="96">
        <v>44635</v>
      </c>
      <c r="O918" s="22" t="s">
        <v>5940</v>
      </c>
      <c r="Q918" s="6" t="s">
        <v>356</v>
      </c>
      <c r="R918" s="6" t="str">
        <f t="shared" ca="1" si="9"/>
        <v>NonCategory</v>
      </c>
    </row>
    <row r="919" spans="1:18">
      <c r="A919" s="162">
        <v>44636</v>
      </c>
      <c r="B919" s="164" t="s">
        <v>2347</v>
      </c>
      <c r="C919" s="168" t="s">
        <v>2348</v>
      </c>
      <c r="D919" s="6" t="s">
        <v>303</v>
      </c>
      <c r="E919" s="6" t="s">
        <v>7</v>
      </c>
      <c r="F919" s="80">
        <v>44621</v>
      </c>
      <c r="G919" s="6" t="s">
        <v>16</v>
      </c>
      <c r="H919" s="6" t="s">
        <v>2349</v>
      </c>
      <c r="I919" s="6">
        <v>1</v>
      </c>
      <c r="J919" s="8">
        <v>42000</v>
      </c>
      <c r="K919" s="8">
        <f t="shared" si="10"/>
        <v>480.98946404031153</v>
      </c>
      <c r="L919" s="96">
        <v>44636</v>
      </c>
      <c r="M919" s="6" t="s">
        <v>252</v>
      </c>
      <c r="N919" s="96">
        <v>44636</v>
      </c>
      <c r="O919" s="22" t="s">
        <v>5941</v>
      </c>
      <c r="Q919" s="6" t="s">
        <v>356</v>
      </c>
      <c r="R919" s="6" t="str">
        <f t="shared" ca="1" si="9"/>
        <v>NonCategory</v>
      </c>
    </row>
    <row r="920" spans="1:18">
      <c r="A920" s="162">
        <v>44636</v>
      </c>
      <c r="B920" s="164" t="s">
        <v>2350</v>
      </c>
      <c r="C920" s="168" t="s">
        <v>2351</v>
      </c>
      <c r="D920" s="6" t="s">
        <v>287</v>
      </c>
      <c r="E920" s="6" t="s">
        <v>25</v>
      </c>
      <c r="F920" s="80">
        <v>44621</v>
      </c>
      <c r="G920" s="6" t="s">
        <v>16</v>
      </c>
      <c r="H920" s="6" t="s">
        <v>2344</v>
      </c>
      <c r="I920" s="6">
        <v>1</v>
      </c>
      <c r="J920" s="8">
        <v>42000</v>
      </c>
      <c r="K920" s="8">
        <f t="shared" si="10"/>
        <v>480.98946404031153</v>
      </c>
      <c r="L920" s="96">
        <v>44636</v>
      </c>
      <c r="M920" s="6" t="s">
        <v>252</v>
      </c>
      <c r="N920" s="96">
        <v>44636</v>
      </c>
      <c r="O920" s="22" t="s">
        <v>5942</v>
      </c>
      <c r="Q920" s="6" t="s">
        <v>356</v>
      </c>
      <c r="R920" s="6" t="str">
        <f t="shared" ca="1" si="9"/>
        <v>NonCategory</v>
      </c>
    </row>
    <row r="921" spans="1:18">
      <c r="A921" s="162">
        <v>44636</v>
      </c>
      <c r="B921" s="164" t="s">
        <v>2352</v>
      </c>
      <c r="C921" s="168" t="s">
        <v>2353</v>
      </c>
      <c r="D921" s="6" t="s">
        <v>291</v>
      </c>
      <c r="E921" s="6" t="s">
        <v>150</v>
      </c>
      <c r="F921" s="80">
        <v>44621</v>
      </c>
      <c r="G921" s="6" t="s">
        <v>16</v>
      </c>
      <c r="H921" s="6" t="s">
        <v>2149</v>
      </c>
      <c r="I921" s="6">
        <v>1</v>
      </c>
      <c r="J921" s="8">
        <v>21000</v>
      </c>
      <c r="K921" s="8">
        <f t="shared" si="10"/>
        <v>240.49473202015577</v>
      </c>
      <c r="L921" s="96">
        <v>44636</v>
      </c>
      <c r="M921" s="6" t="s">
        <v>252</v>
      </c>
      <c r="N921" s="96">
        <v>44636</v>
      </c>
      <c r="O921" s="22" t="s">
        <v>5943</v>
      </c>
      <c r="Q921" s="6" t="s">
        <v>356</v>
      </c>
      <c r="R921" s="6" t="str">
        <f t="shared" ca="1" si="9"/>
        <v>NonCategory</v>
      </c>
    </row>
    <row r="922" spans="1:18">
      <c r="A922" s="162">
        <v>44637</v>
      </c>
      <c r="B922" s="164" t="s">
        <v>2354</v>
      </c>
      <c r="C922" s="168" t="s">
        <v>2355</v>
      </c>
      <c r="D922" s="6" t="s">
        <v>278</v>
      </c>
      <c r="E922" s="6" t="s">
        <v>150</v>
      </c>
      <c r="F922" s="80">
        <v>44621</v>
      </c>
      <c r="G922" s="6" t="s">
        <v>16</v>
      </c>
      <c r="H922" s="6" t="s">
        <v>2149</v>
      </c>
      <c r="I922" s="6">
        <v>1</v>
      </c>
      <c r="J922" s="8">
        <v>20000</v>
      </c>
      <c r="K922" s="8">
        <f t="shared" si="10"/>
        <v>229.04260192395787</v>
      </c>
      <c r="L922" s="96">
        <v>44637</v>
      </c>
      <c r="M922" s="6" t="s">
        <v>252</v>
      </c>
      <c r="N922" s="96">
        <v>44637</v>
      </c>
      <c r="O922" s="22" t="s">
        <v>5944</v>
      </c>
      <c r="P922" s="6" t="s">
        <v>2356</v>
      </c>
      <c r="Q922" s="6" t="s">
        <v>356</v>
      </c>
      <c r="R922" s="6" t="str">
        <f t="shared" ca="1" si="9"/>
        <v>NonCategory</v>
      </c>
    </row>
    <row r="923" spans="1:18">
      <c r="A923" s="162">
        <v>44637</v>
      </c>
      <c r="B923" s="164" t="s">
        <v>2357</v>
      </c>
      <c r="C923" s="168" t="s">
        <v>2358</v>
      </c>
      <c r="D923" s="6" t="s">
        <v>287</v>
      </c>
      <c r="E923" s="6" t="s">
        <v>150</v>
      </c>
      <c r="F923" s="80">
        <v>44621</v>
      </c>
      <c r="G923" s="6" t="s">
        <v>16</v>
      </c>
      <c r="H923" s="6" t="s">
        <v>2112</v>
      </c>
      <c r="I923" s="6">
        <v>1</v>
      </c>
      <c r="J923" s="8">
        <v>21000</v>
      </c>
      <c r="K923" s="8">
        <f t="shared" si="10"/>
        <v>240.49473202015577</v>
      </c>
      <c r="L923" s="96">
        <v>44637</v>
      </c>
      <c r="M923" s="6" t="s">
        <v>252</v>
      </c>
      <c r="N923" s="96">
        <v>44637</v>
      </c>
      <c r="O923" s="22" t="s">
        <v>5945</v>
      </c>
      <c r="Q923" s="6" t="s">
        <v>280</v>
      </c>
      <c r="R923" s="6" t="str">
        <f t="shared" ca="1" si="9"/>
        <v>NonCategory</v>
      </c>
    </row>
    <row r="924" spans="1:18">
      <c r="A924" s="162">
        <v>44638</v>
      </c>
      <c r="B924" s="164" t="s">
        <v>2359</v>
      </c>
      <c r="C924" s="168" t="s">
        <v>2360</v>
      </c>
      <c r="D924" s="6" t="s">
        <v>278</v>
      </c>
      <c r="E924" s="6" t="s">
        <v>6</v>
      </c>
      <c r="F924" s="80">
        <v>44621</v>
      </c>
      <c r="G924" s="6" t="s">
        <v>16</v>
      </c>
      <c r="H924" s="6" t="s">
        <v>2344</v>
      </c>
      <c r="I924" s="6">
        <v>1</v>
      </c>
      <c r="J924" s="8">
        <v>40000</v>
      </c>
      <c r="K924" s="8">
        <f t="shared" si="10"/>
        <v>458.08520384791575</v>
      </c>
      <c r="L924" s="96">
        <v>44638</v>
      </c>
      <c r="M924" s="6" t="s">
        <v>252</v>
      </c>
      <c r="N924" s="96">
        <v>44638</v>
      </c>
      <c r="O924" s="22" t="s">
        <v>5946</v>
      </c>
      <c r="P924" s="6" t="s">
        <v>2361</v>
      </c>
      <c r="Q924" s="6" t="s">
        <v>356</v>
      </c>
      <c r="R924" s="6" t="str">
        <f t="shared" ca="1" si="9"/>
        <v>NonCategory</v>
      </c>
    </row>
    <row r="925" spans="1:18">
      <c r="A925" s="162">
        <v>44638</v>
      </c>
      <c r="B925" s="164" t="s">
        <v>2362</v>
      </c>
      <c r="C925" s="168" t="s">
        <v>2363</v>
      </c>
      <c r="D925" s="6" t="s">
        <v>287</v>
      </c>
      <c r="E925" s="6" t="s">
        <v>2364</v>
      </c>
      <c r="F925" s="80">
        <v>44621</v>
      </c>
      <c r="G925" s="6" t="s">
        <v>16</v>
      </c>
      <c r="H925" s="96">
        <v>44639</v>
      </c>
      <c r="I925" s="6">
        <v>1</v>
      </c>
      <c r="J925" s="8">
        <v>14000</v>
      </c>
      <c r="K925" s="8">
        <f t="shared" si="10"/>
        <v>160.3298213467705</v>
      </c>
      <c r="L925" s="96">
        <v>44638</v>
      </c>
      <c r="M925" s="6" t="s">
        <v>252</v>
      </c>
      <c r="N925" s="96">
        <v>44638</v>
      </c>
      <c r="O925" s="22" t="s">
        <v>5947</v>
      </c>
      <c r="Q925" s="6" t="s">
        <v>356</v>
      </c>
      <c r="R925" s="6" t="str">
        <f t="shared" ca="1" si="9"/>
        <v>NonCategory</v>
      </c>
    </row>
    <row r="926" spans="1:18">
      <c r="A926" s="162">
        <v>44642</v>
      </c>
      <c r="B926" s="164" t="s">
        <v>2365</v>
      </c>
      <c r="C926" s="168" t="s">
        <v>2366</v>
      </c>
      <c r="D926" s="6" t="s">
        <v>297</v>
      </c>
      <c r="E926" s="6" t="s">
        <v>150</v>
      </c>
      <c r="F926" s="80">
        <v>44621</v>
      </c>
      <c r="G926" s="6" t="s">
        <v>16</v>
      </c>
      <c r="H926" s="6" t="s">
        <v>2344</v>
      </c>
      <c r="I926" s="6">
        <v>1</v>
      </c>
      <c r="J926" s="8">
        <v>21000</v>
      </c>
      <c r="K926" s="8">
        <f t="shared" si="10"/>
        <v>240.49473202015577</v>
      </c>
      <c r="L926" s="96">
        <v>44642</v>
      </c>
      <c r="M926" s="6" t="s">
        <v>253</v>
      </c>
      <c r="N926" s="96">
        <v>44642</v>
      </c>
      <c r="O926" s="22" t="s">
        <v>5948</v>
      </c>
      <c r="Q926" s="6" t="s">
        <v>356</v>
      </c>
      <c r="R926" s="6" t="str">
        <f t="shared" ca="1" si="9"/>
        <v>NonCategory</v>
      </c>
    </row>
    <row r="927" spans="1:18">
      <c r="A927" s="162">
        <v>44643</v>
      </c>
      <c r="B927" s="164" t="s">
        <v>1375</v>
      </c>
      <c r="C927" s="168" t="s">
        <v>2367</v>
      </c>
      <c r="D927" s="6" t="s">
        <v>287</v>
      </c>
      <c r="E927" s="6" t="s">
        <v>96</v>
      </c>
      <c r="F927" s="80">
        <v>44621</v>
      </c>
      <c r="G927" s="6" t="s">
        <v>16</v>
      </c>
      <c r="H927" s="6" t="s">
        <v>2344</v>
      </c>
      <c r="I927" s="6">
        <v>1</v>
      </c>
      <c r="J927" s="8">
        <v>20000</v>
      </c>
      <c r="K927" s="8">
        <f t="shared" si="10"/>
        <v>229.04260192395787</v>
      </c>
      <c r="L927" s="96">
        <v>44643</v>
      </c>
      <c r="M927" s="6" t="s">
        <v>253</v>
      </c>
      <c r="N927" s="96">
        <v>44643</v>
      </c>
      <c r="O927" s="22" t="s">
        <v>5949</v>
      </c>
      <c r="Q927" s="6" t="s">
        <v>356</v>
      </c>
      <c r="R927" s="6" t="str">
        <f t="shared" ca="1" si="9"/>
        <v>NonCategory</v>
      </c>
    </row>
    <row r="928" spans="1:18">
      <c r="A928" s="162">
        <v>44643</v>
      </c>
      <c r="B928" s="164" t="s">
        <v>2235</v>
      </c>
      <c r="C928" s="168" t="s">
        <v>2368</v>
      </c>
      <c r="D928" s="6" t="s">
        <v>278</v>
      </c>
      <c r="E928" s="6" t="s">
        <v>150</v>
      </c>
      <c r="F928" s="80">
        <v>44621</v>
      </c>
      <c r="G928" s="6" t="s">
        <v>16</v>
      </c>
      <c r="H928" s="6" t="s">
        <v>2178</v>
      </c>
      <c r="I928" s="6">
        <v>1</v>
      </c>
      <c r="J928" s="8">
        <v>21000</v>
      </c>
      <c r="K928" s="8">
        <f t="shared" si="10"/>
        <v>240.49473202015577</v>
      </c>
      <c r="L928" s="96">
        <v>44643</v>
      </c>
      <c r="M928" s="6" t="s">
        <v>253</v>
      </c>
      <c r="N928" s="96">
        <v>44643</v>
      </c>
      <c r="O928" s="22" t="s">
        <v>5950</v>
      </c>
      <c r="P928" s="6" t="s">
        <v>2369</v>
      </c>
      <c r="Q928" s="6" t="s">
        <v>356</v>
      </c>
      <c r="R928" s="6" t="str">
        <f t="shared" ca="1" si="9"/>
        <v>NonCategory</v>
      </c>
    </row>
    <row r="929" spans="1:18">
      <c r="A929" s="162">
        <v>44644</v>
      </c>
      <c r="B929" s="164" t="s">
        <v>2370</v>
      </c>
      <c r="C929" s="168" t="s">
        <v>2371</v>
      </c>
      <c r="D929" s="6" t="s">
        <v>278</v>
      </c>
      <c r="E929" s="6" t="s">
        <v>150</v>
      </c>
      <c r="F929" s="80">
        <v>44621</v>
      </c>
      <c r="G929" s="6" t="s">
        <v>13</v>
      </c>
      <c r="H929" s="6" t="s">
        <v>2372</v>
      </c>
      <c r="I929" s="6">
        <v>1</v>
      </c>
      <c r="J929" s="8">
        <v>20500</v>
      </c>
      <c r="K929" s="8">
        <f t="shared" si="10"/>
        <v>234.76866697205682</v>
      </c>
      <c r="L929" s="96">
        <v>44644</v>
      </c>
      <c r="R929" s="6" t="str">
        <f t="shared" ca="1" si="9"/>
        <v>NonCategory</v>
      </c>
    </row>
    <row r="930" spans="1:18">
      <c r="A930" s="162">
        <v>44644</v>
      </c>
      <c r="B930" s="164" t="s">
        <v>2373</v>
      </c>
      <c r="C930" s="168" t="s">
        <v>2374</v>
      </c>
      <c r="D930" s="6" t="s">
        <v>278</v>
      </c>
      <c r="E930" s="6" t="s">
        <v>2375</v>
      </c>
      <c r="F930" s="80">
        <v>44621</v>
      </c>
      <c r="G930" s="6" t="s">
        <v>16</v>
      </c>
      <c r="H930" s="96">
        <v>44644</v>
      </c>
      <c r="I930" s="6">
        <v>1</v>
      </c>
      <c r="J930" s="8">
        <v>89250</v>
      </c>
      <c r="K930" s="8">
        <f t="shared" si="10"/>
        <v>1022.1026110856619</v>
      </c>
      <c r="L930" s="96">
        <v>44644</v>
      </c>
      <c r="M930" s="6" t="s">
        <v>253</v>
      </c>
      <c r="N930" s="96">
        <v>44644</v>
      </c>
      <c r="O930" s="22" t="s">
        <v>5951</v>
      </c>
      <c r="P930" s="6" t="s">
        <v>2376</v>
      </c>
      <c r="Q930" s="6" t="s">
        <v>356</v>
      </c>
      <c r="R930" s="6" t="str">
        <f t="shared" ca="1" si="9"/>
        <v>NonCategory</v>
      </c>
    </row>
    <row r="931" spans="1:18">
      <c r="A931" s="162">
        <v>44645</v>
      </c>
      <c r="B931" s="164" t="s">
        <v>2377</v>
      </c>
      <c r="C931" s="168" t="s">
        <v>2378</v>
      </c>
      <c r="D931" s="6" t="s">
        <v>291</v>
      </c>
      <c r="E931" s="6" t="s">
        <v>25</v>
      </c>
      <c r="F931" s="80">
        <v>44652</v>
      </c>
      <c r="G931" s="6" t="s">
        <v>16</v>
      </c>
      <c r="H931" s="6" t="s">
        <v>2178</v>
      </c>
      <c r="I931" s="6">
        <v>1</v>
      </c>
      <c r="J931" s="8">
        <v>42000</v>
      </c>
      <c r="K931" s="8">
        <f t="shared" si="10"/>
        <v>480.98946404031153</v>
      </c>
      <c r="L931" s="96">
        <v>44645</v>
      </c>
      <c r="M931" s="6" t="s">
        <v>251</v>
      </c>
      <c r="N931" s="96">
        <v>44658</v>
      </c>
      <c r="O931" s="22" t="s">
        <v>5952</v>
      </c>
      <c r="Q931" s="6" t="s">
        <v>356</v>
      </c>
      <c r="R931" s="6" t="str">
        <f t="shared" ca="1" si="9"/>
        <v>NonCategory</v>
      </c>
    </row>
    <row r="932" spans="1:18">
      <c r="A932" s="162">
        <v>44647</v>
      </c>
      <c r="B932" s="164" t="s">
        <v>2379</v>
      </c>
      <c r="C932" s="168" t="s">
        <v>2380</v>
      </c>
      <c r="D932" s="6" t="s">
        <v>470</v>
      </c>
      <c r="E932" s="6" t="s">
        <v>538</v>
      </c>
      <c r="F932" s="80">
        <v>44621</v>
      </c>
      <c r="G932" s="6" t="s">
        <v>16</v>
      </c>
      <c r="H932" s="96">
        <v>44648</v>
      </c>
      <c r="I932" s="6">
        <v>1</v>
      </c>
      <c r="J932" s="8">
        <v>10000</v>
      </c>
      <c r="K932" s="8">
        <f t="shared" si="10"/>
        <v>114.52130096197894</v>
      </c>
      <c r="L932" s="96">
        <v>44647</v>
      </c>
      <c r="M932" s="6" t="s">
        <v>253</v>
      </c>
      <c r="N932" s="96">
        <v>44647</v>
      </c>
      <c r="O932" s="22" t="s">
        <v>5953</v>
      </c>
      <c r="Q932" s="6" t="s">
        <v>356</v>
      </c>
      <c r="R932" s="6" t="str">
        <f t="shared" ca="1" si="9"/>
        <v>NonCategory</v>
      </c>
    </row>
    <row r="933" spans="1:18">
      <c r="A933" s="162">
        <v>44648</v>
      </c>
      <c r="B933" s="164" t="s">
        <v>2381</v>
      </c>
      <c r="C933" s="168" t="s">
        <v>420</v>
      </c>
      <c r="D933" s="6" t="s">
        <v>306</v>
      </c>
      <c r="E933" s="6" t="s">
        <v>151</v>
      </c>
      <c r="F933" s="80">
        <v>44621</v>
      </c>
      <c r="G933" s="6" t="s">
        <v>16</v>
      </c>
      <c r="H933" s="6" t="s">
        <v>2344</v>
      </c>
      <c r="I933" s="6">
        <v>1</v>
      </c>
      <c r="J933" s="8">
        <v>21000</v>
      </c>
      <c r="K933" s="8">
        <f t="shared" si="10"/>
        <v>240.49473202015577</v>
      </c>
      <c r="L933" s="96">
        <v>44648</v>
      </c>
      <c r="M933" s="6" t="s">
        <v>253</v>
      </c>
      <c r="N933" s="96">
        <v>44648</v>
      </c>
      <c r="O933" s="22" t="s">
        <v>5954</v>
      </c>
      <c r="Q933" s="6" t="s">
        <v>356</v>
      </c>
      <c r="R933" s="6" t="str">
        <f t="shared" ca="1" si="9"/>
        <v>NonCategory</v>
      </c>
    </row>
    <row r="934" spans="1:18">
      <c r="A934" s="162">
        <v>44649</v>
      </c>
      <c r="B934" s="164" t="s">
        <v>2382</v>
      </c>
      <c r="C934" s="168" t="s">
        <v>2383</v>
      </c>
      <c r="D934" s="6" t="s">
        <v>278</v>
      </c>
      <c r="E934" s="6" t="s">
        <v>1023</v>
      </c>
      <c r="F934" s="80">
        <v>44621</v>
      </c>
      <c r="G934" s="7" t="s">
        <v>16</v>
      </c>
      <c r="H934" s="96">
        <v>44649</v>
      </c>
      <c r="I934" s="6">
        <v>1</v>
      </c>
      <c r="J934" s="8">
        <v>32000</v>
      </c>
      <c r="K934" s="8">
        <f t="shared" si="10"/>
        <v>366.46816307833262</v>
      </c>
      <c r="L934" s="96">
        <v>44649</v>
      </c>
      <c r="M934" s="6" t="s">
        <v>253</v>
      </c>
      <c r="N934" s="96">
        <v>44649</v>
      </c>
      <c r="O934" s="22" t="s">
        <v>5955</v>
      </c>
      <c r="P934" s="6" t="s">
        <v>2376</v>
      </c>
      <c r="Q934" s="6" t="s">
        <v>356</v>
      </c>
      <c r="R934" s="6" t="str">
        <f t="shared" ca="1" si="9"/>
        <v>NonCategory</v>
      </c>
    </row>
    <row r="935" spans="1:18">
      <c r="A935" s="162">
        <v>44649</v>
      </c>
      <c r="B935" s="164" t="s">
        <v>2384</v>
      </c>
      <c r="C935" s="168" t="s">
        <v>2385</v>
      </c>
      <c r="D935" s="6" t="s">
        <v>470</v>
      </c>
      <c r="E935" s="6" t="s">
        <v>96</v>
      </c>
      <c r="F935" s="80">
        <v>44621</v>
      </c>
      <c r="G935" s="6" t="s">
        <v>13</v>
      </c>
      <c r="H935" s="6" t="s">
        <v>2344</v>
      </c>
      <c r="I935" s="6">
        <v>1</v>
      </c>
      <c r="J935" s="8">
        <v>20000</v>
      </c>
      <c r="K935" s="8">
        <f t="shared" si="10"/>
        <v>229.04260192395787</v>
      </c>
      <c r="L935" s="96">
        <v>44649</v>
      </c>
      <c r="R935" s="6" t="str">
        <f t="shared" ca="1" si="9"/>
        <v>NonCategory</v>
      </c>
    </row>
    <row r="936" spans="1:18">
      <c r="A936" s="162">
        <v>44649</v>
      </c>
      <c r="B936" s="164" t="s">
        <v>2386</v>
      </c>
      <c r="C936" s="168" t="s">
        <v>2387</v>
      </c>
      <c r="D936" s="6" t="s">
        <v>278</v>
      </c>
      <c r="E936" s="6" t="s">
        <v>96</v>
      </c>
      <c r="F936" s="80">
        <v>44621</v>
      </c>
      <c r="G936" s="6" t="s">
        <v>16</v>
      </c>
      <c r="H936" s="6" t="s">
        <v>2344</v>
      </c>
      <c r="I936" s="6">
        <v>1</v>
      </c>
      <c r="J936" s="8">
        <v>19500</v>
      </c>
      <c r="K936" s="8">
        <f t="shared" si="10"/>
        <v>223.3165368758589</v>
      </c>
      <c r="L936" s="96">
        <v>44649</v>
      </c>
      <c r="M936" s="6" t="s">
        <v>253</v>
      </c>
      <c r="N936" s="96">
        <v>44650</v>
      </c>
      <c r="O936" s="22" t="s">
        <v>5956</v>
      </c>
      <c r="P936" s="6" t="s">
        <v>2388</v>
      </c>
      <c r="Q936" s="6" t="s">
        <v>356</v>
      </c>
      <c r="R936" s="6" t="str">
        <f t="shared" ca="1" si="9"/>
        <v>NonCategory</v>
      </c>
    </row>
    <row r="937" spans="1:18">
      <c r="A937" s="162">
        <v>44649</v>
      </c>
      <c r="B937" s="164" t="s">
        <v>2389</v>
      </c>
      <c r="C937" s="168" t="s">
        <v>2390</v>
      </c>
      <c r="D937" s="6" t="s">
        <v>303</v>
      </c>
      <c r="E937" s="6" t="s">
        <v>96</v>
      </c>
      <c r="F937" s="80">
        <v>44621</v>
      </c>
      <c r="G937" s="6" t="s">
        <v>13</v>
      </c>
      <c r="H937" s="6" t="s">
        <v>2344</v>
      </c>
      <c r="I937" s="6">
        <v>1</v>
      </c>
      <c r="J937" s="8">
        <v>20000</v>
      </c>
      <c r="K937" s="8">
        <f t="shared" si="10"/>
        <v>229.04260192395787</v>
      </c>
      <c r="L937" s="96">
        <v>44649</v>
      </c>
      <c r="R937" s="6" t="str">
        <f t="shared" ca="1" si="9"/>
        <v>NonCategory</v>
      </c>
    </row>
    <row r="938" spans="1:18">
      <c r="A938" s="162">
        <v>44650</v>
      </c>
      <c r="B938" s="164" t="s">
        <v>2391</v>
      </c>
      <c r="C938" s="168" t="s">
        <v>2392</v>
      </c>
      <c r="D938" s="6" t="s">
        <v>303</v>
      </c>
      <c r="E938" s="6" t="s">
        <v>150</v>
      </c>
      <c r="F938" s="80">
        <v>44621</v>
      </c>
      <c r="G938" s="6" t="s">
        <v>16</v>
      </c>
      <c r="H938" s="6" t="s">
        <v>2344</v>
      </c>
      <c r="I938" s="6">
        <v>1</v>
      </c>
      <c r="J938" s="8">
        <v>21000</v>
      </c>
      <c r="K938" s="8">
        <f t="shared" si="10"/>
        <v>240.49473202015577</v>
      </c>
      <c r="L938" s="96">
        <v>44650</v>
      </c>
      <c r="M938" s="6" t="s">
        <v>253</v>
      </c>
      <c r="N938" s="96">
        <v>44650</v>
      </c>
      <c r="O938" s="22" t="s">
        <v>5957</v>
      </c>
      <c r="Q938" s="6" t="s">
        <v>356</v>
      </c>
      <c r="R938" s="6" t="str">
        <f t="shared" ca="1" si="9"/>
        <v>NonCategory</v>
      </c>
    </row>
    <row r="939" spans="1:18">
      <c r="A939" s="162">
        <v>44650</v>
      </c>
      <c r="B939" s="164" t="s">
        <v>2105</v>
      </c>
      <c r="C939" s="168" t="s">
        <v>2393</v>
      </c>
      <c r="D939" s="6" t="s">
        <v>303</v>
      </c>
      <c r="E939" s="6" t="s">
        <v>25</v>
      </c>
      <c r="F939" s="80">
        <v>44621</v>
      </c>
      <c r="G939" s="6" t="s">
        <v>16</v>
      </c>
      <c r="H939" s="6" t="s">
        <v>2349</v>
      </c>
      <c r="I939" s="6">
        <v>1</v>
      </c>
      <c r="J939" s="8">
        <v>42000</v>
      </c>
      <c r="K939" s="8">
        <f t="shared" si="10"/>
        <v>480.98946404031153</v>
      </c>
      <c r="L939" s="96">
        <v>44650</v>
      </c>
      <c r="M939" s="6" t="s">
        <v>253</v>
      </c>
      <c r="N939" s="96">
        <v>44650</v>
      </c>
      <c r="O939" s="22" t="s">
        <v>5958</v>
      </c>
      <c r="Q939" s="6" t="s">
        <v>280</v>
      </c>
      <c r="R939" s="6" t="str">
        <f t="shared" ca="1" si="9"/>
        <v>NonCategory</v>
      </c>
    </row>
    <row r="940" spans="1:18">
      <c r="A940" s="162">
        <v>44650</v>
      </c>
      <c r="B940" s="164" t="s">
        <v>2394</v>
      </c>
      <c r="C940" s="168" t="s">
        <v>2395</v>
      </c>
      <c r="D940" s="6" t="s">
        <v>278</v>
      </c>
      <c r="E940" s="6" t="s">
        <v>96</v>
      </c>
      <c r="F940" s="80">
        <v>44621</v>
      </c>
      <c r="G940" s="6" t="s">
        <v>16</v>
      </c>
      <c r="H940" s="6" t="s">
        <v>2178</v>
      </c>
      <c r="I940" s="6">
        <v>1</v>
      </c>
      <c r="J940" s="8">
        <v>20000</v>
      </c>
      <c r="K940" s="8">
        <f t="shared" si="10"/>
        <v>229.04260192395787</v>
      </c>
      <c r="L940" s="96">
        <v>44650</v>
      </c>
      <c r="M940" s="6" t="s">
        <v>253</v>
      </c>
      <c r="N940" s="96">
        <v>44650</v>
      </c>
      <c r="O940" s="22" t="s">
        <v>5959</v>
      </c>
      <c r="P940" s="6" t="s">
        <v>2396</v>
      </c>
      <c r="Q940" s="6" t="s">
        <v>356</v>
      </c>
      <c r="R940" s="6" t="str">
        <f t="shared" ca="1" si="9"/>
        <v>NonCategory</v>
      </c>
    </row>
    <row r="941" spans="1:18">
      <c r="A941" s="162">
        <v>44651</v>
      </c>
      <c r="B941" s="164" t="s">
        <v>2397</v>
      </c>
      <c r="C941" s="168" t="s">
        <v>2398</v>
      </c>
      <c r="D941" s="6" t="s">
        <v>303</v>
      </c>
      <c r="E941" s="6" t="s">
        <v>150</v>
      </c>
      <c r="F941" s="80">
        <v>44621</v>
      </c>
      <c r="G941" s="6" t="s">
        <v>16</v>
      </c>
      <c r="H941" s="6" t="s">
        <v>2399</v>
      </c>
      <c r="I941" s="6">
        <v>1</v>
      </c>
      <c r="J941" s="8">
        <v>21000</v>
      </c>
      <c r="K941" s="8">
        <f t="shared" si="10"/>
        <v>240.49473202015577</v>
      </c>
      <c r="L941" s="96">
        <v>44651</v>
      </c>
      <c r="M941" s="6" t="s">
        <v>253</v>
      </c>
      <c r="N941" s="96">
        <v>44651</v>
      </c>
      <c r="O941" s="22" t="s">
        <v>5960</v>
      </c>
      <c r="Q941" s="6" t="s">
        <v>356</v>
      </c>
      <c r="R941" s="6" t="str">
        <f t="shared" ca="1" si="9"/>
        <v>NonCategory</v>
      </c>
    </row>
    <row r="942" spans="1:18">
      <c r="A942" s="162">
        <v>44651</v>
      </c>
      <c r="B942" s="164" t="s">
        <v>2400</v>
      </c>
      <c r="C942" s="168" t="s">
        <v>2401</v>
      </c>
      <c r="D942" s="6" t="s">
        <v>303</v>
      </c>
      <c r="E942" s="6" t="s">
        <v>150</v>
      </c>
      <c r="F942" s="80">
        <v>44621</v>
      </c>
      <c r="G942" s="6" t="s">
        <v>16</v>
      </c>
      <c r="H942" s="6" t="s">
        <v>2349</v>
      </c>
      <c r="I942" s="6">
        <v>1</v>
      </c>
      <c r="J942" s="8">
        <v>21000</v>
      </c>
      <c r="K942" s="8">
        <f t="shared" si="10"/>
        <v>240.49473202015577</v>
      </c>
      <c r="L942" s="96">
        <v>44651</v>
      </c>
      <c r="M942" s="6" t="s">
        <v>253</v>
      </c>
      <c r="N942" s="96">
        <v>44651</v>
      </c>
      <c r="O942" s="22" t="s">
        <v>5961</v>
      </c>
      <c r="Q942" s="6" t="s">
        <v>280</v>
      </c>
      <c r="R942" s="6" t="str">
        <f t="shared" ca="1" si="9"/>
        <v>NonCategory</v>
      </c>
    </row>
    <row r="943" spans="1:18">
      <c r="A943" s="162">
        <v>44651</v>
      </c>
      <c r="B943" s="164" t="s">
        <v>2402</v>
      </c>
      <c r="C943" s="168" t="s">
        <v>2403</v>
      </c>
      <c r="D943" s="6" t="s">
        <v>278</v>
      </c>
      <c r="E943" s="6" t="s">
        <v>150</v>
      </c>
      <c r="F943" s="80">
        <v>44621</v>
      </c>
      <c r="G943" s="6" t="s">
        <v>13</v>
      </c>
      <c r="H943" s="6" t="s">
        <v>2349</v>
      </c>
      <c r="I943" s="6">
        <v>1</v>
      </c>
      <c r="J943" s="8">
        <v>21000</v>
      </c>
      <c r="K943" s="8">
        <f t="shared" si="10"/>
        <v>240.49473202015577</v>
      </c>
      <c r="L943" s="96">
        <v>44651</v>
      </c>
      <c r="R943" s="6" t="str">
        <f t="shared" ca="1" si="9"/>
        <v>NonCategory</v>
      </c>
    </row>
    <row r="944" spans="1:18">
      <c r="A944" s="162">
        <v>44651</v>
      </c>
      <c r="B944" s="164" t="s">
        <v>2404</v>
      </c>
      <c r="C944" s="168" t="s">
        <v>2405</v>
      </c>
      <c r="D944" s="6" t="s">
        <v>291</v>
      </c>
      <c r="E944" s="6" t="s">
        <v>25</v>
      </c>
      <c r="F944" s="80">
        <v>44621</v>
      </c>
      <c r="G944" s="6" t="s">
        <v>16</v>
      </c>
      <c r="H944" s="6" t="s">
        <v>2349</v>
      </c>
      <c r="I944" s="6">
        <v>1</v>
      </c>
      <c r="J944" s="8">
        <v>42000</v>
      </c>
      <c r="K944" s="8">
        <f t="shared" si="10"/>
        <v>480.98946404031153</v>
      </c>
      <c r="L944" s="96">
        <v>44651</v>
      </c>
      <c r="M944" s="6" t="s">
        <v>253</v>
      </c>
      <c r="N944" s="96">
        <v>44651</v>
      </c>
      <c r="O944" s="22" t="s">
        <v>5962</v>
      </c>
      <c r="Q944" s="6" t="s">
        <v>280</v>
      </c>
      <c r="R944" s="6" t="str">
        <f t="shared" ca="1" si="9"/>
        <v>NonCategory</v>
      </c>
    </row>
    <row r="945" spans="1:18">
      <c r="A945" s="162">
        <v>44651</v>
      </c>
      <c r="B945" s="164" t="s">
        <v>2406</v>
      </c>
      <c r="C945" s="168" t="s">
        <v>2407</v>
      </c>
      <c r="D945" s="6" t="s">
        <v>303</v>
      </c>
      <c r="E945" s="6" t="s">
        <v>97</v>
      </c>
      <c r="F945" s="80">
        <v>44621</v>
      </c>
      <c r="G945" s="6" t="s">
        <v>16</v>
      </c>
      <c r="H945" s="6" t="s">
        <v>2408</v>
      </c>
      <c r="I945" s="6">
        <v>1</v>
      </c>
      <c r="J945" s="8">
        <v>20000</v>
      </c>
      <c r="K945" s="8">
        <f t="shared" si="10"/>
        <v>229.04260192395787</v>
      </c>
      <c r="L945" s="96">
        <v>44651</v>
      </c>
      <c r="M945" s="6" t="s">
        <v>253</v>
      </c>
      <c r="N945" s="96">
        <v>44651</v>
      </c>
      <c r="O945" s="22" t="s">
        <v>5963</v>
      </c>
      <c r="Q945" s="6" t="s">
        <v>356</v>
      </c>
      <c r="R945" s="6" t="str">
        <f t="shared" ca="1" si="9"/>
        <v>NonCategory</v>
      </c>
    </row>
    <row r="946" spans="1:18">
      <c r="A946" s="162">
        <v>44653</v>
      </c>
      <c r="B946" s="164" t="s">
        <v>2409</v>
      </c>
      <c r="C946" s="168" t="s">
        <v>2410</v>
      </c>
      <c r="D946" s="6" t="s">
        <v>303</v>
      </c>
      <c r="E946" s="6" t="s">
        <v>25</v>
      </c>
      <c r="F946" s="80">
        <v>44652</v>
      </c>
      <c r="G946" s="6" t="s">
        <v>16</v>
      </c>
      <c r="H946" s="6" t="s">
        <v>2178</v>
      </c>
      <c r="I946" s="6">
        <v>1</v>
      </c>
      <c r="J946" s="8">
        <v>40000</v>
      </c>
      <c r="K946" s="8">
        <f t="shared" si="10"/>
        <v>458.08520384791575</v>
      </c>
      <c r="L946" s="96">
        <v>44653</v>
      </c>
      <c r="M946" s="6" t="s">
        <v>251</v>
      </c>
      <c r="N946" s="96">
        <v>44653</v>
      </c>
      <c r="O946" s="22" t="s">
        <v>5964</v>
      </c>
      <c r="Q946" s="6" t="s">
        <v>356</v>
      </c>
      <c r="R946" s="6" t="str">
        <f t="shared" ca="1" si="9"/>
        <v>NonCategory</v>
      </c>
    </row>
    <row r="947" spans="1:18">
      <c r="A947" s="162">
        <v>44655</v>
      </c>
      <c r="B947" s="164" t="s">
        <v>2411</v>
      </c>
      <c r="C947" s="168" t="s">
        <v>2412</v>
      </c>
      <c r="D947" s="6" t="s">
        <v>319</v>
      </c>
      <c r="E947" s="6" t="s">
        <v>96</v>
      </c>
      <c r="F947" s="80">
        <v>44652</v>
      </c>
      <c r="G947" s="6" t="s">
        <v>16</v>
      </c>
      <c r="H947" s="6" t="s">
        <v>2413</v>
      </c>
      <c r="I947" s="6">
        <v>1</v>
      </c>
      <c r="J947" s="8">
        <v>20000</v>
      </c>
      <c r="K947" s="8">
        <f t="shared" si="10"/>
        <v>229.04260192395787</v>
      </c>
      <c r="L947" s="96">
        <v>44655</v>
      </c>
      <c r="M947" s="6" t="s">
        <v>251</v>
      </c>
      <c r="N947" s="96">
        <v>44655</v>
      </c>
      <c r="O947" s="22" t="s">
        <v>5965</v>
      </c>
      <c r="Q947" s="6" t="s">
        <v>280</v>
      </c>
      <c r="R947" s="6" t="str">
        <f t="shared" ca="1" si="9"/>
        <v>NonCategory</v>
      </c>
    </row>
    <row r="948" spans="1:18">
      <c r="A948" s="162">
        <v>44655</v>
      </c>
      <c r="B948" s="164" t="s">
        <v>2414</v>
      </c>
      <c r="C948" s="168" t="s">
        <v>2415</v>
      </c>
      <c r="D948" s="6" t="s">
        <v>319</v>
      </c>
      <c r="E948" s="6" t="s">
        <v>150</v>
      </c>
      <c r="F948" s="80">
        <v>44652</v>
      </c>
      <c r="G948" s="6" t="s">
        <v>16</v>
      </c>
      <c r="H948" s="6" t="s">
        <v>2349</v>
      </c>
      <c r="I948" s="6">
        <v>1</v>
      </c>
      <c r="J948" s="8">
        <v>21000</v>
      </c>
      <c r="K948" s="8">
        <f t="shared" si="10"/>
        <v>240.49473202015577</v>
      </c>
      <c r="L948" s="96">
        <v>44655</v>
      </c>
      <c r="M948" s="6" t="s">
        <v>251</v>
      </c>
      <c r="N948" s="96">
        <v>44655</v>
      </c>
      <c r="O948" s="22" t="s">
        <v>5966</v>
      </c>
      <c r="Q948" s="6" t="s">
        <v>356</v>
      </c>
      <c r="R948" s="6" t="str">
        <f t="shared" ca="1" si="9"/>
        <v>NonCategory</v>
      </c>
    </row>
    <row r="949" spans="1:18">
      <c r="A949" s="162">
        <v>44656</v>
      </c>
      <c r="B949" s="164" t="s">
        <v>2416</v>
      </c>
      <c r="C949" s="168" t="s">
        <v>2417</v>
      </c>
      <c r="D949" s="6" t="s">
        <v>303</v>
      </c>
      <c r="E949" s="6" t="s">
        <v>96</v>
      </c>
      <c r="F949" s="80">
        <v>44652</v>
      </c>
      <c r="G949" s="6" t="s">
        <v>16</v>
      </c>
      <c r="H949" s="6" t="s">
        <v>2418</v>
      </c>
      <c r="I949" s="6">
        <v>1</v>
      </c>
      <c r="J949" s="8">
        <v>20000</v>
      </c>
      <c r="K949" s="8">
        <f t="shared" si="10"/>
        <v>229.04260192395787</v>
      </c>
      <c r="L949" s="96">
        <v>44656</v>
      </c>
      <c r="M949" s="6" t="s">
        <v>251</v>
      </c>
      <c r="N949" s="96">
        <v>44656</v>
      </c>
      <c r="O949" s="22" t="s">
        <v>5967</v>
      </c>
      <c r="Q949" s="6" t="s">
        <v>356</v>
      </c>
      <c r="R949" s="6" t="str">
        <f t="shared" ca="1" si="9"/>
        <v>NonCategory</v>
      </c>
    </row>
    <row r="950" spans="1:18">
      <c r="A950" s="162">
        <v>44656</v>
      </c>
      <c r="B950" s="164" t="s">
        <v>2419</v>
      </c>
      <c r="C950" s="168" t="s">
        <v>2420</v>
      </c>
      <c r="D950" s="6" t="s">
        <v>319</v>
      </c>
      <c r="E950" s="6" t="s">
        <v>150</v>
      </c>
      <c r="F950" s="80">
        <v>44652</v>
      </c>
      <c r="G950" s="6" t="s">
        <v>16</v>
      </c>
      <c r="H950" s="6" t="s">
        <v>2413</v>
      </c>
      <c r="I950" s="6">
        <v>1</v>
      </c>
      <c r="J950" s="8">
        <v>21000</v>
      </c>
      <c r="K950" s="8">
        <f t="shared" si="10"/>
        <v>240.49473202015577</v>
      </c>
      <c r="L950" s="96">
        <v>44656</v>
      </c>
      <c r="M950" s="6" t="s">
        <v>251</v>
      </c>
      <c r="N950" s="96">
        <v>44656</v>
      </c>
      <c r="O950" s="22" t="s">
        <v>5968</v>
      </c>
      <c r="Q950" s="6" t="s">
        <v>280</v>
      </c>
      <c r="R950" s="6" t="str">
        <f t="shared" ca="1" si="9"/>
        <v>NonCategory</v>
      </c>
    </row>
    <row r="951" spans="1:18">
      <c r="A951" s="162">
        <v>44658</v>
      </c>
      <c r="B951" s="164" t="s">
        <v>2421</v>
      </c>
      <c r="C951" s="168" t="s">
        <v>2285</v>
      </c>
      <c r="D951" s="6" t="s">
        <v>470</v>
      </c>
      <c r="E951" s="6" t="s">
        <v>1524</v>
      </c>
      <c r="F951" s="80">
        <v>44652</v>
      </c>
      <c r="G951" s="6" t="s">
        <v>16</v>
      </c>
      <c r="H951" s="6" t="s">
        <v>2178</v>
      </c>
      <c r="I951" s="6">
        <v>1</v>
      </c>
      <c r="J951" s="8">
        <v>24000</v>
      </c>
      <c r="K951" s="8">
        <f t="shared" si="10"/>
        <v>274.85112230874944</v>
      </c>
      <c r="L951" s="96">
        <v>44658</v>
      </c>
      <c r="M951" s="6" t="s">
        <v>251</v>
      </c>
      <c r="N951" s="96">
        <v>44658</v>
      </c>
      <c r="O951" s="22" t="s">
        <v>5969</v>
      </c>
      <c r="Q951" s="6" t="s">
        <v>356</v>
      </c>
      <c r="R951" s="6" t="str">
        <f t="shared" ca="1" si="9"/>
        <v>NonCategory</v>
      </c>
    </row>
    <row r="952" spans="1:18">
      <c r="A952" s="162">
        <v>44658</v>
      </c>
      <c r="B952" s="164" t="s">
        <v>2422</v>
      </c>
      <c r="C952" s="168" t="s">
        <v>2423</v>
      </c>
      <c r="D952" s="6" t="s">
        <v>319</v>
      </c>
      <c r="E952" s="6" t="s">
        <v>150</v>
      </c>
      <c r="F952" s="80">
        <v>44652</v>
      </c>
      <c r="G952" s="6" t="s">
        <v>16</v>
      </c>
      <c r="H952" s="6" t="s">
        <v>2413</v>
      </c>
      <c r="I952" s="6">
        <v>1</v>
      </c>
      <c r="J952" s="8">
        <v>21000</v>
      </c>
      <c r="K952" s="8">
        <f t="shared" si="10"/>
        <v>240.49473202015577</v>
      </c>
      <c r="L952" s="96">
        <v>44658</v>
      </c>
      <c r="M952" s="6" t="s">
        <v>251</v>
      </c>
      <c r="N952" s="96">
        <v>44658</v>
      </c>
      <c r="O952" s="22" t="s">
        <v>5970</v>
      </c>
      <c r="Q952" s="6" t="s">
        <v>280</v>
      </c>
      <c r="R952" s="6" t="str">
        <f t="shared" ca="1" si="9"/>
        <v>NonCategory</v>
      </c>
    </row>
    <row r="953" spans="1:18">
      <c r="A953" s="162">
        <v>44658</v>
      </c>
      <c r="B953" s="164" t="s">
        <v>2424</v>
      </c>
      <c r="C953" s="168" t="s">
        <v>2425</v>
      </c>
      <c r="D953" s="6" t="s">
        <v>278</v>
      </c>
      <c r="E953" s="6" t="s">
        <v>96</v>
      </c>
      <c r="F953" s="80">
        <v>44652</v>
      </c>
      <c r="G953" s="6" t="s">
        <v>16</v>
      </c>
      <c r="H953" s="6" t="s">
        <v>2413</v>
      </c>
      <c r="I953" s="6">
        <v>1</v>
      </c>
      <c r="J953" s="8">
        <v>20000</v>
      </c>
      <c r="K953" s="8">
        <f t="shared" si="10"/>
        <v>229.04260192395787</v>
      </c>
      <c r="L953" s="96">
        <v>44658</v>
      </c>
      <c r="M953" s="6" t="s">
        <v>251</v>
      </c>
      <c r="N953" s="96">
        <v>44658</v>
      </c>
      <c r="O953" s="22" t="s">
        <v>5971</v>
      </c>
      <c r="P953" s="6" t="s">
        <v>2426</v>
      </c>
      <c r="Q953" s="6" t="s">
        <v>280</v>
      </c>
      <c r="R953" s="6" t="str">
        <f t="shared" ca="1" si="9"/>
        <v>NonCategory</v>
      </c>
    </row>
    <row r="954" spans="1:18">
      <c r="A954" s="162">
        <v>44659</v>
      </c>
      <c r="B954" s="164" t="s">
        <v>2427</v>
      </c>
      <c r="C954" s="168" t="s">
        <v>2428</v>
      </c>
      <c r="D954" s="6" t="s">
        <v>287</v>
      </c>
      <c r="E954" s="6" t="s">
        <v>97</v>
      </c>
      <c r="F954" s="80">
        <v>44652</v>
      </c>
      <c r="G954" s="6" t="s">
        <v>16</v>
      </c>
      <c r="H954" s="6" t="s">
        <v>2429</v>
      </c>
      <c r="I954" s="6">
        <v>1</v>
      </c>
      <c r="J954" s="8">
        <v>20000</v>
      </c>
      <c r="K954" s="8">
        <f t="shared" si="10"/>
        <v>229.04260192395787</v>
      </c>
      <c r="L954" s="96">
        <v>44659</v>
      </c>
      <c r="M954" s="6" t="s">
        <v>251</v>
      </c>
      <c r="N954" s="96">
        <v>44659</v>
      </c>
      <c r="O954" s="22" t="s">
        <v>5972</v>
      </c>
      <c r="Q954" s="6" t="s">
        <v>356</v>
      </c>
      <c r="R954" s="6" t="str">
        <f t="shared" ca="1" si="9"/>
        <v>NonCategory</v>
      </c>
    </row>
    <row r="955" spans="1:18">
      <c r="A955" s="162">
        <v>44659</v>
      </c>
      <c r="B955" s="164" t="s">
        <v>2430</v>
      </c>
      <c r="C955" s="168" t="s">
        <v>2431</v>
      </c>
      <c r="D955" s="6" t="s">
        <v>287</v>
      </c>
      <c r="E955" s="6" t="s">
        <v>150</v>
      </c>
      <c r="F955" s="80">
        <v>44652</v>
      </c>
      <c r="H955" s="6" t="s">
        <v>2413</v>
      </c>
      <c r="I955" s="6">
        <v>1</v>
      </c>
      <c r="J955" s="8"/>
      <c r="K955" s="8"/>
      <c r="L955" s="96">
        <v>44659</v>
      </c>
      <c r="M955" s="6" t="s">
        <v>251</v>
      </c>
      <c r="N955" s="96">
        <v>44659</v>
      </c>
      <c r="O955" s="22" t="s">
        <v>5973</v>
      </c>
      <c r="Q955" s="6" t="s">
        <v>356</v>
      </c>
      <c r="R955" s="6" t="str">
        <f t="shared" ca="1" si="9"/>
        <v>NonCategory</v>
      </c>
    </row>
    <row r="956" spans="1:18">
      <c r="A956" s="162">
        <v>44662</v>
      </c>
      <c r="B956" s="164" t="s">
        <v>1311</v>
      </c>
      <c r="C956" s="168" t="s">
        <v>2432</v>
      </c>
      <c r="D956" s="6" t="s">
        <v>319</v>
      </c>
      <c r="E956" s="6" t="s">
        <v>150</v>
      </c>
      <c r="F956" s="80">
        <v>44652</v>
      </c>
      <c r="G956" s="6" t="s">
        <v>16</v>
      </c>
      <c r="H956" s="6" t="s">
        <v>2433</v>
      </c>
      <c r="I956" s="6">
        <v>1</v>
      </c>
      <c r="J956" s="8">
        <v>21000</v>
      </c>
      <c r="K956" s="8">
        <f t="shared" ref="K956:K1210" si="11">IFERROR((($J956/1.18))/74,"")</f>
        <v>240.49473202015577</v>
      </c>
      <c r="L956" s="96">
        <v>44662</v>
      </c>
      <c r="M956" s="6" t="s">
        <v>252</v>
      </c>
      <c r="N956" s="96">
        <v>44662</v>
      </c>
      <c r="O956" s="22" t="s">
        <v>5974</v>
      </c>
      <c r="Q956" s="6" t="s">
        <v>280</v>
      </c>
      <c r="R956" s="6" t="str">
        <f t="shared" ca="1" si="9"/>
        <v>NonCategory</v>
      </c>
    </row>
    <row r="957" spans="1:18">
      <c r="A957" s="162">
        <v>44663</v>
      </c>
      <c r="B957" s="164" t="s">
        <v>2434</v>
      </c>
      <c r="C957" s="168" t="s">
        <v>2435</v>
      </c>
      <c r="D957" s="6" t="s">
        <v>1291</v>
      </c>
      <c r="E957" s="6" t="s">
        <v>97</v>
      </c>
      <c r="F957" s="80">
        <v>44652</v>
      </c>
      <c r="G957" s="6" t="s">
        <v>16</v>
      </c>
      <c r="H957" s="6" t="s">
        <v>2408</v>
      </c>
      <c r="I957" s="6">
        <v>1</v>
      </c>
      <c r="J957" s="8">
        <v>20000</v>
      </c>
      <c r="K957" s="8">
        <f t="shared" si="11"/>
        <v>229.04260192395787</v>
      </c>
      <c r="L957" s="96">
        <v>44663</v>
      </c>
      <c r="M957" s="6" t="s">
        <v>252</v>
      </c>
      <c r="N957" s="96">
        <v>44663</v>
      </c>
      <c r="O957" s="22" t="s">
        <v>5975</v>
      </c>
      <c r="Q957" s="6" t="s">
        <v>356</v>
      </c>
      <c r="R957" s="6" t="str">
        <f t="shared" ca="1" si="9"/>
        <v>NonCategory</v>
      </c>
    </row>
    <row r="958" spans="1:18">
      <c r="A958" s="162">
        <v>44664</v>
      </c>
      <c r="B958" s="164" t="s">
        <v>2436</v>
      </c>
      <c r="C958" s="168" t="s">
        <v>2437</v>
      </c>
      <c r="D958" s="6" t="s">
        <v>306</v>
      </c>
      <c r="E958" s="6" t="s">
        <v>151</v>
      </c>
      <c r="F958" s="80">
        <v>44652</v>
      </c>
      <c r="G958" s="6" t="s">
        <v>16</v>
      </c>
      <c r="H958" s="6" t="s">
        <v>2413</v>
      </c>
      <c r="I958" s="6">
        <v>1</v>
      </c>
      <c r="J958" s="8">
        <v>21000</v>
      </c>
      <c r="K958" s="8">
        <f t="shared" si="11"/>
        <v>240.49473202015577</v>
      </c>
      <c r="L958" s="96">
        <v>44664</v>
      </c>
      <c r="M958" s="6" t="s">
        <v>252</v>
      </c>
      <c r="N958" s="96">
        <v>44664</v>
      </c>
      <c r="O958" s="22" t="s">
        <v>5976</v>
      </c>
      <c r="Q958" s="6" t="s">
        <v>280</v>
      </c>
      <c r="R958" s="6" t="str">
        <f t="shared" ca="1" si="9"/>
        <v>NonCategory</v>
      </c>
    </row>
    <row r="959" spans="1:18">
      <c r="A959" s="162">
        <v>44664</v>
      </c>
      <c r="B959" s="164" t="s">
        <v>2438</v>
      </c>
      <c r="C959" s="168" t="s">
        <v>2439</v>
      </c>
      <c r="D959" s="6" t="s">
        <v>287</v>
      </c>
      <c r="E959" s="6" t="s">
        <v>14</v>
      </c>
      <c r="F959" s="80">
        <v>44652</v>
      </c>
      <c r="G959" s="6" t="s">
        <v>16</v>
      </c>
      <c r="H959" s="6" t="s">
        <v>2440</v>
      </c>
      <c r="I959" s="6">
        <v>1</v>
      </c>
      <c r="J959" s="8">
        <v>30500</v>
      </c>
      <c r="K959" s="8">
        <f t="shared" si="11"/>
        <v>349.28996793403576</v>
      </c>
      <c r="L959" s="96">
        <v>44664</v>
      </c>
      <c r="M959" s="6" t="s">
        <v>252</v>
      </c>
      <c r="N959" s="96">
        <v>44664</v>
      </c>
      <c r="O959" s="22" t="s">
        <v>5977</v>
      </c>
      <c r="Q959" s="6" t="s">
        <v>356</v>
      </c>
      <c r="R959" s="6" t="str">
        <f t="shared" ca="1" si="9"/>
        <v>NonCategory</v>
      </c>
    </row>
    <row r="960" spans="1:18">
      <c r="A960" s="162">
        <v>44664</v>
      </c>
      <c r="B960" s="164" t="s">
        <v>422</v>
      </c>
      <c r="C960" s="168" t="s">
        <v>423</v>
      </c>
      <c r="D960" s="6" t="s">
        <v>470</v>
      </c>
      <c r="E960" s="6" t="s">
        <v>2441</v>
      </c>
      <c r="F960" s="80">
        <v>44652</v>
      </c>
      <c r="G960" s="6" t="s">
        <v>16</v>
      </c>
      <c r="H960" s="96">
        <v>44667</v>
      </c>
      <c r="I960" s="6">
        <v>1</v>
      </c>
      <c r="J960" s="8">
        <v>24750</v>
      </c>
      <c r="K960" s="8">
        <f t="shared" si="11"/>
        <v>283.44021988089787</v>
      </c>
      <c r="L960" s="96">
        <v>44664</v>
      </c>
      <c r="M960" s="6" t="s">
        <v>252</v>
      </c>
      <c r="N960" s="96">
        <v>44664</v>
      </c>
      <c r="O960" s="22" t="s">
        <v>5978</v>
      </c>
      <c r="Q960" s="6" t="s">
        <v>356</v>
      </c>
      <c r="R960" s="6" t="str">
        <f t="shared" ca="1" si="9"/>
        <v>NonCategory</v>
      </c>
    </row>
    <row r="961" spans="1:18">
      <c r="A961" s="162">
        <v>44665</v>
      </c>
      <c r="B961" s="164" t="s">
        <v>2442</v>
      </c>
      <c r="C961" s="168" t="s">
        <v>2443</v>
      </c>
      <c r="D961" s="6" t="s">
        <v>278</v>
      </c>
      <c r="E961" s="6" t="s">
        <v>97</v>
      </c>
      <c r="F961" s="80">
        <v>44652</v>
      </c>
      <c r="G961" s="6" t="s">
        <v>16</v>
      </c>
      <c r="H961" s="6" t="s">
        <v>2444</v>
      </c>
      <c r="I961" s="6">
        <v>1</v>
      </c>
      <c r="J961" s="8">
        <v>20000</v>
      </c>
      <c r="K961" s="8">
        <f t="shared" si="11"/>
        <v>229.04260192395787</v>
      </c>
      <c r="L961" s="96">
        <v>44665</v>
      </c>
      <c r="M961" s="6" t="s">
        <v>252</v>
      </c>
      <c r="N961" s="96">
        <v>44665</v>
      </c>
      <c r="O961" s="22" t="s">
        <v>5979</v>
      </c>
      <c r="P961" s="6" t="s">
        <v>2156</v>
      </c>
      <c r="Q961" s="6" t="s">
        <v>356</v>
      </c>
      <c r="R961" s="6" t="str">
        <f t="shared" ca="1" si="9"/>
        <v>NonCategory</v>
      </c>
    </row>
    <row r="962" spans="1:18">
      <c r="A962" s="162">
        <v>44665</v>
      </c>
      <c r="B962" s="164" t="s">
        <v>683</v>
      </c>
      <c r="C962" s="168" t="s">
        <v>684</v>
      </c>
      <c r="D962" s="6" t="s">
        <v>470</v>
      </c>
      <c r="E962" s="6" t="s">
        <v>25</v>
      </c>
      <c r="F962" s="80">
        <v>44652</v>
      </c>
      <c r="G962" s="6" t="s">
        <v>16</v>
      </c>
      <c r="H962" s="6" t="s">
        <v>2178</v>
      </c>
      <c r="I962" s="6">
        <v>1</v>
      </c>
      <c r="J962" s="8">
        <v>42000</v>
      </c>
      <c r="K962" s="8">
        <f t="shared" si="11"/>
        <v>480.98946404031153</v>
      </c>
      <c r="L962" s="96">
        <v>44665</v>
      </c>
      <c r="M962" s="6" t="s">
        <v>252</v>
      </c>
      <c r="N962" s="96">
        <v>44665</v>
      </c>
      <c r="O962" s="22" t="s">
        <v>5980</v>
      </c>
      <c r="Q962" s="6" t="s">
        <v>356</v>
      </c>
      <c r="R962" s="6" t="str">
        <f t="shared" ca="1" si="9"/>
        <v>NonCategory</v>
      </c>
    </row>
    <row r="963" spans="1:18">
      <c r="A963" s="162">
        <v>44665</v>
      </c>
      <c r="B963" s="164" t="s">
        <v>2445</v>
      </c>
      <c r="C963" s="168" t="s">
        <v>2446</v>
      </c>
      <c r="D963" s="6" t="s">
        <v>287</v>
      </c>
      <c r="E963" s="6" t="s">
        <v>150</v>
      </c>
      <c r="F963" s="80">
        <v>44652</v>
      </c>
      <c r="G963" s="6" t="s">
        <v>16</v>
      </c>
      <c r="H963" s="6" t="s">
        <v>2413</v>
      </c>
      <c r="I963" s="6">
        <v>1</v>
      </c>
      <c r="J963" s="8">
        <v>20500</v>
      </c>
      <c r="K963" s="8">
        <f t="shared" si="11"/>
        <v>234.76866697205682</v>
      </c>
      <c r="L963" s="96">
        <v>44665</v>
      </c>
      <c r="M963" s="6" t="s">
        <v>252</v>
      </c>
      <c r="N963" s="96">
        <v>44665</v>
      </c>
      <c r="O963" s="22" t="s">
        <v>5981</v>
      </c>
      <c r="Q963" s="6" t="s">
        <v>356</v>
      </c>
      <c r="R963" s="6" t="str">
        <f t="shared" ca="1" si="9"/>
        <v>NonCategory</v>
      </c>
    </row>
    <row r="964" spans="1:18">
      <c r="A964" s="162">
        <v>44665</v>
      </c>
      <c r="B964" s="164" t="s">
        <v>2447</v>
      </c>
      <c r="C964" s="168" t="s">
        <v>2448</v>
      </c>
      <c r="D964" s="6" t="s">
        <v>278</v>
      </c>
      <c r="E964" s="6" t="s">
        <v>150</v>
      </c>
      <c r="F964" s="80">
        <v>44652</v>
      </c>
      <c r="G964" s="6" t="s">
        <v>16</v>
      </c>
      <c r="H964" s="6" t="s">
        <v>2413</v>
      </c>
      <c r="I964" s="6">
        <v>1</v>
      </c>
      <c r="J964" s="8">
        <v>21000</v>
      </c>
      <c r="K964" s="8">
        <f t="shared" si="11"/>
        <v>240.49473202015577</v>
      </c>
      <c r="L964" s="96">
        <v>44665</v>
      </c>
      <c r="M964" s="6" t="s">
        <v>252</v>
      </c>
      <c r="N964" s="96">
        <v>44665</v>
      </c>
      <c r="O964" s="22" t="s">
        <v>5982</v>
      </c>
      <c r="P964" s="6" t="s">
        <v>2449</v>
      </c>
      <c r="Q964" s="6" t="s">
        <v>356</v>
      </c>
      <c r="R964" s="6" t="str">
        <f t="shared" ca="1" si="9"/>
        <v>NonCategory</v>
      </c>
    </row>
    <row r="965" spans="1:18">
      <c r="A965" s="162">
        <v>44665</v>
      </c>
      <c r="B965" s="164" t="s">
        <v>2450</v>
      </c>
      <c r="C965" s="168" t="s">
        <v>2451</v>
      </c>
      <c r="D965" s="6" t="s">
        <v>278</v>
      </c>
      <c r="E965" s="6" t="s">
        <v>150</v>
      </c>
      <c r="F965" s="80">
        <v>44652</v>
      </c>
      <c r="G965" s="6" t="s">
        <v>16</v>
      </c>
      <c r="H965" s="6" t="s">
        <v>2452</v>
      </c>
      <c r="I965" s="6">
        <v>1</v>
      </c>
      <c r="J965" s="8">
        <v>21000</v>
      </c>
      <c r="K965" s="8">
        <f t="shared" si="11"/>
        <v>240.49473202015577</v>
      </c>
      <c r="L965" s="96">
        <v>44665</v>
      </c>
      <c r="M965" s="6" t="s">
        <v>252</v>
      </c>
      <c r="N965" s="96">
        <v>44665</v>
      </c>
      <c r="O965" s="22" t="s">
        <v>5983</v>
      </c>
      <c r="P965" s="20" t="s">
        <v>2210</v>
      </c>
      <c r="Q965" s="6" t="s">
        <v>356</v>
      </c>
      <c r="R965" s="6" t="str">
        <f t="shared" ca="1" si="9"/>
        <v>NonCategory</v>
      </c>
    </row>
    <row r="966" spans="1:18">
      <c r="A966" s="162">
        <v>44669</v>
      </c>
      <c r="B966" s="164" t="s">
        <v>2453</v>
      </c>
      <c r="C966" s="168" t="s">
        <v>2454</v>
      </c>
      <c r="D966" s="6" t="s">
        <v>2455</v>
      </c>
      <c r="E966" s="6" t="s">
        <v>2456</v>
      </c>
      <c r="F966" s="80">
        <v>44652</v>
      </c>
      <c r="G966" s="6" t="s">
        <v>16</v>
      </c>
      <c r="H966" s="96">
        <v>44677</v>
      </c>
      <c r="I966" s="6">
        <v>1</v>
      </c>
      <c r="J966" s="8">
        <v>12600</v>
      </c>
      <c r="K966" s="8">
        <f t="shared" si="11"/>
        <v>144.29683921209346</v>
      </c>
      <c r="L966" s="96">
        <v>44669</v>
      </c>
      <c r="M966" s="6" t="s">
        <v>252</v>
      </c>
      <c r="N966" s="96">
        <v>44669</v>
      </c>
      <c r="O966" s="22" t="s">
        <v>5984</v>
      </c>
      <c r="Q966" s="6" t="s">
        <v>356</v>
      </c>
      <c r="R966" s="6" t="str">
        <f t="shared" ca="1" si="9"/>
        <v>NonCategory</v>
      </c>
    </row>
    <row r="967" spans="1:18">
      <c r="A967" s="162">
        <v>44669</v>
      </c>
      <c r="B967" s="164" t="s">
        <v>2453</v>
      </c>
      <c r="C967" s="168" t="s">
        <v>2454</v>
      </c>
      <c r="D967" s="6" t="s">
        <v>2455</v>
      </c>
      <c r="E967" s="6" t="s">
        <v>2456</v>
      </c>
      <c r="F967" s="80">
        <v>44652</v>
      </c>
      <c r="G967" s="6" t="s">
        <v>16</v>
      </c>
      <c r="H967" s="96">
        <v>44677</v>
      </c>
      <c r="I967" s="6">
        <v>1</v>
      </c>
      <c r="J967" s="8">
        <v>71400</v>
      </c>
      <c r="K967" s="8">
        <f t="shared" si="11"/>
        <v>817.6820888685296</v>
      </c>
      <c r="L967" s="96">
        <v>44669</v>
      </c>
      <c r="M967" s="6" t="s">
        <v>252</v>
      </c>
      <c r="N967" s="96">
        <v>44669</v>
      </c>
      <c r="O967" s="22" t="s">
        <v>5985</v>
      </c>
      <c r="Q967" s="6" t="s">
        <v>356</v>
      </c>
      <c r="R967" s="6" t="str">
        <f t="shared" ca="1" si="9"/>
        <v>NonCategory</v>
      </c>
    </row>
    <row r="968" spans="1:18">
      <c r="A968" s="162">
        <v>44669</v>
      </c>
      <c r="B968" s="164" t="s">
        <v>2457</v>
      </c>
      <c r="C968" s="168" t="s">
        <v>2458</v>
      </c>
      <c r="D968" s="6" t="s">
        <v>1291</v>
      </c>
      <c r="E968" s="6" t="s">
        <v>96</v>
      </c>
      <c r="F968" s="80">
        <v>44652</v>
      </c>
      <c r="G968" s="6" t="s">
        <v>16</v>
      </c>
      <c r="H968" s="6" t="s">
        <v>2459</v>
      </c>
      <c r="I968" s="6">
        <v>1</v>
      </c>
      <c r="J968" s="8">
        <v>20000</v>
      </c>
      <c r="K968" s="8">
        <f t="shared" si="11"/>
        <v>229.04260192395787</v>
      </c>
      <c r="L968" s="96">
        <v>44669</v>
      </c>
      <c r="M968" s="6" t="s">
        <v>252</v>
      </c>
      <c r="N968" s="96">
        <v>44669</v>
      </c>
      <c r="O968" s="22" t="s">
        <v>5986</v>
      </c>
      <c r="Q968" s="6" t="s">
        <v>356</v>
      </c>
      <c r="R968" s="6" t="str">
        <f t="shared" ca="1" si="9"/>
        <v>NonCategory</v>
      </c>
    </row>
    <row r="969" spans="1:18">
      <c r="A969" s="162">
        <v>44669</v>
      </c>
      <c r="B969" s="164" t="s">
        <v>2460</v>
      </c>
      <c r="C969" s="168" t="s">
        <v>2461</v>
      </c>
      <c r="D969" s="6" t="s">
        <v>287</v>
      </c>
      <c r="E969" s="6" t="s">
        <v>25</v>
      </c>
      <c r="F969" s="80">
        <v>44652</v>
      </c>
      <c r="G969" s="6" t="s">
        <v>16</v>
      </c>
      <c r="H969" s="6" t="s">
        <v>2178</v>
      </c>
      <c r="I969" s="6">
        <v>1</v>
      </c>
      <c r="J969" s="8">
        <v>40000</v>
      </c>
      <c r="K969" s="8">
        <f t="shared" si="11"/>
        <v>458.08520384791575</v>
      </c>
      <c r="L969" s="96">
        <v>44669</v>
      </c>
      <c r="M969" s="6" t="s">
        <v>252</v>
      </c>
      <c r="N969" s="96">
        <v>44669</v>
      </c>
      <c r="O969" s="22" t="s">
        <v>5987</v>
      </c>
      <c r="Q969" s="6" t="s">
        <v>356</v>
      </c>
      <c r="R969" s="6" t="str">
        <f t="shared" ca="1" si="9"/>
        <v>NonCategory</v>
      </c>
    </row>
    <row r="970" spans="1:18">
      <c r="A970" s="162">
        <v>44669</v>
      </c>
      <c r="B970" s="164" t="s">
        <v>2462</v>
      </c>
      <c r="C970" s="168" t="s">
        <v>2463</v>
      </c>
      <c r="D970" s="6" t="s">
        <v>306</v>
      </c>
      <c r="E970" s="6" t="s">
        <v>150</v>
      </c>
      <c r="F970" s="80">
        <v>44652</v>
      </c>
      <c r="G970" s="6" t="s">
        <v>16</v>
      </c>
      <c r="H970" s="6" t="s">
        <v>2452</v>
      </c>
      <c r="I970" s="6">
        <v>1</v>
      </c>
      <c r="J970" s="8">
        <v>20500</v>
      </c>
      <c r="K970" s="8">
        <f t="shared" si="11"/>
        <v>234.76866697205682</v>
      </c>
      <c r="L970" s="96">
        <v>44669</v>
      </c>
      <c r="M970" s="6" t="s">
        <v>252</v>
      </c>
      <c r="N970" s="96">
        <v>44669</v>
      </c>
      <c r="O970" s="22" t="s">
        <v>5988</v>
      </c>
      <c r="Q970" s="6" t="s">
        <v>356</v>
      </c>
      <c r="R970" s="6" t="str">
        <f t="shared" ca="1" si="9"/>
        <v>NonCategory</v>
      </c>
    </row>
    <row r="971" spans="1:18">
      <c r="A971" s="162">
        <v>44669</v>
      </c>
      <c r="B971" s="164" t="s">
        <v>2464</v>
      </c>
      <c r="C971" s="168" t="s">
        <v>2465</v>
      </c>
      <c r="D971" s="6" t="s">
        <v>291</v>
      </c>
      <c r="E971" s="6" t="s">
        <v>150</v>
      </c>
      <c r="F971" s="80">
        <v>44652</v>
      </c>
      <c r="G971" s="6" t="s">
        <v>16</v>
      </c>
      <c r="H971" s="6" t="s">
        <v>2178</v>
      </c>
      <c r="I971" s="6">
        <v>1</v>
      </c>
      <c r="J971" s="8">
        <v>21000</v>
      </c>
      <c r="K971" s="8">
        <f t="shared" si="11"/>
        <v>240.49473202015577</v>
      </c>
      <c r="L971" s="96">
        <v>44669</v>
      </c>
      <c r="M971" s="6" t="s">
        <v>252</v>
      </c>
      <c r="N971" s="96">
        <v>44669</v>
      </c>
      <c r="O971" s="22" t="s">
        <v>5989</v>
      </c>
      <c r="Q971" s="6" t="s">
        <v>356</v>
      </c>
      <c r="R971" s="6" t="str">
        <f t="shared" ca="1" si="9"/>
        <v>NonCategory</v>
      </c>
    </row>
    <row r="972" spans="1:18">
      <c r="A972" s="162">
        <v>44670</v>
      </c>
      <c r="B972" s="164" t="s">
        <v>2466</v>
      </c>
      <c r="C972" s="168" t="s">
        <v>2467</v>
      </c>
      <c r="D972" s="2" t="s">
        <v>287</v>
      </c>
      <c r="E972" s="2" t="s">
        <v>151</v>
      </c>
      <c r="F972" s="80">
        <v>44652</v>
      </c>
      <c r="G972" s="6" t="s">
        <v>16</v>
      </c>
      <c r="H972" s="6" t="s">
        <v>2178</v>
      </c>
      <c r="I972" s="6">
        <v>1</v>
      </c>
      <c r="J972" s="8">
        <v>21000</v>
      </c>
      <c r="K972" s="8">
        <f t="shared" si="11"/>
        <v>240.49473202015577</v>
      </c>
      <c r="L972" s="96">
        <v>44670</v>
      </c>
      <c r="M972" s="6" t="s">
        <v>252</v>
      </c>
      <c r="N972" s="96">
        <v>44670</v>
      </c>
      <c r="O972" s="22" t="s">
        <v>5990</v>
      </c>
      <c r="Q972" s="6" t="s">
        <v>356</v>
      </c>
      <c r="R972" s="6" t="str">
        <f t="shared" ca="1" si="9"/>
        <v>NonCategory</v>
      </c>
    </row>
    <row r="973" spans="1:18">
      <c r="A973" s="162">
        <v>44671</v>
      </c>
      <c r="B973" s="164" t="s">
        <v>2468</v>
      </c>
      <c r="C973" s="168" t="s">
        <v>2469</v>
      </c>
      <c r="D973" s="6" t="s">
        <v>278</v>
      </c>
      <c r="E973" s="6" t="s">
        <v>150</v>
      </c>
      <c r="F973" s="80">
        <v>44652</v>
      </c>
      <c r="G973" s="6" t="s">
        <v>16</v>
      </c>
      <c r="H973" s="6" t="s">
        <v>2178</v>
      </c>
      <c r="I973" s="6">
        <v>1</v>
      </c>
      <c r="J973" s="8">
        <v>21000</v>
      </c>
      <c r="K973" s="8">
        <f t="shared" si="11"/>
        <v>240.49473202015577</v>
      </c>
      <c r="L973" s="96">
        <v>44671</v>
      </c>
      <c r="M973" s="6" t="s">
        <v>252</v>
      </c>
      <c r="N973" s="96">
        <v>44671</v>
      </c>
      <c r="O973" s="22" t="s">
        <v>5991</v>
      </c>
      <c r="P973" s="6" t="s">
        <v>2470</v>
      </c>
      <c r="Q973" s="6" t="s">
        <v>356</v>
      </c>
      <c r="R973" s="6" t="str">
        <f t="shared" ca="1" si="9"/>
        <v>NonCategory</v>
      </c>
    </row>
    <row r="974" spans="1:18">
      <c r="A974" s="162">
        <v>44671</v>
      </c>
      <c r="B974" s="164" t="s">
        <v>2471</v>
      </c>
      <c r="C974" s="168" t="s">
        <v>2472</v>
      </c>
      <c r="D974" s="6" t="s">
        <v>319</v>
      </c>
      <c r="E974" s="6" t="s">
        <v>96</v>
      </c>
      <c r="F974" s="80">
        <v>44652</v>
      </c>
      <c r="G974" s="6" t="s">
        <v>16</v>
      </c>
      <c r="H974" s="6" t="s">
        <v>2399</v>
      </c>
      <c r="I974" s="6">
        <v>1</v>
      </c>
      <c r="J974" s="8">
        <v>20000</v>
      </c>
      <c r="K974" s="8">
        <f t="shared" si="11"/>
        <v>229.04260192395787</v>
      </c>
      <c r="L974" s="96">
        <v>44671</v>
      </c>
      <c r="M974" s="6" t="s">
        <v>252</v>
      </c>
      <c r="N974" s="96">
        <v>44671</v>
      </c>
      <c r="O974" s="22" t="s">
        <v>5992</v>
      </c>
      <c r="Q974" s="6" t="s">
        <v>356</v>
      </c>
      <c r="R974" s="6" t="str">
        <f t="shared" ca="1" si="9"/>
        <v>NonCategory</v>
      </c>
    </row>
    <row r="975" spans="1:18">
      <c r="A975" s="162">
        <v>44672</v>
      </c>
      <c r="B975" s="164" t="s">
        <v>18</v>
      </c>
      <c r="C975" s="168" t="s">
        <v>2473</v>
      </c>
      <c r="D975" s="6" t="s">
        <v>287</v>
      </c>
      <c r="E975" s="6" t="s">
        <v>150</v>
      </c>
      <c r="F975" s="80">
        <v>44652</v>
      </c>
      <c r="G975" s="6" t="s">
        <v>16</v>
      </c>
      <c r="H975" s="6" t="s">
        <v>2178</v>
      </c>
      <c r="I975" s="6">
        <v>1</v>
      </c>
      <c r="J975" s="8">
        <v>21000</v>
      </c>
      <c r="K975" s="8">
        <f t="shared" si="11"/>
        <v>240.49473202015577</v>
      </c>
      <c r="L975" s="96">
        <v>44672</v>
      </c>
      <c r="M975" s="6" t="s">
        <v>253</v>
      </c>
      <c r="N975" s="96">
        <v>44672</v>
      </c>
      <c r="O975" s="22" t="s">
        <v>5993</v>
      </c>
      <c r="Q975" s="6" t="s">
        <v>356</v>
      </c>
      <c r="R975" s="6" t="str">
        <f t="shared" ca="1" si="9"/>
        <v>NonCategory</v>
      </c>
    </row>
    <row r="976" spans="1:18">
      <c r="A976" s="162">
        <v>44672</v>
      </c>
      <c r="B976" s="164" t="s">
        <v>2430</v>
      </c>
      <c r="C976" s="168" t="s">
        <v>2431</v>
      </c>
      <c r="D976" s="6" t="s">
        <v>470</v>
      </c>
      <c r="E976" s="6" t="s">
        <v>151</v>
      </c>
      <c r="F976" s="80">
        <v>44652</v>
      </c>
      <c r="G976" s="6" t="s">
        <v>16</v>
      </c>
      <c r="H976" s="6" t="s">
        <v>2178</v>
      </c>
      <c r="I976" s="6">
        <v>1</v>
      </c>
      <c r="J976" s="8">
        <v>21000</v>
      </c>
      <c r="K976" s="8">
        <f t="shared" si="11"/>
        <v>240.49473202015577</v>
      </c>
      <c r="L976" s="96">
        <v>44672</v>
      </c>
      <c r="M976" s="6" t="s">
        <v>253</v>
      </c>
      <c r="N976" s="96">
        <v>44672</v>
      </c>
      <c r="O976" s="22" t="s">
        <v>5994</v>
      </c>
      <c r="Q976" s="6" t="s">
        <v>356</v>
      </c>
      <c r="R976" s="6" t="str">
        <f t="shared" ca="1" si="9"/>
        <v>NonCategory</v>
      </c>
    </row>
    <row r="977" spans="1:18">
      <c r="A977" s="162">
        <v>44673</v>
      </c>
      <c r="B977" s="164" t="s">
        <v>2474</v>
      </c>
      <c r="C977" s="168" t="s">
        <v>2475</v>
      </c>
      <c r="D977" s="6" t="s">
        <v>287</v>
      </c>
      <c r="E977" s="6" t="s">
        <v>151</v>
      </c>
      <c r="F977" s="80">
        <v>44652</v>
      </c>
      <c r="G977" s="6" t="s">
        <v>16</v>
      </c>
      <c r="H977" s="6" t="s">
        <v>2178</v>
      </c>
      <c r="I977" s="6">
        <v>1</v>
      </c>
      <c r="J977" s="8">
        <v>21000</v>
      </c>
      <c r="K977" s="8">
        <f t="shared" si="11"/>
        <v>240.49473202015577</v>
      </c>
      <c r="L977" s="96">
        <v>44673</v>
      </c>
      <c r="M977" s="6" t="s">
        <v>253</v>
      </c>
      <c r="N977" s="96">
        <v>44673</v>
      </c>
      <c r="O977" s="22" t="s">
        <v>5995</v>
      </c>
      <c r="Q977" s="6" t="s">
        <v>356</v>
      </c>
      <c r="R977" s="6" t="str">
        <f t="shared" ca="1" si="9"/>
        <v>NonCategory</v>
      </c>
    </row>
    <row r="978" spans="1:18">
      <c r="A978" s="162">
        <v>44673</v>
      </c>
      <c r="B978" s="164" t="s">
        <v>2476</v>
      </c>
      <c r="C978" s="168" t="s">
        <v>2477</v>
      </c>
      <c r="D978" s="6" t="s">
        <v>287</v>
      </c>
      <c r="E978" s="6" t="s">
        <v>150</v>
      </c>
      <c r="F978" s="80">
        <v>44652</v>
      </c>
      <c r="G978" s="6" t="s">
        <v>16</v>
      </c>
      <c r="H978" s="6" t="s">
        <v>2178</v>
      </c>
      <c r="I978" s="6">
        <v>1</v>
      </c>
      <c r="J978" s="8">
        <v>21000</v>
      </c>
      <c r="K978" s="8">
        <f t="shared" si="11"/>
        <v>240.49473202015577</v>
      </c>
      <c r="L978" s="96">
        <v>44673</v>
      </c>
      <c r="M978" s="6" t="s">
        <v>253</v>
      </c>
      <c r="N978" s="96">
        <v>44673</v>
      </c>
      <c r="O978" s="22" t="s">
        <v>5996</v>
      </c>
      <c r="Q978" s="6" t="s">
        <v>356</v>
      </c>
      <c r="R978" s="6" t="str">
        <f t="shared" ca="1" si="9"/>
        <v>NonCategory</v>
      </c>
    </row>
    <row r="979" spans="1:18">
      <c r="A979" s="162">
        <v>44673</v>
      </c>
      <c r="B979" s="165" t="s">
        <v>2478</v>
      </c>
      <c r="C979" s="168" t="s">
        <v>2479</v>
      </c>
      <c r="D979" s="2" t="s">
        <v>306</v>
      </c>
      <c r="E979" s="6" t="s">
        <v>25</v>
      </c>
      <c r="F979" s="80">
        <v>44652</v>
      </c>
      <c r="G979" s="6" t="s">
        <v>16</v>
      </c>
      <c r="H979" s="6" t="s">
        <v>2178</v>
      </c>
      <c r="I979" s="6">
        <v>1</v>
      </c>
      <c r="J979" s="8">
        <v>42000</v>
      </c>
      <c r="K979" s="8">
        <f t="shared" si="11"/>
        <v>480.98946404031153</v>
      </c>
      <c r="L979" s="96">
        <v>44673</v>
      </c>
      <c r="M979" s="6" t="s">
        <v>253</v>
      </c>
      <c r="N979" s="96">
        <v>44673</v>
      </c>
      <c r="O979" s="22" t="s">
        <v>5997</v>
      </c>
      <c r="Q979" s="6" t="s">
        <v>356</v>
      </c>
      <c r="R979" s="6" t="str">
        <f t="shared" ca="1" si="9"/>
        <v>NonCategory</v>
      </c>
    </row>
    <row r="980" spans="1:18">
      <c r="A980" s="162">
        <v>44673</v>
      </c>
      <c r="B980" s="165" t="s">
        <v>2480</v>
      </c>
      <c r="C980" s="168" t="s">
        <v>2481</v>
      </c>
      <c r="D980" s="2" t="s">
        <v>319</v>
      </c>
      <c r="E980" s="6" t="s">
        <v>25</v>
      </c>
      <c r="F980" s="80">
        <v>44652</v>
      </c>
      <c r="G980" s="6" t="s">
        <v>16</v>
      </c>
      <c r="H980" s="6" t="s">
        <v>2178</v>
      </c>
      <c r="I980" s="6">
        <v>1</v>
      </c>
      <c r="J980" s="8">
        <v>42000</v>
      </c>
      <c r="K980" s="8">
        <f t="shared" si="11"/>
        <v>480.98946404031153</v>
      </c>
      <c r="L980" s="96">
        <v>44673</v>
      </c>
      <c r="M980" s="6" t="s">
        <v>253</v>
      </c>
      <c r="N980" s="96">
        <v>44673</v>
      </c>
      <c r="O980" s="22" t="s">
        <v>5998</v>
      </c>
      <c r="Q980" s="6" t="s">
        <v>356</v>
      </c>
      <c r="R980" s="6" t="str">
        <f t="shared" ca="1" si="9"/>
        <v>NonCategory</v>
      </c>
    </row>
    <row r="981" spans="1:18">
      <c r="A981" s="162">
        <v>44674</v>
      </c>
      <c r="B981" s="164" t="s">
        <v>2482</v>
      </c>
      <c r="C981" s="168" t="s">
        <v>2483</v>
      </c>
      <c r="D981" s="6" t="s">
        <v>287</v>
      </c>
      <c r="E981" s="6" t="s">
        <v>151</v>
      </c>
      <c r="F981" s="80">
        <v>44652</v>
      </c>
      <c r="G981" s="6" t="s">
        <v>16</v>
      </c>
      <c r="H981" s="6" t="s">
        <v>2399</v>
      </c>
      <c r="I981" s="6">
        <v>1</v>
      </c>
      <c r="J981" s="8">
        <v>21000</v>
      </c>
      <c r="K981" s="8">
        <f t="shared" si="11"/>
        <v>240.49473202015577</v>
      </c>
      <c r="L981" s="96">
        <v>44674</v>
      </c>
      <c r="M981" s="6" t="s">
        <v>253</v>
      </c>
      <c r="N981" s="96">
        <v>44674</v>
      </c>
      <c r="O981" s="22" t="s">
        <v>5999</v>
      </c>
      <c r="Q981" s="6" t="s">
        <v>356</v>
      </c>
      <c r="R981" s="6" t="str">
        <f t="shared" ca="1" si="9"/>
        <v>NonCategory</v>
      </c>
    </row>
    <row r="982" spans="1:18">
      <c r="A982" s="162">
        <v>44677</v>
      </c>
      <c r="B982" s="164" t="s">
        <v>2484</v>
      </c>
      <c r="C982" s="168" t="s">
        <v>2485</v>
      </c>
      <c r="D982" s="6" t="s">
        <v>319</v>
      </c>
      <c r="E982" s="6" t="s">
        <v>150</v>
      </c>
      <c r="F982" s="80">
        <v>44652</v>
      </c>
      <c r="G982" s="6" t="s">
        <v>16</v>
      </c>
      <c r="H982" s="6" t="s">
        <v>2452</v>
      </c>
      <c r="I982" s="6">
        <v>1</v>
      </c>
      <c r="J982" s="8">
        <v>21000</v>
      </c>
      <c r="K982" s="8">
        <f t="shared" si="11"/>
        <v>240.49473202015577</v>
      </c>
      <c r="L982" s="96">
        <v>44677</v>
      </c>
      <c r="M982" s="6" t="s">
        <v>253</v>
      </c>
      <c r="N982" s="96">
        <v>44677</v>
      </c>
      <c r="O982" s="22" t="s">
        <v>6000</v>
      </c>
      <c r="Q982" s="6" t="s">
        <v>356</v>
      </c>
      <c r="R982" s="6" t="str">
        <f t="shared" ca="1" si="9"/>
        <v>NonCategory</v>
      </c>
    </row>
    <row r="983" spans="1:18">
      <c r="A983" s="162">
        <v>44677</v>
      </c>
      <c r="B983" s="164" t="s">
        <v>2486</v>
      </c>
      <c r="C983" s="168" t="s">
        <v>2487</v>
      </c>
      <c r="D983" s="6" t="s">
        <v>278</v>
      </c>
      <c r="E983" s="6" t="s">
        <v>150</v>
      </c>
      <c r="F983" s="80">
        <v>44652</v>
      </c>
      <c r="G983" s="6" t="s">
        <v>16</v>
      </c>
      <c r="H983" s="6" t="s">
        <v>2452</v>
      </c>
      <c r="I983" s="6">
        <v>1</v>
      </c>
      <c r="J983" s="8">
        <v>21000</v>
      </c>
      <c r="K983" s="8">
        <f t="shared" si="11"/>
        <v>240.49473202015577</v>
      </c>
      <c r="L983" s="96">
        <v>44677</v>
      </c>
      <c r="M983" s="6" t="s">
        <v>253</v>
      </c>
      <c r="N983" s="96">
        <v>44677</v>
      </c>
      <c r="O983" s="22" t="s">
        <v>6001</v>
      </c>
      <c r="P983" s="6" t="s">
        <v>2332</v>
      </c>
      <c r="Q983" s="6" t="s">
        <v>356</v>
      </c>
      <c r="R983" s="6" t="str">
        <f t="shared" ca="1" si="9"/>
        <v>NonCategory</v>
      </c>
    </row>
    <row r="984" spans="1:18">
      <c r="A984" s="162">
        <v>44677</v>
      </c>
      <c r="B984" s="164" t="s">
        <v>2488</v>
      </c>
      <c r="C984" s="168" t="s">
        <v>2489</v>
      </c>
      <c r="D984" s="6" t="s">
        <v>291</v>
      </c>
      <c r="E984" s="6" t="s">
        <v>151</v>
      </c>
      <c r="F984" s="80">
        <v>44652</v>
      </c>
      <c r="G984" s="6" t="s">
        <v>16</v>
      </c>
      <c r="H984" s="6" t="s">
        <v>2399</v>
      </c>
      <c r="I984" s="6">
        <v>1</v>
      </c>
      <c r="J984" s="8">
        <v>21000</v>
      </c>
      <c r="K984" s="8">
        <f t="shared" si="11"/>
        <v>240.49473202015577</v>
      </c>
      <c r="L984" s="96">
        <v>44677</v>
      </c>
      <c r="M984" s="6" t="s">
        <v>253</v>
      </c>
      <c r="N984" s="96">
        <v>44677</v>
      </c>
      <c r="O984" s="22" t="s">
        <v>6002</v>
      </c>
      <c r="Q984" s="6" t="s">
        <v>356</v>
      </c>
      <c r="R984" s="6" t="str">
        <f t="shared" ca="1" si="9"/>
        <v>NonCategory</v>
      </c>
    </row>
    <row r="985" spans="1:18">
      <c r="A985" s="162">
        <v>44677</v>
      </c>
      <c r="B985" s="164" t="s">
        <v>2490</v>
      </c>
      <c r="C985" s="168" t="s">
        <v>2491</v>
      </c>
      <c r="D985" s="6" t="s">
        <v>319</v>
      </c>
      <c r="E985" s="6" t="s">
        <v>25</v>
      </c>
      <c r="F985" s="80">
        <v>44652</v>
      </c>
      <c r="G985" s="6" t="s">
        <v>16</v>
      </c>
      <c r="H985" s="6" t="s">
        <v>2452</v>
      </c>
      <c r="I985" s="6">
        <v>1</v>
      </c>
      <c r="J985" s="8">
        <v>42000</v>
      </c>
      <c r="K985" s="8">
        <f t="shared" si="11"/>
        <v>480.98946404031153</v>
      </c>
      <c r="L985" s="96">
        <v>44677</v>
      </c>
      <c r="M985" s="6" t="s">
        <v>253</v>
      </c>
      <c r="N985" s="96">
        <v>44678</v>
      </c>
      <c r="O985" s="22" t="s">
        <v>6003</v>
      </c>
      <c r="Q985" s="6" t="s">
        <v>356</v>
      </c>
      <c r="R985" s="6" t="str">
        <f t="shared" ca="1" si="9"/>
        <v>NonCategory</v>
      </c>
    </row>
    <row r="986" spans="1:18">
      <c r="A986" s="162">
        <v>44677</v>
      </c>
      <c r="B986" s="164" t="s">
        <v>2492</v>
      </c>
      <c r="C986" s="168" t="s">
        <v>2493</v>
      </c>
      <c r="D986" s="6" t="s">
        <v>278</v>
      </c>
      <c r="E986" s="6" t="s">
        <v>6</v>
      </c>
      <c r="F986" s="80">
        <v>44652</v>
      </c>
      <c r="G986" s="6" t="s">
        <v>16</v>
      </c>
      <c r="H986" s="6" t="s">
        <v>2399</v>
      </c>
      <c r="I986" s="6">
        <v>1</v>
      </c>
      <c r="J986" s="8">
        <v>40061</v>
      </c>
      <c r="K986" s="8">
        <f t="shared" si="11"/>
        <v>458.7837837837838</v>
      </c>
      <c r="L986" s="96">
        <v>44677</v>
      </c>
      <c r="M986" s="6" t="s">
        <v>253</v>
      </c>
      <c r="N986" s="96">
        <v>44677</v>
      </c>
      <c r="O986" s="22" t="s">
        <v>6004</v>
      </c>
      <c r="P986" s="6" t="s">
        <v>2494</v>
      </c>
      <c r="Q986" s="6" t="s">
        <v>356</v>
      </c>
      <c r="R986" s="6" t="str">
        <f t="shared" ca="1" si="9"/>
        <v>NonCategory</v>
      </c>
    </row>
    <row r="987" spans="1:18">
      <c r="A987" s="162">
        <v>44677</v>
      </c>
      <c r="B987" s="164" t="s">
        <v>2495</v>
      </c>
      <c r="C987" s="168" t="s">
        <v>2496</v>
      </c>
      <c r="D987" s="6" t="s">
        <v>319</v>
      </c>
      <c r="E987" s="6" t="s">
        <v>150</v>
      </c>
      <c r="F987" s="80">
        <v>44652</v>
      </c>
      <c r="G987" s="6" t="s">
        <v>16</v>
      </c>
      <c r="H987" s="6" t="s">
        <v>2497</v>
      </c>
      <c r="I987" s="6">
        <v>1</v>
      </c>
      <c r="J987" s="8">
        <v>21000</v>
      </c>
      <c r="K987" s="8">
        <f t="shared" si="11"/>
        <v>240.49473202015577</v>
      </c>
      <c r="L987" s="96">
        <v>44677</v>
      </c>
      <c r="M987" s="6" t="s">
        <v>253</v>
      </c>
      <c r="N987" s="96">
        <v>44677</v>
      </c>
      <c r="O987" s="22" t="s">
        <v>6005</v>
      </c>
      <c r="Q987" s="6" t="s">
        <v>356</v>
      </c>
      <c r="R987" s="6" t="str">
        <f t="shared" ca="1" si="9"/>
        <v>NonCategory</v>
      </c>
    </row>
    <row r="988" spans="1:18">
      <c r="A988" s="162">
        <v>44678</v>
      </c>
      <c r="B988" s="164" t="s">
        <v>2498</v>
      </c>
      <c r="C988" s="168" t="s">
        <v>2499</v>
      </c>
      <c r="D988" s="6" t="s">
        <v>278</v>
      </c>
      <c r="E988" s="6" t="s">
        <v>150</v>
      </c>
      <c r="F988" s="80">
        <v>44652</v>
      </c>
      <c r="G988" s="6" t="s">
        <v>16</v>
      </c>
      <c r="H988" s="6" t="s">
        <v>2452</v>
      </c>
      <c r="I988" s="6">
        <v>1</v>
      </c>
      <c r="J988" s="8">
        <v>21000</v>
      </c>
      <c r="K988" s="8">
        <f t="shared" si="11"/>
        <v>240.49473202015577</v>
      </c>
      <c r="L988" s="96">
        <v>44678</v>
      </c>
      <c r="M988" s="6" t="s">
        <v>253</v>
      </c>
      <c r="N988" s="96">
        <v>44678</v>
      </c>
      <c r="O988" s="22" t="s">
        <v>6006</v>
      </c>
      <c r="P988" s="6" t="s">
        <v>2500</v>
      </c>
      <c r="Q988" s="6" t="s">
        <v>356</v>
      </c>
      <c r="R988" s="6" t="str">
        <f t="shared" ca="1" si="9"/>
        <v>NonCategory</v>
      </c>
    </row>
    <row r="989" spans="1:18">
      <c r="A989" s="162">
        <v>44678</v>
      </c>
      <c r="B989" s="164" t="s">
        <v>460</v>
      </c>
      <c r="C989" s="168" t="s">
        <v>461</v>
      </c>
      <c r="D989" s="6" t="s">
        <v>470</v>
      </c>
      <c r="E989" s="6" t="s">
        <v>25</v>
      </c>
      <c r="F989" s="80">
        <v>44652</v>
      </c>
      <c r="G989" s="6" t="s">
        <v>16</v>
      </c>
      <c r="H989" s="6" t="s">
        <v>2452</v>
      </c>
      <c r="I989" s="6">
        <v>1</v>
      </c>
      <c r="J989" s="8">
        <v>42000</v>
      </c>
      <c r="K989" s="8">
        <f t="shared" si="11"/>
        <v>480.98946404031153</v>
      </c>
      <c r="L989" s="96">
        <v>44678</v>
      </c>
      <c r="M989" s="6" t="s">
        <v>253</v>
      </c>
      <c r="N989" s="96">
        <v>44678</v>
      </c>
      <c r="O989" s="22" t="s">
        <v>6007</v>
      </c>
      <c r="P989" s="6" t="s">
        <v>1006</v>
      </c>
      <c r="Q989" s="6" t="s">
        <v>356</v>
      </c>
      <c r="R989" s="6" t="str">
        <f t="shared" ca="1" si="9"/>
        <v>NonCategory</v>
      </c>
    </row>
    <row r="990" spans="1:18">
      <c r="A990" s="162">
        <v>44679</v>
      </c>
      <c r="B990" s="164" t="s">
        <v>2501</v>
      </c>
      <c r="C990" s="168" t="s">
        <v>2502</v>
      </c>
      <c r="D990" s="6" t="s">
        <v>287</v>
      </c>
      <c r="E990" s="6" t="s">
        <v>150</v>
      </c>
      <c r="F990" s="80">
        <v>44652</v>
      </c>
      <c r="G990" s="6" t="s">
        <v>16</v>
      </c>
      <c r="H990" s="6" t="s">
        <v>2399</v>
      </c>
      <c r="I990" s="6">
        <v>1</v>
      </c>
      <c r="J990" s="8">
        <v>21000</v>
      </c>
      <c r="K990" s="8">
        <f t="shared" si="11"/>
        <v>240.49473202015577</v>
      </c>
      <c r="L990" s="96">
        <v>44679</v>
      </c>
      <c r="M990" s="6" t="s">
        <v>253</v>
      </c>
      <c r="N990" s="96">
        <v>44679</v>
      </c>
      <c r="O990" s="22" t="s">
        <v>6008</v>
      </c>
      <c r="Q990" s="6" t="s">
        <v>356</v>
      </c>
      <c r="R990" s="6" t="str">
        <f t="shared" ca="1" si="9"/>
        <v>NonCategory</v>
      </c>
    </row>
    <row r="991" spans="1:18">
      <c r="A991" s="162">
        <v>44679</v>
      </c>
      <c r="B991" s="164" t="s">
        <v>2503</v>
      </c>
      <c r="C991" s="168" t="s">
        <v>2504</v>
      </c>
      <c r="D991" s="6" t="s">
        <v>495</v>
      </c>
      <c r="E991" s="6" t="s">
        <v>150</v>
      </c>
      <c r="F991" s="80">
        <v>44652</v>
      </c>
      <c r="G991" s="6" t="s">
        <v>16</v>
      </c>
      <c r="H991" s="6" t="s">
        <v>2452</v>
      </c>
      <c r="I991" s="6">
        <v>1</v>
      </c>
      <c r="J991" s="8">
        <v>21000</v>
      </c>
      <c r="K991" s="8">
        <f t="shared" si="11"/>
        <v>240.49473202015577</v>
      </c>
      <c r="L991" s="96">
        <v>44679</v>
      </c>
      <c r="M991" s="6" t="s">
        <v>253</v>
      </c>
      <c r="N991" s="96">
        <v>44679</v>
      </c>
      <c r="O991" s="22" t="s">
        <v>6009</v>
      </c>
      <c r="Q991" s="6" t="s">
        <v>356</v>
      </c>
      <c r="R991" s="6" t="str">
        <f t="shared" ca="1" si="9"/>
        <v>NonCategory</v>
      </c>
    </row>
    <row r="992" spans="1:18">
      <c r="A992" s="162">
        <v>44679</v>
      </c>
      <c r="B992" s="164" t="s">
        <v>2505</v>
      </c>
      <c r="C992" s="168" t="s">
        <v>2506</v>
      </c>
      <c r="D992" s="6" t="s">
        <v>319</v>
      </c>
      <c r="E992" s="6" t="s">
        <v>97</v>
      </c>
      <c r="F992" s="80">
        <v>44652</v>
      </c>
      <c r="G992" s="6" t="s">
        <v>16</v>
      </c>
      <c r="H992" s="6" t="s">
        <v>2452</v>
      </c>
      <c r="I992" s="6">
        <v>1</v>
      </c>
      <c r="J992" s="8">
        <v>20000</v>
      </c>
      <c r="K992" s="8">
        <f t="shared" si="11"/>
        <v>229.04260192395787</v>
      </c>
      <c r="L992" s="96">
        <v>44679</v>
      </c>
      <c r="M992" s="6" t="s">
        <v>253</v>
      </c>
      <c r="N992" s="96">
        <v>44680</v>
      </c>
      <c r="O992" s="22" t="s">
        <v>6010</v>
      </c>
      <c r="P992" s="6" t="s">
        <v>1019</v>
      </c>
      <c r="Q992" s="6" t="s">
        <v>356</v>
      </c>
      <c r="R992" s="6" t="str">
        <f t="shared" ca="1" si="9"/>
        <v>NonCategory</v>
      </c>
    </row>
    <row r="993" spans="1:18">
      <c r="A993" s="162">
        <v>44680</v>
      </c>
      <c r="B993" s="164" t="s">
        <v>2507</v>
      </c>
      <c r="C993" s="168" t="s">
        <v>2508</v>
      </c>
      <c r="D993" s="6" t="s">
        <v>287</v>
      </c>
      <c r="E993" s="6" t="s">
        <v>25</v>
      </c>
      <c r="F993" s="80">
        <v>44652</v>
      </c>
      <c r="G993" s="6" t="s">
        <v>16</v>
      </c>
      <c r="H993" s="6" t="s">
        <v>2452</v>
      </c>
      <c r="I993" s="6">
        <v>1</v>
      </c>
      <c r="J993" s="8">
        <v>40000</v>
      </c>
      <c r="K993" s="8">
        <f t="shared" si="11"/>
        <v>458.08520384791575</v>
      </c>
      <c r="L993" s="96">
        <v>44680</v>
      </c>
      <c r="M993" s="6" t="s">
        <v>253</v>
      </c>
      <c r="N993" s="96">
        <v>44680</v>
      </c>
      <c r="O993" s="22" t="s">
        <v>6011</v>
      </c>
      <c r="Q993" s="6" t="s">
        <v>356</v>
      </c>
      <c r="R993" s="6" t="str">
        <f t="shared" ca="1" si="9"/>
        <v>NonCategory</v>
      </c>
    </row>
    <row r="994" spans="1:18">
      <c r="A994" s="162">
        <v>44681</v>
      </c>
      <c r="B994" s="164" t="s">
        <v>1414</v>
      </c>
      <c r="C994" s="168" t="s">
        <v>2509</v>
      </c>
      <c r="D994" s="6" t="s">
        <v>291</v>
      </c>
      <c r="E994" s="6" t="s">
        <v>96</v>
      </c>
      <c r="F994" s="80">
        <v>44652</v>
      </c>
      <c r="G994" s="6" t="s">
        <v>16</v>
      </c>
      <c r="H994" s="6" t="s">
        <v>2433</v>
      </c>
      <c r="I994" s="6">
        <v>1</v>
      </c>
      <c r="J994" s="8">
        <v>20000</v>
      </c>
      <c r="K994" s="8">
        <f t="shared" si="11"/>
        <v>229.04260192395787</v>
      </c>
      <c r="L994" s="96">
        <v>44681</v>
      </c>
      <c r="M994" s="6" t="s">
        <v>253</v>
      </c>
      <c r="N994" s="96">
        <v>44681</v>
      </c>
      <c r="O994" s="22" t="s">
        <v>6012</v>
      </c>
      <c r="Q994" s="6" t="s">
        <v>280</v>
      </c>
      <c r="R994" s="6" t="str">
        <f t="shared" ca="1" si="9"/>
        <v>NonCategory</v>
      </c>
    </row>
    <row r="995" spans="1:18">
      <c r="A995" s="162">
        <v>44683</v>
      </c>
      <c r="B995" s="164" t="s">
        <v>2510</v>
      </c>
      <c r="C995" s="168" t="s">
        <v>2511</v>
      </c>
      <c r="D995" s="6" t="s">
        <v>319</v>
      </c>
      <c r="E995" s="6" t="s">
        <v>6</v>
      </c>
      <c r="F995" s="80">
        <v>44682</v>
      </c>
      <c r="G995" s="6" t="s">
        <v>16</v>
      </c>
      <c r="H995" s="6" t="s">
        <v>2399</v>
      </c>
      <c r="I995" s="6">
        <v>1</v>
      </c>
      <c r="J995" s="8">
        <v>40061</v>
      </c>
      <c r="K995" s="8">
        <f t="shared" si="11"/>
        <v>458.7837837837838</v>
      </c>
      <c r="L995" s="96">
        <v>44683</v>
      </c>
      <c r="M995" s="6" t="s">
        <v>251</v>
      </c>
      <c r="N995" s="96">
        <v>44683</v>
      </c>
      <c r="O995" s="22" t="s">
        <v>6013</v>
      </c>
      <c r="Q995" s="6" t="s">
        <v>356</v>
      </c>
      <c r="R995" s="6" t="str">
        <f t="shared" ca="1" si="9"/>
        <v>NonCategory</v>
      </c>
    </row>
    <row r="996" spans="1:18">
      <c r="A996" s="162">
        <v>44684</v>
      </c>
      <c r="B996" s="164" t="s">
        <v>2512</v>
      </c>
      <c r="C996" s="168" t="s">
        <v>2513</v>
      </c>
      <c r="D996" s="6" t="s">
        <v>278</v>
      </c>
      <c r="E996" s="6" t="s">
        <v>150</v>
      </c>
      <c r="F996" s="80">
        <v>44682</v>
      </c>
      <c r="G996" s="6" t="s">
        <v>16</v>
      </c>
      <c r="H996" s="6" t="s">
        <v>2514</v>
      </c>
      <c r="I996" s="6">
        <v>1</v>
      </c>
      <c r="J996" s="8">
        <v>21000</v>
      </c>
      <c r="K996" s="8">
        <f t="shared" si="11"/>
        <v>240.49473202015577</v>
      </c>
      <c r="L996" s="96">
        <v>44684</v>
      </c>
      <c r="M996" s="6" t="s">
        <v>251</v>
      </c>
      <c r="N996" s="96">
        <v>44684</v>
      </c>
      <c r="O996" s="22" t="s">
        <v>6014</v>
      </c>
      <c r="P996" s="20" t="s">
        <v>2210</v>
      </c>
      <c r="Q996" s="6" t="s">
        <v>356</v>
      </c>
      <c r="R996" s="6" t="str">
        <f t="shared" ca="1" si="9"/>
        <v>NonCategory</v>
      </c>
    </row>
    <row r="997" spans="1:18">
      <c r="A997" s="162">
        <v>44685</v>
      </c>
      <c r="B997" s="164" t="s">
        <v>2515</v>
      </c>
      <c r="C997" s="168" t="s">
        <v>2516</v>
      </c>
      <c r="D997" s="6" t="s">
        <v>470</v>
      </c>
      <c r="E997" s="6" t="s">
        <v>96</v>
      </c>
      <c r="F997" s="80">
        <v>44682</v>
      </c>
      <c r="G997" s="6" t="s">
        <v>16</v>
      </c>
      <c r="H997" s="6" t="s">
        <v>2514</v>
      </c>
      <c r="I997" s="6">
        <v>1</v>
      </c>
      <c r="J997" s="8">
        <v>20000</v>
      </c>
      <c r="K997" s="8">
        <f t="shared" si="11"/>
        <v>229.04260192395787</v>
      </c>
      <c r="L997" s="96">
        <v>44685</v>
      </c>
      <c r="M997" s="6" t="s">
        <v>251</v>
      </c>
      <c r="N997" s="96">
        <v>44685</v>
      </c>
      <c r="O997" s="22" t="s">
        <v>6015</v>
      </c>
      <c r="Q997" s="6" t="s">
        <v>356</v>
      </c>
      <c r="R997" s="6" t="str">
        <f t="shared" ca="1" si="9"/>
        <v>NonCategory</v>
      </c>
    </row>
    <row r="998" spans="1:18">
      <c r="A998" s="162">
        <v>44685</v>
      </c>
      <c r="B998" s="164" t="s">
        <v>2517</v>
      </c>
      <c r="C998" s="168" t="s">
        <v>2518</v>
      </c>
      <c r="D998" s="6" t="s">
        <v>303</v>
      </c>
      <c r="E998" s="6" t="s">
        <v>150</v>
      </c>
      <c r="F998" s="80">
        <v>44682</v>
      </c>
      <c r="G998" s="6" t="s">
        <v>16</v>
      </c>
      <c r="H998" s="6" t="s">
        <v>2399</v>
      </c>
      <c r="I998" s="6">
        <v>1</v>
      </c>
      <c r="J998" s="8">
        <v>21000</v>
      </c>
      <c r="K998" s="8">
        <f t="shared" si="11"/>
        <v>240.49473202015577</v>
      </c>
      <c r="L998" s="96">
        <v>44685</v>
      </c>
      <c r="M998" s="6" t="s">
        <v>251</v>
      </c>
      <c r="N998" s="96">
        <v>44685</v>
      </c>
      <c r="O998" s="22" t="s">
        <v>6016</v>
      </c>
      <c r="Q998" s="6" t="s">
        <v>356</v>
      </c>
      <c r="R998" s="6" t="str">
        <f t="shared" ca="1" si="9"/>
        <v>NonCategory</v>
      </c>
    </row>
    <row r="999" spans="1:18">
      <c r="A999" s="162">
        <v>44685</v>
      </c>
      <c r="B999" s="164" t="s">
        <v>2519</v>
      </c>
      <c r="C999" s="168" t="s">
        <v>2520</v>
      </c>
      <c r="D999" s="6" t="s">
        <v>278</v>
      </c>
      <c r="E999" s="6" t="s">
        <v>96</v>
      </c>
      <c r="F999" s="80">
        <v>44682</v>
      </c>
      <c r="G999" s="6" t="s">
        <v>16</v>
      </c>
      <c r="H999" s="6" t="s">
        <v>2514</v>
      </c>
      <c r="I999" s="6">
        <v>1</v>
      </c>
      <c r="J999" s="8">
        <v>20000</v>
      </c>
      <c r="K999" s="8">
        <f t="shared" si="11"/>
        <v>229.04260192395787</v>
      </c>
      <c r="L999" s="96">
        <v>44685</v>
      </c>
      <c r="M999" s="6" t="s">
        <v>251</v>
      </c>
      <c r="N999" s="96">
        <v>44685</v>
      </c>
      <c r="O999" s="22" t="s">
        <v>6017</v>
      </c>
      <c r="P999" s="6" t="s">
        <v>2521</v>
      </c>
      <c r="Q999" s="6" t="s">
        <v>356</v>
      </c>
      <c r="R999" s="6" t="str">
        <f t="shared" ca="1" si="9"/>
        <v>NonCategory</v>
      </c>
    </row>
    <row r="1000" spans="1:18">
      <c r="A1000" s="162">
        <v>44686</v>
      </c>
      <c r="B1000" s="164" t="s">
        <v>2522</v>
      </c>
      <c r="C1000" s="168" t="s">
        <v>2523</v>
      </c>
      <c r="D1000" s="6" t="s">
        <v>303</v>
      </c>
      <c r="E1000" s="6" t="s">
        <v>6</v>
      </c>
      <c r="F1000" s="80">
        <v>44682</v>
      </c>
      <c r="G1000" s="6" t="s">
        <v>16</v>
      </c>
      <c r="H1000" s="6" t="s">
        <v>2399</v>
      </c>
      <c r="I1000" s="6">
        <v>1</v>
      </c>
      <c r="J1000" s="8">
        <v>40061</v>
      </c>
      <c r="K1000" s="8">
        <f t="shared" si="11"/>
        <v>458.7837837837838</v>
      </c>
      <c r="L1000" s="96">
        <v>44686</v>
      </c>
      <c r="M1000" s="6" t="s">
        <v>251</v>
      </c>
      <c r="N1000" s="96">
        <v>44686</v>
      </c>
      <c r="O1000" s="22" t="s">
        <v>6018</v>
      </c>
      <c r="Q1000" s="6" t="s">
        <v>356</v>
      </c>
      <c r="R1000" s="6" t="str">
        <f t="shared" ca="1" si="9"/>
        <v>NonCategory</v>
      </c>
    </row>
    <row r="1001" spans="1:18">
      <c r="A1001" s="162">
        <v>44686</v>
      </c>
      <c r="B1001" s="164" t="s">
        <v>2524</v>
      </c>
      <c r="C1001" s="168" t="s">
        <v>2525</v>
      </c>
      <c r="D1001" s="6" t="s">
        <v>278</v>
      </c>
      <c r="E1001" s="6" t="s">
        <v>97</v>
      </c>
      <c r="F1001" s="80">
        <v>44682</v>
      </c>
      <c r="G1001" s="6" t="s">
        <v>16</v>
      </c>
      <c r="H1001" s="6" t="s">
        <v>2497</v>
      </c>
      <c r="I1001" s="6">
        <v>1</v>
      </c>
      <c r="J1001" s="8">
        <v>20000</v>
      </c>
      <c r="K1001" s="8">
        <f t="shared" si="11"/>
        <v>229.04260192395787</v>
      </c>
      <c r="L1001" s="96">
        <v>44686</v>
      </c>
      <c r="M1001" s="6" t="s">
        <v>251</v>
      </c>
      <c r="N1001" s="96">
        <v>44686</v>
      </c>
      <c r="O1001" s="22" t="s">
        <v>6019</v>
      </c>
      <c r="P1001" s="6" t="s">
        <v>2526</v>
      </c>
      <c r="Q1001" s="6" t="s">
        <v>280</v>
      </c>
      <c r="R1001" s="6" t="str">
        <f t="shared" ca="1" si="9"/>
        <v>NonCategory</v>
      </c>
    </row>
    <row r="1002" spans="1:18">
      <c r="A1002" s="162">
        <v>44686</v>
      </c>
      <c r="B1002" s="164" t="s">
        <v>2527</v>
      </c>
      <c r="C1002" s="168" t="s">
        <v>2528</v>
      </c>
      <c r="D1002" s="6" t="s">
        <v>1731</v>
      </c>
      <c r="E1002" s="6" t="s">
        <v>150</v>
      </c>
      <c r="F1002" s="80">
        <v>44682</v>
      </c>
      <c r="G1002" s="6" t="s">
        <v>16</v>
      </c>
      <c r="H1002" s="6" t="s">
        <v>2433</v>
      </c>
      <c r="I1002" s="6">
        <v>1</v>
      </c>
      <c r="J1002" s="8">
        <v>20500</v>
      </c>
      <c r="K1002" s="8">
        <f t="shared" si="11"/>
        <v>234.76866697205682</v>
      </c>
      <c r="L1002" s="96">
        <v>44686</v>
      </c>
      <c r="M1002" s="6" t="s">
        <v>251</v>
      </c>
      <c r="N1002" s="96">
        <v>44686</v>
      </c>
      <c r="O1002" s="22" t="s">
        <v>6020</v>
      </c>
      <c r="Q1002" s="6" t="s">
        <v>280</v>
      </c>
      <c r="R1002" s="6" t="str">
        <f t="shared" ca="1" si="9"/>
        <v>NonCategory</v>
      </c>
    </row>
    <row r="1003" spans="1:18">
      <c r="A1003" s="162">
        <v>44686</v>
      </c>
      <c r="B1003" s="164" t="s">
        <v>2529</v>
      </c>
      <c r="C1003" s="168" t="s">
        <v>2530</v>
      </c>
      <c r="D1003" s="6" t="s">
        <v>278</v>
      </c>
      <c r="E1003" s="6" t="s">
        <v>150</v>
      </c>
      <c r="F1003" s="80">
        <v>44682</v>
      </c>
      <c r="G1003" s="6" t="s">
        <v>16</v>
      </c>
      <c r="H1003" s="6" t="s">
        <v>2433</v>
      </c>
      <c r="I1003" s="6">
        <v>1</v>
      </c>
      <c r="J1003" s="8">
        <v>20500</v>
      </c>
      <c r="K1003" s="8">
        <f t="shared" si="11"/>
        <v>234.76866697205682</v>
      </c>
      <c r="L1003" s="96">
        <v>44686</v>
      </c>
      <c r="M1003" s="6" t="s">
        <v>251</v>
      </c>
      <c r="N1003" s="96">
        <v>44686</v>
      </c>
      <c r="O1003" s="22" t="s">
        <v>6021</v>
      </c>
      <c r="P1003" s="6" t="s">
        <v>2531</v>
      </c>
      <c r="Q1003" s="6" t="s">
        <v>280</v>
      </c>
      <c r="R1003" s="6" t="str">
        <f t="shared" ca="1" si="9"/>
        <v>NonCategory</v>
      </c>
    </row>
    <row r="1004" spans="1:18">
      <c r="A1004" s="162">
        <v>44686</v>
      </c>
      <c r="B1004" s="165" t="s">
        <v>2532</v>
      </c>
      <c r="C1004" s="168" t="s">
        <v>2533</v>
      </c>
      <c r="D1004" s="2" t="s">
        <v>303</v>
      </c>
      <c r="E1004" s="2" t="s">
        <v>25</v>
      </c>
      <c r="F1004" s="79">
        <v>44682</v>
      </c>
      <c r="G1004" s="6" t="s">
        <v>13</v>
      </c>
      <c r="H1004" s="6" t="s">
        <v>2433</v>
      </c>
      <c r="I1004" s="6">
        <v>1</v>
      </c>
      <c r="J1004" s="8">
        <v>42000</v>
      </c>
      <c r="K1004" s="8">
        <f t="shared" si="11"/>
        <v>480.98946404031153</v>
      </c>
      <c r="L1004" s="96">
        <v>44686</v>
      </c>
      <c r="R1004" s="6" t="str">
        <f t="shared" ca="1" si="9"/>
        <v>NonCategory</v>
      </c>
    </row>
    <row r="1005" spans="1:18">
      <c r="A1005" s="162">
        <v>44687</v>
      </c>
      <c r="B1005" s="164" t="s">
        <v>2534</v>
      </c>
      <c r="C1005" s="168" t="s">
        <v>2535</v>
      </c>
      <c r="D1005" s="6" t="s">
        <v>303</v>
      </c>
      <c r="E1005" s="6" t="s">
        <v>97</v>
      </c>
      <c r="F1005" s="80">
        <v>44682</v>
      </c>
      <c r="G1005" s="6" t="s">
        <v>16</v>
      </c>
      <c r="H1005" s="6" t="s">
        <v>2536</v>
      </c>
      <c r="I1005" s="6">
        <v>1</v>
      </c>
      <c r="J1005" s="8">
        <v>20000</v>
      </c>
      <c r="K1005" s="8">
        <f t="shared" si="11"/>
        <v>229.04260192395787</v>
      </c>
      <c r="L1005" s="96">
        <v>44687</v>
      </c>
      <c r="M1005" s="6" t="s">
        <v>251</v>
      </c>
      <c r="N1005" s="96">
        <v>44687</v>
      </c>
      <c r="O1005" s="22" t="s">
        <v>6022</v>
      </c>
      <c r="Q1005" s="6" t="s">
        <v>356</v>
      </c>
      <c r="R1005" s="6" t="str">
        <f t="shared" ca="1" si="9"/>
        <v>NonCategory</v>
      </c>
    </row>
    <row r="1006" spans="1:18">
      <c r="A1006" s="162">
        <v>44687</v>
      </c>
      <c r="B1006" s="164" t="s">
        <v>2537</v>
      </c>
      <c r="C1006" s="168" t="s">
        <v>2538</v>
      </c>
      <c r="D1006" s="6" t="s">
        <v>303</v>
      </c>
      <c r="E1006" s="6" t="s">
        <v>14</v>
      </c>
      <c r="F1006" s="80">
        <v>44682</v>
      </c>
      <c r="G1006" s="6" t="s">
        <v>16</v>
      </c>
      <c r="H1006" s="6" t="s">
        <v>2539</v>
      </c>
      <c r="I1006" s="6">
        <v>1</v>
      </c>
      <c r="J1006" s="8">
        <v>30500</v>
      </c>
      <c r="K1006" s="8">
        <f t="shared" si="11"/>
        <v>349.28996793403576</v>
      </c>
      <c r="L1006" s="96">
        <v>44687</v>
      </c>
      <c r="M1006" s="6" t="s">
        <v>251</v>
      </c>
      <c r="N1006" s="96">
        <v>44687</v>
      </c>
      <c r="O1006" s="129" t="s">
        <v>6023</v>
      </c>
      <c r="Q1006" s="6" t="s">
        <v>356</v>
      </c>
      <c r="R1006" s="6" t="str">
        <f t="shared" ca="1" si="9"/>
        <v>NonCategory</v>
      </c>
    </row>
    <row r="1007" spans="1:18" ht="14.4">
      <c r="A1007" s="162">
        <v>44687</v>
      </c>
      <c r="B1007" s="164" t="s">
        <v>2120</v>
      </c>
      <c r="C1007" s="168" t="s">
        <v>2121</v>
      </c>
      <c r="D1007" s="6" t="s">
        <v>470</v>
      </c>
      <c r="E1007" s="6" t="s">
        <v>1277</v>
      </c>
      <c r="F1007" s="80">
        <v>44682</v>
      </c>
      <c r="G1007" s="6" t="s">
        <v>16</v>
      </c>
      <c r="H1007" s="96">
        <v>44688</v>
      </c>
      <c r="I1007" s="6">
        <v>1</v>
      </c>
      <c r="J1007" s="8">
        <v>45000</v>
      </c>
      <c r="K1007" s="8">
        <f t="shared" si="11"/>
        <v>515.34585432890515</v>
      </c>
      <c r="L1007" s="96">
        <v>44687</v>
      </c>
      <c r="M1007" s="6" t="s">
        <v>251</v>
      </c>
      <c r="N1007" s="96">
        <v>44687</v>
      </c>
      <c r="O1007" s="130" t="s">
        <v>6024</v>
      </c>
      <c r="Q1007" s="6" t="s">
        <v>356</v>
      </c>
      <c r="R1007" s="6" t="str">
        <f t="shared" ca="1" si="9"/>
        <v>NonCategory</v>
      </c>
    </row>
    <row r="1008" spans="1:18">
      <c r="A1008" s="162">
        <v>44688</v>
      </c>
      <c r="B1008" s="164" t="s">
        <v>2540</v>
      </c>
      <c r="C1008" s="168" t="s">
        <v>2541</v>
      </c>
      <c r="D1008" s="6" t="s">
        <v>291</v>
      </c>
      <c r="E1008" s="6" t="s">
        <v>150</v>
      </c>
      <c r="F1008" s="80">
        <v>44682</v>
      </c>
      <c r="G1008" s="6" t="s">
        <v>16</v>
      </c>
      <c r="H1008" s="6" t="s">
        <v>2497</v>
      </c>
      <c r="I1008" s="6">
        <v>1</v>
      </c>
      <c r="J1008" s="8">
        <v>21000</v>
      </c>
      <c r="K1008" s="8">
        <f t="shared" si="11"/>
        <v>240.49473202015577</v>
      </c>
      <c r="L1008" s="96">
        <v>44688</v>
      </c>
      <c r="M1008" s="6" t="s">
        <v>251</v>
      </c>
      <c r="N1008" s="96">
        <v>44688</v>
      </c>
      <c r="O1008" s="22" t="s">
        <v>6025</v>
      </c>
      <c r="Q1008" s="6" t="s">
        <v>280</v>
      </c>
      <c r="R1008" s="6" t="str">
        <f t="shared" ca="1" si="9"/>
        <v>NonCategory</v>
      </c>
    </row>
    <row r="1009" spans="1:18">
      <c r="A1009" s="162">
        <v>44690</v>
      </c>
      <c r="B1009" s="164" t="s">
        <v>2542</v>
      </c>
      <c r="C1009" s="168" t="s">
        <v>2543</v>
      </c>
      <c r="D1009" s="6" t="s">
        <v>291</v>
      </c>
      <c r="E1009" s="6" t="s">
        <v>150</v>
      </c>
      <c r="F1009" s="80">
        <v>44682</v>
      </c>
      <c r="G1009" s="6" t="s">
        <v>13</v>
      </c>
      <c r="H1009" s="6" t="s">
        <v>2497</v>
      </c>
      <c r="I1009" s="6">
        <v>1</v>
      </c>
      <c r="J1009" s="8">
        <v>21000</v>
      </c>
      <c r="K1009" s="8">
        <f t="shared" si="11"/>
        <v>240.49473202015577</v>
      </c>
      <c r="L1009" s="96">
        <v>44690</v>
      </c>
      <c r="R1009" s="6" t="str">
        <f t="shared" ca="1" si="9"/>
        <v>NonCategory</v>
      </c>
    </row>
    <row r="1010" spans="1:18">
      <c r="A1010" s="162">
        <v>44691</v>
      </c>
      <c r="B1010" s="164" t="s">
        <v>2544</v>
      </c>
      <c r="C1010" s="168" t="s">
        <v>2545</v>
      </c>
      <c r="D1010" s="6" t="s">
        <v>319</v>
      </c>
      <c r="E1010" s="6" t="s">
        <v>96</v>
      </c>
      <c r="F1010" s="79">
        <v>44682</v>
      </c>
      <c r="G1010" s="6" t="s">
        <v>16</v>
      </c>
      <c r="H1010" s="6" t="s">
        <v>2497</v>
      </c>
      <c r="I1010" s="6">
        <v>1</v>
      </c>
      <c r="J1010" s="8">
        <v>21000</v>
      </c>
      <c r="K1010" s="8">
        <f t="shared" si="11"/>
        <v>240.49473202015577</v>
      </c>
      <c r="L1010" s="96">
        <v>44691</v>
      </c>
      <c r="M1010" s="6" t="s">
        <v>251</v>
      </c>
      <c r="N1010" s="96">
        <v>44691</v>
      </c>
      <c r="O1010" s="22" t="s">
        <v>6026</v>
      </c>
      <c r="Q1010" s="6" t="s">
        <v>280</v>
      </c>
      <c r="R1010" s="6" t="str">
        <f t="shared" ca="1" si="9"/>
        <v>NonCategory</v>
      </c>
    </row>
    <row r="1011" spans="1:18">
      <c r="A1011" s="162">
        <v>44691</v>
      </c>
      <c r="B1011" s="164" t="s">
        <v>803</v>
      </c>
      <c r="C1011" s="168" t="s">
        <v>2546</v>
      </c>
      <c r="D1011" s="6" t="s">
        <v>319</v>
      </c>
      <c r="E1011" s="6" t="s">
        <v>1524</v>
      </c>
      <c r="F1011" s="79">
        <v>44682</v>
      </c>
      <c r="G1011" s="6" t="s">
        <v>16</v>
      </c>
      <c r="H1011" s="6" t="s">
        <v>2514</v>
      </c>
      <c r="I1011" s="6">
        <v>1</v>
      </c>
      <c r="J1011" s="8">
        <v>24000</v>
      </c>
      <c r="K1011" s="8">
        <f t="shared" si="11"/>
        <v>274.85112230874944</v>
      </c>
      <c r="L1011" s="96">
        <v>44691</v>
      </c>
      <c r="M1011" s="6" t="s">
        <v>251</v>
      </c>
      <c r="N1011" s="96">
        <v>44691</v>
      </c>
      <c r="O1011" s="22" t="s">
        <v>6027</v>
      </c>
      <c r="Q1011" s="6" t="s">
        <v>356</v>
      </c>
      <c r="R1011" s="6" t="str">
        <f t="shared" ca="1" si="9"/>
        <v>NonCategory</v>
      </c>
    </row>
    <row r="1012" spans="1:18">
      <c r="A1012" s="162">
        <v>44691</v>
      </c>
      <c r="B1012" s="164" t="s">
        <v>2547</v>
      </c>
      <c r="C1012" s="168" t="s">
        <v>2548</v>
      </c>
      <c r="D1012" s="6" t="s">
        <v>287</v>
      </c>
      <c r="E1012" s="6" t="s">
        <v>151</v>
      </c>
      <c r="F1012" s="79">
        <v>44682</v>
      </c>
      <c r="G1012" s="6" t="s">
        <v>16</v>
      </c>
      <c r="H1012" s="6" t="s">
        <v>2433</v>
      </c>
      <c r="I1012" s="6">
        <v>1</v>
      </c>
      <c r="J1012" s="8">
        <v>21000</v>
      </c>
      <c r="K1012" s="8">
        <f t="shared" si="11"/>
        <v>240.49473202015577</v>
      </c>
      <c r="L1012" s="96">
        <v>44691</v>
      </c>
      <c r="M1012" s="6" t="s">
        <v>251</v>
      </c>
      <c r="N1012" s="96">
        <v>44691</v>
      </c>
      <c r="O1012" s="22" t="s">
        <v>6028</v>
      </c>
      <c r="Q1012" s="6" t="s">
        <v>356</v>
      </c>
      <c r="R1012" s="6" t="str">
        <f t="shared" ca="1" si="9"/>
        <v>NonCategory</v>
      </c>
    </row>
    <row r="1013" spans="1:18">
      <c r="A1013" s="162">
        <v>44691</v>
      </c>
      <c r="B1013" s="164" t="s">
        <v>2549</v>
      </c>
      <c r="C1013" s="168" t="s">
        <v>2550</v>
      </c>
      <c r="D1013" s="6" t="s">
        <v>291</v>
      </c>
      <c r="E1013" s="6" t="s">
        <v>151</v>
      </c>
      <c r="F1013" s="79">
        <v>44682</v>
      </c>
      <c r="G1013" s="6" t="s">
        <v>13</v>
      </c>
      <c r="H1013" s="6" t="s">
        <v>2514</v>
      </c>
      <c r="I1013" s="6">
        <v>1</v>
      </c>
      <c r="J1013" s="8">
        <v>21000</v>
      </c>
      <c r="K1013" s="8">
        <f t="shared" si="11"/>
        <v>240.49473202015577</v>
      </c>
      <c r="L1013" s="96">
        <v>44691</v>
      </c>
      <c r="R1013" s="6" t="str">
        <f t="shared" ca="1" si="9"/>
        <v>NonCategory</v>
      </c>
    </row>
    <row r="1014" spans="1:18">
      <c r="A1014" s="162">
        <v>44691</v>
      </c>
      <c r="B1014" s="164" t="s">
        <v>2239</v>
      </c>
      <c r="C1014" s="168" t="s">
        <v>2551</v>
      </c>
      <c r="D1014" s="6" t="s">
        <v>278</v>
      </c>
      <c r="E1014" s="6" t="s">
        <v>1524</v>
      </c>
      <c r="F1014" s="79">
        <v>44682</v>
      </c>
      <c r="G1014" s="6" t="s">
        <v>16</v>
      </c>
      <c r="H1014" s="6" t="s">
        <v>2433</v>
      </c>
      <c r="I1014" s="6">
        <v>1</v>
      </c>
      <c r="J1014" s="8">
        <v>24000</v>
      </c>
      <c r="K1014" s="8">
        <f t="shared" si="11"/>
        <v>274.85112230874944</v>
      </c>
      <c r="L1014" s="96">
        <v>44691</v>
      </c>
      <c r="M1014" s="6" t="s">
        <v>251</v>
      </c>
      <c r="N1014" s="96">
        <v>44691</v>
      </c>
      <c r="O1014" s="22" t="s">
        <v>6029</v>
      </c>
      <c r="P1014" s="6" t="s">
        <v>2241</v>
      </c>
      <c r="Q1014" s="6" t="s">
        <v>280</v>
      </c>
      <c r="R1014" s="6" t="str">
        <f t="shared" ca="1" si="9"/>
        <v>NonCategory</v>
      </c>
    </row>
    <row r="1015" spans="1:18">
      <c r="A1015" s="162">
        <v>44691</v>
      </c>
      <c r="B1015" s="164" t="s">
        <v>2552</v>
      </c>
      <c r="C1015" s="168" t="s">
        <v>2553</v>
      </c>
      <c r="D1015" s="6" t="s">
        <v>278</v>
      </c>
      <c r="E1015" s="6" t="s">
        <v>96</v>
      </c>
      <c r="F1015" s="79">
        <v>44682</v>
      </c>
      <c r="G1015" s="6" t="s">
        <v>16</v>
      </c>
      <c r="H1015" s="6" t="s">
        <v>2497</v>
      </c>
      <c r="I1015" s="6">
        <v>1</v>
      </c>
      <c r="J1015" s="8">
        <v>20000</v>
      </c>
      <c r="K1015" s="8">
        <f t="shared" si="11"/>
        <v>229.04260192395787</v>
      </c>
      <c r="L1015" s="96">
        <v>44691</v>
      </c>
      <c r="M1015" s="6" t="s">
        <v>251</v>
      </c>
      <c r="N1015" s="96">
        <v>44691</v>
      </c>
      <c r="O1015" s="22" t="s">
        <v>6030</v>
      </c>
      <c r="P1015" s="20" t="s">
        <v>2210</v>
      </c>
      <c r="Q1015" s="6" t="s">
        <v>280</v>
      </c>
      <c r="R1015" s="6" t="str">
        <f t="shared" ca="1" si="9"/>
        <v>NonCategory</v>
      </c>
    </row>
    <row r="1016" spans="1:18">
      <c r="A1016" s="162">
        <v>44692</v>
      </c>
      <c r="B1016" s="164" t="s">
        <v>2554</v>
      </c>
      <c r="C1016" s="168" t="s">
        <v>2555</v>
      </c>
      <c r="D1016" s="6" t="s">
        <v>291</v>
      </c>
      <c r="E1016" s="6" t="s">
        <v>151</v>
      </c>
      <c r="F1016" s="79">
        <v>44682</v>
      </c>
      <c r="G1016" s="6" t="s">
        <v>16</v>
      </c>
      <c r="H1016" s="6" t="s">
        <v>2433</v>
      </c>
      <c r="I1016" s="6">
        <v>1</v>
      </c>
      <c r="J1016" s="8">
        <v>21000</v>
      </c>
      <c r="K1016" s="8">
        <f t="shared" si="11"/>
        <v>240.49473202015577</v>
      </c>
      <c r="L1016" s="96">
        <v>44692</v>
      </c>
      <c r="M1016" s="6" t="s">
        <v>252</v>
      </c>
      <c r="N1016" s="96">
        <v>44692</v>
      </c>
      <c r="O1016" s="22" t="s">
        <v>6031</v>
      </c>
      <c r="Q1016" s="6" t="s">
        <v>280</v>
      </c>
      <c r="R1016" s="6" t="str">
        <f t="shared" ca="1" si="9"/>
        <v>NonCategory</v>
      </c>
    </row>
    <row r="1017" spans="1:18">
      <c r="A1017" s="162">
        <v>44692</v>
      </c>
      <c r="B1017" s="164" t="s">
        <v>2556</v>
      </c>
      <c r="C1017" s="168" t="s">
        <v>2557</v>
      </c>
      <c r="D1017" s="6" t="s">
        <v>278</v>
      </c>
      <c r="E1017" s="6" t="s">
        <v>150</v>
      </c>
      <c r="F1017" s="79">
        <v>44682</v>
      </c>
      <c r="G1017" s="6" t="s">
        <v>16</v>
      </c>
      <c r="H1017" s="6" t="s">
        <v>2497</v>
      </c>
      <c r="I1017" s="6">
        <v>1</v>
      </c>
      <c r="J1017" s="8">
        <v>20500</v>
      </c>
      <c r="K1017" s="8">
        <f t="shared" si="11"/>
        <v>234.76866697205682</v>
      </c>
      <c r="L1017" s="96">
        <v>44692</v>
      </c>
      <c r="M1017" s="6" t="s">
        <v>252</v>
      </c>
      <c r="N1017" s="96">
        <v>44692</v>
      </c>
      <c r="O1017" s="22" t="s">
        <v>6032</v>
      </c>
      <c r="P1017" s="6" t="s">
        <v>2558</v>
      </c>
      <c r="Q1017" s="6" t="s">
        <v>280</v>
      </c>
      <c r="R1017" s="6" t="str">
        <f t="shared" ca="1" si="9"/>
        <v>NonCategory</v>
      </c>
    </row>
    <row r="1018" spans="1:18">
      <c r="A1018" s="162">
        <v>44692</v>
      </c>
      <c r="B1018" s="164" t="s">
        <v>2559</v>
      </c>
      <c r="C1018" s="168" t="s">
        <v>2560</v>
      </c>
      <c r="D1018" s="6" t="s">
        <v>291</v>
      </c>
      <c r="E1018" s="6" t="s">
        <v>150</v>
      </c>
      <c r="F1018" s="79">
        <v>44682</v>
      </c>
      <c r="G1018" s="6" t="s">
        <v>16</v>
      </c>
      <c r="H1018" s="6" t="s">
        <v>2433</v>
      </c>
      <c r="I1018" s="6">
        <v>1</v>
      </c>
      <c r="J1018" s="8">
        <v>20500</v>
      </c>
      <c r="K1018" s="8">
        <f t="shared" si="11"/>
        <v>234.76866697205682</v>
      </c>
      <c r="L1018" s="96">
        <v>44692</v>
      </c>
      <c r="M1018" s="6" t="s">
        <v>252</v>
      </c>
      <c r="N1018" s="96">
        <v>44692</v>
      </c>
      <c r="O1018" s="22" t="s">
        <v>6033</v>
      </c>
      <c r="Q1018" s="6" t="s">
        <v>280</v>
      </c>
      <c r="R1018" s="6" t="str">
        <f t="shared" ca="1" si="9"/>
        <v>NonCategory</v>
      </c>
    </row>
    <row r="1019" spans="1:18">
      <c r="A1019" s="162">
        <v>44692</v>
      </c>
      <c r="B1019" s="164" t="s">
        <v>2402</v>
      </c>
      <c r="C1019" s="168" t="s">
        <v>2403</v>
      </c>
      <c r="D1019" s="6" t="s">
        <v>278</v>
      </c>
      <c r="E1019" s="6" t="s">
        <v>150</v>
      </c>
      <c r="F1019" s="79">
        <v>44682</v>
      </c>
      <c r="G1019" s="6" t="s">
        <v>13</v>
      </c>
      <c r="H1019" s="6" t="s">
        <v>2433</v>
      </c>
      <c r="I1019" s="6">
        <v>1</v>
      </c>
      <c r="J1019" s="8">
        <v>21000</v>
      </c>
      <c r="K1019" s="8">
        <f t="shared" si="11"/>
        <v>240.49473202015577</v>
      </c>
      <c r="L1019" s="96">
        <v>44692</v>
      </c>
      <c r="R1019" s="6" t="str">
        <f t="shared" ca="1" si="9"/>
        <v>NonCategory</v>
      </c>
    </row>
    <row r="1020" spans="1:18">
      <c r="A1020" s="162">
        <v>44692</v>
      </c>
      <c r="B1020" s="164" t="s">
        <v>2561</v>
      </c>
      <c r="C1020" s="168" t="s">
        <v>2562</v>
      </c>
      <c r="D1020" s="6" t="s">
        <v>470</v>
      </c>
      <c r="E1020" s="6" t="s">
        <v>96</v>
      </c>
      <c r="F1020" s="79">
        <v>44682</v>
      </c>
      <c r="G1020" s="6" t="s">
        <v>16</v>
      </c>
      <c r="H1020" s="6" t="s">
        <v>2563</v>
      </c>
      <c r="I1020" s="6">
        <v>1</v>
      </c>
      <c r="J1020" s="8">
        <v>20000</v>
      </c>
      <c r="K1020" s="8">
        <f t="shared" si="11"/>
        <v>229.04260192395787</v>
      </c>
      <c r="L1020" s="96">
        <v>44692</v>
      </c>
      <c r="M1020" s="6" t="s">
        <v>252</v>
      </c>
      <c r="N1020" s="96">
        <v>44692</v>
      </c>
      <c r="O1020" s="22" t="s">
        <v>6034</v>
      </c>
      <c r="Q1020" s="6" t="s">
        <v>356</v>
      </c>
      <c r="R1020" s="6" t="str">
        <f t="shared" ca="1" si="9"/>
        <v>NonCategory</v>
      </c>
    </row>
    <row r="1021" spans="1:18">
      <c r="A1021" s="162">
        <v>44693</v>
      </c>
      <c r="B1021" s="164" t="s">
        <v>2564</v>
      </c>
      <c r="C1021" s="168" t="s">
        <v>2565</v>
      </c>
      <c r="D1021" s="6" t="s">
        <v>303</v>
      </c>
      <c r="E1021" s="6" t="s">
        <v>151</v>
      </c>
      <c r="F1021" s="79">
        <v>44682</v>
      </c>
      <c r="G1021" s="6" t="s">
        <v>16</v>
      </c>
      <c r="H1021" s="6" t="s">
        <v>2433</v>
      </c>
      <c r="I1021" s="6">
        <v>1</v>
      </c>
      <c r="J1021" s="8">
        <v>21000</v>
      </c>
      <c r="K1021" s="8">
        <f t="shared" si="11"/>
        <v>240.49473202015577</v>
      </c>
      <c r="L1021" s="96">
        <v>44693</v>
      </c>
      <c r="M1021" s="6" t="s">
        <v>252</v>
      </c>
      <c r="N1021" s="96">
        <v>44693</v>
      </c>
      <c r="O1021" s="22" t="s">
        <v>6035</v>
      </c>
      <c r="Q1021" s="6" t="s">
        <v>280</v>
      </c>
      <c r="R1021" s="6" t="str">
        <f t="shared" ref="R1021:R1275" ca="1" si="12">IFERROR(_xludf.IFS($E1021="CSM","Category",$E1021="CSPO","Category", $E1021="PSM","Category",$E1021="PSPO","Category",$E1021="SAFe Agile","SAFe",$E1021="SAFe SSM","SAFe",$E1021="SAFe POPM","SAFe",$E1021="SASM","SAFe",$E1021="PMI-ACP","Category",$E1021="ICP-ACC","Category",$E1021="PSM 2","Category",$E1021="SAFe RTE","SAFe",$E1021="",""),"NonCategory")</f>
        <v>NonCategory</v>
      </c>
    </row>
    <row r="1022" spans="1:18">
      <c r="A1022" s="162">
        <v>44694</v>
      </c>
      <c r="B1022" s="164" t="s">
        <v>2566</v>
      </c>
      <c r="C1022" s="168" t="s">
        <v>2567</v>
      </c>
      <c r="D1022" s="6" t="s">
        <v>319</v>
      </c>
      <c r="E1022" s="6" t="s">
        <v>1524</v>
      </c>
      <c r="F1022" s="79">
        <v>44682</v>
      </c>
      <c r="G1022" s="6" t="s">
        <v>16</v>
      </c>
      <c r="H1022" s="6" t="s">
        <v>2433</v>
      </c>
      <c r="I1022" s="6">
        <v>1</v>
      </c>
      <c r="J1022" s="8">
        <v>24000</v>
      </c>
      <c r="K1022" s="8">
        <f t="shared" si="11"/>
        <v>274.85112230874944</v>
      </c>
      <c r="L1022" s="96">
        <v>44694</v>
      </c>
      <c r="M1022" s="6" t="s">
        <v>252</v>
      </c>
      <c r="N1022" s="96">
        <v>44694</v>
      </c>
      <c r="O1022" s="22" t="s">
        <v>6036</v>
      </c>
      <c r="Q1022" s="6" t="s">
        <v>280</v>
      </c>
      <c r="R1022" s="6" t="str">
        <f t="shared" ca="1" si="12"/>
        <v>NonCategory</v>
      </c>
    </row>
    <row r="1023" spans="1:18">
      <c r="A1023" s="162">
        <v>44694</v>
      </c>
      <c r="B1023" s="164" t="s">
        <v>2568</v>
      </c>
      <c r="C1023" s="168" t="s">
        <v>2569</v>
      </c>
      <c r="D1023" s="6" t="s">
        <v>319</v>
      </c>
      <c r="E1023" s="6" t="s">
        <v>1524</v>
      </c>
      <c r="F1023" s="79">
        <v>44682</v>
      </c>
      <c r="G1023" s="6" t="s">
        <v>16</v>
      </c>
      <c r="H1023" s="6" t="s">
        <v>2433</v>
      </c>
      <c r="I1023" s="6">
        <v>1</v>
      </c>
      <c r="J1023" s="8">
        <v>24000</v>
      </c>
      <c r="K1023" s="8">
        <f t="shared" si="11"/>
        <v>274.85112230874944</v>
      </c>
      <c r="L1023" s="96">
        <v>44694</v>
      </c>
      <c r="M1023" s="6" t="s">
        <v>252</v>
      </c>
      <c r="N1023" s="96">
        <v>44694</v>
      </c>
      <c r="O1023" s="22" t="s">
        <v>6037</v>
      </c>
      <c r="Q1023" s="6" t="s">
        <v>280</v>
      </c>
      <c r="R1023" s="6" t="str">
        <f t="shared" ca="1" si="12"/>
        <v>NonCategory</v>
      </c>
    </row>
    <row r="1024" spans="1:18">
      <c r="A1024" s="162">
        <v>44694</v>
      </c>
      <c r="B1024" s="164" t="s">
        <v>2570</v>
      </c>
      <c r="C1024" s="168" t="s">
        <v>2571</v>
      </c>
      <c r="D1024" s="6" t="s">
        <v>278</v>
      </c>
      <c r="E1024" s="6" t="s">
        <v>96</v>
      </c>
      <c r="F1024" s="79">
        <v>44682</v>
      </c>
      <c r="G1024" s="6" t="s">
        <v>16</v>
      </c>
      <c r="H1024" s="6" t="s">
        <v>2514</v>
      </c>
      <c r="I1024" s="6">
        <v>1</v>
      </c>
      <c r="J1024" s="8">
        <v>20000</v>
      </c>
      <c r="K1024" s="8">
        <f t="shared" si="11"/>
        <v>229.04260192395787</v>
      </c>
      <c r="L1024" s="96">
        <v>44694</v>
      </c>
      <c r="M1024" s="6" t="s">
        <v>252</v>
      </c>
      <c r="N1024" s="96">
        <v>44694</v>
      </c>
      <c r="O1024" s="22" t="s">
        <v>6038</v>
      </c>
      <c r="P1024" s="6" t="s">
        <v>2156</v>
      </c>
      <c r="Q1024" s="6" t="s">
        <v>356</v>
      </c>
      <c r="R1024" s="6" t="str">
        <f t="shared" ca="1" si="12"/>
        <v>NonCategory</v>
      </c>
    </row>
    <row r="1025" spans="1:18">
      <c r="A1025" s="162">
        <v>44694</v>
      </c>
      <c r="B1025" s="164" t="s">
        <v>422</v>
      </c>
      <c r="C1025" s="168" t="s">
        <v>423</v>
      </c>
      <c r="D1025" s="6" t="s">
        <v>470</v>
      </c>
      <c r="E1025" s="6" t="s">
        <v>2572</v>
      </c>
      <c r="F1025" s="79">
        <v>44682</v>
      </c>
      <c r="G1025" s="6" t="s">
        <v>16</v>
      </c>
      <c r="H1025" s="96">
        <v>44688</v>
      </c>
      <c r="I1025" s="6">
        <v>1</v>
      </c>
      <c r="J1025" s="8">
        <v>24750</v>
      </c>
      <c r="K1025" s="8">
        <f t="shared" si="11"/>
        <v>283.44021988089787</v>
      </c>
      <c r="L1025" s="96">
        <v>44694</v>
      </c>
      <c r="M1025" s="6" t="s">
        <v>252</v>
      </c>
      <c r="N1025" s="96">
        <v>44694</v>
      </c>
      <c r="O1025" s="22" t="s">
        <v>6039</v>
      </c>
      <c r="Q1025" s="6" t="s">
        <v>356</v>
      </c>
      <c r="R1025" s="6" t="str">
        <f t="shared" ca="1" si="12"/>
        <v>NonCategory</v>
      </c>
    </row>
    <row r="1026" spans="1:18">
      <c r="A1026" s="162">
        <v>44697</v>
      </c>
      <c r="B1026" s="164" t="s">
        <v>2573</v>
      </c>
      <c r="C1026" s="168" t="s">
        <v>2574</v>
      </c>
      <c r="D1026" s="6" t="s">
        <v>470</v>
      </c>
      <c r="E1026" s="6" t="s">
        <v>25</v>
      </c>
      <c r="F1026" s="79">
        <v>44682</v>
      </c>
      <c r="G1026" s="6" t="s">
        <v>16</v>
      </c>
      <c r="H1026" s="6" t="s">
        <v>2575</v>
      </c>
      <c r="I1026" s="6">
        <v>1</v>
      </c>
      <c r="J1026" s="8">
        <v>42000</v>
      </c>
      <c r="K1026" s="8">
        <f t="shared" si="11"/>
        <v>480.98946404031153</v>
      </c>
      <c r="L1026" s="96">
        <v>44697</v>
      </c>
      <c r="M1026" s="6" t="s">
        <v>252</v>
      </c>
      <c r="N1026" s="96">
        <v>44697</v>
      </c>
      <c r="O1026" s="22" t="s">
        <v>6040</v>
      </c>
      <c r="Q1026" s="6" t="s">
        <v>280</v>
      </c>
      <c r="R1026" s="6" t="str">
        <f t="shared" ca="1" si="12"/>
        <v>NonCategory</v>
      </c>
    </row>
    <row r="1027" spans="1:18">
      <c r="A1027" s="162">
        <v>44697</v>
      </c>
      <c r="B1027" s="164" t="s">
        <v>2576</v>
      </c>
      <c r="C1027" s="168" t="s">
        <v>2577</v>
      </c>
      <c r="D1027" s="6" t="s">
        <v>306</v>
      </c>
      <c r="E1027" s="6" t="s">
        <v>150</v>
      </c>
      <c r="F1027" s="79">
        <v>44682</v>
      </c>
      <c r="G1027" s="6" t="s">
        <v>16</v>
      </c>
      <c r="H1027" s="6" t="s">
        <v>2514</v>
      </c>
      <c r="I1027" s="6">
        <v>1</v>
      </c>
      <c r="J1027" s="8">
        <v>21000</v>
      </c>
      <c r="K1027" s="8">
        <f t="shared" si="11"/>
        <v>240.49473202015577</v>
      </c>
      <c r="L1027" s="96">
        <v>44704</v>
      </c>
      <c r="M1027" s="6" t="s">
        <v>253</v>
      </c>
      <c r="N1027" s="96">
        <v>44703</v>
      </c>
      <c r="O1027" s="22" t="s">
        <v>6041</v>
      </c>
      <c r="Q1027" s="6" t="s">
        <v>356</v>
      </c>
      <c r="R1027" s="6" t="str">
        <f t="shared" ca="1" si="12"/>
        <v>NonCategory</v>
      </c>
    </row>
    <row r="1028" spans="1:18">
      <c r="A1028" s="162">
        <v>44697</v>
      </c>
      <c r="B1028" s="164" t="s">
        <v>2578</v>
      </c>
      <c r="C1028" s="168" t="s">
        <v>2579</v>
      </c>
      <c r="D1028" s="6" t="s">
        <v>287</v>
      </c>
      <c r="E1028" s="6" t="s">
        <v>151</v>
      </c>
      <c r="F1028" s="79">
        <v>44682</v>
      </c>
      <c r="G1028" s="6" t="s">
        <v>16</v>
      </c>
      <c r="H1028" s="6" t="s">
        <v>2580</v>
      </c>
      <c r="I1028" s="6">
        <v>1</v>
      </c>
      <c r="J1028" s="8">
        <v>21000</v>
      </c>
      <c r="K1028" s="8">
        <f t="shared" si="11"/>
        <v>240.49473202015577</v>
      </c>
      <c r="L1028" s="96">
        <v>44697</v>
      </c>
      <c r="M1028" s="6" t="s">
        <v>252</v>
      </c>
      <c r="N1028" s="96">
        <v>44698</v>
      </c>
      <c r="O1028" s="22" t="s">
        <v>6042</v>
      </c>
      <c r="Q1028" s="6" t="s">
        <v>356</v>
      </c>
      <c r="R1028" s="6" t="str">
        <f t="shared" ca="1" si="12"/>
        <v>NonCategory</v>
      </c>
    </row>
    <row r="1029" spans="1:18">
      <c r="A1029" s="162">
        <v>44697</v>
      </c>
      <c r="B1029" s="164" t="s">
        <v>2581</v>
      </c>
      <c r="C1029" s="168" t="s">
        <v>2582</v>
      </c>
      <c r="D1029" s="6" t="s">
        <v>303</v>
      </c>
      <c r="E1029" s="6" t="s">
        <v>96</v>
      </c>
      <c r="F1029" s="79">
        <v>44682</v>
      </c>
      <c r="G1029" s="6" t="s">
        <v>16</v>
      </c>
      <c r="H1029" s="6" t="s">
        <v>2514</v>
      </c>
      <c r="I1029" s="6">
        <v>1</v>
      </c>
      <c r="J1029" s="8">
        <v>20000</v>
      </c>
      <c r="K1029" s="8">
        <f t="shared" si="11"/>
        <v>229.04260192395787</v>
      </c>
      <c r="L1029" s="96">
        <v>44697</v>
      </c>
      <c r="M1029" s="6" t="s">
        <v>252</v>
      </c>
      <c r="N1029" s="96">
        <v>44697</v>
      </c>
      <c r="O1029" s="22" t="s">
        <v>6043</v>
      </c>
      <c r="Q1029" s="6" t="s">
        <v>356</v>
      </c>
      <c r="R1029" s="6" t="str">
        <f t="shared" ca="1" si="12"/>
        <v>NonCategory</v>
      </c>
    </row>
    <row r="1030" spans="1:18">
      <c r="A1030" s="162">
        <v>44698</v>
      </c>
      <c r="B1030" s="164" t="s">
        <v>2583</v>
      </c>
      <c r="C1030" s="168" t="s">
        <v>2584</v>
      </c>
      <c r="D1030" s="6" t="s">
        <v>319</v>
      </c>
      <c r="E1030" s="6" t="s">
        <v>14</v>
      </c>
      <c r="F1030" s="79">
        <v>44682</v>
      </c>
      <c r="G1030" s="6" t="s">
        <v>13</v>
      </c>
      <c r="H1030" s="6" t="s">
        <v>2539</v>
      </c>
      <c r="I1030" s="6">
        <v>1</v>
      </c>
      <c r="J1030" s="8">
        <v>30500</v>
      </c>
      <c r="K1030" s="8">
        <f t="shared" si="11"/>
        <v>349.28996793403576</v>
      </c>
      <c r="L1030" s="96">
        <v>44698</v>
      </c>
      <c r="R1030" s="6" t="str">
        <f t="shared" ca="1" si="12"/>
        <v>NonCategory</v>
      </c>
    </row>
    <row r="1031" spans="1:18">
      <c r="A1031" s="162">
        <v>44699</v>
      </c>
      <c r="B1031" s="164" t="s">
        <v>2585</v>
      </c>
      <c r="C1031" s="168" t="s">
        <v>2586</v>
      </c>
      <c r="D1031" s="6" t="s">
        <v>306</v>
      </c>
      <c r="E1031" s="6" t="s">
        <v>150</v>
      </c>
      <c r="F1031" s="79">
        <v>44682</v>
      </c>
      <c r="G1031" s="6" t="s">
        <v>16</v>
      </c>
      <c r="H1031" s="6" t="s">
        <v>2497</v>
      </c>
      <c r="I1031" s="6">
        <v>1</v>
      </c>
      <c r="J1031" s="8">
        <v>21000</v>
      </c>
      <c r="K1031" s="8">
        <f t="shared" si="11"/>
        <v>240.49473202015577</v>
      </c>
      <c r="L1031" s="96">
        <v>44699</v>
      </c>
      <c r="M1031" s="6" t="s">
        <v>252</v>
      </c>
      <c r="N1031" s="96">
        <v>44699</v>
      </c>
      <c r="O1031" s="22" t="s">
        <v>6044</v>
      </c>
      <c r="Q1031" s="6" t="s">
        <v>356</v>
      </c>
      <c r="R1031" s="6" t="str">
        <f t="shared" ca="1" si="12"/>
        <v>NonCategory</v>
      </c>
    </row>
    <row r="1032" spans="1:18">
      <c r="A1032" s="162">
        <v>44699</v>
      </c>
      <c r="B1032" s="164" t="s">
        <v>2132</v>
      </c>
      <c r="C1032" s="168" t="s">
        <v>2587</v>
      </c>
      <c r="D1032" s="6" t="s">
        <v>303</v>
      </c>
      <c r="E1032" s="6" t="s">
        <v>150</v>
      </c>
      <c r="F1032" s="79">
        <v>44682</v>
      </c>
      <c r="G1032" s="6" t="s">
        <v>16</v>
      </c>
      <c r="H1032" s="6" t="s">
        <v>2497</v>
      </c>
      <c r="I1032" s="6">
        <v>1</v>
      </c>
      <c r="J1032" s="8">
        <v>21000</v>
      </c>
      <c r="K1032" s="8">
        <f t="shared" si="11"/>
        <v>240.49473202015577</v>
      </c>
      <c r="L1032" s="96">
        <v>44699</v>
      </c>
      <c r="M1032" s="6" t="s">
        <v>252</v>
      </c>
      <c r="N1032" s="96">
        <v>44699</v>
      </c>
      <c r="O1032" s="22" t="s">
        <v>6045</v>
      </c>
      <c r="Q1032" s="6" t="s">
        <v>280</v>
      </c>
      <c r="R1032" s="6" t="str">
        <f t="shared" ca="1" si="12"/>
        <v>NonCategory</v>
      </c>
    </row>
    <row r="1033" spans="1:18">
      <c r="A1033" s="162">
        <v>44700</v>
      </c>
      <c r="B1033" s="164" t="s">
        <v>2588</v>
      </c>
      <c r="C1033" s="168" t="s">
        <v>2589</v>
      </c>
      <c r="D1033" s="6" t="s">
        <v>291</v>
      </c>
      <c r="E1033" s="6" t="s">
        <v>150</v>
      </c>
      <c r="F1033" s="79">
        <v>44682</v>
      </c>
      <c r="G1033" s="6" t="s">
        <v>16</v>
      </c>
      <c r="H1033" s="6" t="s">
        <v>2497</v>
      </c>
      <c r="I1033" s="6">
        <v>1</v>
      </c>
      <c r="J1033" s="8">
        <v>20500</v>
      </c>
      <c r="K1033" s="8">
        <f t="shared" si="11"/>
        <v>234.76866697205682</v>
      </c>
      <c r="L1033" s="96">
        <v>44700</v>
      </c>
      <c r="M1033" s="6" t="s">
        <v>252</v>
      </c>
      <c r="N1033" s="96">
        <v>44700</v>
      </c>
      <c r="O1033" s="22" t="s">
        <v>6046</v>
      </c>
      <c r="Q1033" s="6" t="s">
        <v>280</v>
      </c>
      <c r="R1033" s="6" t="str">
        <f t="shared" ca="1" si="12"/>
        <v>NonCategory</v>
      </c>
    </row>
    <row r="1034" spans="1:18">
      <c r="A1034" s="162">
        <v>44700</v>
      </c>
      <c r="B1034" s="164" t="s">
        <v>2590</v>
      </c>
      <c r="C1034" s="168" t="s">
        <v>2591</v>
      </c>
      <c r="D1034" s="6" t="s">
        <v>278</v>
      </c>
      <c r="E1034" s="6" t="s">
        <v>150</v>
      </c>
      <c r="F1034" s="79">
        <v>44682</v>
      </c>
      <c r="G1034" s="6" t="s">
        <v>16</v>
      </c>
      <c r="H1034" s="6" t="s">
        <v>2497</v>
      </c>
      <c r="I1034" s="6">
        <v>1</v>
      </c>
      <c r="J1034" s="8">
        <v>20500</v>
      </c>
      <c r="K1034" s="8">
        <f t="shared" si="11"/>
        <v>234.76866697205682</v>
      </c>
      <c r="L1034" s="96">
        <v>44700</v>
      </c>
      <c r="M1034" s="6" t="s">
        <v>252</v>
      </c>
      <c r="N1034" s="96">
        <v>44700</v>
      </c>
      <c r="O1034" s="22" t="s">
        <v>6047</v>
      </c>
      <c r="P1034" s="6" t="s">
        <v>2592</v>
      </c>
      <c r="Q1034" s="6" t="s">
        <v>356</v>
      </c>
      <c r="R1034" s="6" t="str">
        <f t="shared" ca="1" si="12"/>
        <v>NonCategory</v>
      </c>
    </row>
    <row r="1035" spans="1:18">
      <c r="A1035" s="162">
        <v>44700</v>
      </c>
      <c r="B1035" s="164" t="s">
        <v>2593</v>
      </c>
      <c r="C1035" s="168" t="s">
        <v>2385</v>
      </c>
      <c r="D1035" s="6" t="s">
        <v>470</v>
      </c>
      <c r="E1035" s="6" t="s">
        <v>150</v>
      </c>
      <c r="F1035" s="79">
        <v>44682</v>
      </c>
      <c r="G1035" s="6" t="s">
        <v>16</v>
      </c>
      <c r="H1035" s="6" t="s">
        <v>2497</v>
      </c>
      <c r="I1035" s="6">
        <v>1</v>
      </c>
      <c r="J1035" s="8">
        <v>21000</v>
      </c>
      <c r="K1035" s="8">
        <f t="shared" si="11"/>
        <v>240.49473202015577</v>
      </c>
      <c r="L1035" s="96">
        <v>44700</v>
      </c>
      <c r="M1035" s="6" t="s">
        <v>252</v>
      </c>
      <c r="N1035" s="96">
        <v>44700</v>
      </c>
      <c r="O1035" s="22" t="s">
        <v>6048</v>
      </c>
      <c r="Q1035" s="6" t="s">
        <v>356</v>
      </c>
      <c r="R1035" s="6" t="str">
        <f t="shared" ca="1" si="12"/>
        <v>NonCategory</v>
      </c>
    </row>
    <row r="1036" spans="1:18">
      <c r="A1036" s="162">
        <v>44700</v>
      </c>
      <c r="B1036" s="164" t="s">
        <v>2594</v>
      </c>
      <c r="C1036" s="168" t="s">
        <v>2595</v>
      </c>
      <c r="D1036" s="6" t="s">
        <v>278</v>
      </c>
      <c r="E1036" s="6" t="s">
        <v>96</v>
      </c>
      <c r="F1036" s="79">
        <v>44682</v>
      </c>
      <c r="G1036" s="6" t="s">
        <v>16</v>
      </c>
      <c r="H1036" s="6" t="s">
        <v>2575</v>
      </c>
      <c r="I1036" s="6">
        <v>1</v>
      </c>
      <c r="J1036" s="8">
        <v>20000</v>
      </c>
      <c r="K1036" s="8">
        <f t="shared" si="11"/>
        <v>229.04260192395787</v>
      </c>
      <c r="L1036" s="96">
        <v>44700</v>
      </c>
      <c r="M1036" s="6" t="s">
        <v>252</v>
      </c>
      <c r="N1036" s="96">
        <v>44700</v>
      </c>
      <c r="O1036" s="22" t="s">
        <v>6049</v>
      </c>
      <c r="P1036" s="6" t="s">
        <v>2596</v>
      </c>
      <c r="Q1036" s="6" t="s">
        <v>280</v>
      </c>
      <c r="R1036" s="6" t="str">
        <f t="shared" ca="1" si="12"/>
        <v>NonCategory</v>
      </c>
    </row>
    <row r="1037" spans="1:18">
      <c r="A1037" s="162">
        <v>44701</v>
      </c>
      <c r="B1037" s="164" t="s">
        <v>2597</v>
      </c>
      <c r="C1037" s="168" t="s">
        <v>2598</v>
      </c>
      <c r="D1037" s="6" t="s">
        <v>278</v>
      </c>
      <c r="E1037" s="6" t="s">
        <v>97</v>
      </c>
      <c r="F1037" s="79">
        <v>44682</v>
      </c>
      <c r="G1037" s="6" t="s">
        <v>16</v>
      </c>
      <c r="H1037" s="6" t="s">
        <v>2497</v>
      </c>
      <c r="I1037" s="6">
        <v>1</v>
      </c>
      <c r="J1037" s="8">
        <v>20000</v>
      </c>
      <c r="K1037" s="8">
        <f t="shared" si="11"/>
        <v>229.04260192395787</v>
      </c>
      <c r="L1037" s="96">
        <v>44701</v>
      </c>
      <c r="M1037" s="6" t="s">
        <v>252</v>
      </c>
      <c r="N1037" s="96">
        <v>44701</v>
      </c>
      <c r="O1037" s="22" t="s">
        <v>6050</v>
      </c>
      <c r="P1037" s="6" t="s">
        <v>2599</v>
      </c>
      <c r="Q1037" s="6" t="s">
        <v>280</v>
      </c>
      <c r="R1037" s="6" t="str">
        <f t="shared" ca="1" si="12"/>
        <v>NonCategory</v>
      </c>
    </row>
    <row r="1038" spans="1:18">
      <c r="A1038" s="162">
        <v>44701</v>
      </c>
      <c r="B1038" s="164" t="s">
        <v>132</v>
      </c>
      <c r="C1038" s="168" t="s">
        <v>136</v>
      </c>
      <c r="D1038" s="6" t="s">
        <v>470</v>
      </c>
      <c r="E1038" s="6" t="s">
        <v>25</v>
      </c>
      <c r="F1038" s="79">
        <v>44682</v>
      </c>
      <c r="G1038" s="6" t="s">
        <v>16</v>
      </c>
      <c r="H1038" s="6" t="s">
        <v>2514</v>
      </c>
      <c r="I1038" s="6">
        <v>1</v>
      </c>
      <c r="J1038" s="8">
        <v>120000</v>
      </c>
      <c r="K1038" s="8">
        <f t="shared" si="11"/>
        <v>1374.2556115437471</v>
      </c>
      <c r="L1038" s="96">
        <v>44712</v>
      </c>
      <c r="M1038" s="6" t="s">
        <v>253</v>
      </c>
      <c r="N1038" s="96">
        <v>44704</v>
      </c>
      <c r="O1038" s="128" t="s">
        <v>2600</v>
      </c>
      <c r="Q1038" s="6" t="s">
        <v>356</v>
      </c>
      <c r="R1038" s="6" t="str">
        <f t="shared" ca="1" si="12"/>
        <v>NonCategory</v>
      </c>
    </row>
    <row r="1039" spans="1:18">
      <c r="A1039" s="162">
        <v>44701</v>
      </c>
      <c r="B1039" s="164" t="s">
        <v>2542</v>
      </c>
      <c r="C1039" s="168" t="s">
        <v>2543</v>
      </c>
      <c r="D1039" s="6" t="s">
        <v>291</v>
      </c>
      <c r="E1039" s="6" t="s">
        <v>150</v>
      </c>
      <c r="F1039" s="79">
        <v>44682</v>
      </c>
      <c r="G1039" s="6" t="s">
        <v>16</v>
      </c>
      <c r="H1039" s="6" t="s">
        <v>2497</v>
      </c>
      <c r="I1039" s="6">
        <v>1</v>
      </c>
      <c r="J1039" s="8">
        <v>21000</v>
      </c>
      <c r="K1039" s="8">
        <f t="shared" si="11"/>
        <v>240.49473202015577</v>
      </c>
      <c r="L1039" s="96">
        <v>44701</v>
      </c>
      <c r="M1039" s="6" t="s">
        <v>252</v>
      </c>
      <c r="N1039" s="96">
        <v>44701</v>
      </c>
      <c r="O1039" s="22" t="s">
        <v>6051</v>
      </c>
      <c r="Q1039" s="6" t="s">
        <v>356</v>
      </c>
      <c r="R1039" s="6" t="str">
        <f t="shared" ca="1" si="12"/>
        <v>NonCategory</v>
      </c>
    </row>
    <row r="1040" spans="1:18">
      <c r="A1040" s="162">
        <v>44704</v>
      </c>
      <c r="B1040" s="164" t="s">
        <v>2601</v>
      </c>
      <c r="C1040" s="168" t="s">
        <v>2231</v>
      </c>
      <c r="D1040" s="6" t="s">
        <v>287</v>
      </c>
      <c r="E1040" s="6" t="s">
        <v>1524</v>
      </c>
      <c r="F1040" s="79">
        <v>44682</v>
      </c>
      <c r="G1040" s="6" t="s">
        <v>16</v>
      </c>
      <c r="H1040" s="6" t="s">
        <v>2514</v>
      </c>
      <c r="I1040" s="6">
        <v>1</v>
      </c>
      <c r="J1040" s="8">
        <v>24000</v>
      </c>
      <c r="K1040" s="8">
        <f t="shared" si="11"/>
        <v>274.85112230874944</v>
      </c>
      <c r="L1040" s="96">
        <v>44704</v>
      </c>
      <c r="M1040" s="6" t="s">
        <v>253</v>
      </c>
      <c r="N1040" s="96">
        <v>44704</v>
      </c>
      <c r="O1040" s="22" t="s">
        <v>6052</v>
      </c>
      <c r="Q1040" s="6" t="s">
        <v>356</v>
      </c>
      <c r="R1040" s="6" t="str">
        <f t="shared" ca="1" si="12"/>
        <v>NonCategory</v>
      </c>
    </row>
    <row r="1041" spans="1:18">
      <c r="A1041" s="162">
        <v>44705</v>
      </c>
      <c r="B1041" s="164" t="s">
        <v>2602</v>
      </c>
      <c r="C1041" s="168" t="s">
        <v>2603</v>
      </c>
      <c r="D1041" s="6" t="s">
        <v>303</v>
      </c>
      <c r="E1041" s="6" t="s">
        <v>150</v>
      </c>
      <c r="F1041" s="79">
        <v>44682</v>
      </c>
      <c r="G1041" s="6" t="s">
        <v>16</v>
      </c>
      <c r="H1041" s="6" t="s">
        <v>2514</v>
      </c>
      <c r="I1041" s="6">
        <v>1</v>
      </c>
      <c r="J1041" s="8">
        <v>21000</v>
      </c>
      <c r="K1041" s="8">
        <f t="shared" si="11"/>
        <v>240.49473202015577</v>
      </c>
      <c r="L1041" s="96">
        <v>44705</v>
      </c>
      <c r="M1041" s="6" t="s">
        <v>253</v>
      </c>
      <c r="N1041" s="96">
        <v>44705</v>
      </c>
      <c r="O1041" s="22" t="s">
        <v>6053</v>
      </c>
      <c r="Q1041" s="6" t="s">
        <v>356</v>
      </c>
      <c r="R1041" s="6" t="str">
        <f t="shared" ca="1" si="12"/>
        <v>NonCategory</v>
      </c>
    </row>
    <row r="1042" spans="1:18">
      <c r="A1042" s="162">
        <v>44705</v>
      </c>
      <c r="B1042" s="164" t="s">
        <v>2604</v>
      </c>
      <c r="C1042" s="168" t="s">
        <v>2605</v>
      </c>
      <c r="D1042" s="6" t="s">
        <v>278</v>
      </c>
      <c r="E1042" s="6" t="s">
        <v>25</v>
      </c>
      <c r="F1042" s="79">
        <v>44682</v>
      </c>
      <c r="G1042" s="6" t="s">
        <v>16</v>
      </c>
      <c r="H1042" s="6" t="s">
        <v>2580</v>
      </c>
      <c r="I1042" s="6">
        <v>1</v>
      </c>
      <c r="J1042" s="8">
        <v>42000</v>
      </c>
      <c r="K1042" s="8">
        <f t="shared" si="11"/>
        <v>480.98946404031153</v>
      </c>
      <c r="L1042" s="96">
        <v>44705</v>
      </c>
      <c r="M1042" s="6" t="s">
        <v>253</v>
      </c>
      <c r="N1042" s="96">
        <v>44705</v>
      </c>
      <c r="O1042" s="22" t="s">
        <v>6054</v>
      </c>
      <c r="P1042" s="6" t="s">
        <v>2606</v>
      </c>
      <c r="Q1042" s="6" t="s">
        <v>356</v>
      </c>
      <c r="R1042" s="6" t="str">
        <f t="shared" ca="1" si="12"/>
        <v>NonCategory</v>
      </c>
    </row>
    <row r="1043" spans="1:18">
      <c r="A1043" s="162">
        <v>44706</v>
      </c>
      <c r="B1043" s="164" t="s">
        <v>2607</v>
      </c>
      <c r="C1043" s="168" t="s">
        <v>2608</v>
      </c>
      <c r="D1043" s="6" t="s">
        <v>303</v>
      </c>
      <c r="E1043" s="6" t="s">
        <v>96</v>
      </c>
      <c r="F1043" s="79">
        <v>44682</v>
      </c>
      <c r="G1043" s="6" t="s">
        <v>13</v>
      </c>
      <c r="H1043" s="6" t="s">
        <v>2575</v>
      </c>
      <c r="I1043" s="6">
        <v>1</v>
      </c>
      <c r="J1043" s="8">
        <v>40061</v>
      </c>
      <c r="K1043" s="8">
        <f t="shared" si="11"/>
        <v>458.7837837837838</v>
      </c>
      <c r="L1043" s="96">
        <v>44706</v>
      </c>
      <c r="R1043" s="6" t="str">
        <f t="shared" ca="1" si="12"/>
        <v>NonCategory</v>
      </c>
    </row>
    <row r="1044" spans="1:18">
      <c r="A1044" s="162">
        <v>44706</v>
      </c>
      <c r="B1044" s="164" t="s">
        <v>2609</v>
      </c>
      <c r="C1044" s="168" t="s">
        <v>2610</v>
      </c>
      <c r="D1044" s="6" t="s">
        <v>291</v>
      </c>
      <c r="E1044" s="6" t="s">
        <v>151</v>
      </c>
      <c r="F1044" s="79">
        <v>44682</v>
      </c>
      <c r="G1044" s="6" t="s">
        <v>16</v>
      </c>
      <c r="H1044" s="6" t="s">
        <v>2514</v>
      </c>
      <c r="I1044" s="6">
        <v>1</v>
      </c>
      <c r="J1044" s="8">
        <v>21000</v>
      </c>
      <c r="K1044" s="8">
        <f t="shared" si="11"/>
        <v>240.49473202015577</v>
      </c>
      <c r="L1044" s="96">
        <v>44706</v>
      </c>
      <c r="M1044" s="6" t="s">
        <v>253</v>
      </c>
      <c r="N1044" s="96">
        <v>44707</v>
      </c>
      <c r="O1044" s="22" t="s">
        <v>6055</v>
      </c>
      <c r="Q1044" s="6" t="s">
        <v>356</v>
      </c>
      <c r="R1044" s="6" t="str">
        <f t="shared" ca="1" si="12"/>
        <v>NonCategory</v>
      </c>
    </row>
    <row r="1045" spans="1:18">
      <c r="A1045" s="162">
        <v>44707</v>
      </c>
      <c r="B1045" s="164" t="s">
        <v>2611</v>
      </c>
      <c r="C1045" s="168" t="s">
        <v>2612</v>
      </c>
      <c r="D1045" s="6" t="s">
        <v>278</v>
      </c>
      <c r="E1045" s="6" t="s">
        <v>25</v>
      </c>
      <c r="F1045" s="79">
        <v>44682</v>
      </c>
      <c r="G1045" s="6" t="s">
        <v>16</v>
      </c>
      <c r="H1045" s="6" t="s">
        <v>2613</v>
      </c>
      <c r="I1045" s="6">
        <v>1</v>
      </c>
      <c r="J1045" s="8">
        <v>40061</v>
      </c>
      <c r="K1045" s="8">
        <f t="shared" si="11"/>
        <v>458.7837837837838</v>
      </c>
      <c r="L1045" s="96">
        <v>44707</v>
      </c>
      <c r="M1045" s="6" t="s">
        <v>253</v>
      </c>
      <c r="N1045" s="96">
        <v>44707</v>
      </c>
      <c r="O1045" s="22" t="s">
        <v>6056</v>
      </c>
      <c r="P1045" s="6" t="s">
        <v>2606</v>
      </c>
      <c r="Q1045" s="6" t="s">
        <v>356</v>
      </c>
      <c r="R1045" s="6" t="str">
        <f t="shared" ca="1" si="12"/>
        <v>NonCategory</v>
      </c>
    </row>
    <row r="1046" spans="1:18">
      <c r="A1046" s="162">
        <v>44708</v>
      </c>
      <c r="B1046" s="164" t="s">
        <v>2614</v>
      </c>
      <c r="C1046" s="168" t="s">
        <v>2615</v>
      </c>
      <c r="D1046" s="6" t="s">
        <v>297</v>
      </c>
      <c r="E1046" s="6" t="s">
        <v>150</v>
      </c>
      <c r="F1046" s="131">
        <v>44713</v>
      </c>
      <c r="G1046" s="6" t="s">
        <v>16</v>
      </c>
      <c r="H1046" s="6" t="s">
        <v>2580</v>
      </c>
      <c r="I1046" s="6">
        <v>1</v>
      </c>
      <c r="J1046" s="8">
        <v>21000</v>
      </c>
      <c r="K1046" s="8">
        <f t="shared" si="11"/>
        <v>240.49473202015577</v>
      </c>
      <c r="L1046" s="96">
        <v>44708</v>
      </c>
      <c r="M1046" s="6" t="s">
        <v>251</v>
      </c>
      <c r="N1046" s="96">
        <v>44721</v>
      </c>
      <c r="O1046" s="22" t="s">
        <v>6057</v>
      </c>
      <c r="P1046" s="20"/>
      <c r="Q1046" s="6" t="s">
        <v>280</v>
      </c>
      <c r="R1046" s="6" t="str">
        <f t="shared" ca="1" si="12"/>
        <v>NonCategory</v>
      </c>
    </row>
    <row r="1047" spans="1:18">
      <c r="A1047" s="162">
        <v>44708</v>
      </c>
      <c r="B1047" s="164" t="s">
        <v>2462</v>
      </c>
      <c r="C1047" s="168" t="s">
        <v>2463</v>
      </c>
      <c r="D1047" s="6" t="s">
        <v>470</v>
      </c>
      <c r="E1047" s="6" t="s">
        <v>1524</v>
      </c>
      <c r="F1047" s="79">
        <v>44682</v>
      </c>
      <c r="G1047" s="6" t="s">
        <v>16</v>
      </c>
      <c r="H1047" s="6" t="s">
        <v>2514</v>
      </c>
      <c r="I1047" s="6">
        <v>1</v>
      </c>
      <c r="J1047" s="8">
        <v>24000</v>
      </c>
      <c r="K1047" s="8">
        <f t="shared" si="11"/>
        <v>274.85112230874944</v>
      </c>
      <c r="L1047" s="96">
        <v>44708</v>
      </c>
      <c r="M1047" s="6" t="s">
        <v>253</v>
      </c>
      <c r="N1047" s="96">
        <v>44708</v>
      </c>
      <c r="O1047" s="22" t="s">
        <v>6058</v>
      </c>
      <c r="Q1047" s="6" t="s">
        <v>356</v>
      </c>
      <c r="R1047" s="6" t="str">
        <f t="shared" ca="1" si="12"/>
        <v>NonCategory</v>
      </c>
    </row>
    <row r="1048" spans="1:18">
      <c r="A1048" s="162">
        <v>44708</v>
      </c>
      <c r="B1048" s="164" t="s">
        <v>2616</v>
      </c>
      <c r="C1048" s="168" t="s">
        <v>2617</v>
      </c>
      <c r="D1048" s="6" t="s">
        <v>470</v>
      </c>
      <c r="E1048" s="6" t="s">
        <v>25</v>
      </c>
      <c r="F1048" s="79">
        <v>44682</v>
      </c>
      <c r="G1048" s="6" t="s">
        <v>13</v>
      </c>
      <c r="H1048" s="6" t="s">
        <v>2514</v>
      </c>
      <c r="I1048" s="6">
        <v>1</v>
      </c>
      <c r="J1048" s="8">
        <v>42000</v>
      </c>
      <c r="K1048" s="8">
        <f t="shared" si="11"/>
        <v>480.98946404031153</v>
      </c>
      <c r="L1048" s="96">
        <v>44708</v>
      </c>
      <c r="R1048" s="6" t="str">
        <f t="shared" ca="1" si="12"/>
        <v>NonCategory</v>
      </c>
    </row>
    <row r="1049" spans="1:18">
      <c r="A1049" s="162">
        <v>44709</v>
      </c>
      <c r="B1049" s="164" t="s">
        <v>2618</v>
      </c>
      <c r="C1049" s="168" t="s">
        <v>2619</v>
      </c>
      <c r="D1049" s="6" t="s">
        <v>297</v>
      </c>
      <c r="E1049" s="6" t="s">
        <v>151</v>
      </c>
      <c r="F1049" s="79">
        <v>44682</v>
      </c>
      <c r="G1049" s="6" t="s">
        <v>16</v>
      </c>
      <c r="H1049" s="6" t="s">
        <v>2580</v>
      </c>
      <c r="I1049" s="6">
        <v>1</v>
      </c>
      <c r="J1049" s="8">
        <v>21000</v>
      </c>
      <c r="K1049" s="8">
        <f t="shared" si="11"/>
        <v>240.49473202015577</v>
      </c>
      <c r="L1049" s="96">
        <v>44709</v>
      </c>
      <c r="M1049" s="6" t="s">
        <v>253</v>
      </c>
      <c r="N1049" s="96">
        <v>44708</v>
      </c>
      <c r="O1049" s="22" t="s">
        <v>6059</v>
      </c>
      <c r="P1049" s="20"/>
      <c r="Q1049" s="6" t="s">
        <v>356</v>
      </c>
      <c r="R1049" s="6" t="str">
        <f t="shared" ca="1" si="12"/>
        <v>NonCategory</v>
      </c>
    </row>
    <row r="1050" spans="1:18">
      <c r="A1050" s="162">
        <v>44712</v>
      </c>
      <c r="B1050" s="164" t="s">
        <v>2620</v>
      </c>
      <c r="C1050" s="168" t="s">
        <v>2621</v>
      </c>
      <c r="D1050" s="6" t="s">
        <v>319</v>
      </c>
      <c r="E1050" s="6" t="s">
        <v>97</v>
      </c>
      <c r="F1050" s="79">
        <v>44682</v>
      </c>
      <c r="G1050" s="6" t="s">
        <v>13</v>
      </c>
      <c r="H1050" s="6" t="s">
        <v>2622</v>
      </c>
      <c r="I1050" s="6">
        <v>1</v>
      </c>
      <c r="J1050" s="8">
        <v>20000</v>
      </c>
      <c r="K1050" s="8">
        <f t="shared" si="11"/>
        <v>229.04260192395787</v>
      </c>
      <c r="L1050" s="96">
        <v>44712</v>
      </c>
      <c r="R1050" s="6" t="str">
        <f t="shared" ca="1" si="12"/>
        <v>NonCategory</v>
      </c>
    </row>
    <row r="1051" spans="1:18">
      <c r="A1051" s="162">
        <v>44712</v>
      </c>
      <c r="B1051" s="164" t="s">
        <v>2623</v>
      </c>
      <c r="C1051" s="168" t="s">
        <v>2624</v>
      </c>
      <c r="D1051" s="6" t="s">
        <v>278</v>
      </c>
      <c r="E1051" s="6" t="s">
        <v>96</v>
      </c>
      <c r="F1051" s="79">
        <v>44682</v>
      </c>
      <c r="G1051" s="6" t="s">
        <v>16</v>
      </c>
      <c r="H1051" s="6" t="s">
        <v>2580</v>
      </c>
      <c r="I1051" s="6">
        <v>1</v>
      </c>
      <c r="J1051" s="8">
        <v>20000</v>
      </c>
      <c r="K1051" s="8">
        <f t="shared" si="11"/>
        <v>229.04260192395787</v>
      </c>
      <c r="L1051" s="96">
        <v>44712</v>
      </c>
      <c r="M1051" s="6" t="s">
        <v>253</v>
      </c>
      <c r="N1051" s="96">
        <v>44712</v>
      </c>
      <c r="O1051" s="22" t="s">
        <v>6060</v>
      </c>
      <c r="P1051" s="6" t="s">
        <v>2625</v>
      </c>
      <c r="Q1051" s="6" t="s">
        <v>280</v>
      </c>
      <c r="R1051" s="6" t="str">
        <f t="shared" ca="1" si="12"/>
        <v>NonCategory</v>
      </c>
    </row>
    <row r="1052" spans="1:18">
      <c r="A1052" s="162">
        <v>44712</v>
      </c>
      <c r="B1052" s="165" t="s">
        <v>2626</v>
      </c>
      <c r="C1052" s="168" t="s">
        <v>2627</v>
      </c>
      <c r="D1052" s="2" t="s">
        <v>306</v>
      </c>
      <c r="E1052" s="2" t="s">
        <v>151</v>
      </c>
      <c r="F1052" s="79">
        <v>44682</v>
      </c>
      <c r="G1052" s="6" t="s">
        <v>16</v>
      </c>
      <c r="H1052" s="6" t="s">
        <v>2613</v>
      </c>
      <c r="I1052" s="6">
        <v>1</v>
      </c>
      <c r="J1052" s="8">
        <v>21000</v>
      </c>
      <c r="K1052" s="8">
        <f t="shared" si="11"/>
        <v>240.49473202015577</v>
      </c>
      <c r="L1052" s="96">
        <v>44712</v>
      </c>
      <c r="M1052" s="6" t="s">
        <v>253</v>
      </c>
      <c r="N1052" s="96">
        <v>44712</v>
      </c>
      <c r="O1052" s="22" t="s">
        <v>6061</v>
      </c>
      <c r="Q1052" s="6" t="s">
        <v>280</v>
      </c>
      <c r="R1052" s="6" t="str">
        <f t="shared" ca="1" si="12"/>
        <v>NonCategory</v>
      </c>
    </row>
    <row r="1053" spans="1:18">
      <c r="A1053" s="162">
        <v>44712</v>
      </c>
      <c r="B1053" s="164" t="s">
        <v>2628</v>
      </c>
      <c r="C1053" s="168" t="s">
        <v>2278</v>
      </c>
      <c r="D1053" s="6" t="s">
        <v>470</v>
      </c>
      <c r="E1053" s="6" t="s">
        <v>1277</v>
      </c>
      <c r="F1053" s="79">
        <v>44682</v>
      </c>
      <c r="G1053" s="6" t="s">
        <v>16</v>
      </c>
      <c r="H1053" s="96">
        <v>44730</v>
      </c>
      <c r="I1053" s="6">
        <v>1</v>
      </c>
      <c r="J1053" s="8">
        <v>40000</v>
      </c>
      <c r="K1053" s="8">
        <f t="shared" si="11"/>
        <v>458.08520384791575</v>
      </c>
      <c r="L1053" s="96">
        <v>44712</v>
      </c>
      <c r="M1053" s="6" t="s">
        <v>253</v>
      </c>
      <c r="N1053" s="96">
        <v>44712</v>
      </c>
      <c r="O1053" s="22" t="s">
        <v>6062</v>
      </c>
      <c r="Q1053" s="6" t="s">
        <v>356</v>
      </c>
      <c r="R1053" s="6" t="str">
        <f t="shared" ca="1" si="12"/>
        <v>NonCategory</v>
      </c>
    </row>
    <row r="1054" spans="1:18">
      <c r="A1054" s="162">
        <v>44712</v>
      </c>
      <c r="B1054" s="164" t="s">
        <v>2629</v>
      </c>
      <c r="C1054" s="168" t="s">
        <v>2630</v>
      </c>
      <c r="D1054" s="6" t="s">
        <v>319</v>
      </c>
      <c r="E1054" s="6" t="s">
        <v>150</v>
      </c>
      <c r="F1054" s="79">
        <v>44682</v>
      </c>
      <c r="G1054" s="6" t="s">
        <v>16</v>
      </c>
      <c r="H1054" s="6" t="s">
        <v>2575</v>
      </c>
      <c r="I1054" s="6">
        <v>1</v>
      </c>
      <c r="J1054" s="8">
        <v>21000</v>
      </c>
      <c r="K1054" s="8">
        <f t="shared" si="11"/>
        <v>240.49473202015577</v>
      </c>
      <c r="L1054" s="96">
        <v>44712</v>
      </c>
      <c r="M1054" s="6" t="s">
        <v>253</v>
      </c>
      <c r="N1054" s="96">
        <v>44712</v>
      </c>
      <c r="O1054" s="22" t="s">
        <v>6063</v>
      </c>
      <c r="Q1054" s="6" t="s">
        <v>280</v>
      </c>
      <c r="R1054" s="6" t="str">
        <f t="shared" ca="1" si="12"/>
        <v>NonCategory</v>
      </c>
    </row>
    <row r="1055" spans="1:18">
      <c r="A1055" s="162">
        <v>44712</v>
      </c>
      <c r="B1055" s="164" t="s">
        <v>2631</v>
      </c>
      <c r="C1055" s="168" t="s">
        <v>2632</v>
      </c>
      <c r="D1055" s="6" t="s">
        <v>278</v>
      </c>
      <c r="E1055" s="6" t="s">
        <v>25</v>
      </c>
      <c r="F1055" s="79">
        <v>44682</v>
      </c>
      <c r="G1055" s="6" t="s">
        <v>16</v>
      </c>
      <c r="H1055" s="6" t="s">
        <v>2633</v>
      </c>
      <c r="I1055" s="6">
        <v>1</v>
      </c>
      <c r="J1055" s="8">
        <v>40061</v>
      </c>
      <c r="K1055" s="8">
        <f t="shared" si="11"/>
        <v>458.7837837837838</v>
      </c>
      <c r="L1055" s="96">
        <v>44712</v>
      </c>
      <c r="M1055" s="6" t="s">
        <v>253</v>
      </c>
      <c r="N1055" s="96">
        <v>44712</v>
      </c>
      <c r="O1055" s="22" t="s">
        <v>6064</v>
      </c>
      <c r="P1055" s="20" t="s">
        <v>2210</v>
      </c>
      <c r="Q1055" s="6" t="s">
        <v>280</v>
      </c>
      <c r="R1055" s="6" t="str">
        <f t="shared" ca="1" si="12"/>
        <v>NonCategory</v>
      </c>
    </row>
    <row r="1056" spans="1:18">
      <c r="A1056" s="162">
        <v>44713</v>
      </c>
      <c r="B1056" s="164" t="s">
        <v>2634</v>
      </c>
      <c r="C1056" s="168" t="s">
        <v>2635</v>
      </c>
      <c r="D1056" s="6" t="s">
        <v>303</v>
      </c>
      <c r="E1056" s="6" t="s">
        <v>150</v>
      </c>
      <c r="F1056" s="131">
        <v>44713</v>
      </c>
      <c r="G1056" s="6" t="s">
        <v>16</v>
      </c>
      <c r="H1056" s="6" t="s">
        <v>2575</v>
      </c>
      <c r="I1056" s="6">
        <v>1</v>
      </c>
      <c r="J1056" s="8">
        <v>20500</v>
      </c>
      <c r="K1056" s="8">
        <f t="shared" si="11"/>
        <v>234.76866697205682</v>
      </c>
      <c r="L1056" s="96">
        <v>44713</v>
      </c>
      <c r="M1056" s="6" t="s">
        <v>251</v>
      </c>
      <c r="N1056" s="96">
        <v>44713</v>
      </c>
      <c r="O1056" s="22" t="s">
        <v>6065</v>
      </c>
      <c r="Q1056" s="6" t="s">
        <v>280</v>
      </c>
      <c r="R1056" s="6" t="str">
        <f t="shared" ca="1" si="12"/>
        <v>NonCategory</v>
      </c>
    </row>
    <row r="1057" spans="1:18">
      <c r="A1057" s="162">
        <v>44713</v>
      </c>
      <c r="B1057" s="164" t="s">
        <v>2636</v>
      </c>
      <c r="C1057" s="168" t="s">
        <v>2637</v>
      </c>
      <c r="D1057" s="6" t="s">
        <v>278</v>
      </c>
      <c r="E1057" s="6" t="s">
        <v>150</v>
      </c>
      <c r="F1057" s="131">
        <v>44713</v>
      </c>
      <c r="G1057" s="6" t="s">
        <v>16</v>
      </c>
      <c r="H1057" s="6" t="s">
        <v>2575</v>
      </c>
      <c r="I1057" s="6">
        <v>1</v>
      </c>
      <c r="J1057" s="8">
        <v>20500</v>
      </c>
      <c r="K1057" s="8">
        <f t="shared" si="11"/>
        <v>234.76866697205682</v>
      </c>
      <c r="L1057" s="96">
        <v>44713</v>
      </c>
      <c r="M1057" s="6" t="s">
        <v>251</v>
      </c>
      <c r="N1057" s="96">
        <v>44713</v>
      </c>
      <c r="O1057" s="22" t="s">
        <v>6066</v>
      </c>
      <c r="P1057" s="6" t="s">
        <v>2638</v>
      </c>
      <c r="Q1057" s="6" t="s">
        <v>356</v>
      </c>
      <c r="R1057" s="6" t="str">
        <f t="shared" ca="1" si="12"/>
        <v>NonCategory</v>
      </c>
    </row>
    <row r="1058" spans="1:18">
      <c r="A1058" s="162">
        <v>44713</v>
      </c>
      <c r="B1058" s="164" t="s">
        <v>2639</v>
      </c>
      <c r="C1058" s="168" t="s">
        <v>2640</v>
      </c>
      <c r="D1058" s="6" t="s">
        <v>278</v>
      </c>
      <c r="E1058" s="6" t="s">
        <v>150</v>
      </c>
      <c r="F1058" s="131">
        <v>44713</v>
      </c>
      <c r="G1058" s="6" t="s">
        <v>16</v>
      </c>
      <c r="H1058" s="6" t="s">
        <v>2575</v>
      </c>
      <c r="I1058" s="6">
        <v>1</v>
      </c>
      <c r="J1058" s="8">
        <v>20500</v>
      </c>
      <c r="K1058" s="8">
        <f t="shared" si="11"/>
        <v>234.76866697205682</v>
      </c>
      <c r="L1058" s="96">
        <v>44713</v>
      </c>
      <c r="M1058" s="6" t="s">
        <v>251</v>
      </c>
      <c r="N1058" s="96">
        <v>44713</v>
      </c>
      <c r="O1058" s="22" t="s">
        <v>6067</v>
      </c>
      <c r="P1058" s="6" t="s">
        <v>2641</v>
      </c>
      <c r="Q1058" s="6" t="s">
        <v>280</v>
      </c>
      <c r="R1058" s="6" t="str">
        <f t="shared" ca="1" si="12"/>
        <v>NonCategory</v>
      </c>
    </row>
    <row r="1059" spans="1:18">
      <c r="A1059" s="162">
        <v>44713</v>
      </c>
      <c r="B1059" s="164" t="s">
        <v>2642</v>
      </c>
      <c r="C1059" s="168" t="s">
        <v>2643</v>
      </c>
      <c r="D1059" s="6" t="s">
        <v>287</v>
      </c>
      <c r="E1059" s="6" t="s">
        <v>6</v>
      </c>
      <c r="F1059" s="131">
        <v>44713</v>
      </c>
      <c r="G1059" s="6" t="s">
        <v>16</v>
      </c>
      <c r="H1059" s="6" t="s">
        <v>2575</v>
      </c>
      <c r="I1059" s="6">
        <v>1</v>
      </c>
      <c r="J1059" s="8">
        <v>42000</v>
      </c>
      <c r="K1059" s="8">
        <f t="shared" si="11"/>
        <v>480.98946404031153</v>
      </c>
      <c r="L1059" s="96">
        <v>44713</v>
      </c>
      <c r="M1059" s="6" t="s">
        <v>251</v>
      </c>
      <c r="N1059" s="96">
        <v>44713</v>
      </c>
      <c r="O1059" s="22" t="s">
        <v>6068</v>
      </c>
      <c r="P1059" s="20"/>
      <c r="Q1059" s="6" t="s">
        <v>2644</v>
      </c>
      <c r="R1059" s="6" t="str">
        <f t="shared" ca="1" si="12"/>
        <v>NonCategory</v>
      </c>
    </row>
    <row r="1060" spans="1:18">
      <c r="A1060" s="162">
        <v>44713</v>
      </c>
      <c r="B1060" s="164" t="s">
        <v>2645</v>
      </c>
      <c r="C1060" s="168" t="s">
        <v>2646</v>
      </c>
      <c r="D1060" s="6" t="s">
        <v>287</v>
      </c>
      <c r="E1060" s="6" t="s">
        <v>6</v>
      </c>
      <c r="F1060" s="131">
        <v>44713</v>
      </c>
      <c r="G1060" s="6" t="s">
        <v>16</v>
      </c>
      <c r="H1060" s="6" t="s">
        <v>2575</v>
      </c>
      <c r="I1060" s="6">
        <v>1</v>
      </c>
      <c r="J1060" s="8">
        <v>42000</v>
      </c>
      <c r="K1060" s="8">
        <f t="shared" si="11"/>
        <v>480.98946404031153</v>
      </c>
      <c r="L1060" s="96">
        <v>44713</v>
      </c>
      <c r="M1060" s="6" t="s">
        <v>251</v>
      </c>
      <c r="N1060" s="96">
        <v>44713</v>
      </c>
      <c r="O1060" s="22" t="s">
        <v>6069</v>
      </c>
      <c r="Q1060" s="6" t="s">
        <v>280</v>
      </c>
      <c r="R1060" s="6" t="str">
        <f t="shared" ca="1" si="12"/>
        <v>NonCategory</v>
      </c>
    </row>
    <row r="1061" spans="1:18">
      <c r="A1061" s="162">
        <v>44713</v>
      </c>
      <c r="B1061" s="164" t="s">
        <v>2507</v>
      </c>
      <c r="C1061" s="168" t="s">
        <v>2508</v>
      </c>
      <c r="D1061" s="6" t="s">
        <v>470</v>
      </c>
      <c r="E1061" s="6" t="s">
        <v>1277</v>
      </c>
      <c r="F1061" s="131">
        <v>44713</v>
      </c>
      <c r="G1061" s="6" t="s">
        <v>16</v>
      </c>
      <c r="H1061" s="96">
        <v>44716</v>
      </c>
      <c r="I1061" s="6">
        <v>1</v>
      </c>
      <c r="J1061" s="8">
        <v>39000</v>
      </c>
      <c r="K1061" s="8">
        <f t="shared" si="11"/>
        <v>446.6330737517178</v>
      </c>
      <c r="L1061" s="96">
        <v>44713</v>
      </c>
      <c r="M1061" s="6" t="s">
        <v>251</v>
      </c>
      <c r="N1061" s="96">
        <v>44714</v>
      </c>
      <c r="O1061" s="22" t="s">
        <v>6070</v>
      </c>
      <c r="Q1061" s="6" t="s">
        <v>356</v>
      </c>
      <c r="R1061" s="6" t="str">
        <f t="shared" ca="1" si="12"/>
        <v>NonCategory</v>
      </c>
    </row>
    <row r="1062" spans="1:18">
      <c r="A1062" s="162">
        <v>44715</v>
      </c>
      <c r="B1062" s="164" t="s">
        <v>2647</v>
      </c>
      <c r="C1062" s="168" t="s">
        <v>2648</v>
      </c>
      <c r="D1062" s="6" t="s">
        <v>303</v>
      </c>
      <c r="E1062" s="6" t="s">
        <v>150</v>
      </c>
      <c r="F1062" s="131">
        <v>44713</v>
      </c>
      <c r="G1062" s="6" t="s">
        <v>16</v>
      </c>
      <c r="H1062" s="96">
        <v>44715</v>
      </c>
      <c r="I1062" s="6">
        <v>1</v>
      </c>
      <c r="J1062" s="8">
        <v>20500</v>
      </c>
      <c r="K1062" s="8">
        <f t="shared" si="11"/>
        <v>234.76866697205682</v>
      </c>
      <c r="L1062" s="96">
        <v>44715</v>
      </c>
      <c r="M1062" s="6" t="s">
        <v>251</v>
      </c>
      <c r="N1062" s="96">
        <v>44715</v>
      </c>
      <c r="O1062" s="22" t="s">
        <v>6071</v>
      </c>
      <c r="Q1062" s="6" t="s">
        <v>356</v>
      </c>
      <c r="R1062" s="6" t="str">
        <f t="shared" ca="1" si="12"/>
        <v>NonCategory</v>
      </c>
    </row>
    <row r="1063" spans="1:18">
      <c r="A1063" s="162">
        <v>44715</v>
      </c>
      <c r="B1063" s="164" t="s">
        <v>2649</v>
      </c>
      <c r="C1063" s="168" t="s">
        <v>2650</v>
      </c>
      <c r="D1063" s="6" t="s">
        <v>287</v>
      </c>
      <c r="E1063" s="6" t="s">
        <v>25</v>
      </c>
      <c r="F1063" s="131">
        <v>44713</v>
      </c>
      <c r="G1063" s="6" t="s">
        <v>16</v>
      </c>
      <c r="H1063" s="6" t="s">
        <v>2575</v>
      </c>
      <c r="I1063" s="6">
        <v>1</v>
      </c>
      <c r="J1063" s="8">
        <v>40061</v>
      </c>
      <c r="K1063" s="8">
        <f t="shared" si="11"/>
        <v>458.7837837837838</v>
      </c>
      <c r="L1063" s="96">
        <v>44715</v>
      </c>
      <c r="M1063" s="6" t="s">
        <v>251</v>
      </c>
      <c r="N1063" s="96">
        <v>44715</v>
      </c>
      <c r="O1063" s="22" t="s">
        <v>6072</v>
      </c>
      <c r="Q1063" s="6" t="s">
        <v>280</v>
      </c>
      <c r="R1063" s="6" t="str">
        <f t="shared" ca="1" si="12"/>
        <v>NonCategory</v>
      </c>
    </row>
    <row r="1064" spans="1:18">
      <c r="A1064" s="162">
        <v>44715</v>
      </c>
      <c r="B1064" s="164" t="s">
        <v>2651</v>
      </c>
      <c r="C1064" s="168" t="s">
        <v>2652</v>
      </c>
      <c r="D1064" s="6" t="s">
        <v>303</v>
      </c>
      <c r="E1064" s="6" t="s">
        <v>2653</v>
      </c>
      <c r="F1064" s="131">
        <v>44713</v>
      </c>
      <c r="G1064" s="6" t="s">
        <v>16</v>
      </c>
      <c r="H1064" s="96">
        <v>44716</v>
      </c>
      <c r="I1064" s="6">
        <v>1</v>
      </c>
      <c r="J1064" s="8">
        <v>16000</v>
      </c>
      <c r="K1064" s="8">
        <f t="shared" si="11"/>
        <v>183.23408153916631</v>
      </c>
      <c r="L1064" s="96">
        <v>44715</v>
      </c>
      <c r="M1064" s="6" t="s">
        <v>251</v>
      </c>
      <c r="N1064" s="96">
        <v>44715</v>
      </c>
      <c r="O1064" s="22" t="s">
        <v>6073</v>
      </c>
      <c r="Q1064" s="6" t="s">
        <v>356</v>
      </c>
      <c r="R1064" s="6" t="str">
        <f t="shared" ca="1" si="12"/>
        <v>NonCategory</v>
      </c>
    </row>
    <row r="1065" spans="1:18">
      <c r="A1065" s="162">
        <v>44718</v>
      </c>
      <c r="B1065" s="164" t="s">
        <v>2654</v>
      </c>
      <c r="C1065" s="168" t="s">
        <v>2655</v>
      </c>
      <c r="D1065" s="6" t="s">
        <v>287</v>
      </c>
      <c r="E1065" s="6" t="s">
        <v>150</v>
      </c>
      <c r="F1065" s="131">
        <v>44713</v>
      </c>
      <c r="G1065" s="6" t="s">
        <v>16</v>
      </c>
      <c r="H1065" s="6" t="s">
        <v>2613</v>
      </c>
      <c r="I1065" s="6">
        <v>1</v>
      </c>
      <c r="J1065" s="8">
        <v>21000</v>
      </c>
      <c r="K1065" s="8">
        <f t="shared" si="11"/>
        <v>240.49473202015577</v>
      </c>
      <c r="L1065" s="96">
        <v>44718</v>
      </c>
      <c r="M1065" s="6" t="s">
        <v>251</v>
      </c>
      <c r="N1065" s="96">
        <v>44718</v>
      </c>
      <c r="O1065" s="22" t="s">
        <v>6074</v>
      </c>
      <c r="Q1065" s="6" t="s">
        <v>356</v>
      </c>
      <c r="R1065" s="6" t="str">
        <f t="shared" ca="1" si="12"/>
        <v>NonCategory</v>
      </c>
    </row>
    <row r="1066" spans="1:18">
      <c r="A1066" s="162">
        <v>44718</v>
      </c>
      <c r="B1066" s="164" t="s">
        <v>2656</v>
      </c>
      <c r="C1066" s="168" t="s">
        <v>2657</v>
      </c>
      <c r="D1066" s="6" t="s">
        <v>470</v>
      </c>
      <c r="E1066" s="6" t="s">
        <v>96</v>
      </c>
      <c r="F1066" s="131">
        <v>44713</v>
      </c>
      <c r="G1066" s="6" t="s">
        <v>16</v>
      </c>
      <c r="H1066" s="6" t="s">
        <v>2658</v>
      </c>
      <c r="I1066" s="6">
        <v>1</v>
      </c>
      <c r="J1066" s="8">
        <v>20000</v>
      </c>
      <c r="K1066" s="8">
        <f t="shared" si="11"/>
        <v>229.04260192395787</v>
      </c>
      <c r="L1066" s="96">
        <v>44718</v>
      </c>
      <c r="M1066" s="6" t="s">
        <v>251</v>
      </c>
      <c r="N1066" s="96">
        <v>44718</v>
      </c>
      <c r="O1066" s="22" t="s">
        <v>6075</v>
      </c>
      <c r="Q1066" s="6" t="s">
        <v>356</v>
      </c>
      <c r="R1066" s="6" t="str">
        <f t="shared" ca="1" si="12"/>
        <v>NonCategory</v>
      </c>
    </row>
    <row r="1067" spans="1:18">
      <c r="A1067" s="162">
        <v>44719</v>
      </c>
      <c r="B1067" s="164" t="s">
        <v>2659</v>
      </c>
      <c r="C1067" s="168" t="s">
        <v>2660</v>
      </c>
      <c r="D1067" s="6" t="s">
        <v>287</v>
      </c>
      <c r="E1067" s="6" t="s">
        <v>96</v>
      </c>
      <c r="F1067" s="131">
        <v>44713</v>
      </c>
      <c r="G1067" s="6" t="s">
        <v>16</v>
      </c>
      <c r="H1067" s="6" t="s">
        <v>2580</v>
      </c>
      <c r="I1067" s="6">
        <v>1</v>
      </c>
      <c r="J1067" s="8">
        <v>20000</v>
      </c>
      <c r="K1067" s="8">
        <f t="shared" si="11"/>
        <v>229.04260192395787</v>
      </c>
      <c r="L1067" s="96">
        <v>44719</v>
      </c>
      <c r="M1067" s="6" t="s">
        <v>251</v>
      </c>
      <c r="N1067" s="96">
        <v>44719</v>
      </c>
      <c r="O1067" s="22" t="s">
        <v>6076</v>
      </c>
      <c r="Q1067" s="6" t="s">
        <v>280</v>
      </c>
      <c r="R1067" s="6" t="str">
        <f t="shared" ca="1" si="12"/>
        <v>NonCategory</v>
      </c>
    </row>
    <row r="1068" spans="1:18">
      <c r="A1068" s="162">
        <v>44720</v>
      </c>
      <c r="B1068" s="164" t="s">
        <v>2661</v>
      </c>
      <c r="C1068" s="168" t="s">
        <v>2662</v>
      </c>
      <c r="D1068" s="6" t="s">
        <v>319</v>
      </c>
      <c r="E1068" s="6" t="s">
        <v>151</v>
      </c>
      <c r="F1068" s="131">
        <v>44713</v>
      </c>
      <c r="G1068" s="6" t="s">
        <v>16</v>
      </c>
      <c r="H1068" s="6" t="s">
        <v>2613</v>
      </c>
      <c r="I1068" s="6">
        <v>1</v>
      </c>
      <c r="J1068" s="8">
        <v>21000</v>
      </c>
      <c r="K1068" s="8">
        <f t="shared" si="11"/>
        <v>240.49473202015577</v>
      </c>
      <c r="L1068" s="96">
        <v>44720</v>
      </c>
      <c r="M1068" s="6" t="s">
        <v>251</v>
      </c>
      <c r="N1068" s="96">
        <v>44721</v>
      </c>
      <c r="O1068" s="22" t="s">
        <v>6077</v>
      </c>
      <c r="Q1068" s="6" t="s">
        <v>280</v>
      </c>
      <c r="R1068" s="6" t="str">
        <f t="shared" ca="1" si="12"/>
        <v>NonCategory</v>
      </c>
    </row>
    <row r="1069" spans="1:18">
      <c r="A1069" s="162">
        <v>44721</v>
      </c>
      <c r="B1069" s="164" t="s">
        <v>2663</v>
      </c>
      <c r="C1069" s="168" t="s">
        <v>2664</v>
      </c>
      <c r="D1069" s="6" t="s">
        <v>319</v>
      </c>
      <c r="E1069" s="6" t="s">
        <v>25</v>
      </c>
      <c r="F1069" s="131">
        <v>44713</v>
      </c>
      <c r="G1069" s="6" t="s">
        <v>16</v>
      </c>
      <c r="H1069" s="6" t="s">
        <v>2580</v>
      </c>
      <c r="I1069" s="6">
        <v>1</v>
      </c>
      <c r="J1069" s="8">
        <v>42000</v>
      </c>
      <c r="K1069" s="8">
        <f t="shared" si="11"/>
        <v>480.98946404031153</v>
      </c>
      <c r="L1069" s="96">
        <v>44721</v>
      </c>
      <c r="M1069" s="6" t="s">
        <v>251</v>
      </c>
      <c r="N1069" s="96">
        <v>44721</v>
      </c>
      <c r="O1069" s="22" t="s">
        <v>6078</v>
      </c>
      <c r="Q1069" s="6" t="s">
        <v>280</v>
      </c>
      <c r="R1069" s="6" t="str">
        <f t="shared" ca="1" si="12"/>
        <v>NonCategory</v>
      </c>
    </row>
    <row r="1070" spans="1:18">
      <c r="A1070" s="162">
        <v>44721</v>
      </c>
      <c r="B1070" s="164" t="s">
        <v>2665</v>
      </c>
      <c r="C1070" s="168" t="s">
        <v>2666</v>
      </c>
      <c r="D1070" s="6" t="s">
        <v>278</v>
      </c>
      <c r="E1070" s="6" t="s">
        <v>150</v>
      </c>
      <c r="F1070" s="131">
        <v>44713</v>
      </c>
      <c r="G1070" s="6" t="s">
        <v>16</v>
      </c>
      <c r="H1070" s="6" t="s">
        <v>2580</v>
      </c>
      <c r="I1070" s="6">
        <v>1</v>
      </c>
      <c r="J1070" s="8">
        <v>20500</v>
      </c>
      <c r="K1070" s="8">
        <f t="shared" si="11"/>
        <v>234.76866697205682</v>
      </c>
      <c r="L1070" s="96">
        <v>44721</v>
      </c>
      <c r="M1070" s="6" t="s">
        <v>251</v>
      </c>
      <c r="N1070" s="96">
        <v>44721</v>
      </c>
      <c r="O1070" s="22" t="s">
        <v>6079</v>
      </c>
      <c r="P1070" s="6" t="s">
        <v>2667</v>
      </c>
      <c r="Q1070" s="6" t="s">
        <v>280</v>
      </c>
      <c r="R1070" s="6" t="str">
        <f t="shared" ca="1" si="12"/>
        <v>NonCategory</v>
      </c>
    </row>
    <row r="1071" spans="1:18">
      <c r="A1071" s="162">
        <v>44721</v>
      </c>
      <c r="B1071" s="164" t="s">
        <v>2668</v>
      </c>
      <c r="C1071" s="168" t="s">
        <v>2669</v>
      </c>
      <c r="D1071" s="6" t="s">
        <v>343</v>
      </c>
      <c r="E1071" s="6" t="s">
        <v>2670</v>
      </c>
      <c r="F1071" s="131">
        <v>44713</v>
      </c>
      <c r="G1071" s="6" t="s">
        <v>16</v>
      </c>
      <c r="H1071" s="6" t="s">
        <v>21</v>
      </c>
      <c r="I1071" s="6">
        <v>1</v>
      </c>
      <c r="J1071" s="8">
        <v>26500</v>
      </c>
      <c r="K1071" s="8">
        <f t="shared" si="11"/>
        <v>303.48144754924414</v>
      </c>
      <c r="L1071" s="96">
        <v>44721</v>
      </c>
      <c r="M1071" s="6" t="s">
        <v>251</v>
      </c>
      <c r="N1071" s="96">
        <v>44721</v>
      </c>
      <c r="O1071" s="22" t="s">
        <v>6080</v>
      </c>
      <c r="Q1071" s="6" t="s">
        <v>356</v>
      </c>
      <c r="R1071" s="6" t="str">
        <f t="shared" ca="1" si="12"/>
        <v>NonCategory</v>
      </c>
    </row>
    <row r="1072" spans="1:18">
      <c r="A1072" s="162">
        <v>44721</v>
      </c>
      <c r="B1072" s="164" t="s">
        <v>2671</v>
      </c>
      <c r="C1072" s="168" t="s">
        <v>2672</v>
      </c>
      <c r="D1072" s="6" t="s">
        <v>303</v>
      </c>
      <c r="E1072" s="6" t="s">
        <v>150</v>
      </c>
      <c r="F1072" s="131">
        <v>44713</v>
      </c>
      <c r="G1072" s="6" t="s">
        <v>16</v>
      </c>
      <c r="H1072" s="6" t="s">
        <v>2580</v>
      </c>
      <c r="I1072" s="6">
        <v>1</v>
      </c>
      <c r="J1072" s="8">
        <v>21000</v>
      </c>
      <c r="K1072" s="8">
        <f t="shared" si="11"/>
        <v>240.49473202015577</v>
      </c>
      <c r="L1072" s="96">
        <v>44721</v>
      </c>
      <c r="M1072" s="6" t="s">
        <v>251</v>
      </c>
      <c r="N1072" s="96">
        <v>44721</v>
      </c>
      <c r="O1072" s="22" t="s">
        <v>6081</v>
      </c>
      <c r="Q1072" s="6" t="s">
        <v>280</v>
      </c>
      <c r="R1072" s="6" t="str">
        <f t="shared" ca="1" si="12"/>
        <v>NonCategory</v>
      </c>
    </row>
    <row r="1073" spans="1:18">
      <c r="A1073" s="162">
        <v>44722</v>
      </c>
      <c r="B1073" s="164" t="s">
        <v>2673</v>
      </c>
      <c r="C1073" s="168" t="s">
        <v>2674</v>
      </c>
      <c r="D1073" s="6" t="s">
        <v>287</v>
      </c>
      <c r="E1073" s="6" t="s">
        <v>150</v>
      </c>
      <c r="F1073" s="131">
        <v>44713</v>
      </c>
      <c r="G1073" s="6" t="s">
        <v>16</v>
      </c>
      <c r="H1073" s="6" t="s">
        <v>2580</v>
      </c>
      <c r="I1073" s="6">
        <v>1</v>
      </c>
      <c r="J1073" s="8">
        <v>21000</v>
      </c>
      <c r="K1073" s="8">
        <f t="shared" si="11"/>
        <v>240.49473202015577</v>
      </c>
      <c r="L1073" s="96">
        <v>44722</v>
      </c>
      <c r="M1073" s="6" t="s">
        <v>251</v>
      </c>
      <c r="N1073" s="96">
        <v>44722</v>
      </c>
      <c r="O1073" s="22" t="s">
        <v>6082</v>
      </c>
      <c r="Q1073" s="6" t="s">
        <v>280</v>
      </c>
      <c r="R1073" s="6" t="str">
        <f t="shared" ca="1" si="12"/>
        <v>NonCategory</v>
      </c>
    </row>
    <row r="1074" spans="1:18">
      <c r="A1074" s="162">
        <v>44722</v>
      </c>
      <c r="B1074" s="164" t="s">
        <v>2675</v>
      </c>
      <c r="C1074" s="168" t="s">
        <v>2676</v>
      </c>
      <c r="D1074" s="6" t="s">
        <v>303</v>
      </c>
      <c r="E1074" s="6" t="s">
        <v>96</v>
      </c>
      <c r="F1074" s="131">
        <v>44713</v>
      </c>
      <c r="G1074" s="6" t="s">
        <v>16</v>
      </c>
      <c r="H1074" s="6" t="s">
        <v>2580</v>
      </c>
      <c r="I1074" s="6">
        <v>1</v>
      </c>
      <c r="J1074" s="8">
        <v>20000</v>
      </c>
      <c r="K1074" s="8">
        <f t="shared" si="11"/>
        <v>229.04260192395787</v>
      </c>
      <c r="L1074" s="96">
        <v>44722</v>
      </c>
      <c r="M1074" s="6" t="s">
        <v>251</v>
      </c>
      <c r="N1074" s="96">
        <v>44722</v>
      </c>
      <c r="O1074" s="22" t="s">
        <v>6083</v>
      </c>
      <c r="Q1074" s="6" t="s">
        <v>280</v>
      </c>
      <c r="R1074" s="6" t="str">
        <f t="shared" ca="1" si="12"/>
        <v>NonCategory</v>
      </c>
    </row>
    <row r="1075" spans="1:18">
      <c r="A1075" s="162">
        <v>44725</v>
      </c>
      <c r="B1075" s="164" t="s">
        <v>2677</v>
      </c>
      <c r="C1075" s="168" t="s">
        <v>2678</v>
      </c>
      <c r="D1075" s="6" t="s">
        <v>278</v>
      </c>
      <c r="E1075" s="6" t="s">
        <v>25</v>
      </c>
      <c r="F1075" s="131">
        <v>44713</v>
      </c>
      <c r="G1075" s="6" t="s">
        <v>16</v>
      </c>
      <c r="H1075" s="6" t="s">
        <v>2633</v>
      </c>
      <c r="I1075" s="6">
        <v>1</v>
      </c>
      <c r="J1075" s="8">
        <v>40061</v>
      </c>
      <c r="K1075" s="8">
        <f t="shared" si="11"/>
        <v>458.7837837837838</v>
      </c>
      <c r="L1075" s="96">
        <v>44725</v>
      </c>
      <c r="M1075" s="6" t="s">
        <v>252</v>
      </c>
      <c r="N1075" s="96">
        <v>44725</v>
      </c>
      <c r="O1075" s="22" t="s">
        <v>6084</v>
      </c>
      <c r="P1075" s="6" t="s">
        <v>2679</v>
      </c>
      <c r="Q1075" s="6" t="s">
        <v>280</v>
      </c>
      <c r="R1075" s="6" t="str">
        <f t="shared" ca="1" si="12"/>
        <v>NonCategory</v>
      </c>
    </row>
    <row r="1076" spans="1:18">
      <c r="A1076" s="162">
        <v>44725</v>
      </c>
      <c r="B1076" s="164" t="s">
        <v>2680</v>
      </c>
      <c r="C1076" s="168" t="s">
        <v>2681</v>
      </c>
      <c r="D1076" s="6" t="s">
        <v>287</v>
      </c>
      <c r="E1076" s="6" t="s">
        <v>151</v>
      </c>
      <c r="F1076" s="131">
        <v>44713</v>
      </c>
      <c r="G1076" s="6" t="s">
        <v>16</v>
      </c>
      <c r="H1076" s="6" t="s">
        <v>2633</v>
      </c>
      <c r="I1076" s="6">
        <v>1</v>
      </c>
      <c r="J1076" s="8">
        <v>21000</v>
      </c>
      <c r="K1076" s="8">
        <f t="shared" si="11"/>
        <v>240.49473202015577</v>
      </c>
      <c r="L1076" s="96">
        <v>44725</v>
      </c>
      <c r="M1076" s="6" t="s">
        <v>252</v>
      </c>
      <c r="N1076" s="96">
        <v>44725</v>
      </c>
      <c r="O1076" s="22" t="s">
        <v>6085</v>
      </c>
      <c r="Q1076" s="6" t="s">
        <v>280</v>
      </c>
      <c r="R1076" s="6" t="str">
        <f t="shared" ca="1" si="12"/>
        <v>NonCategory</v>
      </c>
    </row>
    <row r="1077" spans="1:18">
      <c r="A1077" s="162">
        <v>44726</v>
      </c>
      <c r="B1077" s="164" t="s">
        <v>2682</v>
      </c>
      <c r="C1077" s="168" t="s">
        <v>2683</v>
      </c>
      <c r="D1077" s="6" t="s">
        <v>278</v>
      </c>
      <c r="E1077" s="6" t="s">
        <v>2684</v>
      </c>
      <c r="F1077" s="79">
        <v>44713</v>
      </c>
      <c r="G1077" s="6" t="s">
        <v>13</v>
      </c>
      <c r="H1077" s="96">
        <v>44730</v>
      </c>
      <c r="I1077" s="6">
        <v>1</v>
      </c>
      <c r="J1077" s="8">
        <v>21000</v>
      </c>
      <c r="K1077" s="8">
        <f t="shared" si="11"/>
        <v>240.49473202015577</v>
      </c>
      <c r="L1077" s="96">
        <v>44726</v>
      </c>
      <c r="R1077" s="6" t="str">
        <f t="shared" ca="1" si="12"/>
        <v>NonCategory</v>
      </c>
    </row>
    <row r="1078" spans="1:18">
      <c r="A1078" s="162">
        <v>44726</v>
      </c>
      <c r="B1078" s="164" t="s">
        <v>2685</v>
      </c>
      <c r="C1078" s="168" t="s">
        <v>2686</v>
      </c>
      <c r="D1078" s="6" t="s">
        <v>495</v>
      </c>
      <c r="E1078" s="6" t="s">
        <v>150</v>
      </c>
      <c r="F1078" s="131">
        <v>44713</v>
      </c>
      <c r="G1078" s="6" t="s">
        <v>16</v>
      </c>
      <c r="H1078" s="6" t="s">
        <v>2633</v>
      </c>
      <c r="I1078" s="6">
        <v>1</v>
      </c>
      <c r="J1078" s="8">
        <v>21000</v>
      </c>
      <c r="K1078" s="8">
        <f t="shared" si="11"/>
        <v>240.49473202015577</v>
      </c>
      <c r="L1078" s="96">
        <v>44726</v>
      </c>
      <c r="M1078" s="6" t="s">
        <v>252</v>
      </c>
      <c r="N1078" s="96">
        <v>44726</v>
      </c>
      <c r="O1078" s="22" t="s">
        <v>6086</v>
      </c>
      <c r="Q1078" s="6" t="s">
        <v>280</v>
      </c>
      <c r="R1078" s="6" t="str">
        <f t="shared" ca="1" si="12"/>
        <v>NonCategory</v>
      </c>
    </row>
    <row r="1079" spans="1:18">
      <c r="A1079" s="162">
        <v>44727</v>
      </c>
      <c r="B1079" s="164" t="s">
        <v>2687</v>
      </c>
      <c r="C1079" s="168" t="s">
        <v>2688</v>
      </c>
      <c r="D1079" s="6" t="s">
        <v>287</v>
      </c>
      <c r="E1079" s="6" t="s">
        <v>1524</v>
      </c>
      <c r="F1079" s="131">
        <v>44713</v>
      </c>
      <c r="G1079" s="6" t="s">
        <v>16</v>
      </c>
      <c r="H1079" s="6" t="s">
        <v>2689</v>
      </c>
      <c r="I1079" s="6">
        <v>1</v>
      </c>
      <c r="J1079" s="8">
        <v>24000</v>
      </c>
      <c r="K1079" s="8">
        <f t="shared" si="11"/>
        <v>274.85112230874944</v>
      </c>
      <c r="L1079" s="96">
        <v>44727</v>
      </c>
      <c r="M1079" s="6" t="s">
        <v>252</v>
      </c>
      <c r="N1079" s="96">
        <v>44728</v>
      </c>
      <c r="O1079" s="22" t="s">
        <v>6087</v>
      </c>
      <c r="Q1079" s="6" t="s">
        <v>280</v>
      </c>
      <c r="R1079" s="6" t="str">
        <f t="shared" ca="1" si="12"/>
        <v>NonCategory</v>
      </c>
    </row>
    <row r="1080" spans="1:18">
      <c r="A1080" s="162">
        <v>44727</v>
      </c>
      <c r="B1080" s="164" t="s">
        <v>2690</v>
      </c>
      <c r="C1080" s="168" t="s">
        <v>2691</v>
      </c>
      <c r="D1080" s="6" t="s">
        <v>303</v>
      </c>
      <c r="E1080" s="6" t="s">
        <v>6</v>
      </c>
      <c r="F1080" s="131">
        <v>44713</v>
      </c>
      <c r="G1080" s="6" t="s">
        <v>16</v>
      </c>
      <c r="H1080" s="6" t="s">
        <v>2613</v>
      </c>
      <c r="I1080" s="6">
        <v>1</v>
      </c>
      <c r="J1080" s="8">
        <v>40061</v>
      </c>
      <c r="K1080" s="8">
        <f t="shared" si="11"/>
        <v>458.7837837837838</v>
      </c>
      <c r="L1080" s="96">
        <v>44727</v>
      </c>
      <c r="M1080" s="6" t="s">
        <v>252</v>
      </c>
      <c r="N1080" s="96">
        <v>44727</v>
      </c>
      <c r="O1080" s="22" t="s">
        <v>6088</v>
      </c>
      <c r="Q1080" s="6" t="s">
        <v>280</v>
      </c>
      <c r="R1080" s="6" t="str">
        <f t="shared" ca="1" si="12"/>
        <v>NonCategory</v>
      </c>
    </row>
    <row r="1081" spans="1:18">
      <c r="A1081" s="162">
        <v>44727</v>
      </c>
      <c r="B1081" s="164" t="s">
        <v>2692</v>
      </c>
      <c r="C1081" s="168" t="s">
        <v>2693</v>
      </c>
      <c r="D1081" s="6" t="s">
        <v>278</v>
      </c>
      <c r="E1081" s="6" t="s">
        <v>96</v>
      </c>
      <c r="F1081" s="131">
        <v>44713</v>
      </c>
      <c r="G1081" s="6" t="s">
        <v>16</v>
      </c>
      <c r="H1081" s="6" t="s">
        <v>2694</v>
      </c>
      <c r="I1081" s="6">
        <v>1</v>
      </c>
      <c r="J1081" s="8">
        <v>19500</v>
      </c>
      <c r="K1081" s="8">
        <f t="shared" si="11"/>
        <v>223.3165368758589</v>
      </c>
      <c r="L1081" s="96">
        <v>44727</v>
      </c>
      <c r="M1081" s="6" t="s">
        <v>252</v>
      </c>
      <c r="N1081" s="96">
        <v>44727</v>
      </c>
      <c r="O1081" s="22" t="s">
        <v>6089</v>
      </c>
      <c r="P1081" s="6" t="s">
        <v>2695</v>
      </c>
      <c r="Q1081" s="6" t="s">
        <v>280</v>
      </c>
      <c r="R1081" s="6" t="str">
        <f t="shared" ca="1" si="12"/>
        <v>NonCategory</v>
      </c>
    </row>
    <row r="1082" spans="1:18">
      <c r="A1082" s="162">
        <v>44727</v>
      </c>
      <c r="B1082" s="164" t="s">
        <v>2696</v>
      </c>
      <c r="C1082" s="168" t="s">
        <v>2697</v>
      </c>
      <c r="D1082" s="6" t="s">
        <v>278</v>
      </c>
      <c r="E1082" s="6" t="s">
        <v>96</v>
      </c>
      <c r="F1082" s="131">
        <v>44713</v>
      </c>
      <c r="G1082" s="6" t="s">
        <v>16</v>
      </c>
      <c r="H1082" s="6" t="s">
        <v>2694</v>
      </c>
      <c r="I1082" s="6">
        <v>1</v>
      </c>
      <c r="J1082" s="8">
        <v>19500</v>
      </c>
      <c r="K1082" s="8">
        <f t="shared" si="11"/>
        <v>223.3165368758589</v>
      </c>
      <c r="L1082" s="96">
        <v>44727</v>
      </c>
      <c r="M1082" s="6" t="s">
        <v>252</v>
      </c>
      <c r="N1082" s="96">
        <v>44727</v>
      </c>
      <c r="O1082" s="22" t="s">
        <v>6090</v>
      </c>
      <c r="P1082" s="6" t="s">
        <v>2695</v>
      </c>
      <c r="Q1082" s="6" t="s">
        <v>280</v>
      </c>
      <c r="R1082" s="6" t="str">
        <f t="shared" ca="1" si="12"/>
        <v>NonCategory</v>
      </c>
    </row>
    <row r="1083" spans="1:18">
      <c r="A1083" s="162">
        <v>44728</v>
      </c>
      <c r="B1083" s="164" t="s">
        <v>2698</v>
      </c>
      <c r="C1083" s="168" t="s">
        <v>2699</v>
      </c>
      <c r="D1083" s="6" t="s">
        <v>297</v>
      </c>
      <c r="E1083" s="6" t="s">
        <v>25</v>
      </c>
      <c r="F1083" s="131">
        <v>44713</v>
      </c>
      <c r="G1083" s="6" t="s">
        <v>16</v>
      </c>
      <c r="H1083" s="6" t="s">
        <v>2613</v>
      </c>
      <c r="I1083" s="6">
        <v>1</v>
      </c>
      <c r="J1083" s="8">
        <v>40061</v>
      </c>
      <c r="K1083" s="8">
        <f t="shared" si="11"/>
        <v>458.7837837837838</v>
      </c>
      <c r="L1083" s="96">
        <v>44728</v>
      </c>
      <c r="M1083" s="6" t="s">
        <v>252</v>
      </c>
      <c r="N1083" s="96">
        <v>44728</v>
      </c>
      <c r="O1083" s="22" t="s">
        <v>6091</v>
      </c>
      <c r="Q1083" s="6" t="s">
        <v>280</v>
      </c>
      <c r="R1083" s="6" t="str">
        <f t="shared" ca="1" si="12"/>
        <v>NonCategory</v>
      </c>
    </row>
    <row r="1084" spans="1:18">
      <c r="A1084" s="162">
        <v>44728</v>
      </c>
      <c r="B1084" s="164" t="s">
        <v>2700</v>
      </c>
      <c r="C1084" s="168" t="s">
        <v>2701</v>
      </c>
      <c r="D1084" s="6" t="s">
        <v>319</v>
      </c>
      <c r="E1084" s="6" t="s">
        <v>151</v>
      </c>
      <c r="F1084" s="131">
        <v>44713</v>
      </c>
      <c r="G1084" s="6" t="s">
        <v>16</v>
      </c>
      <c r="H1084" s="6" t="s">
        <v>2613</v>
      </c>
      <c r="I1084" s="6">
        <v>1</v>
      </c>
      <c r="J1084" s="8">
        <v>21000</v>
      </c>
      <c r="K1084" s="8">
        <f t="shared" si="11"/>
        <v>240.49473202015577</v>
      </c>
      <c r="L1084" s="96">
        <v>44728</v>
      </c>
      <c r="M1084" s="6" t="s">
        <v>252</v>
      </c>
      <c r="N1084" s="96">
        <v>44728</v>
      </c>
      <c r="O1084" s="22" t="s">
        <v>6092</v>
      </c>
      <c r="Q1084" s="6" t="s">
        <v>280</v>
      </c>
      <c r="R1084" s="6" t="str">
        <f t="shared" ca="1" si="12"/>
        <v>NonCategory</v>
      </c>
    </row>
    <row r="1085" spans="1:18">
      <c r="A1085" s="162">
        <v>44728</v>
      </c>
      <c r="B1085" s="164" t="s">
        <v>2702</v>
      </c>
      <c r="C1085" s="168" t="s">
        <v>2703</v>
      </c>
      <c r="D1085" s="6" t="s">
        <v>291</v>
      </c>
      <c r="E1085" s="6" t="s">
        <v>151</v>
      </c>
      <c r="F1085" s="131">
        <v>44713</v>
      </c>
      <c r="G1085" s="6" t="s">
        <v>16</v>
      </c>
      <c r="H1085" s="6" t="s">
        <v>2613</v>
      </c>
      <c r="I1085" s="6">
        <v>1</v>
      </c>
      <c r="J1085" s="8">
        <v>21000</v>
      </c>
      <c r="K1085" s="8">
        <f t="shared" si="11"/>
        <v>240.49473202015577</v>
      </c>
      <c r="L1085" s="96">
        <v>44728</v>
      </c>
      <c r="M1085" s="6" t="s">
        <v>252</v>
      </c>
      <c r="N1085" s="96">
        <v>44728</v>
      </c>
      <c r="O1085" s="22" t="s">
        <v>6093</v>
      </c>
      <c r="Q1085" s="6" t="s">
        <v>280</v>
      </c>
      <c r="R1085" s="6" t="str">
        <f t="shared" ca="1" si="12"/>
        <v>NonCategory</v>
      </c>
    </row>
    <row r="1086" spans="1:18">
      <c r="A1086" s="162">
        <v>44728</v>
      </c>
      <c r="B1086" s="164" t="s">
        <v>2704</v>
      </c>
      <c r="C1086" s="168" t="s">
        <v>2705</v>
      </c>
      <c r="D1086" s="6" t="s">
        <v>278</v>
      </c>
      <c r="E1086" s="6" t="s">
        <v>150</v>
      </c>
      <c r="F1086" s="131">
        <v>44713</v>
      </c>
      <c r="G1086" s="6" t="s">
        <v>16</v>
      </c>
      <c r="H1086" s="6" t="s">
        <v>2613</v>
      </c>
      <c r="I1086" s="6">
        <v>1</v>
      </c>
      <c r="J1086" s="8">
        <v>21000</v>
      </c>
      <c r="K1086" s="8">
        <f t="shared" si="11"/>
        <v>240.49473202015577</v>
      </c>
      <c r="L1086" s="96">
        <v>44728</v>
      </c>
      <c r="M1086" s="6" t="s">
        <v>252</v>
      </c>
      <c r="N1086" s="96">
        <v>44728</v>
      </c>
      <c r="O1086" s="22" t="s">
        <v>6094</v>
      </c>
      <c r="P1086" s="6" t="s">
        <v>2706</v>
      </c>
      <c r="Q1086" s="6" t="s">
        <v>280</v>
      </c>
      <c r="R1086" s="6" t="str">
        <f t="shared" ca="1" si="12"/>
        <v>NonCategory</v>
      </c>
    </row>
    <row r="1087" spans="1:18">
      <c r="A1087" s="162">
        <v>44728</v>
      </c>
      <c r="B1087" s="164" t="s">
        <v>2707</v>
      </c>
      <c r="C1087" s="168" t="s">
        <v>2708</v>
      </c>
      <c r="D1087" s="6" t="s">
        <v>278</v>
      </c>
      <c r="E1087" s="6" t="s">
        <v>6</v>
      </c>
      <c r="F1087" s="131">
        <v>44713</v>
      </c>
      <c r="G1087" s="6" t="s">
        <v>16</v>
      </c>
      <c r="H1087" s="6" t="s">
        <v>2613</v>
      </c>
      <c r="I1087" s="6">
        <v>1</v>
      </c>
      <c r="J1087" s="8">
        <v>40061</v>
      </c>
      <c r="K1087" s="8">
        <f t="shared" si="11"/>
        <v>458.7837837837838</v>
      </c>
      <c r="L1087" s="96">
        <v>44728</v>
      </c>
      <c r="M1087" s="6" t="s">
        <v>252</v>
      </c>
      <c r="N1087" s="96">
        <v>44728</v>
      </c>
      <c r="O1087" s="22" t="s">
        <v>6095</v>
      </c>
      <c r="P1087" s="6" t="s">
        <v>2156</v>
      </c>
      <c r="Q1087" s="6" t="s">
        <v>280</v>
      </c>
      <c r="R1087" s="6" t="str">
        <f t="shared" ca="1" si="12"/>
        <v>NonCategory</v>
      </c>
    </row>
    <row r="1088" spans="1:18">
      <c r="A1088" s="162">
        <v>44729</v>
      </c>
      <c r="B1088" s="164" t="s">
        <v>2709</v>
      </c>
      <c r="C1088" s="168" t="s">
        <v>2710</v>
      </c>
      <c r="D1088" s="6" t="s">
        <v>287</v>
      </c>
      <c r="E1088" s="6" t="s">
        <v>25</v>
      </c>
      <c r="F1088" s="131">
        <v>44713</v>
      </c>
      <c r="G1088" s="6" t="s">
        <v>16</v>
      </c>
      <c r="H1088" s="6" t="s">
        <v>2613</v>
      </c>
      <c r="I1088" s="6">
        <v>1</v>
      </c>
      <c r="J1088" s="8">
        <v>40061</v>
      </c>
      <c r="K1088" s="8">
        <f t="shared" si="11"/>
        <v>458.7837837837838</v>
      </c>
      <c r="L1088" s="96">
        <v>44729</v>
      </c>
      <c r="M1088" s="6" t="s">
        <v>252</v>
      </c>
      <c r="N1088" s="96">
        <v>44729</v>
      </c>
      <c r="O1088" s="22" t="s">
        <v>6096</v>
      </c>
      <c r="Q1088" s="6" t="s">
        <v>280</v>
      </c>
      <c r="R1088" s="6" t="str">
        <f t="shared" ca="1" si="12"/>
        <v>NonCategory</v>
      </c>
    </row>
    <row r="1089" spans="1:18">
      <c r="A1089" s="162">
        <v>44729</v>
      </c>
      <c r="B1089" s="164" t="s">
        <v>2711</v>
      </c>
      <c r="C1089" s="168" t="s">
        <v>1938</v>
      </c>
      <c r="D1089" s="6" t="s">
        <v>470</v>
      </c>
      <c r="E1089" s="6" t="s">
        <v>1465</v>
      </c>
      <c r="F1089" s="131">
        <v>44713</v>
      </c>
      <c r="G1089" s="6" t="s">
        <v>16</v>
      </c>
      <c r="H1089" s="96">
        <v>44730</v>
      </c>
      <c r="I1089" s="6">
        <v>1</v>
      </c>
      <c r="J1089" s="8">
        <v>36000</v>
      </c>
      <c r="K1089" s="8">
        <f t="shared" si="11"/>
        <v>412.27668346312413</v>
      </c>
      <c r="L1089" s="96">
        <v>44729</v>
      </c>
      <c r="M1089" s="6" t="s">
        <v>252</v>
      </c>
      <c r="N1089" s="96">
        <v>44729</v>
      </c>
      <c r="O1089" s="22" t="s">
        <v>6097</v>
      </c>
      <c r="Q1089" s="6" t="s">
        <v>356</v>
      </c>
      <c r="R1089" s="6" t="str">
        <f t="shared" ca="1" si="12"/>
        <v>NonCategory</v>
      </c>
    </row>
    <row r="1090" spans="1:18">
      <c r="A1090" s="162">
        <v>44731</v>
      </c>
      <c r="B1090" s="164" t="s">
        <v>2712</v>
      </c>
      <c r="C1090" s="168" t="s">
        <v>2713</v>
      </c>
      <c r="D1090" s="6" t="s">
        <v>319</v>
      </c>
      <c r="E1090" s="6" t="s">
        <v>151</v>
      </c>
      <c r="F1090" s="131">
        <v>44713</v>
      </c>
      <c r="G1090" s="6" t="s">
        <v>16</v>
      </c>
      <c r="H1090" s="6" t="s">
        <v>2633</v>
      </c>
      <c r="I1090" s="6">
        <v>1</v>
      </c>
      <c r="J1090" s="8">
        <v>21000</v>
      </c>
      <c r="K1090" s="8">
        <f t="shared" si="11"/>
        <v>240.49473202015577</v>
      </c>
      <c r="L1090" s="96">
        <v>44731</v>
      </c>
      <c r="M1090" s="6" t="s">
        <v>252</v>
      </c>
      <c r="N1090" s="96">
        <v>44731</v>
      </c>
      <c r="O1090" s="22" t="s">
        <v>6098</v>
      </c>
      <c r="Q1090" s="6" t="s">
        <v>280</v>
      </c>
      <c r="R1090" s="6" t="str">
        <f t="shared" ca="1" si="12"/>
        <v>NonCategory</v>
      </c>
    </row>
    <row r="1091" spans="1:18">
      <c r="A1091" s="162">
        <v>44732</v>
      </c>
      <c r="B1091" s="164" t="s">
        <v>2714</v>
      </c>
      <c r="C1091" s="168" t="s">
        <v>2715</v>
      </c>
      <c r="D1091" s="6" t="s">
        <v>287</v>
      </c>
      <c r="E1091" s="6" t="s">
        <v>25</v>
      </c>
      <c r="F1091" s="131">
        <v>44713</v>
      </c>
      <c r="G1091" s="6" t="s">
        <v>16</v>
      </c>
      <c r="H1091" s="6" t="s">
        <v>2633</v>
      </c>
      <c r="I1091" s="6">
        <v>1</v>
      </c>
      <c r="J1091" s="8">
        <v>42000</v>
      </c>
      <c r="K1091" s="8">
        <f t="shared" si="11"/>
        <v>480.98946404031153</v>
      </c>
      <c r="L1091" s="96">
        <v>44732</v>
      </c>
      <c r="M1091" s="6" t="s">
        <v>252</v>
      </c>
      <c r="N1091" s="96">
        <v>44732</v>
      </c>
      <c r="O1091" s="22" t="s">
        <v>6099</v>
      </c>
      <c r="Q1091" s="6" t="s">
        <v>280</v>
      </c>
      <c r="R1091" s="6" t="str">
        <f t="shared" ca="1" si="12"/>
        <v>NonCategory</v>
      </c>
    </row>
    <row r="1092" spans="1:18">
      <c r="A1092" s="162">
        <v>44732</v>
      </c>
      <c r="B1092" s="164" t="s">
        <v>2716</v>
      </c>
      <c r="C1092" s="168" t="s">
        <v>2717</v>
      </c>
      <c r="D1092" s="6" t="s">
        <v>287</v>
      </c>
      <c r="E1092" s="6" t="s">
        <v>150</v>
      </c>
      <c r="F1092" s="131">
        <v>44713</v>
      </c>
      <c r="G1092" s="6" t="s">
        <v>16</v>
      </c>
      <c r="H1092" s="6" t="s">
        <v>2633</v>
      </c>
      <c r="I1092" s="6">
        <v>1</v>
      </c>
      <c r="J1092" s="8">
        <v>21000</v>
      </c>
      <c r="K1092" s="8">
        <f t="shared" si="11"/>
        <v>240.49473202015577</v>
      </c>
      <c r="L1092" s="96">
        <v>44732</v>
      </c>
      <c r="M1092" s="6" t="s">
        <v>252</v>
      </c>
      <c r="N1092" s="96">
        <v>44732</v>
      </c>
      <c r="O1092" s="22" t="s">
        <v>6100</v>
      </c>
      <c r="Q1092" s="6" t="s">
        <v>356</v>
      </c>
      <c r="R1092" s="6" t="str">
        <f t="shared" ca="1" si="12"/>
        <v>NonCategory</v>
      </c>
    </row>
    <row r="1093" spans="1:18">
      <c r="A1093" s="162">
        <v>44732</v>
      </c>
      <c r="B1093" s="164" t="s">
        <v>2718</v>
      </c>
      <c r="C1093" s="168" t="s">
        <v>2719</v>
      </c>
      <c r="D1093" s="6" t="s">
        <v>278</v>
      </c>
      <c r="E1093" s="6" t="s">
        <v>6</v>
      </c>
      <c r="F1093" s="131">
        <v>44713</v>
      </c>
      <c r="G1093" s="6" t="s">
        <v>16</v>
      </c>
      <c r="H1093" s="6" t="s">
        <v>2720</v>
      </c>
      <c r="I1093" s="6">
        <v>1</v>
      </c>
      <c r="J1093" s="8">
        <v>40061</v>
      </c>
      <c r="K1093" s="8">
        <f t="shared" si="11"/>
        <v>458.7837837837838</v>
      </c>
      <c r="L1093" s="96">
        <v>44732</v>
      </c>
      <c r="M1093" s="6" t="s">
        <v>252</v>
      </c>
      <c r="N1093" s="96">
        <v>44732</v>
      </c>
      <c r="O1093" s="22" t="s">
        <v>6101</v>
      </c>
      <c r="P1093" s="6" t="s">
        <v>2721</v>
      </c>
      <c r="Q1093" s="6" t="s">
        <v>356</v>
      </c>
      <c r="R1093" s="6" t="str">
        <f t="shared" ca="1" si="12"/>
        <v>NonCategory</v>
      </c>
    </row>
    <row r="1094" spans="1:18">
      <c r="A1094" s="162">
        <v>44732</v>
      </c>
      <c r="B1094" s="164" t="s">
        <v>2628</v>
      </c>
      <c r="C1094" s="168" t="s">
        <v>2722</v>
      </c>
      <c r="D1094" s="6" t="s">
        <v>278</v>
      </c>
      <c r="E1094" s="6" t="s">
        <v>6</v>
      </c>
      <c r="F1094" s="131">
        <v>44713</v>
      </c>
      <c r="G1094" s="6" t="s">
        <v>16</v>
      </c>
      <c r="H1094" s="6" t="s">
        <v>2720</v>
      </c>
      <c r="I1094" s="6">
        <v>1</v>
      </c>
      <c r="J1094" s="8">
        <v>40061</v>
      </c>
      <c r="K1094" s="8">
        <f t="shared" si="11"/>
        <v>458.7837837837838</v>
      </c>
      <c r="L1094" s="96">
        <v>44732</v>
      </c>
      <c r="M1094" s="6" t="s">
        <v>253</v>
      </c>
      <c r="N1094" s="96">
        <v>44733</v>
      </c>
      <c r="O1094" s="22" t="s">
        <v>6102</v>
      </c>
      <c r="P1094" s="6" t="s">
        <v>2721</v>
      </c>
      <c r="Q1094" s="6" t="s">
        <v>356</v>
      </c>
      <c r="R1094" s="6" t="str">
        <f t="shared" ca="1" si="12"/>
        <v>NonCategory</v>
      </c>
    </row>
    <row r="1095" spans="1:18">
      <c r="A1095" s="162">
        <v>44732</v>
      </c>
      <c r="B1095" s="164" t="s">
        <v>2723</v>
      </c>
      <c r="C1095" s="168" t="s">
        <v>2724</v>
      </c>
      <c r="D1095" s="6" t="s">
        <v>278</v>
      </c>
      <c r="E1095" s="6" t="s">
        <v>6</v>
      </c>
      <c r="F1095" s="131">
        <v>44713</v>
      </c>
      <c r="G1095" s="6" t="s">
        <v>16</v>
      </c>
      <c r="H1095" s="6" t="s">
        <v>2720</v>
      </c>
      <c r="I1095" s="6">
        <v>1</v>
      </c>
      <c r="J1095" s="8">
        <v>40061</v>
      </c>
      <c r="K1095" s="8">
        <f t="shared" si="11"/>
        <v>458.7837837837838</v>
      </c>
      <c r="L1095" s="96">
        <v>44732</v>
      </c>
      <c r="M1095" s="6" t="s">
        <v>253</v>
      </c>
      <c r="N1095" s="96">
        <v>44733</v>
      </c>
      <c r="O1095" s="22" t="s">
        <v>6103</v>
      </c>
      <c r="P1095" s="6" t="s">
        <v>2721</v>
      </c>
      <c r="Q1095" s="6" t="s">
        <v>356</v>
      </c>
      <c r="R1095" s="6" t="str">
        <f t="shared" ca="1" si="12"/>
        <v>NonCategory</v>
      </c>
    </row>
    <row r="1096" spans="1:18">
      <c r="A1096" s="162">
        <v>44732</v>
      </c>
      <c r="B1096" s="164" t="s">
        <v>2725</v>
      </c>
      <c r="C1096" s="168" t="s">
        <v>2726</v>
      </c>
      <c r="D1096" s="6" t="s">
        <v>278</v>
      </c>
      <c r="E1096" s="6" t="s">
        <v>6</v>
      </c>
      <c r="F1096" s="131">
        <v>44713</v>
      </c>
      <c r="G1096" s="6" t="s">
        <v>13</v>
      </c>
      <c r="H1096" s="6" t="s">
        <v>2720</v>
      </c>
      <c r="I1096" s="6">
        <v>1</v>
      </c>
      <c r="J1096" s="8">
        <v>40061</v>
      </c>
      <c r="K1096" s="8">
        <f t="shared" si="11"/>
        <v>458.7837837837838</v>
      </c>
      <c r="L1096" s="96">
        <v>44732</v>
      </c>
      <c r="P1096" s="6" t="s">
        <v>2721</v>
      </c>
      <c r="R1096" s="6" t="str">
        <f t="shared" ca="1" si="12"/>
        <v>NonCategory</v>
      </c>
    </row>
    <row r="1097" spans="1:18">
      <c r="A1097" s="162">
        <v>44732</v>
      </c>
      <c r="B1097" s="164" t="s">
        <v>2727</v>
      </c>
      <c r="C1097" s="168" t="s">
        <v>2728</v>
      </c>
      <c r="D1097" s="6" t="s">
        <v>278</v>
      </c>
      <c r="E1097" s="6" t="s">
        <v>6</v>
      </c>
      <c r="F1097" s="131">
        <v>44713</v>
      </c>
      <c r="G1097" s="6" t="s">
        <v>13</v>
      </c>
      <c r="H1097" s="6" t="s">
        <v>2720</v>
      </c>
      <c r="I1097" s="6">
        <v>1</v>
      </c>
      <c r="J1097" s="8">
        <v>40061</v>
      </c>
      <c r="K1097" s="8">
        <f t="shared" si="11"/>
        <v>458.7837837837838</v>
      </c>
      <c r="L1097" s="96">
        <v>44732</v>
      </c>
      <c r="P1097" s="6" t="s">
        <v>2721</v>
      </c>
      <c r="R1097" s="6" t="str">
        <f t="shared" ca="1" si="12"/>
        <v>NonCategory</v>
      </c>
    </row>
    <row r="1098" spans="1:18">
      <c r="A1098" s="162">
        <v>44732</v>
      </c>
      <c r="B1098" s="164" t="s">
        <v>2729</v>
      </c>
      <c r="C1098" s="168" t="s">
        <v>2730</v>
      </c>
      <c r="D1098" s="6" t="s">
        <v>278</v>
      </c>
      <c r="E1098" s="6" t="s">
        <v>6</v>
      </c>
      <c r="F1098" s="131">
        <v>44713</v>
      </c>
      <c r="G1098" s="6" t="s">
        <v>16</v>
      </c>
      <c r="H1098" s="6" t="s">
        <v>2720</v>
      </c>
      <c r="I1098" s="6">
        <v>1</v>
      </c>
      <c r="J1098" s="8">
        <v>40061</v>
      </c>
      <c r="K1098" s="8">
        <f t="shared" si="11"/>
        <v>458.7837837837838</v>
      </c>
      <c r="L1098" s="96">
        <v>44732</v>
      </c>
      <c r="M1098" s="6" t="s">
        <v>253</v>
      </c>
      <c r="N1098" s="96">
        <v>44739</v>
      </c>
      <c r="O1098" s="22" t="s">
        <v>6104</v>
      </c>
      <c r="P1098" s="6" t="s">
        <v>2721</v>
      </c>
      <c r="Q1098" s="6" t="s">
        <v>356</v>
      </c>
      <c r="R1098" s="6" t="str">
        <f t="shared" ca="1" si="12"/>
        <v>NonCategory</v>
      </c>
    </row>
    <row r="1099" spans="1:18">
      <c r="A1099" s="162">
        <v>44732</v>
      </c>
      <c r="B1099" s="164" t="s">
        <v>2731</v>
      </c>
      <c r="C1099" s="168" t="s">
        <v>2732</v>
      </c>
      <c r="D1099" s="6" t="s">
        <v>278</v>
      </c>
      <c r="E1099" s="6" t="s">
        <v>6</v>
      </c>
      <c r="F1099" s="131">
        <v>44713</v>
      </c>
      <c r="G1099" s="6" t="s">
        <v>13</v>
      </c>
      <c r="H1099" s="6" t="s">
        <v>2720</v>
      </c>
      <c r="I1099" s="6">
        <v>1</v>
      </c>
      <c r="J1099" s="8">
        <v>40061</v>
      </c>
      <c r="K1099" s="8">
        <f t="shared" si="11"/>
        <v>458.7837837837838</v>
      </c>
      <c r="L1099" s="96">
        <v>44732</v>
      </c>
      <c r="P1099" s="6" t="s">
        <v>2721</v>
      </c>
      <c r="R1099" s="6" t="str">
        <f t="shared" ca="1" si="12"/>
        <v>NonCategory</v>
      </c>
    </row>
    <row r="1100" spans="1:18">
      <c r="A1100" s="162">
        <v>44733</v>
      </c>
      <c r="B1100" s="164" t="s">
        <v>2733</v>
      </c>
      <c r="C1100" s="168" t="s">
        <v>2734</v>
      </c>
      <c r="D1100" s="6" t="s">
        <v>306</v>
      </c>
      <c r="E1100" s="6" t="s">
        <v>25</v>
      </c>
      <c r="F1100" s="131">
        <v>44713</v>
      </c>
      <c r="G1100" s="6" t="s">
        <v>16</v>
      </c>
      <c r="H1100" s="6" t="s">
        <v>2633</v>
      </c>
      <c r="I1100" s="6">
        <v>1</v>
      </c>
      <c r="J1100" s="8">
        <v>40061</v>
      </c>
      <c r="K1100" s="8">
        <f t="shared" si="11"/>
        <v>458.7837837837838</v>
      </c>
      <c r="L1100" s="96">
        <v>44733</v>
      </c>
      <c r="M1100" s="6" t="s">
        <v>253</v>
      </c>
      <c r="N1100" s="96">
        <v>44734</v>
      </c>
      <c r="O1100" s="22" t="s">
        <v>6105</v>
      </c>
      <c r="Q1100" s="6" t="s">
        <v>280</v>
      </c>
      <c r="R1100" s="6" t="str">
        <f t="shared" ca="1" si="12"/>
        <v>NonCategory</v>
      </c>
    </row>
    <row r="1101" spans="1:18">
      <c r="A1101" s="162">
        <v>44733</v>
      </c>
      <c r="B1101" s="164" t="s">
        <v>2735</v>
      </c>
      <c r="C1101" s="168" t="s">
        <v>2736</v>
      </c>
      <c r="D1101" s="6" t="s">
        <v>303</v>
      </c>
      <c r="E1101" s="6" t="s">
        <v>96</v>
      </c>
      <c r="F1101" s="131">
        <v>44713</v>
      </c>
      <c r="G1101" s="6" t="s">
        <v>13</v>
      </c>
      <c r="H1101" s="6" t="s">
        <v>2737</v>
      </c>
      <c r="I1101" s="6">
        <v>1</v>
      </c>
      <c r="J1101" s="8">
        <v>20000</v>
      </c>
      <c r="K1101" s="8">
        <f t="shared" si="11"/>
        <v>229.04260192395787</v>
      </c>
      <c r="L1101" s="96">
        <v>44733</v>
      </c>
      <c r="R1101" s="6" t="str">
        <f t="shared" ca="1" si="12"/>
        <v>NonCategory</v>
      </c>
    </row>
    <row r="1102" spans="1:18">
      <c r="A1102" s="162">
        <v>44735</v>
      </c>
      <c r="B1102" s="164" t="s">
        <v>2738</v>
      </c>
      <c r="C1102" s="168" t="s">
        <v>2739</v>
      </c>
      <c r="D1102" s="6" t="s">
        <v>303</v>
      </c>
      <c r="E1102" s="6" t="s">
        <v>151</v>
      </c>
      <c r="F1102" s="131">
        <v>44713</v>
      </c>
      <c r="G1102" s="6" t="s">
        <v>16</v>
      </c>
      <c r="H1102" s="6" t="s">
        <v>2633</v>
      </c>
      <c r="I1102" s="6">
        <v>1</v>
      </c>
      <c r="J1102" s="8">
        <v>21000</v>
      </c>
      <c r="K1102" s="8">
        <f t="shared" si="11"/>
        <v>240.49473202015577</v>
      </c>
      <c r="L1102" s="96">
        <v>44735</v>
      </c>
      <c r="M1102" s="6" t="s">
        <v>253</v>
      </c>
      <c r="N1102" s="96">
        <v>44735</v>
      </c>
      <c r="O1102" s="22" t="s">
        <v>6106</v>
      </c>
      <c r="Q1102" s="6" t="s">
        <v>280</v>
      </c>
      <c r="R1102" s="6" t="str">
        <f t="shared" ca="1" si="12"/>
        <v>NonCategory</v>
      </c>
    </row>
    <row r="1103" spans="1:18">
      <c r="A1103" s="162">
        <v>44735</v>
      </c>
      <c r="B1103" s="164" t="s">
        <v>2740</v>
      </c>
      <c r="C1103" s="168" t="s">
        <v>2741</v>
      </c>
      <c r="D1103" s="6" t="s">
        <v>278</v>
      </c>
      <c r="E1103" s="6" t="s">
        <v>151</v>
      </c>
      <c r="F1103" s="131">
        <v>44713</v>
      </c>
      <c r="G1103" s="6" t="s">
        <v>16</v>
      </c>
      <c r="H1103" s="6" t="s">
        <v>2633</v>
      </c>
      <c r="I1103" s="6">
        <v>1</v>
      </c>
      <c r="J1103" s="8">
        <v>21000</v>
      </c>
      <c r="K1103" s="8">
        <f t="shared" si="11"/>
        <v>240.49473202015577</v>
      </c>
      <c r="L1103" s="96">
        <v>44735</v>
      </c>
      <c r="M1103" s="6" t="s">
        <v>253</v>
      </c>
      <c r="N1103" s="96">
        <v>44735</v>
      </c>
      <c r="O1103" s="22" t="s">
        <v>6107</v>
      </c>
      <c r="P1103" s="6" t="s">
        <v>2742</v>
      </c>
      <c r="Q1103" s="6" t="s">
        <v>280</v>
      </c>
      <c r="R1103" s="6" t="str">
        <f t="shared" ca="1" si="12"/>
        <v>NonCategory</v>
      </c>
    </row>
    <row r="1104" spans="1:18">
      <c r="A1104" s="162">
        <v>44735</v>
      </c>
      <c r="B1104" s="164" t="s">
        <v>2743</v>
      </c>
      <c r="C1104" s="168" t="s">
        <v>2744</v>
      </c>
      <c r="D1104" s="6" t="s">
        <v>303</v>
      </c>
      <c r="E1104" s="6" t="s">
        <v>150</v>
      </c>
      <c r="F1104" s="131">
        <v>44713</v>
      </c>
      <c r="G1104" s="6" t="s">
        <v>16</v>
      </c>
      <c r="H1104" s="6" t="s">
        <v>2633</v>
      </c>
      <c r="I1104" s="6">
        <v>1</v>
      </c>
      <c r="J1104" s="8">
        <v>21000</v>
      </c>
      <c r="K1104" s="8">
        <f t="shared" si="11"/>
        <v>240.49473202015577</v>
      </c>
      <c r="L1104" s="96">
        <v>44735</v>
      </c>
      <c r="M1104" s="6" t="s">
        <v>253</v>
      </c>
      <c r="N1104" s="96">
        <v>44735</v>
      </c>
      <c r="O1104" s="22" t="s">
        <v>6108</v>
      </c>
      <c r="Q1104" s="6" t="s">
        <v>356</v>
      </c>
      <c r="R1104" s="6" t="str">
        <f t="shared" ca="1" si="12"/>
        <v>NonCategory</v>
      </c>
    </row>
    <row r="1105" spans="1:18">
      <c r="A1105" s="162">
        <v>44735</v>
      </c>
      <c r="B1105" s="164" t="s">
        <v>2745</v>
      </c>
      <c r="C1105" s="168" t="s">
        <v>2746</v>
      </c>
      <c r="D1105" s="6" t="s">
        <v>303</v>
      </c>
      <c r="E1105" s="6" t="s">
        <v>25</v>
      </c>
      <c r="F1105" s="131">
        <v>44713</v>
      </c>
      <c r="G1105" s="6" t="s">
        <v>16</v>
      </c>
      <c r="H1105" s="6" t="s">
        <v>2633</v>
      </c>
      <c r="I1105" s="6">
        <v>1</v>
      </c>
      <c r="J1105" s="8">
        <v>40061</v>
      </c>
      <c r="K1105" s="8">
        <f t="shared" si="11"/>
        <v>458.7837837837838</v>
      </c>
      <c r="L1105" s="96">
        <v>44735</v>
      </c>
      <c r="M1105" s="6" t="s">
        <v>253</v>
      </c>
      <c r="N1105" s="96">
        <v>44735</v>
      </c>
      <c r="O1105" s="22" t="s">
        <v>6109</v>
      </c>
      <c r="Q1105" s="6" t="s">
        <v>280</v>
      </c>
      <c r="R1105" s="6" t="str">
        <f t="shared" ca="1" si="12"/>
        <v>NonCategory</v>
      </c>
    </row>
    <row r="1106" spans="1:18">
      <c r="A1106" s="162">
        <v>44736</v>
      </c>
      <c r="B1106" s="164" t="s">
        <v>2747</v>
      </c>
      <c r="C1106" s="168" t="s">
        <v>2748</v>
      </c>
      <c r="D1106" s="6" t="s">
        <v>470</v>
      </c>
      <c r="E1106" s="6" t="s">
        <v>2749</v>
      </c>
      <c r="F1106" s="131">
        <v>44713</v>
      </c>
      <c r="G1106" s="6" t="s">
        <v>16</v>
      </c>
      <c r="H1106" s="6" t="s">
        <v>21</v>
      </c>
      <c r="I1106" s="6">
        <v>1</v>
      </c>
      <c r="J1106" s="8">
        <v>26000</v>
      </c>
      <c r="K1106" s="8">
        <f t="shared" si="11"/>
        <v>297.75538250114522</v>
      </c>
      <c r="L1106" s="96">
        <v>44736</v>
      </c>
      <c r="M1106" s="6" t="s">
        <v>253</v>
      </c>
      <c r="N1106" s="96">
        <v>44737</v>
      </c>
      <c r="O1106" s="22" t="s">
        <v>6110</v>
      </c>
      <c r="Q1106" s="6" t="s">
        <v>356</v>
      </c>
      <c r="R1106" s="6" t="str">
        <f t="shared" ca="1" si="12"/>
        <v>NonCategory</v>
      </c>
    </row>
    <row r="1107" spans="1:18">
      <c r="A1107" s="162">
        <v>44738</v>
      </c>
      <c r="B1107" s="164" t="s">
        <v>2750</v>
      </c>
      <c r="C1107" s="168" t="s">
        <v>2751</v>
      </c>
      <c r="D1107" s="6" t="s">
        <v>287</v>
      </c>
      <c r="E1107" s="6" t="s">
        <v>150</v>
      </c>
      <c r="F1107" s="131">
        <v>44713</v>
      </c>
      <c r="G1107" s="6" t="s">
        <v>16</v>
      </c>
      <c r="H1107" s="6" t="s">
        <v>2752</v>
      </c>
      <c r="I1107" s="6">
        <v>1</v>
      </c>
      <c r="J1107" s="8">
        <v>21000</v>
      </c>
      <c r="K1107" s="8">
        <f t="shared" si="11"/>
        <v>240.49473202015577</v>
      </c>
      <c r="L1107" s="96">
        <v>44738</v>
      </c>
      <c r="M1107" s="6" t="s">
        <v>253</v>
      </c>
      <c r="N1107" s="96">
        <v>44738</v>
      </c>
      <c r="O1107" s="22" t="s">
        <v>6111</v>
      </c>
      <c r="Q1107" s="6" t="s">
        <v>280</v>
      </c>
      <c r="R1107" s="6" t="str">
        <f t="shared" ca="1" si="12"/>
        <v>NonCategory</v>
      </c>
    </row>
    <row r="1108" spans="1:18">
      <c r="A1108" s="162">
        <v>44739</v>
      </c>
      <c r="B1108" s="164" t="s">
        <v>2753</v>
      </c>
      <c r="C1108" s="168" t="s">
        <v>2754</v>
      </c>
      <c r="D1108" s="6" t="s">
        <v>291</v>
      </c>
      <c r="E1108" s="6" t="s">
        <v>7</v>
      </c>
      <c r="F1108" s="131">
        <v>44713</v>
      </c>
      <c r="G1108" s="6" t="s">
        <v>16</v>
      </c>
      <c r="H1108" s="6" t="s">
        <v>2755</v>
      </c>
      <c r="I1108" s="6">
        <v>1</v>
      </c>
      <c r="J1108" s="8">
        <v>40061</v>
      </c>
      <c r="K1108" s="8">
        <f t="shared" si="11"/>
        <v>458.7837837837838</v>
      </c>
      <c r="L1108" s="96">
        <v>44738</v>
      </c>
      <c r="M1108" s="6" t="s">
        <v>253</v>
      </c>
      <c r="N1108" s="96">
        <v>44740</v>
      </c>
      <c r="O1108" s="22" t="s">
        <v>6112</v>
      </c>
      <c r="Q1108" s="6" t="s">
        <v>356</v>
      </c>
      <c r="R1108" s="6" t="str">
        <f t="shared" ca="1" si="12"/>
        <v>NonCategory</v>
      </c>
    </row>
    <row r="1109" spans="1:18">
      <c r="A1109" s="162">
        <v>44739</v>
      </c>
      <c r="B1109" s="164" t="s">
        <v>2756</v>
      </c>
      <c r="C1109" s="168" t="s">
        <v>2757</v>
      </c>
      <c r="D1109" s="6" t="s">
        <v>319</v>
      </c>
      <c r="E1109" s="6" t="s">
        <v>150</v>
      </c>
      <c r="F1109" s="131">
        <v>44713</v>
      </c>
      <c r="G1109" s="6" t="s">
        <v>16</v>
      </c>
      <c r="H1109" s="6" t="s">
        <v>2755</v>
      </c>
      <c r="I1109" s="6">
        <v>1</v>
      </c>
      <c r="J1109" s="8">
        <v>21000</v>
      </c>
      <c r="K1109" s="8">
        <f t="shared" si="11"/>
        <v>240.49473202015577</v>
      </c>
      <c r="L1109" s="96">
        <v>44740</v>
      </c>
      <c r="M1109" s="6" t="s">
        <v>253</v>
      </c>
      <c r="N1109" s="96">
        <v>44741</v>
      </c>
      <c r="O1109" s="22" t="s">
        <v>6113</v>
      </c>
      <c r="Q1109" s="6" t="s">
        <v>280</v>
      </c>
      <c r="R1109" s="6" t="str">
        <f t="shared" ca="1" si="12"/>
        <v>NonCategory</v>
      </c>
    </row>
    <row r="1110" spans="1:18">
      <c r="A1110" s="162">
        <v>44741</v>
      </c>
      <c r="B1110" s="164" t="s">
        <v>2758</v>
      </c>
      <c r="C1110" s="168" t="s">
        <v>2759</v>
      </c>
      <c r="D1110" s="6" t="s">
        <v>287</v>
      </c>
      <c r="E1110" s="6" t="s">
        <v>6</v>
      </c>
      <c r="F1110" s="131">
        <v>44713</v>
      </c>
      <c r="G1110" s="6" t="s">
        <v>16</v>
      </c>
      <c r="H1110" s="6" t="s">
        <v>2720</v>
      </c>
      <c r="I1110" s="6">
        <v>1</v>
      </c>
      <c r="J1110" s="8">
        <v>42000</v>
      </c>
      <c r="K1110" s="8">
        <f t="shared" si="11"/>
        <v>480.98946404031153</v>
      </c>
      <c r="L1110" s="96">
        <v>44741</v>
      </c>
      <c r="M1110" s="6" t="s">
        <v>253</v>
      </c>
      <c r="N1110" s="96">
        <v>44741</v>
      </c>
      <c r="O1110" s="22" t="s">
        <v>6114</v>
      </c>
      <c r="Q1110" s="6" t="s">
        <v>356</v>
      </c>
      <c r="R1110" s="6" t="str">
        <f t="shared" ca="1" si="12"/>
        <v>NonCategory</v>
      </c>
    </row>
    <row r="1111" spans="1:18">
      <c r="A1111" s="162">
        <v>44741</v>
      </c>
      <c r="B1111" s="164" t="s">
        <v>2760</v>
      </c>
      <c r="C1111" s="168" t="s">
        <v>2761</v>
      </c>
      <c r="D1111" s="6" t="s">
        <v>470</v>
      </c>
      <c r="E1111" s="6" t="s">
        <v>25</v>
      </c>
      <c r="F1111" s="131">
        <v>44713</v>
      </c>
      <c r="G1111" s="6" t="s">
        <v>16</v>
      </c>
      <c r="H1111" s="6" t="s">
        <v>2737</v>
      </c>
      <c r="I1111" s="6">
        <v>1</v>
      </c>
      <c r="J1111" s="8">
        <v>42000</v>
      </c>
      <c r="K1111" s="8">
        <f t="shared" si="11"/>
        <v>480.98946404031153</v>
      </c>
      <c r="L1111" s="96">
        <v>44741</v>
      </c>
      <c r="M1111" s="6" t="s">
        <v>253</v>
      </c>
      <c r="N1111" s="96">
        <v>44741</v>
      </c>
      <c r="O1111" s="22" t="s">
        <v>6115</v>
      </c>
      <c r="Q1111" s="6" t="s">
        <v>280</v>
      </c>
      <c r="R1111" s="6" t="str">
        <f t="shared" ca="1" si="12"/>
        <v>NonCategory</v>
      </c>
    </row>
    <row r="1112" spans="1:18">
      <c r="A1112" s="162">
        <v>44741</v>
      </c>
      <c r="B1112" s="164" t="s">
        <v>2762</v>
      </c>
      <c r="C1112" s="168" t="s">
        <v>2763</v>
      </c>
      <c r="D1112" s="6" t="s">
        <v>278</v>
      </c>
      <c r="E1112" s="6" t="s">
        <v>25</v>
      </c>
      <c r="F1112" s="131">
        <v>44713</v>
      </c>
      <c r="G1112" s="6" t="s">
        <v>16</v>
      </c>
      <c r="H1112" s="6" t="s">
        <v>2737</v>
      </c>
      <c r="I1112" s="6">
        <v>1</v>
      </c>
      <c r="J1112" s="8">
        <v>40061</v>
      </c>
      <c r="K1112" s="8">
        <f t="shared" si="11"/>
        <v>458.7837837837838</v>
      </c>
      <c r="L1112" s="96">
        <v>44741</v>
      </c>
      <c r="M1112" s="6" t="s">
        <v>253</v>
      </c>
      <c r="N1112" s="96">
        <v>44741</v>
      </c>
      <c r="O1112" s="22" t="s">
        <v>6116</v>
      </c>
      <c r="P1112" s="6" t="s">
        <v>2606</v>
      </c>
      <c r="Q1112" s="6" t="s">
        <v>280</v>
      </c>
      <c r="R1112" s="6" t="str">
        <f t="shared" ca="1" si="12"/>
        <v>NonCategory</v>
      </c>
    </row>
    <row r="1113" spans="1:18">
      <c r="A1113" s="162">
        <v>44742</v>
      </c>
      <c r="B1113" s="164" t="s">
        <v>2764</v>
      </c>
      <c r="C1113" s="168" t="s">
        <v>2765</v>
      </c>
      <c r="D1113" s="6" t="s">
        <v>291</v>
      </c>
      <c r="E1113" s="6" t="s">
        <v>150</v>
      </c>
      <c r="F1113" s="131">
        <v>44713</v>
      </c>
      <c r="G1113" s="6" t="s">
        <v>16</v>
      </c>
      <c r="H1113" s="6" t="s">
        <v>2755</v>
      </c>
      <c r="I1113" s="6">
        <v>1</v>
      </c>
      <c r="J1113" s="8">
        <v>21000</v>
      </c>
      <c r="K1113" s="8">
        <f t="shared" si="11"/>
        <v>240.49473202015577</v>
      </c>
      <c r="L1113" s="96">
        <v>44742</v>
      </c>
      <c r="M1113" s="6" t="s">
        <v>253</v>
      </c>
      <c r="N1113" s="96">
        <v>44742</v>
      </c>
      <c r="O1113" s="22" t="s">
        <v>6117</v>
      </c>
      <c r="Q1113" s="6" t="s">
        <v>280</v>
      </c>
      <c r="R1113" s="6" t="str">
        <f t="shared" ca="1" si="12"/>
        <v>NonCategory</v>
      </c>
    </row>
    <row r="1114" spans="1:18">
      <c r="A1114" s="162">
        <v>44743</v>
      </c>
      <c r="B1114" s="164" t="s">
        <v>2766</v>
      </c>
      <c r="C1114" s="168" t="s">
        <v>2767</v>
      </c>
      <c r="D1114" s="6" t="s">
        <v>297</v>
      </c>
      <c r="E1114" s="6" t="s">
        <v>7</v>
      </c>
      <c r="F1114" s="131">
        <v>44743</v>
      </c>
      <c r="G1114" s="6" t="s">
        <v>16</v>
      </c>
      <c r="H1114" s="6" t="s">
        <v>2755</v>
      </c>
      <c r="I1114" s="6">
        <v>1</v>
      </c>
      <c r="J1114" s="8">
        <v>42000</v>
      </c>
      <c r="K1114" s="8">
        <f t="shared" si="11"/>
        <v>480.98946404031153</v>
      </c>
      <c r="L1114" s="96">
        <v>44743</v>
      </c>
      <c r="M1114" s="6" t="s">
        <v>251</v>
      </c>
      <c r="N1114" s="96">
        <v>44743</v>
      </c>
      <c r="O1114" s="22" t="s">
        <v>6118</v>
      </c>
      <c r="Q1114" s="6" t="s">
        <v>280</v>
      </c>
      <c r="R1114" s="6" t="str">
        <f t="shared" ca="1" si="12"/>
        <v>NonCategory</v>
      </c>
    </row>
    <row r="1115" spans="1:18">
      <c r="A1115" s="162">
        <v>44743</v>
      </c>
      <c r="B1115" s="164" t="s">
        <v>2768</v>
      </c>
      <c r="C1115" s="168" t="s">
        <v>2769</v>
      </c>
      <c r="D1115" s="6" t="s">
        <v>2770</v>
      </c>
      <c r="E1115" s="6" t="s">
        <v>1524</v>
      </c>
      <c r="F1115" s="131">
        <v>44743</v>
      </c>
      <c r="G1115" s="6" t="s">
        <v>16</v>
      </c>
      <c r="H1115" s="6" t="s">
        <v>2689</v>
      </c>
      <c r="I1115" s="6">
        <v>1</v>
      </c>
      <c r="J1115" s="8">
        <v>24000</v>
      </c>
      <c r="K1115" s="8">
        <f t="shared" si="11"/>
        <v>274.85112230874944</v>
      </c>
      <c r="L1115" s="96">
        <v>44743</v>
      </c>
      <c r="M1115" s="6" t="s">
        <v>251</v>
      </c>
      <c r="N1115" s="96">
        <v>44743</v>
      </c>
      <c r="O1115" s="22" t="s">
        <v>6119</v>
      </c>
      <c r="Q1115" s="6" t="s">
        <v>280</v>
      </c>
      <c r="R1115" s="6" t="str">
        <f t="shared" ca="1" si="12"/>
        <v>NonCategory</v>
      </c>
    </row>
    <row r="1116" spans="1:18">
      <c r="A1116" s="162">
        <v>44743</v>
      </c>
      <c r="B1116" s="164" t="s">
        <v>2771</v>
      </c>
      <c r="C1116" s="168" t="s">
        <v>2772</v>
      </c>
      <c r="D1116" s="6" t="s">
        <v>303</v>
      </c>
      <c r="E1116" s="6" t="s">
        <v>538</v>
      </c>
      <c r="F1116" s="131">
        <v>44743</v>
      </c>
      <c r="G1116" s="6" t="s">
        <v>13</v>
      </c>
      <c r="H1116" s="96">
        <v>44746</v>
      </c>
      <c r="I1116" s="6">
        <v>1</v>
      </c>
      <c r="J1116" s="8">
        <v>10000</v>
      </c>
      <c r="K1116" s="8">
        <f t="shared" si="11"/>
        <v>114.52130096197894</v>
      </c>
      <c r="L1116" s="96">
        <v>44743</v>
      </c>
      <c r="R1116" s="6" t="str">
        <f t="shared" ca="1" si="12"/>
        <v>NonCategory</v>
      </c>
    </row>
    <row r="1117" spans="1:18">
      <c r="A1117" s="162">
        <v>44743</v>
      </c>
      <c r="B1117" s="164" t="s">
        <v>2773</v>
      </c>
      <c r="C1117" s="168" t="s">
        <v>2774</v>
      </c>
      <c r="D1117" s="6" t="s">
        <v>287</v>
      </c>
      <c r="E1117" s="6" t="s">
        <v>97</v>
      </c>
      <c r="F1117" s="131">
        <v>44743</v>
      </c>
      <c r="G1117" s="6" t="s">
        <v>16</v>
      </c>
      <c r="H1117" s="6" t="s">
        <v>2755</v>
      </c>
      <c r="I1117" s="6">
        <v>1</v>
      </c>
      <c r="J1117" s="8">
        <v>20000</v>
      </c>
      <c r="K1117" s="8">
        <f t="shared" si="11"/>
        <v>229.04260192395787</v>
      </c>
      <c r="L1117" s="96">
        <v>44743</v>
      </c>
      <c r="M1117" s="6" t="s">
        <v>251</v>
      </c>
      <c r="N1117" s="96">
        <v>44743</v>
      </c>
      <c r="O1117" s="22" t="s">
        <v>6120</v>
      </c>
      <c r="Q1117" s="6" t="s">
        <v>280</v>
      </c>
      <c r="R1117" s="6" t="str">
        <f t="shared" ca="1" si="12"/>
        <v>NonCategory</v>
      </c>
    </row>
    <row r="1118" spans="1:18">
      <c r="A1118" s="162">
        <v>44744</v>
      </c>
      <c r="B1118" s="164" t="s">
        <v>2775</v>
      </c>
      <c r="C1118" s="168" t="s">
        <v>2776</v>
      </c>
      <c r="D1118" s="6" t="s">
        <v>306</v>
      </c>
      <c r="E1118" s="6" t="s">
        <v>96</v>
      </c>
      <c r="F1118" s="131">
        <v>44743</v>
      </c>
      <c r="G1118" s="6" t="s">
        <v>16</v>
      </c>
      <c r="H1118" s="6" t="s">
        <v>2777</v>
      </c>
      <c r="I1118" s="6">
        <v>1</v>
      </c>
      <c r="J1118" s="8">
        <v>20000</v>
      </c>
      <c r="K1118" s="8">
        <f t="shared" si="11"/>
        <v>229.04260192395787</v>
      </c>
      <c r="L1118" s="96">
        <v>44744</v>
      </c>
      <c r="M1118" s="6" t="s">
        <v>251</v>
      </c>
      <c r="N1118" s="96">
        <v>44744</v>
      </c>
      <c r="O1118" s="22" t="s">
        <v>6121</v>
      </c>
      <c r="Q1118" s="6" t="s">
        <v>356</v>
      </c>
      <c r="R1118" s="6" t="str">
        <f t="shared" ca="1" si="12"/>
        <v>NonCategory</v>
      </c>
    </row>
    <row r="1119" spans="1:18">
      <c r="A1119" s="162">
        <v>44744</v>
      </c>
      <c r="B1119" s="164" t="s">
        <v>2778</v>
      </c>
      <c r="C1119" s="168" t="s">
        <v>2779</v>
      </c>
      <c r="D1119" s="6" t="s">
        <v>303</v>
      </c>
      <c r="E1119" s="6" t="s">
        <v>151</v>
      </c>
      <c r="F1119" s="131">
        <v>44743</v>
      </c>
      <c r="G1119" s="6" t="s">
        <v>16</v>
      </c>
      <c r="H1119" s="6" t="s">
        <v>2737</v>
      </c>
      <c r="I1119" s="6">
        <v>1</v>
      </c>
      <c r="J1119" s="8">
        <v>21000</v>
      </c>
      <c r="K1119" s="8">
        <f t="shared" si="11"/>
        <v>240.49473202015577</v>
      </c>
      <c r="L1119" s="96">
        <v>44744</v>
      </c>
      <c r="M1119" s="6" t="s">
        <v>251</v>
      </c>
      <c r="N1119" s="96">
        <v>44744</v>
      </c>
      <c r="O1119" s="22" t="s">
        <v>6122</v>
      </c>
      <c r="Q1119" s="6" t="s">
        <v>280</v>
      </c>
      <c r="R1119" s="6" t="str">
        <f t="shared" ca="1" si="12"/>
        <v>NonCategory</v>
      </c>
    </row>
    <row r="1120" spans="1:18">
      <c r="A1120" s="162">
        <v>44744</v>
      </c>
      <c r="B1120" s="164" t="s">
        <v>2780</v>
      </c>
      <c r="C1120" s="168" t="s">
        <v>2781</v>
      </c>
      <c r="D1120" s="6" t="s">
        <v>287</v>
      </c>
      <c r="E1120" s="6" t="s">
        <v>25</v>
      </c>
      <c r="F1120" s="131">
        <v>44743</v>
      </c>
      <c r="G1120" s="6" t="s">
        <v>16</v>
      </c>
      <c r="H1120" s="6" t="s">
        <v>2737</v>
      </c>
      <c r="I1120" s="6">
        <v>1</v>
      </c>
      <c r="J1120" s="8">
        <v>42000</v>
      </c>
      <c r="K1120" s="8">
        <f t="shared" si="11"/>
        <v>480.98946404031153</v>
      </c>
      <c r="L1120" s="96">
        <v>44744</v>
      </c>
      <c r="M1120" s="6" t="s">
        <v>251</v>
      </c>
      <c r="N1120" s="96">
        <v>44744</v>
      </c>
      <c r="O1120" s="22" t="s">
        <v>6123</v>
      </c>
      <c r="Q1120" s="6" t="s">
        <v>280</v>
      </c>
      <c r="R1120" s="6" t="str">
        <f t="shared" ca="1" si="12"/>
        <v>NonCategory</v>
      </c>
    </row>
    <row r="1121" spans="1:18">
      <c r="A1121" s="162">
        <v>44746</v>
      </c>
      <c r="B1121" s="164" t="s">
        <v>2782</v>
      </c>
      <c r="C1121" s="168" t="s">
        <v>2783</v>
      </c>
      <c r="D1121" s="6" t="s">
        <v>306</v>
      </c>
      <c r="E1121" s="6" t="s">
        <v>150</v>
      </c>
      <c r="F1121" s="131">
        <v>44743</v>
      </c>
      <c r="G1121" s="6" t="s">
        <v>16</v>
      </c>
      <c r="H1121" s="6" t="s">
        <v>2784</v>
      </c>
      <c r="I1121" s="6">
        <v>1</v>
      </c>
      <c r="J1121" s="8">
        <v>20500</v>
      </c>
      <c r="K1121" s="8">
        <f t="shared" si="11"/>
        <v>234.76866697205682</v>
      </c>
      <c r="L1121" s="96">
        <v>44746</v>
      </c>
      <c r="M1121" s="6" t="s">
        <v>251</v>
      </c>
      <c r="N1121" s="96">
        <v>44747</v>
      </c>
      <c r="O1121" s="22" t="s">
        <v>6124</v>
      </c>
      <c r="Q1121" s="6" t="s">
        <v>280</v>
      </c>
      <c r="R1121" s="6" t="str">
        <f t="shared" ca="1" si="12"/>
        <v>NonCategory</v>
      </c>
    </row>
    <row r="1122" spans="1:18">
      <c r="A1122" s="162">
        <v>44747</v>
      </c>
      <c r="B1122" s="164" t="s">
        <v>2785</v>
      </c>
      <c r="C1122" s="168" t="s">
        <v>2786</v>
      </c>
      <c r="D1122" s="6" t="s">
        <v>278</v>
      </c>
      <c r="E1122" s="6" t="s">
        <v>1184</v>
      </c>
      <c r="F1122" s="131">
        <v>44743</v>
      </c>
      <c r="G1122" s="6" t="s">
        <v>16</v>
      </c>
      <c r="H1122" s="96">
        <v>44751</v>
      </c>
      <c r="I1122" s="6">
        <v>1</v>
      </c>
      <c r="J1122" s="8">
        <v>37000</v>
      </c>
      <c r="K1122" s="8">
        <f t="shared" si="11"/>
        <v>423.72881355932202</v>
      </c>
      <c r="L1122" s="96">
        <v>44747</v>
      </c>
      <c r="M1122" s="6" t="s">
        <v>251</v>
      </c>
      <c r="N1122" s="96">
        <v>44747</v>
      </c>
      <c r="O1122" s="22" t="s">
        <v>6125</v>
      </c>
      <c r="P1122" s="6" t="s">
        <v>2156</v>
      </c>
      <c r="Q1122" s="6" t="s">
        <v>356</v>
      </c>
      <c r="R1122" s="6" t="str">
        <f t="shared" ca="1" si="12"/>
        <v>NonCategory</v>
      </c>
    </row>
    <row r="1123" spans="1:18">
      <c r="A1123" s="162">
        <v>44749</v>
      </c>
      <c r="B1123" s="164" t="s">
        <v>2787</v>
      </c>
      <c r="C1123" s="168" t="s">
        <v>2788</v>
      </c>
      <c r="D1123" s="6" t="s">
        <v>2789</v>
      </c>
      <c r="E1123" s="6" t="s">
        <v>25</v>
      </c>
      <c r="F1123" s="131">
        <v>44743</v>
      </c>
      <c r="G1123" s="6" t="s">
        <v>16</v>
      </c>
      <c r="H1123" s="6" t="s">
        <v>2689</v>
      </c>
      <c r="I1123" s="6">
        <v>1</v>
      </c>
      <c r="J1123" s="8">
        <v>40000</v>
      </c>
      <c r="K1123" s="8">
        <f t="shared" si="11"/>
        <v>458.08520384791575</v>
      </c>
      <c r="L1123" s="96">
        <v>44749</v>
      </c>
      <c r="M1123" s="6" t="s">
        <v>251</v>
      </c>
      <c r="N1123" s="96">
        <v>44749</v>
      </c>
      <c r="O1123" s="22" t="s">
        <v>6126</v>
      </c>
      <c r="Q1123" s="6" t="s">
        <v>356</v>
      </c>
      <c r="R1123" s="6" t="str">
        <f t="shared" ca="1" si="12"/>
        <v>NonCategory</v>
      </c>
    </row>
    <row r="1124" spans="1:18">
      <c r="A1124" s="163">
        <v>44728</v>
      </c>
      <c r="B1124" s="165" t="s">
        <v>2790</v>
      </c>
      <c r="C1124" s="168" t="s">
        <v>2791</v>
      </c>
      <c r="D1124" s="2" t="s">
        <v>287</v>
      </c>
      <c r="E1124" s="2" t="s">
        <v>6</v>
      </c>
      <c r="F1124" s="132">
        <v>44713</v>
      </c>
      <c r="G1124" s="2" t="s">
        <v>16</v>
      </c>
      <c r="H1124" s="2" t="s">
        <v>2737</v>
      </c>
      <c r="I1124" s="126">
        <v>1</v>
      </c>
      <c r="J1124" s="133">
        <v>42000</v>
      </c>
      <c r="K1124" s="133">
        <f t="shared" si="11"/>
        <v>480.98946404031153</v>
      </c>
      <c r="L1124" s="125">
        <v>44758</v>
      </c>
      <c r="M1124" s="2" t="s">
        <v>252</v>
      </c>
      <c r="N1124" s="125">
        <v>44728</v>
      </c>
      <c r="O1124" s="134" t="s">
        <v>6127</v>
      </c>
      <c r="Q1124" s="6" t="s">
        <v>280</v>
      </c>
      <c r="R1124" s="6" t="str">
        <f t="shared" ca="1" si="12"/>
        <v>NonCategory</v>
      </c>
    </row>
    <row r="1125" spans="1:18">
      <c r="A1125" s="162">
        <v>44750</v>
      </c>
      <c r="B1125" s="164" t="s">
        <v>2792</v>
      </c>
      <c r="C1125" s="168" t="s">
        <v>2793</v>
      </c>
      <c r="D1125" s="6" t="s">
        <v>291</v>
      </c>
      <c r="E1125" s="6" t="s">
        <v>96</v>
      </c>
      <c r="F1125" s="131">
        <v>44743</v>
      </c>
      <c r="G1125" s="6" t="s">
        <v>16</v>
      </c>
      <c r="H1125" s="6" t="s">
        <v>2737</v>
      </c>
      <c r="I1125" s="6">
        <v>1</v>
      </c>
      <c r="J1125" s="8">
        <v>20000</v>
      </c>
      <c r="K1125" s="133">
        <f t="shared" si="11"/>
        <v>229.04260192395787</v>
      </c>
      <c r="L1125" s="96">
        <v>44750</v>
      </c>
      <c r="M1125" s="6" t="s">
        <v>251</v>
      </c>
      <c r="N1125" s="96">
        <v>44750</v>
      </c>
      <c r="O1125" s="22" t="s">
        <v>6128</v>
      </c>
      <c r="Q1125" s="6" t="s">
        <v>280</v>
      </c>
      <c r="R1125" s="6" t="str">
        <f t="shared" ca="1" si="12"/>
        <v>NonCategory</v>
      </c>
    </row>
    <row r="1126" spans="1:18">
      <c r="A1126" s="162">
        <v>44750</v>
      </c>
      <c r="B1126" s="164" t="s">
        <v>2794</v>
      </c>
      <c r="C1126" s="168" t="s">
        <v>2795</v>
      </c>
      <c r="D1126" s="6" t="s">
        <v>278</v>
      </c>
      <c r="E1126" s="6" t="s">
        <v>150</v>
      </c>
      <c r="F1126" s="131">
        <v>44743</v>
      </c>
      <c r="G1126" s="6" t="s">
        <v>16</v>
      </c>
      <c r="H1126" s="6" t="s">
        <v>2737</v>
      </c>
      <c r="I1126" s="6">
        <v>1</v>
      </c>
      <c r="J1126" s="8">
        <v>21000</v>
      </c>
      <c r="K1126" s="133">
        <f t="shared" si="11"/>
        <v>240.49473202015577</v>
      </c>
      <c r="L1126" s="96">
        <v>44750</v>
      </c>
      <c r="M1126" s="6" t="s">
        <v>251</v>
      </c>
      <c r="N1126" s="96">
        <v>44750</v>
      </c>
      <c r="O1126" s="22" t="s">
        <v>6129</v>
      </c>
      <c r="Q1126" s="6" t="s">
        <v>280</v>
      </c>
      <c r="R1126" s="6" t="str">
        <f t="shared" ca="1" si="12"/>
        <v>NonCategory</v>
      </c>
    </row>
    <row r="1127" spans="1:18">
      <c r="A1127" s="162">
        <v>44750</v>
      </c>
      <c r="B1127" s="164" t="s">
        <v>2796</v>
      </c>
      <c r="C1127" s="168" t="s">
        <v>2797</v>
      </c>
      <c r="D1127" s="6" t="s">
        <v>319</v>
      </c>
      <c r="E1127" s="6" t="s">
        <v>150</v>
      </c>
      <c r="F1127" s="131">
        <v>44743</v>
      </c>
      <c r="G1127" s="6" t="s">
        <v>16</v>
      </c>
      <c r="H1127" s="6" t="s">
        <v>2694</v>
      </c>
      <c r="I1127" s="6">
        <v>1</v>
      </c>
      <c r="J1127" s="8">
        <v>21000</v>
      </c>
      <c r="K1127" s="133">
        <f t="shared" si="11"/>
        <v>240.49473202015577</v>
      </c>
      <c r="L1127" s="96">
        <v>44750</v>
      </c>
      <c r="M1127" s="6" t="s">
        <v>251</v>
      </c>
      <c r="N1127" s="96">
        <v>44750</v>
      </c>
      <c r="O1127" s="22" t="s">
        <v>6130</v>
      </c>
      <c r="Q1127" s="6" t="s">
        <v>280</v>
      </c>
      <c r="R1127" s="6" t="str">
        <f t="shared" ca="1" si="12"/>
        <v>NonCategory</v>
      </c>
    </row>
    <row r="1128" spans="1:18">
      <c r="A1128" s="162">
        <v>44750</v>
      </c>
      <c r="B1128" s="165" t="s">
        <v>2798</v>
      </c>
      <c r="C1128" s="168" t="s">
        <v>2799</v>
      </c>
      <c r="D1128" s="2" t="s">
        <v>297</v>
      </c>
      <c r="E1128" s="6" t="s">
        <v>151</v>
      </c>
      <c r="F1128" s="131">
        <v>44743</v>
      </c>
      <c r="G1128" s="6" t="s">
        <v>16</v>
      </c>
      <c r="H1128" s="6" t="s">
        <v>2737</v>
      </c>
      <c r="I1128" s="6">
        <v>1</v>
      </c>
      <c r="J1128" s="8">
        <v>28558</v>
      </c>
      <c r="K1128" s="133">
        <f t="shared" si="11"/>
        <v>327.04993128721947</v>
      </c>
      <c r="L1128" s="96">
        <v>44750</v>
      </c>
      <c r="M1128" s="6" t="s">
        <v>251</v>
      </c>
      <c r="N1128" s="96">
        <v>44750</v>
      </c>
      <c r="O1128" s="22" t="s">
        <v>2800</v>
      </c>
      <c r="Q1128" s="6" t="s">
        <v>280</v>
      </c>
      <c r="R1128" s="6" t="str">
        <f t="shared" ca="1" si="12"/>
        <v>NonCategory</v>
      </c>
    </row>
    <row r="1129" spans="1:18">
      <c r="A1129" s="162">
        <v>44751</v>
      </c>
      <c r="B1129" s="164" t="s">
        <v>2801</v>
      </c>
      <c r="C1129" s="168" t="s">
        <v>2802</v>
      </c>
      <c r="D1129" s="6" t="s">
        <v>278</v>
      </c>
      <c r="E1129" s="6" t="s">
        <v>97</v>
      </c>
      <c r="F1129" s="131">
        <v>44743</v>
      </c>
      <c r="G1129" s="6" t="s">
        <v>16</v>
      </c>
      <c r="H1129" s="6" t="s">
        <v>2803</v>
      </c>
      <c r="I1129" s="6">
        <v>1</v>
      </c>
      <c r="J1129" s="8">
        <v>20000</v>
      </c>
      <c r="K1129" s="8">
        <f t="shared" si="11"/>
        <v>229.04260192395787</v>
      </c>
      <c r="L1129" s="96">
        <v>44751</v>
      </c>
      <c r="M1129" s="6" t="s">
        <v>252</v>
      </c>
      <c r="N1129" s="96">
        <v>44753</v>
      </c>
      <c r="O1129" s="22" t="s">
        <v>6131</v>
      </c>
      <c r="Q1129" s="6" t="s">
        <v>356</v>
      </c>
      <c r="R1129" s="6" t="str">
        <f t="shared" ca="1" si="12"/>
        <v>NonCategory</v>
      </c>
    </row>
    <row r="1130" spans="1:18">
      <c r="A1130" s="162">
        <v>44753</v>
      </c>
      <c r="B1130" s="164" t="s">
        <v>2804</v>
      </c>
      <c r="C1130" s="168" t="s">
        <v>2805</v>
      </c>
      <c r="D1130" s="6" t="s">
        <v>278</v>
      </c>
      <c r="E1130" s="6" t="s">
        <v>96</v>
      </c>
      <c r="F1130" s="131">
        <v>44743</v>
      </c>
      <c r="G1130" s="6" t="s">
        <v>16</v>
      </c>
      <c r="H1130" s="6" t="s">
        <v>2689</v>
      </c>
      <c r="I1130" s="6">
        <v>1</v>
      </c>
      <c r="J1130" s="8">
        <v>20000</v>
      </c>
      <c r="K1130" s="8">
        <f t="shared" si="11"/>
        <v>229.04260192395787</v>
      </c>
      <c r="L1130" s="96">
        <v>44753</v>
      </c>
      <c r="M1130" s="6" t="s">
        <v>252</v>
      </c>
      <c r="N1130" s="96">
        <v>44753</v>
      </c>
      <c r="O1130" s="22" t="s">
        <v>6132</v>
      </c>
      <c r="Q1130" s="6" t="s">
        <v>280</v>
      </c>
      <c r="R1130" s="6" t="str">
        <f t="shared" ca="1" si="12"/>
        <v>NonCategory</v>
      </c>
    </row>
    <row r="1131" spans="1:18">
      <c r="A1131" s="162">
        <v>44753</v>
      </c>
      <c r="B1131" s="164" t="s">
        <v>2806</v>
      </c>
      <c r="C1131" s="168" t="s">
        <v>2807</v>
      </c>
      <c r="D1131" s="6" t="s">
        <v>287</v>
      </c>
      <c r="E1131" s="6" t="s">
        <v>1524</v>
      </c>
      <c r="F1131" s="131">
        <v>44743</v>
      </c>
      <c r="G1131" s="6" t="s">
        <v>16</v>
      </c>
      <c r="H1131" s="6" t="s">
        <v>2689</v>
      </c>
      <c r="I1131" s="6">
        <v>1</v>
      </c>
      <c r="J1131" s="8">
        <v>24000</v>
      </c>
      <c r="K1131" s="8">
        <f t="shared" si="11"/>
        <v>274.85112230874944</v>
      </c>
      <c r="L1131" s="96">
        <v>44753</v>
      </c>
      <c r="M1131" s="6" t="s">
        <v>252</v>
      </c>
      <c r="N1131" s="96">
        <v>44753</v>
      </c>
      <c r="O1131" s="22" t="s">
        <v>6133</v>
      </c>
      <c r="Q1131" s="6" t="s">
        <v>280</v>
      </c>
      <c r="R1131" s="6" t="str">
        <f t="shared" ca="1" si="12"/>
        <v>NonCategory</v>
      </c>
    </row>
    <row r="1132" spans="1:18">
      <c r="A1132" s="162">
        <v>44753</v>
      </c>
      <c r="B1132" s="164" t="s">
        <v>2808</v>
      </c>
      <c r="C1132" s="168" t="s">
        <v>2809</v>
      </c>
      <c r="D1132" s="6" t="s">
        <v>319</v>
      </c>
      <c r="E1132" s="6" t="s">
        <v>25</v>
      </c>
      <c r="F1132" s="131">
        <v>44743</v>
      </c>
      <c r="G1132" s="6" t="s">
        <v>16</v>
      </c>
      <c r="H1132" s="6" t="s">
        <v>2694</v>
      </c>
      <c r="I1132" s="6">
        <v>1</v>
      </c>
      <c r="J1132" s="8">
        <v>40061</v>
      </c>
      <c r="K1132" s="8">
        <f t="shared" si="11"/>
        <v>458.7837837837838</v>
      </c>
      <c r="L1132" s="96">
        <v>44753</v>
      </c>
      <c r="M1132" s="6" t="s">
        <v>252</v>
      </c>
      <c r="N1132" s="96">
        <v>44753</v>
      </c>
      <c r="O1132" s="22" t="s">
        <v>6134</v>
      </c>
      <c r="Q1132" s="6" t="s">
        <v>280</v>
      </c>
      <c r="R1132" s="6" t="str">
        <f t="shared" ca="1" si="12"/>
        <v>NonCategory</v>
      </c>
    </row>
    <row r="1133" spans="1:18">
      <c r="A1133" s="162">
        <v>44754</v>
      </c>
      <c r="B1133" s="164" t="s">
        <v>2810</v>
      </c>
      <c r="C1133" s="168" t="s">
        <v>2811</v>
      </c>
      <c r="D1133" s="6" t="s">
        <v>278</v>
      </c>
      <c r="E1133" s="6" t="s">
        <v>1570</v>
      </c>
      <c r="F1133" s="131">
        <v>44743</v>
      </c>
      <c r="G1133" s="6" t="s">
        <v>16</v>
      </c>
      <c r="H1133" s="96">
        <v>44758</v>
      </c>
      <c r="I1133" s="6">
        <v>1</v>
      </c>
      <c r="J1133" s="8">
        <v>20000</v>
      </c>
      <c r="K1133" s="8">
        <f t="shared" si="11"/>
        <v>229.04260192395787</v>
      </c>
      <c r="L1133" s="96">
        <v>44754</v>
      </c>
      <c r="M1133" s="6" t="s">
        <v>252</v>
      </c>
      <c r="N1133" s="96">
        <v>44756</v>
      </c>
      <c r="O1133" s="22" t="s">
        <v>6135</v>
      </c>
      <c r="Q1133" s="6" t="s">
        <v>356</v>
      </c>
      <c r="R1133" s="6" t="str">
        <f t="shared" ca="1" si="12"/>
        <v>NonCategory</v>
      </c>
    </row>
    <row r="1134" spans="1:18">
      <c r="A1134" s="162">
        <v>44754</v>
      </c>
      <c r="B1134" s="164" t="s">
        <v>2812</v>
      </c>
      <c r="C1134" s="168" t="s">
        <v>2813</v>
      </c>
      <c r="D1134" s="6" t="s">
        <v>278</v>
      </c>
      <c r="E1134" s="6" t="s">
        <v>1524</v>
      </c>
      <c r="F1134" s="131">
        <v>44743</v>
      </c>
      <c r="G1134" s="6" t="s">
        <v>16</v>
      </c>
      <c r="H1134" s="6" t="s">
        <v>2689</v>
      </c>
      <c r="I1134" s="6">
        <v>1</v>
      </c>
      <c r="J1134" s="8">
        <v>24000</v>
      </c>
      <c r="K1134" s="8">
        <f t="shared" si="11"/>
        <v>274.85112230874944</v>
      </c>
      <c r="L1134" s="96">
        <v>44754</v>
      </c>
      <c r="M1134" s="6" t="s">
        <v>252</v>
      </c>
      <c r="N1134" s="96">
        <v>44754</v>
      </c>
      <c r="O1134" s="22" t="s">
        <v>6136</v>
      </c>
      <c r="Q1134" s="6" t="s">
        <v>280</v>
      </c>
      <c r="R1134" s="6" t="str">
        <f t="shared" ca="1" si="12"/>
        <v>NonCategory</v>
      </c>
    </row>
    <row r="1135" spans="1:18">
      <c r="A1135" s="162">
        <v>44754</v>
      </c>
      <c r="B1135" s="164" t="s">
        <v>2814</v>
      </c>
      <c r="C1135" s="168" t="s">
        <v>2815</v>
      </c>
      <c r="D1135" s="6" t="s">
        <v>278</v>
      </c>
      <c r="E1135" s="6" t="s">
        <v>1570</v>
      </c>
      <c r="F1135" s="131">
        <v>44743</v>
      </c>
      <c r="G1135" s="6" t="s">
        <v>16</v>
      </c>
      <c r="H1135" s="96">
        <v>44758</v>
      </c>
      <c r="I1135" s="6">
        <v>1</v>
      </c>
      <c r="J1135" s="8">
        <v>21000</v>
      </c>
      <c r="K1135" s="8">
        <f t="shared" si="11"/>
        <v>240.49473202015577</v>
      </c>
      <c r="L1135" s="96">
        <v>44754</v>
      </c>
      <c r="M1135" s="6" t="s">
        <v>252</v>
      </c>
      <c r="N1135" s="96">
        <v>44755</v>
      </c>
      <c r="O1135" s="22" t="s">
        <v>6137</v>
      </c>
      <c r="Q1135" s="6" t="s">
        <v>356</v>
      </c>
      <c r="R1135" s="6" t="str">
        <f t="shared" ca="1" si="12"/>
        <v>NonCategory</v>
      </c>
    </row>
    <row r="1136" spans="1:18">
      <c r="A1136" s="162">
        <v>44754</v>
      </c>
      <c r="B1136" s="164" t="s">
        <v>2816</v>
      </c>
      <c r="C1136" s="168" t="s">
        <v>2817</v>
      </c>
      <c r="D1136" s="6" t="s">
        <v>1731</v>
      </c>
      <c r="E1136" s="6" t="s">
        <v>96</v>
      </c>
      <c r="F1136" s="131">
        <v>44743</v>
      </c>
      <c r="G1136" s="6" t="s">
        <v>16</v>
      </c>
      <c r="H1136" s="96">
        <v>44760</v>
      </c>
      <c r="I1136" s="6">
        <v>1</v>
      </c>
      <c r="J1136" s="8">
        <v>49000</v>
      </c>
      <c r="K1136" s="8">
        <f t="shared" si="11"/>
        <v>561.15437471369682</v>
      </c>
      <c r="L1136" s="96">
        <v>44754</v>
      </c>
      <c r="M1136" s="6" t="s">
        <v>252</v>
      </c>
      <c r="N1136" s="96">
        <v>44757</v>
      </c>
      <c r="O1136" s="22" t="s">
        <v>6138</v>
      </c>
      <c r="Q1136" s="6" t="s">
        <v>356</v>
      </c>
      <c r="R1136" s="6" t="str">
        <f t="shared" ca="1" si="12"/>
        <v>NonCategory</v>
      </c>
    </row>
    <row r="1137" spans="1:18">
      <c r="A1137" s="162">
        <v>44755</v>
      </c>
      <c r="B1137" s="164" t="s">
        <v>2818</v>
      </c>
      <c r="C1137" s="168" t="s">
        <v>2819</v>
      </c>
      <c r="D1137" s="6" t="s">
        <v>287</v>
      </c>
      <c r="E1137" s="6" t="s">
        <v>1524</v>
      </c>
      <c r="F1137" s="131">
        <v>44743</v>
      </c>
      <c r="G1137" s="6" t="s">
        <v>16</v>
      </c>
      <c r="H1137" s="6" t="s">
        <v>2689</v>
      </c>
      <c r="I1137" s="6">
        <v>1</v>
      </c>
      <c r="J1137" s="8">
        <v>24000</v>
      </c>
      <c r="K1137" s="8">
        <f t="shared" si="11"/>
        <v>274.85112230874944</v>
      </c>
      <c r="L1137" s="96">
        <v>44755</v>
      </c>
      <c r="M1137" s="6" t="s">
        <v>252</v>
      </c>
      <c r="N1137" s="96">
        <v>44755</v>
      </c>
      <c r="O1137" s="22" t="s">
        <v>6139</v>
      </c>
      <c r="Q1137" s="6" t="s">
        <v>280</v>
      </c>
      <c r="R1137" s="6" t="str">
        <f t="shared" ca="1" si="12"/>
        <v>NonCategory</v>
      </c>
    </row>
    <row r="1138" spans="1:18">
      <c r="A1138" s="162">
        <v>44755</v>
      </c>
      <c r="B1138" s="164" t="s">
        <v>1870</v>
      </c>
      <c r="C1138" s="168" t="s">
        <v>2820</v>
      </c>
      <c r="D1138" s="6" t="s">
        <v>470</v>
      </c>
      <c r="E1138" s="6" t="s">
        <v>97</v>
      </c>
      <c r="F1138" s="131">
        <v>44743</v>
      </c>
      <c r="G1138" s="6" t="s">
        <v>13</v>
      </c>
      <c r="H1138" s="6" t="s">
        <v>2821</v>
      </c>
      <c r="I1138" s="6">
        <v>1</v>
      </c>
      <c r="J1138" s="8">
        <v>20000</v>
      </c>
      <c r="K1138" s="8">
        <f t="shared" si="11"/>
        <v>229.04260192395787</v>
      </c>
      <c r="L1138" s="96">
        <v>44755</v>
      </c>
      <c r="R1138" s="6" t="str">
        <f t="shared" ca="1" si="12"/>
        <v>NonCategory</v>
      </c>
    </row>
    <row r="1139" spans="1:18">
      <c r="A1139" s="162">
        <v>44756</v>
      </c>
      <c r="B1139" s="164" t="s">
        <v>2822</v>
      </c>
      <c r="C1139" s="168" t="s">
        <v>2823</v>
      </c>
      <c r="D1139" s="6" t="s">
        <v>303</v>
      </c>
      <c r="E1139" s="6" t="s">
        <v>151</v>
      </c>
      <c r="F1139" s="131">
        <v>44743</v>
      </c>
      <c r="G1139" s="6" t="s">
        <v>16</v>
      </c>
      <c r="H1139" s="6" t="s">
        <v>2689</v>
      </c>
      <c r="I1139" s="6">
        <v>1</v>
      </c>
      <c r="J1139" s="8">
        <v>21000</v>
      </c>
      <c r="K1139" s="8">
        <f t="shared" si="11"/>
        <v>240.49473202015577</v>
      </c>
      <c r="L1139" s="96">
        <v>44756</v>
      </c>
      <c r="M1139" s="6" t="s">
        <v>252</v>
      </c>
      <c r="N1139" s="96">
        <v>44756</v>
      </c>
      <c r="O1139" s="22" t="s">
        <v>6140</v>
      </c>
      <c r="Q1139" s="6" t="s">
        <v>280</v>
      </c>
      <c r="R1139" s="6" t="str">
        <f t="shared" ca="1" si="12"/>
        <v>NonCategory</v>
      </c>
    </row>
    <row r="1140" spans="1:18">
      <c r="A1140" s="162">
        <v>44756</v>
      </c>
      <c r="B1140" s="164" t="s">
        <v>2824</v>
      </c>
      <c r="C1140" s="168" t="s">
        <v>2825</v>
      </c>
      <c r="D1140" s="6" t="s">
        <v>287</v>
      </c>
      <c r="E1140" s="6" t="s">
        <v>25</v>
      </c>
      <c r="F1140" s="131">
        <v>44743</v>
      </c>
      <c r="G1140" s="6" t="s">
        <v>16</v>
      </c>
      <c r="H1140" s="6" t="s">
        <v>2826</v>
      </c>
      <c r="I1140" s="6">
        <v>1</v>
      </c>
      <c r="J1140" s="8">
        <v>42000</v>
      </c>
      <c r="K1140" s="8">
        <f t="shared" si="11"/>
        <v>480.98946404031153</v>
      </c>
      <c r="L1140" s="96">
        <v>44756</v>
      </c>
      <c r="M1140" s="6" t="s">
        <v>252</v>
      </c>
      <c r="N1140" s="96">
        <v>44758</v>
      </c>
      <c r="O1140" s="22" t="s">
        <v>6141</v>
      </c>
      <c r="Q1140" s="6" t="s">
        <v>280</v>
      </c>
      <c r="R1140" s="6" t="str">
        <f t="shared" ca="1" si="12"/>
        <v>NonCategory</v>
      </c>
    </row>
    <row r="1141" spans="1:18">
      <c r="A1141" s="162">
        <v>44756</v>
      </c>
      <c r="B1141" s="164" t="s">
        <v>2827</v>
      </c>
      <c r="C1141" s="168" t="s">
        <v>2828</v>
      </c>
      <c r="D1141" s="6" t="s">
        <v>287</v>
      </c>
      <c r="E1141" s="6" t="s">
        <v>25</v>
      </c>
      <c r="F1141" s="131">
        <v>44743</v>
      </c>
      <c r="G1141" s="6" t="s">
        <v>16</v>
      </c>
      <c r="H1141" s="6" t="s">
        <v>2694</v>
      </c>
      <c r="I1141" s="6">
        <v>1</v>
      </c>
      <c r="J1141" s="8">
        <v>42000</v>
      </c>
      <c r="K1141" s="8">
        <f t="shared" si="11"/>
        <v>480.98946404031153</v>
      </c>
      <c r="L1141" s="96">
        <v>44756</v>
      </c>
      <c r="M1141" s="6" t="s">
        <v>252</v>
      </c>
      <c r="N1141" s="96">
        <v>44756</v>
      </c>
      <c r="O1141" s="22" t="s">
        <v>6142</v>
      </c>
      <c r="Q1141" s="6" t="s">
        <v>356</v>
      </c>
      <c r="R1141" s="6" t="str">
        <f t="shared" ca="1" si="12"/>
        <v>NonCategory</v>
      </c>
    </row>
    <row r="1142" spans="1:18">
      <c r="A1142" s="162">
        <v>44757</v>
      </c>
      <c r="B1142" s="164" t="s">
        <v>2829</v>
      </c>
      <c r="C1142" s="168" t="s">
        <v>2830</v>
      </c>
      <c r="D1142" s="6" t="s">
        <v>319</v>
      </c>
      <c r="E1142" s="6" t="s">
        <v>25</v>
      </c>
      <c r="F1142" s="131">
        <v>44743</v>
      </c>
      <c r="G1142" s="6" t="s">
        <v>16</v>
      </c>
      <c r="H1142" s="6" t="s">
        <v>2694</v>
      </c>
      <c r="I1142" s="6">
        <v>1</v>
      </c>
      <c r="J1142" s="8">
        <v>40061</v>
      </c>
      <c r="K1142" s="8">
        <f t="shared" si="11"/>
        <v>458.7837837837838</v>
      </c>
      <c r="L1142" s="96">
        <v>44757</v>
      </c>
      <c r="M1142" s="6" t="s">
        <v>252</v>
      </c>
      <c r="N1142" s="96">
        <v>44757</v>
      </c>
      <c r="O1142" s="22" t="s">
        <v>6143</v>
      </c>
      <c r="Q1142" s="6" t="s">
        <v>280</v>
      </c>
      <c r="R1142" s="6" t="str">
        <f t="shared" ca="1" si="12"/>
        <v>NonCategory</v>
      </c>
    </row>
    <row r="1143" spans="1:18">
      <c r="A1143" s="162">
        <v>44757</v>
      </c>
      <c r="B1143" s="164" t="s">
        <v>2831</v>
      </c>
      <c r="C1143" s="168" t="s">
        <v>2832</v>
      </c>
      <c r="D1143" s="6" t="s">
        <v>303</v>
      </c>
      <c r="E1143" s="6" t="s">
        <v>151</v>
      </c>
      <c r="F1143" s="131">
        <v>44743</v>
      </c>
      <c r="G1143" s="6" t="s">
        <v>16</v>
      </c>
      <c r="H1143" s="6" t="s">
        <v>2694</v>
      </c>
      <c r="I1143" s="6">
        <v>1</v>
      </c>
      <c r="J1143" s="8">
        <v>21000</v>
      </c>
      <c r="K1143" s="8">
        <f t="shared" si="11"/>
        <v>240.49473202015577</v>
      </c>
      <c r="L1143" s="96">
        <v>44757</v>
      </c>
      <c r="M1143" s="6" t="s">
        <v>252</v>
      </c>
      <c r="N1143" s="96">
        <v>44757</v>
      </c>
      <c r="O1143" s="22" t="s">
        <v>6144</v>
      </c>
      <c r="Q1143" s="6" t="s">
        <v>356</v>
      </c>
      <c r="R1143" s="6" t="str">
        <f t="shared" ca="1" si="12"/>
        <v>NonCategory</v>
      </c>
    </row>
    <row r="1144" spans="1:18">
      <c r="A1144" s="162">
        <v>44757</v>
      </c>
      <c r="B1144" s="164" t="s">
        <v>2833</v>
      </c>
      <c r="C1144" s="168" t="s">
        <v>2834</v>
      </c>
      <c r="D1144" s="6" t="s">
        <v>287</v>
      </c>
      <c r="E1144" s="6" t="s">
        <v>25</v>
      </c>
      <c r="F1144" s="131">
        <v>44743</v>
      </c>
      <c r="G1144" s="6" t="s">
        <v>13</v>
      </c>
      <c r="H1144" s="6" t="s">
        <v>2694</v>
      </c>
      <c r="I1144" s="6">
        <v>1</v>
      </c>
      <c r="J1144" s="8">
        <v>40061</v>
      </c>
      <c r="K1144" s="8">
        <f t="shared" si="11"/>
        <v>458.7837837837838</v>
      </c>
      <c r="L1144" s="96">
        <v>44757</v>
      </c>
      <c r="R1144" s="6" t="str">
        <f t="shared" ca="1" si="12"/>
        <v>NonCategory</v>
      </c>
    </row>
    <row r="1145" spans="1:18">
      <c r="A1145" s="162">
        <v>44760</v>
      </c>
      <c r="B1145" s="164" t="s">
        <v>2835</v>
      </c>
      <c r="C1145" s="168" t="s">
        <v>2836</v>
      </c>
      <c r="D1145" s="6" t="s">
        <v>303</v>
      </c>
      <c r="E1145" s="6" t="s">
        <v>96</v>
      </c>
      <c r="F1145" s="131">
        <v>44743</v>
      </c>
      <c r="G1145" s="6" t="s">
        <v>16</v>
      </c>
      <c r="H1145" s="6" t="s">
        <v>2837</v>
      </c>
      <c r="I1145" s="6">
        <v>1</v>
      </c>
      <c r="J1145" s="8">
        <v>20000</v>
      </c>
      <c r="K1145" s="8">
        <f t="shared" si="11"/>
        <v>229.04260192395787</v>
      </c>
      <c r="L1145" s="96">
        <v>44760</v>
      </c>
      <c r="M1145" s="6" t="s">
        <v>252</v>
      </c>
      <c r="N1145" s="96">
        <v>44760</v>
      </c>
      <c r="O1145" s="22" t="s">
        <v>6145</v>
      </c>
      <c r="Q1145" s="6" t="s">
        <v>356</v>
      </c>
      <c r="R1145" s="6" t="str">
        <f t="shared" ca="1" si="12"/>
        <v>NonCategory</v>
      </c>
    </row>
    <row r="1146" spans="1:18">
      <c r="A1146" s="162">
        <v>44760</v>
      </c>
      <c r="B1146" s="164" t="s">
        <v>2838</v>
      </c>
      <c r="C1146" s="168" t="s">
        <v>2839</v>
      </c>
      <c r="D1146" s="6" t="s">
        <v>1291</v>
      </c>
      <c r="E1146" s="6" t="s">
        <v>150</v>
      </c>
      <c r="F1146" s="131">
        <v>44743</v>
      </c>
      <c r="G1146" s="6" t="s">
        <v>16</v>
      </c>
      <c r="H1146" s="6" t="s">
        <v>2784</v>
      </c>
      <c r="I1146" s="6">
        <v>1</v>
      </c>
      <c r="J1146" s="8">
        <v>21000</v>
      </c>
      <c r="K1146" s="8">
        <f t="shared" si="11"/>
        <v>240.49473202015577</v>
      </c>
      <c r="L1146" s="96">
        <v>44760</v>
      </c>
      <c r="M1146" s="6" t="s">
        <v>252</v>
      </c>
      <c r="N1146" s="96">
        <v>44762</v>
      </c>
      <c r="O1146" s="22" t="s">
        <v>6146</v>
      </c>
      <c r="Q1146" s="6" t="s">
        <v>280</v>
      </c>
      <c r="R1146" s="6" t="str">
        <f t="shared" ca="1" si="12"/>
        <v>NonCategory</v>
      </c>
    </row>
    <row r="1147" spans="1:18">
      <c r="A1147" s="162">
        <v>44761</v>
      </c>
      <c r="B1147" s="164" t="s">
        <v>2840</v>
      </c>
      <c r="C1147" s="168" t="s">
        <v>2841</v>
      </c>
      <c r="D1147" s="6" t="s">
        <v>287</v>
      </c>
      <c r="E1147" s="6" t="s">
        <v>97</v>
      </c>
      <c r="F1147" s="131">
        <v>44743</v>
      </c>
      <c r="G1147" s="6" t="s">
        <v>16</v>
      </c>
      <c r="H1147" s="6" t="s">
        <v>2784</v>
      </c>
      <c r="I1147" s="6">
        <v>1</v>
      </c>
      <c r="J1147" s="8">
        <v>20000</v>
      </c>
      <c r="K1147" s="8">
        <f t="shared" si="11"/>
        <v>229.04260192395787</v>
      </c>
      <c r="L1147" s="96">
        <v>44761</v>
      </c>
      <c r="M1147" s="6" t="s">
        <v>252</v>
      </c>
      <c r="N1147" s="96">
        <v>44761</v>
      </c>
      <c r="O1147" s="22" t="s">
        <v>6147</v>
      </c>
      <c r="Q1147" s="6" t="s">
        <v>280</v>
      </c>
      <c r="R1147" s="6" t="str">
        <f t="shared" ca="1" si="12"/>
        <v>NonCategory</v>
      </c>
    </row>
    <row r="1148" spans="1:18">
      <c r="A1148" s="162">
        <v>44761</v>
      </c>
      <c r="B1148" s="164" t="s">
        <v>2842</v>
      </c>
      <c r="C1148" s="168" t="s">
        <v>2843</v>
      </c>
      <c r="D1148" s="6" t="s">
        <v>319</v>
      </c>
      <c r="E1148" s="6" t="s">
        <v>151</v>
      </c>
      <c r="F1148" s="131">
        <v>44743</v>
      </c>
      <c r="G1148" s="6" t="s">
        <v>16</v>
      </c>
      <c r="H1148" s="6" t="s">
        <v>2689</v>
      </c>
      <c r="I1148" s="6">
        <v>1</v>
      </c>
      <c r="J1148" s="8">
        <v>21000</v>
      </c>
      <c r="K1148" s="8">
        <f t="shared" si="11"/>
        <v>240.49473202015577</v>
      </c>
      <c r="L1148" s="96">
        <v>44761</v>
      </c>
      <c r="M1148" s="6" t="s">
        <v>252</v>
      </c>
      <c r="N1148" s="96">
        <v>44761</v>
      </c>
      <c r="O1148" s="22" t="s">
        <v>6148</v>
      </c>
      <c r="Q1148" s="6" t="s">
        <v>280</v>
      </c>
      <c r="R1148" s="6" t="str">
        <f t="shared" ca="1" si="12"/>
        <v>NonCategory</v>
      </c>
    </row>
    <row r="1149" spans="1:18">
      <c r="A1149" s="162">
        <v>44762</v>
      </c>
      <c r="B1149" s="164" t="s">
        <v>2844</v>
      </c>
      <c r="C1149" s="168" t="s">
        <v>2845</v>
      </c>
      <c r="D1149" s="6" t="s">
        <v>291</v>
      </c>
      <c r="E1149" s="6" t="s">
        <v>150</v>
      </c>
      <c r="F1149" s="131">
        <v>44743</v>
      </c>
      <c r="G1149" s="6" t="s">
        <v>16</v>
      </c>
      <c r="H1149" s="6" t="s">
        <v>2689</v>
      </c>
      <c r="I1149" s="6">
        <v>1</v>
      </c>
      <c r="J1149" s="8">
        <v>21000</v>
      </c>
      <c r="K1149" s="8">
        <f t="shared" si="11"/>
        <v>240.49473202015577</v>
      </c>
      <c r="L1149" s="96">
        <v>44762</v>
      </c>
      <c r="M1149" s="6" t="s">
        <v>252</v>
      </c>
      <c r="N1149" s="96">
        <v>44762</v>
      </c>
      <c r="O1149" s="22" t="s">
        <v>6149</v>
      </c>
      <c r="Q1149" s="6" t="s">
        <v>280</v>
      </c>
      <c r="R1149" s="6" t="str">
        <f t="shared" ca="1" si="12"/>
        <v>NonCategory</v>
      </c>
    </row>
    <row r="1150" spans="1:18">
      <c r="A1150" s="162">
        <v>44762</v>
      </c>
      <c r="B1150" s="164" t="s">
        <v>2846</v>
      </c>
      <c r="C1150" s="168" t="s">
        <v>2847</v>
      </c>
      <c r="D1150" s="6" t="s">
        <v>291</v>
      </c>
      <c r="E1150" s="6" t="s">
        <v>150</v>
      </c>
      <c r="F1150" s="131">
        <v>44743</v>
      </c>
      <c r="G1150" s="6" t="s">
        <v>16</v>
      </c>
      <c r="H1150" s="6" t="s">
        <v>2752</v>
      </c>
      <c r="I1150" s="6">
        <v>1</v>
      </c>
      <c r="J1150" s="8">
        <v>20500</v>
      </c>
      <c r="K1150" s="8">
        <f t="shared" si="11"/>
        <v>234.76866697205682</v>
      </c>
      <c r="L1150" s="96">
        <v>44762</v>
      </c>
      <c r="M1150" s="6" t="s">
        <v>252</v>
      </c>
      <c r="N1150" s="96">
        <v>44762</v>
      </c>
      <c r="O1150" s="22" t="s">
        <v>6150</v>
      </c>
      <c r="Q1150" s="6" t="s">
        <v>356</v>
      </c>
      <c r="R1150" s="6" t="str">
        <f t="shared" ca="1" si="12"/>
        <v>NonCategory</v>
      </c>
    </row>
    <row r="1151" spans="1:18">
      <c r="A1151" s="162">
        <v>44762</v>
      </c>
      <c r="B1151" s="164" t="s">
        <v>2848</v>
      </c>
      <c r="C1151" s="168" t="s">
        <v>2849</v>
      </c>
      <c r="D1151" s="6" t="s">
        <v>278</v>
      </c>
      <c r="E1151" s="6" t="s">
        <v>150</v>
      </c>
      <c r="F1151" s="131">
        <v>44743</v>
      </c>
      <c r="G1151" s="6" t="s">
        <v>16</v>
      </c>
      <c r="H1151" s="6" t="s">
        <v>2752</v>
      </c>
      <c r="I1151" s="6">
        <v>1</v>
      </c>
      <c r="J1151" s="8">
        <v>20500</v>
      </c>
      <c r="K1151" s="8">
        <f t="shared" si="11"/>
        <v>234.76866697205682</v>
      </c>
      <c r="L1151" s="96">
        <v>44762</v>
      </c>
      <c r="M1151" s="6" t="s">
        <v>252</v>
      </c>
      <c r="N1151" s="96">
        <v>44762</v>
      </c>
      <c r="O1151" s="22" t="s">
        <v>6151</v>
      </c>
      <c r="P1151" s="6" t="s">
        <v>2850</v>
      </c>
      <c r="Q1151" s="6" t="s">
        <v>356</v>
      </c>
      <c r="R1151" s="6" t="str">
        <f t="shared" ca="1" si="12"/>
        <v>NonCategory</v>
      </c>
    </row>
    <row r="1152" spans="1:18">
      <c r="A1152" s="162">
        <v>44763</v>
      </c>
      <c r="B1152" s="164" t="s">
        <v>2851</v>
      </c>
      <c r="C1152" s="168" t="s">
        <v>2852</v>
      </c>
      <c r="D1152" s="6" t="s">
        <v>297</v>
      </c>
      <c r="E1152" s="6" t="s">
        <v>151</v>
      </c>
      <c r="F1152" s="131">
        <v>44743</v>
      </c>
      <c r="G1152" s="6" t="s">
        <v>16</v>
      </c>
      <c r="H1152" s="6" t="s">
        <v>2689</v>
      </c>
      <c r="I1152" s="6">
        <v>1</v>
      </c>
      <c r="J1152" s="8">
        <v>21000</v>
      </c>
      <c r="K1152" s="8">
        <f t="shared" si="11"/>
        <v>240.49473202015577</v>
      </c>
      <c r="L1152" s="96">
        <v>44763</v>
      </c>
      <c r="M1152" s="6" t="s">
        <v>253</v>
      </c>
      <c r="N1152" s="96">
        <v>44763</v>
      </c>
      <c r="O1152" s="22" t="s">
        <v>6152</v>
      </c>
      <c r="Q1152" s="6" t="s">
        <v>356</v>
      </c>
      <c r="R1152" s="6" t="str">
        <f t="shared" ca="1" si="12"/>
        <v>NonCategory</v>
      </c>
    </row>
    <row r="1153" spans="1:18">
      <c r="A1153" s="162">
        <v>44763</v>
      </c>
      <c r="B1153" s="164" t="s">
        <v>2853</v>
      </c>
      <c r="C1153" s="168" t="s">
        <v>2854</v>
      </c>
      <c r="D1153" s="6" t="s">
        <v>287</v>
      </c>
      <c r="E1153" s="6" t="s">
        <v>1524</v>
      </c>
      <c r="F1153" s="131">
        <v>44743</v>
      </c>
      <c r="G1153" s="6" t="s">
        <v>16</v>
      </c>
      <c r="H1153" s="6" t="s">
        <v>2689</v>
      </c>
      <c r="I1153" s="6">
        <v>1</v>
      </c>
      <c r="J1153" s="8">
        <v>24000</v>
      </c>
      <c r="K1153" s="8">
        <f t="shared" si="11"/>
        <v>274.85112230874944</v>
      </c>
      <c r="L1153" s="96">
        <v>44763</v>
      </c>
      <c r="M1153" s="6" t="s">
        <v>253</v>
      </c>
      <c r="N1153" s="96">
        <v>44763</v>
      </c>
      <c r="O1153" s="22" t="s">
        <v>6153</v>
      </c>
      <c r="Q1153" s="6" t="s">
        <v>356</v>
      </c>
      <c r="R1153" s="6" t="str">
        <f t="shared" ca="1" si="12"/>
        <v>NonCategory</v>
      </c>
    </row>
    <row r="1154" spans="1:18">
      <c r="A1154" s="162">
        <v>44765</v>
      </c>
      <c r="B1154" s="164" t="s">
        <v>2855</v>
      </c>
      <c r="C1154" s="168" t="s">
        <v>2856</v>
      </c>
      <c r="D1154" s="6" t="s">
        <v>306</v>
      </c>
      <c r="E1154" s="6" t="s">
        <v>1524</v>
      </c>
      <c r="F1154" s="131">
        <v>44743</v>
      </c>
      <c r="G1154" s="6" t="s">
        <v>16</v>
      </c>
      <c r="H1154" s="6" t="s">
        <v>2784</v>
      </c>
      <c r="I1154" s="6">
        <v>1</v>
      </c>
      <c r="J1154" s="8">
        <v>24000</v>
      </c>
      <c r="K1154" s="8">
        <f t="shared" si="11"/>
        <v>274.85112230874944</v>
      </c>
      <c r="L1154" s="96">
        <v>44765</v>
      </c>
      <c r="M1154" s="6" t="s">
        <v>253</v>
      </c>
      <c r="N1154" s="96">
        <v>44765</v>
      </c>
      <c r="O1154" s="22" t="s">
        <v>6154</v>
      </c>
      <c r="Q1154" s="6" t="s">
        <v>280</v>
      </c>
      <c r="R1154" s="6" t="str">
        <f t="shared" ca="1" si="12"/>
        <v>NonCategory</v>
      </c>
    </row>
    <row r="1155" spans="1:18">
      <c r="A1155" s="162">
        <v>44767</v>
      </c>
      <c r="B1155" s="167" t="s">
        <v>2857</v>
      </c>
      <c r="C1155" s="168" t="s">
        <v>2858</v>
      </c>
      <c r="D1155" s="6" t="s">
        <v>303</v>
      </c>
      <c r="E1155" s="6" t="s">
        <v>1715</v>
      </c>
      <c r="F1155" s="131">
        <v>44743</v>
      </c>
      <c r="G1155" s="6" t="s">
        <v>16</v>
      </c>
      <c r="H1155" s="96">
        <v>44770</v>
      </c>
      <c r="I1155" s="6">
        <v>1</v>
      </c>
      <c r="J1155" s="8">
        <v>21000</v>
      </c>
      <c r="K1155" s="8">
        <f t="shared" si="11"/>
        <v>240.49473202015577</v>
      </c>
      <c r="L1155" s="96">
        <v>44767</v>
      </c>
      <c r="M1155" s="6" t="s">
        <v>253</v>
      </c>
      <c r="N1155" s="96">
        <v>44767</v>
      </c>
      <c r="O1155" s="22" t="s">
        <v>6155</v>
      </c>
      <c r="Q1155" s="6" t="s">
        <v>356</v>
      </c>
      <c r="R1155" s="6" t="str">
        <f t="shared" ca="1" si="12"/>
        <v>NonCategory</v>
      </c>
    </row>
    <row r="1156" spans="1:18">
      <c r="A1156" s="162">
        <v>44767</v>
      </c>
      <c r="B1156" s="164" t="s">
        <v>2859</v>
      </c>
      <c r="C1156" s="168" t="s">
        <v>2860</v>
      </c>
      <c r="D1156" s="6" t="s">
        <v>278</v>
      </c>
      <c r="E1156" s="6" t="s">
        <v>150</v>
      </c>
      <c r="F1156" s="131">
        <v>44743</v>
      </c>
      <c r="G1156" s="6" t="s">
        <v>16</v>
      </c>
      <c r="H1156" s="6" t="s">
        <v>2784</v>
      </c>
      <c r="I1156" s="6">
        <v>1</v>
      </c>
      <c r="J1156" s="8">
        <v>20500</v>
      </c>
      <c r="K1156" s="8">
        <f t="shared" si="11"/>
        <v>234.76866697205682</v>
      </c>
      <c r="L1156" s="96">
        <v>44767</v>
      </c>
      <c r="M1156" s="6" t="s">
        <v>253</v>
      </c>
      <c r="N1156" s="96">
        <v>44767</v>
      </c>
      <c r="O1156" s="22" t="s">
        <v>6156</v>
      </c>
      <c r="P1156" s="6" t="s">
        <v>2861</v>
      </c>
      <c r="Q1156" s="6" t="s">
        <v>356</v>
      </c>
      <c r="R1156" s="6" t="str">
        <f t="shared" ca="1" si="12"/>
        <v>NonCategory</v>
      </c>
    </row>
    <row r="1157" spans="1:18">
      <c r="A1157" s="162">
        <v>44767</v>
      </c>
      <c r="B1157" s="164" t="s">
        <v>2862</v>
      </c>
      <c r="C1157" s="168" t="s">
        <v>2863</v>
      </c>
      <c r="D1157" s="6" t="s">
        <v>278</v>
      </c>
      <c r="E1157" s="6" t="s">
        <v>150</v>
      </c>
      <c r="F1157" s="131">
        <v>44743</v>
      </c>
      <c r="G1157" s="6" t="s">
        <v>16</v>
      </c>
      <c r="H1157" s="6" t="s">
        <v>2784</v>
      </c>
      <c r="I1157" s="6">
        <v>1</v>
      </c>
      <c r="J1157" s="8">
        <v>20500</v>
      </c>
      <c r="K1157" s="8">
        <f t="shared" si="11"/>
        <v>234.76866697205682</v>
      </c>
      <c r="L1157" s="96">
        <v>44767</v>
      </c>
      <c r="M1157" s="6" t="s">
        <v>253</v>
      </c>
      <c r="N1157" s="96">
        <v>44767</v>
      </c>
      <c r="O1157" s="22" t="s">
        <v>6157</v>
      </c>
      <c r="P1157" s="6" t="s">
        <v>2861</v>
      </c>
      <c r="Q1157" s="6" t="s">
        <v>280</v>
      </c>
      <c r="R1157" s="6" t="str">
        <f t="shared" ca="1" si="12"/>
        <v>NonCategory</v>
      </c>
    </row>
    <row r="1158" spans="1:18">
      <c r="A1158" s="162">
        <v>44768</v>
      </c>
      <c r="B1158" s="164" t="s">
        <v>2864</v>
      </c>
      <c r="C1158" s="168" t="s">
        <v>2865</v>
      </c>
      <c r="D1158" s="6" t="s">
        <v>278</v>
      </c>
      <c r="E1158" s="6" t="s">
        <v>96</v>
      </c>
      <c r="F1158" s="131">
        <v>44743</v>
      </c>
      <c r="G1158" s="6" t="s">
        <v>16</v>
      </c>
      <c r="H1158" s="6" t="s">
        <v>2752</v>
      </c>
      <c r="I1158" s="6">
        <v>1</v>
      </c>
      <c r="J1158" s="8">
        <v>20000</v>
      </c>
      <c r="K1158" s="8">
        <f t="shared" si="11"/>
        <v>229.04260192395787</v>
      </c>
      <c r="L1158" s="96">
        <v>44768</v>
      </c>
      <c r="M1158" s="6" t="s">
        <v>253</v>
      </c>
      <c r="N1158" s="96">
        <v>44768</v>
      </c>
      <c r="O1158" s="22" t="s">
        <v>6158</v>
      </c>
      <c r="P1158" s="6" t="s">
        <v>2210</v>
      </c>
      <c r="Q1158" s="6" t="s">
        <v>280</v>
      </c>
      <c r="R1158" s="6" t="str">
        <f t="shared" ca="1" si="12"/>
        <v>NonCategory</v>
      </c>
    </row>
    <row r="1159" spans="1:18">
      <c r="A1159" s="162">
        <v>44769</v>
      </c>
      <c r="B1159" s="164" t="s">
        <v>2866</v>
      </c>
      <c r="C1159" s="168" t="s">
        <v>2867</v>
      </c>
      <c r="D1159" s="6" t="s">
        <v>278</v>
      </c>
      <c r="E1159" s="6" t="s">
        <v>2868</v>
      </c>
      <c r="F1159" s="131">
        <v>44743</v>
      </c>
      <c r="G1159" s="6" t="s">
        <v>16</v>
      </c>
      <c r="H1159" s="96">
        <v>44803</v>
      </c>
      <c r="I1159" s="6">
        <v>1</v>
      </c>
      <c r="J1159" s="8">
        <v>15000</v>
      </c>
      <c r="K1159" s="8">
        <f t="shared" si="11"/>
        <v>171.78195144296839</v>
      </c>
      <c r="L1159" s="96">
        <v>44769</v>
      </c>
      <c r="M1159" s="6" t="s">
        <v>253</v>
      </c>
      <c r="N1159" s="96">
        <v>44770</v>
      </c>
      <c r="O1159" s="22" t="s">
        <v>6159</v>
      </c>
      <c r="P1159" s="6" t="s">
        <v>2869</v>
      </c>
      <c r="Q1159" s="6" t="s">
        <v>356</v>
      </c>
      <c r="R1159" s="6" t="str">
        <f t="shared" ca="1" si="12"/>
        <v>NonCategory</v>
      </c>
    </row>
    <row r="1160" spans="1:18">
      <c r="A1160" s="162">
        <v>44769</v>
      </c>
      <c r="B1160" s="164" t="s">
        <v>2866</v>
      </c>
      <c r="C1160" s="168" t="s">
        <v>2867</v>
      </c>
      <c r="D1160" s="6" t="s">
        <v>278</v>
      </c>
      <c r="E1160" s="6" t="s">
        <v>2868</v>
      </c>
      <c r="F1160" s="131">
        <v>44743</v>
      </c>
      <c r="G1160" s="6" t="s">
        <v>16</v>
      </c>
      <c r="H1160" s="96">
        <v>44803</v>
      </c>
      <c r="I1160" s="6">
        <v>1</v>
      </c>
      <c r="J1160" s="8">
        <v>85000</v>
      </c>
      <c r="K1160" s="8">
        <f t="shared" si="11"/>
        <v>973.4310581768209</v>
      </c>
      <c r="L1160" s="96">
        <v>44769</v>
      </c>
      <c r="M1160" s="6" t="s">
        <v>253</v>
      </c>
      <c r="N1160" s="96">
        <v>44771</v>
      </c>
      <c r="O1160" s="22" t="s">
        <v>6160</v>
      </c>
      <c r="P1160" s="6" t="s">
        <v>2869</v>
      </c>
      <c r="Q1160" s="6" t="s">
        <v>356</v>
      </c>
      <c r="R1160" s="6" t="str">
        <f t="shared" ca="1" si="12"/>
        <v>NonCategory</v>
      </c>
    </row>
    <row r="1161" spans="1:18">
      <c r="A1161" s="162">
        <v>44769</v>
      </c>
      <c r="B1161" s="164" t="s">
        <v>2870</v>
      </c>
      <c r="C1161" s="168" t="s">
        <v>2871</v>
      </c>
      <c r="D1161" s="6" t="s">
        <v>278</v>
      </c>
      <c r="E1161" s="6" t="s">
        <v>150</v>
      </c>
      <c r="F1161" s="131">
        <v>44743</v>
      </c>
      <c r="G1161" s="6" t="s">
        <v>16</v>
      </c>
      <c r="H1161" s="6" t="s">
        <v>2826</v>
      </c>
      <c r="I1161" s="6">
        <v>1</v>
      </c>
      <c r="J1161" s="8">
        <v>20500</v>
      </c>
      <c r="K1161" s="8">
        <f t="shared" si="11"/>
        <v>234.76866697205682</v>
      </c>
      <c r="L1161" s="96">
        <v>44769</v>
      </c>
      <c r="M1161" s="6" t="s">
        <v>253</v>
      </c>
      <c r="N1161" s="96">
        <v>44769</v>
      </c>
      <c r="O1161" s="22" t="s">
        <v>6161</v>
      </c>
      <c r="P1161" s="6" t="s">
        <v>2872</v>
      </c>
      <c r="Q1161" s="6" t="s">
        <v>280</v>
      </c>
      <c r="R1161" s="6" t="str">
        <f t="shared" ca="1" si="12"/>
        <v>NonCategory</v>
      </c>
    </row>
    <row r="1162" spans="1:18">
      <c r="A1162" s="162">
        <v>44770</v>
      </c>
      <c r="B1162" s="164" t="s">
        <v>2873</v>
      </c>
      <c r="C1162" s="168" t="s">
        <v>2874</v>
      </c>
      <c r="D1162" s="6" t="s">
        <v>319</v>
      </c>
      <c r="E1162" s="6" t="s">
        <v>150</v>
      </c>
      <c r="F1162" s="131">
        <v>44743</v>
      </c>
      <c r="G1162" s="6" t="s">
        <v>16</v>
      </c>
      <c r="H1162" s="6" t="s">
        <v>2826</v>
      </c>
      <c r="I1162" s="6">
        <v>1</v>
      </c>
      <c r="J1162" s="8">
        <v>21000</v>
      </c>
      <c r="K1162" s="8">
        <f t="shared" si="11"/>
        <v>240.49473202015577</v>
      </c>
      <c r="L1162" s="96">
        <v>44770</v>
      </c>
      <c r="M1162" s="6" t="s">
        <v>253</v>
      </c>
      <c r="N1162" s="96">
        <v>44770</v>
      </c>
      <c r="O1162" s="22" t="s">
        <v>6162</v>
      </c>
      <c r="Q1162" s="6" t="s">
        <v>280</v>
      </c>
      <c r="R1162" s="6" t="str">
        <f t="shared" ca="1" si="12"/>
        <v>NonCategory</v>
      </c>
    </row>
    <row r="1163" spans="1:18">
      <c r="A1163" s="162">
        <v>44770</v>
      </c>
      <c r="B1163" s="164" t="s">
        <v>2875</v>
      </c>
      <c r="C1163" s="168" t="s">
        <v>2876</v>
      </c>
      <c r="D1163" s="6" t="s">
        <v>470</v>
      </c>
      <c r="E1163" s="6" t="s">
        <v>96</v>
      </c>
      <c r="F1163" s="131">
        <v>44743</v>
      </c>
      <c r="G1163" s="6" t="s">
        <v>16</v>
      </c>
      <c r="H1163" s="6" t="s">
        <v>2877</v>
      </c>
      <c r="I1163" s="6">
        <v>1</v>
      </c>
      <c r="J1163" s="8">
        <v>20000</v>
      </c>
      <c r="K1163" s="8">
        <f t="shared" si="11"/>
        <v>229.04260192395787</v>
      </c>
      <c r="L1163" s="96">
        <v>44770</v>
      </c>
      <c r="M1163" s="6" t="s">
        <v>253</v>
      </c>
      <c r="N1163" s="96">
        <v>44770</v>
      </c>
      <c r="O1163" s="22" t="s">
        <v>6163</v>
      </c>
      <c r="Q1163" s="6" t="s">
        <v>280</v>
      </c>
      <c r="R1163" s="6" t="str">
        <f t="shared" ca="1" si="12"/>
        <v>NonCategory</v>
      </c>
    </row>
    <row r="1164" spans="1:18">
      <c r="A1164" s="162">
        <v>44771</v>
      </c>
      <c r="B1164" s="164" t="s">
        <v>2878</v>
      </c>
      <c r="C1164" s="168" t="s">
        <v>2879</v>
      </c>
      <c r="D1164" s="6" t="s">
        <v>470</v>
      </c>
      <c r="E1164" s="6" t="s">
        <v>97</v>
      </c>
      <c r="F1164" s="131">
        <v>44743</v>
      </c>
      <c r="G1164" s="6" t="s">
        <v>16</v>
      </c>
      <c r="H1164" s="6" t="s">
        <v>2784</v>
      </c>
      <c r="I1164" s="6">
        <v>1</v>
      </c>
      <c r="J1164" s="8">
        <v>20000</v>
      </c>
      <c r="K1164" s="8">
        <f t="shared" si="11"/>
        <v>229.04260192395787</v>
      </c>
      <c r="L1164" s="96">
        <v>44771</v>
      </c>
      <c r="M1164" s="6" t="s">
        <v>253</v>
      </c>
      <c r="N1164" s="96">
        <v>44772</v>
      </c>
      <c r="O1164" s="22" t="s">
        <v>6164</v>
      </c>
      <c r="Q1164" s="6" t="s">
        <v>280</v>
      </c>
      <c r="R1164" s="6" t="str">
        <f t="shared" ca="1" si="12"/>
        <v>NonCategory</v>
      </c>
    </row>
    <row r="1165" spans="1:18">
      <c r="A1165" s="162">
        <v>44771</v>
      </c>
      <c r="B1165" s="164" t="s">
        <v>2880</v>
      </c>
      <c r="C1165" s="168" t="s">
        <v>2881</v>
      </c>
      <c r="D1165" s="6" t="s">
        <v>278</v>
      </c>
      <c r="E1165" s="6" t="s">
        <v>1524</v>
      </c>
      <c r="F1165" s="131">
        <v>44743</v>
      </c>
      <c r="G1165" s="6" t="s">
        <v>16</v>
      </c>
      <c r="H1165" s="6" t="s">
        <v>2882</v>
      </c>
      <c r="I1165" s="6">
        <v>1</v>
      </c>
      <c r="J1165" s="8">
        <v>24000</v>
      </c>
      <c r="K1165" s="8">
        <f t="shared" si="11"/>
        <v>274.85112230874944</v>
      </c>
      <c r="L1165" s="96">
        <v>44771</v>
      </c>
      <c r="M1165" s="6" t="s">
        <v>253</v>
      </c>
      <c r="N1165" s="96">
        <v>44771</v>
      </c>
      <c r="O1165" s="22" t="s">
        <v>6165</v>
      </c>
      <c r="P1165" s="6" t="s">
        <v>2883</v>
      </c>
      <c r="Q1165" s="6" t="s">
        <v>280</v>
      </c>
      <c r="R1165" s="6" t="str">
        <f t="shared" ca="1" si="12"/>
        <v>NonCategory</v>
      </c>
    </row>
    <row r="1166" spans="1:18">
      <c r="A1166" s="162">
        <v>44771</v>
      </c>
      <c r="B1166" s="164" t="s">
        <v>2884</v>
      </c>
      <c r="C1166" s="168" t="s">
        <v>2885</v>
      </c>
      <c r="D1166" s="6" t="s">
        <v>278</v>
      </c>
      <c r="E1166" s="6" t="s">
        <v>1524</v>
      </c>
      <c r="F1166" s="131">
        <v>44743</v>
      </c>
      <c r="G1166" s="6" t="s">
        <v>16</v>
      </c>
      <c r="H1166" s="6" t="s">
        <v>2882</v>
      </c>
      <c r="I1166" s="6">
        <v>1</v>
      </c>
      <c r="J1166" s="8">
        <v>24000</v>
      </c>
      <c r="K1166" s="8">
        <f t="shared" si="11"/>
        <v>274.85112230874944</v>
      </c>
      <c r="L1166" s="96">
        <v>44771</v>
      </c>
      <c r="M1166" s="6" t="s">
        <v>253</v>
      </c>
      <c r="N1166" s="96">
        <v>44771</v>
      </c>
      <c r="O1166" s="22" t="s">
        <v>6166</v>
      </c>
      <c r="P1166" s="6" t="s">
        <v>2883</v>
      </c>
      <c r="Q1166" s="6" t="s">
        <v>280</v>
      </c>
      <c r="R1166" s="6" t="str">
        <f t="shared" ca="1" si="12"/>
        <v>NonCategory</v>
      </c>
    </row>
    <row r="1167" spans="1:18">
      <c r="A1167" s="162">
        <v>44771</v>
      </c>
      <c r="B1167" s="164" t="s">
        <v>2886</v>
      </c>
      <c r="C1167" s="168" t="s">
        <v>2887</v>
      </c>
      <c r="D1167" s="6" t="s">
        <v>278</v>
      </c>
      <c r="E1167" s="6" t="s">
        <v>1524</v>
      </c>
      <c r="F1167" s="131">
        <v>44743</v>
      </c>
      <c r="G1167" s="6" t="s">
        <v>16</v>
      </c>
      <c r="H1167" s="6" t="s">
        <v>2882</v>
      </c>
      <c r="I1167" s="6">
        <v>1</v>
      </c>
      <c r="J1167" s="8">
        <v>24000</v>
      </c>
      <c r="K1167" s="8">
        <f t="shared" si="11"/>
        <v>274.85112230874944</v>
      </c>
      <c r="L1167" s="96">
        <v>44771</v>
      </c>
      <c r="M1167" s="6" t="s">
        <v>253</v>
      </c>
      <c r="N1167" s="96">
        <v>44772</v>
      </c>
      <c r="O1167" s="22" t="s">
        <v>6167</v>
      </c>
      <c r="P1167" s="6" t="s">
        <v>2883</v>
      </c>
      <c r="Q1167" s="6" t="s">
        <v>280</v>
      </c>
      <c r="R1167" s="6" t="str">
        <f t="shared" ca="1" si="12"/>
        <v>NonCategory</v>
      </c>
    </row>
    <row r="1168" spans="1:18">
      <c r="A1168" s="162">
        <v>44771</v>
      </c>
      <c r="B1168" s="164" t="s">
        <v>2888</v>
      </c>
      <c r="C1168" s="168" t="s">
        <v>2889</v>
      </c>
      <c r="D1168" s="6" t="s">
        <v>278</v>
      </c>
      <c r="E1168" s="6" t="s">
        <v>1524</v>
      </c>
      <c r="F1168" s="131">
        <v>44743</v>
      </c>
      <c r="G1168" s="6" t="s">
        <v>16</v>
      </c>
      <c r="H1168" s="6" t="s">
        <v>2882</v>
      </c>
      <c r="I1168" s="6">
        <v>1</v>
      </c>
      <c r="J1168" s="8">
        <v>24000</v>
      </c>
      <c r="K1168" s="8">
        <f t="shared" si="11"/>
        <v>274.85112230874944</v>
      </c>
      <c r="L1168" s="96">
        <v>44771</v>
      </c>
      <c r="M1168" s="6" t="s">
        <v>253</v>
      </c>
      <c r="N1168" s="96">
        <v>44771</v>
      </c>
      <c r="O1168" s="22" t="s">
        <v>6168</v>
      </c>
      <c r="P1168" s="6" t="s">
        <v>2883</v>
      </c>
      <c r="Q1168" s="6" t="s">
        <v>280</v>
      </c>
      <c r="R1168" s="6" t="str">
        <f t="shared" ca="1" si="12"/>
        <v>NonCategory</v>
      </c>
    </row>
    <row r="1169" spans="1:18">
      <c r="A1169" s="162">
        <v>44771</v>
      </c>
      <c r="B1169" s="164" t="s">
        <v>2890</v>
      </c>
      <c r="C1169" s="168" t="s">
        <v>2891</v>
      </c>
      <c r="D1169" s="6" t="s">
        <v>278</v>
      </c>
      <c r="E1169" s="6" t="s">
        <v>1524</v>
      </c>
      <c r="F1169" s="79">
        <v>44774</v>
      </c>
      <c r="G1169" s="6" t="s">
        <v>16</v>
      </c>
      <c r="H1169" s="6" t="s">
        <v>2882</v>
      </c>
      <c r="I1169" s="6">
        <v>1</v>
      </c>
      <c r="J1169" s="8">
        <v>24000</v>
      </c>
      <c r="K1169" s="8">
        <f t="shared" si="11"/>
        <v>274.85112230874944</v>
      </c>
      <c r="L1169" s="96">
        <v>44771</v>
      </c>
      <c r="M1169" s="6" t="s">
        <v>251</v>
      </c>
      <c r="N1169" s="97">
        <v>44778</v>
      </c>
      <c r="O1169" s="22" t="s">
        <v>6169</v>
      </c>
      <c r="P1169" s="6" t="s">
        <v>2883</v>
      </c>
      <c r="Q1169" s="6" t="s">
        <v>280</v>
      </c>
      <c r="R1169" s="6" t="str">
        <f t="shared" ca="1" si="12"/>
        <v>NonCategory</v>
      </c>
    </row>
    <row r="1170" spans="1:18">
      <c r="A1170" s="162">
        <v>44771</v>
      </c>
      <c r="B1170" s="164" t="s">
        <v>2892</v>
      </c>
      <c r="C1170" s="168" t="s">
        <v>2893</v>
      </c>
      <c r="D1170" s="6" t="s">
        <v>278</v>
      </c>
      <c r="E1170" s="6" t="s">
        <v>1524</v>
      </c>
      <c r="F1170" s="79">
        <v>44774</v>
      </c>
      <c r="G1170" s="6" t="s">
        <v>16</v>
      </c>
      <c r="H1170" s="6" t="s">
        <v>2882</v>
      </c>
      <c r="I1170" s="6">
        <v>1</v>
      </c>
      <c r="J1170" s="8">
        <v>24000</v>
      </c>
      <c r="K1170" s="8">
        <f t="shared" si="11"/>
        <v>274.85112230874944</v>
      </c>
      <c r="L1170" s="96">
        <v>44771</v>
      </c>
      <c r="M1170" s="6" t="s">
        <v>251</v>
      </c>
      <c r="N1170" s="97">
        <v>44774</v>
      </c>
      <c r="O1170" s="22" t="s">
        <v>6170</v>
      </c>
      <c r="P1170" s="6" t="s">
        <v>2883</v>
      </c>
      <c r="Q1170" s="6" t="s">
        <v>280</v>
      </c>
      <c r="R1170" s="6" t="str">
        <f t="shared" ca="1" si="12"/>
        <v>NonCategory</v>
      </c>
    </row>
    <row r="1171" spans="1:18">
      <c r="A1171" s="162">
        <v>44771</v>
      </c>
      <c r="B1171" s="164" t="s">
        <v>2894</v>
      </c>
      <c r="C1171" s="168" t="s">
        <v>2895</v>
      </c>
      <c r="D1171" s="6" t="s">
        <v>306</v>
      </c>
      <c r="E1171" s="6" t="s">
        <v>7</v>
      </c>
      <c r="F1171" s="131">
        <v>44743</v>
      </c>
      <c r="G1171" s="6" t="s">
        <v>16</v>
      </c>
      <c r="H1171" s="6" t="s">
        <v>2784</v>
      </c>
      <c r="I1171" s="6">
        <v>1</v>
      </c>
      <c r="J1171" s="8">
        <v>42000</v>
      </c>
      <c r="K1171" s="8">
        <f t="shared" si="11"/>
        <v>480.98946404031153</v>
      </c>
      <c r="L1171" s="96">
        <v>44771</v>
      </c>
      <c r="M1171" s="6" t="s">
        <v>253</v>
      </c>
      <c r="N1171" s="96">
        <v>44771</v>
      </c>
      <c r="O1171" s="22" t="s">
        <v>6171</v>
      </c>
      <c r="Q1171" s="6" t="s">
        <v>356</v>
      </c>
      <c r="R1171" s="6" t="str">
        <f t="shared" ca="1" si="12"/>
        <v>NonCategory</v>
      </c>
    </row>
    <row r="1172" spans="1:18">
      <c r="A1172" s="162">
        <v>44772</v>
      </c>
      <c r="B1172" s="164" t="s">
        <v>2896</v>
      </c>
      <c r="C1172" s="168" t="s">
        <v>2897</v>
      </c>
      <c r="D1172" s="6" t="s">
        <v>278</v>
      </c>
      <c r="E1172" s="6" t="s">
        <v>97</v>
      </c>
      <c r="F1172" s="131">
        <v>44743</v>
      </c>
      <c r="G1172" s="6" t="s">
        <v>16</v>
      </c>
      <c r="H1172" s="6" t="s">
        <v>2784</v>
      </c>
      <c r="I1172" s="6">
        <v>1</v>
      </c>
      <c r="J1172" s="8">
        <v>20000</v>
      </c>
      <c r="K1172" s="8">
        <f t="shared" si="11"/>
        <v>229.04260192395787</v>
      </c>
      <c r="L1172" s="96">
        <v>44772</v>
      </c>
      <c r="M1172" s="6" t="s">
        <v>253</v>
      </c>
      <c r="N1172" s="96">
        <v>44772</v>
      </c>
      <c r="O1172" s="22" t="s">
        <v>6172</v>
      </c>
      <c r="P1172" s="6" t="s">
        <v>2898</v>
      </c>
      <c r="Q1172" s="6" t="s">
        <v>280</v>
      </c>
      <c r="R1172" s="6" t="str">
        <f t="shared" ca="1" si="12"/>
        <v>NonCategory</v>
      </c>
    </row>
    <row r="1173" spans="1:18">
      <c r="A1173" s="162">
        <v>44774</v>
      </c>
      <c r="B1173" s="164" t="s">
        <v>2899</v>
      </c>
      <c r="C1173" s="168" t="s">
        <v>2900</v>
      </c>
      <c r="D1173" s="6" t="s">
        <v>291</v>
      </c>
      <c r="E1173" s="6" t="s">
        <v>150</v>
      </c>
      <c r="F1173" s="79">
        <v>44774</v>
      </c>
      <c r="G1173" s="6" t="s">
        <v>16</v>
      </c>
      <c r="H1173" s="6" t="s">
        <v>2826</v>
      </c>
      <c r="I1173" s="6">
        <v>1</v>
      </c>
      <c r="J1173" s="8">
        <v>21000</v>
      </c>
      <c r="K1173" s="8">
        <f t="shared" si="11"/>
        <v>240.49473202015577</v>
      </c>
      <c r="L1173" s="97">
        <v>44774</v>
      </c>
      <c r="M1173" s="6" t="s">
        <v>251</v>
      </c>
      <c r="N1173" s="97">
        <v>44774</v>
      </c>
      <c r="O1173" s="22" t="s">
        <v>6173</v>
      </c>
      <c r="Q1173" s="6" t="s">
        <v>280</v>
      </c>
      <c r="R1173" s="6" t="str">
        <f t="shared" ca="1" si="12"/>
        <v>NonCategory</v>
      </c>
    </row>
    <row r="1174" spans="1:18">
      <c r="A1174" s="162">
        <v>44774</v>
      </c>
      <c r="B1174" s="164" t="s">
        <v>2901</v>
      </c>
      <c r="C1174" s="168" t="s">
        <v>2902</v>
      </c>
      <c r="D1174" s="6" t="s">
        <v>319</v>
      </c>
      <c r="E1174" s="6" t="s">
        <v>6</v>
      </c>
      <c r="F1174" s="79">
        <v>44774</v>
      </c>
      <c r="G1174" s="6" t="s">
        <v>16</v>
      </c>
      <c r="H1174" s="6" t="s">
        <v>2826</v>
      </c>
      <c r="I1174" s="6">
        <v>1</v>
      </c>
      <c r="J1174" s="8">
        <v>42000</v>
      </c>
      <c r="K1174" s="8">
        <f t="shared" si="11"/>
        <v>480.98946404031153</v>
      </c>
      <c r="L1174" s="97">
        <v>44774</v>
      </c>
      <c r="M1174" s="6" t="s">
        <v>251</v>
      </c>
      <c r="N1174" s="97">
        <v>44774</v>
      </c>
      <c r="O1174" s="22" t="s">
        <v>6174</v>
      </c>
      <c r="Q1174" s="6" t="s">
        <v>280</v>
      </c>
      <c r="R1174" s="6" t="str">
        <f t="shared" ca="1" si="12"/>
        <v>NonCategory</v>
      </c>
    </row>
    <row r="1175" spans="1:18">
      <c r="A1175" s="162">
        <v>44775</v>
      </c>
      <c r="B1175" s="164" t="s">
        <v>2903</v>
      </c>
      <c r="C1175" s="168" t="s">
        <v>2904</v>
      </c>
      <c r="D1175" s="6" t="s">
        <v>470</v>
      </c>
      <c r="E1175" s="6" t="s">
        <v>25</v>
      </c>
      <c r="F1175" s="79">
        <v>44774</v>
      </c>
      <c r="G1175" s="6" t="s">
        <v>16</v>
      </c>
      <c r="H1175" s="6" t="s">
        <v>2826</v>
      </c>
      <c r="I1175" s="6">
        <v>1</v>
      </c>
      <c r="J1175" s="8">
        <v>40000</v>
      </c>
      <c r="K1175" s="8">
        <f t="shared" si="11"/>
        <v>458.08520384791575</v>
      </c>
      <c r="L1175" s="97">
        <v>44775</v>
      </c>
      <c r="M1175" s="6" t="s">
        <v>251</v>
      </c>
      <c r="N1175" s="97">
        <v>44775</v>
      </c>
      <c r="O1175" s="22" t="s">
        <v>6175</v>
      </c>
      <c r="Q1175" s="6" t="s">
        <v>356</v>
      </c>
      <c r="R1175" s="6" t="str">
        <f t="shared" ca="1" si="12"/>
        <v>NonCategory</v>
      </c>
    </row>
    <row r="1176" spans="1:18">
      <c r="A1176" s="162">
        <v>44776</v>
      </c>
      <c r="B1176" s="164" t="s">
        <v>2905</v>
      </c>
      <c r="C1176" s="168" t="s">
        <v>2906</v>
      </c>
      <c r="D1176" s="6" t="s">
        <v>303</v>
      </c>
      <c r="E1176" s="6" t="s">
        <v>72</v>
      </c>
      <c r="F1176" s="79">
        <v>44774</v>
      </c>
      <c r="G1176" s="6" t="s">
        <v>16</v>
      </c>
      <c r="H1176" s="6" t="s">
        <v>2907</v>
      </c>
      <c r="I1176" s="6">
        <v>1</v>
      </c>
      <c r="J1176" s="8">
        <v>57230</v>
      </c>
      <c r="K1176" s="8">
        <f t="shared" si="11"/>
        <v>655.40540540540542</v>
      </c>
      <c r="L1176" s="97">
        <v>44776</v>
      </c>
      <c r="M1176" s="6" t="s">
        <v>251</v>
      </c>
      <c r="N1176" s="97">
        <v>44777</v>
      </c>
      <c r="O1176" s="22" t="s">
        <v>6176</v>
      </c>
      <c r="Q1176" s="6" t="s">
        <v>356</v>
      </c>
      <c r="R1176" s="6" t="str">
        <f t="shared" ca="1" si="12"/>
        <v>NonCategory</v>
      </c>
    </row>
    <row r="1177" spans="1:18">
      <c r="A1177" s="162">
        <v>44776</v>
      </c>
      <c r="B1177" s="164" t="s">
        <v>2905</v>
      </c>
      <c r="C1177" s="168" t="s">
        <v>2906</v>
      </c>
      <c r="D1177" s="6" t="s">
        <v>303</v>
      </c>
      <c r="E1177" s="6" t="s">
        <v>72</v>
      </c>
      <c r="F1177" s="79">
        <v>44774</v>
      </c>
      <c r="G1177" s="6" t="s">
        <v>16</v>
      </c>
      <c r="H1177" s="6" t="s">
        <v>2907</v>
      </c>
      <c r="I1177" s="6">
        <v>1</v>
      </c>
      <c r="J1177" s="8">
        <v>67770</v>
      </c>
      <c r="K1177" s="8">
        <f t="shared" si="11"/>
        <v>776.11085661933123</v>
      </c>
      <c r="L1177" s="97">
        <v>44776</v>
      </c>
      <c r="M1177" s="6" t="s">
        <v>251</v>
      </c>
      <c r="N1177" s="97">
        <v>44777</v>
      </c>
      <c r="O1177" s="22" t="s">
        <v>6177</v>
      </c>
      <c r="Q1177" s="6" t="s">
        <v>356</v>
      </c>
      <c r="R1177" s="6" t="str">
        <f t="shared" ca="1" si="12"/>
        <v>NonCategory</v>
      </c>
    </row>
    <row r="1178" spans="1:18">
      <c r="A1178" s="162">
        <v>44776</v>
      </c>
      <c r="B1178" s="164" t="s">
        <v>2908</v>
      </c>
      <c r="C1178" s="168" t="s">
        <v>2909</v>
      </c>
      <c r="D1178" s="6" t="s">
        <v>319</v>
      </c>
      <c r="E1178" s="6" t="s">
        <v>150</v>
      </c>
      <c r="F1178" s="79">
        <v>44774</v>
      </c>
      <c r="G1178" s="6" t="s">
        <v>13</v>
      </c>
      <c r="H1178" s="6" t="s">
        <v>2826</v>
      </c>
      <c r="I1178" s="6">
        <v>1</v>
      </c>
      <c r="J1178" s="8">
        <v>21000</v>
      </c>
      <c r="K1178" s="8">
        <f t="shared" si="11"/>
        <v>240.49473202015577</v>
      </c>
      <c r="L1178" s="97">
        <v>44776</v>
      </c>
      <c r="R1178" s="6" t="str">
        <f t="shared" ca="1" si="12"/>
        <v>NonCategory</v>
      </c>
    </row>
    <row r="1179" spans="1:18">
      <c r="A1179" s="162">
        <v>44776</v>
      </c>
      <c r="B1179" s="164" t="s">
        <v>2910</v>
      </c>
      <c r="C1179" s="168" t="s">
        <v>2911</v>
      </c>
      <c r="D1179" s="6" t="s">
        <v>470</v>
      </c>
      <c r="E1179" s="6" t="s">
        <v>25</v>
      </c>
      <c r="F1179" s="79">
        <v>44774</v>
      </c>
      <c r="G1179" s="6" t="s">
        <v>16</v>
      </c>
      <c r="H1179" s="6" t="s">
        <v>2784</v>
      </c>
      <c r="I1179" s="6">
        <v>1</v>
      </c>
      <c r="J1179" s="8">
        <v>40000</v>
      </c>
      <c r="K1179" s="8">
        <f t="shared" si="11"/>
        <v>458.08520384791575</v>
      </c>
      <c r="L1179" s="97">
        <v>44776</v>
      </c>
      <c r="M1179" s="6" t="s">
        <v>251</v>
      </c>
      <c r="N1179" s="97">
        <v>44776</v>
      </c>
      <c r="O1179" s="22" t="s">
        <v>6178</v>
      </c>
      <c r="Q1179" s="6" t="s">
        <v>280</v>
      </c>
      <c r="R1179" s="6" t="str">
        <f t="shared" ca="1" si="12"/>
        <v>NonCategory</v>
      </c>
    </row>
    <row r="1180" spans="1:18">
      <c r="A1180" s="162">
        <v>44777</v>
      </c>
      <c r="B1180" s="164" t="s">
        <v>1245</v>
      </c>
      <c r="C1180" s="168" t="s">
        <v>2912</v>
      </c>
      <c r="D1180" s="6" t="s">
        <v>303</v>
      </c>
      <c r="E1180" s="6" t="s">
        <v>96</v>
      </c>
      <c r="F1180" s="79">
        <v>44774</v>
      </c>
      <c r="G1180" s="6" t="s">
        <v>16</v>
      </c>
      <c r="H1180" s="6" t="s">
        <v>2913</v>
      </c>
      <c r="I1180" s="6">
        <v>1</v>
      </c>
      <c r="J1180" s="8">
        <v>20000</v>
      </c>
      <c r="K1180" s="8">
        <f t="shared" si="11"/>
        <v>229.04260192395787</v>
      </c>
      <c r="L1180" s="97">
        <v>44777</v>
      </c>
      <c r="M1180" s="6" t="s">
        <v>251</v>
      </c>
      <c r="N1180" s="97">
        <v>44777</v>
      </c>
      <c r="O1180" s="22" t="s">
        <v>6179</v>
      </c>
      <c r="Q1180" s="6" t="s">
        <v>356</v>
      </c>
      <c r="R1180" s="6" t="str">
        <f t="shared" ca="1" si="12"/>
        <v>NonCategory</v>
      </c>
    </row>
    <row r="1181" spans="1:18">
      <c r="A1181" s="162">
        <v>44777</v>
      </c>
      <c r="B1181" s="165" t="s">
        <v>2914</v>
      </c>
      <c r="C1181" s="168" t="s">
        <v>2915</v>
      </c>
      <c r="D1181" s="2" t="s">
        <v>287</v>
      </c>
      <c r="E1181" s="2" t="s">
        <v>96</v>
      </c>
      <c r="F1181" s="79">
        <v>44774</v>
      </c>
      <c r="G1181" s="6" t="s">
        <v>16</v>
      </c>
      <c r="H1181" s="6" t="s">
        <v>2916</v>
      </c>
      <c r="I1181" s="6">
        <v>1</v>
      </c>
      <c r="J1181" s="8">
        <v>21000</v>
      </c>
      <c r="K1181" s="8">
        <f t="shared" si="11"/>
        <v>240.49473202015577</v>
      </c>
      <c r="L1181" s="97">
        <v>44777</v>
      </c>
      <c r="M1181" s="6" t="s">
        <v>251</v>
      </c>
      <c r="N1181" s="97">
        <v>44777</v>
      </c>
      <c r="O1181" s="22" t="s">
        <v>6180</v>
      </c>
      <c r="Q1181" s="6" t="s">
        <v>280</v>
      </c>
      <c r="R1181" s="6" t="str">
        <f t="shared" ca="1" si="12"/>
        <v>NonCategory</v>
      </c>
    </row>
    <row r="1182" spans="1:18">
      <c r="A1182" s="162">
        <v>44778</v>
      </c>
      <c r="B1182" s="164" t="s">
        <v>2917</v>
      </c>
      <c r="C1182" s="168" t="s">
        <v>2918</v>
      </c>
      <c r="D1182" s="6" t="s">
        <v>303</v>
      </c>
      <c r="E1182" s="6" t="s">
        <v>6</v>
      </c>
      <c r="F1182" s="79">
        <v>44774</v>
      </c>
      <c r="G1182" s="6" t="s">
        <v>16</v>
      </c>
      <c r="H1182" s="6" t="s">
        <v>2826</v>
      </c>
      <c r="I1182" s="6">
        <v>1</v>
      </c>
      <c r="J1182" s="8">
        <v>40061</v>
      </c>
      <c r="K1182" s="8">
        <f t="shared" si="11"/>
        <v>458.7837837837838</v>
      </c>
      <c r="L1182" s="97">
        <v>44778</v>
      </c>
      <c r="M1182" s="6" t="s">
        <v>251</v>
      </c>
      <c r="N1182" s="97">
        <v>44778</v>
      </c>
      <c r="O1182" s="22" t="s">
        <v>6181</v>
      </c>
      <c r="Q1182" s="6" t="s">
        <v>356</v>
      </c>
      <c r="R1182" s="6" t="str">
        <f t="shared" ca="1" si="12"/>
        <v>NonCategory</v>
      </c>
    </row>
    <row r="1183" spans="1:18">
      <c r="A1183" s="162">
        <v>44778</v>
      </c>
      <c r="B1183" s="164" t="s">
        <v>2919</v>
      </c>
      <c r="C1183" s="168" t="s">
        <v>2920</v>
      </c>
      <c r="D1183" s="6" t="s">
        <v>278</v>
      </c>
      <c r="E1183" s="6" t="s">
        <v>96</v>
      </c>
      <c r="F1183" s="79">
        <v>44774</v>
      </c>
      <c r="G1183" s="6" t="s">
        <v>13</v>
      </c>
      <c r="H1183" s="6" t="s">
        <v>2784</v>
      </c>
      <c r="I1183" s="6">
        <v>1</v>
      </c>
      <c r="J1183" s="8">
        <v>21000</v>
      </c>
      <c r="K1183" s="8">
        <f t="shared" si="11"/>
        <v>240.49473202015577</v>
      </c>
      <c r="L1183" s="97">
        <v>44778</v>
      </c>
      <c r="R1183" s="6" t="str">
        <f t="shared" ca="1" si="12"/>
        <v>NonCategory</v>
      </c>
    </row>
    <row r="1184" spans="1:18">
      <c r="A1184" s="162">
        <v>44781</v>
      </c>
      <c r="B1184" s="164" t="s">
        <v>2921</v>
      </c>
      <c r="C1184" s="168" t="s">
        <v>2922</v>
      </c>
      <c r="D1184" s="6" t="s">
        <v>278</v>
      </c>
      <c r="E1184" s="6" t="s">
        <v>1524</v>
      </c>
      <c r="F1184" s="79">
        <v>44774</v>
      </c>
      <c r="G1184" s="6" t="s">
        <v>16</v>
      </c>
      <c r="H1184" s="6" t="s">
        <v>2923</v>
      </c>
      <c r="I1184" s="6">
        <v>1</v>
      </c>
      <c r="J1184" s="8">
        <v>24000</v>
      </c>
      <c r="K1184" s="8">
        <f t="shared" si="11"/>
        <v>274.85112230874944</v>
      </c>
      <c r="L1184" s="97">
        <v>44781</v>
      </c>
      <c r="M1184" s="6" t="s">
        <v>252</v>
      </c>
      <c r="N1184" s="97">
        <v>44791</v>
      </c>
      <c r="O1184" s="22" t="s">
        <v>6182</v>
      </c>
      <c r="P1184" s="6" t="s">
        <v>2924</v>
      </c>
      <c r="Q1184" s="6" t="s">
        <v>280</v>
      </c>
      <c r="R1184" s="6" t="str">
        <f t="shared" ca="1" si="12"/>
        <v>NonCategory</v>
      </c>
    </row>
    <row r="1185" spans="1:18">
      <c r="A1185" s="162">
        <v>44781</v>
      </c>
      <c r="B1185" s="164" t="s">
        <v>2925</v>
      </c>
      <c r="C1185" s="168" t="s">
        <v>2926</v>
      </c>
      <c r="D1185" s="6" t="s">
        <v>306</v>
      </c>
      <c r="E1185" s="6" t="s">
        <v>151</v>
      </c>
      <c r="F1185" s="79">
        <v>44774</v>
      </c>
      <c r="G1185" s="6" t="s">
        <v>16</v>
      </c>
      <c r="H1185" s="6" t="s">
        <v>2882</v>
      </c>
      <c r="I1185" s="6">
        <v>1</v>
      </c>
      <c r="J1185" s="8">
        <v>21000</v>
      </c>
      <c r="K1185" s="8">
        <f t="shared" si="11"/>
        <v>240.49473202015577</v>
      </c>
      <c r="L1185" s="97">
        <v>44781</v>
      </c>
      <c r="M1185" s="6" t="s">
        <v>251</v>
      </c>
      <c r="N1185" s="97">
        <v>44782</v>
      </c>
      <c r="O1185" s="22" t="s">
        <v>6183</v>
      </c>
      <c r="Q1185" s="6" t="s">
        <v>280</v>
      </c>
      <c r="R1185" s="6" t="str">
        <f t="shared" ca="1" si="12"/>
        <v>NonCategory</v>
      </c>
    </row>
    <row r="1186" spans="1:18">
      <c r="A1186" s="162">
        <v>44781</v>
      </c>
      <c r="B1186" s="164" t="s">
        <v>2927</v>
      </c>
      <c r="C1186" s="168" t="s">
        <v>2928</v>
      </c>
      <c r="D1186" s="6" t="s">
        <v>287</v>
      </c>
      <c r="E1186" s="6" t="s">
        <v>1524</v>
      </c>
      <c r="F1186" s="79">
        <v>44774</v>
      </c>
      <c r="G1186" s="6" t="s">
        <v>16</v>
      </c>
      <c r="H1186" s="6" t="s">
        <v>2929</v>
      </c>
      <c r="I1186" s="6">
        <v>1</v>
      </c>
      <c r="J1186" s="8">
        <v>24000</v>
      </c>
      <c r="K1186" s="8">
        <f t="shared" si="11"/>
        <v>274.85112230874944</v>
      </c>
      <c r="L1186" s="97">
        <v>44781</v>
      </c>
      <c r="M1186" s="6" t="s">
        <v>251</v>
      </c>
      <c r="N1186" s="97">
        <v>44782</v>
      </c>
      <c r="O1186" s="22" t="s">
        <v>6184</v>
      </c>
      <c r="Q1186" s="6" t="s">
        <v>356</v>
      </c>
      <c r="R1186" s="6" t="str">
        <f t="shared" ca="1" si="12"/>
        <v>NonCategory</v>
      </c>
    </row>
    <row r="1187" spans="1:18">
      <c r="A1187" s="162">
        <v>44781</v>
      </c>
      <c r="B1187" s="164" t="s">
        <v>2930</v>
      </c>
      <c r="C1187" s="168" t="s">
        <v>2931</v>
      </c>
      <c r="D1187" s="6" t="s">
        <v>470</v>
      </c>
      <c r="E1187" s="6" t="s">
        <v>1524</v>
      </c>
      <c r="F1187" s="79">
        <v>44774</v>
      </c>
      <c r="G1187" s="6" t="s">
        <v>13</v>
      </c>
      <c r="H1187" s="6" t="s">
        <v>2923</v>
      </c>
      <c r="I1187" s="6">
        <v>1</v>
      </c>
      <c r="J1187" s="8">
        <v>24000</v>
      </c>
      <c r="K1187" s="8">
        <f t="shared" si="11"/>
        <v>274.85112230874944</v>
      </c>
      <c r="L1187" s="97">
        <v>44781</v>
      </c>
      <c r="R1187" s="6" t="str">
        <f t="shared" ca="1" si="12"/>
        <v>NonCategory</v>
      </c>
    </row>
    <row r="1188" spans="1:18">
      <c r="A1188" s="162">
        <v>44781</v>
      </c>
      <c r="B1188" s="164" t="s">
        <v>2932</v>
      </c>
      <c r="C1188" s="168" t="s">
        <v>2933</v>
      </c>
      <c r="D1188" s="6" t="s">
        <v>319</v>
      </c>
      <c r="E1188" s="6" t="s">
        <v>25</v>
      </c>
      <c r="F1188" s="79">
        <v>44774</v>
      </c>
      <c r="G1188" s="6" t="s">
        <v>16</v>
      </c>
      <c r="H1188" s="6" t="s">
        <v>2784</v>
      </c>
      <c r="I1188" s="6">
        <v>1</v>
      </c>
      <c r="J1188" s="8">
        <v>42000</v>
      </c>
      <c r="K1188" s="8">
        <f t="shared" si="11"/>
        <v>480.98946404031153</v>
      </c>
      <c r="L1188" s="97">
        <v>44781</v>
      </c>
      <c r="M1188" s="6" t="s">
        <v>251</v>
      </c>
      <c r="N1188" s="97">
        <v>44781</v>
      </c>
      <c r="O1188" s="22" t="s">
        <v>6185</v>
      </c>
      <c r="Q1188" s="6" t="s">
        <v>280</v>
      </c>
      <c r="R1188" s="6" t="str">
        <f t="shared" ca="1" si="12"/>
        <v>NonCategory</v>
      </c>
    </row>
    <row r="1189" spans="1:18">
      <c r="A1189" s="162">
        <v>44782</v>
      </c>
      <c r="B1189" s="164" t="s">
        <v>2934</v>
      </c>
      <c r="C1189" s="168" t="s">
        <v>2935</v>
      </c>
      <c r="D1189" s="6" t="s">
        <v>278</v>
      </c>
      <c r="E1189" s="6" t="s">
        <v>150</v>
      </c>
      <c r="F1189" s="79">
        <v>44774</v>
      </c>
      <c r="G1189" s="6" t="s">
        <v>16</v>
      </c>
      <c r="H1189" s="6" t="s">
        <v>2784</v>
      </c>
      <c r="I1189" s="6">
        <v>1</v>
      </c>
      <c r="J1189" s="8">
        <v>21000</v>
      </c>
      <c r="K1189" s="8">
        <f t="shared" si="11"/>
        <v>240.49473202015577</v>
      </c>
      <c r="L1189" s="97">
        <v>44782</v>
      </c>
      <c r="M1189" s="6" t="s">
        <v>251</v>
      </c>
      <c r="N1189" s="97">
        <v>44782</v>
      </c>
      <c r="O1189" s="22" t="s">
        <v>6186</v>
      </c>
      <c r="P1189" s="6" t="s">
        <v>2936</v>
      </c>
      <c r="Q1189" s="6" t="s">
        <v>280</v>
      </c>
      <c r="R1189" s="6" t="str">
        <f t="shared" ca="1" si="12"/>
        <v>NonCategory</v>
      </c>
    </row>
    <row r="1190" spans="1:18">
      <c r="A1190" s="162">
        <v>44782</v>
      </c>
      <c r="B1190" s="164" t="s">
        <v>2937</v>
      </c>
      <c r="C1190" s="168" t="s">
        <v>2938</v>
      </c>
      <c r="D1190" s="6" t="s">
        <v>278</v>
      </c>
      <c r="E1190" s="6" t="s">
        <v>25</v>
      </c>
      <c r="F1190" s="79">
        <v>44774</v>
      </c>
      <c r="G1190" s="6" t="s">
        <v>16</v>
      </c>
      <c r="H1190" s="6" t="s">
        <v>2784</v>
      </c>
      <c r="I1190" s="6">
        <v>1</v>
      </c>
      <c r="J1190" s="8">
        <v>40061</v>
      </c>
      <c r="K1190" s="8">
        <f t="shared" si="11"/>
        <v>458.7837837837838</v>
      </c>
      <c r="L1190" s="97">
        <v>44782</v>
      </c>
      <c r="M1190" s="6" t="s">
        <v>251</v>
      </c>
      <c r="N1190" s="97">
        <v>44782</v>
      </c>
      <c r="O1190" s="22" t="s">
        <v>6187</v>
      </c>
      <c r="P1190" s="6" t="s">
        <v>2679</v>
      </c>
      <c r="Q1190" s="6" t="s">
        <v>280</v>
      </c>
      <c r="R1190" s="6" t="str">
        <f t="shared" ca="1" si="12"/>
        <v>NonCategory</v>
      </c>
    </row>
    <row r="1191" spans="1:18">
      <c r="A1191" s="162">
        <v>44782</v>
      </c>
      <c r="B1191" s="164" t="s">
        <v>2939</v>
      </c>
      <c r="C1191" s="168" t="s">
        <v>2940</v>
      </c>
      <c r="D1191" s="6" t="s">
        <v>303</v>
      </c>
      <c r="E1191" s="6" t="s">
        <v>25</v>
      </c>
      <c r="F1191" s="79">
        <v>44774</v>
      </c>
      <c r="G1191" s="6" t="s">
        <v>16</v>
      </c>
      <c r="H1191" s="6" t="s">
        <v>2882</v>
      </c>
      <c r="I1191" s="6">
        <v>1</v>
      </c>
      <c r="J1191" s="8">
        <v>42000</v>
      </c>
      <c r="K1191" s="8">
        <f t="shared" si="11"/>
        <v>480.98946404031153</v>
      </c>
      <c r="L1191" s="97">
        <v>44782</v>
      </c>
      <c r="M1191" s="6" t="s">
        <v>251</v>
      </c>
      <c r="N1191" s="97">
        <v>44782</v>
      </c>
      <c r="O1191" s="22" t="s">
        <v>6188</v>
      </c>
      <c r="Q1191" s="6" t="s">
        <v>280</v>
      </c>
      <c r="R1191" s="6" t="str">
        <f t="shared" ca="1" si="12"/>
        <v>NonCategory</v>
      </c>
    </row>
    <row r="1192" spans="1:18">
      <c r="A1192" s="162">
        <v>44783</v>
      </c>
      <c r="B1192" s="164" t="s">
        <v>2941</v>
      </c>
      <c r="C1192" s="168" t="s">
        <v>2942</v>
      </c>
      <c r="D1192" s="6" t="s">
        <v>278</v>
      </c>
      <c r="E1192" s="6" t="s">
        <v>96</v>
      </c>
      <c r="F1192" s="79">
        <v>44774</v>
      </c>
      <c r="G1192" s="6" t="s">
        <v>16</v>
      </c>
      <c r="H1192" s="6" t="s">
        <v>2882</v>
      </c>
      <c r="I1192" s="6">
        <v>1</v>
      </c>
      <c r="J1192" s="8">
        <v>20000</v>
      </c>
      <c r="K1192" s="8">
        <f t="shared" si="11"/>
        <v>229.04260192395787</v>
      </c>
      <c r="L1192" s="97">
        <v>44783</v>
      </c>
      <c r="M1192" s="6" t="s">
        <v>251</v>
      </c>
      <c r="N1192" s="97">
        <v>44783</v>
      </c>
      <c r="O1192" s="22" t="s">
        <v>6189</v>
      </c>
      <c r="P1192" s="6" t="s">
        <v>1019</v>
      </c>
      <c r="Q1192" s="6" t="s">
        <v>280</v>
      </c>
      <c r="R1192" s="6" t="str">
        <f t="shared" ca="1" si="12"/>
        <v>NonCategory</v>
      </c>
    </row>
    <row r="1193" spans="1:18">
      <c r="A1193" s="162">
        <v>44784</v>
      </c>
      <c r="B1193" s="164" t="s">
        <v>2943</v>
      </c>
      <c r="C1193" s="168" t="s">
        <v>2944</v>
      </c>
      <c r="D1193" s="6" t="s">
        <v>278</v>
      </c>
      <c r="E1193" s="6" t="s">
        <v>150</v>
      </c>
      <c r="F1193" s="79">
        <v>44774</v>
      </c>
      <c r="G1193" s="6" t="s">
        <v>16</v>
      </c>
      <c r="H1193" s="6" t="s">
        <v>2784</v>
      </c>
      <c r="I1193" s="6">
        <v>1</v>
      </c>
      <c r="J1193" s="8">
        <v>21000</v>
      </c>
      <c r="K1193" s="8">
        <f t="shared" si="11"/>
        <v>240.49473202015577</v>
      </c>
      <c r="L1193" s="97">
        <v>44784</v>
      </c>
      <c r="M1193" s="6" t="s">
        <v>252</v>
      </c>
      <c r="N1193" s="97">
        <v>44784</v>
      </c>
      <c r="O1193" s="22" t="s">
        <v>6190</v>
      </c>
      <c r="P1193" s="6" t="s">
        <v>2945</v>
      </c>
      <c r="Q1193" s="6" t="s">
        <v>280</v>
      </c>
      <c r="R1193" s="6" t="str">
        <f t="shared" ca="1" si="12"/>
        <v>NonCategory</v>
      </c>
    </row>
    <row r="1194" spans="1:18">
      <c r="A1194" s="162">
        <v>44784</v>
      </c>
      <c r="B1194" s="164" t="s">
        <v>2946</v>
      </c>
      <c r="C1194" s="168" t="s">
        <v>2947</v>
      </c>
      <c r="D1194" s="6" t="s">
        <v>303</v>
      </c>
      <c r="E1194" s="6" t="s">
        <v>25</v>
      </c>
      <c r="F1194" s="79">
        <v>44774</v>
      </c>
      <c r="G1194" s="6" t="s">
        <v>16</v>
      </c>
      <c r="H1194" s="6" t="s">
        <v>2784</v>
      </c>
      <c r="I1194" s="6">
        <v>1</v>
      </c>
      <c r="J1194" s="8">
        <v>42000</v>
      </c>
      <c r="K1194" s="8">
        <f t="shared" si="11"/>
        <v>480.98946404031153</v>
      </c>
      <c r="L1194" s="97">
        <v>44784</v>
      </c>
      <c r="M1194" s="6" t="s">
        <v>252</v>
      </c>
      <c r="N1194" s="97">
        <v>44784</v>
      </c>
      <c r="O1194" s="22" t="s">
        <v>6191</v>
      </c>
      <c r="Q1194" s="6" t="s">
        <v>280</v>
      </c>
      <c r="R1194" s="6" t="str">
        <f t="shared" ca="1" si="12"/>
        <v>NonCategory</v>
      </c>
    </row>
    <row r="1195" spans="1:18">
      <c r="A1195" s="162">
        <v>44786</v>
      </c>
      <c r="B1195" s="164" t="s">
        <v>2948</v>
      </c>
      <c r="C1195" s="168" t="s">
        <v>2949</v>
      </c>
      <c r="D1195" s="6" t="s">
        <v>319</v>
      </c>
      <c r="E1195" s="6" t="s">
        <v>151</v>
      </c>
      <c r="F1195" s="79">
        <v>44774</v>
      </c>
      <c r="G1195" s="6" t="s">
        <v>13</v>
      </c>
      <c r="H1195" s="6" t="s">
        <v>2882</v>
      </c>
      <c r="I1195" s="6">
        <v>1</v>
      </c>
      <c r="J1195" s="8">
        <v>21000</v>
      </c>
      <c r="K1195" s="8">
        <f t="shared" si="11"/>
        <v>240.49473202015577</v>
      </c>
      <c r="L1195" s="97">
        <v>44786</v>
      </c>
      <c r="R1195" s="6" t="str">
        <f t="shared" ca="1" si="12"/>
        <v>NonCategory</v>
      </c>
    </row>
    <row r="1196" spans="1:18">
      <c r="A1196" s="162">
        <v>44789</v>
      </c>
      <c r="B1196" s="164" t="s">
        <v>2950</v>
      </c>
      <c r="C1196" s="168" t="s">
        <v>2951</v>
      </c>
      <c r="D1196" s="6" t="s">
        <v>287</v>
      </c>
      <c r="E1196" s="6" t="s">
        <v>1524</v>
      </c>
      <c r="F1196" s="79">
        <v>44774</v>
      </c>
      <c r="G1196" s="6" t="s">
        <v>16</v>
      </c>
      <c r="H1196" s="6" t="s">
        <v>2882</v>
      </c>
      <c r="I1196" s="6">
        <v>1</v>
      </c>
      <c r="J1196" s="8">
        <v>24000</v>
      </c>
      <c r="K1196" s="8">
        <f t="shared" si="11"/>
        <v>274.85112230874944</v>
      </c>
      <c r="L1196" s="97">
        <v>44789</v>
      </c>
      <c r="M1196" s="6" t="s">
        <v>252</v>
      </c>
      <c r="N1196" s="97">
        <v>44789</v>
      </c>
      <c r="O1196" s="22" t="s">
        <v>6192</v>
      </c>
      <c r="Q1196" s="6" t="s">
        <v>280</v>
      </c>
      <c r="R1196" s="6" t="str">
        <f t="shared" ca="1" si="12"/>
        <v>NonCategory</v>
      </c>
    </row>
    <row r="1197" spans="1:18">
      <c r="A1197" s="162">
        <v>44789</v>
      </c>
      <c r="B1197" s="164" t="s">
        <v>2153</v>
      </c>
      <c r="C1197" s="168" t="s">
        <v>2952</v>
      </c>
      <c r="D1197" s="6" t="s">
        <v>278</v>
      </c>
      <c r="E1197" s="6" t="s">
        <v>150</v>
      </c>
      <c r="F1197" s="79">
        <v>44774</v>
      </c>
      <c r="G1197" s="6" t="s">
        <v>16</v>
      </c>
      <c r="H1197" s="6" t="s">
        <v>2916</v>
      </c>
      <c r="I1197" s="6">
        <v>1</v>
      </c>
      <c r="J1197" s="8">
        <v>21000</v>
      </c>
      <c r="K1197" s="8">
        <f t="shared" si="11"/>
        <v>240.49473202015577</v>
      </c>
      <c r="L1197" s="97">
        <v>44789</v>
      </c>
      <c r="M1197" s="6" t="s">
        <v>252</v>
      </c>
      <c r="N1197" s="97">
        <v>44789</v>
      </c>
      <c r="O1197" s="22" t="s">
        <v>6193</v>
      </c>
      <c r="Q1197" s="6" t="s">
        <v>356</v>
      </c>
      <c r="R1197" s="6" t="str">
        <f t="shared" ca="1" si="12"/>
        <v>NonCategory</v>
      </c>
    </row>
    <row r="1198" spans="1:18">
      <c r="A1198" s="162">
        <v>44789</v>
      </c>
      <c r="B1198" s="164" t="s">
        <v>2953</v>
      </c>
      <c r="C1198" s="168" t="s">
        <v>2954</v>
      </c>
      <c r="D1198" s="6" t="s">
        <v>1291</v>
      </c>
      <c r="E1198" s="6" t="s">
        <v>96</v>
      </c>
      <c r="F1198" s="79">
        <v>44774</v>
      </c>
      <c r="G1198" s="6" t="s">
        <v>16</v>
      </c>
      <c r="H1198" s="6" t="s">
        <v>2955</v>
      </c>
      <c r="I1198" s="6">
        <v>1</v>
      </c>
      <c r="J1198" s="8">
        <v>20000</v>
      </c>
      <c r="K1198" s="8">
        <f t="shared" si="11"/>
        <v>229.04260192395787</v>
      </c>
      <c r="L1198" s="97">
        <v>44789</v>
      </c>
      <c r="M1198" s="6" t="s">
        <v>252</v>
      </c>
      <c r="N1198" s="97">
        <v>44789</v>
      </c>
      <c r="O1198" s="22" t="s">
        <v>6194</v>
      </c>
      <c r="Q1198" s="6" t="s">
        <v>356</v>
      </c>
      <c r="R1198" s="6" t="str">
        <f t="shared" ca="1" si="12"/>
        <v>NonCategory</v>
      </c>
    </row>
    <row r="1199" spans="1:18">
      <c r="A1199" s="162">
        <v>44790</v>
      </c>
      <c r="B1199" s="164" t="s">
        <v>2956</v>
      </c>
      <c r="C1199" s="168" t="s">
        <v>2957</v>
      </c>
      <c r="D1199" s="6" t="s">
        <v>303</v>
      </c>
      <c r="E1199" s="6" t="s">
        <v>6</v>
      </c>
      <c r="F1199" s="79">
        <v>44774</v>
      </c>
      <c r="G1199" s="6" t="s">
        <v>16</v>
      </c>
      <c r="H1199" s="6" t="s">
        <v>2955</v>
      </c>
      <c r="I1199" s="6">
        <v>1</v>
      </c>
      <c r="J1199" s="8">
        <v>42000</v>
      </c>
      <c r="K1199" s="8">
        <f t="shared" si="11"/>
        <v>480.98946404031153</v>
      </c>
      <c r="L1199" s="97">
        <v>44790</v>
      </c>
      <c r="M1199" s="6" t="s">
        <v>252</v>
      </c>
      <c r="N1199" s="97">
        <v>44790</v>
      </c>
      <c r="O1199" s="22" t="s">
        <v>6195</v>
      </c>
      <c r="Q1199" s="6" t="s">
        <v>280</v>
      </c>
      <c r="R1199" s="6" t="str">
        <f t="shared" ca="1" si="12"/>
        <v>NonCategory</v>
      </c>
    </row>
    <row r="1200" spans="1:18">
      <c r="A1200" s="162">
        <v>44791</v>
      </c>
      <c r="B1200" s="164" t="s">
        <v>2576</v>
      </c>
      <c r="C1200" s="168" t="s">
        <v>2577</v>
      </c>
      <c r="D1200" s="6" t="s">
        <v>470</v>
      </c>
      <c r="E1200" s="6" t="s">
        <v>25</v>
      </c>
      <c r="F1200" s="79">
        <v>44774</v>
      </c>
      <c r="G1200" s="6" t="s">
        <v>16</v>
      </c>
      <c r="H1200" s="6" t="s">
        <v>2958</v>
      </c>
      <c r="I1200" s="6">
        <v>1</v>
      </c>
      <c r="J1200" s="8">
        <v>42000</v>
      </c>
      <c r="K1200" s="8">
        <f t="shared" si="11"/>
        <v>480.98946404031153</v>
      </c>
      <c r="L1200" s="97">
        <v>44797</v>
      </c>
      <c r="M1200" s="6" t="s">
        <v>253</v>
      </c>
      <c r="N1200" s="97">
        <v>44798</v>
      </c>
      <c r="O1200" s="22" t="s">
        <v>6196</v>
      </c>
      <c r="Q1200" s="6" t="s">
        <v>280</v>
      </c>
      <c r="R1200" s="6" t="str">
        <f t="shared" ca="1" si="12"/>
        <v>NonCategory</v>
      </c>
    </row>
    <row r="1201" spans="1:18">
      <c r="A1201" s="162">
        <v>44792</v>
      </c>
      <c r="B1201" s="164" t="s">
        <v>2959</v>
      </c>
      <c r="C1201" s="168" t="s">
        <v>2960</v>
      </c>
      <c r="D1201" s="6" t="s">
        <v>319</v>
      </c>
      <c r="E1201" s="6" t="s">
        <v>97</v>
      </c>
      <c r="F1201" s="79">
        <v>44774</v>
      </c>
      <c r="G1201" s="6" t="s">
        <v>16</v>
      </c>
      <c r="H1201" s="6" t="s">
        <v>2961</v>
      </c>
      <c r="I1201" s="6">
        <v>1</v>
      </c>
      <c r="J1201" s="8">
        <v>20000</v>
      </c>
      <c r="K1201" s="8">
        <f t="shared" si="11"/>
        <v>229.04260192395787</v>
      </c>
      <c r="L1201" s="97">
        <v>44792</v>
      </c>
      <c r="M1201" s="6" t="s">
        <v>252</v>
      </c>
      <c r="N1201" s="97">
        <v>44792</v>
      </c>
      <c r="O1201" s="22" t="s">
        <v>6197</v>
      </c>
      <c r="Q1201" s="6" t="s">
        <v>356</v>
      </c>
      <c r="R1201" s="6" t="str">
        <f t="shared" ca="1" si="12"/>
        <v>NonCategory</v>
      </c>
    </row>
    <row r="1202" spans="1:18">
      <c r="A1202" s="162">
        <v>44793</v>
      </c>
      <c r="B1202" s="164" t="s">
        <v>2962</v>
      </c>
      <c r="C1202" s="168" t="s">
        <v>2963</v>
      </c>
      <c r="D1202" s="6" t="s">
        <v>291</v>
      </c>
      <c r="E1202" s="6" t="s">
        <v>150</v>
      </c>
      <c r="F1202" s="79">
        <v>44774</v>
      </c>
      <c r="G1202" s="6" t="s">
        <v>16</v>
      </c>
      <c r="H1202" s="6" t="s">
        <v>2882</v>
      </c>
      <c r="I1202" s="6">
        <v>1</v>
      </c>
      <c r="J1202" s="8">
        <v>21000</v>
      </c>
      <c r="K1202" s="8">
        <f t="shared" si="11"/>
        <v>240.49473202015577</v>
      </c>
      <c r="L1202" s="97">
        <v>44793</v>
      </c>
      <c r="M1202" s="6" t="s">
        <v>252</v>
      </c>
      <c r="N1202" s="97">
        <v>44793</v>
      </c>
      <c r="O1202" s="22" t="s">
        <v>6198</v>
      </c>
      <c r="Q1202" s="6" t="s">
        <v>280</v>
      </c>
      <c r="R1202" s="6" t="str">
        <f t="shared" ca="1" si="12"/>
        <v>NonCategory</v>
      </c>
    </row>
    <row r="1203" spans="1:18">
      <c r="A1203" s="162">
        <v>44795</v>
      </c>
      <c r="B1203" s="164" t="s">
        <v>2964</v>
      </c>
      <c r="C1203" s="168" t="s">
        <v>2965</v>
      </c>
      <c r="D1203" s="6" t="s">
        <v>470</v>
      </c>
      <c r="E1203" s="6" t="s">
        <v>532</v>
      </c>
      <c r="F1203" s="79">
        <v>44774</v>
      </c>
      <c r="G1203" s="6" t="s">
        <v>16</v>
      </c>
      <c r="H1203" s="97">
        <v>44800</v>
      </c>
      <c r="I1203" s="6">
        <v>1</v>
      </c>
      <c r="J1203" s="8">
        <v>14000</v>
      </c>
      <c r="K1203" s="8">
        <f t="shared" si="11"/>
        <v>160.3298213467705</v>
      </c>
      <c r="L1203" s="97">
        <v>44795</v>
      </c>
      <c r="M1203" s="6" t="s">
        <v>253</v>
      </c>
      <c r="N1203" s="97">
        <v>44795</v>
      </c>
      <c r="O1203" s="22" t="s">
        <v>6199</v>
      </c>
      <c r="Q1203" s="6" t="s">
        <v>356</v>
      </c>
      <c r="R1203" s="6" t="str">
        <f t="shared" ca="1" si="12"/>
        <v>NonCategory</v>
      </c>
    </row>
    <row r="1204" spans="1:18">
      <c r="A1204" s="162">
        <v>44795</v>
      </c>
      <c r="B1204" s="164" t="s">
        <v>2966</v>
      </c>
      <c r="C1204" s="168" t="s">
        <v>2967</v>
      </c>
      <c r="D1204" s="6" t="s">
        <v>278</v>
      </c>
      <c r="E1204" s="6" t="s">
        <v>150</v>
      </c>
      <c r="F1204" s="79">
        <v>44774</v>
      </c>
      <c r="G1204" s="6" t="s">
        <v>16</v>
      </c>
      <c r="H1204" s="6" t="s">
        <v>2923</v>
      </c>
      <c r="I1204" s="6">
        <v>1</v>
      </c>
      <c r="J1204" s="8">
        <v>20500</v>
      </c>
      <c r="K1204" s="8">
        <f t="shared" si="11"/>
        <v>234.76866697205682</v>
      </c>
      <c r="L1204" s="97">
        <v>44795</v>
      </c>
      <c r="M1204" s="6" t="s">
        <v>253</v>
      </c>
      <c r="N1204" s="97">
        <v>44795</v>
      </c>
      <c r="O1204" s="22" t="s">
        <v>6200</v>
      </c>
      <c r="P1204" s="6" t="s">
        <v>2968</v>
      </c>
      <c r="Q1204" s="6" t="s">
        <v>280</v>
      </c>
      <c r="R1204" s="6" t="str">
        <f t="shared" ca="1" si="12"/>
        <v>NonCategory</v>
      </c>
    </row>
    <row r="1205" spans="1:18">
      <c r="A1205" s="162">
        <v>44796</v>
      </c>
      <c r="B1205" s="164" t="s">
        <v>2969</v>
      </c>
      <c r="C1205" s="168" t="s">
        <v>2970</v>
      </c>
      <c r="D1205" s="6" t="s">
        <v>278</v>
      </c>
      <c r="E1205" s="6" t="s">
        <v>1524</v>
      </c>
      <c r="F1205" s="79">
        <v>44774</v>
      </c>
      <c r="G1205" s="6" t="s">
        <v>16</v>
      </c>
      <c r="H1205" s="6" t="s">
        <v>2923</v>
      </c>
      <c r="I1205" s="6">
        <v>1</v>
      </c>
      <c r="J1205" s="8">
        <v>24000</v>
      </c>
      <c r="K1205" s="8">
        <f t="shared" si="11"/>
        <v>274.85112230874944</v>
      </c>
      <c r="L1205" s="97">
        <v>44796</v>
      </c>
      <c r="M1205" s="6" t="s">
        <v>253</v>
      </c>
      <c r="N1205" s="97">
        <v>44797</v>
      </c>
      <c r="O1205" s="22" t="s">
        <v>6201</v>
      </c>
      <c r="P1205" s="6" t="s">
        <v>2924</v>
      </c>
      <c r="Q1205" s="6" t="s">
        <v>280</v>
      </c>
      <c r="R1205" s="6" t="str">
        <f t="shared" ca="1" si="12"/>
        <v>NonCategory</v>
      </c>
    </row>
    <row r="1206" spans="1:18">
      <c r="A1206" s="162">
        <v>44796</v>
      </c>
      <c r="B1206" s="164" t="s">
        <v>2971</v>
      </c>
      <c r="C1206" s="168" t="s">
        <v>2972</v>
      </c>
      <c r="D1206" s="6" t="s">
        <v>319</v>
      </c>
      <c r="E1206" s="6" t="s">
        <v>96</v>
      </c>
      <c r="F1206" s="79">
        <v>44774</v>
      </c>
      <c r="G1206" s="6" t="s">
        <v>16</v>
      </c>
      <c r="H1206" s="6" t="s">
        <v>2973</v>
      </c>
      <c r="I1206" s="6">
        <v>1</v>
      </c>
      <c r="J1206" s="8">
        <v>18000</v>
      </c>
      <c r="K1206" s="8">
        <f t="shared" si="11"/>
        <v>206.13834173156206</v>
      </c>
      <c r="L1206" s="97">
        <v>44796</v>
      </c>
      <c r="M1206" s="6" t="s">
        <v>253</v>
      </c>
      <c r="N1206" s="97">
        <v>44797</v>
      </c>
      <c r="O1206" s="22" t="s">
        <v>6202</v>
      </c>
      <c r="Q1206" s="6" t="s">
        <v>280</v>
      </c>
      <c r="R1206" s="6" t="str">
        <f t="shared" ca="1" si="12"/>
        <v>NonCategory</v>
      </c>
    </row>
    <row r="1207" spans="1:18">
      <c r="A1207" s="162">
        <v>44796</v>
      </c>
      <c r="B1207" s="164" t="s">
        <v>2974</v>
      </c>
      <c r="C1207" s="168" t="s">
        <v>2975</v>
      </c>
      <c r="D1207" s="6" t="s">
        <v>278</v>
      </c>
      <c r="E1207" s="6" t="s">
        <v>96</v>
      </c>
      <c r="F1207" s="79">
        <v>44774</v>
      </c>
      <c r="G1207" s="6" t="s">
        <v>16</v>
      </c>
      <c r="H1207" s="6" t="s">
        <v>2973</v>
      </c>
      <c r="I1207" s="6">
        <v>1</v>
      </c>
      <c r="J1207" s="8">
        <v>18000</v>
      </c>
      <c r="K1207" s="8">
        <f t="shared" si="11"/>
        <v>206.13834173156206</v>
      </c>
      <c r="L1207" s="97">
        <v>44796</v>
      </c>
      <c r="M1207" s="6" t="s">
        <v>253</v>
      </c>
      <c r="N1207" s="97">
        <v>44797</v>
      </c>
      <c r="O1207" s="22" t="s">
        <v>6203</v>
      </c>
      <c r="P1207" s="6" t="s">
        <v>2976</v>
      </c>
      <c r="Q1207" s="6" t="s">
        <v>280</v>
      </c>
      <c r="R1207" s="6" t="str">
        <f t="shared" ca="1" si="12"/>
        <v>NonCategory</v>
      </c>
    </row>
    <row r="1208" spans="1:18">
      <c r="A1208" s="162">
        <v>44796</v>
      </c>
      <c r="B1208" s="164" t="s">
        <v>2977</v>
      </c>
      <c r="C1208" s="168" t="s">
        <v>2978</v>
      </c>
      <c r="D1208" s="6" t="s">
        <v>278</v>
      </c>
      <c r="E1208" s="6" t="s">
        <v>96</v>
      </c>
      <c r="F1208" s="79">
        <v>44774</v>
      </c>
      <c r="G1208" s="6" t="s">
        <v>13</v>
      </c>
      <c r="H1208" s="6" t="s">
        <v>2973</v>
      </c>
      <c r="I1208" s="6">
        <v>1</v>
      </c>
      <c r="J1208" s="8">
        <v>18000</v>
      </c>
      <c r="K1208" s="8">
        <f t="shared" si="11"/>
        <v>206.13834173156206</v>
      </c>
      <c r="L1208" s="97">
        <v>44796</v>
      </c>
      <c r="P1208" s="6" t="s">
        <v>2976</v>
      </c>
      <c r="R1208" s="6" t="str">
        <f t="shared" ca="1" si="12"/>
        <v>NonCategory</v>
      </c>
    </row>
    <row r="1209" spans="1:18">
      <c r="A1209" s="162">
        <v>44799</v>
      </c>
      <c r="B1209" s="164" t="s">
        <v>2979</v>
      </c>
      <c r="C1209" s="168" t="s">
        <v>2980</v>
      </c>
      <c r="D1209" s="6" t="s">
        <v>470</v>
      </c>
      <c r="E1209" s="6" t="s">
        <v>2981</v>
      </c>
      <c r="F1209" s="79">
        <v>44774</v>
      </c>
      <c r="G1209" s="6" t="s">
        <v>16</v>
      </c>
      <c r="H1209" s="97">
        <v>44800</v>
      </c>
      <c r="I1209" s="6">
        <v>1</v>
      </c>
      <c r="J1209" s="8">
        <v>50000</v>
      </c>
      <c r="K1209" s="8">
        <f t="shared" si="11"/>
        <v>572.60650480989466</v>
      </c>
      <c r="L1209" s="97">
        <v>44799</v>
      </c>
      <c r="M1209" s="6" t="s">
        <v>253</v>
      </c>
      <c r="N1209" s="97">
        <v>44799</v>
      </c>
      <c r="O1209" s="22" t="s">
        <v>6204</v>
      </c>
      <c r="Q1209" s="6" t="s">
        <v>356</v>
      </c>
      <c r="R1209" s="6" t="str">
        <f t="shared" ca="1" si="12"/>
        <v>NonCategory</v>
      </c>
    </row>
    <row r="1210" spans="1:18">
      <c r="A1210" s="162">
        <v>44799</v>
      </c>
      <c r="B1210" s="164" t="s">
        <v>1835</v>
      </c>
      <c r="C1210" s="168" t="s">
        <v>1836</v>
      </c>
      <c r="D1210" s="6" t="s">
        <v>470</v>
      </c>
      <c r="E1210" s="6" t="s">
        <v>25</v>
      </c>
      <c r="F1210" s="79">
        <v>44805</v>
      </c>
      <c r="G1210" s="6" t="s">
        <v>16</v>
      </c>
      <c r="H1210" s="6" t="s">
        <v>2923</v>
      </c>
      <c r="I1210" s="6">
        <v>1</v>
      </c>
      <c r="J1210" s="8">
        <v>42000</v>
      </c>
      <c r="K1210" s="8">
        <f t="shared" si="11"/>
        <v>480.98946404031153</v>
      </c>
      <c r="L1210" s="97">
        <v>44799</v>
      </c>
      <c r="M1210" s="6" t="s">
        <v>251</v>
      </c>
      <c r="N1210" s="97">
        <v>44809</v>
      </c>
      <c r="O1210" s="22" t="s">
        <v>6205</v>
      </c>
      <c r="Q1210" s="6" t="s">
        <v>280</v>
      </c>
      <c r="R1210" s="6" t="str">
        <f t="shared" ca="1" si="12"/>
        <v>NonCategory</v>
      </c>
    </row>
    <row r="1211" spans="1:18">
      <c r="A1211" s="162">
        <v>44801</v>
      </c>
      <c r="B1211" s="164" t="s">
        <v>2982</v>
      </c>
      <c r="C1211" s="168" t="s">
        <v>2983</v>
      </c>
      <c r="D1211" s="6" t="s">
        <v>319</v>
      </c>
      <c r="E1211" s="6" t="s">
        <v>150</v>
      </c>
      <c r="F1211" s="79">
        <v>44774</v>
      </c>
      <c r="G1211" s="6" t="s">
        <v>16</v>
      </c>
      <c r="H1211" s="6" t="s">
        <v>2955</v>
      </c>
      <c r="I1211" s="6">
        <v>1</v>
      </c>
      <c r="J1211" s="8">
        <v>21000</v>
      </c>
      <c r="K1211" s="8">
        <f t="shared" ref="K1211:K1465" si="13">IFERROR((($J1211/1.18))/74,"")</f>
        <v>240.49473202015577</v>
      </c>
      <c r="L1211" s="97">
        <v>44801</v>
      </c>
      <c r="M1211" s="6" t="s">
        <v>253</v>
      </c>
      <c r="N1211" s="97">
        <v>44801</v>
      </c>
      <c r="O1211" s="22" t="s">
        <v>6206</v>
      </c>
      <c r="Q1211" s="6" t="s">
        <v>280</v>
      </c>
      <c r="R1211" s="6" t="str">
        <f t="shared" ca="1" si="12"/>
        <v>NonCategory</v>
      </c>
    </row>
    <row r="1212" spans="1:18">
      <c r="A1212" s="162">
        <v>44803</v>
      </c>
      <c r="B1212" s="164" t="s">
        <v>2984</v>
      </c>
      <c r="C1212" s="168" t="s">
        <v>2985</v>
      </c>
      <c r="D1212" s="6" t="s">
        <v>306</v>
      </c>
      <c r="E1212" s="6" t="s">
        <v>96</v>
      </c>
      <c r="F1212" s="79">
        <v>44774</v>
      </c>
      <c r="G1212" s="6" t="s">
        <v>16</v>
      </c>
      <c r="H1212" s="6" t="s">
        <v>2923</v>
      </c>
      <c r="I1212" s="6">
        <v>1</v>
      </c>
      <c r="J1212" s="8">
        <v>20000</v>
      </c>
      <c r="K1212" s="8">
        <f t="shared" si="13"/>
        <v>229.04260192395787</v>
      </c>
      <c r="L1212" s="97">
        <v>44803</v>
      </c>
      <c r="M1212" s="6" t="s">
        <v>253</v>
      </c>
      <c r="N1212" s="97">
        <v>44803</v>
      </c>
      <c r="O1212" s="22" t="s">
        <v>6207</v>
      </c>
      <c r="Q1212" s="6" t="s">
        <v>356</v>
      </c>
      <c r="R1212" s="6" t="str">
        <f t="shared" ca="1" si="12"/>
        <v>NonCategory</v>
      </c>
    </row>
    <row r="1213" spans="1:18">
      <c r="A1213" s="162">
        <v>44803</v>
      </c>
      <c r="B1213" s="164" t="s">
        <v>2986</v>
      </c>
      <c r="C1213" s="168" t="s">
        <v>2987</v>
      </c>
      <c r="D1213" s="6" t="s">
        <v>291</v>
      </c>
      <c r="E1213" s="6" t="s">
        <v>150</v>
      </c>
      <c r="F1213" s="79">
        <v>44774</v>
      </c>
      <c r="G1213" s="6" t="s">
        <v>16</v>
      </c>
      <c r="H1213" s="6" t="s">
        <v>2955</v>
      </c>
      <c r="I1213" s="6">
        <v>1</v>
      </c>
      <c r="J1213" s="8">
        <v>21000</v>
      </c>
      <c r="K1213" s="8">
        <f t="shared" si="13"/>
        <v>240.49473202015577</v>
      </c>
      <c r="L1213" s="97">
        <v>44803</v>
      </c>
      <c r="M1213" s="6" t="s">
        <v>253</v>
      </c>
      <c r="N1213" s="97">
        <v>44803</v>
      </c>
      <c r="O1213" s="22" t="s">
        <v>6208</v>
      </c>
      <c r="Q1213" s="6" t="s">
        <v>280</v>
      </c>
      <c r="R1213" s="6" t="str">
        <f t="shared" ca="1" si="12"/>
        <v>NonCategory</v>
      </c>
    </row>
    <row r="1214" spans="1:18">
      <c r="A1214" s="162">
        <v>44803</v>
      </c>
      <c r="B1214" s="164" t="s">
        <v>2988</v>
      </c>
      <c r="C1214" s="168" t="s">
        <v>2989</v>
      </c>
      <c r="D1214" s="6" t="s">
        <v>319</v>
      </c>
      <c r="E1214" s="6" t="s">
        <v>150</v>
      </c>
      <c r="F1214" s="79">
        <v>44774</v>
      </c>
      <c r="G1214" s="6" t="s">
        <v>16</v>
      </c>
      <c r="H1214" s="6" t="s">
        <v>2955</v>
      </c>
      <c r="I1214" s="6">
        <v>1</v>
      </c>
      <c r="J1214" s="8">
        <v>21000</v>
      </c>
      <c r="K1214" s="8">
        <f t="shared" si="13"/>
        <v>240.49473202015577</v>
      </c>
      <c r="L1214" s="97">
        <v>44803</v>
      </c>
      <c r="M1214" s="6" t="s">
        <v>253</v>
      </c>
      <c r="N1214" s="97">
        <v>44803</v>
      </c>
      <c r="O1214" s="22" t="s">
        <v>6209</v>
      </c>
      <c r="Q1214" s="6" t="s">
        <v>280</v>
      </c>
      <c r="R1214" s="6" t="str">
        <f t="shared" ca="1" si="12"/>
        <v>NonCategory</v>
      </c>
    </row>
    <row r="1215" spans="1:18">
      <c r="A1215" s="162">
        <v>44804</v>
      </c>
      <c r="B1215" s="165" t="s">
        <v>2990</v>
      </c>
      <c r="C1215" s="168" t="s">
        <v>2991</v>
      </c>
      <c r="D1215" s="2" t="s">
        <v>319</v>
      </c>
      <c r="E1215" s="2" t="s">
        <v>150</v>
      </c>
      <c r="F1215" s="79">
        <v>44774</v>
      </c>
      <c r="G1215" s="6" t="s">
        <v>16</v>
      </c>
      <c r="H1215" s="6" t="s">
        <v>2958</v>
      </c>
      <c r="I1215" s="6">
        <v>1</v>
      </c>
      <c r="J1215" s="8">
        <v>21000</v>
      </c>
      <c r="K1215" s="8">
        <f t="shared" si="13"/>
        <v>240.49473202015577</v>
      </c>
      <c r="L1215" s="97">
        <v>44804</v>
      </c>
      <c r="M1215" s="6" t="s">
        <v>253</v>
      </c>
      <c r="N1215" s="97">
        <v>44804</v>
      </c>
      <c r="O1215" s="22" t="s">
        <v>6210</v>
      </c>
      <c r="Q1215" s="6" t="s">
        <v>356</v>
      </c>
      <c r="R1215" s="6" t="str">
        <f t="shared" ca="1" si="12"/>
        <v>NonCategory</v>
      </c>
    </row>
    <row r="1216" spans="1:18">
      <c r="A1216" s="162">
        <v>44806</v>
      </c>
      <c r="B1216" s="164" t="s">
        <v>2992</v>
      </c>
      <c r="C1216" s="168" t="s">
        <v>2993</v>
      </c>
      <c r="D1216" s="6" t="s">
        <v>319</v>
      </c>
      <c r="E1216" s="6" t="s">
        <v>151</v>
      </c>
      <c r="F1216" s="79">
        <v>44805</v>
      </c>
      <c r="G1216" s="6" t="s">
        <v>16</v>
      </c>
      <c r="H1216" s="6" t="s">
        <v>2955</v>
      </c>
      <c r="I1216" s="6">
        <v>1</v>
      </c>
      <c r="J1216" s="8">
        <v>21000</v>
      </c>
      <c r="K1216" s="8">
        <f t="shared" si="13"/>
        <v>240.49473202015577</v>
      </c>
      <c r="L1216" s="97">
        <v>44806</v>
      </c>
      <c r="M1216" s="6" t="s">
        <v>251</v>
      </c>
      <c r="N1216" s="97">
        <v>44806</v>
      </c>
      <c r="O1216" s="22" t="s">
        <v>6211</v>
      </c>
      <c r="Q1216" s="6" t="s">
        <v>280</v>
      </c>
      <c r="R1216" s="6" t="str">
        <f t="shared" ca="1" si="12"/>
        <v>NonCategory</v>
      </c>
    </row>
    <row r="1217" spans="1:18">
      <c r="A1217" s="162">
        <v>44806</v>
      </c>
      <c r="B1217" s="164" t="s">
        <v>2994</v>
      </c>
      <c r="C1217" s="168" t="s">
        <v>2995</v>
      </c>
      <c r="D1217" s="6" t="s">
        <v>303</v>
      </c>
      <c r="E1217" s="6" t="s">
        <v>150</v>
      </c>
      <c r="F1217" s="79">
        <v>44805</v>
      </c>
      <c r="G1217" s="6" t="s">
        <v>16</v>
      </c>
      <c r="H1217" s="6" t="s">
        <v>2923</v>
      </c>
      <c r="I1217" s="6">
        <v>1</v>
      </c>
      <c r="J1217" s="8">
        <v>21000</v>
      </c>
      <c r="K1217" s="8">
        <f t="shared" si="13"/>
        <v>240.49473202015577</v>
      </c>
      <c r="L1217" s="97">
        <v>44806</v>
      </c>
      <c r="M1217" s="6" t="s">
        <v>251</v>
      </c>
      <c r="N1217" s="97">
        <v>44806</v>
      </c>
      <c r="O1217" s="22" t="s">
        <v>6212</v>
      </c>
      <c r="Q1217" s="6" t="s">
        <v>280</v>
      </c>
      <c r="R1217" s="6" t="str">
        <f t="shared" ca="1" si="12"/>
        <v>NonCategory</v>
      </c>
    </row>
    <row r="1218" spans="1:18">
      <c r="A1218" s="162">
        <v>44807</v>
      </c>
      <c r="B1218" s="164" t="s">
        <v>2996</v>
      </c>
      <c r="C1218" s="168" t="s">
        <v>2997</v>
      </c>
      <c r="D1218" s="6" t="s">
        <v>278</v>
      </c>
      <c r="E1218" s="6" t="s">
        <v>1524</v>
      </c>
      <c r="F1218" s="79">
        <v>44805</v>
      </c>
      <c r="G1218" s="6" t="s">
        <v>16</v>
      </c>
      <c r="H1218" s="6" t="s">
        <v>2998</v>
      </c>
      <c r="I1218" s="6">
        <v>1</v>
      </c>
      <c r="J1218" s="8">
        <v>24000</v>
      </c>
      <c r="K1218" s="8">
        <f t="shared" si="13"/>
        <v>274.85112230874944</v>
      </c>
      <c r="L1218" s="97">
        <v>44807</v>
      </c>
      <c r="M1218" s="6" t="s">
        <v>251</v>
      </c>
      <c r="N1218" s="97">
        <v>44807</v>
      </c>
      <c r="O1218" s="22" t="s">
        <v>6213</v>
      </c>
      <c r="P1218" s="6" t="s">
        <v>2999</v>
      </c>
      <c r="Q1218" s="6" t="s">
        <v>280</v>
      </c>
      <c r="R1218" s="6" t="str">
        <f t="shared" ca="1" si="12"/>
        <v>NonCategory</v>
      </c>
    </row>
    <row r="1219" spans="1:18">
      <c r="A1219" s="162">
        <v>44809</v>
      </c>
      <c r="B1219" s="164" t="s">
        <v>3000</v>
      </c>
      <c r="C1219" s="168" t="s">
        <v>3001</v>
      </c>
      <c r="D1219" s="6" t="s">
        <v>303</v>
      </c>
      <c r="E1219" s="6" t="s">
        <v>151</v>
      </c>
      <c r="F1219" s="79">
        <v>44805</v>
      </c>
      <c r="G1219" s="6" t="s">
        <v>16</v>
      </c>
      <c r="H1219" s="6" t="s">
        <v>2923</v>
      </c>
      <c r="I1219" s="6">
        <v>1</v>
      </c>
      <c r="J1219" s="8">
        <v>21000</v>
      </c>
      <c r="K1219" s="8">
        <f t="shared" si="13"/>
        <v>240.49473202015577</v>
      </c>
      <c r="L1219" s="97">
        <v>44809</v>
      </c>
      <c r="M1219" s="6" t="s">
        <v>251</v>
      </c>
      <c r="N1219" s="97">
        <v>44809</v>
      </c>
      <c r="O1219" s="22" t="s">
        <v>6214</v>
      </c>
      <c r="Q1219" s="6" t="s">
        <v>280</v>
      </c>
      <c r="R1219" s="6" t="str">
        <f t="shared" ca="1" si="12"/>
        <v>NonCategory</v>
      </c>
    </row>
    <row r="1220" spans="1:18">
      <c r="A1220" s="162">
        <v>44809</v>
      </c>
      <c r="B1220" s="164" t="s">
        <v>3002</v>
      </c>
      <c r="C1220" s="168" t="s">
        <v>3003</v>
      </c>
      <c r="D1220" s="6" t="s">
        <v>278</v>
      </c>
      <c r="E1220" s="6" t="s">
        <v>6</v>
      </c>
      <c r="F1220" s="79">
        <v>44805</v>
      </c>
      <c r="G1220" s="6" t="s">
        <v>16</v>
      </c>
      <c r="H1220" s="6" t="s">
        <v>2958</v>
      </c>
      <c r="I1220" s="6">
        <v>1</v>
      </c>
      <c r="J1220" s="8">
        <v>40061</v>
      </c>
      <c r="K1220" s="8">
        <f t="shared" si="13"/>
        <v>458.7837837837838</v>
      </c>
      <c r="L1220" s="97">
        <v>44809</v>
      </c>
      <c r="M1220" s="6" t="s">
        <v>251</v>
      </c>
      <c r="N1220" s="97">
        <v>44809</v>
      </c>
      <c r="O1220" s="22" t="s">
        <v>6215</v>
      </c>
      <c r="P1220" s="6" t="s">
        <v>3004</v>
      </c>
      <c r="Q1220" s="6" t="s">
        <v>280</v>
      </c>
      <c r="R1220" s="6" t="str">
        <f t="shared" ca="1" si="12"/>
        <v>NonCategory</v>
      </c>
    </row>
    <row r="1221" spans="1:18">
      <c r="A1221" s="162">
        <v>44809</v>
      </c>
      <c r="B1221" s="164" t="s">
        <v>3005</v>
      </c>
      <c r="C1221" s="168" t="s">
        <v>3006</v>
      </c>
      <c r="D1221" s="6" t="s">
        <v>1842</v>
      </c>
      <c r="E1221" s="6" t="s">
        <v>538</v>
      </c>
      <c r="F1221" s="79">
        <v>44805</v>
      </c>
      <c r="G1221" s="6" t="s">
        <v>16</v>
      </c>
      <c r="H1221" s="97">
        <v>44821</v>
      </c>
      <c r="I1221" s="6">
        <v>1</v>
      </c>
      <c r="J1221" s="8">
        <v>10000</v>
      </c>
      <c r="K1221" s="8">
        <f t="shared" si="13"/>
        <v>114.52130096197894</v>
      </c>
      <c r="L1221" s="97">
        <v>44810</v>
      </c>
      <c r="M1221" s="6" t="s">
        <v>251</v>
      </c>
      <c r="N1221" s="97">
        <v>44810</v>
      </c>
      <c r="O1221" s="22" t="s">
        <v>6216</v>
      </c>
      <c r="Q1221" s="6" t="s">
        <v>356</v>
      </c>
      <c r="R1221" s="6" t="str">
        <f t="shared" ca="1" si="12"/>
        <v>NonCategory</v>
      </c>
    </row>
    <row r="1222" spans="1:18">
      <c r="A1222" s="162">
        <v>44810</v>
      </c>
      <c r="B1222" s="164" t="s">
        <v>3005</v>
      </c>
      <c r="C1222" s="168" t="s">
        <v>3006</v>
      </c>
      <c r="D1222" s="6" t="s">
        <v>1842</v>
      </c>
      <c r="E1222" s="6" t="s">
        <v>3007</v>
      </c>
      <c r="F1222" s="79">
        <v>44805</v>
      </c>
      <c r="G1222" s="6" t="s">
        <v>16</v>
      </c>
      <c r="H1222" s="97">
        <v>44821</v>
      </c>
      <c r="I1222" s="6">
        <v>1</v>
      </c>
      <c r="J1222" s="8">
        <v>47125</v>
      </c>
      <c r="K1222" s="8">
        <f t="shared" si="13"/>
        <v>539.68163078332566</v>
      </c>
      <c r="L1222" s="97">
        <v>44811</v>
      </c>
      <c r="M1222" s="6" t="s">
        <v>251</v>
      </c>
      <c r="N1222" s="97">
        <v>44811</v>
      </c>
      <c r="O1222" s="22" t="s">
        <v>6216</v>
      </c>
      <c r="Q1222" s="6" t="s">
        <v>356</v>
      </c>
      <c r="R1222" s="6" t="str">
        <f t="shared" ca="1" si="12"/>
        <v>NonCategory</v>
      </c>
    </row>
    <row r="1223" spans="1:18">
      <c r="A1223" s="162">
        <v>44812</v>
      </c>
      <c r="B1223" s="164" t="s">
        <v>3008</v>
      </c>
      <c r="C1223" s="168" t="s">
        <v>3009</v>
      </c>
      <c r="D1223" s="6" t="s">
        <v>303</v>
      </c>
      <c r="E1223" s="6" t="s">
        <v>7</v>
      </c>
      <c r="F1223" s="79">
        <v>44805</v>
      </c>
      <c r="G1223" s="6" t="s">
        <v>16</v>
      </c>
      <c r="H1223" s="6" t="s">
        <v>2923</v>
      </c>
      <c r="I1223" s="6">
        <v>1</v>
      </c>
      <c r="J1223" s="8">
        <v>40061</v>
      </c>
      <c r="K1223" s="8">
        <f t="shared" si="13"/>
        <v>458.7837837837838</v>
      </c>
      <c r="L1223" s="97">
        <v>44812</v>
      </c>
      <c r="M1223" s="6" t="s">
        <v>251</v>
      </c>
      <c r="N1223" s="97">
        <v>44813</v>
      </c>
      <c r="O1223" s="22" t="s">
        <v>6217</v>
      </c>
      <c r="Q1223" s="6" t="s">
        <v>356</v>
      </c>
      <c r="R1223" s="6" t="str">
        <f t="shared" ca="1" si="12"/>
        <v>NonCategory</v>
      </c>
    </row>
    <row r="1224" spans="1:18">
      <c r="A1224" s="162">
        <v>44812</v>
      </c>
      <c r="B1224" s="164" t="s">
        <v>3010</v>
      </c>
      <c r="C1224" s="168" t="s">
        <v>3011</v>
      </c>
      <c r="D1224" s="6" t="s">
        <v>278</v>
      </c>
      <c r="E1224" s="6" t="s">
        <v>151</v>
      </c>
      <c r="F1224" s="79">
        <v>44805</v>
      </c>
      <c r="G1224" s="6" t="s">
        <v>13</v>
      </c>
      <c r="H1224" s="6" t="s">
        <v>2958</v>
      </c>
      <c r="I1224" s="6">
        <v>1</v>
      </c>
      <c r="J1224" s="8">
        <v>21000</v>
      </c>
      <c r="K1224" s="8">
        <f t="shared" si="13"/>
        <v>240.49473202015577</v>
      </c>
      <c r="L1224" s="97">
        <v>44812</v>
      </c>
      <c r="R1224" s="6" t="str">
        <f t="shared" ca="1" si="12"/>
        <v>NonCategory</v>
      </c>
    </row>
    <row r="1225" spans="1:18">
      <c r="A1225" s="162">
        <v>44812</v>
      </c>
      <c r="B1225" s="164" t="s">
        <v>3012</v>
      </c>
      <c r="C1225" s="168" t="s">
        <v>3013</v>
      </c>
      <c r="D1225" s="6" t="s">
        <v>303</v>
      </c>
      <c r="E1225" s="6" t="s">
        <v>96</v>
      </c>
      <c r="F1225" s="79">
        <v>44805</v>
      </c>
      <c r="G1225" s="6" t="s">
        <v>16</v>
      </c>
      <c r="H1225" s="6" t="s">
        <v>2923</v>
      </c>
      <c r="I1225" s="6">
        <v>1</v>
      </c>
      <c r="J1225" s="8">
        <v>20000</v>
      </c>
      <c r="K1225" s="8">
        <f t="shared" si="13"/>
        <v>229.04260192395787</v>
      </c>
      <c r="L1225" s="97">
        <v>44812</v>
      </c>
      <c r="M1225" s="6" t="s">
        <v>251</v>
      </c>
      <c r="N1225" s="97">
        <v>44812</v>
      </c>
      <c r="O1225" s="22" t="s">
        <v>6218</v>
      </c>
      <c r="Q1225" s="6" t="s">
        <v>280</v>
      </c>
      <c r="R1225" s="6" t="str">
        <f t="shared" ca="1" si="12"/>
        <v>NonCategory</v>
      </c>
    </row>
    <row r="1226" spans="1:18">
      <c r="A1226" s="162">
        <v>44812</v>
      </c>
      <c r="B1226" s="164" t="s">
        <v>3014</v>
      </c>
      <c r="C1226" s="168" t="s">
        <v>3015</v>
      </c>
      <c r="D1226" s="6" t="s">
        <v>291</v>
      </c>
      <c r="E1226" s="6" t="s">
        <v>96</v>
      </c>
      <c r="F1226" s="79">
        <v>44805</v>
      </c>
      <c r="G1226" s="6" t="s">
        <v>16</v>
      </c>
      <c r="H1226" s="6" t="s">
        <v>2923</v>
      </c>
      <c r="I1226" s="6">
        <v>1</v>
      </c>
      <c r="J1226" s="8">
        <v>20000</v>
      </c>
      <c r="K1226" s="8">
        <f t="shared" si="13"/>
        <v>229.04260192395787</v>
      </c>
      <c r="L1226" s="97">
        <v>44812</v>
      </c>
      <c r="M1226" s="6" t="s">
        <v>251</v>
      </c>
      <c r="N1226" s="97">
        <v>44812</v>
      </c>
      <c r="O1226" s="22" t="s">
        <v>6219</v>
      </c>
      <c r="Q1226" s="6" t="s">
        <v>280</v>
      </c>
      <c r="R1226" s="6" t="str">
        <f t="shared" ca="1" si="12"/>
        <v>NonCategory</v>
      </c>
    </row>
    <row r="1227" spans="1:18">
      <c r="A1227" s="162">
        <v>44813</v>
      </c>
      <c r="B1227" s="164" t="s">
        <v>2576</v>
      </c>
      <c r="C1227" s="168" t="s">
        <v>2577</v>
      </c>
      <c r="D1227" s="6" t="s">
        <v>470</v>
      </c>
      <c r="E1227" s="6" t="s">
        <v>1524</v>
      </c>
      <c r="F1227" s="79">
        <v>44805</v>
      </c>
      <c r="G1227" s="6" t="s">
        <v>13</v>
      </c>
      <c r="H1227" s="6" t="s">
        <v>3016</v>
      </c>
      <c r="I1227" s="6">
        <v>1</v>
      </c>
      <c r="J1227" s="8">
        <v>24000</v>
      </c>
      <c r="K1227" s="8">
        <f t="shared" si="13"/>
        <v>274.85112230874944</v>
      </c>
      <c r="L1227" s="97">
        <v>44813</v>
      </c>
      <c r="R1227" s="6" t="str">
        <f t="shared" ca="1" si="12"/>
        <v>NonCategory</v>
      </c>
    </row>
    <row r="1228" spans="1:18">
      <c r="A1228" s="162">
        <v>44815</v>
      </c>
      <c r="B1228" s="164" t="s">
        <v>3017</v>
      </c>
      <c r="C1228" s="168" t="s">
        <v>3018</v>
      </c>
      <c r="D1228" s="6" t="s">
        <v>303</v>
      </c>
      <c r="E1228" s="6" t="s">
        <v>25</v>
      </c>
      <c r="F1228" s="79">
        <v>44805</v>
      </c>
      <c r="G1228" s="6" t="s">
        <v>16</v>
      </c>
      <c r="H1228" s="6" t="s">
        <v>2961</v>
      </c>
      <c r="I1228" s="6">
        <v>1</v>
      </c>
      <c r="J1228" s="8">
        <v>42000</v>
      </c>
      <c r="K1228" s="8">
        <f t="shared" si="13"/>
        <v>480.98946404031153</v>
      </c>
      <c r="L1228" s="97">
        <v>44815</v>
      </c>
      <c r="M1228" s="6" t="s">
        <v>252</v>
      </c>
      <c r="N1228" s="97">
        <v>44815</v>
      </c>
      <c r="O1228" s="22" t="s">
        <v>6220</v>
      </c>
      <c r="Q1228" s="6" t="s">
        <v>356</v>
      </c>
      <c r="R1228" s="6" t="str">
        <f t="shared" ca="1" si="12"/>
        <v>NonCategory</v>
      </c>
    </row>
    <row r="1229" spans="1:18">
      <c r="A1229" s="162">
        <v>44815</v>
      </c>
      <c r="B1229" s="164" t="s">
        <v>3019</v>
      </c>
      <c r="C1229" s="168" t="s">
        <v>3020</v>
      </c>
      <c r="D1229" s="6" t="s">
        <v>278</v>
      </c>
      <c r="E1229" s="6" t="s">
        <v>25</v>
      </c>
      <c r="F1229" s="79">
        <v>44805</v>
      </c>
      <c r="G1229" s="6" t="s">
        <v>16</v>
      </c>
      <c r="H1229" s="6" t="s">
        <v>2961</v>
      </c>
      <c r="I1229" s="6">
        <v>1</v>
      </c>
      <c r="J1229" s="8">
        <v>42000</v>
      </c>
      <c r="K1229" s="8">
        <f t="shared" si="13"/>
        <v>480.98946404031153</v>
      </c>
      <c r="L1229" s="97">
        <v>44815</v>
      </c>
      <c r="M1229" s="6" t="s">
        <v>252</v>
      </c>
      <c r="N1229" s="97">
        <v>44815</v>
      </c>
      <c r="O1229" s="22" t="s">
        <v>6221</v>
      </c>
      <c r="P1229" s="6" t="s">
        <v>1939</v>
      </c>
      <c r="Q1229" s="6" t="s">
        <v>356</v>
      </c>
      <c r="R1229" s="6" t="str">
        <f t="shared" ca="1" si="12"/>
        <v>NonCategory</v>
      </c>
    </row>
    <row r="1230" spans="1:18">
      <c r="A1230" s="162">
        <v>44816</v>
      </c>
      <c r="B1230" s="164" t="s">
        <v>3021</v>
      </c>
      <c r="C1230" s="168" t="s">
        <v>3022</v>
      </c>
      <c r="D1230" s="6" t="s">
        <v>306</v>
      </c>
      <c r="E1230" s="6" t="s">
        <v>538</v>
      </c>
      <c r="F1230" s="79">
        <v>44805</v>
      </c>
      <c r="G1230" s="6" t="s">
        <v>16</v>
      </c>
      <c r="H1230" s="97">
        <v>44821</v>
      </c>
      <c r="I1230" s="6">
        <v>1</v>
      </c>
      <c r="J1230" s="8">
        <v>10000</v>
      </c>
      <c r="K1230" s="8">
        <f t="shared" si="13"/>
        <v>114.52130096197894</v>
      </c>
      <c r="L1230" s="97">
        <v>44816</v>
      </c>
      <c r="M1230" s="6" t="s">
        <v>252</v>
      </c>
      <c r="N1230" s="97">
        <v>44816</v>
      </c>
      <c r="O1230" s="22" t="s">
        <v>6222</v>
      </c>
      <c r="Q1230" s="6" t="s">
        <v>356</v>
      </c>
      <c r="R1230" s="6" t="str">
        <f t="shared" ca="1" si="12"/>
        <v>NonCategory</v>
      </c>
    </row>
    <row r="1231" spans="1:18">
      <c r="A1231" s="162">
        <v>44816</v>
      </c>
      <c r="B1231" s="164" t="s">
        <v>3023</v>
      </c>
      <c r="C1231" s="168" t="s">
        <v>3024</v>
      </c>
      <c r="D1231" s="6" t="s">
        <v>2455</v>
      </c>
      <c r="E1231" s="6" t="s">
        <v>6</v>
      </c>
      <c r="F1231" s="79">
        <v>44805</v>
      </c>
      <c r="G1231" s="6" t="s">
        <v>16</v>
      </c>
      <c r="H1231" s="6" t="s">
        <v>2961</v>
      </c>
      <c r="I1231" s="6">
        <v>1</v>
      </c>
      <c r="J1231" s="8">
        <v>40061</v>
      </c>
      <c r="K1231" s="8">
        <f t="shared" si="13"/>
        <v>458.7837837837838</v>
      </c>
      <c r="L1231" s="97">
        <v>44816</v>
      </c>
      <c r="M1231" s="6" t="s">
        <v>252</v>
      </c>
      <c r="N1231" s="97">
        <v>44817</v>
      </c>
      <c r="O1231" s="22" t="s">
        <v>6223</v>
      </c>
      <c r="Q1231" s="6" t="s">
        <v>356</v>
      </c>
      <c r="R1231" s="6" t="str">
        <f t="shared" ca="1" si="12"/>
        <v>NonCategory</v>
      </c>
    </row>
    <row r="1232" spans="1:18">
      <c r="A1232" s="162">
        <v>44817</v>
      </c>
      <c r="B1232" s="164" t="s">
        <v>2771</v>
      </c>
      <c r="C1232" s="168" t="s">
        <v>3025</v>
      </c>
      <c r="D1232" s="6" t="s">
        <v>278</v>
      </c>
      <c r="E1232" s="6" t="s">
        <v>150</v>
      </c>
      <c r="F1232" s="79">
        <v>44805</v>
      </c>
      <c r="G1232" s="6" t="s">
        <v>16</v>
      </c>
      <c r="H1232" s="6" t="s">
        <v>2998</v>
      </c>
      <c r="I1232" s="6">
        <v>1</v>
      </c>
      <c r="J1232" s="8">
        <v>21000</v>
      </c>
      <c r="K1232" s="8">
        <f t="shared" si="13"/>
        <v>240.49473202015577</v>
      </c>
      <c r="L1232" s="97">
        <v>44817</v>
      </c>
      <c r="M1232" s="6" t="s">
        <v>252</v>
      </c>
      <c r="N1232" s="97">
        <v>44816</v>
      </c>
      <c r="O1232" s="22" t="s">
        <v>6224</v>
      </c>
      <c r="P1232" s="6" t="s">
        <v>1939</v>
      </c>
      <c r="Q1232" s="6" t="s">
        <v>280</v>
      </c>
      <c r="R1232" s="6" t="str">
        <f t="shared" ca="1" si="12"/>
        <v>NonCategory</v>
      </c>
    </row>
    <row r="1233" spans="1:18">
      <c r="A1233" s="162">
        <v>44817</v>
      </c>
      <c r="B1233" s="164" t="s">
        <v>3026</v>
      </c>
      <c r="C1233" s="168" t="s">
        <v>3027</v>
      </c>
      <c r="D1233" s="6" t="s">
        <v>278</v>
      </c>
      <c r="E1233" s="6" t="s">
        <v>150</v>
      </c>
      <c r="F1233" s="79">
        <v>44805</v>
      </c>
      <c r="G1233" s="6" t="s">
        <v>16</v>
      </c>
      <c r="H1233" s="6" t="s">
        <v>2998</v>
      </c>
      <c r="I1233" s="6">
        <v>1</v>
      </c>
      <c r="J1233" s="8">
        <v>21000</v>
      </c>
      <c r="K1233" s="8">
        <f t="shared" si="13"/>
        <v>240.49473202015577</v>
      </c>
      <c r="L1233" s="97">
        <v>44817</v>
      </c>
      <c r="M1233" s="6" t="s">
        <v>252</v>
      </c>
      <c r="N1233" s="97">
        <v>44816</v>
      </c>
      <c r="O1233" s="22" t="s">
        <v>6225</v>
      </c>
      <c r="P1233" s="6" t="s">
        <v>3028</v>
      </c>
      <c r="Q1233" s="6" t="s">
        <v>280</v>
      </c>
      <c r="R1233" s="6" t="str">
        <f t="shared" ca="1" si="12"/>
        <v>NonCategory</v>
      </c>
    </row>
    <row r="1234" spans="1:18">
      <c r="A1234" s="162">
        <v>44818</v>
      </c>
      <c r="B1234" s="164" t="s">
        <v>3029</v>
      </c>
      <c r="C1234" s="168" t="s">
        <v>3030</v>
      </c>
      <c r="D1234" s="6" t="s">
        <v>303</v>
      </c>
      <c r="E1234" s="6" t="s">
        <v>1524</v>
      </c>
      <c r="F1234" s="79">
        <v>44805</v>
      </c>
      <c r="G1234" s="6" t="s">
        <v>16</v>
      </c>
      <c r="H1234" s="6" t="s">
        <v>2998</v>
      </c>
      <c r="I1234" s="6">
        <v>1</v>
      </c>
      <c r="J1234" s="8">
        <v>24000</v>
      </c>
      <c r="K1234" s="8">
        <f t="shared" si="13"/>
        <v>274.85112230874944</v>
      </c>
      <c r="L1234" s="97">
        <v>44818</v>
      </c>
      <c r="M1234" s="6" t="s">
        <v>252</v>
      </c>
      <c r="N1234" s="97">
        <v>44818</v>
      </c>
      <c r="O1234" s="22" t="s">
        <v>6226</v>
      </c>
      <c r="Q1234" s="6" t="s">
        <v>280</v>
      </c>
      <c r="R1234" s="6" t="str">
        <f t="shared" ca="1" si="12"/>
        <v>NonCategory</v>
      </c>
    </row>
    <row r="1235" spans="1:18">
      <c r="A1235" s="162">
        <v>44818</v>
      </c>
      <c r="B1235" s="164" t="s">
        <v>3031</v>
      </c>
      <c r="C1235" s="168" t="s">
        <v>3032</v>
      </c>
      <c r="D1235" s="6" t="s">
        <v>278</v>
      </c>
      <c r="E1235" s="6" t="s">
        <v>150</v>
      </c>
      <c r="F1235" s="79">
        <v>44805</v>
      </c>
      <c r="G1235" s="6" t="s">
        <v>16</v>
      </c>
      <c r="H1235" s="6" t="s">
        <v>2958</v>
      </c>
      <c r="I1235" s="6">
        <v>1</v>
      </c>
      <c r="J1235" s="8">
        <v>20500</v>
      </c>
      <c r="K1235" s="8">
        <f t="shared" si="13"/>
        <v>234.76866697205682</v>
      </c>
      <c r="L1235" s="97">
        <v>44818</v>
      </c>
      <c r="M1235" s="6" t="s">
        <v>252</v>
      </c>
      <c r="N1235" s="97">
        <v>44818</v>
      </c>
      <c r="O1235" s="22" t="s">
        <v>6227</v>
      </c>
      <c r="P1235" s="6" t="s">
        <v>3033</v>
      </c>
      <c r="Q1235" s="6" t="s">
        <v>280</v>
      </c>
      <c r="R1235" s="6" t="str">
        <f t="shared" ca="1" si="12"/>
        <v>NonCategory</v>
      </c>
    </row>
    <row r="1236" spans="1:18">
      <c r="A1236" s="162">
        <v>44818</v>
      </c>
      <c r="B1236" s="164" t="s">
        <v>3034</v>
      </c>
      <c r="C1236" s="168" t="s">
        <v>3035</v>
      </c>
      <c r="D1236" s="6" t="s">
        <v>343</v>
      </c>
      <c r="E1236" s="6" t="s">
        <v>538</v>
      </c>
      <c r="F1236" s="79">
        <v>44805</v>
      </c>
      <c r="G1236" s="6" t="s">
        <v>13</v>
      </c>
      <c r="H1236" s="97">
        <v>44821</v>
      </c>
      <c r="I1236" s="6">
        <v>1</v>
      </c>
      <c r="J1236" s="8">
        <v>49000</v>
      </c>
      <c r="K1236" s="8">
        <f t="shared" si="13"/>
        <v>561.15437471369682</v>
      </c>
      <c r="L1236" s="97">
        <v>44818</v>
      </c>
      <c r="R1236" s="6" t="str">
        <f t="shared" ca="1" si="12"/>
        <v>NonCategory</v>
      </c>
    </row>
    <row r="1237" spans="1:18">
      <c r="A1237" s="162">
        <v>44819</v>
      </c>
      <c r="B1237" s="164" t="s">
        <v>3036</v>
      </c>
      <c r="C1237" s="168" t="s">
        <v>3037</v>
      </c>
      <c r="D1237" s="6" t="s">
        <v>319</v>
      </c>
      <c r="E1237" s="6" t="s">
        <v>150</v>
      </c>
      <c r="F1237" s="79">
        <v>44805</v>
      </c>
      <c r="G1237" s="6" t="s">
        <v>16</v>
      </c>
      <c r="H1237" s="6" t="s">
        <v>2958</v>
      </c>
      <c r="I1237" s="6">
        <v>1</v>
      </c>
      <c r="J1237" s="8">
        <v>21000</v>
      </c>
      <c r="K1237" s="8">
        <f t="shared" si="13"/>
        <v>240.49473202015577</v>
      </c>
      <c r="L1237" s="97">
        <v>44819</v>
      </c>
      <c r="M1237" s="6" t="s">
        <v>252</v>
      </c>
      <c r="N1237" s="97">
        <v>44819</v>
      </c>
      <c r="O1237" s="22" t="s">
        <v>6228</v>
      </c>
      <c r="Q1237" s="6" t="s">
        <v>356</v>
      </c>
      <c r="R1237" s="6" t="str">
        <f t="shared" ca="1" si="12"/>
        <v>NonCategory</v>
      </c>
    </row>
    <row r="1238" spans="1:18">
      <c r="A1238" s="162">
        <v>44819</v>
      </c>
      <c r="B1238" s="164" t="s">
        <v>3038</v>
      </c>
      <c r="C1238" s="168" t="s">
        <v>3039</v>
      </c>
      <c r="D1238" s="6" t="s">
        <v>278</v>
      </c>
      <c r="E1238" s="6" t="s">
        <v>97</v>
      </c>
      <c r="F1238" s="79">
        <v>44805</v>
      </c>
      <c r="G1238" s="6" t="s">
        <v>16</v>
      </c>
      <c r="H1238" s="6" t="s">
        <v>2961</v>
      </c>
      <c r="I1238" s="6">
        <v>1</v>
      </c>
      <c r="J1238" s="8">
        <v>20000</v>
      </c>
      <c r="K1238" s="8">
        <f t="shared" si="13"/>
        <v>229.04260192395787</v>
      </c>
      <c r="L1238" s="97">
        <v>44819</v>
      </c>
      <c r="M1238" s="6" t="s">
        <v>252</v>
      </c>
      <c r="N1238" s="97">
        <v>44819</v>
      </c>
      <c r="O1238" s="22" t="s">
        <v>6229</v>
      </c>
      <c r="P1238" s="6" t="s">
        <v>3040</v>
      </c>
      <c r="Q1238" s="6" t="s">
        <v>356</v>
      </c>
      <c r="R1238" s="6" t="str">
        <f t="shared" ca="1" si="12"/>
        <v>NonCategory</v>
      </c>
    </row>
    <row r="1239" spans="1:18">
      <c r="A1239" s="162">
        <v>44820</v>
      </c>
      <c r="B1239" s="164" t="s">
        <v>3041</v>
      </c>
      <c r="C1239" s="168" t="s">
        <v>3042</v>
      </c>
      <c r="D1239" s="6" t="s">
        <v>470</v>
      </c>
      <c r="E1239" s="6" t="s">
        <v>150</v>
      </c>
      <c r="F1239" s="79">
        <v>44805</v>
      </c>
      <c r="G1239" s="6" t="s">
        <v>16</v>
      </c>
      <c r="H1239" s="6" t="s">
        <v>2958</v>
      </c>
      <c r="I1239" s="6">
        <v>1</v>
      </c>
      <c r="J1239" s="8">
        <v>20500</v>
      </c>
      <c r="K1239" s="8">
        <f t="shared" si="13"/>
        <v>234.76866697205682</v>
      </c>
      <c r="L1239" s="97">
        <v>44820</v>
      </c>
      <c r="M1239" s="6" t="s">
        <v>252</v>
      </c>
      <c r="N1239" s="97">
        <v>44820</v>
      </c>
      <c r="O1239" s="22" t="s">
        <v>6230</v>
      </c>
      <c r="Q1239" s="6" t="s">
        <v>280</v>
      </c>
      <c r="R1239" s="6" t="str">
        <f t="shared" ca="1" si="12"/>
        <v>NonCategory</v>
      </c>
    </row>
    <row r="1240" spans="1:18">
      <c r="A1240" s="162">
        <v>44821</v>
      </c>
      <c r="B1240" s="164" t="s">
        <v>1062</v>
      </c>
      <c r="C1240" s="168" t="s">
        <v>1063</v>
      </c>
      <c r="D1240" s="6" t="s">
        <v>470</v>
      </c>
      <c r="E1240" s="6" t="s">
        <v>538</v>
      </c>
      <c r="F1240" s="79">
        <v>44805</v>
      </c>
      <c r="G1240" s="6" t="s">
        <v>16</v>
      </c>
      <c r="H1240" s="97">
        <v>44821</v>
      </c>
      <c r="I1240" s="6">
        <v>1</v>
      </c>
      <c r="J1240" s="8">
        <v>49000</v>
      </c>
      <c r="K1240" s="8">
        <f t="shared" si="13"/>
        <v>561.15437471369682</v>
      </c>
      <c r="L1240" s="97">
        <v>44821</v>
      </c>
      <c r="M1240" s="6" t="s">
        <v>252</v>
      </c>
      <c r="N1240" s="97">
        <v>44821</v>
      </c>
      <c r="O1240" s="22" t="s">
        <v>6231</v>
      </c>
      <c r="Q1240" s="6" t="s">
        <v>356</v>
      </c>
      <c r="R1240" s="6" t="str">
        <f t="shared" ca="1" si="12"/>
        <v>NonCategory</v>
      </c>
    </row>
    <row r="1241" spans="1:18">
      <c r="A1241" s="162">
        <v>44821</v>
      </c>
      <c r="B1241" s="164" t="s">
        <v>3043</v>
      </c>
      <c r="C1241" s="168" t="s">
        <v>3044</v>
      </c>
      <c r="D1241" s="6" t="s">
        <v>306</v>
      </c>
      <c r="E1241" s="6" t="s">
        <v>151</v>
      </c>
      <c r="F1241" s="79">
        <v>44805</v>
      </c>
      <c r="G1241" s="6" t="s">
        <v>16</v>
      </c>
      <c r="H1241" s="6" t="s">
        <v>3016</v>
      </c>
      <c r="I1241" s="6">
        <v>1</v>
      </c>
      <c r="J1241" s="8">
        <v>21000</v>
      </c>
      <c r="K1241" s="8">
        <f t="shared" si="13"/>
        <v>240.49473202015577</v>
      </c>
      <c r="L1241" s="97">
        <v>44821</v>
      </c>
      <c r="M1241" s="6" t="s">
        <v>252</v>
      </c>
      <c r="N1241" s="97">
        <v>44821</v>
      </c>
      <c r="O1241" s="22" t="s">
        <v>6232</v>
      </c>
      <c r="Q1241" s="6" t="s">
        <v>356</v>
      </c>
      <c r="R1241" s="6" t="str">
        <f t="shared" ca="1" si="12"/>
        <v>NonCategory</v>
      </c>
    </row>
    <row r="1242" spans="1:18">
      <c r="A1242" s="162">
        <v>44821</v>
      </c>
      <c r="B1242" s="164" t="s">
        <v>3045</v>
      </c>
      <c r="C1242" s="168" t="s">
        <v>3046</v>
      </c>
      <c r="D1242" s="6" t="s">
        <v>278</v>
      </c>
      <c r="E1242" s="6" t="s">
        <v>96</v>
      </c>
      <c r="F1242" s="79">
        <v>44805</v>
      </c>
      <c r="G1242" s="6" t="s">
        <v>16</v>
      </c>
      <c r="H1242" s="6" t="s">
        <v>2998</v>
      </c>
      <c r="I1242" s="6">
        <v>1</v>
      </c>
      <c r="J1242" s="8">
        <v>20500</v>
      </c>
      <c r="K1242" s="8">
        <f t="shared" si="13"/>
        <v>234.76866697205682</v>
      </c>
      <c r="L1242" s="97">
        <v>44821</v>
      </c>
      <c r="M1242" s="6" t="s">
        <v>252</v>
      </c>
      <c r="N1242" s="97">
        <v>44821</v>
      </c>
      <c r="O1242" s="22" t="s">
        <v>6233</v>
      </c>
      <c r="P1242" s="6" t="s">
        <v>3047</v>
      </c>
      <c r="Q1242" s="6" t="s">
        <v>280</v>
      </c>
      <c r="R1242" s="6" t="str">
        <f t="shared" ca="1" si="12"/>
        <v>NonCategory</v>
      </c>
    </row>
    <row r="1243" spans="1:18">
      <c r="A1243" s="162">
        <v>44821</v>
      </c>
      <c r="B1243" s="164" t="s">
        <v>3048</v>
      </c>
      <c r="C1243" s="168" t="s">
        <v>3049</v>
      </c>
      <c r="D1243" s="6" t="s">
        <v>278</v>
      </c>
      <c r="E1243" s="6" t="s">
        <v>96</v>
      </c>
      <c r="F1243" s="79">
        <v>44805</v>
      </c>
      <c r="G1243" s="6" t="s">
        <v>16</v>
      </c>
      <c r="H1243" s="6" t="s">
        <v>2998</v>
      </c>
      <c r="I1243" s="6">
        <v>1</v>
      </c>
      <c r="J1243" s="8">
        <v>20000</v>
      </c>
      <c r="K1243" s="8">
        <f t="shared" si="13"/>
        <v>229.04260192395787</v>
      </c>
      <c r="L1243" s="97">
        <v>44821</v>
      </c>
      <c r="M1243" s="6" t="s">
        <v>252</v>
      </c>
      <c r="N1243" s="97">
        <v>44821</v>
      </c>
      <c r="O1243" s="22" t="s">
        <v>6234</v>
      </c>
      <c r="P1243" s="6" t="s">
        <v>3050</v>
      </c>
      <c r="Q1243" s="6" t="s">
        <v>280</v>
      </c>
      <c r="R1243" s="6" t="str">
        <f t="shared" ca="1" si="12"/>
        <v>NonCategory</v>
      </c>
    </row>
    <row r="1244" spans="1:18">
      <c r="A1244" s="162">
        <v>44822</v>
      </c>
      <c r="B1244" s="164" t="s">
        <v>3051</v>
      </c>
      <c r="C1244" s="168" t="s">
        <v>3052</v>
      </c>
      <c r="D1244" s="6" t="s">
        <v>278</v>
      </c>
      <c r="E1244" s="6" t="s">
        <v>25</v>
      </c>
      <c r="F1244" s="79">
        <v>44805</v>
      </c>
      <c r="G1244" s="6" t="s">
        <v>16</v>
      </c>
      <c r="H1244" s="6" t="s">
        <v>2998</v>
      </c>
      <c r="I1244" s="6">
        <v>1</v>
      </c>
      <c r="J1244" s="8">
        <v>40061</v>
      </c>
      <c r="K1244" s="8">
        <f t="shared" si="13"/>
        <v>458.7837837837838</v>
      </c>
      <c r="L1244" s="97">
        <v>44822</v>
      </c>
      <c r="M1244" s="6" t="s">
        <v>252</v>
      </c>
      <c r="N1244" s="97">
        <v>44822</v>
      </c>
      <c r="O1244" s="22" t="s">
        <v>6235</v>
      </c>
      <c r="P1244" s="6" t="s">
        <v>1278</v>
      </c>
      <c r="Q1244" s="6" t="s">
        <v>280</v>
      </c>
      <c r="R1244" s="6" t="str">
        <f t="shared" ca="1" si="12"/>
        <v>NonCategory</v>
      </c>
    </row>
    <row r="1245" spans="1:18">
      <c r="A1245" s="162">
        <v>44822</v>
      </c>
      <c r="B1245" s="164" t="s">
        <v>3053</v>
      </c>
      <c r="C1245" s="168" t="s">
        <v>3054</v>
      </c>
      <c r="D1245" s="6" t="s">
        <v>278</v>
      </c>
      <c r="E1245" s="6" t="s">
        <v>96</v>
      </c>
      <c r="F1245" s="79">
        <v>44805</v>
      </c>
      <c r="G1245" s="6" t="s">
        <v>16</v>
      </c>
      <c r="H1245" s="6" t="s">
        <v>2998</v>
      </c>
      <c r="I1245" s="6">
        <v>1</v>
      </c>
      <c r="J1245" s="8">
        <v>20000</v>
      </c>
      <c r="K1245" s="8">
        <f t="shared" si="13"/>
        <v>229.04260192395787</v>
      </c>
      <c r="L1245" s="97">
        <v>44822</v>
      </c>
      <c r="M1245" s="6" t="s">
        <v>252</v>
      </c>
      <c r="N1245" s="97">
        <v>44822</v>
      </c>
      <c r="O1245" s="22" t="s">
        <v>6236</v>
      </c>
      <c r="P1245" s="6" t="s">
        <v>3055</v>
      </c>
      <c r="Q1245" s="6" t="s">
        <v>280</v>
      </c>
      <c r="R1245" s="6" t="str">
        <f t="shared" ca="1" si="12"/>
        <v>NonCategory</v>
      </c>
    </row>
    <row r="1246" spans="1:18">
      <c r="A1246" s="162">
        <v>44824</v>
      </c>
      <c r="B1246" s="164" t="s">
        <v>3056</v>
      </c>
      <c r="C1246" s="168" t="s">
        <v>3057</v>
      </c>
      <c r="D1246" s="6" t="s">
        <v>291</v>
      </c>
      <c r="E1246" s="6" t="s">
        <v>151</v>
      </c>
      <c r="F1246" s="79">
        <v>44805</v>
      </c>
      <c r="G1246" s="6" t="s">
        <v>16</v>
      </c>
      <c r="H1246" s="6" t="s">
        <v>2998</v>
      </c>
      <c r="I1246" s="6">
        <v>1</v>
      </c>
      <c r="J1246" s="8">
        <v>21000</v>
      </c>
      <c r="K1246" s="8">
        <f t="shared" si="13"/>
        <v>240.49473202015577</v>
      </c>
      <c r="L1246" s="97">
        <v>44824</v>
      </c>
      <c r="M1246" s="6" t="s">
        <v>252</v>
      </c>
      <c r="N1246" s="97">
        <v>44824</v>
      </c>
      <c r="O1246" s="22" t="s">
        <v>6237</v>
      </c>
      <c r="Q1246" s="6" t="s">
        <v>356</v>
      </c>
      <c r="R1246" s="6" t="str">
        <f t="shared" ca="1" si="12"/>
        <v>NonCategory</v>
      </c>
    </row>
    <row r="1247" spans="1:18">
      <c r="A1247" s="162">
        <v>44824</v>
      </c>
      <c r="B1247" s="164" t="s">
        <v>3058</v>
      </c>
      <c r="C1247" s="168" t="s">
        <v>3059</v>
      </c>
      <c r="D1247" s="6" t="s">
        <v>278</v>
      </c>
      <c r="E1247" s="6" t="s">
        <v>7</v>
      </c>
      <c r="F1247" s="79">
        <v>44805</v>
      </c>
      <c r="G1247" s="6" t="s">
        <v>13</v>
      </c>
      <c r="H1247" s="6" t="s">
        <v>2998</v>
      </c>
      <c r="I1247" s="6">
        <v>1</v>
      </c>
      <c r="J1247" s="8">
        <v>40061</v>
      </c>
      <c r="K1247" s="8">
        <f t="shared" si="13"/>
        <v>458.7837837837838</v>
      </c>
      <c r="L1247" s="97">
        <v>44824</v>
      </c>
      <c r="R1247" s="6" t="str">
        <f t="shared" ca="1" si="12"/>
        <v>NonCategory</v>
      </c>
    </row>
    <row r="1248" spans="1:18">
      <c r="A1248" s="162">
        <v>44824</v>
      </c>
      <c r="B1248" s="164" t="s">
        <v>3060</v>
      </c>
      <c r="C1248" s="168" t="s">
        <v>3061</v>
      </c>
      <c r="D1248" s="6" t="s">
        <v>278</v>
      </c>
      <c r="E1248" s="6" t="s">
        <v>97</v>
      </c>
      <c r="F1248" s="79">
        <v>44805</v>
      </c>
      <c r="G1248" s="6" t="s">
        <v>16</v>
      </c>
      <c r="H1248" s="6" t="s">
        <v>2998</v>
      </c>
      <c r="I1248" s="6">
        <v>1</v>
      </c>
      <c r="J1248" s="8">
        <v>20000</v>
      </c>
      <c r="K1248" s="8">
        <f t="shared" si="13"/>
        <v>229.04260192395787</v>
      </c>
      <c r="L1248" s="97">
        <v>44824</v>
      </c>
      <c r="M1248" s="6" t="s">
        <v>252</v>
      </c>
      <c r="N1248" s="97">
        <v>44824</v>
      </c>
      <c r="O1248" s="22" t="s">
        <v>6238</v>
      </c>
      <c r="P1248" s="6" t="s">
        <v>1278</v>
      </c>
      <c r="Q1248" s="6" t="s">
        <v>280</v>
      </c>
      <c r="R1248" s="6" t="str">
        <f t="shared" ca="1" si="12"/>
        <v>NonCategory</v>
      </c>
    </row>
    <row r="1249" spans="1:18">
      <c r="A1249" s="162">
        <v>44824</v>
      </c>
      <c r="B1249" s="164" t="s">
        <v>3062</v>
      </c>
      <c r="C1249" s="168" t="s">
        <v>3063</v>
      </c>
      <c r="D1249" s="6" t="s">
        <v>306</v>
      </c>
      <c r="E1249" s="6" t="s">
        <v>150</v>
      </c>
      <c r="F1249" s="79">
        <v>44805</v>
      </c>
      <c r="G1249" s="6" t="s">
        <v>16</v>
      </c>
      <c r="H1249" s="6" t="s">
        <v>2998</v>
      </c>
      <c r="I1249" s="6">
        <v>1</v>
      </c>
      <c r="J1249" s="8">
        <v>20500</v>
      </c>
      <c r="K1249" s="8">
        <f t="shared" si="13"/>
        <v>234.76866697205682</v>
      </c>
      <c r="L1249" s="97">
        <v>44824</v>
      </c>
      <c r="M1249" s="6" t="s">
        <v>252</v>
      </c>
      <c r="N1249" s="97">
        <v>44824</v>
      </c>
      <c r="O1249" s="22" t="s">
        <v>6239</v>
      </c>
      <c r="Q1249" s="6" t="s">
        <v>280</v>
      </c>
      <c r="R1249" s="6" t="str">
        <f t="shared" ca="1" si="12"/>
        <v>NonCategory</v>
      </c>
    </row>
    <row r="1250" spans="1:18">
      <c r="A1250" s="162">
        <v>44824</v>
      </c>
      <c r="B1250" s="164" t="s">
        <v>3064</v>
      </c>
      <c r="C1250" s="168" t="s">
        <v>3065</v>
      </c>
      <c r="D1250" s="6" t="s">
        <v>278</v>
      </c>
      <c r="E1250" s="6" t="s">
        <v>150</v>
      </c>
      <c r="F1250" s="79">
        <v>44805</v>
      </c>
      <c r="G1250" s="6" t="s">
        <v>16</v>
      </c>
      <c r="H1250" s="6" t="s">
        <v>2998</v>
      </c>
      <c r="I1250" s="6">
        <v>1</v>
      </c>
      <c r="J1250" s="8">
        <v>21000</v>
      </c>
      <c r="K1250" s="8">
        <f t="shared" si="13"/>
        <v>240.49473202015577</v>
      </c>
      <c r="L1250" s="97">
        <v>44824</v>
      </c>
      <c r="M1250" s="6" t="s">
        <v>252</v>
      </c>
      <c r="N1250" s="97">
        <v>44824</v>
      </c>
      <c r="O1250" s="22" t="s">
        <v>6240</v>
      </c>
      <c r="P1250" s="6" t="s">
        <v>3066</v>
      </c>
      <c r="Q1250" s="6" t="s">
        <v>280</v>
      </c>
      <c r="R1250" s="6" t="str">
        <f t="shared" ca="1" si="12"/>
        <v>NonCategory</v>
      </c>
    </row>
    <row r="1251" spans="1:18">
      <c r="A1251" s="162">
        <v>44824</v>
      </c>
      <c r="B1251" s="164" t="s">
        <v>3067</v>
      </c>
      <c r="C1251" s="168" t="s">
        <v>3068</v>
      </c>
      <c r="D1251" s="6" t="s">
        <v>291</v>
      </c>
      <c r="E1251" s="6" t="s">
        <v>96</v>
      </c>
      <c r="F1251" s="79">
        <v>44805</v>
      </c>
      <c r="G1251" s="6" t="s">
        <v>16</v>
      </c>
      <c r="H1251" s="6" t="s">
        <v>2998</v>
      </c>
      <c r="I1251" s="6">
        <v>1</v>
      </c>
      <c r="J1251" s="8">
        <v>20000</v>
      </c>
      <c r="K1251" s="8">
        <f t="shared" si="13"/>
        <v>229.04260192395787</v>
      </c>
      <c r="L1251" s="97">
        <v>44824</v>
      </c>
      <c r="M1251" s="6" t="s">
        <v>252</v>
      </c>
      <c r="N1251" s="97">
        <v>44824</v>
      </c>
      <c r="O1251" s="22" t="s">
        <v>6241</v>
      </c>
      <c r="Q1251" s="6" t="s">
        <v>356</v>
      </c>
      <c r="R1251" s="6" t="str">
        <f t="shared" ca="1" si="12"/>
        <v>NonCategory</v>
      </c>
    </row>
    <row r="1252" spans="1:18">
      <c r="A1252" s="162">
        <v>44825</v>
      </c>
      <c r="B1252" s="164" t="s">
        <v>3069</v>
      </c>
      <c r="C1252" s="168" t="s">
        <v>3070</v>
      </c>
      <c r="D1252" s="6" t="s">
        <v>278</v>
      </c>
      <c r="E1252" s="6" t="s">
        <v>97</v>
      </c>
      <c r="F1252" s="79">
        <v>44805</v>
      </c>
      <c r="G1252" s="6" t="s">
        <v>16</v>
      </c>
      <c r="H1252" s="6" t="s">
        <v>2961</v>
      </c>
      <c r="I1252" s="6">
        <v>1</v>
      </c>
      <c r="J1252" s="8">
        <v>20000</v>
      </c>
      <c r="K1252" s="8">
        <f t="shared" si="13"/>
        <v>229.04260192395787</v>
      </c>
      <c r="L1252" s="97">
        <v>44825</v>
      </c>
      <c r="M1252" s="6" t="s">
        <v>253</v>
      </c>
      <c r="N1252" s="97">
        <v>44825</v>
      </c>
      <c r="O1252" s="22" t="s">
        <v>6242</v>
      </c>
      <c r="P1252" s="6" t="s">
        <v>1478</v>
      </c>
      <c r="Q1252" s="6" t="s">
        <v>356</v>
      </c>
      <c r="R1252" s="6" t="str">
        <f t="shared" ca="1" si="12"/>
        <v>NonCategory</v>
      </c>
    </row>
    <row r="1253" spans="1:18">
      <c r="A1253" s="162">
        <v>44825</v>
      </c>
      <c r="B1253" s="164" t="s">
        <v>3071</v>
      </c>
      <c r="C1253" s="168" t="s">
        <v>3072</v>
      </c>
      <c r="D1253" s="6" t="s">
        <v>1842</v>
      </c>
      <c r="E1253" s="6" t="s">
        <v>150</v>
      </c>
      <c r="F1253" s="79">
        <v>44805</v>
      </c>
      <c r="G1253" s="6" t="s">
        <v>16</v>
      </c>
      <c r="H1253" s="6" t="s">
        <v>2998</v>
      </c>
      <c r="I1253" s="6">
        <v>1</v>
      </c>
      <c r="J1253" s="8">
        <v>21000</v>
      </c>
      <c r="K1253" s="8">
        <f t="shared" si="13"/>
        <v>240.49473202015577</v>
      </c>
      <c r="L1253" s="97">
        <v>44825</v>
      </c>
      <c r="M1253" s="6" t="s">
        <v>253</v>
      </c>
      <c r="N1253" s="97">
        <v>44825</v>
      </c>
      <c r="O1253" s="22" t="s">
        <v>6243</v>
      </c>
      <c r="Q1253" s="6" t="s">
        <v>280</v>
      </c>
      <c r="R1253" s="6" t="str">
        <f t="shared" ca="1" si="12"/>
        <v>NonCategory</v>
      </c>
    </row>
    <row r="1254" spans="1:18">
      <c r="A1254" s="162">
        <v>44826</v>
      </c>
      <c r="B1254" s="164" t="s">
        <v>3073</v>
      </c>
      <c r="C1254" s="168" t="s">
        <v>3074</v>
      </c>
      <c r="D1254" s="6" t="s">
        <v>470</v>
      </c>
      <c r="E1254" s="6" t="s">
        <v>150</v>
      </c>
      <c r="F1254" s="79">
        <v>44805</v>
      </c>
      <c r="G1254" s="6" t="s">
        <v>16</v>
      </c>
      <c r="H1254" s="6" t="s">
        <v>2961</v>
      </c>
      <c r="I1254" s="6">
        <v>1</v>
      </c>
      <c r="J1254" s="8">
        <v>20500</v>
      </c>
      <c r="K1254" s="8">
        <f t="shared" si="13"/>
        <v>234.76866697205682</v>
      </c>
      <c r="L1254" s="97">
        <v>44826</v>
      </c>
      <c r="M1254" s="6" t="s">
        <v>253</v>
      </c>
      <c r="N1254" s="97">
        <v>44826</v>
      </c>
      <c r="O1254" s="22" t="s">
        <v>6244</v>
      </c>
      <c r="Q1254" s="6" t="s">
        <v>356</v>
      </c>
      <c r="R1254" s="6" t="str">
        <f t="shared" ca="1" si="12"/>
        <v>NonCategory</v>
      </c>
    </row>
    <row r="1255" spans="1:18">
      <c r="A1255" s="162">
        <v>44826</v>
      </c>
      <c r="B1255" s="164" t="s">
        <v>2552</v>
      </c>
      <c r="C1255" s="168" t="s">
        <v>3075</v>
      </c>
      <c r="D1255" s="6" t="s">
        <v>303</v>
      </c>
      <c r="E1255" s="6" t="s">
        <v>151</v>
      </c>
      <c r="F1255" s="79">
        <v>44805</v>
      </c>
      <c r="G1255" s="6" t="s">
        <v>16</v>
      </c>
      <c r="H1255" s="6" t="s">
        <v>2998</v>
      </c>
      <c r="I1255" s="6">
        <v>1</v>
      </c>
      <c r="J1255" s="8">
        <v>21000</v>
      </c>
      <c r="K1255" s="8">
        <f t="shared" si="13"/>
        <v>240.49473202015577</v>
      </c>
      <c r="L1255" s="97">
        <v>44826</v>
      </c>
      <c r="M1255" s="6" t="s">
        <v>253</v>
      </c>
      <c r="N1255" s="97">
        <v>44826</v>
      </c>
      <c r="O1255" s="22" t="s">
        <v>6245</v>
      </c>
      <c r="Q1255" s="6" t="s">
        <v>280</v>
      </c>
      <c r="R1255" s="6" t="str">
        <f t="shared" ca="1" si="12"/>
        <v>NonCategory</v>
      </c>
    </row>
    <row r="1256" spans="1:18">
      <c r="A1256" s="162">
        <v>44827</v>
      </c>
      <c r="B1256" s="164" t="s">
        <v>3076</v>
      </c>
      <c r="C1256" s="168" t="s">
        <v>3077</v>
      </c>
      <c r="D1256" s="6" t="s">
        <v>343</v>
      </c>
      <c r="E1256" s="6" t="s">
        <v>150</v>
      </c>
      <c r="F1256" s="79">
        <v>44805</v>
      </c>
      <c r="G1256" s="6" t="s">
        <v>16</v>
      </c>
      <c r="H1256" s="6" t="s">
        <v>2998</v>
      </c>
      <c r="I1256" s="6">
        <v>1</v>
      </c>
      <c r="J1256" s="8">
        <v>21000</v>
      </c>
      <c r="K1256" s="8">
        <f t="shared" si="13"/>
        <v>240.49473202015577</v>
      </c>
      <c r="L1256" s="97">
        <v>44827</v>
      </c>
      <c r="M1256" s="6" t="s">
        <v>253</v>
      </c>
      <c r="N1256" s="97">
        <v>44827</v>
      </c>
      <c r="O1256" s="22" t="s">
        <v>6246</v>
      </c>
      <c r="Q1256" s="6" t="s">
        <v>356</v>
      </c>
      <c r="R1256" s="6" t="str">
        <f t="shared" ca="1" si="12"/>
        <v>NonCategory</v>
      </c>
    </row>
    <row r="1257" spans="1:18">
      <c r="A1257" s="162">
        <v>44827</v>
      </c>
      <c r="B1257" s="164" t="s">
        <v>3078</v>
      </c>
      <c r="C1257" s="168" t="s">
        <v>3079</v>
      </c>
      <c r="D1257" s="6" t="s">
        <v>287</v>
      </c>
      <c r="E1257" s="6" t="s">
        <v>150</v>
      </c>
      <c r="F1257" s="79">
        <v>44805</v>
      </c>
      <c r="G1257" s="6" t="s">
        <v>16</v>
      </c>
      <c r="H1257" s="6" t="s">
        <v>2961</v>
      </c>
      <c r="I1257" s="6">
        <v>1</v>
      </c>
      <c r="J1257" s="8">
        <v>20500</v>
      </c>
      <c r="K1257" s="8">
        <f t="shared" si="13"/>
        <v>234.76866697205682</v>
      </c>
      <c r="L1257" s="97">
        <v>44827</v>
      </c>
      <c r="M1257" s="6" t="s">
        <v>253</v>
      </c>
      <c r="N1257" s="97">
        <v>44827</v>
      </c>
      <c r="O1257" s="22" t="s">
        <v>6247</v>
      </c>
      <c r="Q1257" s="6" t="s">
        <v>356</v>
      </c>
      <c r="R1257" s="6" t="str">
        <f t="shared" ca="1" si="12"/>
        <v>NonCategory</v>
      </c>
    </row>
    <row r="1258" spans="1:18">
      <c r="A1258" s="162">
        <v>44827</v>
      </c>
      <c r="B1258" s="164" t="s">
        <v>3080</v>
      </c>
      <c r="C1258" s="168" t="s">
        <v>3081</v>
      </c>
      <c r="D1258" s="6" t="s">
        <v>278</v>
      </c>
      <c r="E1258" s="6" t="s">
        <v>1524</v>
      </c>
      <c r="F1258" s="79">
        <v>44805</v>
      </c>
      <c r="G1258" s="6" t="s">
        <v>16</v>
      </c>
      <c r="H1258" s="6" t="s">
        <v>2998</v>
      </c>
      <c r="I1258" s="6">
        <v>1</v>
      </c>
      <c r="J1258" s="8">
        <v>24000</v>
      </c>
      <c r="K1258" s="8">
        <f t="shared" si="13"/>
        <v>274.85112230874944</v>
      </c>
      <c r="L1258" s="97">
        <v>44827</v>
      </c>
      <c r="M1258" s="6" t="s">
        <v>253</v>
      </c>
      <c r="N1258" s="97">
        <v>44827</v>
      </c>
      <c r="O1258" s="22" t="s">
        <v>6248</v>
      </c>
      <c r="P1258" s="6" t="s">
        <v>3082</v>
      </c>
      <c r="Q1258" s="6" t="s">
        <v>356</v>
      </c>
      <c r="R1258" s="6" t="str">
        <f t="shared" ca="1" si="12"/>
        <v>NonCategory</v>
      </c>
    </row>
    <row r="1259" spans="1:18">
      <c r="A1259" s="162">
        <v>44828</v>
      </c>
      <c r="B1259" s="164" t="s">
        <v>3083</v>
      </c>
      <c r="C1259" s="168" t="s">
        <v>3084</v>
      </c>
      <c r="D1259" s="6" t="s">
        <v>306</v>
      </c>
      <c r="E1259" s="6" t="s">
        <v>96</v>
      </c>
      <c r="F1259" s="79">
        <v>44805</v>
      </c>
      <c r="G1259" s="6" t="s">
        <v>16</v>
      </c>
      <c r="H1259" s="6" t="s">
        <v>3085</v>
      </c>
      <c r="I1259" s="6">
        <v>1</v>
      </c>
      <c r="J1259" s="8">
        <v>20000</v>
      </c>
      <c r="K1259" s="8">
        <f t="shared" si="13"/>
        <v>229.04260192395787</v>
      </c>
      <c r="L1259" s="97">
        <v>44828</v>
      </c>
      <c r="M1259" s="6" t="s">
        <v>253</v>
      </c>
      <c r="N1259" s="97">
        <v>44828</v>
      </c>
      <c r="O1259" s="136" t="s">
        <v>6249</v>
      </c>
      <c r="Q1259" s="6" t="s">
        <v>356</v>
      </c>
      <c r="R1259" s="6" t="str">
        <f t="shared" ca="1" si="12"/>
        <v>NonCategory</v>
      </c>
    </row>
    <row r="1260" spans="1:18">
      <c r="A1260" s="162">
        <v>44828</v>
      </c>
      <c r="B1260" s="164" t="s">
        <v>620</v>
      </c>
      <c r="C1260" s="168" t="s">
        <v>3086</v>
      </c>
      <c r="D1260" s="6" t="s">
        <v>319</v>
      </c>
      <c r="E1260" s="6" t="s">
        <v>151</v>
      </c>
      <c r="F1260" s="79">
        <v>44805</v>
      </c>
      <c r="G1260" s="6" t="s">
        <v>16</v>
      </c>
      <c r="H1260" s="6" t="s">
        <v>3085</v>
      </c>
      <c r="I1260" s="6">
        <v>1</v>
      </c>
      <c r="J1260" s="8">
        <v>21000</v>
      </c>
      <c r="K1260" s="8">
        <f t="shared" si="13"/>
        <v>240.49473202015577</v>
      </c>
      <c r="L1260" s="97">
        <v>44828</v>
      </c>
      <c r="M1260" s="6" t="s">
        <v>253</v>
      </c>
      <c r="N1260" s="97">
        <v>44829</v>
      </c>
      <c r="O1260" s="22" t="s">
        <v>6250</v>
      </c>
      <c r="Q1260" s="6" t="s">
        <v>356</v>
      </c>
      <c r="R1260" s="6" t="str">
        <f t="shared" ca="1" si="12"/>
        <v>NonCategory</v>
      </c>
    </row>
    <row r="1261" spans="1:18">
      <c r="A1261" s="162">
        <v>44830</v>
      </c>
      <c r="B1261" s="164" t="s">
        <v>3087</v>
      </c>
      <c r="C1261" s="168" t="s">
        <v>3088</v>
      </c>
      <c r="D1261" s="6" t="s">
        <v>303</v>
      </c>
      <c r="E1261" s="6" t="s">
        <v>96</v>
      </c>
      <c r="F1261" s="79">
        <v>44805</v>
      </c>
      <c r="G1261" s="6" t="s">
        <v>16</v>
      </c>
      <c r="H1261" s="6" t="s">
        <v>3089</v>
      </c>
      <c r="I1261" s="6">
        <v>1</v>
      </c>
      <c r="J1261" s="8">
        <v>20000</v>
      </c>
      <c r="K1261" s="8">
        <f t="shared" si="13"/>
        <v>229.04260192395787</v>
      </c>
      <c r="L1261" s="97">
        <v>44830</v>
      </c>
      <c r="M1261" s="6" t="s">
        <v>253</v>
      </c>
      <c r="N1261" s="97">
        <v>44830</v>
      </c>
      <c r="O1261" s="137" t="s">
        <v>6251</v>
      </c>
      <c r="Q1261" s="6" t="s">
        <v>356</v>
      </c>
      <c r="R1261" s="6" t="str">
        <f t="shared" ca="1" si="12"/>
        <v>NonCategory</v>
      </c>
    </row>
    <row r="1262" spans="1:18">
      <c r="A1262" s="162">
        <v>44830</v>
      </c>
      <c r="B1262" s="164" t="s">
        <v>3090</v>
      </c>
      <c r="C1262" s="168" t="s">
        <v>3091</v>
      </c>
      <c r="D1262" s="6" t="s">
        <v>303</v>
      </c>
      <c r="E1262" s="6" t="s">
        <v>6</v>
      </c>
      <c r="F1262" s="79">
        <v>44805</v>
      </c>
      <c r="G1262" s="6" t="s">
        <v>16</v>
      </c>
      <c r="H1262" s="6" t="s">
        <v>3092</v>
      </c>
      <c r="I1262" s="6">
        <v>1</v>
      </c>
      <c r="J1262" s="8">
        <v>42000</v>
      </c>
      <c r="K1262" s="8">
        <f t="shared" si="13"/>
        <v>480.98946404031153</v>
      </c>
      <c r="L1262" s="97">
        <v>44830</v>
      </c>
      <c r="M1262" s="6" t="s">
        <v>253</v>
      </c>
      <c r="N1262" s="97">
        <v>44834</v>
      </c>
      <c r="O1262" s="22" t="s">
        <v>6252</v>
      </c>
      <c r="Q1262" s="6" t="s">
        <v>356</v>
      </c>
      <c r="R1262" s="6" t="str">
        <f t="shared" ca="1" si="12"/>
        <v>NonCategory</v>
      </c>
    </row>
    <row r="1263" spans="1:18">
      <c r="A1263" s="162">
        <v>44831</v>
      </c>
      <c r="B1263" s="164" t="s">
        <v>2397</v>
      </c>
      <c r="C1263" s="168" t="s">
        <v>2398</v>
      </c>
      <c r="D1263" s="6" t="s">
        <v>470</v>
      </c>
      <c r="E1263" s="6" t="s">
        <v>1524</v>
      </c>
      <c r="F1263" s="79">
        <v>44805</v>
      </c>
      <c r="G1263" s="6" t="s">
        <v>16</v>
      </c>
      <c r="H1263" s="6" t="s">
        <v>3093</v>
      </c>
      <c r="I1263" s="6">
        <v>1</v>
      </c>
      <c r="J1263" s="8">
        <v>24000</v>
      </c>
      <c r="K1263" s="8">
        <f t="shared" si="13"/>
        <v>274.85112230874944</v>
      </c>
      <c r="L1263" s="97">
        <v>44831</v>
      </c>
      <c r="M1263" s="6" t="s">
        <v>253</v>
      </c>
      <c r="N1263" s="97">
        <v>44831</v>
      </c>
      <c r="O1263" s="22" t="s">
        <v>6253</v>
      </c>
      <c r="Q1263" s="6" t="s">
        <v>356</v>
      </c>
      <c r="R1263" s="6" t="str">
        <f t="shared" ca="1" si="12"/>
        <v>NonCategory</v>
      </c>
    </row>
    <row r="1264" spans="1:18">
      <c r="A1264" s="162">
        <v>44831</v>
      </c>
      <c r="B1264" s="164" t="s">
        <v>3094</v>
      </c>
      <c r="C1264" s="168" t="s">
        <v>3095</v>
      </c>
      <c r="D1264" s="6" t="s">
        <v>278</v>
      </c>
      <c r="E1264" s="6" t="s">
        <v>150</v>
      </c>
      <c r="F1264" s="79">
        <v>44805</v>
      </c>
      <c r="G1264" s="6" t="s">
        <v>16</v>
      </c>
      <c r="H1264" s="6" t="s">
        <v>2961</v>
      </c>
      <c r="I1264" s="6">
        <v>1</v>
      </c>
      <c r="J1264" s="8">
        <v>21000</v>
      </c>
      <c r="K1264" s="8">
        <f t="shared" si="13"/>
        <v>240.49473202015577</v>
      </c>
      <c r="L1264" s="97">
        <v>44831</v>
      </c>
      <c r="M1264" s="6" t="s">
        <v>253</v>
      </c>
      <c r="N1264" s="97">
        <v>44831</v>
      </c>
      <c r="O1264" s="22" t="s">
        <v>6254</v>
      </c>
      <c r="P1264" s="6" t="s">
        <v>3096</v>
      </c>
      <c r="Q1264" s="6" t="s">
        <v>356</v>
      </c>
      <c r="R1264" s="6" t="str">
        <f t="shared" ca="1" si="12"/>
        <v>NonCategory</v>
      </c>
    </row>
    <row r="1265" spans="1:18">
      <c r="A1265" s="162">
        <v>44832</v>
      </c>
      <c r="B1265" s="164" t="s">
        <v>3097</v>
      </c>
      <c r="C1265" s="168" t="s">
        <v>2273</v>
      </c>
      <c r="D1265" s="6" t="s">
        <v>470</v>
      </c>
      <c r="E1265" s="6" t="s">
        <v>25</v>
      </c>
      <c r="F1265" s="79">
        <v>44805</v>
      </c>
      <c r="G1265" s="6" t="s">
        <v>16</v>
      </c>
      <c r="H1265" s="6" t="s">
        <v>2961</v>
      </c>
      <c r="I1265" s="6">
        <v>1</v>
      </c>
      <c r="J1265" s="8">
        <v>40061</v>
      </c>
      <c r="K1265" s="8">
        <f t="shared" si="13"/>
        <v>458.7837837837838</v>
      </c>
      <c r="L1265" s="97">
        <v>44832</v>
      </c>
      <c r="M1265" s="6" t="s">
        <v>253</v>
      </c>
      <c r="N1265" s="97">
        <v>44832</v>
      </c>
      <c r="O1265" s="22" t="s">
        <v>6255</v>
      </c>
      <c r="Q1265" s="6" t="s">
        <v>356</v>
      </c>
      <c r="R1265" s="6" t="str">
        <f t="shared" ca="1" si="12"/>
        <v>NonCategory</v>
      </c>
    </row>
    <row r="1266" spans="1:18">
      <c r="A1266" s="162">
        <v>44834</v>
      </c>
      <c r="B1266" s="164" t="s">
        <v>3098</v>
      </c>
      <c r="C1266" s="168" t="s">
        <v>3099</v>
      </c>
      <c r="D1266" s="6" t="s">
        <v>470</v>
      </c>
      <c r="E1266" s="6" t="s">
        <v>72</v>
      </c>
      <c r="F1266" s="79">
        <v>44805</v>
      </c>
      <c r="G1266" s="6" t="s">
        <v>16</v>
      </c>
      <c r="H1266" s="6" t="s">
        <v>3100</v>
      </c>
      <c r="I1266" s="6">
        <v>1</v>
      </c>
      <c r="J1266" s="8">
        <v>57230</v>
      </c>
      <c r="K1266" s="8">
        <f t="shared" si="13"/>
        <v>655.40540540540542</v>
      </c>
      <c r="L1266" s="97">
        <v>44834</v>
      </c>
      <c r="M1266" s="6" t="s">
        <v>253</v>
      </c>
      <c r="N1266" s="97">
        <v>44834</v>
      </c>
      <c r="O1266" s="22" t="s">
        <v>6256</v>
      </c>
      <c r="Q1266" s="6" t="s">
        <v>356</v>
      </c>
      <c r="R1266" s="6" t="str">
        <f t="shared" ca="1" si="12"/>
        <v>NonCategory</v>
      </c>
    </row>
    <row r="1267" spans="1:18">
      <c r="A1267" s="162">
        <v>44834</v>
      </c>
      <c r="B1267" s="164" t="s">
        <v>3098</v>
      </c>
      <c r="C1267" s="168" t="s">
        <v>3099</v>
      </c>
      <c r="D1267" s="6" t="s">
        <v>470</v>
      </c>
      <c r="E1267" s="6" t="s">
        <v>72</v>
      </c>
      <c r="F1267" s="79">
        <v>44805</v>
      </c>
      <c r="G1267" s="6" t="s">
        <v>16</v>
      </c>
      <c r="H1267" s="6" t="s">
        <v>3100</v>
      </c>
      <c r="I1267" s="6">
        <v>1</v>
      </c>
      <c r="J1267" s="8">
        <v>67770</v>
      </c>
      <c r="K1267" s="8">
        <f t="shared" si="13"/>
        <v>776.11085661933123</v>
      </c>
      <c r="L1267" s="97">
        <v>44834</v>
      </c>
      <c r="M1267" s="6" t="s">
        <v>253</v>
      </c>
      <c r="N1267" s="97">
        <v>44834</v>
      </c>
      <c r="O1267" s="22" t="s">
        <v>6257</v>
      </c>
      <c r="Q1267" s="6" t="s">
        <v>356</v>
      </c>
      <c r="R1267" s="6" t="str">
        <f t="shared" ca="1" si="12"/>
        <v>NonCategory</v>
      </c>
    </row>
    <row r="1268" spans="1:18">
      <c r="A1268" s="162">
        <v>44834</v>
      </c>
      <c r="B1268" s="164" t="s">
        <v>3101</v>
      </c>
      <c r="C1268" s="168" t="s">
        <v>3102</v>
      </c>
      <c r="D1268" s="6" t="s">
        <v>306</v>
      </c>
      <c r="E1268" s="6" t="s">
        <v>96</v>
      </c>
      <c r="F1268" s="79">
        <v>44805</v>
      </c>
      <c r="G1268" s="6" t="s">
        <v>16</v>
      </c>
      <c r="H1268" s="6" t="s">
        <v>3103</v>
      </c>
      <c r="I1268" s="6">
        <v>1</v>
      </c>
      <c r="J1268" s="8">
        <v>20000</v>
      </c>
      <c r="K1268" s="8">
        <f t="shared" si="13"/>
        <v>229.04260192395787</v>
      </c>
      <c r="L1268" s="97">
        <v>44834</v>
      </c>
      <c r="M1268" s="6" t="s">
        <v>253</v>
      </c>
      <c r="N1268" s="97">
        <v>44834</v>
      </c>
      <c r="O1268" s="22" t="s">
        <v>6258</v>
      </c>
      <c r="Q1268" s="6" t="s">
        <v>356</v>
      </c>
      <c r="R1268" s="6" t="str">
        <f t="shared" ca="1" si="12"/>
        <v>NonCategory</v>
      </c>
    </row>
    <row r="1269" spans="1:18">
      <c r="A1269" s="162">
        <v>44834</v>
      </c>
      <c r="B1269" s="164" t="s">
        <v>3010</v>
      </c>
      <c r="C1269" s="168" t="s">
        <v>3011</v>
      </c>
      <c r="D1269" s="6" t="s">
        <v>278</v>
      </c>
      <c r="E1269" s="6" t="s">
        <v>151</v>
      </c>
      <c r="F1269" s="79">
        <v>44805</v>
      </c>
      <c r="G1269" s="6" t="s">
        <v>16</v>
      </c>
      <c r="H1269" s="6" t="s">
        <v>3085</v>
      </c>
      <c r="I1269" s="6">
        <v>1</v>
      </c>
      <c r="J1269" s="8">
        <v>21000</v>
      </c>
      <c r="K1269" s="8">
        <f t="shared" si="13"/>
        <v>240.49473202015577</v>
      </c>
      <c r="L1269" s="97">
        <v>44834</v>
      </c>
      <c r="M1269" s="6" t="s">
        <v>253</v>
      </c>
      <c r="N1269" s="97">
        <v>44834</v>
      </c>
      <c r="O1269" s="22" t="s">
        <v>6259</v>
      </c>
      <c r="P1269" s="6" t="s">
        <v>1478</v>
      </c>
      <c r="Q1269" s="6" t="s">
        <v>356</v>
      </c>
      <c r="R1269" s="6" t="str">
        <f t="shared" ca="1" si="12"/>
        <v>NonCategory</v>
      </c>
    </row>
    <row r="1270" spans="1:18">
      <c r="A1270" s="162">
        <v>44835</v>
      </c>
      <c r="B1270" s="164" t="s">
        <v>3104</v>
      </c>
      <c r="C1270" s="168" t="s">
        <v>3105</v>
      </c>
      <c r="D1270" s="6" t="s">
        <v>303</v>
      </c>
      <c r="E1270" s="6" t="s">
        <v>150</v>
      </c>
      <c r="F1270" s="79">
        <v>44835</v>
      </c>
      <c r="G1270" s="6" t="s">
        <v>16</v>
      </c>
      <c r="H1270" s="6" t="s">
        <v>3016</v>
      </c>
      <c r="I1270" s="6">
        <v>1</v>
      </c>
      <c r="J1270" s="8">
        <v>20500</v>
      </c>
      <c r="K1270" s="8">
        <f t="shared" si="13"/>
        <v>234.76866697205682</v>
      </c>
      <c r="L1270" s="97">
        <v>44835</v>
      </c>
      <c r="M1270" s="6" t="s">
        <v>251</v>
      </c>
      <c r="N1270" s="97">
        <v>44837</v>
      </c>
      <c r="O1270" s="22" t="s">
        <v>6260</v>
      </c>
      <c r="Q1270" s="6" t="s">
        <v>356</v>
      </c>
      <c r="R1270" s="6" t="str">
        <f t="shared" ca="1" si="12"/>
        <v>NonCategory</v>
      </c>
    </row>
    <row r="1271" spans="1:18">
      <c r="A1271" s="162">
        <v>44835</v>
      </c>
      <c r="B1271" s="164" t="s">
        <v>2948</v>
      </c>
      <c r="C1271" s="168" t="s">
        <v>2949</v>
      </c>
      <c r="D1271" s="6" t="s">
        <v>319</v>
      </c>
      <c r="E1271" s="6" t="s">
        <v>151</v>
      </c>
      <c r="F1271" s="79">
        <v>44835</v>
      </c>
      <c r="G1271" s="6" t="s">
        <v>16</v>
      </c>
      <c r="H1271" s="6" t="s">
        <v>3085</v>
      </c>
      <c r="I1271" s="6">
        <v>1</v>
      </c>
      <c r="J1271" s="8">
        <v>21000</v>
      </c>
      <c r="K1271" s="8">
        <f t="shared" si="13"/>
        <v>240.49473202015577</v>
      </c>
      <c r="L1271" s="97">
        <v>44835</v>
      </c>
      <c r="M1271" s="6" t="s">
        <v>251</v>
      </c>
      <c r="N1271" s="97">
        <v>44835</v>
      </c>
      <c r="O1271" s="22" t="s">
        <v>6261</v>
      </c>
      <c r="Q1271" s="6" t="s">
        <v>356</v>
      </c>
      <c r="R1271" s="6" t="str">
        <f t="shared" ca="1" si="12"/>
        <v>NonCategory</v>
      </c>
    </row>
    <row r="1272" spans="1:18">
      <c r="A1272" s="162">
        <v>44837</v>
      </c>
      <c r="B1272" s="164" t="s">
        <v>3106</v>
      </c>
      <c r="C1272" s="168" t="s">
        <v>3107</v>
      </c>
      <c r="D1272" s="6" t="s">
        <v>319</v>
      </c>
      <c r="E1272" s="6" t="s">
        <v>25</v>
      </c>
      <c r="F1272" s="79">
        <v>44835</v>
      </c>
      <c r="G1272" s="6" t="s">
        <v>16</v>
      </c>
      <c r="H1272" s="6" t="s">
        <v>3085</v>
      </c>
      <c r="I1272" s="6">
        <v>1</v>
      </c>
      <c r="J1272" s="8">
        <v>42000</v>
      </c>
      <c r="K1272" s="8">
        <f t="shared" si="13"/>
        <v>480.98946404031153</v>
      </c>
      <c r="L1272" s="97">
        <v>44837</v>
      </c>
      <c r="M1272" s="6" t="s">
        <v>251</v>
      </c>
      <c r="N1272" s="97">
        <v>44837</v>
      </c>
      <c r="O1272" s="22" t="s">
        <v>6262</v>
      </c>
      <c r="Q1272" s="6" t="s">
        <v>356</v>
      </c>
      <c r="R1272" s="6" t="str">
        <f t="shared" ca="1" si="12"/>
        <v>NonCategory</v>
      </c>
    </row>
    <row r="1273" spans="1:18">
      <c r="A1273" s="162">
        <v>44837</v>
      </c>
      <c r="B1273" s="164" t="s">
        <v>3108</v>
      </c>
      <c r="C1273" s="168" t="s">
        <v>3109</v>
      </c>
      <c r="D1273" s="6" t="s">
        <v>470</v>
      </c>
      <c r="E1273" s="6" t="s">
        <v>1715</v>
      </c>
      <c r="F1273" s="79">
        <v>44835</v>
      </c>
      <c r="G1273" s="6" t="s">
        <v>13</v>
      </c>
      <c r="H1273" s="97">
        <v>44842</v>
      </c>
      <c r="I1273" s="6">
        <v>1</v>
      </c>
      <c r="J1273" s="8">
        <v>19200</v>
      </c>
      <c r="K1273" s="8">
        <f t="shared" si="13"/>
        <v>219.88089784699957</v>
      </c>
      <c r="L1273" s="97">
        <v>44837</v>
      </c>
      <c r="R1273" s="6" t="str">
        <f t="shared" ca="1" si="12"/>
        <v>NonCategory</v>
      </c>
    </row>
    <row r="1274" spans="1:18">
      <c r="A1274" s="162">
        <v>44837</v>
      </c>
      <c r="B1274" s="164" t="s">
        <v>3110</v>
      </c>
      <c r="C1274" s="168" t="s">
        <v>3111</v>
      </c>
      <c r="D1274" s="6" t="s">
        <v>291</v>
      </c>
      <c r="E1274" s="6" t="s">
        <v>150</v>
      </c>
      <c r="F1274" s="79">
        <v>44835</v>
      </c>
      <c r="G1274" s="6" t="s">
        <v>16</v>
      </c>
      <c r="H1274" s="6" t="s">
        <v>3085</v>
      </c>
      <c r="I1274" s="6">
        <v>1</v>
      </c>
      <c r="J1274" s="8">
        <v>21000</v>
      </c>
      <c r="K1274" s="8">
        <f t="shared" si="13"/>
        <v>240.49473202015577</v>
      </c>
      <c r="L1274" s="97">
        <v>44837</v>
      </c>
      <c r="M1274" s="6" t="s">
        <v>251</v>
      </c>
      <c r="N1274" s="97">
        <v>44837</v>
      </c>
      <c r="O1274" s="22" t="s">
        <v>6263</v>
      </c>
      <c r="Q1274" s="6" t="s">
        <v>356</v>
      </c>
      <c r="R1274" s="6" t="str">
        <f t="shared" ca="1" si="12"/>
        <v>NonCategory</v>
      </c>
    </row>
    <row r="1275" spans="1:18">
      <c r="A1275" s="162">
        <v>44837</v>
      </c>
      <c r="B1275" s="164" t="s">
        <v>3112</v>
      </c>
      <c r="C1275" s="168" t="s">
        <v>3113</v>
      </c>
      <c r="D1275" s="6" t="s">
        <v>470</v>
      </c>
      <c r="E1275" s="6" t="s">
        <v>150</v>
      </c>
      <c r="F1275" s="79">
        <v>44835</v>
      </c>
      <c r="G1275" s="6" t="s">
        <v>16</v>
      </c>
      <c r="H1275" s="6" t="s">
        <v>3085</v>
      </c>
      <c r="I1275" s="6">
        <v>1</v>
      </c>
      <c r="J1275" s="8">
        <v>21000</v>
      </c>
      <c r="K1275" s="8">
        <f t="shared" si="13"/>
        <v>240.49473202015577</v>
      </c>
      <c r="L1275" s="97">
        <v>44837</v>
      </c>
      <c r="M1275" s="6" t="s">
        <v>251</v>
      </c>
      <c r="N1275" s="97">
        <v>44837</v>
      </c>
      <c r="O1275" s="22" t="s">
        <v>6264</v>
      </c>
      <c r="Q1275" s="6" t="s">
        <v>356</v>
      </c>
      <c r="R1275" s="6" t="str">
        <f t="shared" ca="1" si="12"/>
        <v>NonCategory</v>
      </c>
    </row>
    <row r="1276" spans="1:18">
      <c r="A1276" s="162">
        <v>44837</v>
      </c>
      <c r="B1276" s="164" t="s">
        <v>3114</v>
      </c>
      <c r="C1276" s="168" t="s">
        <v>3115</v>
      </c>
      <c r="D1276" s="6" t="s">
        <v>278</v>
      </c>
      <c r="E1276" s="6" t="s">
        <v>150</v>
      </c>
      <c r="F1276" s="79">
        <v>44835</v>
      </c>
      <c r="G1276" s="6" t="s">
        <v>16</v>
      </c>
      <c r="H1276" s="6" t="s">
        <v>3085</v>
      </c>
      <c r="I1276" s="6">
        <v>1</v>
      </c>
      <c r="J1276" s="8">
        <v>21000</v>
      </c>
      <c r="K1276" s="8">
        <f t="shared" si="13"/>
        <v>240.49473202015577</v>
      </c>
      <c r="L1276" s="97">
        <v>44837</v>
      </c>
      <c r="M1276" s="6" t="s">
        <v>251</v>
      </c>
      <c r="N1276" s="97">
        <v>44841</v>
      </c>
      <c r="O1276" s="22" t="s">
        <v>6265</v>
      </c>
      <c r="P1276" s="6" t="s">
        <v>3116</v>
      </c>
      <c r="Q1276" s="6" t="s">
        <v>356</v>
      </c>
      <c r="R1276" s="6" t="str">
        <f t="shared" ref="R1276:R1530" ca="1" si="14">IFERROR(_xludf.IFS($E1276="CSM","Category",$E1276="CSPO","Category", $E1276="PSM","Category",$E1276="PSPO","Category",$E1276="SAFe Agile","SAFe",$E1276="SAFe SSM","SAFe",$E1276="SAFe POPM","SAFe",$E1276="SASM","SAFe",$E1276="PMI-ACP","Category",$E1276="ICP-ACC","Category",$E1276="PSM 2","Category",$E1276="SAFe RTE","SAFe",$E1276="",""),"NonCategory")</f>
        <v>NonCategory</v>
      </c>
    </row>
    <row r="1277" spans="1:18">
      <c r="A1277" s="162">
        <v>44837</v>
      </c>
      <c r="B1277" s="164" t="s">
        <v>3117</v>
      </c>
      <c r="C1277" s="168" t="s">
        <v>3118</v>
      </c>
      <c r="D1277" s="6" t="s">
        <v>278</v>
      </c>
      <c r="E1277" s="6" t="s">
        <v>150</v>
      </c>
      <c r="F1277" s="79">
        <v>44835</v>
      </c>
      <c r="G1277" s="6" t="s">
        <v>16</v>
      </c>
      <c r="H1277" s="6" t="s">
        <v>3085</v>
      </c>
      <c r="I1277" s="6">
        <v>1</v>
      </c>
      <c r="J1277" s="8">
        <v>21000</v>
      </c>
      <c r="K1277" s="8">
        <f t="shared" si="13"/>
        <v>240.49473202015577</v>
      </c>
      <c r="L1277" s="97">
        <v>44837</v>
      </c>
      <c r="M1277" s="6" t="s">
        <v>251</v>
      </c>
      <c r="N1277" s="97">
        <v>44837</v>
      </c>
      <c r="O1277" s="22" t="s">
        <v>6266</v>
      </c>
      <c r="P1277" s="6" t="s">
        <v>3119</v>
      </c>
      <c r="Q1277" s="6" t="s">
        <v>356</v>
      </c>
      <c r="R1277" s="6" t="str">
        <f t="shared" ca="1" si="14"/>
        <v>NonCategory</v>
      </c>
    </row>
    <row r="1278" spans="1:18">
      <c r="A1278" s="162">
        <v>44838</v>
      </c>
      <c r="B1278" s="164" t="s">
        <v>2930</v>
      </c>
      <c r="C1278" s="168" t="s">
        <v>2931</v>
      </c>
      <c r="D1278" s="6" t="s">
        <v>470</v>
      </c>
      <c r="E1278" s="6" t="s">
        <v>1524</v>
      </c>
      <c r="F1278" s="79">
        <v>44835</v>
      </c>
      <c r="G1278" s="6" t="s">
        <v>13</v>
      </c>
      <c r="H1278" s="6" t="s">
        <v>3016</v>
      </c>
      <c r="I1278" s="6">
        <v>1</v>
      </c>
      <c r="J1278" s="8">
        <v>24000</v>
      </c>
      <c r="K1278" s="8">
        <f t="shared" si="13"/>
        <v>274.85112230874944</v>
      </c>
      <c r="L1278" s="97">
        <v>44838</v>
      </c>
      <c r="R1278" s="6" t="str">
        <f t="shared" ca="1" si="14"/>
        <v>NonCategory</v>
      </c>
    </row>
    <row r="1279" spans="1:18">
      <c r="A1279" s="162">
        <v>44838</v>
      </c>
      <c r="B1279" s="164" t="s">
        <v>3120</v>
      </c>
      <c r="C1279" s="168" t="s">
        <v>3121</v>
      </c>
      <c r="D1279" s="6" t="s">
        <v>278</v>
      </c>
      <c r="E1279" s="6" t="s">
        <v>1524</v>
      </c>
      <c r="F1279" s="79">
        <v>44835</v>
      </c>
      <c r="G1279" s="6" t="s">
        <v>16</v>
      </c>
      <c r="H1279" s="6" t="s">
        <v>2929</v>
      </c>
      <c r="I1279" s="6">
        <v>1</v>
      </c>
      <c r="J1279" s="8">
        <v>24000</v>
      </c>
      <c r="K1279" s="8">
        <f t="shared" si="13"/>
        <v>274.85112230874944</v>
      </c>
      <c r="L1279" s="97">
        <v>44838</v>
      </c>
      <c r="M1279" s="6" t="s">
        <v>251</v>
      </c>
      <c r="N1279" s="97">
        <v>44840</v>
      </c>
      <c r="O1279" s="22" t="s">
        <v>6267</v>
      </c>
      <c r="Q1279" s="6" t="s">
        <v>356</v>
      </c>
      <c r="R1279" s="6" t="str">
        <f t="shared" ca="1" si="14"/>
        <v>NonCategory</v>
      </c>
    </row>
    <row r="1280" spans="1:18">
      <c r="A1280" s="162">
        <v>44840</v>
      </c>
      <c r="B1280" s="164" t="s">
        <v>3122</v>
      </c>
      <c r="C1280" s="168" t="s">
        <v>3123</v>
      </c>
      <c r="D1280" s="6" t="s">
        <v>303</v>
      </c>
      <c r="E1280" s="6" t="s">
        <v>532</v>
      </c>
      <c r="F1280" s="79">
        <v>44835</v>
      </c>
      <c r="G1280" s="6" t="s">
        <v>16</v>
      </c>
      <c r="H1280" s="97">
        <v>44840</v>
      </c>
      <c r="I1280" s="6">
        <v>1</v>
      </c>
      <c r="J1280" s="8">
        <v>13500</v>
      </c>
      <c r="K1280" s="8">
        <f t="shared" si="13"/>
        <v>154.60375629867156</v>
      </c>
      <c r="L1280" s="97">
        <v>44840</v>
      </c>
      <c r="M1280" s="6" t="s">
        <v>251</v>
      </c>
      <c r="N1280" s="97">
        <v>44840</v>
      </c>
      <c r="O1280" s="22" t="s">
        <v>6268</v>
      </c>
      <c r="Q1280" s="6" t="s">
        <v>356</v>
      </c>
      <c r="R1280" s="6" t="str">
        <f t="shared" ca="1" si="14"/>
        <v>NonCategory</v>
      </c>
    </row>
    <row r="1281" spans="1:18">
      <c r="A1281" s="162">
        <v>44840</v>
      </c>
      <c r="B1281" s="164" t="s">
        <v>3124</v>
      </c>
      <c r="C1281" s="168" t="s">
        <v>3125</v>
      </c>
      <c r="D1281" s="6" t="s">
        <v>291</v>
      </c>
      <c r="E1281" s="6" t="s">
        <v>1497</v>
      </c>
      <c r="F1281" s="79">
        <v>44835</v>
      </c>
      <c r="G1281" s="6" t="s">
        <v>16</v>
      </c>
      <c r="H1281" s="6" t="s">
        <v>3126</v>
      </c>
      <c r="I1281" s="6">
        <v>1</v>
      </c>
      <c r="J1281" s="8">
        <v>24000</v>
      </c>
      <c r="K1281" s="8">
        <f t="shared" si="13"/>
        <v>274.85112230874944</v>
      </c>
      <c r="L1281" s="97">
        <v>44840</v>
      </c>
      <c r="M1281" s="6" t="s">
        <v>251</v>
      </c>
      <c r="N1281" s="97">
        <v>44840</v>
      </c>
      <c r="O1281" s="22" t="s">
        <v>6269</v>
      </c>
      <c r="Q1281" s="6" t="s">
        <v>356</v>
      </c>
      <c r="R1281" s="6" t="str">
        <f t="shared" ca="1" si="14"/>
        <v>NonCategory</v>
      </c>
    </row>
    <row r="1282" spans="1:18">
      <c r="A1282" s="162">
        <v>44840</v>
      </c>
      <c r="B1282" s="164" t="s">
        <v>3127</v>
      </c>
      <c r="C1282" s="168" t="s">
        <v>3128</v>
      </c>
      <c r="D1282" s="6" t="s">
        <v>306</v>
      </c>
      <c r="E1282" s="6" t="s">
        <v>150</v>
      </c>
      <c r="F1282" s="79">
        <v>44835</v>
      </c>
      <c r="G1282" s="6" t="s">
        <v>13</v>
      </c>
      <c r="H1282" s="6" t="s">
        <v>3016</v>
      </c>
      <c r="I1282" s="6">
        <v>1</v>
      </c>
      <c r="J1282" s="8">
        <v>21000</v>
      </c>
      <c r="K1282" s="8">
        <f t="shared" si="13"/>
        <v>240.49473202015577</v>
      </c>
      <c r="L1282" s="97">
        <v>44840</v>
      </c>
      <c r="R1282" s="6" t="str">
        <f t="shared" ca="1" si="14"/>
        <v>NonCategory</v>
      </c>
    </row>
    <row r="1283" spans="1:18">
      <c r="A1283" s="162">
        <v>44840</v>
      </c>
      <c r="B1283" s="164" t="s">
        <v>3129</v>
      </c>
      <c r="C1283" s="168" t="s">
        <v>3130</v>
      </c>
      <c r="D1283" s="6" t="s">
        <v>291</v>
      </c>
      <c r="E1283" s="6" t="s">
        <v>151</v>
      </c>
      <c r="F1283" s="79">
        <v>44835</v>
      </c>
      <c r="G1283" s="6" t="s">
        <v>16</v>
      </c>
      <c r="H1283" s="6" t="s">
        <v>3085</v>
      </c>
      <c r="I1283" s="6">
        <v>1</v>
      </c>
      <c r="J1283" s="8">
        <v>21000</v>
      </c>
      <c r="K1283" s="8">
        <f t="shared" si="13"/>
        <v>240.49473202015577</v>
      </c>
      <c r="L1283" s="97">
        <v>44840</v>
      </c>
      <c r="M1283" s="6" t="s">
        <v>251</v>
      </c>
      <c r="N1283" s="97">
        <v>44840</v>
      </c>
      <c r="O1283" s="22" t="s">
        <v>6270</v>
      </c>
      <c r="Q1283" s="6" t="s">
        <v>356</v>
      </c>
      <c r="R1283" s="6" t="str">
        <f t="shared" ca="1" si="14"/>
        <v>NonCategory</v>
      </c>
    </row>
    <row r="1284" spans="1:18">
      <c r="A1284" s="162">
        <v>44844</v>
      </c>
      <c r="B1284" s="164" t="s">
        <v>3131</v>
      </c>
      <c r="C1284" s="168" t="s">
        <v>3132</v>
      </c>
      <c r="D1284" s="6" t="s">
        <v>278</v>
      </c>
      <c r="E1284" s="6" t="s">
        <v>1524</v>
      </c>
      <c r="F1284" s="79">
        <v>44835</v>
      </c>
      <c r="G1284" s="6" t="s">
        <v>16</v>
      </c>
      <c r="H1284" s="6" t="s">
        <v>3016</v>
      </c>
      <c r="I1284" s="6">
        <v>1</v>
      </c>
      <c r="J1284" s="8">
        <v>24000</v>
      </c>
      <c r="K1284" s="8">
        <f t="shared" si="13"/>
        <v>274.85112230874944</v>
      </c>
      <c r="L1284" s="97">
        <v>44844</v>
      </c>
      <c r="M1284" s="6" t="s">
        <v>252</v>
      </c>
      <c r="N1284" s="97">
        <v>44847</v>
      </c>
      <c r="O1284" s="22" t="s">
        <v>6271</v>
      </c>
      <c r="P1284" s="6" t="s">
        <v>3133</v>
      </c>
      <c r="Q1284" s="6" t="s">
        <v>356</v>
      </c>
      <c r="R1284" s="6" t="str">
        <f t="shared" ca="1" si="14"/>
        <v>NonCategory</v>
      </c>
    </row>
    <row r="1285" spans="1:18">
      <c r="A1285" s="162">
        <v>44844</v>
      </c>
      <c r="B1285" s="164" t="s">
        <v>3134</v>
      </c>
      <c r="C1285" s="168" t="s">
        <v>3135</v>
      </c>
      <c r="D1285" s="6" t="s">
        <v>291</v>
      </c>
      <c r="E1285" s="6" t="s">
        <v>150</v>
      </c>
      <c r="F1285" s="79">
        <v>44835</v>
      </c>
      <c r="G1285" s="6" t="s">
        <v>16</v>
      </c>
      <c r="H1285" s="6" t="s">
        <v>3016</v>
      </c>
      <c r="I1285" s="6">
        <v>1</v>
      </c>
      <c r="J1285" s="8">
        <v>21000</v>
      </c>
      <c r="K1285" s="8">
        <f t="shared" si="13"/>
        <v>240.49473202015577</v>
      </c>
      <c r="L1285" s="97">
        <v>44844</v>
      </c>
      <c r="M1285" s="6" t="s">
        <v>252</v>
      </c>
      <c r="N1285" s="97">
        <v>44845</v>
      </c>
      <c r="O1285" s="22" t="s">
        <v>6272</v>
      </c>
      <c r="Q1285" s="6" t="s">
        <v>356</v>
      </c>
      <c r="R1285" s="6" t="str">
        <f t="shared" ca="1" si="14"/>
        <v>NonCategory</v>
      </c>
    </row>
    <row r="1286" spans="1:18">
      <c r="A1286" s="162">
        <v>44844</v>
      </c>
      <c r="B1286" s="164" t="s">
        <v>1829</v>
      </c>
      <c r="C1286" s="168" t="s">
        <v>1830</v>
      </c>
      <c r="D1286" s="6" t="s">
        <v>470</v>
      </c>
      <c r="E1286" s="6" t="s">
        <v>25</v>
      </c>
      <c r="F1286" s="79">
        <v>44835</v>
      </c>
      <c r="G1286" s="6" t="s">
        <v>16</v>
      </c>
      <c r="H1286" s="6" t="s">
        <v>3016</v>
      </c>
      <c r="I1286" s="6">
        <v>1</v>
      </c>
      <c r="J1286" s="8">
        <v>40061</v>
      </c>
      <c r="K1286" s="8">
        <f t="shared" si="13"/>
        <v>458.7837837837838</v>
      </c>
      <c r="L1286" s="97">
        <v>44844</v>
      </c>
      <c r="M1286" s="6" t="s">
        <v>251</v>
      </c>
      <c r="N1286" s="97">
        <v>44844</v>
      </c>
      <c r="O1286" s="22" t="s">
        <v>6273</v>
      </c>
      <c r="Q1286" s="6" t="s">
        <v>356</v>
      </c>
      <c r="R1286" s="6" t="str">
        <f t="shared" ca="1" si="14"/>
        <v>NonCategory</v>
      </c>
    </row>
    <row r="1287" spans="1:18">
      <c r="A1287" s="162">
        <v>44844</v>
      </c>
      <c r="B1287" s="164" t="s">
        <v>3136</v>
      </c>
      <c r="C1287" s="168" t="s">
        <v>3137</v>
      </c>
      <c r="D1287" s="6" t="s">
        <v>278</v>
      </c>
      <c r="E1287" s="6" t="s">
        <v>96</v>
      </c>
      <c r="F1287" s="79">
        <v>44835</v>
      </c>
      <c r="G1287" s="6" t="s">
        <v>16</v>
      </c>
      <c r="H1287" s="6" t="s">
        <v>3016</v>
      </c>
      <c r="I1287" s="6">
        <v>1</v>
      </c>
      <c r="J1287" s="8">
        <v>20000</v>
      </c>
      <c r="K1287" s="8">
        <f t="shared" si="13"/>
        <v>229.04260192395787</v>
      </c>
      <c r="L1287" s="97">
        <v>44844</v>
      </c>
      <c r="M1287" s="6" t="s">
        <v>251</v>
      </c>
      <c r="N1287" s="97">
        <v>44844</v>
      </c>
      <c r="O1287" s="22" t="s">
        <v>6274</v>
      </c>
      <c r="Q1287" s="6" t="s">
        <v>356</v>
      </c>
      <c r="R1287" s="6" t="str">
        <f t="shared" ca="1" si="14"/>
        <v>NonCategory</v>
      </c>
    </row>
    <row r="1288" spans="1:18">
      <c r="A1288" s="162">
        <v>44844</v>
      </c>
      <c r="B1288" s="164" t="s">
        <v>3138</v>
      </c>
      <c r="C1288" s="168" t="s">
        <v>3139</v>
      </c>
      <c r="D1288" s="6" t="s">
        <v>278</v>
      </c>
      <c r="E1288" s="6" t="s">
        <v>96</v>
      </c>
      <c r="F1288" s="79">
        <v>44835</v>
      </c>
      <c r="G1288" s="6" t="s">
        <v>16</v>
      </c>
      <c r="H1288" s="6" t="s">
        <v>3016</v>
      </c>
      <c r="I1288" s="6">
        <v>1</v>
      </c>
      <c r="J1288" s="8">
        <v>20000</v>
      </c>
      <c r="K1288" s="8">
        <f t="shared" si="13"/>
        <v>229.04260192395787</v>
      </c>
      <c r="L1288" s="97">
        <v>44844</v>
      </c>
      <c r="M1288" s="6" t="s">
        <v>251</v>
      </c>
      <c r="N1288" s="97">
        <v>44844</v>
      </c>
      <c r="O1288" s="22" t="s">
        <v>6275</v>
      </c>
      <c r="Q1288" s="6" t="s">
        <v>356</v>
      </c>
      <c r="R1288" s="6" t="str">
        <f t="shared" ca="1" si="14"/>
        <v>NonCategory</v>
      </c>
    </row>
    <row r="1289" spans="1:18">
      <c r="A1289" s="162">
        <v>44845</v>
      </c>
      <c r="B1289" s="164" t="s">
        <v>3140</v>
      </c>
      <c r="C1289" s="168" t="s">
        <v>3141</v>
      </c>
      <c r="D1289" s="6" t="s">
        <v>303</v>
      </c>
      <c r="E1289" s="6" t="s">
        <v>150</v>
      </c>
      <c r="F1289" s="79">
        <v>44835</v>
      </c>
      <c r="G1289" s="6" t="s">
        <v>16</v>
      </c>
      <c r="H1289" s="6" t="s">
        <v>3093</v>
      </c>
      <c r="I1289" s="6">
        <v>1</v>
      </c>
      <c r="J1289" s="8">
        <v>21000</v>
      </c>
      <c r="K1289" s="8">
        <f t="shared" si="13"/>
        <v>240.49473202015577</v>
      </c>
      <c r="L1289" s="97">
        <v>44845</v>
      </c>
      <c r="M1289" s="6" t="s">
        <v>252</v>
      </c>
      <c r="N1289" s="97">
        <v>44845</v>
      </c>
      <c r="O1289" s="22" t="s">
        <v>6275</v>
      </c>
      <c r="Q1289" s="6" t="s">
        <v>356</v>
      </c>
      <c r="R1289" s="6" t="str">
        <f t="shared" ca="1" si="14"/>
        <v>NonCategory</v>
      </c>
    </row>
    <row r="1290" spans="1:18">
      <c r="A1290" s="162">
        <v>44845</v>
      </c>
      <c r="B1290" s="165" t="s">
        <v>3142</v>
      </c>
      <c r="C1290" s="168" t="s">
        <v>3143</v>
      </c>
      <c r="D1290" s="2" t="s">
        <v>291</v>
      </c>
      <c r="E1290" s="2" t="s">
        <v>150</v>
      </c>
      <c r="F1290" s="79">
        <v>44835</v>
      </c>
      <c r="G1290" s="6" t="s">
        <v>16</v>
      </c>
      <c r="H1290" s="6" t="s">
        <v>3144</v>
      </c>
      <c r="I1290" s="6">
        <v>1</v>
      </c>
      <c r="J1290" s="8">
        <v>21000</v>
      </c>
      <c r="K1290" s="8">
        <f t="shared" si="13"/>
        <v>240.49473202015577</v>
      </c>
      <c r="L1290" s="97">
        <v>44845</v>
      </c>
      <c r="M1290" s="6" t="s">
        <v>252</v>
      </c>
      <c r="N1290" s="97">
        <v>44845</v>
      </c>
      <c r="O1290" s="22" t="s">
        <v>6276</v>
      </c>
      <c r="Q1290" s="6" t="s">
        <v>356</v>
      </c>
      <c r="R1290" s="6" t="str">
        <f t="shared" ca="1" si="14"/>
        <v>NonCategory</v>
      </c>
    </row>
    <row r="1291" spans="1:18">
      <c r="A1291" s="162">
        <v>44846</v>
      </c>
      <c r="B1291" s="164" t="s">
        <v>3145</v>
      </c>
      <c r="C1291" s="168" t="s">
        <v>3146</v>
      </c>
      <c r="D1291" s="6" t="s">
        <v>303</v>
      </c>
      <c r="E1291" s="6" t="s">
        <v>3147</v>
      </c>
      <c r="F1291" s="79">
        <v>44835</v>
      </c>
      <c r="G1291" s="6" t="s">
        <v>16</v>
      </c>
      <c r="H1291" s="97">
        <v>44849</v>
      </c>
      <c r="I1291" s="6">
        <v>1</v>
      </c>
      <c r="J1291" s="8">
        <v>6500</v>
      </c>
      <c r="K1291" s="8">
        <f t="shared" si="13"/>
        <v>74.438845625286305</v>
      </c>
      <c r="L1291" s="97">
        <v>44846</v>
      </c>
      <c r="M1291" s="6" t="s">
        <v>252</v>
      </c>
      <c r="N1291" s="97">
        <v>44847</v>
      </c>
      <c r="O1291" s="22" t="s">
        <v>6277</v>
      </c>
      <c r="Q1291" s="6" t="s">
        <v>356</v>
      </c>
      <c r="R1291" s="6" t="str">
        <f t="shared" ca="1" si="14"/>
        <v>NonCategory</v>
      </c>
    </row>
    <row r="1292" spans="1:18">
      <c r="A1292" s="162">
        <v>44846</v>
      </c>
      <c r="B1292" s="164" t="s">
        <v>3145</v>
      </c>
      <c r="C1292" s="168" t="s">
        <v>3146</v>
      </c>
      <c r="D1292" s="6" t="s">
        <v>303</v>
      </c>
      <c r="E1292" s="6" t="s">
        <v>3147</v>
      </c>
      <c r="F1292" s="79">
        <v>44835</v>
      </c>
      <c r="G1292" s="6" t="s">
        <v>16</v>
      </c>
      <c r="H1292" s="97">
        <v>44849</v>
      </c>
      <c r="I1292" s="6">
        <v>1</v>
      </c>
      <c r="J1292" s="8">
        <v>35500</v>
      </c>
      <c r="K1292" s="8">
        <f t="shared" si="13"/>
        <v>406.55061841502521</v>
      </c>
      <c r="L1292" s="97">
        <v>44846</v>
      </c>
      <c r="M1292" s="6" t="s">
        <v>252</v>
      </c>
      <c r="N1292" s="97">
        <v>44851</v>
      </c>
      <c r="O1292" s="22" t="s">
        <v>6278</v>
      </c>
      <c r="Q1292" s="6" t="s">
        <v>356</v>
      </c>
      <c r="R1292" s="6" t="str">
        <f t="shared" ca="1" si="14"/>
        <v>NonCategory</v>
      </c>
    </row>
    <row r="1293" spans="1:18">
      <c r="A1293" s="162">
        <v>44847</v>
      </c>
      <c r="B1293" s="164" t="s">
        <v>1799</v>
      </c>
      <c r="C1293" s="168" t="s">
        <v>3148</v>
      </c>
      <c r="D1293" s="6" t="s">
        <v>470</v>
      </c>
      <c r="E1293" s="6" t="s">
        <v>150</v>
      </c>
      <c r="F1293" s="79">
        <v>44835</v>
      </c>
      <c r="G1293" s="6" t="s">
        <v>16</v>
      </c>
      <c r="H1293" s="6" t="s">
        <v>3016</v>
      </c>
      <c r="I1293" s="6">
        <v>1</v>
      </c>
      <c r="J1293" s="8">
        <v>21000</v>
      </c>
      <c r="K1293" s="8">
        <f t="shared" si="13"/>
        <v>240.49473202015577</v>
      </c>
      <c r="L1293" s="97">
        <v>44847</v>
      </c>
      <c r="M1293" s="6" t="s">
        <v>252</v>
      </c>
      <c r="N1293" s="97">
        <v>44847</v>
      </c>
      <c r="O1293" s="22" t="s">
        <v>6279</v>
      </c>
      <c r="Q1293" s="6" t="s">
        <v>356</v>
      </c>
      <c r="R1293" s="6" t="str">
        <f t="shared" ca="1" si="14"/>
        <v>NonCategory</v>
      </c>
    </row>
    <row r="1294" spans="1:18">
      <c r="A1294" s="162">
        <v>44848</v>
      </c>
      <c r="B1294" s="164" t="s">
        <v>3149</v>
      </c>
      <c r="C1294" s="168" t="s">
        <v>3150</v>
      </c>
      <c r="D1294" s="6" t="s">
        <v>470</v>
      </c>
      <c r="E1294" s="6" t="s">
        <v>96</v>
      </c>
      <c r="F1294" s="79">
        <v>44835</v>
      </c>
      <c r="G1294" s="6" t="s">
        <v>16</v>
      </c>
      <c r="H1294" s="6" t="s">
        <v>3016</v>
      </c>
      <c r="I1294" s="6">
        <v>1</v>
      </c>
      <c r="J1294" s="8">
        <v>20000</v>
      </c>
      <c r="K1294" s="8">
        <f t="shared" si="13"/>
        <v>229.04260192395787</v>
      </c>
      <c r="L1294" s="97">
        <v>44848</v>
      </c>
      <c r="M1294" s="6" t="s">
        <v>252</v>
      </c>
      <c r="N1294" s="97">
        <v>44848</v>
      </c>
      <c r="O1294" s="22" t="s">
        <v>6280</v>
      </c>
      <c r="Q1294" s="6" t="s">
        <v>356</v>
      </c>
      <c r="R1294" s="6" t="str">
        <f t="shared" ca="1" si="14"/>
        <v>NonCategory</v>
      </c>
    </row>
    <row r="1295" spans="1:18">
      <c r="A1295" s="162">
        <v>44848</v>
      </c>
      <c r="B1295" s="164" t="s">
        <v>3151</v>
      </c>
      <c r="C1295" s="168" t="s">
        <v>3152</v>
      </c>
      <c r="D1295" s="6" t="s">
        <v>278</v>
      </c>
      <c r="E1295" s="6" t="s">
        <v>96</v>
      </c>
      <c r="F1295" s="79">
        <v>44835</v>
      </c>
      <c r="G1295" s="6" t="s">
        <v>16</v>
      </c>
      <c r="H1295" s="6" t="s">
        <v>3016</v>
      </c>
      <c r="I1295" s="6">
        <v>1</v>
      </c>
      <c r="J1295" s="8">
        <v>20000</v>
      </c>
      <c r="K1295" s="8">
        <f t="shared" si="13"/>
        <v>229.04260192395787</v>
      </c>
      <c r="L1295" s="97">
        <v>44848</v>
      </c>
      <c r="M1295" s="6" t="s">
        <v>252</v>
      </c>
      <c r="N1295" s="97">
        <v>44848</v>
      </c>
      <c r="O1295" s="22" t="s">
        <v>6281</v>
      </c>
      <c r="P1295" s="6" t="s">
        <v>3153</v>
      </c>
      <c r="Q1295" s="6" t="s">
        <v>356</v>
      </c>
      <c r="R1295" s="6" t="str">
        <f t="shared" ca="1" si="14"/>
        <v>NonCategory</v>
      </c>
    </row>
    <row r="1296" spans="1:18">
      <c r="A1296" s="162">
        <v>44844</v>
      </c>
      <c r="B1296" s="164" t="s">
        <v>3154</v>
      </c>
      <c r="C1296" s="168" t="s">
        <v>3155</v>
      </c>
      <c r="D1296" s="6" t="s">
        <v>470</v>
      </c>
      <c r="E1296" s="6" t="s">
        <v>150</v>
      </c>
      <c r="F1296" s="79">
        <v>44835</v>
      </c>
      <c r="G1296" s="6" t="s">
        <v>16</v>
      </c>
      <c r="H1296" s="6" t="s">
        <v>3016</v>
      </c>
      <c r="I1296" s="6">
        <v>1</v>
      </c>
      <c r="J1296" s="8">
        <v>21000</v>
      </c>
      <c r="K1296" s="8">
        <f t="shared" si="13"/>
        <v>240.49473202015577</v>
      </c>
      <c r="L1296" s="97">
        <v>44844</v>
      </c>
      <c r="M1296" s="6" t="s">
        <v>252</v>
      </c>
      <c r="N1296" s="97">
        <v>44844</v>
      </c>
      <c r="O1296" s="22" t="s">
        <v>6282</v>
      </c>
      <c r="Q1296" s="6" t="s">
        <v>356</v>
      </c>
      <c r="R1296" s="6" t="str">
        <f t="shared" ca="1" si="14"/>
        <v>NonCategory</v>
      </c>
    </row>
    <row r="1297" spans="1:18">
      <c r="A1297" s="162">
        <v>44851</v>
      </c>
      <c r="B1297" s="164" t="s">
        <v>3156</v>
      </c>
      <c r="C1297" s="168" t="s">
        <v>3157</v>
      </c>
      <c r="D1297" s="6" t="s">
        <v>303</v>
      </c>
      <c r="E1297" s="6" t="s">
        <v>1715</v>
      </c>
      <c r="F1297" s="79">
        <v>44835</v>
      </c>
      <c r="G1297" s="6" t="s">
        <v>16</v>
      </c>
      <c r="H1297" s="97">
        <v>44851</v>
      </c>
      <c r="I1297" s="6">
        <v>1</v>
      </c>
      <c r="J1297" s="8">
        <v>19200</v>
      </c>
      <c r="K1297" s="8">
        <f t="shared" si="13"/>
        <v>219.88089784699957</v>
      </c>
      <c r="L1297" s="97">
        <v>44851</v>
      </c>
      <c r="M1297" s="6" t="s">
        <v>252</v>
      </c>
      <c r="N1297" s="97">
        <v>44851</v>
      </c>
      <c r="O1297" s="22" t="s">
        <v>6283</v>
      </c>
      <c r="Q1297" s="6" t="s">
        <v>356</v>
      </c>
      <c r="R1297" s="6" t="str">
        <f t="shared" ca="1" si="14"/>
        <v>NonCategory</v>
      </c>
    </row>
    <row r="1298" spans="1:18">
      <c r="A1298" s="162">
        <v>44851</v>
      </c>
      <c r="B1298" s="164" t="s">
        <v>3158</v>
      </c>
      <c r="C1298" s="168" t="s">
        <v>3159</v>
      </c>
      <c r="D1298" s="6" t="s">
        <v>319</v>
      </c>
      <c r="E1298" s="6" t="s">
        <v>151</v>
      </c>
      <c r="F1298" s="79">
        <v>44835</v>
      </c>
      <c r="G1298" s="6" t="s">
        <v>16</v>
      </c>
      <c r="H1298" s="6" t="s">
        <v>3160</v>
      </c>
      <c r="I1298" s="6">
        <v>1</v>
      </c>
      <c r="J1298" s="8">
        <v>21000</v>
      </c>
      <c r="K1298" s="8">
        <f t="shared" si="13"/>
        <v>240.49473202015577</v>
      </c>
      <c r="L1298" s="97">
        <v>44851</v>
      </c>
      <c r="M1298" s="6" t="s">
        <v>252</v>
      </c>
      <c r="N1298" s="97">
        <v>44852</v>
      </c>
      <c r="O1298" s="22" t="s">
        <v>6284</v>
      </c>
      <c r="Q1298" s="6" t="s">
        <v>356</v>
      </c>
      <c r="R1298" s="6" t="str">
        <f t="shared" ca="1" si="14"/>
        <v>NonCategory</v>
      </c>
    </row>
    <row r="1299" spans="1:18">
      <c r="A1299" s="162">
        <v>44852</v>
      </c>
      <c r="B1299" s="164" t="s">
        <v>3161</v>
      </c>
      <c r="C1299" s="168" t="s">
        <v>3162</v>
      </c>
      <c r="D1299" s="6" t="s">
        <v>303</v>
      </c>
      <c r="E1299" s="6" t="s">
        <v>538</v>
      </c>
      <c r="F1299" s="79">
        <v>44835</v>
      </c>
      <c r="G1299" s="6" t="s">
        <v>16</v>
      </c>
      <c r="H1299" s="97">
        <v>44865</v>
      </c>
      <c r="I1299" s="6">
        <v>1</v>
      </c>
      <c r="J1299" s="8">
        <v>49000</v>
      </c>
      <c r="K1299" s="8">
        <f t="shared" si="13"/>
        <v>561.15437471369682</v>
      </c>
      <c r="L1299" s="97">
        <v>44852</v>
      </c>
      <c r="M1299" s="6" t="s">
        <v>252</v>
      </c>
      <c r="N1299" s="97">
        <v>44852</v>
      </c>
      <c r="O1299" s="22" t="s">
        <v>6285</v>
      </c>
      <c r="Q1299" s="6" t="s">
        <v>356</v>
      </c>
      <c r="R1299" s="6" t="str">
        <f t="shared" ca="1" si="14"/>
        <v>NonCategory</v>
      </c>
    </row>
    <row r="1300" spans="1:18">
      <c r="A1300" s="162">
        <v>44853</v>
      </c>
      <c r="B1300" s="164" t="s">
        <v>2919</v>
      </c>
      <c r="C1300" s="168" t="s">
        <v>2920</v>
      </c>
      <c r="D1300" s="6" t="s">
        <v>278</v>
      </c>
      <c r="E1300" s="6" t="s">
        <v>96</v>
      </c>
      <c r="F1300" s="79">
        <v>44835</v>
      </c>
      <c r="G1300" s="6" t="s">
        <v>13</v>
      </c>
      <c r="H1300" s="6" t="s">
        <v>3093</v>
      </c>
      <c r="I1300" s="6">
        <v>1</v>
      </c>
      <c r="J1300" s="8">
        <v>20000</v>
      </c>
      <c r="K1300" s="8">
        <f t="shared" si="13"/>
        <v>229.04260192395787</v>
      </c>
      <c r="R1300" s="6" t="str">
        <f t="shared" ca="1" si="14"/>
        <v>NonCategory</v>
      </c>
    </row>
    <row r="1301" spans="1:18">
      <c r="A1301" s="162">
        <v>44855</v>
      </c>
      <c r="B1301" s="164" t="s">
        <v>3163</v>
      </c>
      <c r="C1301" s="168" t="s">
        <v>3164</v>
      </c>
      <c r="D1301" s="6" t="s">
        <v>278</v>
      </c>
      <c r="E1301" s="6" t="s">
        <v>1524</v>
      </c>
      <c r="F1301" s="79">
        <v>44835</v>
      </c>
      <c r="G1301" s="6" t="s">
        <v>16</v>
      </c>
      <c r="H1301" s="6" t="s">
        <v>3093</v>
      </c>
      <c r="I1301" s="6">
        <v>1</v>
      </c>
      <c r="J1301" s="8">
        <v>24000</v>
      </c>
      <c r="K1301" s="8">
        <f t="shared" si="13"/>
        <v>274.85112230874944</v>
      </c>
      <c r="L1301" s="97">
        <v>44855</v>
      </c>
      <c r="M1301" s="6" t="s">
        <v>253</v>
      </c>
      <c r="N1301" s="97">
        <v>44855</v>
      </c>
      <c r="O1301" s="22" t="s">
        <v>6286</v>
      </c>
      <c r="Q1301" s="6" t="s">
        <v>356</v>
      </c>
      <c r="R1301" s="6" t="str">
        <f t="shared" ca="1" si="14"/>
        <v>NonCategory</v>
      </c>
    </row>
    <row r="1302" spans="1:18">
      <c r="A1302" s="162">
        <v>44858</v>
      </c>
      <c r="B1302" s="164" t="s">
        <v>3165</v>
      </c>
      <c r="C1302" s="168" t="s">
        <v>3166</v>
      </c>
      <c r="D1302" s="6" t="s">
        <v>303</v>
      </c>
      <c r="E1302" s="6" t="s">
        <v>3167</v>
      </c>
      <c r="F1302" s="79">
        <v>44835</v>
      </c>
      <c r="G1302" s="6" t="s">
        <v>16</v>
      </c>
      <c r="H1302" s="6" t="s">
        <v>21</v>
      </c>
      <c r="I1302" s="6">
        <v>1</v>
      </c>
      <c r="J1302" s="8">
        <v>35000</v>
      </c>
      <c r="K1302" s="8">
        <f t="shared" si="13"/>
        <v>400.8245533669263</v>
      </c>
      <c r="L1302" s="97">
        <v>44858</v>
      </c>
      <c r="M1302" s="6" t="s">
        <v>253</v>
      </c>
      <c r="N1302" s="97">
        <v>44858</v>
      </c>
      <c r="O1302" s="22" t="s">
        <v>6287</v>
      </c>
      <c r="Q1302" s="6" t="s">
        <v>356</v>
      </c>
      <c r="R1302" s="6" t="str">
        <f t="shared" ca="1" si="14"/>
        <v>NonCategory</v>
      </c>
    </row>
    <row r="1303" spans="1:18">
      <c r="A1303" s="162">
        <v>44859</v>
      </c>
      <c r="B1303" s="164" t="s">
        <v>76</v>
      </c>
      <c r="C1303" s="168" t="s">
        <v>85</v>
      </c>
      <c r="D1303" s="6" t="s">
        <v>287</v>
      </c>
      <c r="E1303" s="6" t="s">
        <v>3168</v>
      </c>
      <c r="F1303" s="79">
        <v>44835</v>
      </c>
      <c r="G1303" s="6" t="s">
        <v>16</v>
      </c>
      <c r="H1303" s="97">
        <v>44865</v>
      </c>
      <c r="I1303" s="6">
        <v>1</v>
      </c>
      <c r="J1303" s="8">
        <v>20000</v>
      </c>
      <c r="K1303" s="8">
        <f t="shared" si="13"/>
        <v>229.04260192395787</v>
      </c>
      <c r="L1303" s="97">
        <v>44859</v>
      </c>
      <c r="M1303" s="6" t="s">
        <v>253</v>
      </c>
      <c r="N1303" s="97">
        <v>44859</v>
      </c>
      <c r="O1303" s="22" t="s">
        <v>6288</v>
      </c>
      <c r="Q1303" s="6" t="s">
        <v>356</v>
      </c>
      <c r="R1303" s="6" t="str">
        <f t="shared" ca="1" si="14"/>
        <v>NonCategory</v>
      </c>
    </row>
    <row r="1304" spans="1:18">
      <c r="A1304" s="162">
        <v>44859</v>
      </c>
      <c r="B1304" s="164" t="s">
        <v>3169</v>
      </c>
      <c r="C1304" s="168" t="s">
        <v>3170</v>
      </c>
      <c r="D1304" s="6" t="s">
        <v>278</v>
      </c>
      <c r="E1304" s="6" t="s">
        <v>1524</v>
      </c>
      <c r="F1304" s="79">
        <v>44835</v>
      </c>
      <c r="G1304" s="6" t="s">
        <v>16</v>
      </c>
      <c r="H1304" s="6" t="s">
        <v>2929</v>
      </c>
      <c r="I1304" s="6">
        <v>1</v>
      </c>
      <c r="J1304" s="8">
        <v>24000</v>
      </c>
      <c r="K1304" s="8">
        <f t="shared" si="13"/>
        <v>274.85112230874944</v>
      </c>
      <c r="L1304" s="97">
        <v>44859</v>
      </c>
      <c r="M1304" s="6" t="s">
        <v>253</v>
      </c>
      <c r="N1304" s="97">
        <v>44859</v>
      </c>
      <c r="O1304" s="22" t="s">
        <v>6289</v>
      </c>
      <c r="Q1304" s="6" t="s">
        <v>356</v>
      </c>
      <c r="R1304" s="6" t="str">
        <f t="shared" ca="1" si="14"/>
        <v>NonCategory</v>
      </c>
    </row>
    <row r="1305" spans="1:18">
      <c r="A1305" s="162">
        <v>44860</v>
      </c>
      <c r="B1305" s="164" t="s">
        <v>3171</v>
      </c>
      <c r="C1305" s="168" t="s">
        <v>3172</v>
      </c>
      <c r="D1305" s="6" t="s">
        <v>306</v>
      </c>
      <c r="E1305" s="6" t="s">
        <v>25</v>
      </c>
      <c r="F1305" s="79">
        <v>44835</v>
      </c>
      <c r="G1305" s="6" t="s">
        <v>16</v>
      </c>
      <c r="H1305" s="6" t="s">
        <v>3160</v>
      </c>
      <c r="I1305" s="6">
        <v>1</v>
      </c>
      <c r="J1305" s="8">
        <v>40061</v>
      </c>
      <c r="K1305" s="8">
        <f t="shared" si="13"/>
        <v>458.7837837837838</v>
      </c>
      <c r="L1305" s="97">
        <v>44860</v>
      </c>
      <c r="M1305" s="6" t="s">
        <v>253</v>
      </c>
      <c r="N1305" s="97">
        <v>44860</v>
      </c>
      <c r="O1305" s="22" t="s">
        <v>6290</v>
      </c>
      <c r="Q1305" s="6" t="s">
        <v>356</v>
      </c>
      <c r="R1305" s="6" t="str">
        <f t="shared" ca="1" si="14"/>
        <v>NonCategory</v>
      </c>
    </row>
    <row r="1306" spans="1:18">
      <c r="A1306" s="162">
        <v>44860</v>
      </c>
      <c r="B1306" s="164" t="s">
        <v>3173</v>
      </c>
      <c r="C1306" s="168" t="s">
        <v>3174</v>
      </c>
      <c r="D1306" s="6" t="s">
        <v>278</v>
      </c>
      <c r="E1306" s="6" t="s">
        <v>150</v>
      </c>
      <c r="F1306" s="79">
        <v>44835</v>
      </c>
      <c r="G1306" s="6" t="s">
        <v>16</v>
      </c>
      <c r="H1306" s="6" t="s">
        <v>3160</v>
      </c>
      <c r="I1306" s="6">
        <v>1</v>
      </c>
      <c r="J1306" s="8">
        <v>21000</v>
      </c>
      <c r="K1306" s="8">
        <f t="shared" si="13"/>
        <v>240.49473202015577</v>
      </c>
      <c r="L1306" s="97">
        <v>44860</v>
      </c>
      <c r="M1306" s="6" t="s">
        <v>253</v>
      </c>
      <c r="N1306" s="97">
        <v>44860</v>
      </c>
      <c r="O1306" s="22" t="s">
        <v>6291</v>
      </c>
      <c r="P1306" s="6" t="s">
        <v>3175</v>
      </c>
      <c r="Q1306" s="6" t="s">
        <v>356</v>
      </c>
      <c r="R1306" s="6" t="str">
        <f t="shared" ca="1" si="14"/>
        <v>NonCategory</v>
      </c>
    </row>
    <row r="1307" spans="1:18">
      <c r="A1307" s="162">
        <v>44860</v>
      </c>
      <c r="B1307" s="164" t="s">
        <v>3176</v>
      </c>
      <c r="C1307" s="168" t="s">
        <v>3177</v>
      </c>
      <c r="D1307" s="6" t="s">
        <v>278</v>
      </c>
      <c r="E1307" s="6" t="s">
        <v>150</v>
      </c>
      <c r="F1307" s="79">
        <v>44835</v>
      </c>
      <c r="G1307" s="6" t="s">
        <v>16</v>
      </c>
      <c r="H1307" s="6" t="s">
        <v>3160</v>
      </c>
      <c r="I1307" s="6">
        <v>1</v>
      </c>
      <c r="J1307" s="8">
        <v>21000</v>
      </c>
      <c r="K1307" s="8">
        <f t="shared" si="13"/>
        <v>240.49473202015577</v>
      </c>
      <c r="L1307" s="97">
        <v>44860</v>
      </c>
      <c r="M1307" s="6" t="s">
        <v>253</v>
      </c>
      <c r="N1307" s="97">
        <v>44860</v>
      </c>
      <c r="O1307" s="22" t="s">
        <v>6292</v>
      </c>
      <c r="P1307" s="6" t="s">
        <v>3178</v>
      </c>
      <c r="Q1307" s="6" t="s">
        <v>356</v>
      </c>
      <c r="R1307" s="6" t="str">
        <f t="shared" ca="1" si="14"/>
        <v>NonCategory</v>
      </c>
    </row>
    <row r="1308" spans="1:18">
      <c r="A1308" s="162">
        <v>44861</v>
      </c>
      <c r="B1308" s="164" t="s">
        <v>3179</v>
      </c>
      <c r="C1308" s="168" t="s">
        <v>3180</v>
      </c>
      <c r="D1308" s="6" t="s">
        <v>470</v>
      </c>
      <c r="E1308" s="6" t="s">
        <v>151</v>
      </c>
      <c r="F1308" s="79">
        <v>44835</v>
      </c>
      <c r="G1308" s="6" t="s">
        <v>13</v>
      </c>
      <c r="H1308" s="6" t="s">
        <v>3160</v>
      </c>
      <c r="I1308" s="6">
        <v>1</v>
      </c>
      <c r="J1308" s="8">
        <v>21000</v>
      </c>
      <c r="K1308" s="8">
        <f t="shared" si="13"/>
        <v>240.49473202015577</v>
      </c>
      <c r="L1308" s="97">
        <v>44861</v>
      </c>
      <c r="R1308" s="6" t="str">
        <f t="shared" ca="1" si="14"/>
        <v>NonCategory</v>
      </c>
    </row>
    <row r="1309" spans="1:18">
      <c r="A1309" s="162">
        <v>44861</v>
      </c>
      <c r="B1309" s="164" t="s">
        <v>3181</v>
      </c>
      <c r="C1309" s="168" t="s">
        <v>3182</v>
      </c>
      <c r="D1309" s="6" t="s">
        <v>278</v>
      </c>
      <c r="E1309" s="6" t="s">
        <v>3183</v>
      </c>
      <c r="F1309" s="79">
        <v>44835</v>
      </c>
      <c r="G1309" s="6" t="s">
        <v>16</v>
      </c>
      <c r="H1309" s="6" t="s">
        <v>480</v>
      </c>
      <c r="I1309" s="6">
        <v>1</v>
      </c>
      <c r="J1309" s="8">
        <v>17000</v>
      </c>
      <c r="K1309" s="8">
        <f t="shared" si="13"/>
        <v>194.68621163536417</v>
      </c>
      <c r="L1309" s="97">
        <v>44861</v>
      </c>
      <c r="M1309" s="6" t="s">
        <v>253</v>
      </c>
      <c r="N1309" s="97">
        <v>44865</v>
      </c>
      <c r="O1309" s="22" t="s">
        <v>6293</v>
      </c>
      <c r="Q1309" s="6" t="s">
        <v>356</v>
      </c>
      <c r="R1309" s="6" t="str">
        <f t="shared" ca="1" si="14"/>
        <v>NonCategory</v>
      </c>
    </row>
    <row r="1310" spans="1:18">
      <c r="A1310" s="162">
        <v>44863</v>
      </c>
      <c r="B1310" s="164" t="s">
        <v>2771</v>
      </c>
      <c r="C1310" s="168" t="s">
        <v>3184</v>
      </c>
      <c r="D1310" s="6" t="s">
        <v>291</v>
      </c>
      <c r="E1310" s="6" t="s">
        <v>538</v>
      </c>
      <c r="F1310" s="79">
        <v>44866</v>
      </c>
      <c r="G1310" s="6" t="s">
        <v>16</v>
      </c>
      <c r="H1310" s="97">
        <v>44872</v>
      </c>
      <c r="I1310" s="6">
        <v>1</v>
      </c>
      <c r="J1310" s="8">
        <v>10000</v>
      </c>
      <c r="K1310" s="8">
        <f t="shared" si="13"/>
        <v>114.52130096197894</v>
      </c>
      <c r="L1310" s="97">
        <v>44863</v>
      </c>
      <c r="M1310" s="6" t="s">
        <v>251</v>
      </c>
      <c r="N1310" s="97">
        <v>44866</v>
      </c>
      <c r="O1310" s="22" t="s">
        <v>6294</v>
      </c>
      <c r="Q1310" s="6" t="s">
        <v>356</v>
      </c>
      <c r="R1310" s="6" t="str">
        <f t="shared" ca="1" si="14"/>
        <v>NonCategory</v>
      </c>
    </row>
    <row r="1311" spans="1:18">
      <c r="A1311" s="162">
        <v>44865</v>
      </c>
      <c r="B1311" s="164" t="s">
        <v>3185</v>
      </c>
      <c r="C1311" s="168" t="s">
        <v>3186</v>
      </c>
      <c r="D1311" s="6" t="s">
        <v>303</v>
      </c>
      <c r="E1311" s="6" t="s">
        <v>150</v>
      </c>
      <c r="F1311" s="79">
        <v>44835</v>
      </c>
      <c r="G1311" s="6" t="s">
        <v>16</v>
      </c>
      <c r="H1311" s="6" t="s">
        <v>3093</v>
      </c>
      <c r="I1311" s="6">
        <v>1</v>
      </c>
      <c r="J1311" s="8">
        <v>21000</v>
      </c>
      <c r="K1311" s="8">
        <f t="shared" si="13"/>
        <v>240.49473202015577</v>
      </c>
      <c r="L1311" s="97">
        <v>44865</v>
      </c>
      <c r="M1311" s="6" t="s">
        <v>253</v>
      </c>
      <c r="N1311" s="97">
        <v>44865</v>
      </c>
      <c r="O1311" s="22" t="s">
        <v>6295</v>
      </c>
      <c r="Q1311" s="6" t="s">
        <v>356</v>
      </c>
      <c r="R1311" s="6" t="str">
        <f t="shared" ca="1" si="14"/>
        <v>NonCategory</v>
      </c>
    </row>
    <row r="1312" spans="1:18">
      <c r="A1312" s="162">
        <v>44865</v>
      </c>
      <c r="B1312" s="164" t="s">
        <v>3187</v>
      </c>
      <c r="C1312" s="168" t="s">
        <v>3188</v>
      </c>
      <c r="D1312" s="6" t="s">
        <v>1291</v>
      </c>
      <c r="E1312" s="6" t="s">
        <v>96</v>
      </c>
      <c r="F1312" s="79">
        <v>44835</v>
      </c>
      <c r="G1312" s="6" t="s">
        <v>16</v>
      </c>
      <c r="H1312" s="6" t="s">
        <v>3189</v>
      </c>
      <c r="I1312" s="6">
        <v>1</v>
      </c>
      <c r="J1312" s="8">
        <v>22000</v>
      </c>
      <c r="K1312" s="8">
        <f t="shared" si="13"/>
        <v>251.94686211635369</v>
      </c>
      <c r="L1312" s="97">
        <v>44865</v>
      </c>
      <c r="M1312" s="6" t="s">
        <v>253</v>
      </c>
      <c r="N1312" s="97">
        <v>44865</v>
      </c>
      <c r="O1312" s="22" t="s">
        <v>6296</v>
      </c>
      <c r="Q1312" s="6" t="s">
        <v>356</v>
      </c>
      <c r="R1312" s="6" t="str">
        <f t="shared" ca="1" si="14"/>
        <v>NonCategory</v>
      </c>
    </row>
    <row r="1313" spans="1:18">
      <c r="A1313" s="162">
        <v>44865</v>
      </c>
      <c r="B1313" s="164" t="s">
        <v>3190</v>
      </c>
      <c r="C1313" s="168" t="s">
        <v>3191</v>
      </c>
      <c r="D1313" s="6" t="s">
        <v>278</v>
      </c>
      <c r="E1313" s="6" t="s">
        <v>1524</v>
      </c>
      <c r="F1313" s="79">
        <v>44835</v>
      </c>
      <c r="G1313" s="6" t="s">
        <v>16</v>
      </c>
      <c r="H1313" s="6" t="s">
        <v>3093</v>
      </c>
      <c r="I1313" s="6">
        <v>1</v>
      </c>
      <c r="J1313" s="8">
        <v>24000</v>
      </c>
      <c r="K1313" s="8">
        <f t="shared" si="13"/>
        <v>274.85112230874944</v>
      </c>
      <c r="L1313" s="97">
        <v>44865</v>
      </c>
      <c r="M1313" s="6" t="s">
        <v>253</v>
      </c>
      <c r="N1313" s="97">
        <v>44865</v>
      </c>
      <c r="O1313" s="22" t="s">
        <v>6297</v>
      </c>
      <c r="P1313" s="6" t="s">
        <v>3192</v>
      </c>
      <c r="Q1313" s="6" t="s">
        <v>356</v>
      </c>
      <c r="R1313" s="6" t="str">
        <f t="shared" ca="1" si="14"/>
        <v>NonCategory</v>
      </c>
    </row>
    <row r="1314" spans="1:18">
      <c r="A1314" s="162">
        <v>44866</v>
      </c>
      <c r="B1314" s="164" t="s">
        <v>3193</v>
      </c>
      <c r="C1314" s="168" t="s">
        <v>3194</v>
      </c>
      <c r="D1314" s="6" t="s">
        <v>470</v>
      </c>
      <c r="E1314" s="6" t="s">
        <v>96</v>
      </c>
      <c r="F1314" s="79">
        <v>44866</v>
      </c>
      <c r="G1314" s="6" t="s">
        <v>16</v>
      </c>
      <c r="H1314" s="6" t="s">
        <v>3092</v>
      </c>
      <c r="I1314" s="6">
        <v>1</v>
      </c>
      <c r="J1314" s="8">
        <v>20000</v>
      </c>
      <c r="K1314" s="8">
        <f t="shared" si="13"/>
        <v>229.04260192395787</v>
      </c>
      <c r="L1314" s="97">
        <v>44866</v>
      </c>
      <c r="M1314" s="6" t="s">
        <v>251</v>
      </c>
      <c r="N1314" s="97">
        <v>44866</v>
      </c>
      <c r="O1314" s="22" t="s">
        <v>6298</v>
      </c>
      <c r="Q1314" s="6" t="s">
        <v>356</v>
      </c>
      <c r="R1314" s="6" t="str">
        <f t="shared" ca="1" si="14"/>
        <v>NonCategory</v>
      </c>
    </row>
    <row r="1315" spans="1:18">
      <c r="A1315" s="162">
        <v>44867</v>
      </c>
      <c r="B1315" s="164" t="s">
        <v>3195</v>
      </c>
      <c r="C1315" s="168" t="s">
        <v>3196</v>
      </c>
      <c r="D1315" s="6" t="s">
        <v>278</v>
      </c>
      <c r="E1315" s="6" t="s">
        <v>97</v>
      </c>
      <c r="F1315" s="79">
        <v>44866</v>
      </c>
      <c r="G1315" s="6" t="s">
        <v>16</v>
      </c>
      <c r="H1315" s="6" t="s">
        <v>3093</v>
      </c>
      <c r="I1315" s="6">
        <v>1</v>
      </c>
      <c r="J1315" s="8">
        <v>20000</v>
      </c>
      <c r="K1315" s="8">
        <f t="shared" si="13"/>
        <v>229.04260192395787</v>
      </c>
      <c r="L1315" s="97">
        <v>44867</v>
      </c>
      <c r="M1315" s="6" t="s">
        <v>251</v>
      </c>
      <c r="N1315" s="97">
        <v>44867</v>
      </c>
      <c r="O1315" s="22" t="s">
        <v>6299</v>
      </c>
      <c r="Q1315" s="6" t="s">
        <v>356</v>
      </c>
      <c r="R1315" s="6" t="str">
        <f t="shared" ca="1" si="14"/>
        <v>NonCategory</v>
      </c>
    </row>
    <row r="1316" spans="1:18">
      <c r="A1316" s="162">
        <v>44868</v>
      </c>
      <c r="B1316" s="164" t="s">
        <v>3197</v>
      </c>
      <c r="C1316" s="168" t="s">
        <v>3198</v>
      </c>
      <c r="D1316" s="6" t="s">
        <v>319</v>
      </c>
      <c r="E1316" s="6" t="s">
        <v>25</v>
      </c>
      <c r="F1316" s="79">
        <v>44866</v>
      </c>
      <c r="G1316" s="6" t="s">
        <v>16</v>
      </c>
      <c r="H1316" s="6" t="s">
        <v>3144</v>
      </c>
      <c r="I1316" s="6">
        <v>1</v>
      </c>
      <c r="J1316" s="8">
        <v>42000</v>
      </c>
      <c r="K1316" s="8">
        <f t="shared" si="13"/>
        <v>480.98946404031153</v>
      </c>
      <c r="L1316" s="97">
        <v>44868</v>
      </c>
      <c r="M1316" s="6" t="s">
        <v>251</v>
      </c>
      <c r="N1316" s="97">
        <v>44868</v>
      </c>
      <c r="O1316" s="22" t="s">
        <v>6300</v>
      </c>
      <c r="Q1316" s="6" t="s">
        <v>356</v>
      </c>
      <c r="R1316" s="6" t="str">
        <f t="shared" ca="1" si="14"/>
        <v>NonCategory</v>
      </c>
    </row>
    <row r="1317" spans="1:18">
      <c r="A1317" s="162">
        <v>44868</v>
      </c>
      <c r="B1317" s="164" t="s">
        <v>3199</v>
      </c>
      <c r="C1317" s="168" t="s">
        <v>3200</v>
      </c>
      <c r="D1317" s="6" t="s">
        <v>470</v>
      </c>
      <c r="E1317" s="6" t="s">
        <v>96</v>
      </c>
      <c r="F1317" s="79">
        <v>44866</v>
      </c>
      <c r="G1317" s="6" t="s">
        <v>16</v>
      </c>
      <c r="H1317" s="6" t="s">
        <v>3201</v>
      </c>
      <c r="I1317" s="6">
        <v>1</v>
      </c>
      <c r="J1317" s="8">
        <v>20000</v>
      </c>
      <c r="K1317" s="8">
        <f t="shared" si="13"/>
        <v>229.04260192395787</v>
      </c>
      <c r="L1317" s="97">
        <v>44868</v>
      </c>
      <c r="M1317" s="6" t="s">
        <v>251</v>
      </c>
      <c r="N1317" s="97">
        <v>44868</v>
      </c>
      <c r="O1317" s="22" t="s">
        <v>6301</v>
      </c>
      <c r="Q1317" s="6" t="s">
        <v>356</v>
      </c>
      <c r="R1317" s="6" t="str">
        <f t="shared" ca="1" si="14"/>
        <v>NonCategory</v>
      </c>
    </row>
    <row r="1318" spans="1:18">
      <c r="A1318" s="162">
        <v>44868</v>
      </c>
      <c r="B1318" s="164" t="s">
        <v>3202</v>
      </c>
      <c r="C1318" s="168" t="s">
        <v>3203</v>
      </c>
      <c r="D1318" s="6" t="s">
        <v>303</v>
      </c>
      <c r="E1318" s="6" t="s">
        <v>150</v>
      </c>
      <c r="F1318" s="79">
        <v>44866</v>
      </c>
      <c r="G1318" s="6" t="s">
        <v>16</v>
      </c>
      <c r="H1318" s="6" t="s">
        <v>2929</v>
      </c>
      <c r="I1318" s="6">
        <v>1</v>
      </c>
      <c r="J1318" s="8">
        <v>21000</v>
      </c>
      <c r="K1318" s="8">
        <f t="shared" si="13"/>
        <v>240.49473202015577</v>
      </c>
      <c r="L1318" s="97">
        <v>44868</v>
      </c>
      <c r="M1318" s="6" t="s">
        <v>251</v>
      </c>
      <c r="N1318" s="97">
        <v>44868</v>
      </c>
      <c r="O1318" s="22" t="s">
        <v>6302</v>
      </c>
      <c r="Q1318" s="6" t="s">
        <v>356</v>
      </c>
      <c r="R1318" s="6" t="str">
        <f t="shared" ca="1" si="14"/>
        <v>NonCategory</v>
      </c>
    </row>
    <row r="1319" spans="1:18">
      <c r="A1319" s="162">
        <v>44868</v>
      </c>
      <c r="B1319" s="164" t="s">
        <v>3204</v>
      </c>
      <c r="C1319" s="168" t="s">
        <v>3205</v>
      </c>
      <c r="D1319" s="6" t="s">
        <v>319</v>
      </c>
      <c r="E1319" s="6" t="s">
        <v>96</v>
      </c>
      <c r="F1319" s="79">
        <v>44866</v>
      </c>
      <c r="G1319" s="6" t="s">
        <v>16</v>
      </c>
      <c r="H1319" s="6" t="s">
        <v>3144</v>
      </c>
      <c r="I1319" s="6">
        <v>1</v>
      </c>
      <c r="J1319" s="8">
        <v>20000</v>
      </c>
      <c r="K1319" s="8">
        <f t="shared" si="13"/>
        <v>229.04260192395787</v>
      </c>
      <c r="L1319" s="97">
        <v>44868</v>
      </c>
      <c r="M1319" s="6" t="s">
        <v>251</v>
      </c>
      <c r="N1319" s="97">
        <v>44868</v>
      </c>
      <c r="O1319" s="22" t="s">
        <v>6303</v>
      </c>
      <c r="Q1319" s="6" t="s">
        <v>356</v>
      </c>
      <c r="R1319" s="6" t="str">
        <f t="shared" ca="1" si="14"/>
        <v>NonCategory</v>
      </c>
    </row>
    <row r="1320" spans="1:18">
      <c r="A1320" s="162">
        <v>44869</v>
      </c>
      <c r="B1320" s="164" t="s">
        <v>3026</v>
      </c>
      <c r="C1320" s="168" t="s">
        <v>3027</v>
      </c>
      <c r="D1320" s="6" t="s">
        <v>470</v>
      </c>
      <c r="E1320" s="6" t="s">
        <v>1524</v>
      </c>
      <c r="F1320" s="79">
        <v>44866</v>
      </c>
      <c r="G1320" s="6" t="s">
        <v>16</v>
      </c>
      <c r="H1320" s="6" t="s">
        <v>3093</v>
      </c>
      <c r="I1320" s="6">
        <v>1</v>
      </c>
      <c r="J1320" s="8">
        <v>24000</v>
      </c>
      <c r="K1320" s="8">
        <f t="shared" si="13"/>
        <v>274.85112230874944</v>
      </c>
      <c r="L1320" s="97">
        <v>44869</v>
      </c>
      <c r="M1320" s="6" t="s">
        <v>251</v>
      </c>
      <c r="N1320" s="97">
        <v>44869</v>
      </c>
      <c r="O1320" s="22" t="s">
        <v>6304</v>
      </c>
      <c r="Q1320" s="6" t="s">
        <v>356</v>
      </c>
      <c r="R1320" s="6" t="str">
        <f t="shared" ca="1" si="14"/>
        <v>NonCategory</v>
      </c>
    </row>
    <row r="1321" spans="1:18">
      <c r="A1321" s="162">
        <v>44870</v>
      </c>
      <c r="B1321" s="164" t="s">
        <v>3206</v>
      </c>
      <c r="C1321" s="168" t="s">
        <v>3207</v>
      </c>
      <c r="D1321" s="6" t="s">
        <v>278</v>
      </c>
      <c r="E1321" s="6" t="s">
        <v>1497</v>
      </c>
      <c r="F1321" s="79">
        <v>44866</v>
      </c>
      <c r="G1321" s="6" t="s">
        <v>16</v>
      </c>
      <c r="H1321" s="6" t="s">
        <v>3126</v>
      </c>
      <c r="I1321" s="6">
        <v>1</v>
      </c>
      <c r="J1321" s="8">
        <v>24000</v>
      </c>
      <c r="K1321" s="8">
        <f t="shared" si="13"/>
        <v>274.85112230874944</v>
      </c>
      <c r="L1321" s="97">
        <v>44870</v>
      </c>
      <c r="M1321" s="6" t="s">
        <v>251</v>
      </c>
      <c r="N1321" s="97">
        <v>44870</v>
      </c>
      <c r="O1321" s="22" t="s">
        <v>6305</v>
      </c>
      <c r="Q1321" s="6" t="s">
        <v>356</v>
      </c>
      <c r="R1321" s="6" t="str">
        <f t="shared" ca="1" si="14"/>
        <v>NonCategory</v>
      </c>
    </row>
    <row r="1322" spans="1:18">
      <c r="A1322" s="162">
        <v>44872</v>
      </c>
      <c r="B1322" s="164" t="s">
        <v>3208</v>
      </c>
      <c r="C1322" s="168" t="s">
        <v>3209</v>
      </c>
      <c r="D1322" s="6" t="s">
        <v>291</v>
      </c>
      <c r="E1322" s="6" t="s">
        <v>150</v>
      </c>
      <c r="F1322" s="79">
        <v>44866</v>
      </c>
      <c r="G1322" s="6" t="s">
        <v>13</v>
      </c>
      <c r="H1322" s="6" t="s">
        <v>3092</v>
      </c>
      <c r="I1322" s="6">
        <v>1</v>
      </c>
      <c r="J1322" s="8">
        <v>21000</v>
      </c>
      <c r="K1322" s="8">
        <f t="shared" si="13"/>
        <v>240.49473202015577</v>
      </c>
      <c r="L1322" s="97">
        <v>44872</v>
      </c>
      <c r="R1322" s="6" t="str">
        <f t="shared" ca="1" si="14"/>
        <v>NonCategory</v>
      </c>
    </row>
    <row r="1323" spans="1:18">
      <c r="A1323" s="162">
        <v>44872</v>
      </c>
      <c r="B1323" s="164" t="s">
        <v>3210</v>
      </c>
      <c r="C1323" s="168" t="s">
        <v>3211</v>
      </c>
      <c r="D1323" s="6" t="s">
        <v>278</v>
      </c>
      <c r="E1323" s="6" t="s">
        <v>1497</v>
      </c>
      <c r="F1323" s="79">
        <v>44866</v>
      </c>
      <c r="G1323" s="6" t="s">
        <v>16</v>
      </c>
      <c r="H1323" s="6" t="s">
        <v>3126</v>
      </c>
      <c r="I1323" s="6">
        <v>1</v>
      </c>
      <c r="J1323" s="8">
        <v>24000</v>
      </c>
      <c r="K1323" s="8">
        <f t="shared" si="13"/>
        <v>274.85112230874944</v>
      </c>
      <c r="L1323" s="97">
        <v>44872</v>
      </c>
      <c r="M1323" s="6" t="s">
        <v>251</v>
      </c>
      <c r="N1323" s="97">
        <v>44872</v>
      </c>
      <c r="O1323" s="22" t="s">
        <v>6306</v>
      </c>
      <c r="P1323" s="6" t="s">
        <v>3212</v>
      </c>
      <c r="Q1323" s="6" t="s">
        <v>356</v>
      </c>
      <c r="R1323" s="6" t="str">
        <f t="shared" ca="1" si="14"/>
        <v>NonCategory</v>
      </c>
    </row>
    <row r="1324" spans="1:18">
      <c r="A1324" s="162">
        <v>44872</v>
      </c>
      <c r="B1324" s="164" t="s">
        <v>2068</v>
      </c>
      <c r="C1324" s="168" t="s">
        <v>3213</v>
      </c>
      <c r="D1324" s="6" t="s">
        <v>287</v>
      </c>
      <c r="E1324" s="6" t="s">
        <v>25</v>
      </c>
      <c r="F1324" s="79">
        <v>44866</v>
      </c>
      <c r="G1324" s="6" t="s">
        <v>16</v>
      </c>
      <c r="H1324" s="6" t="s">
        <v>3214</v>
      </c>
      <c r="I1324" s="6">
        <v>1</v>
      </c>
      <c r="J1324" s="8">
        <v>42000</v>
      </c>
      <c r="K1324" s="8">
        <f t="shared" si="13"/>
        <v>480.98946404031153</v>
      </c>
      <c r="L1324" s="97">
        <v>44872</v>
      </c>
      <c r="M1324" s="6" t="s">
        <v>251</v>
      </c>
      <c r="N1324" s="97">
        <v>44872</v>
      </c>
      <c r="O1324" s="22" t="s">
        <v>6307</v>
      </c>
      <c r="Q1324" s="6" t="s">
        <v>356</v>
      </c>
      <c r="R1324" s="6" t="str">
        <f t="shared" ca="1" si="14"/>
        <v>NonCategory</v>
      </c>
    </row>
    <row r="1325" spans="1:18">
      <c r="A1325" s="162">
        <v>44872</v>
      </c>
      <c r="B1325" s="164" t="s">
        <v>3215</v>
      </c>
      <c r="C1325" s="168" t="s">
        <v>3216</v>
      </c>
      <c r="D1325" s="6" t="s">
        <v>278</v>
      </c>
      <c r="E1325" s="6" t="s">
        <v>96</v>
      </c>
      <c r="F1325" s="79">
        <v>44866</v>
      </c>
      <c r="G1325" s="6" t="s">
        <v>16</v>
      </c>
      <c r="H1325" s="6" t="s">
        <v>3189</v>
      </c>
      <c r="I1325" s="6">
        <v>1</v>
      </c>
      <c r="J1325" s="8">
        <v>20000</v>
      </c>
      <c r="K1325" s="8">
        <f t="shared" si="13"/>
        <v>229.04260192395787</v>
      </c>
      <c r="L1325" s="97">
        <v>44872</v>
      </c>
      <c r="M1325" s="6" t="s">
        <v>251</v>
      </c>
      <c r="N1325" s="97">
        <v>44872</v>
      </c>
      <c r="O1325" s="22" t="s">
        <v>6308</v>
      </c>
      <c r="P1325" s="6" t="s">
        <v>1119</v>
      </c>
      <c r="Q1325" s="6" t="s">
        <v>356</v>
      </c>
      <c r="R1325" s="6" t="str">
        <f t="shared" ca="1" si="14"/>
        <v>NonCategory</v>
      </c>
    </row>
    <row r="1326" spans="1:18">
      <c r="A1326" s="162">
        <v>44873</v>
      </c>
      <c r="B1326" s="164" t="s">
        <v>3217</v>
      </c>
      <c r="C1326" s="168" t="s">
        <v>3218</v>
      </c>
      <c r="D1326" s="6" t="s">
        <v>303</v>
      </c>
      <c r="E1326" s="6" t="s">
        <v>150</v>
      </c>
      <c r="F1326" s="79">
        <v>44866</v>
      </c>
      <c r="G1326" s="6" t="s">
        <v>16</v>
      </c>
      <c r="H1326" s="6" t="s">
        <v>3144</v>
      </c>
      <c r="I1326" s="6">
        <v>1</v>
      </c>
      <c r="J1326" s="8">
        <v>21000</v>
      </c>
      <c r="K1326" s="8">
        <f t="shared" si="13"/>
        <v>240.49473202015577</v>
      </c>
      <c r="L1326" s="97">
        <v>44873</v>
      </c>
      <c r="M1326" s="6" t="s">
        <v>251</v>
      </c>
      <c r="N1326" s="97">
        <v>44873</v>
      </c>
      <c r="O1326" s="22" t="s">
        <v>6309</v>
      </c>
      <c r="Q1326" s="6" t="s">
        <v>356</v>
      </c>
      <c r="R1326" s="6" t="str">
        <f t="shared" ca="1" si="14"/>
        <v>NonCategory</v>
      </c>
    </row>
    <row r="1327" spans="1:18">
      <c r="A1327" s="162">
        <v>44875</v>
      </c>
      <c r="B1327" s="164" t="s">
        <v>3219</v>
      </c>
      <c r="C1327" s="168" t="s">
        <v>3220</v>
      </c>
      <c r="D1327" s="6" t="s">
        <v>291</v>
      </c>
      <c r="E1327" s="6" t="s">
        <v>150</v>
      </c>
      <c r="F1327" s="79">
        <v>44866</v>
      </c>
      <c r="G1327" s="6" t="s">
        <v>16</v>
      </c>
      <c r="H1327" s="6" t="s">
        <v>3221</v>
      </c>
      <c r="I1327" s="6">
        <v>1</v>
      </c>
      <c r="J1327" s="8">
        <v>21000</v>
      </c>
      <c r="K1327" s="8">
        <f t="shared" si="13"/>
        <v>240.49473202015577</v>
      </c>
      <c r="L1327" s="97">
        <v>44875</v>
      </c>
      <c r="M1327" s="6" t="s">
        <v>251</v>
      </c>
      <c r="N1327" s="97">
        <v>44875</v>
      </c>
      <c r="O1327" s="22" t="s">
        <v>6310</v>
      </c>
      <c r="Q1327" s="6" t="s">
        <v>356</v>
      </c>
      <c r="R1327" s="6" t="str">
        <f t="shared" ca="1" si="14"/>
        <v>NonCategory</v>
      </c>
    </row>
    <row r="1328" spans="1:18">
      <c r="A1328" s="162">
        <v>44876</v>
      </c>
      <c r="B1328" s="164" t="s">
        <v>3222</v>
      </c>
      <c r="C1328" s="168" t="s">
        <v>3223</v>
      </c>
      <c r="D1328" s="6" t="s">
        <v>306</v>
      </c>
      <c r="E1328" s="6" t="s">
        <v>150</v>
      </c>
      <c r="F1328" s="79">
        <v>44866</v>
      </c>
      <c r="G1328" s="6" t="s">
        <v>16</v>
      </c>
      <c r="H1328" s="6" t="s">
        <v>3092</v>
      </c>
      <c r="I1328" s="6">
        <v>1</v>
      </c>
      <c r="J1328" s="8">
        <v>21000</v>
      </c>
      <c r="K1328" s="8">
        <f t="shared" si="13"/>
        <v>240.49473202015577</v>
      </c>
      <c r="L1328" s="97">
        <v>44876</v>
      </c>
      <c r="M1328" s="6" t="s">
        <v>252</v>
      </c>
      <c r="N1328" s="97">
        <v>44876</v>
      </c>
      <c r="O1328" s="22" t="s">
        <v>6311</v>
      </c>
      <c r="Q1328" s="6" t="s">
        <v>356</v>
      </c>
      <c r="R1328" s="6" t="str">
        <f t="shared" ca="1" si="14"/>
        <v>NonCategory</v>
      </c>
    </row>
    <row r="1329" spans="1:18">
      <c r="A1329" s="162">
        <v>44876</v>
      </c>
      <c r="B1329" s="164" t="s">
        <v>3224</v>
      </c>
      <c r="C1329" s="168" t="s">
        <v>3225</v>
      </c>
      <c r="D1329" s="6" t="s">
        <v>303</v>
      </c>
      <c r="E1329" s="6" t="s">
        <v>151</v>
      </c>
      <c r="F1329" s="79">
        <v>44866</v>
      </c>
      <c r="G1329" s="6" t="s">
        <v>16</v>
      </c>
      <c r="H1329" s="6" t="s">
        <v>3092</v>
      </c>
      <c r="I1329" s="6">
        <v>1</v>
      </c>
      <c r="J1329" s="8">
        <v>21000</v>
      </c>
      <c r="K1329" s="8">
        <f t="shared" si="13"/>
        <v>240.49473202015577</v>
      </c>
      <c r="L1329" s="97">
        <v>44876</v>
      </c>
      <c r="M1329" s="6" t="s">
        <v>252</v>
      </c>
      <c r="N1329" s="97">
        <v>44876</v>
      </c>
      <c r="O1329" s="22" t="s">
        <v>6312</v>
      </c>
      <c r="Q1329" s="6" t="s">
        <v>356</v>
      </c>
      <c r="R1329" s="6" t="str">
        <f t="shared" ca="1" si="14"/>
        <v>NonCategory</v>
      </c>
    </row>
    <row r="1330" spans="1:18">
      <c r="A1330" s="162">
        <v>44876</v>
      </c>
      <c r="B1330" s="164" t="s">
        <v>3226</v>
      </c>
      <c r="C1330" s="168" t="s">
        <v>3227</v>
      </c>
      <c r="D1330" s="6" t="s">
        <v>470</v>
      </c>
      <c r="E1330" s="6" t="s">
        <v>7</v>
      </c>
      <c r="F1330" s="79">
        <v>44866</v>
      </c>
      <c r="G1330" s="6" t="s">
        <v>13</v>
      </c>
      <c r="H1330" s="6" t="s">
        <v>3144</v>
      </c>
      <c r="I1330" s="6">
        <v>1</v>
      </c>
      <c r="J1330" s="8">
        <v>42000</v>
      </c>
      <c r="K1330" s="8">
        <f t="shared" si="13"/>
        <v>480.98946404031153</v>
      </c>
      <c r="L1330" s="97">
        <v>44876</v>
      </c>
      <c r="R1330" s="6" t="str">
        <f t="shared" ca="1" si="14"/>
        <v>NonCategory</v>
      </c>
    </row>
    <row r="1331" spans="1:18">
      <c r="A1331" s="162">
        <v>44876</v>
      </c>
      <c r="B1331" s="164" t="s">
        <v>3228</v>
      </c>
      <c r="C1331" s="168" t="s">
        <v>3229</v>
      </c>
      <c r="D1331" s="6" t="s">
        <v>278</v>
      </c>
      <c r="E1331" s="6" t="s">
        <v>6</v>
      </c>
      <c r="F1331" s="79">
        <v>44866</v>
      </c>
      <c r="G1331" s="6" t="s">
        <v>16</v>
      </c>
      <c r="H1331" s="6" t="s">
        <v>3144</v>
      </c>
      <c r="I1331" s="6">
        <v>1</v>
      </c>
      <c r="J1331" s="8">
        <v>42000</v>
      </c>
      <c r="K1331" s="8">
        <f t="shared" si="13"/>
        <v>480.98946404031153</v>
      </c>
      <c r="L1331" s="97">
        <v>44876</v>
      </c>
      <c r="M1331" s="6" t="s">
        <v>252</v>
      </c>
      <c r="N1331" s="97">
        <v>44876</v>
      </c>
      <c r="O1331" s="22" t="s">
        <v>6313</v>
      </c>
      <c r="Q1331" s="6" t="s">
        <v>356</v>
      </c>
      <c r="R1331" s="6" t="str">
        <f t="shared" ca="1" si="14"/>
        <v>NonCategory</v>
      </c>
    </row>
    <row r="1332" spans="1:18">
      <c r="A1332" s="162">
        <v>44876</v>
      </c>
      <c r="B1332" s="164" t="s">
        <v>3230</v>
      </c>
      <c r="C1332" s="168" t="s">
        <v>3231</v>
      </c>
      <c r="D1332" s="6" t="s">
        <v>319</v>
      </c>
      <c r="E1332" s="6" t="s">
        <v>1524</v>
      </c>
      <c r="F1332" s="79">
        <v>44866</v>
      </c>
      <c r="G1332" s="6" t="s">
        <v>16</v>
      </c>
      <c r="H1332" s="6" t="s">
        <v>2929</v>
      </c>
      <c r="I1332" s="6">
        <v>1</v>
      </c>
      <c r="J1332" s="8">
        <v>24000</v>
      </c>
      <c r="K1332" s="8">
        <f t="shared" si="13"/>
        <v>274.85112230874944</v>
      </c>
      <c r="L1332" s="97">
        <v>44876</v>
      </c>
      <c r="M1332" s="6" t="s">
        <v>252</v>
      </c>
      <c r="N1332" s="97">
        <v>44879</v>
      </c>
      <c r="O1332" s="22" t="s">
        <v>6314</v>
      </c>
      <c r="Q1332" s="6" t="s">
        <v>356</v>
      </c>
      <c r="R1332" s="6" t="str">
        <f t="shared" ca="1" si="14"/>
        <v>NonCategory</v>
      </c>
    </row>
    <row r="1333" spans="1:18">
      <c r="A1333" s="162">
        <v>44877</v>
      </c>
      <c r="B1333" s="164" t="s">
        <v>3232</v>
      </c>
      <c r="C1333" s="168" t="s">
        <v>3233</v>
      </c>
      <c r="D1333" s="6" t="s">
        <v>287</v>
      </c>
      <c r="E1333" s="6" t="s">
        <v>150</v>
      </c>
      <c r="F1333" s="79">
        <v>44866</v>
      </c>
      <c r="G1333" s="6" t="s">
        <v>16</v>
      </c>
      <c r="H1333" s="6" t="s">
        <v>3144</v>
      </c>
      <c r="I1333" s="6">
        <v>1</v>
      </c>
      <c r="J1333" s="8">
        <v>21000</v>
      </c>
      <c r="K1333" s="8">
        <f t="shared" si="13"/>
        <v>240.49473202015577</v>
      </c>
      <c r="L1333" s="97">
        <v>44877</v>
      </c>
      <c r="M1333" s="6" t="s">
        <v>252</v>
      </c>
      <c r="N1333" s="97">
        <v>44879</v>
      </c>
      <c r="O1333" s="22" t="s">
        <v>6315</v>
      </c>
      <c r="Q1333" s="6" t="s">
        <v>356</v>
      </c>
      <c r="R1333" s="6" t="str">
        <f t="shared" ca="1" si="14"/>
        <v>NonCategory</v>
      </c>
    </row>
    <row r="1334" spans="1:18">
      <c r="A1334" s="162">
        <v>44878</v>
      </c>
      <c r="B1334" s="164" t="s">
        <v>3234</v>
      </c>
      <c r="C1334" s="168" t="s">
        <v>3235</v>
      </c>
      <c r="D1334" s="6" t="s">
        <v>278</v>
      </c>
      <c r="E1334" s="6" t="s">
        <v>151</v>
      </c>
      <c r="F1334" s="79">
        <v>44866</v>
      </c>
      <c r="G1334" s="6" t="s">
        <v>16</v>
      </c>
      <c r="H1334" s="6" t="s">
        <v>3144</v>
      </c>
      <c r="I1334" s="6">
        <v>1</v>
      </c>
      <c r="J1334" s="8">
        <v>21000</v>
      </c>
      <c r="K1334" s="8">
        <f t="shared" si="13"/>
        <v>240.49473202015577</v>
      </c>
      <c r="L1334" s="97">
        <v>44878</v>
      </c>
      <c r="M1334" s="6" t="s">
        <v>252</v>
      </c>
      <c r="N1334" s="97">
        <v>44879</v>
      </c>
      <c r="O1334" s="22" t="s">
        <v>6316</v>
      </c>
      <c r="Q1334" s="6" t="s">
        <v>356</v>
      </c>
      <c r="R1334" s="6" t="str">
        <f t="shared" ca="1" si="14"/>
        <v>NonCategory</v>
      </c>
    </row>
    <row r="1335" spans="1:18">
      <c r="A1335" s="162">
        <v>44879</v>
      </c>
      <c r="B1335" s="164" t="s">
        <v>2930</v>
      </c>
      <c r="C1335" s="168" t="s">
        <v>2931</v>
      </c>
      <c r="D1335" s="6" t="s">
        <v>470</v>
      </c>
      <c r="E1335" s="6" t="s">
        <v>1524</v>
      </c>
      <c r="F1335" s="79">
        <v>44866</v>
      </c>
      <c r="G1335" s="6" t="s">
        <v>16</v>
      </c>
      <c r="H1335" s="6" t="s">
        <v>2929</v>
      </c>
      <c r="I1335" s="6">
        <v>1</v>
      </c>
      <c r="J1335" s="8">
        <v>24000</v>
      </c>
      <c r="K1335" s="8">
        <f t="shared" si="13"/>
        <v>274.85112230874944</v>
      </c>
      <c r="L1335" s="97">
        <v>44879</v>
      </c>
      <c r="M1335" s="6" t="s">
        <v>252</v>
      </c>
      <c r="N1335" s="97">
        <v>44879</v>
      </c>
      <c r="O1335" s="22" t="s">
        <v>6317</v>
      </c>
      <c r="Q1335" s="6" t="s">
        <v>356</v>
      </c>
      <c r="R1335" s="6" t="str">
        <f t="shared" ca="1" si="14"/>
        <v>NonCategory</v>
      </c>
    </row>
    <row r="1336" spans="1:18">
      <c r="A1336" s="162">
        <v>44879</v>
      </c>
      <c r="B1336" s="164" t="s">
        <v>3236</v>
      </c>
      <c r="C1336" s="168" t="s">
        <v>3237</v>
      </c>
      <c r="D1336" s="6" t="s">
        <v>278</v>
      </c>
      <c r="E1336" s="6" t="s">
        <v>1524</v>
      </c>
      <c r="F1336" s="79">
        <v>44866</v>
      </c>
      <c r="G1336" s="6" t="s">
        <v>16</v>
      </c>
      <c r="H1336" s="6" t="s">
        <v>3238</v>
      </c>
      <c r="I1336" s="6">
        <v>1</v>
      </c>
      <c r="J1336" s="8">
        <v>24000</v>
      </c>
      <c r="K1336" s="8">
        <f t="shared" si="13"/>
        <v>274.85112230874944</v>
      </c>
      <c r="L1336" s="97">
        <v>44879</v>
      </c>
      <c r="M1336" s="6" t="s">
        <v>252</v>
      </c>
      <c r="N1336" s="97">
        <v>44879</v>
      </c>
      <c r="O1336" s="22" t="s">
        <v>6318</v>
      </c>
      <c r="P1336" s="6" t="s">
        <v>3239</v>
      </c>
      <c r="Q1336" s="6" t="s">
        <v>356</v>
      </c>
      <c r="R1336" s="6" t="str">
        <f t="shared" ca="1" si="14"/>
        <v>NonCategory</v>
      </c>
    </row>
    <row r="1337" spans="1:18">
      <c r="A1337" s="162">
        <v>44879</v>
      </c>
      <c r="B1337" s="164" t="s">
        <v>3240</v>
      </c>
      <c r="C1337" s="168" t="s">
        <v>3241</v>
      </c>
      <c r="D1337" s="6" t="s">
        <v>278</v>
      </c>
      <c r="E1337" s="6" t="s">
        <v>1524</v>
      </c>
      <c r="F1337" s="79">
        <v>44866</v>
      </c>
      <c r="G1337" s="6" t="s">
        <v>16</v>
      </c>
      <c r="H1337" s="6" t="s">
        <v>3238</v>
      </c>
      <c r="I1337" s="6">
        <v>1</v>
      </c>
      <c r="J1337" s="8">
        <v>24000</v>
      </c>
      <c r="K1337" s="8">
        <f t="shared" si="13"/>
        <v>274.85112230874944</v>
      </c>
      <c r="L1337" s="97">
        <v>44880</v>
      </c>
      <c r="M1337" s="6" t="s">
        <v>252</v>
      </c>
      <c r="N1337" s="97">
        <v>44879</v>
      </c>
      <c r="O1337" s="22" t="s">
        <v>6319</v>
      </c>
      <c r="P1337" s="6" t="s">
        <v>3239</v>
      </c>
      <c r="Q1337" s="6" t="s">
        <v>356</v>
      </c>
      <c r="R1337" s="6" t="str">
        <f t="shared" ca="1" si="14"/>
        <v>NonCategory</v>
      </c>
    </row>
    <row r="1338" spans="1:18">
      <c r="A1338" s="162">
        <v>44880</v>
      </c>
      <c r="B1338" s="164" t="s">
        <v>3242</v>
      </c>
      <c r="C1338" s="168" t="s">
        <v>3243</v>
      </c>
      <c r="D1338" s="6" t="s">
        <v>495</v>
      </c>
      <c r="E1338" s="6" t="s">
        <v>96</v>
      </c>
      <c r="F1338" s="79">
        <v>44866</v>
      </c>
      <c r="G1338" s="6" t="s">
        <v>16</v>
      </c>
      <c r="H1338" s="6" t="s">
        <v>3144</v>
      </c>
      <c r="I1338" s="6">
        <v>1</v>
      </c>
      <c r="J1338" s="8">
        <v>20000</v>
      </c>
      <c r="K1338" s="8">
        <f t="shared" si="13"/>
        <v>229.04260192395787</v>
      </c>
      <c r="L1338" s="97">
        <v>44880</v>
      </c>
      <c r="M1338" s="6" t="s">
        <v>252</v>
      </c>
      <c r="N1338" s="97">
        <v>44880</v>
      </c>
      <c r="O1338" s="22" t="s">
        <v>6320</v>
      </c>
      <c r="Q1338" s="6" t="s">
        <v>356</v>
      </c>
      <c r="R1338" s="6" t="str">
        <f t="shared" ca="1" si="14"/>
        <v>NonCategory</v>
      </c>
    </row>
    <row r="1339" spans="1:18">
      <c r="A1339" s="162">
        <v>44881</v>
      </c>
      <c r="B1339" s="164" t="s">
        <v>2986</v>
      </c>
      <c r="C1339" s="168" t="s">
        <v>2987</v>
      </c>
      <c r="D1339" s="6" t="s">
        <v>470</v>
      </c>
      <c r="E1339" s="6" t="s">
        <v>3244</v>
      </c>
      <c r="F1339" s="79">
        <v>44866</v>
      </c>
      <c r="G1339" s="6" t="s">
        <v>16</v>
      </c>
      <c r="H1339" s="97">
        <v>44884</v>
      </c>
      <c r="I1339" s="6">
        <v>1</v>
      </c>
      <c r="J1339" s="8">
        <v>21000</v>
      </c>
      <c r="K1339" s="8">
        <f t="shared" si="13"/>
        <v>240.49473202015577</v>
      </c>
      <c r="L1339" s="97">
        <v>44881</v>
      </c>
      <c r="M1339" s="6" t="s">
        <v>252</v>
      </c>
      <c r="N1339" s="97">
        <v>44881</v>
      </c>
      <c r="O1339" s="22" t="s">
        <v>6321</v>
      </c>
      <c r="Q1339" s="6" t="s">
        <v>356</v>
      </c>
      <c r="R1339" s="6" t="str">
        <f t="shared" ca="1" si="14"/>
        <v>NonCategory</v>
      </c>
    </row>
    <row r="1340" spans="1:18">
      <c r="A1340" s="162">
        <v>44881</v>
      </c>
      <c r="B1340" s="164" t="s">
        <v>3245</v>
      </c>
      <c r="C1340" s="168" t="s">
        <v>3246</v>
      </c>
      <c r="D1340" s="6" t="s">
        <v>319</v>
      </c>
      <c r="E1340" s="6" t="s">
        <v>1524</v>
      </c>
      <c r="F1340" s="79">
        <v>44866</v>
      </c>
      <c r="G1340" s="6" t="s">
        <v>16</v>
      </c>
      <c r="H1340" s="6" t="s">
        <v>2929</v>
      </c>
      <c r="I1340" s="6">
        <v>1</v>
      </c>
      <c r="J1340" s="8">
        <v>24000</v>
      </c>
      <c r="K1340" s="8">
        <f t="shared" si="13"/>
        <v>274.85112230874944</v>
      </c>
      <c r="L1340" s="97">
        <v>44881</v>
      </c>
      <c r="M1340" s="6" t="s">
        <v>252</v>
      </c>
      <c r="N1340" s="97">
        <v>44881</v>
      </c>
      <c r="O1340" s="22" t="s">
        <v>6322</v>
      </c>
      <c r="Q1340" s="6" t="s">
        <v>356</v>
      </c>
      <c r="R1340" s="6" t="str">
        <f t="shared" ca="1" si="14"/>
        <v>NonCategory</v>
      </c>
    </row>
    <row r="1341" spans="1:18">
      <c r="A1341" s="162">
        <v>44881</v>
      </c>
      <c r="B1341" s="164" t="s">
        <v>3247</v>
      </c>
      <c r="C1341" s="168" t="s">
        <v>3248</v>
      </c>
      <c r="D1341" s="6" t="s">
        <v>278</v>
      </c>
      <c r="E1341" s="6" t="s">
        <v>1524</v>
      </c>
      <c r="F1341" s="79">
        <v>44866</v>
      </c>
      <c r="G1341" s="6" t="s">
        <v>16</v>
      </c>
      <c r="H1341" s="6" t="s">
        <v>2929</v>
      </c>
      <c r="I1341" s="6">
        <v>1</v>
      </c>
      <c r="J1341" s="8">
        <v>24000</v>
      </c>
      <c r="K1341" s="8">
        <f t="shared" si="13"/>
        <v>274.85112230874944</v>
      </c>
      <c r="L1341" s="97">
        <v>44881</v>
      </c>
      <c r="M1341" s="6" t="s">
        <v>252</v>
      </c>
      <c r="N1341" s="97">
        <v>44881</v>
      </c>
      <c r="O1341" s="22" t="s">
        <v>6323</v>
      </c>
      <c r="P1341" s="6" t="s">
        <v>3249</v>
      </c>
      <c r="Q1341" s="6" t="s">
        <v>356</v>
      </c>
      <c r="R1341" s="6" t="str">
        <f t="shared" ca="1" si="14"/>
        <v>NonCategory</v>
      </c>
    </row>
    <row r="1342" spans="1:18">
      <c r="A1342" s="162">
        <v>44882</v>
      </c>
      <c r="B1342" s="164" t="s">
        <v>3250</v>
      </c>
      <c r="C1342" s="168" t="s">
        <v>3251</v>
      </c>
      <c r="D1342" s="6" t="s">
        <v>470</v>
      </c>
      <c r="E1342" s="6" t="s">
        <v>25</v>
      </c>
      <c r="F1342" s="79">
        <v>44866</v>
      </c>
      <c r="G1342" s="6" t="s">
        <v>16</v>
      </c>
      <c r="H1342" s="6" t="s">
        <v>3144</v>
      </c>
      <c r="I1342" s="6">
        <v>1</v>
      </c>
      <c r="J1342" s="8">
        <v>42000</v>
      </c>
      <c r="K1342" s="8">
        <f t="shared" si="13"/>
        <v>480.98946404031153</v>
      </c>
      <c r="L1342" s="97">
        <v>44882</v>
      </c>
      <c r="M1342" s="6" t="s">
        <v>252</v>
      </c>
      <c r="N1342" s="97">
        <v>44882</v>
      </c>
      <c r="O1342" s="22" t="s">
        <v>6324</v>
      </c>
      <c r="Q1342" s="6" t="s">
        <v>356</v>
      </c>
      <c r="R1342" s="6" t="str">
        <f t="shared" ca="1" si="14"/>
        <v>NonCategory</v>
      </c>
    </row>
    <row r="1343" spans="1:18">
      <c r="A1343" s="162">
        <v>44882</v>
      </c>
      <c r="B1343" s="164" t="s">
        <v>3252</v>
      </c>
      <c r="C1343" s="168" t="s">
        <v>3253</v>
      </c>
      <c r="D1343" s="6" t="s">
        <v>278</v>
      </c>
      <c r="E1343" s="6" t="s">
        <v>150</v>
      </c>
      <c r="F1343" s="79">
        <v>44866</v>
      </c>
      <c r="G1343" s="6" t="s">
        <v>16</v>
      </c>
      <c r="H1343" s="6" t="s">
        <v>3254</v>
      </c>
      <c r="I1343" s="6">
        <v>1</v>
      </c>
      <c r="J1343" s="8">
        <v>21000</v>
      </c>
      <c r="K1343" s="8">
        <f t="shared" si="13"/>
        <v>240.49473202015577</v>
      </c>
      <c r="L1343" s="97">
        <v>44882</v>
      </c>
      <c r="M1343" s="6" t="s">
        <v>252</v>
      </c>
      <c r="N1343" s="97">
        <v>44882</v>
      </c>
      <c r="O1343" s="22" t="s">
        <v>6325</v>
      </c>
      <c r="P1343" s="6" t="s">
        <v>3255</v>
      </c>
      <c r="Q1343" s="6" t="s">
        <v>356</v>
      </c>
      <c r="R1343" s="6" t="str">
        <f t="shared" ca="1" si="14"/>
        <v>NonCategory</v>
      </c>
    </row>
    <row r="1344" spans="1:18">
      <c r="A1344" s="162">
        <v>44882</v>
      </c>
      <c r="B1344" s="164" t="s">
        <v>3256</v>
      </c>
      <c r="C1344" s="168" t="s">
        <v>3257</v>
      </c>
      <c r="D1344" s="6" t="s">
        <v>278</v>
      </c>
      <c r="E1344" s="6" t="s">
        <v>150</v>
      </c>
      <c r="F1344" s="79">
        <v>44866</v>
      </c>
      <c r="G1344" s="6" t="s">
        <v>16</v>
      </c>
      <c r="H1344" s="6" t="s">
        <v>3144</v>
      </c>
      <c r="I1344" s="6">
        <v>1</v>
      </c>
      <c r="J1344" s="8">
        <v>21000</v>
      </c>
      <c r="K1344" s="8">
        <f t="shared" si="13"/>
        <v>240.49473202015577</v>
      </c>
      <c r="L1344" s="97">
        <v>44882</v>
      </c>
      <c r="M1344" s="6" t="s">
        <v>252</v>
      </c>
      <c r="N1344" s="97">
        <v>44882</v>
      </c>
      <c r="O1344" s="22" t="s">
        <v>6326</v>
      </c>
      <c r="P1344" s="6" t="s">
        <v>3258</v>
      </c>
      <c r="Q1344" s="6" t="s">
        <v>356</v>
      </c>
      <c r="R1344" s="6" t="str">
        <f t="shared" ca="1" si="14"/>
        <v>NonCategory</v>
      </c>
    </row>
    <row r="1345" spans="1:18">
      <c r="A1345" s="162">
        <v>44882</v>
      </c>
      <c r="B1345" s="164" t="s">
        <v>3259</v>
      </c>
      <c r="C1345" s="168" t="s">
        <v>3260</v>
      </c>
      <c r="D1345" s="6" t="s">
        <v>470</v>
      </c>
      <c r="E1345" s="6" t="s">
        <v>150</v>
      </c>
      <c r="F1345" s="79">
        <v>44866</v>
      </c>
      <c r="G1345" s="6" t="s">
        <v>16</v>
      </c>
      <c r="H1345" s="6" t="s">
        <v>3144</v>
      </c>
      <c r="I1345" s="6">
        <v>1</v>
      </c>
      <c r="J1345" s="8">
        <v>21000</v>
      </c>
      <c r="K1345" s="8">
        <f t="shared" si="13"/>
        <v>240.49473202015577</v>
      </c>
      <c r="L1345" s="97">
        <v>44882</v>
      </c>
      <c r="M1345" s="6" t="s">
        <v>252</v>
      </c>
      <c r="N1345" s="97">
        <v>44882</v>
      </c>
      <c r="O1345" s="22" t="s">
        <v>6327</v>
      </c>
      <c r="Q1345" s="6" t="s">
        <v>356</v>
      </c>
      <c r="R1345" s="6" t="str">
        <f t="shared" ca="1" si="14"/>
        <v>NonCategory</v>
      </c>
    </row>
    <row r="1346" spans="1:18">
      <c r="A1346" s="162">
        <v>44883</v>
      </c>
      <c r="B1346" s="164" t="s">
        <v>3261</v>
      </c>
      <c r="C1346" s="168" t="s">
        <v>3262</v>
      </c>
      <c r="D1346" s="6" t="s">
        <v>303</v>
      </c>
      <c r="E1346" s="6" t="s">
        <v>25</v>
      </c>
      <c r="F1346" s="79">
        <v>44866</v>
      </c>
      <c r="G1346" s="6" t="s">
        <v>16</v>
      </c>
      <c r="H1346" s="6" t="s">
        <v>3144</v>
      </c>
      <c r="I1346" s="6">
        <v>1</v>
      </c>
      <c r="J1346" s="8">
        <v>40000</v>
      </c>
      <c r="K1346" s="8">
        <f t="shared" si="13"/>
        <v>458.08520384791575</v>
      </c>
      <c r="L1346" s="97">
        <v>44883</v>
      </c>
      <c r="M1346" s="6" t="s">
        <v>252</v>
      </c>
      <c r="N1346" s="97">
        <v>44883</v>
      </c>
      <c r="O1346" s="22" t="s">
        <v>6328</v>
      </c>
      <c r="Q1346" s="6" t="s">
        <v>356</v>
      </c>
      <c r="R1346" s="6" t="str">
        <f t="shared" ca="1" si="14"/>
        <v>NonCategory</v>
      </c>
    </row>
    <row r="1347" spans="1:18">
      <c r="A1347" s="162">
        <v>44883</v>
      </c>
      <c r="B1347" s="164" t="s">
        <v>3263</v>
      </c>
      <c r="C1347" s="168" t="s">
        <v>3264</v>
      </c>
      <c r="D1347" s="6" t="s">
        <v>319</v>
      </c>
      <c r="E1347" s="6" t="s">
        <v>6</v>
      </c>
      <c r="F1347" s="79">
        <v>44866</v>
      </c>
      <c r="G1347" s="6" t="s">
        <v>13</v>
      </c>
      <c r="H1347" s="6" t="s">
        <v>3144</v>
      </c>
      <c r="I1347" s="6">
        <v>1</v>
      </c>
      <c r="J1347" s="8">
        <v>42000</v>
      </c>
      <c r="K1347" s="8">
        <f t="shared" si="13"/>
        <v>480.98946404031153</v>
      </c>
      <c r="L1347" s="97">
        <v>44883</v>
      </c>
      <c r="R1347" s="6" t="str">
        <f t="shared" ca="1" si="14"/>
        <v>NonCategory</v>
      </c>
    </row>
    <row r="1348" spans="1:18">
      <c r="A1348" s="162">
        <v>44883</v>
      </c>
      <c r="B1348" s="164" t="s">
        <v>3265</v>
      </c>
      <c r="C1348" s="168" t="s">
        <v>3266</v>
      </c>
      <c r="D1348" s="6" t="s">
        <v>287</v>
      </c>
      <c r="E1348" s="6" t="s">
        <v>150</v>
      </c>
      <c r="F1348" s="79">
        <v>44866</v>
      </c>
      <c r="G1348" s="6" t="s">
        <v>16</v>
      </c>
      <c r="H1348" s="6" t="s">
        <v>2929</v>
      </c>
      <c r="I1348" s="6">
        <v>1</v>
      </c>
      <c r="J1348" s="8">
        <v>21000</v>
      </c>
      <c r="K1348" s="8">
        <f t="shared" si="13"/>
        <v>240.49473202015577</v>
      </c>
      <c r="L1348" s="97">
        <v>44883</v>
      </c>
      <c r="M1348" s="6" t="s">
        <v>252</v>
      </c>
      <c r="N1348" s="97">
        <v>44883</v>
      </c>
      <c r="O1348" s="22" t="s">
        <v>6329</v>
      </c>
      <c r="Q1348" s="6" t="s">
        <v>356</v>
      </c>
      <c r="R1348" s="6" t="str">
        <f t="shared" ca="1" si="14"/>
        <v>NonCategory</v>
      </c>
    </row>
    <row r="1349" spans="1:18">
      <c r="A1349" s="162">
        <v>44883</v>
      </c>
      <c r="B1349" s="164" t="s">
        <v>3267</v>
      </c>
      <c r="C1349" s="168" t="s">
        <v>3268</v>
      </c>
      <c r="D1349" s="6" t="s">
        <v>303</v>
      </c>
      <c r="E1349" s="6" t="s">
        <v>150</v>
      </c>
      <c r="F1349" s="79">
        <v>44866</v>
      </c>
      <c r="G1349" s="6" t="s">
        <v>16</v>
      </c>
      <c r="H1349" s="6" t="s">
        <v>3144</v>
      </c>
      <c r="I1349" s="6">
        <v>1</v>
      </c>
      <c r="J1349" s="8">
        <v>21000</v>
      </c>
      <c r="K1349" s="8">
        <f t="shared" si="13"/>
        <v>240.49473202015577</v>
      </c>
      <c r="L1349" s="97">
        <v>44883</v>
      </c>
      <c r="M1349" s="6" t="s">
        <v>252</v>
      </c>
      <c r="N1349" s="97">
        <v>44883</v>
      </c>
      <c r="O1349" s="22" t="s">
        <v>6330</v>
      </c>
      <c r="Q1349" s="6" t="s">
        <v>356</v>
      </c>
      <c r="R1349" s="6" t="str">
        <f t="shared" ca="1" si="14"/>
        <v>NonCategory</v>
      </c>
    </row>
    <row r="1350" spans="1:18">
      <c r="A1350" s="162">
        <v>44884</v>
      </c>
      <c r="B1350" s="164" t="s">
        <v>3269</v>
      </c>
      <c r="C1350" s="168" t="s">
        <v>3270</v>
      </c>
      <c r="D1350" s="6" t="s">
        <v>278</v>
      </c>
      <c r="E1350" s="6" t="s">
        <v>1524</v>
      </c>
      <c r="F1350" s="79">
        <v>44866</v>
      </c>
      <c r="G1350" s="6" t="s">
        <v>16</v>
      </c>
      <c r="H1350" s="6" t="s">
        <v>2929</v>
      </c>
      <c r="I1350" s="6">
        <v>1</v>
      </c>
      <c r="J1350" s="8">
        <v>24000</v>
      </c>
      <c r="K1350" s="8">
        <f t="shared" si="13"/>
        <v>274.85112230874944</v>
      </c>
      <c r="L1350" s="97">
        <v>44885</v>
      </c>
      <c r="M1350" s="6" t="s">
        <v>253</v>
      </c>
      <c r="N1350" s="97">
        <v>44886</v>
      </c>
      <c r="O1350" s="22" t="s">
        <v>6331</v>
      </c>
      <c r="P1350" s="6" t="s">
        <v>3271</v>
      </c>
      <c r="Q1350" s="6" t="s">
        <v>356</v>
      </c>
      <c r="R1350" s="6" t="str">
        <f t="shared" ca="1" si="14"/>
        <v>NonCategory</v>
      </c>
    </row>
    <row r="1351" spans="1:18">
      <c r="A1351" s="162">
        <v>44886</v>
      </c>
      <c r="B1351" s="164" t="s">
        <v>3272</v>
      </c>
      <c r="C1351" s="168" t="s">
        <v>3273</v>
      </c>
      <c r="D1351" s="6" t="s">
        <v>287</v>
      </c>
      <c r="E1351" s="6" t="s">
        <v>1524</v>
      </c>
      <c r="F1351" s="79">
        <v>44866</v>
      </c>
      <c r="G1351" s="6" t="s">
        <v>16</v>
      </c>
      <c r="H1351" s="6" t="s">
        <v>2929</v>
      </c>
      <c r="I1351" s="6">
        <v>1</v>
      </c>
      <c r="J1351" s="8">
        <v>24000</v>
      </c>
      <c r="K1351" s="8">
        <f t="shared" si="13"/>
        <v>274.85112230874944</v>
      </c>
      <c r="L1351" s="97">
        <v>44886</v>
      </c>
      <c r="M1351" s="6" t="s">
        <v>253</v>
      </c>
      <c r="N1351" s="97">
        <v>44886</v>
      </c>
      <c r="O1351" s="22" t="s">
        <v>6332</v>
      </c>
      <c r="Q1351" s="6" t="s">
        <v>356</v>
      </c>
      <c r="R1351" s="6" t="str">
        <f t="shared" ca="1" si="14"/>
        <v>NonCategory</v>
      </c>
    </row>
    <row r="1352" spans="1:18">
      <c r="A1352" s="162">
        <v>44886</v>
      </c>
      <c r="B1352" s="164" t="s">
        <v>3274</v>
      </c>
      <c r="C1352" s="168" t="s">
        <v>3275</v>
      </c>
      <c r="D1352" s="6" t="s">
        <v>287</v>
      </c>
      <c r="E1352" s="6" t="s">
        <v>6</v>
      </c>
      <c r="F1352" s="79">
        <v>44866</v>
      </c>
      <c r="G1352" s="6" t="s">
        <v>16</v>
      </c>
      <c r="H1352" s="6" t="s">
        <v>3254</v>
      </c>
      <c r="I1352" s="6">
        <v>1</v>
      </c>
      <c r="J1352" s="8">
        <v>40061</v>
      </c>
      <c r="K1352" s="8">
        <f t="shared" si="13"/>
        <v>458.7837837837838</v>
      </c>
      <c r="L1352" s="97">
        <v>44886</v>
      </c>
      <c r="M1352" s="6" t="s">
        <v>253</v>
      </c>
      <c r="N1352" s="97">
        <v>44887</v>
      </c>
      <c r="O1352" s="22" t="s">
        <v>6333</v>
      </c>
      <c r="Q1352" s="6" t="s">
        <v>356</v>
      </c>
      <c r="R1352" s="6" t="str">
        <f t="shared" ca="1" si="14"/>
        <v>NonCategory</v>
      </c>
    </row>
    <row r="1353" spans="1:18">
      <c r="A1353" s="162">
        <v>44887</v>
      </c>
      <c r="B1353" s="164" t="s">
        <v>3276</v>
      </c>
      <c r="C1353" s="168" t="s">
        <v>3277</v>
      </c>
      <c r="D1353" s="6" t="s">
        <v>278</v>
      </c>
      <c r="E1353" s="6" t="s">
        <v>1524</v>
      </c>
      <c r="F1353" s="79">
        <v>44866</v>
      </c>
      <c r="G1353" s="6" t="s">
        <v>16</v>
      </c>
      <c r="H1353" s="6" t="s">
        <v>2929</v>
      </c>
      <c r="I1353" s="6">
        <v>1</v>
      </c>
      <c r="J1353" s="8">
        <v>24000</v>
      </c>
      <c r="K1353" s="8">
        <f t="shared" si="13"/>
        <v>274.85112230874944</v>
      </c>
      <c r="L1353" s="97">
        <v>44887</v>
      </c>
      <c r="M1353" s="6" t="s">
        <v>253</v>
      </c>
      <c r="N1353" s="97">
        <v>44887</v>
      </c>
      <c r="O1353" s="22" t="s">
        <v>6334</v>
      </c>
      <c r="P1353" s="6" t="s">
        <v>3278</v>
      </c>
      <c r="Q1353" s="6" t="s">
        <v>356</v>
      </c>
      <c r="R1353" s="6" t="str">
        <f t="shared" ca="1" si="14"/>
        <v>NonCategory</v>
      </c>
    </row>
    <row r="1354" spans="1:18">
      <c r="A1354" s="162">
        <v>44887</v>
      </c>
      <c r="B1354" s="164" t="s">
        <v>1307</v>
      </c>
      <c r="C1354" s="168" t="s">
        <v>1308</v>
      </c>
      <c r="D1354" s="6" t="s">
        <v>470</v>
      </c>
      <c r="E1354" s="6" t="s">
        <v>1524</v>
      </c>
      <c r="F1354" s="79">
        <v>44866</v>
      </c>
      <c r="G1354" s="6" t="s">
        <v>16</v>
      </c>
      <c r="H1354" s="6" t="s">
        <v>3238</v>
      </c>
      <c r="I1354" s="6">
        <v>1</v>
      </c>
      <c r="J1354" s="8">
        <v>24000</v>
      </c>
      <c r="K1354" s="8">
        <f t="shared" si="13"/>
        <v>274.85112230874944</v>
      </c>
      <c r="L1354" s="97">
        <v>44887</v>
      </c>
      <c r="M1354" s="6" t="s">
        <v>253</v>
      </c>
      <c r="N1354" s="97">
        <v>44887</v>
      </c>
      <c r="O1354" s="22" t="s">
        <v>6335</v>
      </c>
      <c r="Q1354" s="6" t="s">
        <v>356</v>
      </c>
      <c r="R1354" s="6" t="str">
        <f t="shared" ca="1" si="14"/>
        <v>NonCategory</v>
      </c>
    </row>
    <row r="1355" spans="1:18">
      <c r="A1355" s="162">
        <v>44887</v>
      </c>
      <c r="B1355" s="164" t="s">
        <v>3279</v>
      </c>
      <c r="C1355" s="168" t="s">
        <v>3280</v>
      </c>
      <c r="D1355" s="6" t="s">
        <v>278</v>
      </c>
      <c r="E1355" s="6" t="s">
        <v>3244</v>
      </c>
      <c r="F1355" s="79">
        <v>44866</v>
      </c>
      <c r="G1355" s="6" t="s">
        <v>16</v>
      </c>
      <c r="H1355" s="97">
        <v>44891</v>
      </c>
      <c r="I1355" s="6">
        <v>1</v>
      </c>
      <c r="J1355" s="8">
        <v>32000</v>
      </c>
      <c r="K1355" s="8">
        <f t="shared" si="13"/>
        <v>366.46816307833262</v>
      </c>
      <c r="L1355" s="97">
        <v>44887</v>
      </c>
      <c r="M1355" s="6" t="s">
        <v>253</v>
      </c>
      <c r="N1355" s="97">
        <v>44889</v>
      </c>
      <c r="O1355" s="22" t="s">
        <v>6336</v>
      </c>
      <c r="P1355" s="6" t="s">
        <v>3281</v>
      </c>
      <c r="Q1355" s="6" t="s">
        <v>356</v>
      </c>
      <c r="R1355" s="6" t="str">
        <f t="shared" ca="1" si="14"/>
        <v>NonCategory</v>
      </c>
    </row>
    <row r="1356" spans="1:18">
      <c r="A1356" s="162">
        <v>44887</v>
      </c>
      <c r="B1356" s="164" t="s">
        <v>3282</v>
      </c>
      <c r="C1356" s="168" t="s">
        <v>3283</v>
      </c>
      <c r="D1356" s="6" t="s">
        <v>278</v>
      </c>
      <c r="E1356" s="6" t="s">
        <v>150</v>
      </c>
      <c r="F1356" s="79">
        <v>44866</v>
      </c>
      <c r="G1356" s="6" t="s">
        <v>16</v>
      </c>
      <c r="H1356" s="6" t="s">
        <v>2929</v>
      </c>
      <c r="I1356" s="6">
        <v>1</v>
      </c>
      <c r="J1356" s="8">
        <v>21000</v>
      </c>
      <c r="K1356" s="8">
        <f t="shared" si="13"/>
        <v>240.49473202015577</v>
      </c>
      <c r="L1356" s="97">
        <v>44887</v>
      </c>
      <c r="M1356" s="6" t="s">
        <v>253</v>
      </c>
      <c r="N1356" s="97">
        <v>44887</v>
      </c>
      <c r="O1356" s="22" t="s">
        <v>6337</v>
      </c>
      <c r="P1356" s="6" t="s">
        <v>3284</v>
      </c>
      <c r="Q1356" s="6" t="s">
        <v>356</v>
      </c>
      <c r="R1356" s="6" t="str">
        <f t="shared" ca="1" si="14"/>
        <v>NonCategory</v>
      </c>
    </row>
    <row r="1357" spans="1:18">
      <c r="A1357" s="162">
        <v>44887</v>
      </c>
      <c r="B1357" s="164" t="s">
        <v>3285</v>
      </c>
      <c r="C1357" s="168" t="s">
        <v>3286</v>
      </c>
      <c r="D1357" s="6" t="s">
        <v>278</v>
      </c>
      <c r="E1357" s="6" t="s">
        <v>150</v>
      </c>
      <c r="F1357" s="79">
        <v>44866</v>
      </c>
      <c r="G1357" s="6" t="s">
        <v>16</v>
      </c>
      <c r="H1357" s="6" t="s">
        <v>2929</v>
      </c>
      <c r="I1357" s="6">
        <v>1</v>
      </c>
      <c r="J1357" s="8"/>
      <c r="K1357" s="8">
        <f t="shared" si="13"/>
        <v>0</v>
      </c>
      <c r="L1357" s="97">
        <v>44887</v>
      </c>
      <c r="M1357" s="6" t="s">
        <v>253</v>
      </c>
      <c r="N1357" s="97">
        <v>44887</v>
      </c>
      <c r="O1357" s="22" t="s">
        <v>6338</v>
      </c>
      <c r="P1357" s="6" t="s">
        <v>3287</v>
      </c>
      <c r="Q1357" s="6" t="s">
        <v>356</v>
      </c>
      <c r="R1357" s="6" t="str">
        <f t="shared" ca="1" si="14"/>
        <v>NonCategory</v>
      </c>
    </row>
    <row r="1358" spans="1:18">
      <c r="A1358" s="162">
        <v>44887</v>
      </c>
      <c r="B1358" s="164" t="s">
        <v>573</v>
      </c>
      <c r="C1358" s="168" t="s">
        <v>3288</v>
      </c>
      <c r="D1358" s="6" t="s">
        <v>278</v>
      </c>
      <c r="E1358" s="6" t="s">
        <v>1524</v>
      </c>
      <c r="F1358" s="79">
        <v>44866</v>
      </c>
      <c r="G1358" s="6" t="s">
        <v>16</v>
      </c>
      <c r="H1358" s="6" t="s">
        <v>2929</v>
      </c>
      <c r="I1358" s="6">
        <v>1</v>
      </c>
      <c r="J1358" s="8">
        <v>24000</v>
      </c>
      <c r="K1358" s="8">
        <f t="shared" si="13"/>
        <v>274.85112230874944</v>
      </c>
      <c r="L1358" s="97">
        <v>44887</v>
      </c>
      <c r="M1358" s="6" t="s">
        <v>253</v>
      </c>
      <c r="N1358" s="97">
        <v>44888</v>
      </c>
      <c r="O1358" s="22" t="s">
        <v>6339</v>
      </c>
      <c r="P1358" s="6" t="s">
        <v>3289</v>
      </c>
      <c r="Q1358" s="6" t="s">
        <v>356</v>
      </c>
      <c r="R1358" s="6" t="str">
        <f t="shared" ca="1" si="14"/>
        <v>NonCategory</v>
      </c>
    </row>
    <row r="1359" spans="1:18">
      <c r="A1359" s="162">
        <v>44888</v>
      </c>
      <c r="B1359" s="164" t="s">
        <v>3290</v>
      </c>
      <c r="C1359" s="168" t="s">
        <v>3291</v>
      </c>
      <c r="D1359" s="6" t="s">
        <v>303</v>
      </c>
      <c r="E1359" s="6" t="s">
        <v>1497</v>
      </c>
      <c r="F1359" s="79">
        <v>44866</v>
      </c>
      <c r="G1359" s="6" t="s">
        <v>16</v>
      </c>
      <c r="H1359" s="6" t="s">
        <v>3254</v>
      </c>
      <c r="I1359" s="6">
        <v>1</v>
      </c>
      <c r="J1359" s="8">
        <v>24000</v>
      </c>
      <c r="K1359" s="8">
        <f t="shared" si="13"/>
        <v>274.85112230874944</v>
      </c>
      <c r="L1359" s="97">
        <v>44888</v>
      </c>
      <c r="M1359" s="6" t="s">
        <v>253</v>
      </c>
      <c r="N1359" s="97">
        <v>44888</v>
      </c>
      <c r="O1359" s="22" t="s">
        <v>6340</v>
      </c>
      <c r="Q1359" s="6" t="s">
        <v>356</v>
      </c>
      <c r="R1359" s="6" t="str">
        <f t="shared" ca="1" si="14"/>
        <v>NonCategory</v>
      </c>
    </row>
    <row r="1360" spans="1:18">
      <c r="A1360" s="162">
        <v>44888</v>
      </c>
      <c r="B1360" s="164" t="s">
        <v>2171</v>
      </c>
      <c r="C1360" s="168" t="s">
        <v>3292</v>
      </c>
      <c r="D1360" s="6" t="s">
        <v>291</v>
      </c>
      <c r="E1360" s="6" t="s">
        <v>25</v>
      </c>
      <c r="F1360" s="79">
        <v>44866</v>
      </c>
      <c r="G1360" s="6" t="s">
        <v>16</v>
      </c>
      <c r="H1360" s="6" t="s">
        <v>3238</v>
      </c>
      <c r="I1360" s="6">
        <v>1</v>
      </c>
      <c r="J1360" s="8">
        <v>42000</v>
      </c>
      <c r="K1360" s="8">
        <f t="shared" si="13"/>
        <v>480.98946404031153</v>
      </c>
      <c r="L1360" s="97">
        <v>44888</v>
      </c>
      <c r="M1360" s="6" t="s">
        <v>253</v>
      </c>
      <c r="N1360" s="97">
        <v>44889</v>
      </c>
      <c r="O1360" s="22" t="s">
        <v>6341</v>
      </c>
      <c r="Q1360" s="6" t="s">
        <v>356</v>
      </c>
      <c r="R1360" s="6" t="str">
        <f t="shared" ca="1" si="14"/>
        <v>NonCategory</v>
      </c>
    </row>
    <row r="1361" spans="1:18">
      <c r="A1361" s="162">
        <v>44889</v>
      </c>
      <c r="B1361" s="164" t="s">
        <v>3293</v>
      </c>
      <c r="C1361" s="168" t="s">
        <v>3294</v>
      </c>
      <c r="D1361" s="6" t="s">
        <v>278</v>
      </c>
      <c r="E1361" s="6" t="s">
        <v>151</v>
      </c>
      <c r="F1361" s="79">
        <v>44866</v>
      </c>
      <c r="G1361" s="6" t="s">
        <v>16</v>
      </c>
      <c r="H1361" s="6" t="s">
        <v>2929</v>
      </c>
      <c r="I1361" s="6">
        <v>1</v>
      </c>
      <c r="J1361" s="8">
        <v>21000</v>
      </c>
      <c r="K1361" s="8">
        <f t="shared" si="13"/>
        <v>240.49473202015577</v>
      </c>
      <c r="L1361" s="97">
        <v>44889</v>
      </c>
      <c r="M1361" s="6" t="s">
        <v>253</v>
      </c>
      <c r="N1361" s="97">
        <v>44889</v>
      </c>
      <c r="O1361" s="22" t="s">
        <v>6342</v>
      </c>
      <c r="P1361" s="6" t="s">
        <v>3295</v>
      </c>
      <c r="Q1361" s="6" t="s">
        <v>356</v>
      </c>
      <c r="R1361" s="6" t="str">
        <f t="shared" ca="1" si="14"/>
        <v>NonCategory</v>
      </c>
    </row>
    <row r="1362" spans="1:18">
      <c r="A1362" s="162">
        <v>44890</v>
      </c>
      <c r="B1362" s="164" t="s">
        <v>76</v>
      </c>
      <c r="C1362" s="168" t="s">
        <v>85</v>
      </c>
      <c r="D1362" s="6" t="s">
        <v>470</v>
      </c>
      <c r="E1362" s="6" t="s">
        <v>3296</v>
      </c>
      <c r="F1362" s="79">
        <v>44866</v>
      </c>
      <c r="G1362" s="6" t="s">
        <v>16</v>
      </c>
      <c r="H1362" s="97">
        <v>44890</v>
      </c>
      <c r="I1362" s="6">
        <v>1</v>
      </c>
      <c r="J1362" s="8">
        <v>29000</v>
      </c>
      <c r="K1362" s="8">
        <f t="shared" si="13"/>
        <v>332.11177278973895</v>
      </c>
      <c r="L1362" s="97">
        <v>44890</v>
      </c>
      <c r="M1362" s="6" t="s">
        <v>253</v>
      </c>
      <c r="N1362" s="97">
        <v>44889</v>
      </c>
      <c r="O1362" s="22" t="s">
        <v>6343</v>
      </c>
      <c r="Q1362" s="6" t="s">
        <v>356</v>
      </c>
      <c r="R1362" s="6" t="str">
        <f t="shared" ca="1" si="14"/>
        <v>NonCategory</v>
      </c>
    </row>
    <row r="1363" spans="1:18">
      <c r="A1363" s="162">
        <v>44890</v>
      </c>
      <c r="B1363" s="164" t="s">
        <v>3297</v>
      </c>
      <c r="C1363" s="168" t="s">
        <v>3298</v>
      </c>
      <c r="D1363" s="6" t="s">
        <v>287</v>
      </c>
      <c r="E1363" s="6" t="s">
        <v>1524</v>
      </c>
      <c r="F1363" s="79">
        <v>44866</v>
      </c>
      <c r="G1363" s="6" t="s">
        <v>16</v>
      </c>
      <c r="H1363" s="6" t="s">
        <v>2929</v>
      </c>
      <c r="I1363" s="6">
        <v>1</v>
      </c>
      <c r="J1363" s="8">
        <v>24000</v>
      </c>
      <c r="K1363" s="8">
        <f t="shared" si="13"/>
        <v>274.85112230874944</v>
      </c>
      <c r="L1363" s="97">
        <v>44890</v>
      </c>
      <c r="M1363" s="6" t="s">
        <v>253</v>
      </c>
      <c r="N1363" s="97">
        <v>44890</v>
      </c>
      <c r="O1363" s="22" t="s">
        <v>6344</v>
      </c>
      <c r="Q1363" s="6" t="s">
        <v>356</v>
      </c>
      <c r="R1363" s="6" t="str">
        <f t="shared" ca="1" si="14"/>
        <v>NonCategory</v>
      </c>
    </row>
    <row r="1364" spans="1:18">
      <c r="A1364" s="162">
        <v>44890</v>
      </c>
      <c r="B1364" s="164" t="s">
        <v>3299</v>
      </c>
      <c r="C1364" s="168" t="s">
        <v>3300</v>
      </c>
      <c r="D1364" s="6" t="s">
        <v>287</v>
      </c>
      <c r="E1364" s="6" t="s">
        <v>1524</v>
      </c>
      <c r="F1364" s="79">
        <v>44866</v>
      </c>
      <c r="G1364" s="6" t="s">
        <v>16</v>
      </c>
      <c r="H1364" s="6" t="s">
        <v>2929</v>
      </c>
      <c r="I1364" s="6">
        <v>1</v>
      </c>
      <c r="J1364" s="8">
        <v>24000</v>
      </c>
      <c r="K1364" s="8">
        <f t="shared" si="13"/>
        <v>274.85112230874944</v>
      </c>
      <c r="L1364" s="97">
        <v>44890</v>
      </c>
      <c r="M1364" s="6" t="s">
        <v>253</v>
      </c>
      <c r="N1364" s="97">
        <v>44890</v>
      </c>
      <c r="O1364" s="22" t="s">
        <v>6345</v>
      </c>
      <c r="Q1364" s="6" t="s">
        <v>356</v>
      </c>
      <c r="R1364" s="6" t="str">
        <f t="shared" ca="1" si="14"/>
        <v>NonCategory</v>
      </c>
    </row>
    <row r="1365" spans="1:18">
      <c r="A1365" s="162">
        <v>44893</v>
      </c>
      <c r="B1365" s="164" t="s">
        <v>3301</v>
      </c>
      <c r="C1365" s="168" t="s">
        <v>3302</v>
      </c>
      <c r="D1365" s="6" t="s">
        <v>303</v>
      </c>
      <c r="E1365" s="6" t="s">
        <v>25</v>
      </c>
      <c r="F1365" s="79">
        <v>44866</v>
      </c>
      <c r="G1365" s="6" t="s">
        <v>16</v>
      </c>
      <c r="H1365" s="6" t="s">
        <v>3254</v>
      </c>
      <c r="I1365" s="6">
        <v>1</v>
      </c>
      <c r="J1365" s="8">
        <v>42000</v>
      </c>
      <c r="K1365" s="8">
        <f t="shared" si="13"/>
        <v>480.98946404031153</v>
      </c>
      <c r="L1365" s="97">
        <v>44893</v>
      </c>
      <c r="M1365" s="6" t="s">
        <v>253</v>
      </c>
      <c r="N1365" s="97">
        <v>44893</v>
      </c>
      <c r="O1365" s="22" t="s">
        <v>6346</v>
      </c>
      <c r="Q1365" s="6" t="s">
        <v>356</v>
      </c>
      <c r="R1365" s="6" t="str">
        <f t="shared" ca="1" si="14"/>
        <v>NonCategory</v>
      </c>
    </row>
    <row r="1366" spans="1:18">
      <c r="A1366" s="162">
        <v>44893</v>
      </c>
      <c r="B1366" s="164" t="s">
        <v>3303</v>
      </c>
      <c r="C1366" s="168" t="s">
        <v>3304</v>
      </c>
      <c r="D1366" s="6" t="s">
        <v>319</v>
      </c>
      <c r="E1366" s="6" t="s">
        <v>150</v>
      </c>
      <c r="F1366" s="79">
        <v>44896</v>
      </c>
      <c r="G1366" s="6" t="s">
        <v>16</v>
      </c>
      <c r="H1366" s="6" t="s">
        <v>3254</v>
      </c>
      <c r="I1366" s="6">
        <v>1</v>
      </c>
      <c r="J1366" s="8">
        <v>21000</v>
      </c>
      <c r="K1366" s="8">
        <f t="shared" si="13"/>
        <v>240.49473202015577</v>
      </c>
      <c r="L1366" s="97">
        <v>44893</v>
      </c>
      <c r="M1366" s="6" t="s">
        <v>251</v>
      </c>
      <c r="N1366" s="97">
        <v>44897</v>
      </c>
      <c r="O1366" s="22" t="s">
        <v>6347</v>
      </c>
      <c r="Q1366" s="6" t="s">
        <v>356</v>
      </c>
      <c r="R1366" s="6" t="str">
        <f t="shared" ca="1" si="14"/>
        <v>NonCategory</v>
      </c>
    </row>
    <row r="1367" spans="1:18">
      <c r="A1367" s="162">
        <v>44893</v>
      </c>
      <c r="B1367" s="164" t="s">
        <v>3305</v>
      </c>
      <c r="C1367" s="168" t="s">
        <v>3306</v>
      </c>
      <c r="D1367" s="6" t="s">
        <v>278</v>
      </c>
      <c r="E1367" s="6" t="s">
        <v>25</v>
      </c>
      <c r="F1367" s="79">
        <v>44866</v>
      </c>
      <c r="G1367" s="6" t="s">
        <v>16</v>
      </c>
      <c r="H1367" s="6" t="s">
        <v>3254</v>
      </c>
      <c r="I1367" s="6">
        <v>1</v>
      </c>
      <c r="J1367" s="8">
        <v>42000</v>
      </c>
      <c r="K1367" s="8">
        <f t="shared" si="13"/>
        <v>480.98946404031153</v>
      </c>
      <c r="L1367" s="97">
        <v>44893</v>
      </c>
      <c r="M1367" s="6" t="s">
        <v>253</v>
      </c>
      <c r="N1367" s="97">
        <v>44893</v>
      </c>
      <c r="O1367" s="22" t="s">
        <v>6348</v>
      </c>
      <c r="P1367" s="6" t="s">
        <v>3307</v>
      </c>
      <c r="Q1367" s="6" t="s">
        <v>356</v>
      </c>
      <c r="R1367" s="6" t="str">
        <f t="shared" ca="1" si="14"/>
        <v>NonCategory</v>
      </c>
    </row>
    <row r="1368" spans="1:18">
      <c r="A1368" s="162">
        <v>44893</v>
      </c>
      <c r="B1368" s="164" t="s">
        <v>3308</v>
      </c>
      <c r="C1368" s="168" t="s">
        <v>3309</v>
      </c>
      <c r="D1368" s="6" t="s">
        <v>278</v>
      </c>
      <c r="E1368" s="6" t="s">
        <v>1698</v>
      </c>
      <c r="F1368" s="79">
        <v>44866</v>
      </c>
      <c r="G1368" s="6" t="s">
        <v>16</v>
      </c>
      <c r="H1368" s="97">
        <v>44898</v>
      </c>
      <c r="I1368" s="6">
        <v>1</v>
      </c>
      <c r="J1368" s="8">
        <v>40000</v>
      </c>
      <c r="K1368" s="8">
        <f t="shared" si="13"/>
        <v>458.08520384791575</v>
      </c>
      <c r="L1368" s="97">
        <v>44893</v>
      </c>
      <c r="M1368" s="6" t="s">
        <v>253</v>
      </c>
      <c r="N1368" s="97">
        <v>44895</v>
      </c>
      <c r="O1368" s="22" t="s">
        <v>6349</v>
      </c>
      <c r="P1368" s="6" t="s">
        <v>3310</v>
      </c>
      <c r="Q1368" s="6" t="s">
        <v>356</v>
      </c>
      <c r="R1368" s="6" t="str">
        <f t="shared" ca="1" si="14"/>
        <v>NonCategory</v>
      </c>
    </row>
    <row r="1369" spans="1:18">
      <c r="A1369" s="162">
        <v>44893</v>
      </c>
      <c r="B1369" s="164" t="s">
        <v>3311</v>
      </c>
      <c r="C1369" s="168" t="s">
        <v>3312</v>
      </c>
      <c r="D1369" s="6" t="s">
        <v>319</v>
      </c>
      <c r="E1369" s="6" t="s">
        <v>150</v>
      </c>
      <c r="F1369" s="79">
        <v>44866</v>
      </c>
      <c r="G1369" s="6" t="s">
        <v>16</v>
      </c>
      <c r="H1369" s="6" t="s">
        <v>3214</v>
      </c>
      <c r="I1369" s="6">
        <v>1</v>
      </c>
      <c r="J1369" s="8">
        <v>21000</v>
      </c>
      <c r="K1369" s="8">
        <f t="shared" si="13"/>
        <v>240.49473202015577</v>
      </c>
      <c r="L1369" s="97">
        <v>44893</v>
      </c>
      <c r="M1369" s="6" t="s">
        <v>253</v>
      </c>
      <c r="N1369" s="97">
        <v>44893</v>
      </c>
      <c r="O1369" s="22" t="s">
        <v>6350</v>
      </c>
      <c r="Q1369" s="6" t="s">
        <v>356</v>
      </c>
      <c r="R1369" s="6" t="str">
        <f t="shared" ca="1" si="14"/>
        <v>NonCategory</v>
      </c>
    </row>
    <row r="1370" spans="1:18">
      <c r="A1370" s="162">
        <v>44894</v>
      </c>
      <c r="B1370" s="164" t="s">
        <v>3313</v>
      </c>
      <c r="C1370" s="168" t="s">
        <v>3314</v>
      </c>
      <c r="D1370" s="6" t="s">
        <v>291</v>
      </c>
      <c r="E1370" s="6" t="s">
        <v>96</v>
      </c>
      <c r="F1370" s="79">
        <v>44866</v>
      </c>
      <c r="G1370" s="6" t="s">
        <v>16</v>
      </c>
      <c r="H1370" s="6" t="s">
        <v>3315</v>
      </c>
      <c r="I1370" s="6">
        <v>1</v>
      </c>
      <c r="J1370" s="8">
        <v>20000</v>
      </c>
      <c r="K1370" s="8">
        <f t="shared" si="13"/>
        <v>229.04260192395787</v>
      </c>
      <c r="L1370" s="97">
        <v>44894</v>
      </c>
      <c r="M1370" s="6" t="s">
        <v>253</v>
      </c>
      <c r="N1370" s="97">
        <v>44894</v>
      </c>
      <c r="O1370" s="22" t="s">
        <v>6351</v>
      </c>
      <c r="Q1370" s="6" t="s">
        <v>356</v>
      </c>
      <c r="R1370" s="6" t="str">
        <f t="shared" ca="1" si="14"/>
        <v>NonCategory</v>
      </c>
    </row>
    <row r="1371" spans="1:18">
      <c r="A1371" s="162">
        <v>44895</v>
      </c>
      <c r="B1371" s="164" t="s">
        <v>3263</v>
      </c>
      <c r="C1371" s="168" t="s">
        <v>3264</v>
      </c>
      <c r="D1371" s="6" t="s">
        <v>319</v>
      </c>
      <c r="E1371" s="6" t="s">
        <v>6</v>
      </c>
      <c r="F1371" s="79">
        <v>44866</v>
      </c>
      <c r="G1371" s="6" t="s">
        <v>13</v>
      </c>
      <c r="H1371" s="6" t="s">
        <v>3254</v>
      </c>
      <c r="I1371" s="6">
        <v>1</v>
      </c>
      <c r="J1371" s="8">
        <v>42000</v>
      </c>
      <c r="K1371" s="8">
        <f t="shared" si="13"/>
        <v>480.98946404031153</v>
      </c>
      <c r="L1371" s="97">
        <v>44895</v>
      </c>
      <c r="R1371" s="6" t="str">
        <f t="shared" ca="1" si="14"/>
        <v>NonCategory</v>
      </c>
    </row>
    <row r="1372" spans="1:18">
      <c r="A1372" s="162">
        <v>44895</v>
      </c>
      <c r="B1372" s="164" t="s">
        <v>3316</v>
      </c>
      <c r="C1372" s="168" t="s">
        <v>3317</v>
      </c>
      <c r="D1372" s="6" t="s">
        <v>278</v>
      </c>
      <c r="E1372" s="6" t="s">
        <v>1524</v>
      </c>
      <c r="F1372" s="79">
        <v>44866</v>
      </c>
      <c r="G1372" s="6" t="s">
        <v>16</v>
      </c>
      <c r="H1372" s="6" t="s">
        <v>3238</v>
      </c>
      <c r="I1372" s="6">
        <v>1</v>
      </c>
      <c r="J1372" s="8">
        <v>24000</v>
      </c>
      <c r="K1372" s="8">
        <f t="shared" si="13"/>
        <v>274.85112230874944</v>
      </c>
      <c r="L1372" s="97">
        <v>44895</v>
      </c>
      <c r="M1372" s="6" t="s">
        <v>253</v>
      </c>
      <c r="N1372" s="97">
        <v>44895</v>
      </c>
      <c r="O1372" s="22" t="s">
        <v>6352</v>
      </c>
      <c r="P1372" s="6" t="s">
        <v>3318</v>
      </c>
      <c r="Q1372" s="6" t="s">
        <v>356</v>
      </c>
      <c r="R1372" s="6" t="str">
        <f t="shared" ca="1" si="14"/>
        <v>NonCategory</v>
      </c>
    </row>
    <row r="1373" spans="1:18">
      <c r="A1373" s="162">
        <v>44895</v>
      </c>
      <c r="B1373" s="164" t="s">
        <v>3319</v>
      </c>
      <c r="C1373" s="168" t="s">
        <v>3320</v>
      </c>
      <c r="D1373" s="6" t="s">
        <v>319</v>
      </c>
      <c r="E1373" s="6" t="s">
        <v>1497</v>
      </c>
      <c r="F1373" s="79">
        <v>44866</v>
      </c>
      <c r="G1373" s="6" t="s">
        <v>16</v>
      </c>
      <c r="H1373" s="6" t="s">
        <v>3254</v>
      </c>
      <c r="I1373" s="6">
        <v>1</v>
      </c>
      <c r="J1373" s="8">
        <v>24000</v>
      </c>
      <c r="K1373" s="8">
        <f t="shared" si="13"/>
        <v>274.85112230874944</v>
      </c>
      <c r="L1373" s="97">
        <v>44895</v>
      </c>
      <c r="M1373" s="6" t="s">
        <v>253</v>
      </c>
      <c r="N1373" s="97">
        <v>44895</v>
      </c>
      <c r="O1373" s="22" t="s">
        <v>6353</v>
      </c>
      <c r="Q1373" s="6" t="s">
        <v>356</v>
      </c>
      <c r="R1373" s="6" t="str">
        <f t="shared" ca="1" si="14"/>
        <v>NonCategory</v>
      </c>
    </row>
    <row r="1374" spans="1:18">
      <c r="A1374" s="162">
        <v>44896</v>
      </c>
      <c r="B1374" s="164" t="s">
        <v>3321</v>
      </c>
      <c r="C1374" s="168" t="s">
        <v>3322</v>
      </c>
      <c r="D1374" s="6" t="s">
        <v>278</v>
      </c>
      <c r="E1374" s="6" t="s">
        <v>1524</v>
      </c>
      <c r="F1374" s="79">
        <v>44896</v>
      </c>
      <c r="G1374" s="6" t="s">
        <v>16</v>
      </c>
      <c r="H1374" s="6" t="s">
        <v>3323</v>
      </c>
      <c r="I1374" s="6">
        <v>1</v>
      </c>
      <c r="J1374" s="8">
        <v>24000</v>
      </c>
      <c r="K1374" s="8">
        <f t="shared" si="13"/>
        <v>274.85112230874944</v>
      </c>
      <c r="L1374" s="97">
        <v>44896</v>
      </c>
      <c r="M1374" s="6" t="s">
        <v>251</v>
      </c>
      <c r="N1374" s="97">
        <v>44896</v>
      </c>
      <c r="O1374" s="22" t="s">
        <v>6354</v>
      </c>
      <c r="Q1374" s="6" t="s">
        <v>356</v>
      </c>
      <c r="R1374" s="6" t="str">
        <f t="shared" ca="1" si="14"/>
        <v>NonCategory</v>
      </c>
    </row>
    <row r="1375" spans="1:18">
      <c r="A1375" s="162">
        <v>44896</v>
      </c>
      <c r="B1375" s="164" t="s">
        <v>2864</v>
      </c>
      <c r="C1375" s="168" t="s">
        <v>2865</v>
      </c>
      <c r="D1375" s="6" t="s">
        <v>470</v>
      </c>
      <c r="E1375" s="6" t="s">
        <v>1524</v>
      </c>
      <c r="F1375" s="79">
        <v>44896</v>
      </c>
      <c r="G1375" s="6" t="s">
        <v>16</v>
      </c>
      <c r="H1375" s="6" t="s">
        <v>3238</v>
      </c>
      <c r="I1375" s="6">
        <v>1</v>
      </c>
      <c r="J1375" s="8">
        <v>24000</v>
      </c>
      <c r="K1375" s="8">
        <f t="shared" si="13"/>
        <v>274.85112230874944</v>
      </c>
      <c r="L1375" s="97">
        <v>44896</v>
      </c>
      <c r="M1375" s="6" t="s">
        <v>251</v>
      </c>
      <c r="N1375" s="97">
        <v>44896</v>
      </c>
      <c r="O1375" s="22" t="s">
        <v>6355</v>
      </c>
      <c r="Q1375" s="6" t="s">
        <v>356</v>
      </c>
      <c r="R1375" s="6" t="str">
        <f t="shared" ca="1" si="14"/>
        <v>NonCategory</v>
      </c>
    </row>
    <row r="1376" spans="1:18">
      <c r="A1376" s="162">
        <v>44896</v>
      </c>
      <c r="B1376" s="164" t="s">
        <v>3324</v>
      </c>
      <c r="C1376" s="168" t="s">
        <v>3325</v>
      </c>
      <c r="D1376" s="6" t="s">
        <v>319</v>
      </c>
      <c r="E1376" s="6" t="s">
        <v>151</v>
      </c>
      <c r="F1376" s="79">
        <v>44896</v>
      </c>
      <c r="G1376" s="6" t="s">
        <v>16</v>
      </c>
      <c r="H1376" s="6" t="s">
        <v>3326</v>
      </c>
      <c r="I1376" s="6">
        <v>1</v>
      </c>
      <c r="J1376" s="8">
        <v>21000</v>
      </c>
      <c r="K1376" s="8">
        <f t="shared" si="13"/>
        <v>240.49473202015577</v>
      </c>
      <c r="L1376" s="97">
        <v>44896</v>
      </c>
      <c r="M1376" s="6" t="s">
        <v>251</v>
      </c>
      <c r="N1376" s="97">
        <v>44896</v>
      </c>
      <c r="O1376" s="22" t="s">
        <v>6356</v>
      </c>
      <c r="Q1376" s="6" t="s">
        <v>356</v>
      </c>
      <c r="R1376" s="6" t="str">
        <f t="shared" ca="1" si="14"/>
        <v>NonCategory</v>
      </c>
    </row>
    <row r="1377" spans="1:18">
      <c r="A1377" s="162">
        <v>44896</v>
      </c>
      <c r="B1377" s="164" t="s">
        <v>3327</v>
      </c>
      <c r="C1377" s="168" t="s">
        <v>3328</v>
      </c>
      <c r="D1377" s="6" t="s">
        <v>278</v>
      </c>
      <c r="E1377" s="6" t="s">
        <v>1524</v>
      </c>
      <c r="F1377" s="79">
        <v>44896</v>
      </c>
      <c r="G1377" s="6" t="s">
        <v>16</v>
      </c>
      <c r="H1377" s="6" t="s">
        <v>3238</v>
      </c>
      <c r="I1377" s="6">
        <v>1</v>
      </c>
      <c r="J1377" s="8">
        <v>24000</v>
      </c>
      <c r="K1377" s="8">
        <f t="shared" si="13"/>
        <v>274.85112230874944</v>
      </c>
      <c r="L1377" s="97">
        <v>44896</v>
      </c>
      <c r="M1377" s="6" t="s">
        <v>251</v>
      </c>
      <c r="N1377" s="97">
        <v>44896</v>
      </c>
      <c r="O1377" s="22" t="s">
        <v>6357</v>
      </c>
      <c r="P1377" s="6" t="s">
        <v>3329</v>
      </c>
      <c r="Q1377" s="6" t="s">
        <v>356</v>
      </c>
      <c r="R1377" s="6" t="str">
        <f t="shared" ca="1" si="14"/>
        <v>NonCategory</v>
      </c>
    </row>
    <row r="1378" spans="1:18">
      <c r="A1378" s="162">
        <v>44897</v>
      </c>
      <c r="B1378" s="164" t="s">
        <v>3330</v>
      </c>
      <c r="C1378" s="168" t="s">
        <v>3331</v>
      </c>
      <c r="D1378" s="6" t="s">
        <v>278</v>
      </c>
      <c r="E1378" s="6" t="s">
        <v>150</v>
      </c>
      <c r="F1378" s="79">
        <v>44896</v>
      </c>
      <c r="G1378" s="6" t="s">
        <v>16</v>
      </c>
      <c r="H1378" s="6" t="s">
        <v>3254</v>
      </c>
      <c r="I1378" s="6">
        <v>1</v>
      </c>
      <c r="J1378" s="8">
        <v>21000</v>
      </c>
      <c r="K1378" s="8">
        <f t="shared" si="13"/>
        <v>240.49473202015577</v>
      </c>
      <c r="L1378" s="97">
        <v>44897</v>
      </c>
      <c r="M1378" s="6" t="s">
        <v>251</v>
      </c>
      <c r="N1378" s="97">
        <v>44897</v>
      </c>
      <c r="O1378" s="22" t="s">
        <v>6358</v>
      </c>
      <c r="P1378" s="6" t="s">
        <v>3332</v>
      </c>
      <c r="Q1378" s="6" t="s">
        <v>356</v>
      </c>
      <c r="R1378" s="6" t="str">
        <f t="shared" ca="1" si="14"/>
        <v>NonCategory</v>
      </c>
    </row>
    <row r="1379" spans="1:18">
      <c r="A1379" s="162">
        <v>44897</v>
      </c>
      <c r="B1379" s="164" t="s">
        <v>3333</v>
      </c>
      <c r="C1379" s="168" t="s">
        <v>3334</v>
      </c>
      <c r="D1379" s="6" t="s">
        <v>278</v>
      </c>
      <c r="E1379" s="6" t="s">
        <v>1524</v>
      </c>
      <c r="F1379" s="79">
        <v>44896</v>
      </c>
      <c r="G1379" s="6" t="s">
        <v>13</v>
      </c>
      <c r="H1379" s="6" t="s">
        <v>3323</v>
      </c>
      <c r="I1379" s="6">
        <v>1</v>
      </c>
      <c r="J1379" s="8">
        <v>24000</v>
      </c>
      <c r="K1379" s="8">
        <f t="shared" si="13"/>
        <v>274.85112230874944</v>
      </c>
      <c r="L1379" s="97">
        <v>44897</v>
      </c>
      <c r="P1379" s="6" t="s">
        <v>3335</v>
      </c>
      <c r="R1379" s="6" t="str">
        <f t="shared" ca="1" si="14"/>
        <v>NonCategory</v>
      </c>
    </row>
    <row r="1380" spans="1:18">
      <c r="A1380" s="162">
        <v>44897</v>
      </c>
      <c r="B1380" s="164" t="s">
        <v>3336</v>
      </c>
      <c r="C1380" s="168" t="s">
        <v>3337</v>
      </c>
      <c r="D1380" s="6" t="s">
        <v>319</v>
      </c>
      <c r="E1380" s="6" t="s">
        <v>96</v>
      </c>
      <c r="F1380" s="79">
        <v>44896</v>
      </c>
      <c r="G1380" s="6" t="s">
        <v>16</v>
      </c>
      <c r="H1380" s="6" t="s">
        <v>3254</v>
      </c>
      <c r="I1380" s="6">
        <v>1</v>
      </c>
      <c r="J1380" s="8">
        <v>20000</v>
      </c>
      <c r="K1380" s="8">
        <f t="shared" si="13"/>
        <v>229.04260192395787</v>
      </c>
      <c r="L1380" s="97">
        <v>44897</v>
      </c>
      <c r="M1380" s="6" t="s">
        <v>251</v>
      </c>
      <c r="N1380" s="97">
        <v>44897</v>
      </c>
      <c r="O1380" s="22" t="s">
        <v>6359</v>
      </c>
      <c r="Q1380" s="6" t="s">
        <v>356</v>
      </c>
      <c r="R1380" s="6" t="str">
        <f t="shared" ca="1" si="14"/>
        <v>NonCategory</v>
      </c>
    </row>
    <row r="1381" spans="1:18">
      <c r="A1381" s="162">
        <v>44897</v>
      </c>
      <c r="B1381" s="164" t="s">
        <v>3338</v>
      </c>
      <c r="C1381" s="168" t="s">
        <v>3339</v>
      </c>
      <c r="D1381" s="6" t="s">
        <v>303</v>
      </c>
      <c r="E1381" s="6" t="s">
        <v>150</v>
      </c>
      <c r="F1381" s="79">
        <v>44896</v>
      </c>
      <c r="G1381" s="6" t="s">
        <v>13</v>
      </c>
      <c r="H1381" s="6" t="s">
        <v>3340</v>
      </c>
      <c r="I1381" s="6">
        <v>1</v>
      </c>
      <c r="J1381" s="8">
        <v>21000</v>
      </c>
      <c r="K1381" s="8">
        <f t="shared" si="13"/>
        <v>240.49473202015577</v>
      </c>
      <c r="L1381" s="97">
        <v>44897</v>
      </c>
      <c r="R1381" s="6" t="str">
        <f t="shared" ca="1" si="14"/>
        <v>NonCategory</v>
      </c>
    </row>
    <row r="1382" spans="1:18">
      <c r="A1382" s="162">
        <v>44897</v>
      </c>
      <c r="B1382" s="164" t="s">
        <v>3341</v>
      </c>
      <c r="C1382" s="168" t="s">
        <v>3342</v>
      </c>
      <c r="D1382" s="6" t="s">
        <v>303</v>
      </c>
      <c r="E1382" s="6" t="s">
        <v>150</v>
      </c>
      <c r="F1382" s="79">
        <v>44896</v>
      </c>
      <c r="G1382" s="6" t="s">
        <v>16</v>
      </c>
      <c r="H1382" s="6" t="s">
        <v>3221</v>
      </c>
      <c r="I1382" s="6">
        <v>1</v>
      </c>
      <c r="J1382" s="8">
        <v>21000</v>
      </c>
      <c r="K1382" s="8">
        <f t="shared" si="13"/>
        <v>240.49473202015577</v>
      </c>
      <c r="L1382" s="97">
        <v>44897</v>
      </c>
      <c r="M1382" s="6" t="s">
        <v>251</v>
      </c>
      <c r="N1382" s="97">
        <v>44897</v>
      </c>
      <c r="O1382" s="22" t="s">
        <v>6360</v>
      </c>
      <c r="Q1382" s="6" t="s">
        <v>356</v>
      </c>
      <c r="R1382" s="6" t="str">
        <f t="shared" ca="1" si="14"/>
        <v>NonCategory</v>
      </c>
    </row>
    <row r="1383" spans="1:18">
      <c r="A1383" s="162">
        <v>44897</v>
      </c>
      <c r="B1383" s="164" t="s">
        <v>3343</v>
      </c>
      <c r="C1383" s="168" t="s">
        <v>3344</v>
      </c>
      <c r="D1383" s="6" t="s">
        <v>278</v>
      </c>
      <c r="E1383" s="6" t="s">
        <v>151</v>
      </c>
      <c r="F1383" s="79">
        <v>44896</v>
      </c>
      <c r="G1383" s="6" t="s">
        <v>16</v>
      </c>
      <c r="H1383" s="6" t="s">
        <v>3254</v>
      </c>
      <c r="I1383" s="6">
        <v>1</v>
      </c>
      <c r="J1383" s="8">
        <v>21000</v>
      </c>
      <c r="K1383" s="8">
        <f t="shared" si="13"/>
        <v>240.49473202015577</v>
      </c>
      <c r="L1383" s="97">
        <v>44897</v>
      </c>
      <c r="M1383" s="6" t="s">
        <v>251</v>
      </c>
      <c r="N1383" s="97">
        <v>44897</v>
      </c>
      <c r="O1383" s="22" t="s">
        <v>6361</v>
      </c>
      <c r="P1383" s="6" t="s">
        <v>3345</v>
      </c>
      <c r="Q1383" s="6" t="s">
        <v>356</v>
      </c>
      <c r="R1383" s="6" t="str">
        <f t="shared" ca="1" si="14"/>
        <v>NonCategory</v>
      </c>
    </row>
    <row r="1384" spans="1:18">
      <c r="A1384" s="162">
        <v>44897</v>
      </c>
      <c r="B1384" s="164" t="s">
        <v>3346</v>
      </c>
      <c r="C1384" s="168" t="s">
        <v>3347</v>
      </c>
      <c r="D1384" s="6" t="s">
        <v>278</v>
      </c>
      <c r="E1384" s="6" t="s">
        <v>1524</v>
      </c>
      <c r="F1384" s="79">
        <v>44896</v>
      </c>
      <c r="G1384" s="6" t="s">
        <v>16</v>
      </c>
      <c r="H1384" s="6" t="s">
        <v>3238</v>
      </c>
      <c r="I1384" s="6">
        <v>1</v>
      </c>
      <c r="J1384" s="8">
        <v>24000</v>
      </c>
      <c r="K1384" s="8">
        <f t="shared" si="13"/>
        <v>274.85112230874944</v>
      </c>
      <c r="L1384" s="97">
        <v>44897</v>
      </c>
      <c r="M1384" s="6" t="s">
        <v>251</v>
      </c>
      <c r="N1384" s="97">
        <v>44897</v>
      </c>
      <c r="O1384" s="22" t="s">
        <v>6362</v>
      </c>
      <c r="P1384" s="6" t="s">
        <v>3348</v>
      </c>
      <c r="Q1384" s="6" t="s">
        <v>356</v>
      </c>
      <c r="R1384" s="6" t="str">
        <f t="shared" ca="1" si="14"/>
        <v>NonCategory</v>
      </c>
    </row>
    <row r="1385" spans="1:18">
      <c r="A1385" s="162">
        <v>44897</v>
      </c>
      <c r="B1385" s="164" t="s">
        <v>3349</v>
      </c>
      <c r="C1385" s="168" t="s">
        <v>3334</v>
      </c>
      <c r="D1385" s="6" t="s">
        <v>278</v>
      </c>
      <c r="E1385" s="6" t="s">
        <v>1524</v>
      </c>
      <c r="F1385" s="79">
        <v>44896</v>
      </c>
      <c r="G1385" s="6" t="s">
        <v>16</v>
      </c>
      <c r="H1385" s="6" t="s">
        <v>3214</v>
      </c>
      <c r="I1385" s="6">
        <v>1</v>
      </c>
      <c r="J1385" s="8">
        <v>24000</v>
      </c>
      <c r="K1385" s="8">
        <f t="shared" si="13"/>
        <v>274.85112230874944</v>
      </c>
      <c r="L1385" s="97">
        <v>44897</v>
      </c>
      <c r="M1385" s="6" t="s">
        <v>252</v>
      </c>
      <c r="N1385" s="97">
        <v>44904</v>
      </c>
      <c r="O1385" s="22" t="s">
        <v>6363</v>
      </c>
      <c r="P1385" s="6" t="s">
        <v>3335</v>
      </c>
      <c r="Q1385" s="6" t="s">
        <v>356</v>
      </c>
      <c r="R1385" s="6" t="str">
        <f t="shared" ca="1" si="14"/>
        <v>NonCategory</v>
      </c>
    </row>
    <row r="1386" spans="1:18">
      <c r="A1386" s="162">
        <v>44900</v>
      </c>
      <c r="B1386" s="164" t="s">
        <v>1664</v>
      </c>
      <c r="C1386" s="168" t="s">
        <v>3350</v>
      </c>
      <c r="D1386" s="6" t="s">
        <v>278</v>
      </c>
      <c r="E1386" s="6" t="s">
        <v>1524</v>
      </c>
      <c r="F1386" s="79">
        <v>44896</v>
      </c>
      <c r="G1386" s="6" t="s">
        <v>16</v>
      </c>
      <c r="H1386" s="6" t="s">
        <v>3238</v>
      </c>
      <c r="I1386" s="6">
        <v>1</v>
      </c>
      <c r="J1386" s="8">
        <v>24000</v>
      </c>
      <c r="K1386" s="8">
        <f t="shared" si="13"/>
        <v>274.85112230874944</v>
      </c>
      <c r="L1386" s="97">
        <v>44900</v>
      </c>
      <c r="M1386" s="6" t="s">
        <v>251</v>
      </c>
      <c r="N1386" s="97">
        <v>44900</v>
      </c>
      <c r="O1386" s="22" t="s">
        <v>6364</v>
      </c>
      <c r="P1386" s="6" t="s">
        <v>3351</v>
      </c>
      <c r="Q1386" s="6" t="s">
        <v>356</v>
      </c>
      <c r="R1386" s="6" t="str">
        <f t="shared" ca="1" si="14"/>
        <v>NonCategory</v>
      </c>
    </row>
    <row r="1387" spans="1:18">
      <c r="A1387" s="162">
        <v>44900</v>
      </c>
      <c r="B1387" s="164" t="s">
        <v>3352</v>
      </c>
      <c r="C1387" s="168" t="s">
        <v>3353</v>
      </c>
      <c r="D1387" s="6" t="s">
        <v>319</v>
      </c>
      <c r="E1387" s="6" t="s">
        <v>25</v>
      </c>
      <c r="F1387" s="79">
        <v>44896</v>
      </c>
      <c r="G1387" s="6" t="s">
        <v>16</v>
      </c>
      <c r="H1387" s="6" t="s">
        <v>3214</v>
      </c>
      <c r="I1387" s="6">
        <v>1</v>
      </c>
      <c r="J1387" s="8">
        <v>42000</v>
      </c>
      <c r="K1387" s="8">
        <f t="shared" si="13"/>
        <v>480.98946404031153</v>
      </c>
      <c r="L1387" s="97">
        <v>44900</v>
      </c>
      <c r="M1387" s="6" t="s">
        <v>251</v>
      </c>
      <c r="N1387" s="97">
        <v>44900</v>
      </c>
      <c r="O1387" s="22" t="s">
        <v>6365</v>
      </c>
      <c r="Q1387" s="6" t="s">
        <v>356</v>
      </c>
      <c r="R1387" s="6" t="str">
        <f t="shared" ca="1" si="14"/>
        <v>NonCategory</v>
      </c>
    </row>
    <row r="1388" spans="1:18">
      <c r="A1388" s="162">
        <v>44900</v>
      </c>
      <c r="B1388" s="164" t="s">
        <v>3354</v>
      </c>
      <c r="C1388" s="168" t="s">
        <v>3355</v>
      </c>
      <c r="D1388" s="6" t="s">
        <v>278</v>
      </c>
      <c r="E1388" s="6" t="s">
        <v>96</v>
      </c>
      <c r="F1388" s="79">
        <v>44896</v>
      </c>
      <c r="G1388" s="6" t="s">
        <v>16</v>
      </c>
      <c r="H1388" s="6" t="s">
        <v>3238</v>
      </c>
      <c r="I1388" s="6">
        <v>1</v>
      </c>
      <c r="J1388" s="8">
        <v>20000</v>
      </c>
      <c r="K1388" s="8">
        <f t="shared" si="13"/>
        <v>229.04260192395787</v>
      </c>
      <c r="L1388" s="97">
        <v>44900</v>
      </c>
      <c r="M1388" s="6" t="s">
        <v>251</v>
      </c>
      <c r="N1388" s="97">
        <v>44900</v>
      </c>
      <c r="O1388" s="22" t="s">
        <v>6366</v>
      </c>
      <c r="P1388" s="6" t="s">
        <v>3356</v>
      </c>
      <c r="Q1388" s="6" t="s">
        <v>356</v>
      </c>
      <c r="R1388" s="6" t="str">
        <f t="shared" ca="1" si="14"/>
        <v>NonCategory</v>
      </c>
    </row>
    <row r="1389" spans="1:18">
      <c r="A1389" s="162">
        <v>44900</v>
      </c>
      <c r="B1389" s="164" t="s">
        <v>3357</v>
      </c>
      <c r="C1389" s="168" t="s">
        <v>3358</v>
      </c>
      <c r="D1389" s="6" t="s">
        <v>278</v>
      </c>
      <c r="E1389" s="6" t="s">
        <v>150</v>
      </c>
      <c r="F1389" s="79">
        <v>44896</v>
      </c>
      <c r="G1389" s="6" t="s">
        <v>16</v>
      </c>
      <c r="H1389" s="6" t="s">
        <v>3359</v>
      </c>
      <c r="I1389" s="6">
        <v>1</v>
      </c>
      <c r="J1389" s="8">
        <v>21000</v>
      </c>
      <c r="K1389" s="8">
        <f t="shared" si="13"/>
        <v>240.49473202015577</v>
      </c>
      <c r="L1389" s="97">
        <v>44901</v>
      </c>
      <c r="M1389" s="6" t="s">
        <v>251</v>
      </c>
      <c r="N1389" s="97">
        <v>44901</v>
      </c>
      <c r="O1389" s="22" t="s">
        <v>6367</v>
      </c>
      <c r="P1389" s="6" t="s">
        <v>3360</v>
      </c>
      <c r="Q1389" s="6" t="s">
        <v>356</v>
      </c>
      <c r="R1389" s="6" t="str">
        <f t="shared" ca="1" si="14"/>
        <v>NonCategory</v>
      </c>
    </row>
    <row r="1390" spans="1:18">
      <c r="A1390" s="162">
        <v>44900</v>
      </c>
      <c r="B1390" s="164" t="s">
        <v>3361</v>
      </c>
      <c r="C1390" s="168" t="s">
        <v>3362</v>
      </c>
      <c r="D1390" s="6" t="s">
        <v>278</v>
      </c>
      <c r="E1390" s="6" t="s">
        <v>1524</v>
      </c>
      <c r="F1390" s="79">
        <v>44896</v>
      </c>
      <c r="G1390" s="6" t="s">
        <v>16</v>
      </c>
      <c r="H1390" s="6" t="s">
        <v>3238</v>
      </c>
      <c r="I1390" s="6">
        <v>1</v>
      </c>
      <c r="J1390" s="8">
        <v>24000</v>
      </c>
      <c r="K1390" s="8">
        <f t="shared" si="13"/>
        <v>274.85112230874944</v>
      </c>
      <c r="L1390" s="97">
        <v>44900</v>
      </c>
      <c r="M1390" s="6" t="s">
        <v>251</v>
      </c>
      <c r="N1390" s="97">
        <v>44902</v>
      </c>
      <c r="O1390" s="22" t="s">
        <v>6368</v>
      </c>
      <c r="P1390" s="6" t="s">
        <v>3363</v>
      </c>
      <c r="Q1390" s="6" t="s">
        <v>356</v>
      </c>
      <c r="R1390" s="6" t="str">
        <f t="shared" ca="1" si="14"/>
        <v>NonCategory</v>
      </c>
    </row>
    <row r="1391" spans="1:18">
      <c r="A1391" s="162">
        <v>44901</v>
      </c>
      <c r="B1391" s="164" t="s">
        <v>3364</v>
      </c>
      <c r="C1391" s="168" t="s">
        <v>3365</v>
      </c>
      <c r="D1391" s="6" t="s">
        <v>278</v>
      </c>
      <c r="E1391" s="6" t="s">
        <v>3366</v>
      </c>
      <c r="F1391" s="79">
        <v>44896</v>
      </c>
      <c r="G1391" s="6" t="s">
        <v>16</v>
      </c>
      <c r="H1391" s="97">
        <v>44905</v>
      </c>
      <c r="I1391" s="6">
        <v>1</v>
      </c>
      <c r="J1391" s="8">
        <v>27000</v>
      </c>
      <c r="K1391" s="8">
        <f t="shared" si="13"/>
        <v>309.20751259734311</v>
      </c>
      <c r="L1391" s="97">
        <v>44901</v>
      </c>
      <c r="M1391" s="6" t="s">
        <v>251</v>
      </c>
      <c r="N1391" s="97">
        <v>44901</v>
      </c>
      <c r="O1391" s="22" t="s">
        <v>6369</v>
      </c>
      <c r="P1391" s="6" t="s">
        <v>3367</v>
      </c>
      <c r="Q1391" s="6" t="s">
        <v>356</v>
      </c>
      <c r="R1391" s="6" t="str">
        <f t="shared" ca="1" si="14"/>
        <v>NonCategory</v>
      </c>
    </row>
    <row r="1392" spans="1:18">
      <c r="A1392" s="162">
        <v>44901</v>
      </c>
      <c r="B1392" s="164" t="s">
        <v>3368</v>
      </c>
      <c r="C1392" s="168" t="s">
        <v>3369</v>
      </c>
      <c r="D1392" s="6" t="s">
        <v>278</v>
      </c>
      <c r="E1392" s="6" t="s">
        <v>96</v>
      </c>
      <c r="F1392" s="79">
        <v>44896</v>
      </c>
      <c r="G1392" s="6" t="s">
        <v>16</v>
      </c>
      <c r="H1392" s="6" t="s">
        <v>3315</v>
      </c>
      <c r="I1392" s="6">
        <v>1</v>
      </c>
      <c r="J1392" s="8">
        <v>20000</v>
      </c>
      <c r="K1392" s="8">
        <f t="shared" si="13"/>
        <v>229.04260192395787</v>
      </c>
      <c r="L1392" s="97">
        <v>44901</v>
      </c>
      <c r="M1392" s="6" t="s">
        <v>251</v>
      </c>
      <c r="N1392" s="97">
        <v>44901</v>
      </c>
      <c r="O1392" s="22" t="s">
        <v>6370</v>
      </c>
      <c r="P1392" s="6" t="s">
        <v>3370</v>
      </c>
      <c r="Q1392" s="6" t="s">
        <v>356</v>
      </c>
      <c r="R1392" s="6" t="str">
        <f t="shared" ca="1" si="14"/>
        <v>NonCategory</v>
      </c>
    </row>
    <row r="1393" spans="1:18">
      <c r="A1393" s="162">
        <v>44901</v>
      </c>
      <c r="B1393" s="164" t="s">
        <v>3371</v>
      </c>
      <c r="C1393" s="168" t="s">
        <v>3372</v>
      </c>
      <c r="D1393" s="6" t="s">
        <v>287</v>
      </c>
      <c r="E1393" s="6" t="s">
        <v>150</v>
      </c>
      <c r="F1393" s="79">
        <v>44896</v>
      </c>
      <c r="G1393" s="6" t="s">
        <v>16</v>
      </c>
      <c r="H1393" s="6" t="s">
        <v>3214</v>
      </c>
      <c r="I1393" s="6">
        <v>1</v>
      </c>
      <c r="J1393" s="8">
        <v>21000</v>
      </c>
      <c r="K1393" s="8">
        <f t="shared" si="13"/>
        <v>240.49473202015577</v>
      </c>
      <c r="L1393" s="97">
        <v>44901</v>
      </c>
      <c r="M1393" s="6" t="s">
        <v>251</v>
      </c>
      <c r="N1393" s="97">
        <v>44901</v>
      </c>
      <c r="O1393" s="22" t="s">
        <v>6371</v>
      </c>
      <c r="Q1393" s="6" t="s">
        <v>356</v>
      </c>
      <c r="R1393" s="6" t="str">
        <f t="shared" ca="1" si="14"/>
        <v>NonCategory</v>
      </c>
    </row>
    <row r="1394" spans="1:18">
      <c r="A1394" s="162">
        <v>44901</v>
      </c>
      <c r="B1394" s="164" t="s">
        <v>3373</v>
      </c>
      <c r="C1394" s="168" t="s">
        <v>3374</v>
      </c>
      <c r="D1394" s="6" t="s">
        <v>278</v>
      </c>
      <c r="E1394" s="6" t="s">
        <v>6</v>
      </c>
      <c r="F1394" s="79">
        <v>44896</v>
      </c>
      <c r="G1394" s="6" t="s">
        <v>13</v>
      </c>
      <c r="H1394" s="6" t="s">
        <v>3214</v>
      </c>
      <c r="I1394" s="6">
        <v>1</v>
      </c>
      <c r="J1394" s="8">
        <v>40061</v>
      </c>
      <c r="K1394" s="8">
        <f t="shared" si="13"/>
        <v>458.7837837837838</v>
      </c>
      <c r="L1394" s="97">
        <v>44901</v>
      </c>
      <c r="P1394" s="6" t="s">
        <v>3375</v>
      </c>
      <c r="R1394" s="6" t="str">
        <f t="shared" ca="1" si="14"/>
        <v>NonCategory</v>
      </c>
    </row>
    <row r="1395" spans="1:18">
      <c r="A1395" s="162">
        <v>44902</v>
      </c>
      <c r="B1395" s="164" t="s">
        <v>3376</v>
      </c>
      <c r="C1395" s="168" t="s">
        <v>3377</v>
      </c>
      <c r="D1395" s="6" t="s">
        <v>1291</v>
      </c>
      <c r="E1395" s="6" t="s">
        <v>25</v>
      </c>
      <c r="F1395" s="79">
        <v>44896</v>
      </c>
      <c r="G1395" s="6" t="s">
        <v>16</v>
      </c>
      <c r="H1395" s="6" t="s">
        <v>3214</v>
      </c>
      <c r="I1395" s="6">
        <v>1</v>
      </c>
      <c r="J1395" s="8">
        <v>40061</v>
      </c>
      <c r="K1395" s="8">
        <f t="shared" si="13"/>
        <v>458.7837837837838</v>
      </c>
      <c r="L1395" s="97">
        <v>44902</v>
      </c>
      <c r="M1395" s="6" t="s">
        <v>251</v>
      </c>
      <c r="N1395" s="97">
        <v>44902</v>
      </c>
      <c r="O1395" s="22" t="s">
        <v>6372</v>
      </c>
      <c r="Q1395" s="6" t="s">
        <v>356</v>
      </c>
      <c r="R1395" s="6" t="str">
        <f t="shared" ca="1" si="14"/>
        <v>NonCategory</v>
      </c>
    </row>
    <row r="1396" spans="1:18">
      <c r="A1396" s="162">
        <v>44902</v>
      </c>
      <c r="B1396" s="164" t="s">
        <v>3378</v>
      </c>
      <c r="C1396" s="168" t="s">
        <v>3379</v>
      </c>
      <c r="D1396" s="6" t="s">
        <v>1291</v>
      </c>
      <c r="E1396" s="6" t="s">
        <v>25</v>
      </c>
      <c r="F1396" s="79">
        <v>44896</v>
      </c>
      <c r="G1396" s="6" t="s">
        <v>16</v>
      </c>
      <c r="H1396" s="6" t="s">
        <v>3214</v>
      </c>
      <c r="I1396" s="6">
        <v>1</v>
      </c>
      <c r="J1396" s="8">
        <v>40061</v>
      </c>
      <c r="K1396" s="8">
        <f t="shared" si="13"/>
        <v>458.7837837837838</v>
      </c>
      <c r="L1396" s="97">
        <v>44902</v>
      </c>
      <c r="M1396" s="6" t="s">
        <v>251</v>
      </c>
      <c r="N1396" s="97">
        <v>44902</v>
      </c>
      <c r="O1396" s="22" t="s">
        <v>6373</v>
      </c>
      <c r="Q1396" s="6" t="s">
        <v>356</v>
      </c>
      <c r="R1396" s="6" t="str">
        <f t="shared" ca="1" si="14"/>
        <v>NonCategory</v>
      </c>
    </row>
    <row r="1397" spans="1:18">
      <c r="A1397" s="162">
        <v>44902</v>
      </c>
      <c r="B1397" s="164" t="s">
        <v>3380</v>
      </c>
      <c r="C1397" s="168" t="s">
        <v>3381</v>
      </c>
      <c r="D1397" s="6" t="s">
        <v>287</v>
      </c>
      <c r="E1397" s="6" t="s">
        <v>1524</v>
      </c>
      <c r="F1397" s="79">
        <v>44896</v>
      </c>
      <c r="G1397" s="6" t="s">
        <v>16</v>
      </c>
      <c r="H1397" s="6" t="s">
        <v>3214</v>
      </c>
      <c r="I1397" s="6">
        <v>1</v>
      </c>
      <c r="J1397" s="8">
        <v>24000</v>
      </c>
      <c r="K1397" s="8">
        <f t="shared" si="13"/>
        <v>274.85112230874944</v>
      </c>
      <c r="L1397" s="97">
        <v>44902</v>
      </c>
      <c r="M1397" s="6" t="s">
        <v>251</v>
      </c>
      <c r="N1397" s="97">
        <v>44902</v>
      </c>
      <c r="O1397" s="22" t="s">
        <v>6374</v>
      </c>
      <c r="Q1397" s="6" t="s">
        <v>356</v>
      </c>
      <c r="R1397" s="6" t="str">
        <f t="shared" ca="1" si="14"/>
        <v>NonCategory</v>
      </c>
    </row>
    <row r="1398" spans="1:18">
      <c r="A1398" s="162">
        <v>44907</v>
      </c>
      <c r="B1398" s="164" t="s">
        <v>3382</v>
      </c>
      <c r="C1398" s="168" t="s">
        <v>3383</v>
      </c>
      <c r="D1398" s="6" t="s">
        <v>291</v>
      </c>
      <c r="E1398" s="6" t="s">
        <v>150</v>
      </c>
      <c r="F1398" s="79">
        <v>44896</v>
      </c>
      <c r="G1398" s="6" t="s">
        <v>16</v>
      </c>
      <c r="H1398" s="6" t="s">
        <v>3359</v>
      </c>
      <c r="I1398" s="6">
        <v>1</v>
      </c>
      <c r="J1398" s="8">
        <v>21000</v>
      </c>
      <c r="K1398" s="8">
        <f t="shared" si="13"/>
        <v>240.49473202015577</v>
      </c>
      <c r="L1398" s="97">
        <v>44907</v>
      </c>
      <c r="M1398" s="6" t="s">
        <v>252</v>
      </c>
      <c r="N1398" s="97">
        <v>44904</v>
      </c>
      <c r="O1398" s="22" t="s">
        <v>6375</v>
      </c>
      <c r="Q1398" s="6" t="s">
        <v>356</v>
      </c>
      <c r="R1398" s="6" t="str">
        <f t="shared" ca="1" si="14"/>
        <v>NonCategory</v>
      </c>
    </row>
    <row r="1399" spans="1:18">
      <c r="A1399" s="162">
        <v>44907</v>
      </c>
      <c r="B1399" s="164" t="s">
        <v>3384</v>
      </c>
      <c r="C1399" s="168" t="s">
        <v>3385</v>
      </c>
      <c r="D1399" s="6" t="s">
        <v>319</v>
      </c>
      <c r="E1399" s="6" t="s">
        <v>1524</v>
      </c>
      <c r="F1399" s="79">
        <v>44896</v>
      </c>
      <c r="G1399" s="6" t="s">
        <v>16</v>
      </c>
      <c r="H1399" s="6" t="s">
        <v>3238</v>
      </c>
      <c r="I1399" s="6">
        <v>1</v>
      </c>
      <c r="J1399" s="8">
        <v>24000</v>
      </c>
      <c r="K1399" s="8">
        <f t="shared" si="13"/>
        <v>274.85112230874944</v>
      </c>
      <c r="L1399" s="97">
        <v>44907</v>
      </c>
      <c r="M1399" s="6" t="s">
        <v>252</v>
      </c>
      <c r="N1399" s="97">
        <v>44907</v>
      </c>
      <c r="O1399" s="22" t="s">
        <v>6376</v>
      </c>
      <c r="Q1399" s="6" t="s">
        <v>356</v>
      </c>
      <c r="R1399" s="6" t="str">
        <f t="shared" ca="1" si="14"/>
        <v>NonCategory</v>
      </c>
    </row>
    <row r="1400" spans="1:18">
      <c r="A1400" s="162">
        <v>44907</v>
      </c>
      <c r="B1400" s="164" t="s">
        <v>3386</v>
      </c>
      <c r="C1400" s="168" t="s">
        <v>3387</v>
      </c>
      <c r="D1400" s="6" t="s">
        <v>278</v>
      </c>
      <c r="E1400" s="6" t="s">
        <v>150</v>
      </c>
      <c r="F1400" s="79">
        <v>44896</v>
      </c>
      <c r="G1400" s="6" t="s">
        <v>16</v>
      </c>
      <c r="H1400" s="6" t="s">
        <v>3238</v>
      </c>
      <c r="I1400" s="6">
        <v>1</v>
      </c>
      <c r="J1400" s="8">
        <v>21000</v>
      </c>
      <c r="K1400" s="8">
        <f t="shared" si="13"/>
        <v>240.49473202015577</v>
      </c>
      <c r="L1400" s="97">
        <v>44907</v>
      </c>
      <c r="M1400" s="6" t="s">
        <v>252</v>
      </c>
      <c r="N1400" s="97">
        <v>44907</v>
      </c>
      <c r="O1400" s="22" t="s">
        <v>6377</v>
      </c>
      <c r="P1400" s="6" t="s">
        <v>3096</v>
      </c>
      <c r="Q1400" s="6" t="s">
        <v>356</v>
      </c>
      <c r="R1400" s="6" t="str">
        <f t="shared" ca="1" si="14"/>
        <v>NonCategory</v>
      </c>
    </row>
    <row r="1401" spans="1:18">
      <c r="A1401" s="162">
        <v>44907</v>
      </c>
      <c r="B1401" s="164" t="s">
        <v>3388</v>
      </c>
      <c r="C1401" s="168" t="s">
        <v>3389</v>
      </c>
      <c r="D1401" s="6" t="s">
        <v>470</v>
      </c>
      <c r="E1401" s="6" t="s">
        <v>97</v>
      </c>
      <c r="F1401" s="79">
        <v>44896</v>
      </c>
      <c r="G1401" s="6" t="s">
        <v>16</v>
      </c>
      <c r="H1401" s="6" t="s">
        <v>3390</v>
      </c>
      <c r="I1401" s="6">
        <v>1</v>
      </c>
      <c r="J1401" s="8">
        <v>20000</v>
      </c>
      <c r="K1401" s="8">
        <f t="shared" si="13"/>
        <v>229.04260192395787</v>
      </c>
      <c r="L1401" s="97">
        <v>44907</v>
      </c>
      <c r="M1401" s="6" t="s">
        <v>252</v>
      </c>
      <c r="N1401" s="97">
        <v>44907</v>
      </c>
      <c r="O1401" s="22" t="s">
        <v>6378</v>
      </c>
      <c r="Q1401" s="6" t="s">
        <v>356</v>
      </c>
      <c r="R1401" s="6" t="str">
        <f t="shared" ca="1" si="14"/>
        <v>NonCategory</v>
      </c>
    </row>
    <row r="1402" spans="1:18">
      <c r="A1402" s="162">
        <v>44907</v>
      </c>
      <c r="B1402" s="164" t="s">
        <v>3391</v>
      </c>
      <c r="C1402" s="168" t="s">
        <v>3392</v>
      </c>
      <c r="D1402" s="6" t="s">
        <v>278</v>
      </c>
      <c r="E1402" s="6" t="s">
        <v>1524</v>
      </c>
      <c r="F1402" s="79">
        <v>44896</v>
      </c>
      <c r="G1402" s="6" t="s">
        <v>16</v>
      </c>
      <c r="H1402" s="6" t="s">
        <v>3238</v>
      </c>
      <c r="I1402" s="6">
        <v>1</v>
      </c>
      <c r="J1402" s="8">
        <v>24000</v>
      </c>
      <c r="K1402" s="8">
        <f t="shared" si="13"/>
        <v>274.85112230874944</v>
      </c>
      <c r="L1402" s="97">
        <v>44907</v>
      </c>
      <c r="M1402" s="6" t="s">
        <v>252</v>
      </c>
      <c r="N1402" s="97">
        <v>44909</v>
      </c>
      <c r="O1402" s="22" t="s">
        <v>6379</v>
      </c>
      <c r="Q1402" s="6" t="s">
        <v>356</v>
      </c>
      <c r="R1402" s="6" t="str">
        <f t="shared" ca="1" si="14"/>
        <v>NonCategory</v>
      </c>
    </row>
    <row r="1403" spans="1:18">
      <c r="A1403" s="162">
        <v>44908</v>
      </c>
      <c r="B1403" s="164" t="s">
        <v>3393</v>
      </c>
      <c r="C1403" s="168" t="s">
        <v>3394</v>
      </c>
      <c r="D1403" s="6" t="s">
        <v>278</v>
      </c>
      <c r="E1403" s="6" t="s">
        <v>1524</v>
      </c>
      <c r="F1403" s="79">
        <v>44896</v>
      </c>
      <c r="G1403" s="6" t="s">
        <v>16</v>
      </c>
      <c r="H1403" s="6" t="s">
        <v>3238</v>
      </c>
      <c r="I1403" s="6">
        <v>1</v>
      </c>
      <c r="J1403" s="8">
        <v>24000</v>
      </c>
      <c r="K1403" s="8">
        <f t="shared" si="13"/>
        <v>274.85112230874944</v>
      </c>
      <c r="L1403" s="97">
        <v>44908</v>
      </c>
      <c r="M1403" s="6" t="s">
        <v>252</v>
      </c>
      <c r="N1403" s="97">
        <v>44908</v>
      </c>
      <c r="O1403" s="22" t="s">
        <v>6380</v>
      </c>
      <c r="P1403" s="6" t="s">
        <v>3395</v>
      </c>
      <c r="Q1403" s="6" t="s">
        <v>356</v>
      </c>
      <c r="R1403" s="6" t="str">
        <f t="shared" ca="1" si="14"/>
        <v>NonCategory</v>
      </c>
    </row>
    <row r="1404" spans="1:18">
      <c r="A1404" s="162">
        <v>44908</v>
      </c>
      <c r="B1404" s="164" t="s">
        <v>3396</v>
      </c>
      <c r="C1404" s="168" t="s">
        <v>3397</v>
      </c>
      <c r="D1404" s="6" t="s">
        <v>278</v>
      </c>
      <c r="E1404" s="6" t="s">
        <v>1524</v>
      </c>
      <c r="F1404" s="79">
        <v>44896</v>
      </c>
      <c r="G1404" s="6" t="s">
        <v>16</v>
      </c>
      <c r="H1404" s="6" t="s">
        <v>3238</v>
      </c>
      <c r="I1404" s="6">
        <v>1</v>
      </c>
      <c r="J1404" s="8">
        <v>24000</v>
      </c>
      <c r="K1404" s="8">
        <f t="shared" si="13"/>
        <v>274.85112230874944</v>
      </c>
      <c r="L1404" s="97">
        <v>44908</v>
      </c>
      <c r="M1404" s="6" t="s">
        <v>252</v>
      </c>
      <c r="N1404" s="97">
        <v>44910</v>
      </c>
      <c r="O1404" s="22" t="s">
        <v>6381</v>
      </c>
      <c r="P1404" s="6" t="s">
        <v>3398</v>
      </c>
      <c r="Q1404" s="6" t="s">
        <v>356</v>
      </c>
      <c r="R1404" s="6" t="str">
        <f t="shared" ca="1" si="14"/>
        <v>NonCategory</v>
      </c>
    </row>
    <row r="1405" spans="1:18">
      <c r="A1405" s="162">
        <v>44908</v>
      </c>
      <c r="B1405" s="164" t="s">
        <v>3399</v>
      </c>
      <c r="C1405" s="168" t="s">
        <v>3400</v>
      </c>
      <c r="D1405" s="6" t="s">
        <v>319</v>
      </c>
      <c r="E1405" s="6" t="s">
        <v>1524</v>
      </c>
      <c r="F1405" s="79">
        <v>44896</v>
      </c>
      <c r="G1405" s="6" t="s">
        <v>16</v>
      </c>
      <c r="H1405" s="6" t="s">
        <v>3238</v>
      </c>
      <c r="I1405" s="6">
        <v>1</v>
      </c>
      <c r="J1405" s="8">
        <v>24000</v>
      </c>
      <c r="K1405" s="8">
        <f t="shared" si="13"/>
        <v>274.85112230874944</v>
      </c>
      <c r="L1405" s="97">
        <v>44908</v>
      </c>
      <c r="M1405" s="6" t="s">
        <v>252</v>
      </c>
      <c r="N1405" s="97">
        <v>44908</v>
      </c>
      <c r="O1405" s="22" t="s">
        <v>6382</v>
      </c>
      <c r="Q1405" s="6" t="s">
        <v>356</v>
      </c>
      <c r="R1405" s="6" t="str">
        <f t="shared" ca="1" si="14"/>
        <v>NonCategory</v>
      </c>
    </row>
    <row r="1406" spans="1:18">
      <c r="A1406" s="162">
        <v>44908</v>
      </c>
      <c r="B1406" s="164" t="s">
        <v>3401</v>
      </c>
      <c r="C1406" s="168" t="s">
        <v>3402</v>
      </c>
      <c r="D1406" s="6" t="s">
        <v>278</v>
      </c>
      <c r="E1406" s="6" t="s">
        <v>96</v>
      </c>
      <c r="F1406" s="79">
        <v>44896</v>
      </c>
      <c r="G1406" s="6" t="s">
        <v>16</v>
      </c>
      <c r="H1406" s="6" t="s">
        <v>3201</v>
      </c>
      <c r="I1406" s="6">
        <v>1</v>
      </c>
      <c r="J1406" s="8">
        <v>20000</v>
      </c>
      <c r="K1406" s="8">
        <f t="shared" si="13"/>
        <v>229.04260192395787</v>
      </c>
      <c r="L1406" s="97">
        <v>44908</v>
      </c>
      <c r="M1406" s="6" t="s">
        <v>252</v>
      </c>
      <c r="N1406" s="97">
        <v>44908</v>
      </c>
      <c r="O1406" s="22" t="s">
        <v>6383</v>
      </c>
      <c r="P1406" s="6" t="s">
        <v>3403</v>
      </c>
      <c r="Q1406" s="6" t="s">
        <v>356</v>
      </c>
      <c r="R1406" s="6" t="str">
        <f t="shared" ca="1" si="14"/>
        <v>NonCategory</v>
      </c>
    </row>
    <row r="1407" spans="1:18">
      <c r="A1407" s="162">
        <v>44909</v>
      </c>
      <c r="B1407" s="164" t="s">
        <v>3404</v>
      </c>
      <c r="C1407" s="168" t="s">
        <v>3405</v>
      </c>
      <c r="D1407" s="6" t="s">
        <v>287</v>
      </c>
      <c r="E1407" s="6" t="s">
        <v>1524</v>
      </c>
      <c r="F1407" s="79">
        <v>44896</v>
      </c>
      <c r="G1407" s="6" t="s">
        <v>16</v>
      </c>
      <c r="H1407" s="6" t="s">
        <v>3238</v>
      </c>
      <c r="I1407" s="6">
        <v>1</v>
      </c>
      <c r="J1407" s="8">
        <v>21000</v>
      </c>
      <c r="K1407" s="8">
        <f t="shared" si="13"/>
        <v>240.49473202015577</v>
      </c>
      <c r="L1407" s="97">
        <v>44909</v>
      </c>
      <c r="M1407" s="6" t="s">
        <v>252</v>
      </c>
      <c r="N1407" s="97">
        <v>44909</v>
      </c>
      <c r="O1407" s="22" t="s">
        <v>6384</v>
      </c>
      <c r="Q1407" s="6" t="s">
        <v>356</v>
      </c>
      <c r="R1407" s="6" t="str">
        <f t="shared" ca="1" si="14"/>
        <v>NonCategory</v>
      </c>
    </row>
    <row r="1408" spans="1:18">
      <c r="A1408" s="162">
        <v>44909</v>
      </c>
      <c r="B1408" s="164" t="s">
        <v>3406</v>
      </c>
      <c r="C1408" s="168" t="s">
        <v>3407</v>
      </c>
      <c r="D1408" s="6" t="s">
        <v>287</v>
      </c>
      <c r="E1408" s="6" t="s">
        <v>1524</v>
      </c>
      <c r="F1408" s="79">
        <v>44896</v>
      </c>
      <c r="G1408" s="6" t="s">
        <v>16</v>
      </c>
      <c r="H1408" s="6" t="s">
        <v>3238</v>
      </c>
      <c r="I1408" s="6">
        <v>1</v>
      </c>
      <c r="J1408" s="8">
        <v>21000</v>
      </c>
      <c r="K1408" s="8">
        <f t="shared" si="13"/>
        <v>240.49473202015577</v>
      </c>
      <c r="L1408" s="97">
        <v>44909</v>
      </c>
      <c r="M1408" s="6" t="s">
        <v>252</v>
      </c>
      <c r="N1408" s="97">
        <v>44909</v>
      </c>
      <c r="O1408" s="22" t="s">
        <v>6385</v>
      </c>
      <c r="Q1408" s="6" t="s">
        <v>356</v>
      </c>
      <c r="R1408" s="6" t="str">
        <f t="shared" ca="1" si="14"/>
        <v>NonCategory</v>
      </c>
    </row>
    <row r="1409" spans="1:18">
      <c r="A1409" s="162">
        <v>44909</v>
      </c>
      <c r="B1409" s="164" t="s">
        <v>1298</v>
      </c>
      <c r="C1409" s="168" t="s">
        <v>2431</v>
      </c>
      <c r="D1409" s="6" t="s">
        <v>470</v>
      </c>
      <c r="E1409" s="6" t="s">
        <v>538</v>
      </c>
      <c r="F1409" s="79">
        <v>44896</v>
      </c>
      <c r="G1409" s="6" t="s">
        <v>16</v>
      </c>
      <c r="H1409" s="97">
        <v>44912</v>
      </c>
      <c r="I1409" s="6">
        <v>1</v>
      </c>
      <c r="J1409" s="8">
        <v>10000</v>
      </c>
      <c r="K1409" s="8">
        <f t="shared" si="13"/>
        <v>114.52130096197894</v>
      </c>
      <c r="L1409" s="97">
        <v>44909</v>
      </c>
      <c r="M1409" s="6" t="s">
        <v>252</v>
      </c>
      <c r="N1409" s="97">
        <v>44909</v>
      </c>
      <c r="O1409" s="22" t="s">
        <v>6386</v>
      </c>
      <c r="Q1409" s="6" t="s">
        <v>356</v>
      </c>
      <c r="R1409" s="6" t="str">
        <f t="shared" ca="1" si="14"/>
        <v>NonCategory</v>
      </c>
    </row>
    <row r="1410" spans="1:18">
      <c r="A1410" s="162">
        <v>44909</v>
      </c>
      <c r="B1410" s="164" t="s">
        <v>3408</v>
      </c>
      <c r="C1410" s="168" t="s">
        <v>3409</v>
      </c>
      <c r="D1410" s="6" t="s">
        <v>278</v>
      </c>
      <c r="E1410" s="6" t="s">
        <v>150</v>
      </c>
      <c r="F1410" s="79">
        <v>44896</v>
      </c>
      <c r="G1410" s="6" t="s">
        <v>16</v>
      </c>
      <c r="H1410" s="6" t="s">
        <v>3238</v>
      </c>
      <c r="I1410" s="6">
        <v>1</v>
      </c>
      <c r="J1410" s="8">
        <v>21000</v>
      </c>
      <c r="K1410" s="8">
        <f t="shared" si="13"/>
        <v>240.49473202015577</v>
      </c>
      <c r="L1410" s="97">
        <v>44909</v>
      </c>
      <c r="M1410" s="6" t="s">
        <v>252</v>
      </c>
      <c r="N1410" s="97">
        <v>44909</v>
      </c>
      <c r="O1410" s="22" t="s">
        <v>6387</v>
      </c>
      <c r="P1410" s="6" t="s">
        <v>3410</v>
      </c>
      <c r="Q1410" s="6" t="s">
        <v>356</v>
      </c>
      <c r="R1410" s="6" t="str">
        <f t="shared" ca="1" si="14"/>
        <v>NonCategory</v>
      </c>
    </row>
    <row r="1411" spans="1:18">
      <c r="A1411" s="162">
        <v>44909</v>
      </c>
      <c r="B1411" s="164" t="s">
        <v>3411</v>
      </c>
      <c r="C1411" s="168" t="s">
        <v>3412</v>
      </c>
      <c r="D1411" s="6" t="s">
        <v>470</v>
      </c>
      <c r="E1411" s="6" t="s">
        <v>1570</v>
      </c>
      <c r="F1411" s="79">
        <v>44896</v>
      </c>
      <c r="G1411" s="6" t="s">
        <v>16</v>
      </c>
      <c r="H1411" s="97">
        <v>44909</v>
      </c>
      <c r="I1411" s="6">
        <v>1</v>
      </c>
      <c r="J1411" s="8">
        <v>17700</v>
      </c>
      <c r="K1411" s="8">
        <f t="shared" si="13"/>
        <v>202.70270270270271</v>
      </c>
      <c r="L1411" s="97">
        <v>44909</v>
      </c>
      <c r="M1411" s="6" t="s">
        <v>252</v>
      </c>
      <c r="N1411" s="97">
        <v>44909</v>
      </c>
      <c r="O1411" s="22" t="s">
        <v>6388</v>
      </c>
      <c r="Q1411" s="6" t="s">
        <v>356</v>
      </c>
      <c r="R1411" s="6" t="str">
        <f t="shared" ca="1" si="14"/>
        <v>NonCategory</v>
      </c>
    </row>
    <row r="1412" spans="1:18">
      <c r="A1412" s="162">
        <v>44909</v>
      </c>
      <c r="B1412" s="164" t="s">
        <v>3413</v>
      </c>
      <c r="C1412" s="168" t="s">
        <v>3414</v>
      </c>
      <c r="D1412" s="6" t="s">
        <v>306</v>
      </c>
      <c r="E1412" s="6" t="s">
        <v>1497</v>
      </c>
      <c r="F1412" s="79">
        <v>44896</v>
      </c>
      <c r="G1412" s="6" t="s">
        <v>16</v>
      </c>
      <c r="H1412" s="6" t="s">
        <v>3415</v>
      </c>
      <c r="I1412" s="6">
        <v>1</v>
      </c>
      <c r="J1412" s="8">
        <v>24000</v>
      </c>
      <c r="K1412" s="8">
        <f t="shared" si="13"/>
        <v>274.85112230874944</v>
      </c>
      <c r="L1412" s="97">
        <v>44909</v>
      </c>
      <c r="M1412" s="6" t="s">
        <v>252</v>
      </c>
      <c r="N1412" s="97">
        <v>44909</v>
      </c>
      <c r="O1412" s="22" t="s">
        <v>6389</v>
      </c>
      <c r="Q1412" s="6" t="s">
        <v>356</v>
      </c>
      <c r="R1412" s="6" t="str">
        <f t="shared" ca="1" si="14"/>
        <v>NonCategory</v>
      </c>
    </row>
    <row r="1413" spans="1:18">
      <c r="A1413" s="162">
        <v>44909</v>
      </c>
      <c r="B1413" s="164" t="s">
        <v>3416</v>
      </c>
      <c r="C1413" s="168" t="s">
        <v>3417</v>
      </c>
      <c r="D1413" s="6" t="s">
        <v>303</v>
      </c>
      <c r="E1413" s="6" t="s">
        <v>1497</v>
      </c>
      <c r="F1413" s="79">
        <v>44896</v>
      </c>
      <c r="G1413" s="6" t="s">
        <v>16</v>
      </c>
      <c r="H1413" s="6" t="s">
        <v>3415</v>
      </c>
      <c r="I1413" s="6">
        <v>1</v>
      </c>
      <c r="J1413" s="8">
        <v>24000</v>
      </c>
      <c r="K1413" s="8">
        <f t="shared" si="13"/>
        <v>274.85112230874944</v>
      </c>
      <c r="L1413" s="97">
        <v>44909</v>
      </c>
      <c r="M1413" s="6" t="s">
        <v>252</v>
      </c>
      <c r="N1413" s="97">
        <v>44909</v>
      </c>
      <c r="O1413" s="22" t="s">
        <v>6390</v>
      </c>
      <c r="Q1413" s="6" t="s">
        <v>356</v>
      </c>
      <c r="R1413" s="6" t="str">
        <f t="shared" ca="1" si="14"/>
        <v>NonCategory</v>
      </c>
    </row>
    <row r="1414" spans="1:18">
      <c r="A1414" s="162">
        <v>44909</v>
      </c>
      <c r="B1414" s="164" t="s">
        <v>3418</v>
      </c>
      <c r="C1414" s="168" t="s">
        <v>2935</v>
      </c>
      <c r="D1414" s="6" t="s">
        <v>470</v>
      </c>
      <c r="E1414" s="6" t="s">
        <v>1497</v>
      </c>
      <c r="F1414" s="79">
        <v>44896</v>
      </c>
      <c r="G1414" s="6" t="s">
        <v>16</v>
      </c>
      <c r="H1414" s="6" t="s">
        <v>3415</v>
      </c>
      <c r="I1414" s="6">
        <v>1</v>
      </c>
      <c r="J1414" s="8">
        <v>24000</v>
      </c>
      <c r="K1414" s="8">
        <f t="shared" si="13"/>
        <v>274.85112230874944</v>
      </c>
      <c r="L1414" s="97">
        <v>44909</v>
      </c>
      <c r="M1414" s="6" t="s">
        <v>252</v>
      </c>
      <c r="N1414" s="97">
        <v>44909</v>
      </c>
      <c r="O1414" s="22" t="s">
        <v>6391</v>
      </c>
      <c r="Q1414" s="6" t="s">
        <v>356</v>
      </c>
      <c r="R1414" s="6" t="str">
        <f t="shared" ca="1" si="14"/>
        <v>NonCategory</v>
      </c>
    </row>
    <row r="1415" spans="1:18">
      <c r="A1415" s="162">
        <v>44909</v>
      </c>
      <c r="B1415" s="164" t="s">
        <v>3419</v>
      </c>
      <c r="C1415" s="168" t="s">
        <v>3420</v>
      </c>
      <c r="D1415" s="6" t="s">
        <v>278</v>
      </c>
      <c r="E1415" s="6" t="s">
        <v>1524</v>
      </c>
      <c r="F1415" s="79">
        <v>44896</v>
      </c>
      <c r="G1415" s="6" t="s">
        <v>16</v>
      </c>
      <c r="H1415" s="6" t="s">
        <v>3238</v>
      </c>
      <c r="I1415" s="6">
        <v>1</v>
      </c>
      <c r="J1415" s="8">
        <v>24000</v>
      </c>
      <c r="K1415" s="8">
        <f t="shared" si="13"/>
        <v>274.85112230874944</v>
      </c>
      <c r="L1415" s="97">
        <v>44909</v>
      </c>
      <c r="M1415" s="6" t="s">
        <v>252</v>
      </c>
      <c r="N1415" s="97">
        <v>44910</v>
      </c>
      <c r="O1415" s="22" t="s">
        <v>6392</v>
      </c>
      <c r="P1415" s="6" t="s">
        <v>3421</v>
      </c>
      <c r="Q1415" s="6" t="s">
        <v>356</v>
      </c>
      <c r="R1415" s="6" t="str">
        <f t="shared" ca="1" si="14"/>
        <v>NonCategory</v>
      </c>
    </row>
    <row r="1416" spans="1:18">
      <c r="A1416" s="162">
        <v>44910</v>
      </c>
      <c r="B1416" s="164" t="s">
        <v>3422</v>
      </c>
      <c r="C1416" s="168" t="s">
        <v>3423</v>
      </c>
      <c r="D1416" s="6" t="s">
        <v>319</v>
      </c>
      <c r="E1416" s="6" t="s">
        <v>150</v>
      </c>
      <c r="F1416" s="79">
        <v>44896</v>
      </c>
      <c r="G1416" s="6" t="s">
        <v>16</v>
      </c>
      <c r="H1416" s="6" t="s">
        <v>3221</v>
      </c>
      <c r="I1416" s="6">
        <v>1</v>
      </c>
      <c r="J1416" s="8">
        <v>21000</v>
      </c>
      <c r="K1416" s="8">
        <f t="shared" si="13"/>
        <v>240.49473202015577</v>
      </c>
      <c r="L1416" s="97">
        <v>44910</v>
      </c>
      <c r="M1416" s="6" t="s">
        <v>252</v>
      </c>
      <c r="N1416" s="97">
        <v>44910</v>
      </c>
      <c r="O1416" s="22" t="s">
        <v>6393</v>
      </c>
      <c r="Q1416" s="6" t="s">
        <v>356</v>
      </c>
      <c r="R1416" s="6" t="str">
        <f t="shared" ca="1" si="14"/>
        <v>NonCategory</v>
      </c>
    </row>
    <row r="1417" spans="1:18">
      <c r="A1417" s="162">
        <v>44910</v>
      </c>
      <c r="B1417" s="164" t="s">
        <v>3424</v>
      </c>
      <c r="C1417" s="168" t="s">
        <v>3425</v>
      </c>
      <c r="D1417" s="6" t="s">
        <v>319</v>
      </c>
      <c r="E1417" s="6" t="s">
        <v>1524</v>
      </c>
      <c r="F1417" s="79">
        <v>44896</v>
      </c>
      <c r="G1417" s="6" t="s">
        <v>16</v>
      </c>
      <c r="H1417" s="6" t="s">
        <v>3238</v>
      </c>
      <c r="I1417" s="6">
        <v>1</v>
      </c>
      <c r="J1417" s="8">
        <v>24000</v>
      </c>
      <c r="K1417" s="8">
        <f t="shared" si="13"/>
        <v>274.85112230874944</v>
      </c>
      <c r="L1417" s="97">
        <v>44910</v>
      </c>
      <c r="M1417" s="6" t="s">
        <v>252</v>
      </c>
      <c r="N1417" s="97">
        <v>44910</v>
      </c>
      <c r="O1417" s="22" t="s">
        <v>6394</v>
      </c>
      <c r="Q1417" s="6" t="s">
        <v>356</v>
      </c>
      <c r="R1417" s="6" t="str">
        <f t="shared" ca="1" si="14"/>
        <v>NonCategory</v>
      </c>
    </row>
    <row r="1418" spans="1:18">
      <c r="A1418" s="162">
        <v>44910</v>
      </c>
      <c r="B1418" s="164" t="s">
        <v>3426</v>
      </c>
      <c r="C1418" s="168" t="s">
        <v>3427</v>
      </c>
      <c r="D1418" s="6" t="s">
        <v>303</v>
      </c>
      <c r="E1418" s="6" t="s">
        <v>96</v>
      </c>
      <c r="F1418" s="79">
        <v>44896</v>
      </c>
      <c r="G1418" s="6" t="s">
        <v>16</v>
      </c>
      <c r="H1418" s="6" t="s">
        <v>3221</v>
      </c>
      <c r="I1418" s="6">
        <v>1</v>
      </c>
      <c r="J1418" s="8">
        <v>20000</v>
      </c>
      <c r="K1418" s="8">
        <f t="shared" si="13"/>
        <v>229.04260192395787</v>
      </c>
      <c r="L1418" s="97">
        <v>44910</v>
      </c>
      <c r="M1418" s="6" t="s">
        <v>252</v>
      </c>
      <c r="N1418" s="97">
        <v>44910</v>
      </c>
      <c r="O1418" s="22" t="s">
        <v>6395</v>
      </c>
      <c r="Q1418" s="6" t="s">
        <v>356</v>
      </c>
      <c r="R1418" s="6" t="str">
        <f t="shared" ca="1" si="14"/>
        <v>NonCategory</v>
      </c>
    </row>
    <row r="1419" spans="1:18">
      <c r="A1419" s="162">
        <v>44910</v>
      </c>
      <c r="B1419" s="164" t="s">
        <v>3428</v>
      </c>
      <c r="C1419" s="168" t="s">
        <v>3429</v>
      </c>
      <c r="D1419" s="6" t="s">
        <v>319</v>
      </c>
      <c r="E1419" s="6" t="s">
        <v>1715</v>
      </c>
      <c r="F1419" s="79">
        <v>44896</v>
      </c>
      <c r="G1419" s="6" t="s">
        <v>13</v>
      </c>
      <c r="H1419" s="97">
        <v>44912</v>
      </c>
      <c r="I1419" s="6">
        <v>1</v>
      </c>
      <c r="J1419" s="8">
        <v>19200</v>
      </c>
      <c r="K1419" s="8">
        <f t="shared" si="13"/>
        <v>219.88089784699957</v>
      </c>
      <c r="L1419" s="97">
        <v>44910</v>
      </c>
      <c r="R1419" s="6" t="str">
        <f t="shared" ca="1" si="14"/>
        <v>NonCategory</v>
      </c>
    </row>
    <row r="1420" spans="1:18">
      <c r="A1420" s="162">
        <v>44911</v>
      </c>
      <c r="B1420" s="164" t="s">
        <v>3430</v>
      </c>
      <c r="C1420" s="168" t="s">
        <v>3431</v>
      </c>
      <c r="D1420" s="6" t="s">
        <v>287</v>
      </c>
      <c r="E1420" s="6" t="s">
        <v>150</v>
      </c>
      <c r="F1420" s="79">
        <v>44896</v>
      </c>
      <c r="G1420" s="6" t="s">
        <v>16</v>
      </c>
      <c r="H1420" s="6" t="s">
        <v>3238</v>
      </c>
      <c r="I1420" s="6">
        <v>1</v>
      </c>
      <c r="J1420" s="8">
        <v>21000</v>
      </c>
      <c r="K1420" s="8">
        <f t="shared" si="13"/>
        <v>240.49473202015577</v>
      </c>
      <c r="L1420" s="97">
        <v>44911</v>
      </c>
      <c r="M1420" s="6" t="s">
        <v>252</v>
      </c>
      <c r="N1420" s="97">
        <v>44911</v>
      </c>
      <c r="O1420" s="22" t="s">
        <v>6396</v>
      </c>
      <c r="Q1420" s="6" t="s">
        <v>356</v>
      </c>
      <c r="R1420" s="6" t="str">
        <f t="shared" ca="1" si="14"/>
        <v>NonCategory</v>
      </c>
    </row>
    <row r="1421" spans="1:18">
      <c r="A1421" s="162">
        <v>44911</v>
      </c>
      <c r="B1421" s="164" t="s">
        <v>3432</v>
      </c>
      <c r="C1421" s="168" t="s">
        <v>3433</v>
      </c>
      <c r="D1421" s="6" t="s">
        <v>303</v>
      </c>
      <c r="E1421" s="6" t="s">
        <v>150</v>
      </c>
      <c r="F1421" s="79">
        <v>44896</v>
      </c>
      <c r="G1421" s="6" t="s">
        <v>16</v>
      </c>
      <c r="H1421" s="6" t="s">
        <v>3326</v>
      </c>
      <c r="I1421" s="6">
        <v>1</v>
      </c>
      <c r="J1421" s="8">
        <v>21000</v>
      </c>
      <c r="K1421" s="8">
        <f t="shared" si="13"/>
        <v>240.49473202015577</v>
      </c>
      <c r="L1421" s="97">
        <v>44911</v>
      </c>
      <c r="M1421" s="6" t="s">
        <v>252</v>
      </c>
      <c r="N1421" s="97">
        <v>44911</v>
      </c>
      <c r="O1421" s="22" t="s">
        <v>6397</v>
      </c>
      <c r="Q1421" s="6" t="s">
        <v>356</v>
      </c>
      <c r="R1421" s="6" t="str">
        <f t="shared" ca="1" si="14"/>
        <v>NonCategory</v>
      </c>
    </row>
    <row r="1422" spans="1:18">
      <c r="A1422" s="162">
        <v>44911</v>
      </c>
      <c r="B1422" s="164" t="s">
        <v>3432</v>
      </c>
      <c r="C1422" s="168" t="s">
        <v>3433</v>
      </c>
      <c r="D1422" s="6" t="s">
        <v>303</v>
      </c>
      <c r="E1422" s="6" t="s">
        <v>1524</v>
      </c>
      <c r="F1422" s="79">
        <v>44896</v>
      </c>
      <c r="G1422" s="6" t="s">
        <v>16</v>
      </c>
      <c r="H1422" s="6" t="s">
        <v>3434</v>
      </c>
      <c r="I1422" s="6">
        <v>1</v>
      </c>
      <c r="J1422" s="8">
        <v>24000</v>
      </c>
      <c r="K1422" s="8">
        <f t="shared" si="13"/>
        <v>274.85112230874944</v>
      </c>
      <c r="L1422" s="97">
        <v>44911</v>
      </c>
      <c r="M1422" s="6" t="s">
        <v>252</v>
      </c>
      <c r="N1422" s="97">
        <v>44911</v>
      </c>
      <c r="O1422" s="22" t="s">
        <v>6398</v>
      </c>
      <c r="Q1422" s="6" t="s">
        <v>356</v>
      </c>
      <c r="R1422" s="6" t="str">
        <f t="shared" ca="1" si="14"/>
        <v>NonCategory</v>
      </c>
    </row>
    <row r="1423" spans="1:18">
      <c r="A1423" s="162">
        <v>44912</v>
      </c>
      <c r="B1423" s="164" t="s">
        <v>3435</v>
      </c>
      <c r="C1423" s="168" t="s">
        <v>3436</v>
      </c>
      <c r="D1423" s="6" t="s">
        <v>287</v>
      </c>
      <c r="E1423" s="6" t="s">
        <v>96</v>
      </c>
      <c r="F1423" s="79">
        <v>44896</v>
      </c>
      <c r="G1423" s="6" t="s">
        <v>16</v>
      </c>
      <c r="H1423" s="6" t="s">
        <v>3437</v>
      </c>
      <c r="I1423" s="6">
        <v>1</v>
      </c>
      <c r="J1423" s="8">
        <v>20000</v>
      </c>
      <c r="K1423" s="8">
        <f t="shared" si="13"/>
        <v>229.04260192395787</v>
      </c>
      <c r="L1423" s="97">
        <v>44912</v>
      </c>
      <c r="M1423" s="6" t="s">
        <v>252</v>
      </c>
      <c r="N1423" s="97">
        <v>44912</v>
      </c>
      <c r="O1423" s="22" t="s">
        <v>6399</v>
      </c>
      <c r="Q1423" s="6" t="s">
        <v>356</v>
      </c>
      <c r="R1423" s="6" t="str">
        <f t="shared" ca="1" si="14"/>
        <v>NonCategory</v>
      </c>
    </row>
    <row r="1424" spans="1:18">
      <c r="A1424" s="162">
        <v>44914</v>
      </c>
      <c r="B1424" s="164" t="s">
        <v>3438</v>
      </c>
      <c r="C1424" s="168" t="s">
        <v>3439</v>
      </c>
      <c r="D1424" s="6" t="s">
        <v>278</v>
      </c>
      <c r="E1424" s="6" t="s">
        <v>151</v>
      </c>
      <c r="F1424" s="79">
        <v>44896</v>
      </c>
      <c r="G1424" s="6" t="s">
        <v>16</v>
      </c>
      <c r="H1424" s="6" t="s">
        <v>3340</v>
      </c>
      <c r="I1424" s="6">
        <v>1</v>
      </c>
      <c r="J1424" s="8">
        <v>21000</v>
      </c>
      <c r="K1424" s="8">
        <f t="shared" si="13"/>
        <v>240.49473202015577</v>
      </c>
      <c r="L1424" s="97">
        <v>44914</v>
      </c>
      <c r="M1424" s="6" t="s">
        <v>252</v>
      </c>
      <c r="N1424" s="97">
        <v>44914</v>
      </c>
      <c r="O1424" s="22" t="s">
        <v>6400</v>
      </c>
      <c r="P1424" s="6" t="s">
        <v>3440</v>
      </c>
      <c r="Q1424" s="6" t="s">
        <v>356</v>
      </c>
      <c r="R1424" s="6" t="str">
        <f t="shared" ca="1" si="14"/>
        <v>NonCategory</v>
      </c>
    </row>
    <row r="1425" spans="1:18">
      <c r="A1425" s="162">
        <v>44914</v>
      </c>
      <c r="B1425" s="164" t="s">
        <v>3441</v>
      </c>
      <c r="C1425" s="168" t="s">
        <v>2832</v>
      </c>
      <c r="D1425" s="6" t="s">
        <v>470</v>
      </c>
      <c r="E1425" s="6" t="s">
        <v>1497</v>
      </c>
      <c r="F1425" s="79">
        <v>44896</v>
      </c>
      <c r="G1425" s="6" t="s">
        <v>16</v>
      </c>
      <c r="H1425" s="6" t="s">
        <v>3415</v>
      </c>
      <c r="I1425" s="6">
        <v>1</v>
      </c>
      <c r="J1425" s="8">
        <v>24000</v>
      </c>
      <c r="K1425" s="8">
        <f t="shared" si="13"/>
        <v>274.85112230874944</v>
      </c>
      <c r="L1425" s="97">
        <v>44914</v>
      </c>
      <c r="M1425" s="6" t="s">
        <v>252</v>
      </c>
      <c r="N1425" s="97">
        <v>44914</v>
      </c>
      <c r="O1425" s="22" t="s">
        <v>6401</v>
      </c>
      <c r="Q1425" s="6" t="s">
        <v>356</v>
      </c>
      <c r="R1425" s="6" t="str">
        <f t="shared" ca="1" si="14"/>
        <v>NonCategory</v>
      </c>
    </row>
    <row r="1426" spans="1:18">
      <c r="A1426" s="162">
        <v>44915</v>
      </c>
      <c r="B1426" s="164" t="s">
        <v>3442</v>
      </c>
      <c r="C1426" s="168" t="s">
        <v>3443</v>
      </c>
      <c r="D1426" s="6" t="s">
        <v>287</v>
      </c>
      <c r="E1426" s="6" t="s">
        <v>96</v>
      </c>
      <c r="F1426" s="79">
        <v>44896</v>
      </c>
      <c r="G1426" s="6" t="s">
        <v>16</v>
      </c>
      <c r="H1426" s="6" t="s">
        <v>3221</v>
      </c>
      <c r="I1426" s="6">
        <v>1</v>
      </c>
      <c r="J1426" s="8">
        <v>20000</v>
      </c>
      <c r="K1426" s="8">
        <f t="shared" si="13"/>
        <v>229.04260192395787</v>
      </c>
      <c r="L1426" s="97">
        <v>44915</v>
      </c>
      <c r="M1426" s="6" t="s">
        <v>252</v>
      </c>
      <c r="N1426" s="97">
        <v>44915</v>
      </c>
      <c r="O1426" s="22" t="s">
        <v>6402</v>
      </c>
      <c r="Q1426" s="6" t="s">
        <v>356</v>
      </c>
      <c r="R1426" s="6" t="str">
        <f t="shared" ca="1" si="14"/>
        <v>NonCategory</v>
      </c>
    </row>
    <row r="1427" spans="1:18">
      <c r="A1427" s="162">
        <v>44915</v>
      </c>
      <c r="B1427" s="164" t="s">
        <v>3444</v>
      </c>
      <c r="C1427" s="168" t="s">
        <v>3445</v>
      </c>
      <c r="D1427" s="6" t="s">
        <v>287</v>
      </c>
      <c r="E1427" s="6" t="s">
        <v>1524</v>
      </c>
      <c r="F1427" s="79">
        <v>44896</v>
      </c>
      <c r="G1427" s="6" t="s">
        <v>16</v>
      </c>
      <c r="H1427" s="6" t="s">
        <v>3221</v>
      </c>
      <c r="I1427" s="6">
        <v>1</v>
      </c>
      <c r="J1427" s="8">
        <v>24000</v>
      </c>
      <c r="K1427" s="8">
        <f t="shared" si="13"/>
        <v>274.85112230874944</v>
      </c>
      <c r="L1427" s="97">
        <v>44915</v>
      </c>
      <c r="M1427" s="6" t="s">
        <v>252</v>
      </c>
      <c r="N1427" s="97">
        <v>44915</v>
      </c>
      <c r="O1427" s="22" t="s">
        <v>6403</v>
      </c>
      <c r="Q1427" s="6" t="s">
        <v>356</v>
      </c>
      <c r="R1427" s="6" t="str">
        <f t="shared" ca="1" si="14"/>
        <v>NonCategory</v>
      </c>
    </row>
    <row r="1428" spans="1:18">
      <c r="A1428" s="162">
        <v>44916</v>
      </c>
      <c r="B1428" s="164" t="s">
        <v>3446</v>
      </c>
      <c r="C1428" s="168" t="s">
        <v>3447</v>
      </c>
      <c r="D1428" s="6" t="s">
        <v>319</v>
      </c>
      <c r="E1428" s="6" t="s">
        <v>150</v>
      </c>
      <c r="F1428" s="79">
        <v>44896</v>
      </c>
      <c r="G1428" s="6" t="s">
        <v>16</v>
      </c>
      <c r="H1428" s="6" t="s">
        <v>3221</v>
      </c>
      <c r="I1428" s="6">
        <v>1</v>
      </c>
      <c r="J1428" s="8">
        <v>21000</v>
      </c>
      <c r="K1428" s="8">
        <f t="shared" si="13"/>
        <v>240.49473202015577</v>
      </c>
      <c r="L1428" s="97">
        <v>44916</v>
      </c>
      <c r="M1428" s="6" t="s">
        <v>253</v>
      </c>
      <c r="N1428" s="97">
        <v>44916</v>
      </c>
      <c r="O1428" s="22" t="s">
        <v>6404</v>
      </c>
      <c r="Q1428" s="6" t="s">
        <v>356</v>
      </c>
      <c r="R1428" s="6" t="str">
        <f t="shared" ca="1" si="14"/>
        <v>NonCategory</v>
      </c>
    </row>
    <row r="1429" spans="1:18">
      <c r="A1429" s="162">
        <v>44916</v>
      </c>
      <c r="B1429" s="164" t="s">
        <v>3448</v>
      </c>
      <c r="C1429" s="168" t="s">
        <v>3449</v>
      </c>
      <c r="D1429" s="6" t="s">
        <v>470</v>
      </c>
      <c r="E1429" s="6" t="s">
        <v>1715</v>
      </c>
      <c r="F1429" s="79">
        <v>44896</v>
      </c>
      <c r="G1429" s="6" t="s">
        <v>13</v>
      </c>
      <c r="H1429" s="6" t="s">
        <v>21</v>
      </c>
      <c r="I1429" s="6">
        <v>1</v>
      </c>
      <c r="J1429" s="8">
        <v>18000</v>
      </c>
      <c r="K1429" s="8">
        <f t="shared" si="13"/>
        <v>206.13834173156206</v>
      </c>
      <c r="L1429" s="97">
        <v>44916</v>
      </c>
      <c r="R1429" s="6" t="str">
        <f t="shared" ca="1" si="14"/>
        <v>NonCategory</v>
      </c>
    </row>
    <row r="1430" spans="1:18">
      <c r="A1430" s="162">
        <v>44918</v>
      </c>
      <c r="B1430" s="164" t="s">
        <v>3450</v>
      </c>
      <c r="C1430" s="168" t="s">
        <v>3451</v>
      </c>
      <c r="D1430" s="6" t="s">
        <v>319</v>
      </c>
      <c r="E1430" s="6" t="s">
        <v>6</v>
      </c>
      <c r="F1430" s="79">
        <v>44896</v>
      </c>
      <c r="G1430" s="6" t="s">
        <v>13</v>
      </c>
      <c r="H1430" s="6" t="s">
        <v>3359</v>
      </c>
      <c r="I1430" s="6">
        <v>1</v>
      </c>
      <c r="J1430" s="8">
        <v>42000</v>
      </c>
      <c r="K1430" s="8">
        <f t="shared" si="13"/>
        <v>480.98946404031153</v>
      </c>
      <c r="L1430" s="97">
        <v>44918</v>
      </c>
      <c r="R1430" s="6" t="str">
        <f t="shared" ca="1" si="14"/>
        <v>NonCategory</v>
      </c>
    </row>
    <row r="1431" spans="1:18">
      <c r="A1431" s="162">
        <v>44918</v>
      </c>
      <c r="B1431" s="164" t="s">
        <v>3452</v>
      </c>
      <c r="C1431" s="168" t="s">
        <v>3453</v>
      </c>
      <c r="D1431" s="6" t="s">
        <v>278</v>
      </c>
      <c r="E1431" s="6" t="s">
        <v>1524</v>
      </c>
      <c r="F1431" s="79">
        <v>44896</v>
      </c>
      <c r="G1431" s="6" t="s">
        <v>16</v>
      </c>
      <c r="H1431" s="6" t="s">
        <v>3221</v>
      </c>
      <c r="I1431" s="6">
        <v>1</v>
      </c>
      <c r="J1431" s="8">
        <v>24000</v>
      </c>
      <c r="K1431" s="8">
        <f t="shared" si="13"/>
        <v>274.85112230874944</v>
      </c>
      <c r="L1431" s="97">
        <v>44916</v>
      </c>
      <c r="M1431" s="6" t="s">
        <v>252</v>
      </c>
      <c r="N1431" s="97">
        <v>44916</v>
      </c>
      <c r="O1431" s="22" t="s">
        <v>6405</v>
      </c>
      <c r="Q1431" s="6" t="s">
        <v>356</v>
      </c>
      <c r="R1431" s="6" t="str">
        <f t="shared" ca="1" si="14"/>
        <v>NonCategory</v>
      </c>
    </row>
    <row r="1432" spans="1:18">
      <c r="A1432" s="162">
        <v>44917</v>
      </c>
      <c r="B1432" s="164" t="s">
        <v>3454</v>
      </c>
      <c r="C1432" s="168" t="s">
        <v>3455</v>
      </c>
      <c r="D1432" s="6" t="s">
        <v>287</v>
      </c>
      <c r="E1432" s="6" t="s">
        <v>151</v>
      </c>
      <c r="F1432" s="79">
        <v>44896</v>
      </c>
      <c r="G1432" s="6" t="s">
        <v>16</v>
      </c>
      <c r="H1432" s="6" t="s">
        <v>3359</v>
      </c>
      <c r="I1432" s="6">
        <v>1</v>
      </c>
      <c r="J1432" s="8">
        <v>21000</v>
      </c>
      <c r="K1432" s="8">
        <f t="shared" si="13"/>
        <v>240.49473202015577</v>
      </c>
      <c r="L1432" s="97">
        <v>44917</v>
      </c>
      <c r="M1432" s="6" t="s">
        <v>253</v>
      </c>
      <c r="N1432" s="97">
        <v>44917</v>
      </c>
      <c r="O1432" s="22" t="s">
        <v>6406</v>
      </c>
      <c r="Q1432" s="6" t="s">
        <v>356</v>
      </c>
      <c r="R1432" s="6" t="str">
        <f t="shared" ca="1" si="14"/>
        <v>NonCategory</v>
      </c>
    </row>
    <row r="1433" spans="1:18">
      <c r="A1433" s="162">
        <v>44917</v>
      </c>
      <c r="B1433" s="164" t="s">
        <v>3456</v>
      </c>
      <c r="C1433" s="168" t="s">
        <v>3457</v>
      </c>
      <c r="D1433" s="6" t="s">
        <v>303</v>
      </c>
      <c r="E1433" s="6" t="s">
        <v>25</v>
      </c>
      <c r="F1433" s="79">
        <v>44896</v>
      </c>
      <c r="G1433" s="6" t="s">
        <v>13</v>
      </c>
      <c r="H1433" s="6" t="s">
        <v>3359</v>
      </c>
      <c r="I1433" s="6">
        <v>1</v>
      </c>
      <c r="J1433" s="8">
        <v>42000</v>
      </c>
      <c r="K1433" s="8">
        <f t="shared" si="13"/>
        <v>480.98946404031153</v>
      </c>
      <c r="L1433" s="97">
        <v>44917</v>
      </c>
      <c r="R1433" s="6" t="str">
        <f t="shared" ca="1" si="14"/>
        <v>NonCategory</v>
      </c>
    </row>
    <row r="1434" spans="1:18">
      <c r="A1434" s="162">
        <v>44918</v>
      </c>
      <c r="B1434" s="164" t="s">
        <v>3458</v>
      </c>
      <c r="C1434" s="168" t="s">
        <v>3459</v>
      </c>
      <c r="D1434" s="6" t="s">
        <v>278</v>
      </c>
      <c r="E1434" s="6" t="s">
        <v>1524</v>
      </c>
      <c r="F1434" s="79">
        <v>44896</v>
      </c>
      <c r="G1434" s="6" t="s">
        <v>16</v>
      </c>
      <c r="H1434" s="6" t="s">
        <v>3221</v>
      </c>
      <c r="I1434" s="6">
        <v>1</v>
      </c>
      <c r="J1434" s="8">
        <v>24000</v>
      </c>
      <c r="K1434" s="8">
        <f t="shared" si="13"/>
        <v>274.85112230874944</v>
      </c>
      <c r="L1434" s="97">
        <v>44918</v>
      </c>
      <c r="M1434" s="6" t="s">
        <v>253</v>
      </c>
      <c r="N1434" s="97">
        <v>44918</v>
      </c>
      <c r="O1434" s="22" t="s">
        <v>6407</v>
      </c>
      <c r="P1434" s="6" t="s">
        <v>3363</v>
      </c>
      <c r="Q1434" s="6" t="s">
        <v>356</v>
      </c>
      <c r="R1434" s="6" t="str">
        <f t="shared" ca="1" si="14"/>
        <v>NonCategory</v>
      </c>
    </row>
    <row r="1435" spans="1:18">
      <c r="A1435" s="162">
        <v>44919</v>
      </c>
      <c r="B1435" s="164" t="s">
        <v>3460</v>
      </c>
      <c r="C1435" s="168" t="s">
        <v>3461</v>
      </c>
      <c r="D1435" s="6" t="s">
        <v>306</v>
      </c>
      <c r="E1435" s="6" t="s">
        <v>25</v>
      </c>
      <c r="F1435" s="79">
        <v>44896</v>
      </c>
      <c r="G1435" s="6" t="s">
        <v>16</v>
      </c>
      <c r="H1435" s="6" t="s">
        <v>3221</v>
      </c>
      <c r="I1435" s="6">
        <v>1</v>
      </c>
      <c r="J1435" s="8">
        <v>48811</v>
      </c>
      <c r="K1435" s="8">
        <f t="shared" si="13"/>
        <v>558.98992212551536</v>
      </c>
      <c r="L1435" s="97">
        <v>44919</v>
      </c>
      <c r="M1435" s="6" t="s">
        <v>253</v>
      </c>
      <c r="N1435" s="97">
        <v>44919</v>
      </c>
      <c r="O1435" s="22" t="s">
        <v>6408</v>
      </c>
      <c r="Q1435" s="6" t="s">
        <v>356</v>
      </c>
      <c r="R1435" s="6" t="str">
        <f t="shared" ca="1" si="14"/>
        <v>NonCategory</v>
      </c>
    </row>
    <row r="1436" spans="1:18">
      <c r="A1436" s="162">
        <v>44921</v>
      </c>
      <c r="B1436" s="164" t="s">
        <v>3462</v>
      </c>
      <c r="C1436" s="168" t="s">
        <v>3463</v>
      </c>
      <c r="D1436" s="6" t="s">
        <v>319</v>
      </c>
      <c r="E1436" s="6" t="s">
        <v>96</v>
      </c>
      <c r="F1436" s="79">
        <v>44896</v>
      </c>
      <c r="G1436" s="6" t="s">
        <v>16</v>
      </c>
      <c r="H1436" s="6" t="s">
        <v>3464</v>
      </c>
      <c r="I1436" s="6">
        <v>1</v>
      </c>
      <c r="J1436" s="8">
        <v>20000</v>
      </c>
      <c r="K1436" s="8">
        <f t="shared" si="13"/>
        <v>229.04260192395787</v>
      </c>
      <c r="L1436" s="97">
        <v>44921</v>
      </c>
      <c r="M1436" s="6" t="s">
        <v>253</v>
      </c>
      <c r="N1436" s="97">
        <v>44921</v>
      </c>
      <c r="O1436" s="22" t="s">
        <v>6409</v>
      </c>
      <c r="Q1436" s="6" t="s">
        <v>356</v>
      </c>
      <c r="R1436" s="6" t="str">
        <f t="shared" ca="1" si="14"/>
        <v>NonCategory</v>
      </c>
    </row>
    <row r="1437" spans="1:18">
      <c r="A1437" s="162">
        <v>44921</v>
      </c>
      <c r="B1437" s="164" t="s">
        <v>3465</v>
      </c>
      <c r="C1437" s="168" t="s">
        <v>3466</v>
      </c>
      <c r="D1437" s="6" t="s">
        <v>306</v>
      </c>
      <c r="E1437" s="6" t="s">
        <v>151</v>
      </c>
      <c r="F1437" s="79">
        <v>44896</v>
      </c>
      <c r="G1437" s="6" t="s">
        <v>16</v>
      </c>
      <c r="H1437" s="6" t="s">
        <v>3359</v>
      </c>
      <c r="I1437" s="6">
        <v>1</v>
      </c>
      <c r="J1437" s="8">
        <v>21000</v>
      </c>
      <c r="K1437" s="8">
        <f t="shared" si="13"/>
        <v>240.49473202015577</v>
      </c>
      <c r="L1437" s="97">
        <v>44921</v>
      </c>
      <c r="M1437" s="6" t="s">
        <v>253</v>
      </c>
      <c r="N1437" s="97">
        <v>44921</v>
      </c>
      <c r="O1437" s="22" t="s">
        <v>6410</v>
      </c>
      <c r="Q1437" s="6" t="s">
        <v>356</v>
      </c>
      <c r="R1437" s="6" t="str">
        <f t="shared" ca="1" si="14"/>
        <v>NonCategory</v>
      </c>
    </row>
    <row r="1438" spans="1:18">
      <c r="A1438" s="162">
        <v>44921</v>
      </c>
      <c r="B1438" s="164" t="s">
        <v>3465</v>
      </c>
      <c r="C1438" s="168" t="s">
        <v>3466</v>
      </c>
      <c r="D1438" s="6" t="s">
        <v>306</v>
      </c>
      <c r="E1438" s="6" t="s">
        <v>150</v>
      </c>
      <c r="F1438" s="79">
        <v>44896</v>
      </c>
      <c r="G1438" s="6" t="s">
        <v>16</v>
      </c>
      <c r="H1438" s="6" t="s">
        <v>3467</v>
      </c>
      <c r="I1438" s="6">
        <v>1</v>
      </c>
      <c r="J1438" s="8">
        <v>21000</v>
      </c>
      <c r="K1438" s="8">
        <f t="shared" si="13"/>
        <v>240.49473202015577</v>
      </c>
      <c r="L1438" s="97">
        <v>44921</v>
      </c>
      <c r="M1438" s="6" t="s">
        <v>253</v>
      </c>
      <c r="N1438" s="97">
        <v>44921</v>
      </c>
      <c r="O1438" s="22" t="s">
        <v>6411</v>
      </c>
      <c r="Q1438" s="6" t="s">
        <v>356</v>
      </c>
      <c r="R1438" s="6" t="str">
        <f t="shared" ca="1" si="14"/>
        <v>NonCategory</v>
      </c>
    </row>
    <row r="1439" spans="1:18">
      <c r="A1439" s="162">
        <v>44921</v>
      </c>
      <c r="B1439" s="164" t="s">
        <v>3468</v>
      </c>
      <c r="C1439" s="168" t="s">
        <v>3469</v>
      </c>
      <c r="D1439" s="6" t="s">
        <v>303</v>
      </c>
      <c r="E1439" s="6" t="s">
        <v>1524</v>
      </c>
      <c r="F1439" s="79">
        <v>44896</v>
      </c>
      <c r="G1439" s="6" t="s">
        <v>16</v>
      </c>
      <c r="H1439" s="6" t="s">
        <v>3467</v>
      </c>
      <c r="I1439" s="6">
        <v>1</v>
      </c>
      <c r="J1439" s="8">
        <v>24000</v>
      </c>
      <c r="K1439" s="8">
        <f t="shared" si="13"/>
        <v>274.85112230874944</v>
      </c>
      <c r="L1439" s="97">
        <v>44921</v>
      </c>
      <c r="M1439" s="6" t="s">
        <v>253</v>
      </c>
      <c r="N1439" s="97">
        <v>44921</v>
      </c>
      <c r="O1439" s="22" t="s">
        <v>6412</v>
      </c>
      <c r="Q1439" s="6" t="s">
        <v>356</v>
      </c>
      <c r="R1439" s="6" t="str">
        <f t="shared" ca="1" si="14"/>
        <v>NonCategory</v>
      </c>
    </row>
    <row r="1440" spans="1:18">
      <c r="A1440" s="162">
        <v>44921</v>
      </c>
      <c r="B1440" s="164" t="s">
        <v>3470</v>
      </c>
      <c r="C1440" s="168" t="s">
        <v>3471</v>
      </c>
      <c r="D1440" s="6" t="s">
        <v>278</v>
      </c>
      <c r="E1440" s="6" t="s">
        <v>1524</v>
      </c>
      <c r="F1440" s="79">
        <v>44896</v>
      </c>
      <c r="G1440" s="6" t="s">
        <v>16</v>
      </c>
      <c r="H1440" s="6" t="s">
        <v>3467</v>
      </c>
      <c r="I1440" s="6">
        <v>1</v>
      </c>
      <c r="J1440" s="8">
        <v>24000</v>
      </c>
      <c r="K1440" s="8">
        <f t="shared" si="13"/>
        <v>274.85112230874944</v>
      </c>
      <c r="L1440" s="97">
        <v>44921</v>
      </c>
      <c r="M1440" s="6" t="s">
        <v>253</v>
      </c>
      <c r="N1440" s="97">
        <v>44921</v>
      </c>
      <c r="O1440" s="22" t="s">
        <v>6413</v>
      </c>
      <c r="P1440" s="6" t="s">
        <v>3472</v>
      </c>
      <c r="Q1440" s="6" t="s">
        <v>356</v>
      </c>
      <c r="R1440" s="6" t="str">
        <f t="shared" ca="1" si="14"/>
        <v>NonCategory</v>
      </c>
    </row>
    <row r="1441" spans="1:18">
      <c r="A1441" s="162">
        <v>44922</v>
      </c>
      <c r="B1441" s="164" t="s">
        <v>3473</v>
      </c>
      <c r="C1441" s="168" t="s">
        <v>3474</v>
      </c>
      <c r="D1441" s="6" t="s">
        <v>470</v>
      </c>
      <c r="E1441" s="6" t="s">
        <v>538</v>
      </c>
      <c r="F1441" s="79">
        <v>44927</v>
      </c>
      <c r="G1441" s="6" t="s">
        <v>16</v>
      </c>
      <c r="H1441" s="97">
        <v>44949</v>
      </c>
      <c r="I1441" s="6">
        <v>1</v>
      </c>
      <c r="J1441" s="8">
        <v>46000</v>
      </c>
      <c r="K1441" s="8">
        <f t="shared" si="13"/>
        <v>526.7979844251031</v>
      </c>
      <c r="L1441" s="97">
        <v>44922</v>
      </c>
      <c r="M1441" s="6" t="s">
        <v>252</v>
      </c>
      <c r="N1441" s="97">
        <v>44939</v>
      </c>
      <c r="O1441" s="22" t="s">
        <v>6414</v>
      </c>
      <c r="Q1441" s="6" t="s">
        <v>356</v>
      </c>
      <c r="R1441" s="6" t="str">
        <f t="shared" ca="1" si="14"/>
        <v>NonCategory</v>
      </c>
    </row>
    <row r="1442" spans="1:18">
      <c r="A1442" s="162">
        <v>44923</v>
      </c>
      <c r="B1442" s="164" t="s">
        <v>3475</v>
      </c>
      <c r="C1442" s="168" t="s">
        <v>3476</v>
      </c>
      <c r="D1442" s="6" t="s">
        <v>306</v>
      </c>
      <c r="E1442" s="6" t="s">
        <v>1497</v>
      </c>
      <c r="F1442" s="79">
        <v>44896</v>
      </c>
      <c r="G1442" s="6" t="s">
        <v>16</v>
      </c>
      <c r="H1442" s="6" t="s">
        <v>3477</v>
      </c>
      <c r="I1442" s="6">
        <v>1</v>
      </c>
      <c r="J1442" s="8">
        <v>24000</v>
      </c>
      <c r="K1442" s="8">
        <f t="shared" si="13"/>
        <v>274.85112230874944</v>
      </c>
      <c r="L1442" s="97">
        <v>44923</v>
      </c>
      <c r="M1442" s="6" t="s">
        <v>253</v>
      </c>
      <c r="N1442" s="97">
        <v>44923</v>
      </c>
      <c r="O1442" s="22" t="s">
        <v>6415</v>
      </c>
      <c r="Q1442" s="6" t="s">
        <v>356</v>
      </c>
      <c r="R1442" s="6" t="str">
        <f t="shared" ca="1" si="14"/>
        <v>NonCategory</v>
      </c>
    </row>
    <row r="1443" spans="1:18">
      <c r="A1443" s="162">
        <v>44923</v>
      </c>
      <c r="B1443" s="164" t="s">
        <v>3478</v>
      </c>
      <c r="C1443" s="168" t="s">
        <v>3479</v>
      </c>
      <c r="D1443" s="6" t="s">
        <v>278</v>
      </c>
      <c r="E1443" s="6" t="s">
        <v>96</v>
      </c>
      <c r="F1443" s="79">
        <v>44896</v>
      </c>
      <c r="G1443" s="6" t="s">
        <v>16</v>
      </c>
      <c r="H1443" s="6" t="s">
        <v>3437</v>
      </c>
      <c r="I1443" s="6">
        <v>1</v>
      </c>
      <c r="J1443" s="8">
        <v>19824</v>
      </c>
      <c r="K1443" s="8">
        <f t="shared" si="13"/>
        <v>227.02702702702703</v>
      </c>
      <c r="L1443" s="97">
        <v>44923</v>
      </c>
      <c r="M1443" s="6" t="s">
        <v>253</v>
      </c>
      <c r="N1443" s="97">
        <v>44923</v>
      </c>
      <c r="O1443" s="22" t="s">
        <v>6416</v>
      </c>
      <c r="Q1443" s="6" t="s">
        <v>356</v>
      </c>
      <c r="R1443" s="6" t="str">
        <f t="shared" ca="1" si="14"/>
        <v>NonCategory</v>
      </c>
    </row>
    <row r="1444" spans="1:18">
      <c r="A1444" s="162">
        <v>44928</v>
      </c>
      <c r="B1444" s="164" t="s">
        <v>3034</v>
      </c>
      <c r="C1444" s="168" t="s">
        <v>3035</v>
      </c>
      <c r="D1444" s="6" t="s">
        <v>470</v>
      </c>
      <c r="E1444" s="6" t="s">
        <v>538</v>
      </c>
      <c r="F1444" s="79">
        <v>44927</v>
      </c>
      <c r="G1444" s="6" t="s">
        <v>16</v>
      </c>
      <c r="H1444" s="97">
        <v>45267</v>
      </c>
      <c r="I1444" s="6">
        <v>1</v>
      </c>
      <c r="J1444" s="8">
        <v>48567</v>
      </c>
      <c r="K1444" s="8">
        <f t="shared" si="13"/>
        <v>556.19560238204315</v>
      </c>
      <c r="L1444" s="97">
        <v>44928</v>
      </c>
      <c r="M1444" s="6" t="s">
        <v>251</v>
      </c>
      <c r="N1444" s="97">
        <v>44928</v>
      </c>
      <c r="O1444" s="22" t="s">
        <v>6417</v>
      </c>
      <c r="Q1444" s="6" t="s">
        <v>356</v>
      </c>
      <c r="R1444" s="6" t="str">
        <f t="shared" ca="1" si="14"/>
        <v>NonCategory</v>
      </c>
    </row>
    <row r="1445" spans="1:18">
      <c r="A1445" s="162">
        <v>44928</v>
      </c>
      <c r="B1445" s="164" t="s">
        <v>3480</v>
      </c>
      <c r="C1445" s="168" t="s">
        <v>3481</v>
      </c>
      <c r="D1445" s="6" t="s">
        <v>470</v>
      </c>
      <c r="E1445" s="6" t="s">
        <v>6</v>
      </c>
      <c r="F1445" s="79">
        <v>44927</v>
      </c>
      <c r="G1445" s="6" t="s">
        <v>16</v>
      </c>
      <c r="H1445" s="6" t="s">
        <v>3359</v>
      </c>
      <c r="I1445" s="6">
        <v>1</v>
      </c>
      <c r="J1445" s="8">
        <v>40061</v>
      </c>
      <c r="K1445" s="8">
        <f t="shared" si="13"/>
        <v>458.7837837837838</v>
      </c>
      <c r="L1445" s="97">
        <v>44928</v>
      </c>
      <c r="M1445" s="6" t="s">
        <v>251</v>
      </c>
      <c r="N1445" s="97">
        <v>44928</v>
      </c>
      <c r="O1445" s="22" t="s">
        <v>6418</v>
      </c>
      <c r="Q1445" s="6" t="s">
        <v>356</v>
      </c>
      <c r="R1445" s="6" t="str">
        <f t="shared" ca="1" si="14"/>
        <v>NonCategory</v>
      </c>
    </row>
    <row r="1446" spans="1:18">
      <c r="A1446" s="162">
        <v>44929</v>
      </c>
      <c r="B1446" s="164" t="s">
        <v>3482</v>
      </c>
      <c r="C1446" s="168" t="s">
        <v>3483</v>
      </c>
      <c r="D1446" s="6" t="s">
        <v>278</v>
      </c>
      <c r="E1446" s="6" t="s">
        <v>1715</v>
      </c>
      <c r="F1446" s="79">
        <v>44927</v>
      </c>
      <c r="G1446" s="6" t="s">
        <v>16</v>
      </c>
      <c r="H1446" s="6" t="s">
        <v>21</v>
      </c>
      <c r="I1446" s="6">
        <v>1</v>
      </c>
      <c r="J1446" s="8">
        <v>21000</v>
      </c>
      <c r="K1446" s="8">
        <f t="shared" si="13"/>
        <v>240.49473202015577</v>
      </c>
      <c r="L1446" s="97">
        <v>44929</v>
      </c>
      <c r="M1446" s="6" t="s">
        <v>251</v>
      </c>
      <c r="N1446" s="97">
        <v>44929</v>
      </c>
      <c r="O1446" s="22" t="s">
        <v>6419</v>
      </c>
      <c r="P1446" s="6" t="s">
        <v>3484</v>
      </c>
      <c r="Q1446" s="6" t="s">
        <v>356</v>
      </c>
      <c r="R1446" s="6" t="str">
        <f t="shared" ca="1" si="14"/>
        <v>NonCategory</v>
      </c>
    </row>
    <row r="1447" spans="1:18">
      <c r="A1447" s="162">
        <v>44929</v>
      </c>
      <c r="B1447" s="164" t="s">
        <v>3485</v>
      </c>
      <c r="C1447" s="168" t="s">
        <v>3486</v>
      </c>
      <c r="D1447" s="6" t="s">
        <v>287</v>
      </c>
      <c r="E1447" s="6" t="s">
        <v>6</v>
      </c>
      <c r="F1447" s="79">
        <v>44927</v>
      </c>
      <c r="G1447" s="6" t="s">
        <v>16</v>
      </c>
      <c r="H1447" s="6" t="s">
        <v>3359</v>
      </c>
      <c r="I1447" s="6">
        <v>1</v>
      </c>
      <c r="J1447" s="8">
        <v>40061</v>
      </c>
      <c r="K1447" s="8">
        <f t="shared" si="13"/>
        <v>458.7837837837838</v>
      </c>
      <c r="L1447" s="97">
        <v>44929</v>
      </c>
      <c r="M1447" s="6" t="s">
        <v>251</v>
      </c>
      <c r="N1447" s="97">
        <v>44929</v>
      </c>
      <c r="O1447" s="22" t="s">
        <v>6420</v>
      </c>
      <c r="Q1447" s="6" t="s">
        <v>356</v>
      </c>
      <c r="R1447" s="6" t="str">
        <f t="shared" ca="1" si="14"/>
        <v>NonCategory</v>
      </c>
    </row>
    <row r="1448" spans="1:18">
      <c r="A1448" s="162">
        <v>44929</v>
      </c>
      <c r="B1448" s="164" t="s">
        <v>3487</v>
      </c>
      <c r="C1448" s="168" t="s">
        <v>3488</v>
      </c>
      <c r="D1448" s="6" t="s">
        <v>278</v>
      </c>
      <c r="E1448" s="6" t="s">
        <v>150</v>
      </c>
      <c r="F1448" s="79">
        <v>44927</v>
      </c>
      <c r="G1448" s="6" t="s">
        <v>16</v>
      </c>
      <c r="H1448" s="6" t="s">
        <v>3359</v>
      </c>
      <c r="I1448" s="6">
        <v>1</v>
      </c>
      <c r="J1448" s="8">
        <v>21000</v>
      </c>
      <c r="K1448" s="8">
        <f t="shared" si="13"/>
        <v>240.49473202015577</v>
      </c>
      <c r="L1448" s="97">
        <v>44929</v>
      </c>
      <c r="M1448" s="6" t="s">
        <v>251</v>
      </c>
      <c r="N1448" s="97">
        <v>44929</v>
      </c>
      <c r="O1448" s="22" t="s">
        <v>6421</v>
      </c>
      <c r="P1448" s="6" t="s">
        <v>3363</v>
      </c>
      <c r="Q1448" s="6" t="s">
        <v>356</v>
      </c>
      <c r="R1448" s="6" t="str">
        <f t="shared" ca="1" si="14"/>
        <v>NonCategory</v>
      </c>
    </row>
    <row r="1449" spans="1:18">
      <c r="A1449" s="162">
        <v>44929</v>
      </c>
      <c r="B1449" s="164" t="s">
        <v>3489</v>
      </c>
      <c r="C1449" s="168" t="s">
        <v>3490</v>
      </c>
      <c r="D1449" s="6" t="s">
        <v>470</v>
      </c>
      <c r="E1449" s="6" t="s">
        <v>150</v>
      </c>
      <c r="F1449" s="79">
        <v>44927</v>
      </c>
      <c r="G1449" s="6" t="s">
        <v>16</v>
      </c>
      <c r="H1449" s="6" t="s">
        <v>3491</v>
      </c>
      <c r="I1449" s="6">
        <v>1</v>
      </c>
      <c r="J1449" s="8">
        <v>21000</v>
      </c>
      <c r="K1449" s="8">
        <f t="shared" si="13"/>
        <v>240.49473202015577</v>
      </c>
      <c r="L1449" s="97">
        <v>44929</v>
      </c>
      <c r="M1449" s="6" t="s">
        <v>251</v>
      </c>
      <c r="N1449" s="97">
        <v>44929</v>
      </c>
      <c r="O1449" s="22" t="s">
        <v>6422</v>
      </c>
      <c r="Q1449" s="6" t="s">
        <v>356</v>
      </c>
      <c r="R1449" s="6" t="str">
        <f t="shared" ca="1" si="14"/>
        <v>NonCategory</v>
      </c>
    </row>
    <row r="1450" spans="1:18">
      <c r="A1450" s="162">
        <v>44929</v>
      </c>
      <c r="B1450" s="164" t="s">
        <v>3492</v>
      </c>
      <c r="C1450" s="168" t="s">
        <v>3493</v>
      </c>
      <c r="D1450" s="6" t="s">
        <v>303</v>
      </c>
      <c r="E1450" s="6" t="s">
        <v>1524</v>
      </c>
      <c r="F1450" s="79">
        <v>44927</v>
      </c>
      <c r="G1450" s="6" t="s">
        <v>16</v>
      </c>
      <c r="H1450" s="6" t="s">
        <v>3477</v>
      </c>
      <c r="I1450" s="6">
        <v>1</v>
      </c>
      <c r="J1450" s="8">
        <v>24000</v>
      </c>
      <c r="K1450" s="8">
        <f t="shared" si="13"/>
        <v>274.85112230874944</v>
      </c>
      <c r="L1450" s="97">
        <v>44929</v>
      </c>
      <c r="M1450" s="6" t="s">
        <v>251</v>
      </c>
      <c r="N1450" s="97">
        <v>44929</v>
      </c>
      <c r="O1450" s="22" t="s">
        <v>6423</v>
      </c>
      <c r="Q1450" s="6" t="s">
        <v>356</v>
      </c>
      <c r="R1450" s="6" t="str">
        <f t="shared" ca="1" si="14"/>
        <v>NonCategory</v>
      </c>
    </row>
    <row r="1451" spans="1:18">
      <c r="A1451" s="162">
        <v>44931</v>
      </c>
      <c r="B1451" s="164" t="s">
        <v>3127</v>
      </c>
      <c r="C1451" s="168" t="s">
        <v>3128</v>
      </c>
      <c r="D1451" s="6" t="s">
        <v>470</v>
      </c>
      <c r="E1451" s="6" t="s">
        <v>1715</v>
      </c>
      <c r="F1451" s="79">
        <v>44927</v>
      </c>
      <c r="G1451" s="6" t="s">
        <v>16</v>
      </c>
      <c r="H1451" s="97">
        <v>44933</v>
      </c>
      <c r="I1451" s="6">
        <v>1</v>
      </c>
      <c r="J1451" s="8">
        <v>21200</v>
      </c>
      <c r="K1451" s="8">
        <f t="shared" si="13"/>
        <v>242.78515803939533</v>
      </c>
      <c r="L1451" s="97">
        <v>44931</v>
      </c>
      <c r="M1451" s="6" t="s">
        <v>251</v>
      </c>
      <c r="N1451" s="97">
        <v>44931</v>
      </c>
      <c r="O1451" s="22" t="s">
        <v>6424</v>
      </c>
      <c r="Q1451" s="6" t="s">
        <v>356</v>
      </c>
      <c r="R1451" s="6" t="str">
        <f t="shared" ca="1" si="14"/>
        <v>NonCategory</v>
      </c>
    </row>
    <row r="1452" spans="1:18">
      <c r="A1452" s="162">
        <v>44932</v>
      </c>
      <c r="B1452" s="164" t="s">
        <v>3494</v>
      </c>
      <c r="C1452" s="168" t="s">
        <v>3495</v>
      </c>
      <c r="D1452" s="6" t="s">
        <v>278</v>
      </c>
      <c r="E1452" s="6" t="s">
        <v>1715</v>
      </c>
      <c r="F1452" s="79">
        <v>44927</v>
      </c>
      <c r="G1452" s="6" t="s">
        <v>16</v>
      </c>
      <c r="H1452" s="97">
        <v>44933</v>
      </c>
      <c r="I1452" s="6">
        <v>1</v>
      </c>
      <c r="J1452" s="8">
        <v>22000</v>
      </c>
      <c r="K1452" s="8">
        <f t="shared" si="13"/>
        <v>251.94686211635369</v>
      </c>
      <c r="L1452" s="97">
        <v>44932</v>
      </c>
      <c r="M1452" s="6" t="s">
        <v>251</v>
      </c>
      <c r="N1452" s="97">
        <v>44932</v>
      </c>
      <c r="O1452" s="22" t="s">
        <v>6425</v>
      </c>
      <c r="Q1452" s="6" t="s">
        <v>356</v>
      </c>
      <c r="R1452" s="6" t="str">
        <f t="shared" ca="1" si="14"/>
        <v>NonCategory</v>
      </c>
    </row>
    <row r="1453" spans="1:18">
      <c r="A1453" s="162">
        <v>44932</v>
      </c>
      <c r="B1453" s="164" t="s">
        <v>3496</v>
      </c>
      <c r="C1453" s="168" t="s">
        <v>3497</v>
      </c>
      <c r="D1453" s="6" t="s">
        <v>470</v>
      </c>
      <c r="E1453" s="6" t="s">
        <v>97</v>
      </c>
      <c r="F1453" s="79">
        <v>44927</v>
      </c>
      <c r="G1453" s="6" t="s">
        <v>16</v>
      </c>
      <c r="H1453" s="6" t="s">
        <v>3359</v>
      </c>
      <c r="I1453" s="6">
        <v>1</v>
      </c>
      <c r="J1453" s="8">
        <v>20000</v>
      </c>
      <c r="K1453" s="8">
        <f t="shared" si="13"/>
        <v>229.04260192395787</v>
      </c>
      <c r="L1453" s="97">
        <v>44932</v>
      </c>
      <c r="M1453" s="6" t="s">
        <v>251</v>
      </c>
      <c r="N1453" s="97">
        <v>44932</v>
      </c>
      <c r="O1453" s="22" t="s">
        <v>6426</v>
      </c>
      <c r="Q1453" s="6" t="s">
        <v>356</v>
      </c>
      <c r="R1453" s="6" t="str">
        <f t="shared" ca="1" si="14"/>
        <v>NonCategory</v>
      </c>
    </row>
    <row r="1454" spans="1:18">
      <c r="A1454" s="162">
        <v>44932</v>
      </c>
      <c r="B1454" s="164" t="s">
        <v>3498</v>
      </c>
      <c r="C1454" s="168" t="s">
        <v>3499</v>
      </c>
      <c r="D1454" s="6" t="s">
        <v>3500</v>
      </c>
      <c r="E1454" s="6" t="s">
        <v>6</v>
      </c>
      <c r="F1454" s="79">
        <v>44927</v>
      </c>
      <c r="G1454" s="6" t="s">
        <v>16</v>
      </c>
      <c r="H1454" s="6" t="s">
        <v>3467</v>
      </c>
      <c r="I1454" s="6">
        <v>1</v>
      </c>
      <c r="J1454" s="8">
        <v>42000</v>
      </c>
      <c r="K1454" s="8">
        <f t="shared" si="13"/>
        <v>480.98946404031153</v>
      </c>
      <c r="L1454" s="97">
        <v>44932</v>
      </c>
      <c r="M1454" s="6" t="s">
        <v>251</v>
      </c>
      <c r="N1454" s="97">
        <v>44933</v>
      </c>
      <c r="O1454" s="22" t="s">
        <v>6427</v>
      </c>
      <c r="Q1454" s="6" t="s">
        <v>356</v>
      </c>
      <c r="R1454" s="6" t="str">
        <f t="shared" ca="1" si="14"/>
        <v>NonCategory</v>
      </c>
    </row>
    <row r="1455" spans="1:18">
      <c r="A1455" s="162">
        <v>44933</v>
      </c>
      <c r="B1455" s="164" t="s">
        <v>3501</v>
      </c>
      <c r="C1455" s="168" t="s">
        <v>3502</v>
      </c>
      <c r="D1455" s="6" t="s">
        <v>303</v>
      </c>
      <c r="E1455" s="6" t="s">
        <v>6</v>
      </c>
      <c r="F1455" s="79">
        <v>44927</v>
      </c>
      <c r="G1455" s="6" t="s">
        <v>16</v>
      </c>
      <c r="H1455" s="6" t="s">
        <v>3340</v>
      </c>
      <c r="I1455" s="6">
        <v>1</v>
      </c>
      <c r="J1455" s="8">
        <v>40061</v>
      </c>
      <c r="K1455" s="8">
        <f t="shared" si="13"/>
        <v>458.7837837837838</v>
      </c>
      <c r="L1455" s="97">
        <v>44933</v>
      </c>
      <c r="M1455" s="6" t="s">
        <v>251</v>
      </c>
      <c r="N1455" s="97">
        <v>44933</v>
      </c>
      <c r="O1455" s="22" t="s">
        <v>6428</v>
      </c>
      <c r="P1455" s="6" t="s">
        <v>3503</v>
      </c>
      <c r="Q1455" s="6" t="s">
        <v>356</v>
      </c>
      <c r="R1455" s="6" t="str">
        <f t="shared" ca="1" si="14"/>
        <v>NonCategory</v>
      </c>
    </row>
    <row r="1456" spans="1:18">
      <c r="A1456" s="162">
        <v>44935</v>
      </c>
      <c r="B1456" s="164" t="s">
        <v>3504</v>
      </c>
      <c r="C1456" s="168" t="s">
        <v>3505</v>
      </c>
      <c r="D1456" s="6" t="s">
        <v>278</v>
      </c>
      <c r="E1456" s="6" t="s">
        <v>1524</v>
      </c>
      <c r="F1456" s="79">
        <v>44927</v>
      </c>
      <c r="G1456" s="6" t="s">
        <v>16</v>
      </c>
      <c r="H1456" s="6" t="s">
        <v>3477</v>
      </c>
      <c r="I1456" s="6">
        <v>1</v>
      </c>
      <c r="J1456" s="8">
        <v>24000</v>
      </c>
      <c r="K1456" s="8">
        <f t="shared" si="13"/>
        <v>274.85112230874944</v>
      </c>
      <c r="L1456" s="97">
        <v>44935</v>
      </c>
      <c r="M1456" s="6" t="s">
        <v>251</v>
      </c>
      <c r="N1456" s="97">
        <v>44935</v>
      </c>
      <c r="O1456" s="22" t="s">
        <v>6429</v>
      </c>
      <c r="P1456" s="6" t="s">
        <v>3506</v>
      </c>
      <c r="Q1456" s="6" t="s">
        <v>356</v>
      </c>
      <c r="R1456" s="6" t="str">
        <f t="shared" ca="1" si="14"/>
        <v>NonCategory</v>
      </c>
    </row>
    <row r="1457" spans="1:18">
      <c r="A1457" s="162">
        <v>44935</v>
      </c>
      <c r="B1457" s="164" t="s">
        <v>3507</v>
      </c>
      <c r="C1457" s="168" t="s">
        <v>3508</v>
      </c>
      <c r="D1457" s="6" t="s">
        <v>306</v>
      </c>
      <c r="E1457" s="6" t="s">
        <v>1524</v>
      </c>
      <c r="F1457" s="79">
        <v>44927</v>
      </c>
      <c r="G1457" s="6" t="s">
        <v>16</v>
      </c>
      <c r="H1457" s="6" t="s">
        <v>3477</v>
      </c>
      <c r="I1457" s="6">
        <v>1</v>
      </c>
      <c r="J1457" s="8">
        <v>24000</v>
      </c>
      <c r="K1457" s="8">
        <f t="shared" si="13"/>
        <v>274.85112230874944</v>
      </c>
      <c r="L1457" s="97">
        <v>44935</v>
      </c>
      <c r="M1457" s="6" t="s">
        <v>251</v>
      </c>
      <c r="N1457" s="97">
        <v>44935</v>
      </c>
      <c r="O1457" s="22" t="s">
        <v>6430</v>
      </c>
      <c r="Q1457" s="6" t="s">
        <v>356</v>
      </c>
      <c r="R1457" s="6" t="str">
        <f t="shared" ca="1" si="14"/>
        <v>NonCategory</v>
      </c>
    </row>
    <row r="1458" spans="1:18">
      <c r="A1458" s="162">
        <v>44935</v>
      </c>
      <c r="B1458" s="164" t="s">
        <v>3509</v>
      </c>
      <c r="C1458" s="168" t="s">
        <v>3510</v>
      </c>
      <c r="D1458" s="6" t="s">
        <v>278</v>
      </c>
      <c r="E1458" s="6" t="s">
        <v>1524</v>
      </c>
      <c r="F1458" s="79">
        <v>44927</v>
      </c>
      <c r="G1458" s="6" t="s">
        <v>16</v>
      </c>
      <c r="H1458" s="6" t="s">
        <v>3477</v>
      </c>
      <c r="I1458" s="6">
        <v>1</v>
      </c>
      <c r="J1458" s="8">
        <v>24000</v>
      </c>
      <c r="K1458" s="8">
        <f t="shared" si="13"/>
        <v>274.85112230874944</v>
      </c>
      <c r="L1458" s="97">
        <v>44935</v>
      </c>
      <c r="M1458" s="6" t="s">
        <v>251</v>
      </c>
      <c r="N1458" s="97">
        <v>44935</v>
      </c>
      <c r="O1458" s="22" t="s">
        <v>6431</v>
      </c>
      <c r="P1458" s="6" t="s">
        <v>3511</v>
      </c>
      <c r="Q1458" s="6" t="s">
        <v>356</v>
      </c>
      <c r="R1458" s="6" t="str">
        <f t="shared" ca="1" si="14"/>
        <v>NonCategory</v>
      </c>
    </row>
    <row r="1459" spans="1:18">
      <c r="A1459" s="162">
        <v>44935</v>
      </c>
      <c r="B1459" s="164" t="s">
        <v>3512</v>
      </c>
      <c r="C1459" s="168" t="s">
        <v>3513</v>
      </c>
      <c r="D1459" s="6" t="s">
        <v>278</v>
      </c>
      <c r="E1459" s="6" t="s">
        <v>1524</v>
      </c>
      <c r="F1459" s="79">
        <v>44927</v>
      </c>
      <c r="G1459" s="6" t="s">
        <v>16</v>
      </c>
      <c r="H1459" s="6" t="s">
        <v>3477</v>
      </c>
      <c r="I1459" s="6">
        <v>1</v>
      </c>
      <c r="J1459" s="8">
        <v>24000</v>
      </c>
      <c r="K1459" s="8">
        <f t="shared" si="13"/>
        <v>274.85112230874944</v>
      </c>
      <c r="L1459" s="97">
        <v>44935</v>
      </c>
      <c r="M1459" s="6" t="s">
        <v>251</v>
      </c>
      <c r="N1459" s="97">
        <v>44935</v>
      </c>
      <c r="O1459" s="22" t="s">
        <v>6432</v>
      </c>
      <c r="P1459" s="6" t="s">
        <v>3514</v>
      </c>
      <c r="Q1459" s="6" t="s">
        <v>356</v>
      </c>
      <c r="R1459" s="6" t="str">
        <f t="shared" ca="1" si="14"/>
        <v>NonCategory</v>
      </c>
    </row>
    <row r="1460" spans="1:18">
      <c r="A1460" s="162">
        <v>44935</v>
      </c>
      <c r="B1460" s="164" t="s">
        <v>3515</v>
      </c>
      <c r="C1460" s="168" t="s">
        <v>3516</v>
      </c>
      <c r="D1460" s="6" t="s">
        <v>306</v>
      </c>
      <c r="E1460" s="6" t="s">
        <v>1524</v>
      </c>
      <c r="F1460" s="79">
        <v>44927</v>
      </c>
      <c r="G1460" s="6" t="s">
        <v>16</v>
      </c>
      <c r="H1460" s="6" t="s">
        <v>3477</v>
      </c>
      <c r="I1460" s="6">
        <v>1</v>
      </c>
      <c r="J1460" s="8">
        <v>24000</v>
      </c>
      <c r="K1460" s="8">
        <f t="shared" si="13"/>
        <v>274.85112230874944</v>
      </c>
      <c r="L1460" s="97">
        <v>44936</v>
      </c>
      <c r="M1460" s="6" t="s">
        <v>251</v>
      </c>
      <c r="N1460" s="97">
        <v>44936</v>
      </c>
      <c r="O1460" s="22" t="s">
        <v>6433</v>
      </c>
      <c r="Q1460" s="6" t="s">
        <v>356</v>
      </c>
      <c r="R1460" s="6" t="str">
        <f t="shared" ca="1" si="14"/>
        <v>NonCategory</v>
      </c>
    </row>
    <row r="1461" spans="1:18">
      <c r="A1461" s="162">
        <v>44936</v>
      </c>
      <c r="B1461" s="164" t="s">
        <v>3517</v>
      </c>
      <c r="C1461" s="168" t="s">
        <v>3518</v>
      </c>
      <c r="D1461" s="6" t="s">
        <v>319</v>
      </c>
      <c r="E1461" s="6" t="s">
        <v>6</v>
      </c>
      <c r="F1461" s="79">
        <v>44927</v>
      </c>
      <c r="G1461" s="6" t="s">
        <v>13</v>
      </c>
      <c r="H1461" s="6" t="s">
        <v>3340</v>
      </c>
      <c r="I1461" s="6">
        <v>1</v>
      </c>
      <c r="J1461" s="8">
        <v>40061</v>
      </c>
      <c r="K1461" s="8">
        <f t="shared" si="13"/>
        <v>458.7837837837838</v>
      </c>
      <c r="L1461" s="97">
        <v>44936</v>
      </c>
      <c r="R1461" s="6" t="str">
        <f t="shared" ca="1" si="14"/>
        <v>NonCategory</v>
      </c>
    </row>
    <row r="1462" spans="1:18">
      <c r="A1462" s="162">
        <v>44936</v>
      </c>
      <c r="B1462" s="164" t="s">
        <v>3519</v>
      </c>
      <c r="C1462" s="168" t="s">
        <v>3520</v>
      </c>
      <c r="D1462" s="6" t="s">
        <v>303</v>
      </c>
      <c r="E1462" s="6" t="s">
        <v>96</v>
      </c>
      <c r="F1462" s="79">
        <v>44927</v>
      </c>
      <c r="G1462" s="6" t="s">
        <v>16</v>
      </c>
      <c r="H1462" s="6" t="s">
        <v>3521</v>
      </c>
      <c r="I1462" s="6">
        <v>1</v>
      </c>
      <c r="J1462" s="8">
        <v>20000</v>
      </c>
      <c r="K1462" s="8">
        <f t="shared" si="13"/>
        <v>229.04260192395787</v>
      </c>
      <c r="L1462" s="97">
        <v>44936</v>
      </c>
      <c r="M1462" s="6" t="s">
        <v>251</v>
      </c>
      <c r="N1462" s="97">
        <v>44936</v>
      </c>
      <c r="O1462" s="22" t="s">
        <v>6434</v>
      </c>
      <c r="Q1462" s="6" t="s">
        <v>356</v>
      </c>
      <c r="R1462" s="6" t="str">
        <f t="shared" ca="1" si="14"/>
        <v>NonCategory</v>
      </c>
    </row>
    <row r="1463" spans="1:18">
      <c r="A1463" s="162">
        <v>44936</v>
      </c>
      <c r="B1463" s="164" t="s">
        <v>3522</v>
      </c>
      <c r="C1463" s="168" t="s">
        <v>3523</v>
      </c>
      <c r="D1463" s="6" t="s">
        <v>470</v>
      </c>
      <c r="E1463" s="6" t="s">
        <v>195</v>
      </c>
      <c r="F1463" s="79">
        <v>44927</v>
      </c>
      <c r="G1463" s="6" t="s">
        <v>16</v>
      </c>
      <c r="H1463" s="6" t="s">
        <v>3524</v>
      </c>
      <c r="I1463" s="6">
        <v>1</v>
      </c>
      <c r="J1463" s="8">
        <v>31000</v>
      </c>
      <c r="K1463" s="8">
        <f t="shared" si="13"/>
        <v>355.01603298213467</v>
      </c>
      <c r="L1463" s="97">
        <v>44936</v>
      </c>
      <c r="M1463" s="6" t="s">
        <v>251</v>
      </c>
      <c r="N1463" s="97">
        <v>44936</v>
      </c>
      <c r="O1463" s="22" t="s">
        <v>6435</v>
      </c>
      <c r="Q1463" s="6" t="s">
        <v>356</v>
      </c>
      <c r="R1463" s="6" t="str">
        <f t="shared" ca="1" si="14"/>
        <v>NonCategory</v>
      </c>
    </row>
    <row r="1464" spans="1:18">
      <c r="A1464" s="162">
        <v>44936</v>
      </c>
      <c r="B1464" s="164" t="s">
        <v>3525</v>
      </c>
      <c r="C1464" s="168" t="s">
        <v>3526</v>
      </c>
      <c r="D1464" s="6" t="s">
        <v>278</v>
      </c>
      <c r="E1464" s="6" t="s">
        <v>1524</v>
      </c>
      <c r="F1464" s="79">
        <v>44927</v>
      </c>
      <c r="G1464" s="6" t="s">
        <v>16</v>
      </c>
      <c r="H1464" s="6" t="s">
        <v>3477</v>
      </c>
      <c r="I1464" s="6">
        <v>1</v>
      </c>
      <c r="J1464" s="8">
        <v>24000</v>
      </c>
      <c r="K1464" s="8">
        <f t="shared" si="13"/>
        <v>274.85112230874944</v>
      </c>
      <c r="L1464" s="97">
        <v>44936</v>
      </c>
      <c r="M1464" s="6" t="s">
        <v>251</v>
      </c>
      <c r="N1464" s="97">
        <v>44936</v>
      </c>
      <c r="O1464" s="22" t="s">
        <v>6436</v>
      </c>
      <c r="Q1464" s="6" t="s">
        <v>356</v>
      </c>
      <c r="R1464" s="6" t="str">
        <f t="shared" ca="1" si="14"/>
        <v>NonCategory</v>
      </c>
    </row>
    <row r="1465" spans="1:18">
      <c r="A1465" s="162">
        <v>44936</v>
      </c>
      <c r="B1465" s="164" t="s">
        <v>3527</v>
      </c>
      <c r="C1465" s="168" t="s">
        <v>3528</v>
      </c>
      <c r="D1465" s="6" t="s">
        <v>278</v>
      </c>
      <c r="E1465" s="6" t="s">
        <v>151</v>
      </c>
      <c r="F1465" s="79">
        <v>44927</v>
      </c>
      <c r="G1465" s="6" t="s">
        <v>16</v>
      </c>
      <c r="H1465" s="6" t="s">
        <v>3477</v>
      </c>
      <c r="I1465" s="6">
        <v>1</v>
      </c>
      <c r="J1465" s="8">
        <v>21000</v>
      </c>
      <c r="K1465" s="8">
        <f t="shared" si="13"/>
        <v>240.49473202015577</v>
      </c>
      <c r="L1465" s="97">
        <v>44936</v>
      </c>
      <c r="M1465" s="6" t="s">
        <v>251</v>
      </c>
      <c r="N1465" s="97">
        <v>44936</v>
      </c>
      <c r="O1465" s="22" t="s">
        <v>6437</v>
      </c>
      <c r="P1465" s="6" t="s">
        <v>3345</v>
      </c>
      <c r="Q1465" s="6" t="s">
        <v>356</v>
      </c>
      <c r="R1465" s="6" t="str">
        <f t="shared" ca="1" si="14"/>
        <v>NonCategory</v>
      </c>
    </row>
    <row r="1466" spans="1:18">
      <c r="A1466" s="162">
        <v>44937</v>
      </c>
      <c r="B1466" s="164" t="s">
        <v>3529</v>
      </c>
      <c r="C1466" s="168" t="s">
        <v>3530</v>
      </c>
      <c r="D1466" s="6" t="s">
        <v>287</v>
      </c>
      <c r="E1466" s="6" t="s">
        <v>1715</v>
      </c>
      <c r="F1466" s="79">
        <v>44927</v>
      </c>
      <c r="G1466" s="6" t="s">
        <v>13</v>
      </c>
      <c r="H1466" s="6" t="s">
        <v>21</v>
      </c>
      <c r="I1466" s="6">
        <v>1</v>
      </c>
      <c r="J1466" s="8">
        <v>19500</v>
      </c>
      <c r="K1466" s="8">
        <f t="shared" ref="K1466:K1498" si="15">IFERROR((($J1466/1.18))/74,"")</f>
        <v>223.3165368758589</v>
      </c>
      <c r="L1466" s="97">
        <v>44937</v>
      </c>
      <c r="R1466" s="6" t="str">
        <f t="shared" ca="1" si="14"/>
        <v>NonCategory</v>
      </c>
    </row>
    <row r="1467" spans="1:18">
      <c r="A1467" s="162">
        <v>44937</v>
      </c>
      <c r="B1467" s="164" t="s">
        <v>3531</v>
      </c>
      <c r="C1467" s="168" t="s">
        <v>3532</v>
      </c>
      <c r="D1467" s="6" t="s">
        <v>291</v>
      </c>
      <c r="E1467" s="6" t="s">
        <v>151</v>
      </c>
      <c r="F1467" s="79">
        <v>44927</v>
      </c>
      <c r="G1467" s="6" t="s">
        <v>13</v>
      </c>
      <c r="H1467" s="6" t="s">
        <v>3477</v>
      </c>
      <c r="I1467" s="6">
        <v>1</v>
      </c>
      <c r="J1467" s="8">
        <v>21000</v>
      </c>
      <c r="K1467" s="8">
        <f t="shared" si="15"/>
        <v>240.49473202015577</v>
      </c>
      <c r="L1467" s="97">
        <v>44937</v>
      </c>
      <c r="R1467" s="6" t="str">
        <f t="shared" ca="1" si="14"/>
        <v>NonCategory</v>
      </c>
    </row>
    <row r="1468" spans="1:18">
      <c r="A1468" s="162">
        <v>44937</v>
      </c>
      <c r="B1468" s="164" t="s">
        <v>3533</v>
      </c>
      <c r="C1468" s="168" t="s">
        <v>3534</v>
      </c>
      <c r="D1468" s="6" t="s">
        <v>297</v>
      </c>
      <c r="E1468" s="6" t="s">
        <v>6</v>
      </c>
      <c r="F1468" s="79">
        <v>44927</v>
      </c>
      <c r="G1468" s="6" t="s">
        <v>16</v>
      </c>
      <c r="H1468" s="6" t="s">
        <v>3535</v>
      </c>
      <c r="I1468" s="6">
        <v>1</v>
      </c>
      <c r="J1468" s="8">
        <v>42000</v>
      </c>
      <c r="K1468" s="8">
        <f t="shared" si="15"/>
        <v>480.98946404031153</v>
      </c>
      <c r="L1468" s="97">
        <v>44937</v>
      </c>
      <c r="M1468" s="6" t="s">
        <v>252</v>
      </c>
      <c r="N1468" s="97">
        <v>44937</v>
      </c>
      <c r="O1468" s="22" t="s">
        <v>6438</v>
      </c>
      <c r="Q1468" s="6" t="s">
        <v>356</v>
      </c>
      <c r="R1468" s="6" t="str">
        <f t="shared" ca="1" si="14"/>
        <v>NonCategory</v>
      </c>
    </row>
    <row r="1469" spans="1:18">
      <c r="A1469" s="162">
        <v>44937</v>
      </c>
      <c r="B1469" s="164" t="s">
        <v>3536</v>
      </c>
      <c r="C1469" s="168" t="s">
        <v>3537</v>
      </c>
      <c r="D1469" s="6" t="s">
        <v>303</v>
      </c>
      <c r="E1469" s="6" t="s">
        <v>150</v>
      </c>
      <c r="F1469" s="79">
        <v>44927</v>
      </c>
      <c r="G1469" s="6" t="s">
        <v>16</v>
      </c>
      <c r="H1469" s="6" t="s">
        <v>3477</v>
      </c>
      <c r="I1469" s="6">
        <v>1</v>
      </c>
      <c r="J1469" s="8">
        <v>21000</v>
      </c>
      <c r="K1469" s="8">
        <f t="shared" si="15"/>
        <v>240.49473202015577</v>
      </c>
      <c r="L1469" s="97">
        <v>44937</v>
      </c>
      <c r="M1469" s="6" t="s">
        <v>252</v>
      </c>
      <c r="N1469" s="97">
        <v>44937</v>
      </c>
      <c r="O1469" s="22" t="s">
        <v>6439</v>
      </c>
      <c r="Q1469" s="6" t="s">
        <v>356</v>
      </c>
      <c r="R1469" s="6" t="str">
        <f t="shared" ca="1" si="14"/>
        <v>NonCategory</v>
      </c>
    </row>
    <row r="1470" spans="1:18">
      <c r="A1470" s="162">
        <v>44937</v>
      </c>
      <c r="B1470" s="164" t="s">
        <v>3538</v>
      </c>
      <c r="C1470" s="168" t="s">
        <v>3539</v>
      </c>
      <c r="D1470" s="6" t="s">
        <v>278</v>
      </c>
      <c r="E1470" s="6" t="s">
        <v>1524</v>
      </c>
      <c r="F1470" s="79">
        <v>44927</v>
      </c>
      <c r="G1470" s="6" t="s">
        <v>16</v>
      </c>
      <c r="H1470" s="6" t="s">
        <v>3540</v>
      </c>
      <c r="I1470" s="6">
        <v>1</v>
      </c>
      <c r="J1470" s="8">
        <v>24000</v>
      </c>
      <c r="K1470" s="8">
        <f t="shared" si="15"/>
        <v>274.85112230874944</v>
      </c>
      <c r="L1470" s="97">
        <v>44937</v>
      </c>
      <c r="M1470" s="6" t="s">
        <v>252</v>
      </c>
      <c r="N1470" s="97">
        <v>44938</v>
      </c>
      <c r="O1470" s="22" t="s">
        <v>6440</v>
      </c>
      <c r="P1470" s="6" t="s">
        <v>3541</v>
      </c>
      <c r="Q1470" s="6" t="s">
        <v>356</v>
      </c>
      <c r="R1470" s="6" t="str">
        <f t="shared" ca="1" si="14"/>
        <v>NonCategory</v>
      </c>
    </row>
    <row r="1471" spans="1:18">
      <c r="A1471" s="162">
        <v>44937</v>
      </c>
      <c r="B1471" s="164" t="s">
        <v>3058</v>
      </c>
      <c r="C1471" s="168" t="s">
        <v>3059</v>
      </c>
      <c r="D1471" s="6" t="s">
        <v>278</v>
      </c>
      <c r="E1471" s="6" t="s">
        <v>7</v>
      </c>
      <c r="F1471" s="79">
        <v>44927</v>
      </c>
      <c r="G1471" s="6" t="s">
        <v>13</v>
      </c>
      <c r="H1471" s="6" t="s">
        <v>3477</v>
      </c>
      <c r="I1471" s="6">
        <v>1</v>
      </c>
      <c r="J1471" s="8">
        <v>40061</v>
      </c>
      <c r="K1471" s="8">
        <f t="shared" si="15"/>
        <v>458.7837837837838</v>
      </c>
      <c r="L1471" s="97">
        <v>44937</v>
      </c>
      <c r="P1471" s="6" t="s">
        <v>3542</v>
      </c>
      <c r="R1471" s="6" t="str">
        <f t="shared" ca="1" si="14"/>
        <v>NonCategory</v>
      </c>
    </row>
    <row r="1472" spans="1:18">
      <c r="A1472" s="162">
        <v>44938</v>
      </c>
      <c r="B1472" s="164" t="s">
        <v>3543</v>
      </c>
      <c r="C1472" s="168" t="s">
        <v>3544</v>
      </c>
      <c r="D1472" s="6" t="s">
        <v>278</v>
      </c>
      <c r="E1472" s="6" t="s">
        <v>1524</v>
      </c>
      <c r="F1472" s="79">
        <v>44927</v>
      </c>
      <c r="G1472" s="6" t="s">
        <v>16</v>
      </c>
      <c r="H1472" s="6" t="s">
        <v>3467</v>
      </c>
      <c r="I1472" s="6">
        <v>1</v>
      </c>
      <c r="J1472" s="8">
        <v>24000</v>
      </c>
      <c r="K1472" s="8">
        <f t="shared" si="15"/>
        <v>274.85112230874944</v>
      </c>
      <c r="L1472" s="97">
        <v>44938</v>
      </c>
      <c r="M1472" s="6" t="s">
        <v>252</v>
      </c>
      <c r="N1472" s="97">
        <v>44938</v>
      </c>
      <c r="O1472" s="22" t="s">
        <v>6441</v>
      </c>
      <c r="P1472" s="6" t="s">
        <v>3545</v>
      </c>
      <c r="Q1472" s="6" t="s">
        <v>356</v>
      </c>
      <c r="R1472" s="6" t="str">
        <f t="shared" ca="1" si="14"/>
        <v>NonCategory</v>
      </c>
    </row>
    <row r="1473" spans="1:18">
      <c r="A1473" s="162">
        <v>44939</v>
      </c>
      <c r="B1473" s="164" t="s">
        <v>3546</v>
      </c>
      <c r="C1473" s="168" t="s">
        <v>3547</v>
      </c>
      <c r="D1473" s="6" t="s">
        <v>291</v>
      </c>
      <c r="E1473" s="6" t="s">
        <v>151</v>
      </c>
      <c r="F1473" s="79">
        <v>44927</v>
      </c>
      <c r="G1473" s="6" t="s">
        <v>16</v>
      </c>
      <c r="H1473" s="6" t="s">
        <v>3477</v>
      </c>
      <c r="I1473" s="6">
        <v>1</v>
      </c>
      <c r="J1473" s="8">
        <v>21000</v>
      </c>
      <c r="K1473" s="8">
        <f t="shared" si="15"/>
        <v>240.49473202015577</v>
      </c>
      <c r="L1473" s="97">
        <v>44939</v>
      </c>
      <c r="M1473" s="6" t="s">
        <v>252</v>
      </c>
      <c r="N1473" s="97">
        <v>44939</v>
      </c>
      <c r="O1473" s="22" t="s">
        <v>6442</v>
      </c>
      <c r="Q1473" s="6" t="s">
        <v>356</v>
      </c>
      <c r="R1473" s="6" t="str">
        <f t="shared" ca="1" si="14"/>
        <v>NonCategory</v>
      </c>
    </row>
    <row r="1474" spans="1:18">
      <c r="A1474" s="162">
        <v>44939</v>
      </c>
      <c r="B1474" s="164" t="s">
        <v>3548</v>
      </c>
      <c r="C1474" s="168" t="s">
        <v>3549</v>
      </c>
      <c r="D1474" s="6" t="s">
        <v>278</v>
      </c>
      <c r="E1474" s="6" t="s">
        <v>25</v>
      </c>
      <c r="F1474" s="79">
        <v>44927</v>
      </c>
      <c r="G1474" s="6" t="s">
        <v>16</v>
      </c>
      <c r="H1474" s="6" t="s">
        <v>3340</v>
      </c>
      <c r="I1474" s="6">
        <v>1</v>
      </c>
      <c r="J1474" s="8">
        <v>42000</v>
      </c>
      <c r="K1474" s="8">
        <f t="shared" si="15"/>
        <v>480.98946404031153</v>
      </c>
      <c r="L1474" s="97">
        <v>44939</v>
      </c>
      <c r="M1474" s="6" t="s">
        <v>252</v>
      </c>
      <c r="N1474" s="97">
        <v>44939</v>
      </c>
      <c r="O1474" s="22" t="s">
        <v>6443</v>
      </c>
      <c r="P1474" s="6" t="s">
        <v>3506</v>
      </c>
      <c r="Q1474" s="6" t="s">
        <v>356</v>
      </c>
      <c r="R1474" s="6" t="str">
        <f t="shared" ca="1" si="14"/>
        <v>NonCategory</v>
      </c>
    </row>
    <row r="1475" spans="1:18">
      <c r="A1475" s="162">
        <v>44939</v>
      </c>
      <c r="B1475" s="164" t="s">
        <v>3550</v>
      </c>
      <c r="C1475" s="168" t="s">
        <v>3551</v>
      </c>
      <c r="D1475" s="6" t="s">
        <v>278</v>
      </c>
      <c r="E1475" s="6" t="s">
        <v>1524</v>
      </c>
      <c r="F1475" s="79">
        <v>44927</v>
      </c>
      <c r="G1475" s="6" t="s">
        <v>16</v>
      </c>
      <c r="H1475" s="6" t="s">
        <v>3540</v>
      </c>
      <c r="I1475" s="6">
        <v>1</v>
      </c>
      <c r="J1475" s="8">
        <v>24000</v>
      </c>
      <c r="K1475" s="8">
        <f t="shared" si="15"/>
        <v>274.85112230874944</v>
      </c>
      <c r="L1475" s="97">
        <v>44939</v>
      </c>
      <c r="M1475" s="6" t="s">
        <v>252</v>
      </c>
      <c r="N1475" s="97">
        <v>44942</v>
      </c>
      <c r="O1475" s="22" t="s">
        <v>6444</v>
      </c>
      <c r="P1475" s="6" t="s">
        <v>3398</v>
      </c>
      <c r="Q1475" s="6" t="s">
        <v>356</v>
      </c>
      <c r="R1475" s="6" t="str">
        <f t="shared" ca="1" si="14"/>
        <v>NonCategory</v>
      </c>
    </row>
    <row r="1476" spans="1:18">
      <c r="A1476" s="162">
        <v>44939</v>
      </c>
      <c r="B1476" s="164" t="s">
        <v>3552</v>
      </c>
      <c r="C1476" s="168" t="s">
        <v>3553</v>
      </c>
      <c r="D1476" s="6" t="s">
        <v>291</v>
      </c>
      <c r="E1476" s="6" t="s">
        <v>151</v>
      </c>
      <c r="F1476" s="79">
        <v>44927</v>
      </c>
      <c r="G1476" s="6" t="s">
        <v>16</v>
      </c>
      <c r="H1476" s="6" t="s">
        <v>3477</v>
      </c>
      <c r="I1476" s="6">
        <v>1</v>
      </c>
      <c r="J1476" s="8">
        <v>21000</v>
      </c>
      <c r="K1476" s="8">
        <f t="shared" si="15"/>
        <v>240.49473202015577</v>
      </c>
      <c r="L1476" s="97">
        <v>44939</v>
      </c>
      <c r="M1476" s="6" t="s">
        <v>252</v>
      </c>
      <c r="N1476" s="97">
        <v>44939</v>
      </c>
      <c r="O1476" s="22" t="s">
        <v>6445</v>
      </c>
      <c r="Q1476" s="6" t="s">
        <v>356</v>
      </c>
      <c r="R1476" s="6" t="str">
        <f t="shared" ca="1" si="14"/>
        <v>NonCategory</v>
      </c>
    </row>
    <row r="1477" spans="1:18">
      <c r="A1477" s="162">
        <v>44937</v>
      </c>
      <c r="B1477" s="164" t="s">
        <v>3364</v>
      </c>
      <c r="C1477" s="168" t="s">
        <v>3365</v>
      </c>
      <c r="D1477" s="6" t="s">
        <v>278</v>
      </c>
      <c r="E1477" s="6" t="s">
        <v>3554</v>
      </c>
      <c r="F1477" s="79">
        <v>44927</v>
      </c>
      <c r="G1477" s="6" t="s">
        <v>16</v>
      </c>
      <c r="H1477" s="6" t="s">
        <v>480</v>
      </c>
      <c r="I1477" s="6">
        <v>1</v>
      </c>
      <c r="J1477" s="8">
        <v>27000</v>
      </c>
      <c r="K1477" s="8">
        <f t="shared" si="15"/>
        <v>309.20751259734311</v>
      </c>
      <c r="L1477" s="97">
        <v>44937</v>
      </c>
      <c r="M1477" s="6" t="s">
        <v>252</v>
      </c>
      <c r="N1477" s="97">
        <v>44937</v>
      </c>
      <c r="O1477" s="22" t="s">
        <v>6446</v>
      </c>
      <c r="Q1477" s="6" t="s">
        <v>356</v>
      </c>
      <c r="R1477" s="6" t="str">
        <f t="shared" ca="1" si="14"/>
        <v>NonCategory</v>
      </c>
    </row>
    <row r="1478" spans="1:18">
      <c r="A1478" s="162">
        <v>44940</v>
      </c>
      <c r="B1478" s="164" t="s">
        <v>3555</v>
      </c>
      <c r="C1478" s="168" t="s">
        <v>3556</v>
      </c>
      <c r="D1478" s="6" t="s">
        <v>3500</v>
      </c>
      <c r="E1478" s="6" t="s">
        <v>151</v>
      </c>
      <c r="F1478" s="79">
        <v>44927</v>
      </c>
      <c r="G1478" s="6" t="s">
        <v>13</v>
      </c>
      <c r="H1478" s="6" t="s">
        <v>3535</v>
      </c>
      <c r="I1478" s="6">
        <v>1</v>
      </c>
      <c r="J1478" s="8">
        <v>21000</v>
      </c>
      <c r="K1478" s="8">
        <f t="shared" si="15"/>
        <v>240.49473202015577</v>
      </c>
      <c r="L1478" s="97">
        <v>44940</v>
      </c>
      <c r="R1478" s="6" t="str">
        <f t="shared" ca="1" si="14"/>
        <v>NonCategory</v>
      </c>
    </row>
    <row r="1479" spans="1:18">
      <c r="A1479" s="162">
        <v>44943</v>
      </c>
      <c r="B1479" s="164" t="s">
        <v>3557</v>
      </c>
      <c r="C1479" s="168" t="s">
        <v>3558</v>
      </c>
      <c r="D1479" s="6" t="s">
        <v>470</v>
      </c>
      <c r="E1479" s="6" t="s">
        <v>97</v>
      </c>
      <c r="F1479" s="79">
        <v>44927</v>
      </c>
      <c r="G1479" s="6" t="s">
        <v>16</v>
      </c>
      <c r="H1479" s="6" t="s">
        <v>3340</v>
      </c>
      <c r="I1479" s="6">
        <v>1</v>
      </c>
      <c r="J1479" s="8">
        <v>20000</v>
      </c>
      <c r="K1479" s="8">
        <f t="shared" si="15"/>
        <v>229.04260192395787</v>
      </c>
      <c r="L1479" s="97">
        <v>44943</v>
      </c>
      <c r="M1479" s="6" t="s">
        <v>252</v>
      </c>
      <c r="N1479" s="97">
        <v>44943</v>
      </c>
      <c r="O1479" s="22" t="s">
        <v>6447</v>
      </c>
      <c r="Q1479" s="6" t="s">
        <v>356</v>
      </c>
      <c r="R1479" s="6" t="str">
        <f t="shared" ca="1" si="14"/>
        <v>NonCategory</v>
      </c>
    </row>
    <row r="1480" spans="1:18">
      <c r="A1480" s="162">
        <v>44943</v>
      </c>
      <c r="B1480" s="164" t="s">
        <v>3559</v>
      </c>
      <c r="C1480" s="168" t="s">
        <v>3560</v>
      </c>
      <c r="D1480" s="6" t="s">
        <v>319</v>
      </c>
      <c r="E1480" s="6" t="s">
        <v>150</v>
      </c>
      <c r="F1480" s="79">
        <v>44927</v>
      </c>
      <c r="G1480" s="6" t="s">
        <v>16</v>
      </c>
      <c r="H1480" s="6" t="s">
        <v>3340</v>
      </c>
      <c r="I1480" s="6">
        <v>1</v>
      </c>
      <c r="J1480" s="8">
        <v>21000</v>
      </c>
      <c r="K1480" s="8">
        <f t="shared" si="15"/>
        <v>240.49473202015577</v>
      </c>
      <c r="L1480" s="97">
        <v>44943</v>
      </c>
      <c r="M1480" s="6" t="s">
        <v>252</v>
      </c>
      <c r="N1480" s="97">
        <v>44943</v>
      </c>
      <c r="O1480" s="22" t="s">
        <v>6448</v>
      </c>
      <c r="Q1480" s="6" t="s">
        <v>356</v>
      </c>
      <c r="R1480" s="6" t="str">
        <f t="shared" ca="1" si="14"/>
        <v>NonCategory</v>
      </c>
    </row>
    <row r="1481" spans="1:18">
      <c r="A1481" s="162">
        <v>44943</v>
      </c>
      <c r="B1481" s="164" t="s">
        <v>3561</v>
      </c>
      <c r="C1481" s="168" t="s">
        <v>3562</v>
      </c>
      <c r="D1481" s="6" t="s">
        <v>306</v>
      </c>
      <c r="E1481" s="6" t="s">
        <v>151</v>
      </c>
      <c r="F1481" s="79">
        <v>44927</v>
      </c>
      <c r="G1481" s="6" t="s">
        <v>16</v>
      </c>
      <c r="H1481" s="6" t="s">
        <v>3340</v>
      </c>
      <c r="I1481" s="6">
        <v>1</v>
      </c>
      <c r="J1481" s="8">
        <v>21000</v>
      </c>
      <c r="K1481" s="8">
        <f t="shared" si="15"/>
        <v>240.49473202015577</v>
      </c>
      <c r="L1481" s="97">
        <v>44943</v>
      </c>
      <c r="M1481" s="6" t="s">
        <v>252</v>
      </c>
      <c r="N1481" s="97">
        <v>44943</v>
      </c>
      <c r="O1481" s="22" t="s">
        <v>6449</v>
      </c>
      <c r="Q1481" s="6" t="s">
        <v>356</v>
      </c>
      <c r="R1481" s="6" t="str">
        <f t="shared" ca="1" si="14"/>
        <v>NonCategory</v>
      </c>
    </row>
    <row r="1482" spans="1:18">
      <c r="A1482" s="162">
        <v>44943</v>
      </c>
      <c r="B1482" s="164" t="s">
        <v>3563</v>
      </c>
      <c r="C1482" s="168" t="s">
        <v>3564</v>
      </c>
      <c r="D1482" s="6" t="s">
        <v>306</v>
      </c>
      <c r="E1482" s="6" t="s">
        <v>1524</v>
      </c>
      <c r="F1482" s="79">
        <v>44927</v>
      </c>
      <c r="G1482" s="6" t="s">
        <v>16</v>
      </c>
      <c r="H1482" s="6" t="s">
        <v>3467</v>
      </c>
      <c r="I1482" s="6">
        <v>1</v>
      </c>
      <c r="J1482" s="8">
        <v>24000</v>
      </c>
      <c r="K1482" s="8">
        <f t="shared" si="15"/>
        <v>274.85112230874944</v>
      </c>
      <c r="L1482" s="97">
        <v>44943</v>
      </c>
      <c r="M1482" s="6" t="s">
        <v>252</v>
      </c>
      <c r="N1482" s="97">
        <v>44943</v>
      </c>
      <c r="O1482" s="22" t="s">
        <v>6450</v>
      </c>
      <c r="Q1482" s="6" t="s">
        <v>356</v>
      </c>
      <c r="R1482" s="6" t="str">
        <f t="shared" ca="1" si="14"/>
        <v>NonCategory</v>
      </c>
    </row>
    <row r="1483" spans="1:18">
      <c r="A1483" s="162">
        <v>44943</v>
      </c>
      <c r="B1483" s="164" t="s">
        <v>3565</v>
      </c>
      <c r="C1483" s="168" t="s">
        <v>3566</v>
      </c>
      <c r="D1483" s="6" t="s">
        <v>303</v>
      </c>
      <c r="E1483" s="6" t="s">
        <v>6</v>
      </c>
      <c r="F1483" s="79">
        <v>44927</v>
      </c>
      <c r="G1483" s="6" t="s">
        <v>16</v>
      </c>
      <c r="H1483" s="6" t="s">
        <v>3340</v>
      </c>
      <c r="I1483" s="6">
        <v>1</v>
      </c>
      <c r="J1483" s="8">
        <v>40061</v>
      </c>
      <c r="K1483" s="8">
        <f t="shared" si="15"/>
        <v>458.7837837837838</v>
      </c>
      <c r="L1483" s="97">
        <v>44943</v>
      </c>
      <c r="M1483" s="6" t="s">
        <v>252</v>
      </c>
      <c r="N1483" s="97">
        <v>44943</v>
      </c>
      <c r="O1483" s="22" t="s">
        <v>6451</v>
      </c>
      <c r="Q1483" s="6" t="s">
        <v>356</v>
      </c>
      <c r="R1483" s="6" t="str">
        <f t="shared" ca="1" si="14"/>
        <v>NonCategory</v>
      </c>
    </row>
    <row r="1484" spans="1:18">
      <c r="A1484" s="162">
        <v>44945</v>
      </c>
      <c r="B1484" s="164" t="s">
        <v>3567</v>
      </c>
      <c r="C1484" s="168" t="s">
        <v>3568</v>
      </c>
      <c r="D1484" s="6" t="s">
        <v>278</v>
      </c>
      <c r="E1484" s="6" t="s">
        <v>25</v>
      </c>
      <c r="F1484" s="79">
        <v>44927</v>
      </c>
      <c r="G1484" s="6" t="s">
        <v>16</v>
      </c>
      <c r="H1484" s="6" t="s">
        <v>3340</v>
      </c>
      <c r="I1484" s="6">
        <v>1</v>
      </c>
      <c r="J1484" s="8">
        <v>41000</v>
      </c>
      <c r="K1484" s="8">
        <f t="shared" si="15"/>
        <v>469.53733394411364</v>
      </c>
      <c r="L1484" s="97">
        <v>44945</v>
      </c>
      <c r="M1484" s="6" t="s">
        <v>252</v>
      </c>
      <c r="N1484" s="97">
        <v>44945</v>
      </c>
      <c r="O1484" s="22" t="s">
        <v>6452</v>
      </c>
      <c r="Q1484" s="6" t="s">
        <v>356</v>
      </c>
      <c r="R1484" s="6" t="str">
        <f t="shared" ca="1" si="14"/>
        <v>NonCategory</v>
      </c>
    </row>
    <row r="1485" spans="1:18">
      <c r="A1485" s="162">
        <v>44945</v>
      </c>
      <c r="B1485" s="164" t="s">
        <v>3448</v>
      </c>
      <c r="C1485" s="168" t="s">
        <v>3449</v>
      </c>
      <c r="D1485" s="6" t="s">
        <v>470</v>
      </c>
      <c r="E1485" s="6" t="s">
        <v>1715</v>
      </c>
      <c r="F1485" s="79">
        <v>44927</v>
      </c>
      <c r="G1485" s="6" t="s">
        <v>16</v>
      </c>
      <c r="H1485" s="6" t="s">
        <v>21</v>
      </c>
      <c r="I1485" s="6">
        <v>1</v>
      </c>
      <c r="J1485" s="8">
        <v>20000</v>
      </c>
      <c r="K1485" s="8">
        <f t="shared" si="15"/>
        <v>229.04260192395787</v>
      </c>
      <c r="L1485" s="97">
        <v>44945</v>
      </c>
      <c r="M1485" s="6" t="s">
        <v>253</v>
      </c>
      <c r="N1485" s="97">
        <v>44951</v>
      </c>
      <c r="O1485" s="22" t="s">
        <v>6453</v>
      </c>
      <c r="Q1485" s="6" t="s">
        <v>356</v>
      </c>
      <c r="R1485" s="6" t="str">
        <f t="shared" ca="1" si="14"/>
        <v>NonCategory</v>
      </c>
    </row>
    <row r="1486" spans="1:18">
      <c r="A1486" s="162">
        <v>44946</v>
      </c>
      <c r="B1486" s="164" t="s">
        <v>3569</v>
      </c>
      <c r="C1486" s="168" t="s">
        <v>3570</v>
      </c>
      <c r="D1486" s="6" t="s">
        <v>278</v>
      </c>
      <c r="E1486" s="6" t="s">
        <v>25</v>
      </c>
      <c r="F1486" s="79">
        <v>44927</v>
      </c>
      <c r="G1486" s="6" t="s">
        <v>16</v>
      </c>
      <c r="H1486" s="6" t="s">
        <v>3535</v>
      </c>
      <c r="I1486" s="6">
        <v>1</v>
      </c>
      <c r="J1486" s="8">
        <v>42000</v>
      </c>
      <c r="K1486" s="8">
        <f t="shared" si="15"/>
        <v>480.98946404031153</v>
      </c>
      <c r="L1486" s="97">
        <v>44946</v>
      </c>
      <c r="M1486" s="6" t="s">
        <v>252</v>
      </c>
      <c r="N1486" s="97">
        <v>44946</v>
      </c>
      <c r="O1486" s="22" t="s">
        <v>6454</v>
      </c>
      <c r="Q1486" s="6" t="s">
        <v>356</v>
      </c>
      <c r="R1486" s="6" t="str">
        <f t="shared" ca="1" si="14"/>
        <v>NonCategory</v>
      </c>
    </row>
    <row r="1487" spans="1:18">
      <c r="A1487" s="162">
        <v>44946</v>
      </c>
      <c r="B1487" s="164" t="s">
        <v>3571</v>
      </c>
      <c r="C1487" s="168" t="s">
        <v>3572</v>
      </c>
      <c r="D1487" s="6" t="s">
        <v>319</v>
      </c>
      <c r="E1487" s="6" t="s">
        <v>25</v>
      </c>
      <c r="F1487" s="79">
        <v>44927</v>
      </c>
      <c r="G1487" s="6" t="s">
        <v>16</v>
      </c>
      <c r="H1487" s="6" t="s">
        <v>3535</v>
      </c>
      <c r="I1487" s="6">
        <v>1</v>
      </c>
      <c r="J1487" s="8">
        <v>42000</v>
      </c>
      <c r="K1487" s="8">
        <f t="shared" si="15"/>
        <v>480.98946404031153</v>
      </c>
      <c r="L1487" s="97">
        <v>44946</v>
      </c>
      <c r="M1487" s="6" t="s">
        <v>252</v>
      </c>
      <c r="N1487" s="97">
        <v>44946</v>
      </c>
      <c r="O1487" s="22" t="s">
        <v>6455</v>
      </c>
      <c r="Q1487" s="6" t="s">
        <v>356</v>
      </c>
      <c r="R1487" s="6" t="str">
        <f t="shared" ca="1" si="14"/>
        <v>NonCategory</v>
      </c>
    </row>
    <row r="1488" spans="1:18">
      <c r="A1488" s="162">
        <v>44946</v>
      </c>
      <c r="B1488" s="164" t="s">
        <v>3573</v>
      </c>
      <c r="C1488" s="168" t="s">
        <v>3574</v>
      </c>
      <c r="D1488" s="6" t="s">
        <v>303</v>
      </c>
      <c r="E1488" s="6" t="s">
        <v>2288</v>
      </c>
      <c r="F1488" s="79">
        <v>44927</v>
      </c>
      <c r="G1488" s="6" t="s">
        <v>16</v>
      </c>
      <c r="H1488" s="97">
        <v>44954</v>
      </c>
      <c r="I1488" s="6">
        <v>1</v>
      </c>
      <c r="J1488" s="8">
        <v>45000</v>
      </c>
      <c r="K1488" s="8">
        <f t="shared" si="15"/>
        <v>515.34585432890515</v>
      </c>
      <c r="L1488" s="97">
        <v>44946</v>
      </c>
      <c r="M1488" s="6" t="s">
        <v>252</v>
      </c>
      <c r="N1488" s="97">
        <v>44946</v>
      </c>
      <c r="O1488" s="22" t="s">
        <v>6456</v>
      </c>
      <c r="Q1488" s="6" t="s">
        <v>356</v>
      </c>
      <c r="R1488" s="6" t="str">
        <f t="shared" ca="1" si="14"/>
        <v>NonCategory</v>
      </c>
    </row>
    <row r="1489" spans="1:18">
      <c r="A1489" s="162">
        <v>44947</v>
      </c>
      <c r="B1489" s="164" t="s">
        <v>3575</v>
      </c>
      <c r="C1489" s="168" t="s">
        <v>3576</v>
      </c>
      <c r="D1489" s="6" t="s">
        <v>303</v>
      </c>
      <c r="E1489" s="6" t="s">
        <v>151</v>
      </c>
      <c r="F1489" s="79">
        <v>44927</v>
      </c>
      <c r="G1489" s="6" t="s">
        <v>16</v>
      </c>
      <c r="H1489" s="6" t="s">
        <v>3491</v>
      </c>
      <c r="I1489" s="6">
        <v>1</v>
      </c>
      <c r="J1489" s="8">
        <v>21000</v>
      </c>
      <c r="K1489" s="8">
        <f t="shared" si="15"/>
        <v>240.49473202015577</v>
      </c>
      <c r="L1489" s="97">
        <v>44947</v>
      </c>
      <c r="M1489" s="6" t="s">
        <v>253</v>
      </c>
      <c r="N1489" s="97">
        <v>44947</v>
      </c>
      <c r="O1489" s="22" t="s">
        <v>6457</v>
      </c>
      <c r="Q1489" s="6" t="s">
        <v>356</v>
      </c>
      <c r="R1489" s="6" t="str">
        <f t="shared" ca="1" si="14"/>
        <v>NonCategory</v>
      </c>
    </row>
    <row r="1490" spans="1:18">
      <c r="A1490" s="162">
        <v>44947</v>
      </c>
      <c r="B1490" s="164" t="s">
        <v>3577</v>
      </c>
      <c r="C1490" s="168" t="s">
        <v>3578</v>
      </c>
      <c r="D1490" s="6" t="s">
        <v>303</v>
      </c>
      <c r="E1490" s="6" t="s">
        <v>1524</v>
      </c>
      <c r="F1490" s="79">
        <v>44927</v>
      </c>
      <c r="G1490" s="6" t="s">
        <v>16</v>
      </c>
      <c r="H1490" s="6" t="s">
        <v>3467</v>
      </c>
      <c r="I1490" s="6">
        <v>1</v>
      </c>
      <c r="J1490" s="8">
        <v>24000</v>
      </c>
      <c r="K1490" s="8">
        <f t="shared" si="15"/>
        <v>274.85112230874944</v>
      </c>
      <c r="L1490" s="97">
        <v>44947</v>
      </c>
      <c r="M1490" s="6" t="s">
        <v>253</v>
      </c>
      <c r="N1490" s="97">
        <v>44949</v>
      </c>
      <c r="O1490" s="22" t="s">
        <v>6458</v>
      </c>
      <c r="Q1490" s="6" t="s">
        <v>356</v>
      </c>
      <c r="R1490" s="6" t="str">
        <f t="shared" ca="1" si="14"/>
        <v>NonCategory</v>
      </c>
    </row>
    <row r="1491" spans="1:18">
      <c r="A1491" s="162">
        <v>44947</v>
      </c>
      <c r="B1491" s="164" t="s">
        <v>3579</v>
      </c>
      <c r="C1491" s="168" t="s">
        <v>3580</v>
      </c>
      <c r="D1491" s="6" t="s">
        <v>1291</v>
      </c>
      <c r="E1491" s="6" t="s">
        <v>1524</v>
      </c>
      <c r="F1491" s="79">
        <v>44927</v>
      </c>
      <c r="G1491" s="6" t="s">
        <v>16</v>
      </c>
      <c r="H1491" s="6" t="s">
        <v>3467</v>
      </c>
      <c r="I1491" s="6">
        <v>1</v>
      </c>
      <c r="J1491" s="8">
        <v>24000</v>
      </c>
      <c r="K1491" s="8">
        <f t="shared" si="15"/>
        <v>274.85112230874944</v>
      </c>
      <c r="L1491" s="97">
        <v>44947</v>
      </c>
      <c r="M1491" s="6" t="s">
        <v>253</v>
      </c>
      <c r="N1491" s="97">
        <v>44949</v>
      </c>
      <c r="O1491" s="22" t="s">
        <v>6459</v>
      </c>
      <c r="Q1491" s="6" t="s">
        <v>356</v>
      </c>
      <c r="R1491" s="6" t="str">
        <f t="shared" ca="1" si="14"/>
        <v>NonCategory</v>
      </c>
    </row>
    <row r="1492" spans="1:18">
      <c r="A1492" s="162">
        <v>44948</v>
      </c>
      <c r="B1492" s="164" t="s">
        <v>3581</v>
      </c>
      <c r="C1492" s="168" t="s">
        <v>3582</v>
      </c>
      <c r="D1492" s="6" t="s">
        <v>278</v>
      </c>
      <c r="E1492" s="6" t="s">
        <v>96</v>
      </c>
      <c r="F1492" s="79">
        <v>44927</v>
      </c>
      <c r="G1492" s="6" t="s">
        <v>16</v>
      </c>
      <c r="H1492" s="6" t="s">
        <v>3583</v>
      </c>
      <c r="I1492" s="6">
        <v>1</v>
      </c>
      <c r="J1492" s="8">
        <v>20000</v>
      </c>
      <c r="K1492" s="8">
        <f t="shared" si="15"/>
        <v>229.04260192395787</v>
      </c>
      <c r="L1492" s="97">
        <v>44948</v>
      </c>
      <c r="M1492" s="6" t="s">
        <v>253</v>
      </c>
      <c r="N1492" s="97">
        <v>44948</v>
      </c>
      <c r="O1492" s="22" t="s">
        <v>6460</v>
      </c>
      <c r="P1492" s="6" t="s">
        <v>3584</v>
      </c>
      <c r="Q1492" s="6" t="s">
        <v>356</v>
      </c>
      <c r="R1492" s="6" t="str">
        <f t="shared" ca="1" si="14"/>
        <v>NonCategory</v>
      </c>
    </row>
    <row r="1493" spans="1:18">
      <c r="A1493" s="162">
        <v>44949</v>
      </c>
      <c r="B1493" s="164" t="s">
        <v>3585</v>
      </c>
      <c r="C1493" s="168" t="s">
        <v>3586</v>
      </c>
      <c r="D1493" s="6" t="s">
        <v>470</v>
      </c>
      <c r="E1493" s="6" t="s">
        <v>97</v>
      </c>
      <c r="F1493" s="79">
        <v>44927</v>
      </c>
      <c r="G1493" s="6" t="s">
        <v>16</v>
      </c>
      <c r="H1493" s="6" t="s">
        <v>3467</v>
      </c>
      <c r="I1493" s="6">
        <v>1</v>
      </c>
      <c r="J1493" s="8">
        <v>20000</v>
      </c>
      <c r="K1493" s="8">
        <f t="shared" si="15"/>
        <v>229.04260192395787</v>
      </c>
      <c r="L1493" s="97">
        <v>44949</v>
      </c>
      <c r="M1493" s="6" t="s">
        <v>253</v>
      </c>
      <c r="N1493" s="97">
        <v>44949</v>
      </c>
      <c r="O1493" s="22" t="s">
        <v>6461</v>
      </c>
      <c r="Q1493" s="6" t="s">
        <v>356</v>
      </c>
      <c r="R1493" s="6" t="str">
        <f t="shared" ca="1" si="14"/>
        <v>NonCategory</v>
      </c>
    </row>
    <row r="1494" spans="1:18">
      <c r="A1494" s="162">
        <v>44950</v>
      </c>
      <c r="B1494" s="164" t="s">
        <v>3587</v>
      </c>
      <c r="C1494" s="168" t="s">
        <v>3588</v>
      </c>
      <c r="D1494" s="6" t="s">
        <v>303</v>
      </c>
      <c r="E1494" s="6" t="s">
        <v>1524</v>
      </c>
      <c r="F1494" s="79">
        <v>44927</v>
      </c>
      <c r="G1494" s="6" t="s">
        <v>16</v>
      </c>
      <c r="H1494" s="6" t="s">
        <v>3467</v>
      </c>
      <c r="I1494" s="6">
        <v>1</v>
      </c>
      <c r="J1494" s="8">
        <v>24000</v>
      </c>
      <c r="K1494" s="8">
        <f t="shared" si="15"/>
        <v>274.85112230874944</v>
      </c>
      <c r="L1494" s="97">
        <v>44950</v>
      </c>
      <c r="M1494" s="6" t="s">
        <v>253</v>
      </c>
      <c r="N1494" s="97">
        <v>44950</v>
      </c>
      <c r="O1494" s="22" t="s">
        <v>6462</v>
      </c>
      <c r="Q1494" s="6" t="s">
        <v>356</v>
      </c>
      <c r="R1494" s="6" t="str">
        <f t="shared" ca="1" si="14"/>
        <v>NonCategory</v>
      </c>
    </row>
    <row r="1495" spans="1:18">
      <c r="A1495" s="162">
        <v>44950</v>
      </c>
      <c r="B1495" s="164" t="s">
        <v>3589</v>
      </c>
      <c r="C1495" s="168" t="s">
        <v>3590</v>
      </c>
      <c r="D1495" s="6" t="s">
        <v>319</v>
      </c>
      <c r="E1495" s="6" t="s">
        <v>1524</v>
      </c>
      <c r="F1495" s="79">
        <v>44927</v>
      </c>
      <c r="G1495" s="6" t="s">
        <v>16</v>
      </c>
      <c r="H1495" s="6" t="s">
        <v>3467</v>
      </c>
      <c r="I1495" s="6">
        <v>1</v>
      </c>
      <c r="J1495" s="8">
        <v>24000</v>
      </c>
      <c r="K1495" s="8">
        <f t="shared" si="15"/>
        <v>274.85112230874944</v>
      </c>
      <c r="L1495" s="97">
        <v>44950</v>
      </c>
      <c r="M1495" s="6" t="s">
        <v>253</v>
      </c>
      <c r="N1495" s="97">
        <v>44950</v>
      </c>
      <c r="O1495" s="22" t="s">
        <v>6463</v>
      </c>
      <c r="Q1495" s="6" t="s">
        <v>356</v>
      </c>
      <c r="R1495" s="6" t="str">
        <f t="shared" ca="1" si="14"/>
        <v>NonCategory</v>
      </c>
    </row>
    <row r="1496" spans="1:18">
      <c r="A1496" s="162">
        <v>44950</v>
      </c>
      <c r="B1496" s="164" t="s">
        <v>3591</v>
      </c>
      <c r="C1496" s="168" t="s">
        <v>3592</v>
      </c>
      <c r="D1496" s="6" t="s">
        <v>278</v>
      </c>
      <c r="E1496" s="6" t="s">
        <v>1524</v>
      </c>
      <c r="F1496" s="79">
        <v>44927</v>
      </c>
      <c r="G1496" s="6" t="s">
        <v>16</v>
      </c>
      <c r="H1496" s="6" t="s">
        <v>3467</v>
      </c>
      <c r="I1496" s="6">
        <v>1</v>
      </c>
      <c r="J1496" s="8">
        <v>24000</v>
      </c>
      <c r="K1496" s="8">
        <f t="shared" si="15"/>
        <v>274.85112230874944</v>
      </c>
      <c r="L1496" s="97">
        <v>44950</v>
      </c>
      <c r="M1496" s="6" t="s">
        <v>253</v>
      </c>
      <c r="N1496" s="97">
        <v>44950</v>
      </c>
      <c r="O1496" s="22" t="s">
        <v>6464</v>
      </c>
      <c r="P1496" s="6" t="s">
        <v>3593</v>
      </c>
      <c r="Q1496" s="6" t="s">
        <v>356</v>
      </c>
      <c r="R1496" s="6" t="str">
        <f t="shared" ca="1" si="14"/>
        <v>NonCategory</v>
      </c>
    </row>
    <row r="1497" spans="1:18">
      <c r="A1497" s="162">
        <v>44951</v>
      </c>
      <c r="B1497" s="164" t="s">
        <v>3594</v>
      </c>
      <c r="C1497" s="168" t="s">
        <v>3595</v>
      </c>
      <c r="D1497" s="6" t="s">
        <v>278</v>
      </c>
      <c r="E1497" s="6" t="s">
        <v>1524</v>
      </c>
      <c r="F1497" s="79">
        <v>44927</v>
      </c>
      <c r="G1497" s="6" t="s">
        <v>16</v>
      </c>
      <c r="H1497" s="6" t="s">
        <v>3540</v>
      </c>
      <c r="I1497" s="6">
        <v>1</v>
      </c>
      <c r="J1497" s="8">
        <v>24000</v>
      </c>
      <c r="K1497" s="8">
        <f t="shared" si="15"/>
        <v>274.85112230874944</v>
      </c>
      <c r="L1497" s="97">
        <v>44951</v>
      </c>
      <c r="M1497" s="6" t="s">
        <v>253</v>
      </c>
      <c r="N1497" s="97">
        <v>44951</v>
      </c>
      <c r="O1497" s="22" t="s">
        <v>6465</v>
      </c>
      <c r="P1497" s="6" t="s">
        <v>3584</v>
      </c>
      <c r="Q1497" s="6" t="s">
        <v>356</v>
      </c>
      <c r="R1497" s="6" t="str">
        <f t="shared" ca="1" si="14"/>
        <v>NonCategory</v>
      </c>
    </row>
    <row r="1498" spans="1:18">
      <c r="A1498" s="162">
        <v>44951</v>
      </c>
      <c r="B1498" s="164" t="s">
        <v>3596</v>
      </c>
      <c r="C1498" s="168" t="s">
        <v>19</v>
      </c>
      <c r="D1498" s="6" t="s">
        <v>278</v>
      </c>
      <c r="E1498" s="6" t="s">
        <v>151</v>
      </c>
      <c r="F1498" s="79">
        <v>44927</v>
      </c>
      <c r="G1498" s="6" t="s">
        <v>16</v>
      </c>
      <c r="H1498" s="6" t="s">
        <v>3467</v>
      </c>
      <c r="I1498" s="6">
        <v>1</v>
      </c>
      <c r="J1498" s="8">
        <v>21000</v>
      </c>
      <c r="K1498" s="8">
        <f t="shared" si="15"/>
        <v>240.49473202015577</v>
      </c>
      <c r="L1498" s="97">
        <v>44951</v>
      </c>
      <c r="M1498" s="6" t="s">
        <v>253</v>
      </c>
      <c r="N1498" s="97">
        <v>44951</v>
      </c>
      <c r="O1498" s="22" t="s">
        <v>6466</v>
      </c>
      <c r="P1498" s="6" t="s">
        <v>3345</v>
      </c>
      <c r="Q1498" s="6" t="s">
        <v>356</v>
      </c>
      <c r="R1498" s="6" t="str">
        <f t="shared" ca="1" si="14"/>
        <v>NonCategory</v>
      </c>
    </row>
    <row r="1499" spans="1:18">
      <c r="A1499" s="162">
        <v>44951</v>
      </c>
      <c r="B1499" s="164" t="s">
        <v>3597</v>
      </c>
      <c r="C1499" s="168" t="s">
        <v>3598</v>
      </c>
      <c r="D1499" s="6" t="s">
        <v>278</v>
      </c>
      <c r="E1499" s="6" t="s">
        <v>1524</v>
      </c>
      <c r="F1499" s="79">
        <v>44927</v>
      </c>
      <c r="G1499" s="6" t="s">
        <v>13</v>
      </c>
      <c r="H1499" s="6" t="s">
        <v>3467</v>
      </c>
      <c r="I1499" s="6">
        <v>1</v>
      </c>
      <c r="J1499" s="8">
        <v>24000</v>
      </c>
      <c r="K1499" s="8"/>
      <c r="L1499" s="97">
        <v>44951</v>
      </c>
      <c r="P1499" s="6" t="s">
        <v>3335</v>
      </c>
      <c r="R1499" s="6" t="str">
        <f t="shared" ca="1" si="14"/>
        <v>NonCategory</v>
      </c>
    </row>
    <row r="1500" spans="1:18">
      <c r="A1500" s="162">
        <v>44952</v>
      </c>
      <c r="B1500" s="164" t="s">
        <v>3599</v>
      </c>
      <c r="C1500" s="168" t="s">
        <v>3600</v>
      </c>
      <c r="D1500" s="6" t="s">
        <v>291</v>
      </c>
      <c r="E1500" s="6" t="s">
        <v>151</v>
      </c>
      <c r="F1500" s="79">
        <v>44927</v>
      </c>
      <c r="G1500" s="6" t="s">
        <v>16</v>
      </c>
      <c r="H1500" s="6" t="s">
        <v>3467</v>
      </c>
      <c r="I1500" s="6">
        <v>1</v>
      </c>
      <c r="J1500" s="8">
        <v>21000</v>
      </c>
      <c r="K1500" s="8">
        <f t="shared" ref="K1500:K1682" si="16">IFERROR((($J1500/1.18))/74,"")</f>
        <v>240.49473202015577</v>
      </c>
      <c r="L1500" s="97">
        <v>44952</v>
      </c>
      <c r="M1500" s="6" t="s">
        <v>253</v>
      </c>
      <c r="N1500" s="97">
        <v>44952</v>
      </c>
      <c r="O1500" s="22" t="s">
        <v>6467</v>
      </c>
      <c r="Q1500" s="6" t="s">
        <v>356</v>
      </c>
      <c r="R1500" s="6" t="str">
        <f t="shared" ca="1" si="14"/>
        <v>NonCategory</v>
      </c>
    </row>
    <row r="1501" spans="1:18">
      <c r="A1501" s="162">
        <v>44953</v>
      </c>
      <c r="B1501" s="164" t="s">
        <v>3428</v>
      </c>
      <c r="C1501" s="168" t="s">
        <v>3601</v>
      </c>
      <c r="D1501" s="6" t="s">
        <v>278</v>
      </c>
      <c r="E1501" s="6" t="s">
        <v>96</v>
      </c>
      <c r="F1501" s="79">
        <v>44927</v>
      </c>
      <c r="G1501" s="6" t="s">
        <v>13</v>
      </c>
      <c r="H1501" s="6" t="s">
        <v>3467</v>
      </c>
      <c r="I1501" s="6">
        <v>1</v>
      </c>
      <c r="J1501" s="8">
        <v>20000</v>
      </c>
      <c r="K1501" s="8">
        <f t="shared" si="16"/>
        <v>229.04260192395787</v>
      </c>
      <c r="L1501" s="97">
        <v>44953</v>
      </c>
      <c r="N1501" s="97"/>
      <c r="R1501" s="6" t="str">
        <f t="shared" ca="1" si="14"/>
        <v>NonCategory</v>
      </c>
    </row>
    <row r="1502" spans="1:18">
      <c r="A1502" s="162">
        <v>44953</v>
      </c>
      <c r="B1502" s="164" t="s">
        <v>3602</v>
      </c>
      <c r="C1502" s="168" t="s">
        <v>3603</v>
      </c>
      <c r="D1502" s="6" t="s">
        <v>287</v>
      </c>
      <c r="E1502" s="6" t="s">
        <v>151</v>
      </c>
      <c r="F1502" s="79">
        <v>44927</v>
      </c>
      <c r="G1502" s="6" t="s">
        <v>16</v>
      </c>
      <c r="H1502" s="6" t="s">
        <v>3467</v>
      </c>
      <c r="I1502" s="6">
        <v>1</v>
      </c>
      <c r="J1502" s="8">
        <v>21000</v>
      </c>
      <c r="K1502" s="8">
        <f t="shared" si="16"/>
        <v>240.49473202015577</v>
      </c>
      <c r="L1502" s="97">
        <v>44953</v>
      </c>
      <c r="M1502" s="6" t="s">
        <v>253</v>
      </c>
      <c r="N1502" s="97">
        <v>44953</v>
      </c>
      <c r="O1502" s="22" t="s">
        <v>6468</v>
      </c>
      <c r="Q1502" s="6" t="s">
        <v>356</v>
      </c>
      <c r="R1502" s="6" t="str">
        <f t="shared" ca="1" si="14"/>
        <v>NonCategory</v>
      </c>
    </row>
    <row r="1503" spans="1:18">
      <c r="A1503" s="162">
        <v>44953</v>
      </c>
      <c r="B1503" s="164" t="s">
        <v>3604</v>
      </c>
      <c r="C1503" s="168" t="s">
        <v>3605</v>
      </c>
      <c r="D1503" s="6" t="s">
        <v>303</v>
      </c>
      <c r="E1503" s="6" t="s">
        <v>151</v>
      </c>
      <c r="F1503" s="79">
        <v>44927</v>
      </c>
      <c r="G1503" s="6" t="s">
        <v>16</v>
      </c>
      <c r="H1503" s="6" t="s">
        <v>3491</v>
      </c>
      <c r="I1503" s="6">
        <v>1</v>
      </c>
      <c r="J1503" s="8">
        <v>21000</v>
      </c>
      <c r="K1503" s="8">
        <f t="shared" si="16"/>
        <v>240.49473202015577</v>
      </c>
      <c r="L1503" s="97">
        <v>44953</v>
      </c>
      <c r="M1503" s="6" t="s">
        <v>253</v>
      </c>
      <c r="N1503" s="97">
        <v>44953</v>
      </c>
      <c r="O1503" s="22" t="s">
        <v>6469</v>
      </c>
      <c r="Q1503" s="6" t="s">
        <v>356</v>
      </c>
      <c r="R1503" s="6" t="str">
        <f t="shared" ca="1" si="14"/>
        <v>NonCategory</v>
      </c>
    </row>
    <row r="1504" spans="1:18">
      <c r="A1504" s="162">
        <v>44953</v>
      </c>
      <c r="B1504" s="164" t="s">
        <v>3606</v>
      </c>
      <c r="C1504" s="168" t="s">
        <v>3607</v>
      </c>
      <c r="D1504" s="6" t="s">
        <v>278</v>
      </c>
      <c r="E1504" s="6" t="s">
        <v>151</v>
      </c>
      <c r="F1504" s="79">
        <v>44927</v>
      </c>
      <c r="G1504" s="6" t="s">
        <v>16</v>
      </c>
      <c r="H1504" s="6" t="s">
        <v>3491</v>
      </c>
      <c r="I1504" s="6">
        <v>1</v>
      </c>
      <c r="J1504" s="8">
        <v>21000</v>
      </c>
      <c r="K1504" s="8">
        <f t="shared" si="16"/>
        <v>240.49473202015577</v>
      </c>
      <c r="L1504" s="97">
        <v>44953</v>
      </c>
      <c r="M1504" s="6" t="s">
        <v>253</v>
      </c>
      <c r="N1504" s="97">
        <v>44953</v>
      </c>
      <c r="O1504" s="22" t="s">
        <v>6470</v>
      </c>
      <c r="P1504" s="6" t="s">
        <v>3608</v>
      </c>
      <c r="Q1504" s="6" t="s">
        <v>356</v>
      </c>
      <c r="R1504" s="6" t="str">
        <f t="shared" ca="1" si="14"/>
        <v>NonCategory</v>
      </c>
    </row>
    <row r="1505" spans="1:18">
      <c r="A1505" s="162">
        <v>44953</v>
      </c>
      <c r="B1505" s="164" t="s">
        <v>3609</v>
      </c>
      <c r="C1505" s="168" t="s">
        <v>3610</v>
      </c>
      <c r="D1505" s="6" t="s">
        <v>287</v>
      </c>
      <c r="E1505" s="6" t="s">
        <v>25</v>
      </c>
      <c r="F1505" s="79">
        <v>44927</v>
      </c>
      <c r="G1505" s="6" t="s">
        <v>16</v>
      </c>
      <c r="H1505" s="6" t="s">
        <v>3535</v>
      </c>
      <c r="I1505" s="6">
        <v>1</v>
      </c>
      <c r="J1505" s="8">
        <v>40061</v>
      </c>
      <c r="K1505" s="8">
        <f t="shared" si="16"/>
        <v>458.7837837837838</v>
      </c>
      <c r="L1505" s="97">
        <v>44953</v>
      </c>
      <c r="M1505" s="6" t="s">
        <v>253</v>
      </c>
      <c r="N1505" s="97">
        <v>44953</v>
      </c>
      <c r="O1505" s="22" t="s">
        <v>6471</v>
      </c>
      <c r="Q1505" s="6" t="s">
        <v>356</v>
      </c>
      <c r="R1505" s="6" t="str">
        <f t="shared" ca="1" si="14"/>
        <v>NonCategory</v>
      </c>
    </row>
    <row r="1506" spans="1:18">
      <c r="A1506" s="162">
        <v>44957</v>
      </c>
      <c r="B1506" s="164" t="s">
        <v>3611</v>
      </c>
      <c r="C1506" s="168" t="s">
        <v>3612</v>
      </c>
      <c r="D1506" s="6" t="s">
        <v>278</v>
      </c>
      <c r="E1506" s="6" t="s">
        <v>1715</v>
      </c>
      <c r="F1506" s="79">
        <v>44958</v>
      </c>
      <c r="G1506" s="6" t="s">
        <v>16</v>
      </c>
      <c r="H1506" s="97">
        <v>44961</v>
      </c>
      <c r="I1506" s="6">
        <v>1</v>
      </c>
      <c r="J1506" s="8">
        <v>21200</v>
      </c>
      <c r="K1506" s="8">
        <f t="shared" si="16"/>
        <v>242.78515803939533</v>
      </c>
      <c r="L1506" s="97">
        <v>44957</v>
      </c>
      <c r="M1506" s="6" t="s">
        <v>251</v>
      </c>
      <c r="N1506" s="97">
        <v>44958</v>
      </c>
      <c r="O1506" s="22" t="s">
        <v>6472</v>
      </c>
      <c r="P1506" s="6" t="s">
        <v>3613</v>
      </c>
      <c r="Q1506" s="6" t="s">
        <v>356</v>
      </c>
      <c r="R1506" s="6" t="str">
        <f t="shared" ca="1" si="14"/>
        <v>NonCategory</v>
      </c>
    </row>
    <row r="1507" spans="1:18">
      <c r="A1507" s="162">
        <v>44957</v>
      </c>
      <c r="B1507" s="164" t="s">
        <v>3614</v>
      </c>
      <c r="C1507" s="168" t="s">
        <v>3615</v>
      </c>
      <c r="D1507" s="6" t="s">
        <v>278</v>
      </c>
      <c r="E1507" s="6" t="s">
        <v>151</v>
      </c>
      <c r="F1507" s="79">
        <v>44927</v>
      </c>
      <c r="G1507" s="6" t="s">
        <v>16</v>
      </c>
      <c r="H1507" s="6" t="s">
        <v>3491</v>
      </c>
      <c r="I1507" s="6">
        <v>1</v>
      </c>
      <c r="J1507" s="8">
        <v>21000</v>
      </c>
      <c r="K1507" s="8">
        <f t="shared" si="16"/>
        <v>240.49473202015577</v>
      </c>
      <c r="L1507" s="97">
        <v>44957</v>
      </c>
      <c r="M1507" s="6" t="s">
        <v>253</v>
      </c>
      <c r="N1507" s="97">
        <v>44957</v>
      </c>
      <c r="O1507" s="22" t="s">
        <v>6473</v>
      </c>
      <c r="P1507" s="6" t="s">
        <v>3616</v>
      </c>
      <c r="Q1507" s="6" t="s">
        <v>356</v>
      </c>
      <c r="R1507" s="6" t="str">
        <f t="shared" ca="1" si="14"/>
        <v>NonCategory</v>
      </c>
    </row>
    <row r="1508" spans="1:18">
      <c r="A1508" s="162">
        <v>44957</v>
      </c>
      <c r="B1508" s="164" t="s">
        <v>132</v>
      </c>
      <c r="C1508" s="168" t="s">
        <v>136</v>
      </c>
      <c r="D1508" s="6" t="s">
        <v>470</v>
      </c>
      <c r="E1508" s="6" t="s">
        <v>73</v>
      </c>
      <c r="F1508" s="79">
        <v>44927</v>
      </c>
      <c r="G1508" s="6" t="s">
        <v>16</v>
      </c>
      <c r="H1508" s="6" t="s">
        <v>3617</v>
      </c>
      <c r="I1508" s="6">
        <v>1</v>
      </c>
      <c r="J1508" s="8">
        <v>690000</v>
      </c>
      <c r="K1508" s="8">
        <f t="shared" si="16"/>
        <v>7901.9697663765464</v>
      </c>
      <c r="L1508" s="97">
        <v>44953</v>
      </c>
      <c r="M1508" s="6" t="s">
        <v>253</v>
      </c>
      <c r="N1508" s="97">
        <v>44957</v>
      </c>
      <c r="O1508" s="20" t="s">
        <v>3618</v>
      </c>
      <c r="Q1508" s="6" t="s">
        <v>356</v>
      </c>
      <c r="R1508" s="6" t="str">
        <f t="shared" ca="1" si="14"/>
        <v>NonCategory</v>
      </c>
    </row>
    <row r="1509" spans="1:18">
      <c r="A1509" s="162">
        <v>44957</v>
      </c>
      <c r="B1509" s="164" t="s">
        <v>3619</v>
      </c>
      <c r="C1509" s="168" t="s">
        <v>3620</v>
      </c>
      <c r="D1509" s="6" t="s">
        <v>319</v>
      </c>
      <c r="E1509" s="6" t="s">
        <v>6</v>
      </c>
      <c r="F1509" s="79">
        <v>44927</v>
      </c>
      <c r="G1509" s="6" t="s">
        <v>16</v>
      </c>
      <c r="H1509" s="6" t="s">
        <v>3535</v>
      </c>
      <c r="I1509" s="6">
        <v>1</v>
      </c>
      <c r="J1509" s="8">
        <v>40061</v>
      </c>
      <c r="K1509" s="8">
        <f t="shared" si="16"/>
        <v>458.7837837837838</v>
      </c>
      <c r="L1509" s="97">
        <v>44957</v>
      </c>
      <c r="M1509" s="6" t="s">
        <v>253</v>
      </c>
      <c r="N1509" s="97">
        <v>44957</v>
      </c>
      <c r="O1509" s="22" t="s">
        <v>6474</v>
      </c>
      <c r="Q1509" s="6" t="s">
        <v>356</v>
      </c>
      <c r="R1509" s="6" t="str">
        <f t="shared" ca="1" si="14"/>
        <v>NonCategory</v>
      </c>
    </row>
    <row r="1510" spans="1:18">
      <c r="A1510" s="162">
        <v>44958</v>
      </c>
      <c r="B1510" s="164" t="s">
        <v>3621</v>
      </c>
      <c r="C1510" s="168" t="s">
        <v>3622</v>
      </c>
      <c r="D1510" s="6" t="s">
        <v>287</v>
      </c>
      <c r="E1510" s="6" t="s">
        <v>25</v>
      </c>
      <c r="F1510" s="79">
        <v>44958</v>
      </c>
      <c r="G1510" s="6" t="s">
        <v>16</v>
      </c>
      <c r="H1510" s="6" t="s">
        <v>3540</v>
      </c>
      <c r="I1510" s="6">
        <v>1</v>
      </c>
      <c r="J1510" s="8">
        <v>42000</v>
      </c>
      <c r="K1510" s="8">
        <f t="shared" si="16"/>
        <v>480.98946404031153</v>
      </c>
      <c r="L1510" s="97">
        <v>44958</v>
      </c>
      <c r="M1510" s="6" t="s">
        <v>251</v>
      </c>
      <c r="N1510" s="97">
        <v>44958</v>
      </c>
      <c r="O1510" s="22" t="s">
        <v>6475</v>
      </c>
      <c r="Q1510" s="6" t="s">
        <v>356</v>
      </c>
      <c r="R1510" s="6" t="str">
        <f t="shared" ca="1" si="14"/>
        <v>NonCategory</v>
      </c>
    </row>
    <row r="1511" spans="1:18">
      <c r="A1511" s="162">
        <v>44958</v>
      </c>
      <c r="B1511" s="164" t="s">
        <v>3623</v>
      </c>
      <c r="C1511" s="168" t="s">
        <v>3624</v>
      </c>
      <c r="D1511" s="6" t="s">
        <v>291</v>
      </c>
      <c r="E1511" s="6" t="s">
        <v>96</v>
      </c>
      <c r="F1511" s="79">
        <v>44958</v>
      </c>
      <c r="G1511" s="6" t="s">
        <v>16</v>
      </c>
      <c r="H1511" s="6" t="s">
        <v>3540</v>
      </c>
      <c r="I1511" s="6">
        <v>1</v>
      </c>
      <c r="J1511" s="8">
        <v>20000</v>
      </c>
      <c r="K1511" s="8">
        <f t="shared" si="16"/>
        <v>229.04260192395787</v>
      </c>
      <c r="L1511" s="97">
        <v>44958</v>
      </c>
      <c r="M1511" s="6" t="s">
        <v>251</v>
      </c>
      <c r="N1511" s="97">
        <v>44958</v>
      </c>
      <c r="O1511" s="22" t="s">
        <v>6476</v>
      </c>
      <c r="Q1511" s="6" t="s">
        <v>356</v>
      </c>
      <c r="R1511" s="6" t="str">
        <f t="shared" ca="1" si="14"/>
        <v>NonCategory</v>
      </c>
    </row>
    <row r="1512" spans="1:18">
      <c r="A1512" s="162">
        <v>44958</v>
      </c>
      <c r="B1512" s="164" t="s">
        <v>3625</v>
      </c>
      <c r="C1512" s="168" t="s">
        <v>3626</v>
      </c>
      <c r="D1512" s="6" t="s">
        <v>306</v>
      </c>
      <c r="E1512" s="6" t="s">
        <v>1524</v>
      </c>
      <c r="F1512" s="79">
        <v>44958</v>
      </c>
      <c r="G1512" s="6" t="s">
        <v>13</v>
      </c>
      <c r="H1512" s="6" t="s">
        <v>3540</v>
      </c>
      <c r="I1512" s="6">
        <v>1</v>
      </c>
      <c r="J1512" s="8">
        <v>24000</v>
      </c>
      <c r="K1512" s="8">
        <f t="shared" si="16"/>
        <v>274.85112230874944</v>
      </c>
      <c r="L1512" s="97">
        <v>44958</v>
      </c>
      <c r="R1512" s="6" t="str">
        <f t="shared" ca="1" si="14"/>
        <v>NonCategory</v>
      </c>
    </row>
    <row r="1513" spans="1:18">
      <c r="A1513" s="162">
        <v>44959</v>
      </c>
      <c r="B1513" s="164" t="s">
        <v>3555</v>
      </c>
      <c r="C1513" s="168" t="s">
        <v>3556</v>
      </c>
      <c r="D1513" s="6" t="s">
        <v>3500</v>
      </c>
      <c r="E1513" s="6" t="s">
        <v>150</v>
      </c>
      <c r="F1513" s="79">
        <v>44958</v>
      </c>
      <c r="G1513" s="6" t="s">
        <v>16</v>
      </c>
      <c r="H1513" s="6" t="s">
        <v>3535</v>
      </c>
      <c r="I1513" s="6">
        <v>1</v>
      </c>
      <c r="J1513" s="8">
        <v>21000</v>
      </c>
      <c r="K1513" s="8">
        <f t="shared" si="16"/>
        <v>240.49473202015577</v>
      </c>
      <c r="L1513" s="97">
        <v>44959</v>
      </c>
      <c r="M1513" s="6" t="s">
        <v>251</v>
      </c>
      <c r="N1513" s="97">
        <v>44959</v>
      </c>
      <c r="O1513" s="22" t="s">
        <v>6477</v>
      </c>
      <c r="Q1513" s="6" t="s">
        <v>356</v>
      </c>
      <c r="R1513" s="6" t="str">
        <f t="shared" ca="1" si="14"/>
        <v>NonCategory</v>
      </c>
    </row>
    <row r="1514" spans="1:18">
      <c r="A1514" s="162">
        <v>44959</v>
      </c>
      <c r="B1514" s="164" t="s">
        <v>3627</v>
      </c>
      <c r="C1514" s="168" t="s">
        <v>3628</v>
      </c>
      <c r="D1514" s="6" t="s">
        <v>319</v>
      </c>
      <c r="E1514" s="6" t="s">
        <v>195</v>
      </c>
      <c r="F1514" s="79">
        <v>44958</v>
      </c>
      <c r="G1514" s="6" t="s">
        <v>16</v>
      </c>
      <c r="H1514" s="6" t="s">
        <v>3629</v>
      </c>
      <c r="I1514" s="6">
        <v>1</v>
      </c>
      <c r="J1514" s="8">
        <v>31000</v>
      </c>
      <c r="K1514" s="8">
        <f t="shared" si="16"/>
        <v>355.01603298213467</v>
      </c>
      <c r="L1514" s="97">
        <v>44959</v>
      </c>
      <c r="M1514" s="6" t="s">
        <v>251</v>
      </c>
      <c r="N1514" s="97">
        <v>44959</v>
      </c>
      <c r="O1514" s="22" t="s">
        <v>6478</v>
      </c>
      <c r="Q1514" s="6" t="s">
        <v>356</v>
      </c>
      <c r="R1514" s="6" t="str">
        <f t="shared" ca="1" si="14"/>
        <v>NonCategory</v>
      </c>
    </row>
    <row r="1515" spans="1:18">
      <c r="A1515" s="162">
        <v>44959</v>
      </c>
      <c r="B1515" s="164" t="s">
        <v>3630</v>
      </c>
      <c r="C1515" s="168" t="s">
        <v>3631</v>
      </c>
      <c r="D1515" s="6" t="s">
        <v>306</v>
      </c>
      <c r="E1515" s="6" t="s">
        <v>25</v>
      </c>
      <c r="F1515" s="79">
        <v>44958</v>
      </c>
      <c r="G1515" s="6" t="s">
        <v>16</v>
      </c>
      <c r="H1515" s="6" t="s">
        <v>3535</v>
      </c>
      <c r="I1515" s="6">
        <v>1</v>
      </c>
      <c r="J1515" s="8">
        <v>40061</v>
      </c>
      <c r="K1515" s="8">
        <f t="shared" si="16"/>
        <v>458.7837837837838</v>
      </c>
      <c r="L1515" s="97">
        <v>44959</v>
      </c>
      <c r="M1515" s="6" t="s">
        <v>251</v>
      </c>
      <c r="N1515" s="97">
        <v>44959</v>
      </c>
      <c r="O1515" s="22" t="s">
        <v>6479</v>
      </c>
      <c r="Q1515" s="6" t="s">
        <v>356</v>
      </c>
      <c r="R1515" s="6" t="str">
        <f t="shared" ca="1" si="14"/>
        <v>NonCategory</v>
      </c>
    </row>
    <row r="1516" spans="1:18">
      <c r="A1516" s="162">
        <v>44960</v>
      </c>
      <c r="B1516" s="164" t="s">
        <v>3632</v>
      </c>
      <c r="C1516" s="168" t="s">
        <v>3633</v>
      </c>
      <c r="D1516" s="6" t="s">
        <v>306</v>
      </c>
      <c r="E1516" s="6" t="s">
        <v>150</v>
      </c>
      <c r="F1516" s="79">
        <v>44958</v>
      </c>
      <c r="G1516" s="6" t="s">
        <v>16</v>
      </c>
      <c r="H1516" s="6" t="s">
        <v>3491</v>
      </c>
      <c r="I1516" s="6">
        <v>1</v>
      </c>
      <c r="J1516" s="8">
        <v>21000</v>
      </c>
      <c r="K1516" s="8">
        <f t="shared" si="16"/>
        <v>240.49473202015577</v>
      </c>
      <c r="L1516" s="97">
        <v>44960</v>
      </c>
      <c r="M1516" s="6" t="s">
        <v>251</v>
      </c>
      <c r="N1516" s="97">
        <v>44960</v>
      </c>
      <c r="O1516" s="22" t="s">
        <v>6480</v>
      </c>
      <c r="Q1516" s="6" t="s">
        <v>356</v>
      </c>
      <c r="R1516" s="6" t="str">
        <f t="shared" ca="1" si="14"/>
        <v>NonCategory</v>
      </c>
    </row>
    <row r="1517" spans="1:18">
      <c r="A1517" s="162">
        <v>44960</v>
      </c>
      <c r="B1517" s="164" t="s">
        <v>3634</v>
      </c>
      <c r="C1517" s="168" t="s">
        <v>3635</v>
      </c>
      <c r="D1517" s="6" t="s">
        <v>319</v>
      </c>
      <c r="E1517" s="6" t="s">
        <v>151</v>
      </c>
      <c r="F1517" s="79">
        <v>44958</v>
      </c>
      <c r="G1517" s="6" t="s">
        <v>16</v>
      </c>
      <c r="H1517" s="6" t="s">
        <v>3535</v>
      </c>
      <c r="I1517" s="6">
        <v>1</v>
      </c>
      <c r="J1517" s="8">
        <v>21000</v>
      </c>
      <c r="K1517" s="8">
        <f t="shared" si="16"/>
        <v>240.49473202015577</v>
      </c>
      <c r="L1517" s="97">
        <v>44960</v>
      </c>
      <c r="M1517" s="6" t="s">
        <v>251</v>
      </c>
      <c r="N1517" s="97">
        <v>44960</v>
      </c>
      <c r="O1517" s="22" t="s">
        <v>6481</v>
      </c>
      <c r="Q1517" s="6" t="s">
        <v>356</v>
      </c>
      <c r="R1517" s="6" t="str">
        <f t="shared" ca="1" si="14"/>
        <v>NonCategory</v>
      </c>
    </row>
    <row r="1518" spans="1:18">
      <c r="A1518" s="162">
        <v>44960</v>
      </c>
      <c r="B1518" s="164" t="s">
        <v>3636</v>
      </c>
      <c r="C1518" s="168" t="s">
        <v>3637</v>
      </c>
      <c r="D1518" s="6" t="s">
        <v>470</v>
      </c>
      <c r="E1518" s="6" t="s">
        <v>3638</v>
      </c>
      <c r="F1518" s="79">
        <v>44958</v>
      </c>
      <c r="G1518" s="6" t="s">
        <v>13</v>
      </c>
      <c r="H1518" s="6" t="s">
        <v>21</v>
      </c>
      <c r="I1518" s="6">
        <v>1</v>
      </c>
      <c r="J1518" s="8">
        <v>31146</v>
      </c>
      <c r="K1518" s="8">
        <f t="shared" si="16"/>
        <v>356.68804397617959</v>
      </c>
      <c r="L1518" s="97">
        <v>44960</v>
      </c>
      <c r="R1518" s="6" t="str">
        <f t="shared" ca="1" si="14"/>
        <v>NonCategory</v>
      </c>
    </row>
    <row r="1519" spans="1:18">
      <c r="A1519" s="162">
        <v>44961</v>
      </c>
      <c r="B1519" s="164" t="s">
        <v>3639</v>
      </c>
      <c r="C1519" s="168" t="s">
        <v>3640</v>
      </c>
      <c r="D1519" s="6" t="s">
        <v>278</v>
      </c>
      <c r="E1519" s="6" t="s">
        <v>1524</v>
      </c>
      <c r="F1519" s="79">
        <v>44958</v>
      </c>
      <c r="G1519" s="6" t="s">
        <v>16</v>
      </c>
      <c r="H1519" s="6" t="s">
        <v>3540</v>
      </c>
      <c r="I1519" s="6">
        <v>1</v>
      </c>
      <c r="J1519" s="8">
        <v>24000</v>
      </c>
      <c r="K1519" s="8">
        <f t="shared" si="16"/>
        <v>274.85112230874944</v>
      </c>
      <c r="L1519" s="97">
        <v>44961</v>
      </c>
      <c r="M1519" s="6" t="s">
        <v>251</v>
      </c>
      <c r="N1519" s="97">
        <v>44961</v>
      </c>
      <c r="O1519" s="22" t="s">
        <v>6482</v>
      </c>
      <c r="P1519" s="6" t="s">
        <v>3641</v>
      </c>
      <c r="Q1519" s="6" t="s">
        <v>356</v>
      </c>
      <c r="R1519" s="6" t="str">
        <f t="shared" ca="1" si="14"/>
        <v>NonCategory</v>
      </c>
    </row>
    <row r="1520" spans="1:18">
      <c r="A1520" s="162">
        <v>44963</v>
      </c>
      <c r="B1520" s="164" t="s">
        <v>3101</v>
      </c>
      <c r="C1520" s="168" t="s">
        <v>3642</v>
      </c>
      <c r="D1520" s="6" t="s">
        <v>278</v>
      </c>
      <c r="E1520" s="6" t="s">
        <v>25</v>
      </c>
      <c r="F1520" s="79">
        <v>44958</v>
      </c>
      <c r="G1520" s="6" t="s">
        <v>16</v>
      </c>
      <c r="H1520" s="6" t="s">
        <v>3491</v>
      </c>
      <c r="I1520" s="6">
        <v>1</v>
      </c>
      <c r="J1520" s="8">
        <v>41000</v>
      </c>
      <c r="K1520" s="8">
        <f t="shared" si="16"/>
        <v>469.53733394411364</v>
      </c>
      <c r="L1520" s="97">
        <v>44963</v>
      </c>
      <c r="M1520" s="6" t="s">
        <v>251</v>
      </c>
      <c r="N1520" s="97">
        <v>44963</v>
      </c>
      <c r="O1520" s="22" t="s">
        <v>6483</v>
      </c>
      <c r="Q1520" s="6" t="s">
        <v>356</v>
      </c>
      <c r="R1520" s="6" t="str">
        <f t="shared" ca="1" si="14"/>
        <v>NonCategory</v>
      </c>
    </row>
    <row r="1521" spans="1:18">
      <c r="A1521" s="162">
        <v>44963</v>
      </c>
      <c r="B1521" s="164" t="s">
        <v>3643</v>
      </c>
      <c r="C1521" s="168" t="s">
        <v>3644</v>
      </c>
      <c r="D1521" s="6" t="s">
        <v>278</v>
      </c>
      <c r="E1521" s="6" t="s">
        <v>96</v>
      </c>
      <c r="F1521" s="79">
        <v>44958</v>
      </c>
      <c r="G1521" s="6" t="s">
        <v>16</v>
      </c>
      <c r="H1521" s="6" t="s">
        <v>3540</v>
      </c>
      <c r="I1521" s="6">
        <v>1</v>
      </c>
      <c r="J1521" s="8">
        <v>20000</v>
      </c>
      <c r="K1521" s="8">
        <f t="shared" si="16"/>
        <v>229.04260192395787</v>
      </c>
      <c r="L1521" s="97">
        <v>44963</v>
      </c>
      <c r="M1521" s="6" t="s">
        <v>251</v>
      </c>
      <c r="N1521" s="97">
        <v>44963</v>
      </c>
      <c r="O1521" s="22" t="s">
        <v>6484</v>
      </c>
      <c r="P1521" s="6" t="s">
        <v>3645</v>
      </c>
      <c r="Q1521" s="6" t="s">
        <v>356</v>
      </c>
      <c r="R1521" s="6" t="str">
        <f t="shared" ca="1" si="14"/>
        <v>NonCategory</v>
      </c>
    </row>
    <row r="1522" spans="1:18">
      <c r="A1522" s="162">
        <v>44963</v>
      </c>
      <c r="B1522" s="164" t="s">
        <v>2232</v>
      </c>
      <c r="C1522" s="168" t="s">
        <v>3646</v>
      </c>
      <c r="D1522" s="6" t="s">
        <v>306</v>
      </c>
      <c r="E1522" s="6" t="s">
        <v>25</v>
      </c>
      <c r="F1522" s="79">
        <v>44958</v>
      </c>
      <c r="G1522" s="6" t="s">
        <v>16</v>
      </c>
      <c r="H1522" s="6" t="s">
        <v>3540</v>
      </c>
      <c r="I1522" s="6">
        <v>1</v>
      </c>
      <c r="J1522" s="8">
        <v>42000</v>
      </c>
      <c r="K1522" s="8">
        <f t="shared" si="16"/>
        <v>480.98946404031153</v>
      </c>
      <c r="L1522" s="97">
        <v>44963</v>
      </c>
      <c r="M1522" s="6" t="s">
        <v>251</v>
      </c>
      <c r="N1522" s="97">
        <v>44963</v>
      </c>
      <c r="O1522" s="22" t="s">
        <v>6485</v>
      </c>
      <c r="Q1522" s="6" t="s">
        <v>356</v>
      </c>
      <c r="R1522" s="6" t="str">
        <f t="shared" ca="1" si="14"/>
        <v>NonCategory</v>
      </c>
    </row>
    <row r="1523" spans="1:18">
      <c r="A1523" s="162">
        <v>44964</v>
      </c>
      <c r="B1523" s="164" t="s">
        <v>3647</v>
      </c>
      <c r="C1523" s="168" t="s">
        <v>3648</v>
      </c>
      <c r="D1523" s="6" t="s">
        <v>278</v>
      </c>
      <c r="E1523" s="6" t="s">
        <v>1497</v>
      </c>
      <c r="F1523" s="79">
        <v>44958</v>
      </c>
      <c r="G1523" s="6" t="s">
        <v>16</v>
      </c>
      <c r="H1523" s="6" t="s">
        <v>3540</v>
      </c>
      <c r="I1523" s="6">
        <v>1</v>
      </c>
      <c r="J1523" s="8">
        <v>24000</v>
      </c>
      <c r="K1523" s="8">
        <f t="shared" si="16"/>
        <v>274.85112230874944</v>
      </c>
      <c r="L1523" s="97">
        <v>44964</v>
      </c>
      <c r="M1523" s="6" t="s">
        <v>251</v>
      </c>
      <c r="N1523" s="97">
        <v>44964</v>
      </c>
      <c r="O1523" s="22" t="s">
        <v>6486</v>
      </c>
      <c r="P1523" s="6" t="s">
        <v>3363</v>
      </c>
      <c r="Q1523" s="6" t="s">
        <v>356</v>
      </c>
      <c r="R1523" s="6" t="str">
        <f t="shared" ca="1" si="14"/>
        <v>NonCategory</v>
      </c>
    </row>
    <row r="1524" spans="1:18">
      <c r="A1524" s="162">
        <v>44964</v>
      </c>
      <c r="B1524" s="164" t="s">
        <v>3649</v>
      </c>
      <c r="C1524" s="168" t="s">
        <v>3650</v>
      </c>
      <c r="D1524" s="6" t="s">
        <v>470</v>
      </c>
      <c r="E1524" s="6" t="s">
        <v>1715</v>
      </c>
      <c r="F1524" s="79">
        <v>44958</v>
      </c>
      <c r="G1524" s="6" t="s">
        <v>16</v>
      </c>
      <c r="H1524" s="6" t="s">
        <v>3540</v>
      </c>
      <c r="I1524" s="6">
        <v>1</v>
      </c>
      <c r="J1524" s="8">
        <v>21100</v>
      </c>
      <c r="K1524" s="8">
        <f t="shared" si="16"/>
        <v>241.63994502977556</v>
      </c>
      <c r="L1524" s="97">
        <v>44964</v>
      </c>
      <c r="M1524" s="6" t="s">
        <v>251</v>
      </c>
      <c r="N1524" s="97">
        <v>44964</v>
      </c>
      <c r="O1524" s="22" t="s">
        <v>6487</v>
      </c>
      <c r="Q1524" s="6" t="s">
        <v>356</v>
      </c>
      <c r="R1524" s="6" t="str">
        <f t="shared" ca="1" si="14"/>
        <v>NonCategory</v>
      </c>
    </row>
    <row r="1525" spans="1:18">
      <c r="A1525" s="162">
        <v>44964</v>
      </c>
      <c r="B1525" s="164" t="s">
        <v>3651</v>
      </c>
      <c r="C1525" s="168" t="s">
        <v>3652</v>
      </c>
      <c r="D1525" s="6" t="s">
        <v>278</v>
      </c>
      <c r="E1525" s="6" t="s">
        <v>1497</v>
      </c>
      <c r="F1525" s="79">
        <v>44958</v>
      </c>
      <c r="G1525" s="6" t="s">
        <v>16</v>
      </c>
      <c r="H1525" s="6" t="s">
        <v>3540</v>
      </c>
      <c r="I1525" s="6">
        <v>1</v>
      </c>
      <c r="J1525" s="8">
        <v>24000</v>
      </c>
      <c r="K1525" s="8">
        <f t="shared" si="16"/>
        <v>274.85112230874944</v>
      </c>
      <c r="L1525" s="97">
        <v>44964</v>
      </c>
      <c r="M1525" s="6" t="s">
        <v>251</v>
      </c>
      <c r="N1525" s="97">
        <v>44965</v>
      </c>
      <c r="O1525" s="22" t="s">
        <v>6488</v>
      </c>
      <c r="P1525" s="6" t="s">
        <v>3653</v>
      </c>
      <c r="Q1525" s="6" t="s">
        <v>356</v>
      </c>
      <c r="R1525" s="6" t="str">
        <f t="shared" ca="1" si="14"/>
        <v>NonCategory</v>
      </c>
    </row>
    <row r="1526" spans="1:18">
      <c r="A1526" s="162">
        <v>44964</v>
      </c>
      <c r="B1526" s="164" t="s">
        <v>3654</v>
      </c>
      <c r="C1526" s="168" t="s">
        <v>3655</v>
      </c>
      <c r="D1526" s="6" t="s">
        <v>278</v>
      </c>
      <c r="E1526" s="6" t="s">
        <v>1497</v>
      </c>
      <c r="F1526" s="79">
        <v>44958</v>
      </c>
      <c r="G1526" s="6" t="s">
        <v>16</v>
      </c>
      <c r="H1526" s="6" t="s">
        <v>3540</v>
      </c>
      <c r="I1526" s="6">
        <v>1</v>
      </c>
      <c r="J1526" s="8">
        <v>24000</v>
      </c>
      <c r="K1526" s="8">
        <f t="shared" si="16"/>
        <v>274.85112230874944</v>
      </c>
      <c r="L1526" s="97">
        <v>44964</v>
      </c>
      <c r="M1526" s="6" t="s">
        <v>251</v>
      </c>
      <c r="N1526" s="97">
        <v>44965</v>
      </c>
      <c r="O1526" s="22" t="s">
        <v>6489</v>
      </c>
      <c r="P1526" s="6" t="s">
        <v>3656</v>
      </c>
      <c r="Q1526" s="6" t="s">
        <v>356</v>
      </c>
      <c r="R1526" s="6" t="str">
        <f t="shared" ca="1" si="14"/>
        <v>NonCategory</v>
      </c>
    </row>
    <row r="1527" spans="1:18">
      <c r="A1527" s="162">
        <v>44965</v>
      </c>
      <c r="B1527" s="164" t="s">
        <v>3657</v>
      </c>
      <c r="C1527" s="168" t="s">
        <v>3658</v>
      </c>
      <c r="D1527" s="6" t="s">
        <v>306</v>
      </c>
      <c r="E1527" s="6" t="s">
        <v>25</v>
      </c>
      <c r="F1527" s="79">
        <v>44958</v>
      </c>
      <c r="G1527" s="6" t="s">
        <v>16</v>
      </c>
      <c r="H1527" s="6" t="s">
        <v>3491</v>
      </c>
      <c r="I1527" s="6">
        <v>1</v>
      </c>
      <c r="J1527" s="8">
        <v>40061</v>
      </c>
      <c r="K1527" s="8">
        <f t="shared" si="16"/>
        <v>458.7837837837838</v>
      </c>
      <c r="L1527" s="97">
        <v>44965</v>
      </c>
      <c r="M1527" s="6" t="s">
        <v>251</v>
      </c>
      <c r="N1527" s="97">
        <v>44965</v>
      </c>
      <c r="O1527" s="22" t="s">
        <v>6490</v>
      </c>
      <c r="Q1527" s="6" t="s">
        <v>356</v>
      </c>
      <c r="R1527" s="6" t="str">
        <f t="shared" ca="1" si="14"/>
        <v>NonCategory</v>
      </c>
    </row>
    <row r="1528" spans="1:18">
      <c r="A1528" s="162">
        <v>44965</v>
      </c>
      <c r="B1528" s="164" t="s">
        <v>3659</v>
      </c>
      <c r="C1528" s="168" t="s">
        <v>3660</v>
      </c>
      <c r="D1528" s="6" t="s">
        <v>303</v>
      </c>
      <c r="E1528" s="6" t="s">
        <v>25</v>
      </c>
      <c r="F1528" s="79">
        <v>44958</v>
      </c>
      <c r="G1528" s="6" t="s">
        <v>16</v>
      </c>
      <c r="H1528" s="6" t="s">
        <v>3540</v>
      </c>
      <c r="I1528" s="6">
        <v>1</v>
      </c>
      <c r="J1528" s="8">
        <v>42000</v>
      </c>
      <c r="K1528" s="8">
        <f t="shared" si="16"/>
        <v>480.98946404031153</v>
      </c>
      <c r="L1528" s="97">
        <v>44965</v>
      </c>
      <c r="M1528" s="6" t="s">
        <v>251</v>
      </c>
      <c r="N1528" s="97">
        <v>44965</v>
      </c>
      <c r="O1528" s="22" t="s">
        <v>6491</v>
      </c>
      <c r="Q1528" s="6" t="s">
        <v>356</v>
      </c>
      <c r="R1528" s="6" t="str">
        <f t="shared" ca="1" si="14"/>
        <v>NonCategory</v>
      </c>
    </row>
    <row r="1529" spans="1:18">
      <c r="A1529" s="162">
        <v>44965</v>
      </c>
      <c r="B1529" s="164" t="s">
        <v>3661</v>
      </c>
      <c r="C1529" s="168" t="s">
        <v>3662</v>
      </c>
      <c r="D1529" s="6" t="s">
        <v>306</v>
      </c>
      <c r="E1529" s="6" t="s">
        <v>1497</v>
      </c>
      <c r="F1529" s="79">
        <v>44958</v>
      </c>
      <c r="G1529" s="6" t="s">
        <v>16</v>
      </c>
      <c r="H1529" s="6" t="s">
        <v>3663</v>
      </c>
      <c r="I1529" s="6">
        <v>1</v>
      </c>
      <c r="J1529" s="8">
        <v>24000</v>
      </c>
      <c r="K1529" s="8">
        <f t="shared" si="16"/>
        <v>274.85112230874944</v>
      </c>
      <c r="L1529" s="97">
        <v>44965</v>
      </c>
      <c r="M1529" s="6" t="s">
        <v>251</v>
      </c>
      <c r="N1529" s="97">
        <v>44965</v>
      </c>
      <c r="O1529" s="22" t="s">
        <v>6492</v>
      </c>
      <c r="Q1529" s="6" t="s">
        <v>356</v>
      </c>
      <c r="R1529" s="6" t="str">
        <f t="shared" ca="1" si="14"/>
        <v>NonCategory</v>
      </c>
    </row>
    <row r="1530" spans="1:18">
      <c r="A1530" s="162">
        <v>44965</v>
      </c>
      <c r="B1530" s="164" t="s">
        <v>3664</v>
      </c>
      <c r="C1530" s="168" t="s">
        <v>3665</v>
      </c>
      <c r="D1530" s="6" t="s">
        <v>319</v>
      </c>
      <c r="E1530" s="6" t="s">
        <v>1524</v>
      </c>
      <c r="F1530" s="79">
        <v>44958</v>
      </c>
      <c r="G1530" s="6" t="s">
        <v>16</v>
      </c>
      <c r="H1530" s="6" t="s">
        <v>3540</v>
      </c>
      <c r="I1530" s="6">
        <v>1</v>
      </c>
      <c r="J1530" s="8">
        <v>24000</v>
      </c>
      <c r="K1530" s="8">
        <f t="shared" si="16"/>
        <v>274.85112230874944</v>
      </c>
      <c r="L1530" s="97">
        <v>44965</v>
      </c>
      <c r="M1530" s="6" t="s">
        <v>251</v>
      </c>
      <c r="N1530" s="97">
        <v>44965</v>
      </c>
      <c r="O1530" s="22" t="s">
        <v>6493</v>
      </c>
      <c r="Q1530" s="6" t="s">
        <v>356</v>
      </c>
      <c r="R1530" s="6" t="str">
        <f t="shared" ca="1" si="14"/>
        <v>NonCategory</v>
      </c>
    </row>
    <row r="1531" spans="1:18">
      <c r="A1531" s="162">
        <v>44966</v>
      </c>
      <c r="B1531" s="164" t="s">
        <v>3666</v>
      </c>
      <c r="C1531" s="168" t="s">
        <v>3667</v>
      </c>
      <c r="D1531" s="6" t="s">
        <v>278</v>
      </c>
      <c r="E1531" s="6" t="s">
        <v>96</v>
      </c>
      <c r="F1531" s="79">
        <v>44958</v>
      </c>
      <c r="G1531" s="6" t="s">
        <v>16</v>
      </c>
      <c r="H1531" s="6" t="s">
        <v>3540</v>
      </c>
      <c r="I1531" s="6">
        <v>1</v>
      </c>
      <c r="J1531" s="8">
        <v>20000</v>
      </c>
      <c r="K1531" s="8">
        <f t="shared" si="16"/>
        <v>229.04260192395787</v>
      </c>
      <c r="L1531" s="97">
        <v>44966</v>
      </c>
      <c r="M1531" s="6" t="s">
        <v>251</v>
      </c>
      <c r="N1531" s="97">
        <v>44966</v>
      </c>
      <c r="O1531" s="22" t="s">
        <v>6494</v>
      </c>
      <c r="P1531" s="6" t="s">
        <v>3668</v>
      </c>
      <c r="Q1531" s="6" t="s">
        <v>356</v>
      </c>
      <c r="R1531" s="6" t="str">
        <f t="shared" ref="R1531:R1682" ca="1" si="17">IFERROR(_xludf.IFS($E1531="CSM","Category",$E1531="CSPO","Category", $E1531="PSM","Category",$E1531="PSPO","Category",$E1531="SAFe Agile","SAFe",$E1531="SAFe SSM","SAFe",$E1531="SAFe POPM","SAFe",$E1531="SASM","SAFe",$E1531="PMI-ACP","Category",$E1531="ICP-ACC","Category",$E1531="PSM 2","Category",$E1531="SAFe RTE","SAFe",$E1531="",""),"NonCategory")</f>
        <v>NonCategory</v>
      </c>
    </row>
    <row r="1532" spans="1:18">
      <c r="A1532" s="162">
        <v>44966</v>
      </c>
      <c r="B1532" s="164" t="s">
        <v>3669</v>
      </c>
      <c r="C1532" s="168" t="s">
        <v>3670</v>
      </c>
      <c r="D1532" s="6" t="s">
        <v>303</v>
      </c>
      <c r="E1532" s="6" t="s">
        <v>1524</v>
      </c>
      <c r="F1532" s="79">
        <v>44958</v>
      </c>
      <c r="G1532" s="6" t="s">
        <v>13</v>
      </c>
      <c r="H1532" s="6" t="s">
        <v>3540</v>
      </c>
      <c r="I1532" s="6">
        <v>1</v>
      </c>
      <c r="J1532" s="8">
        <v>24000</v>
      </c>
      <c r="K1532" s="8">
        <f t="shared" si="16"/>
        <v>274.85112230874944</v>
      </c>
      <c r="L1532" s="97">
        <v>44966</v>
      </c>
      <c r="R1532" s="6" t="str">
        <f t="shared" ca="1" si="17"/>
        <v>NonCategory</v>
      </c>
    </row>
    <row r="1533" spans="1:18">
      <c r="A1533" s="162">
        <v>44966</v>
      </c>
      <c r="B1533" s="164" t="s">
        <v>3671</v>
      </c>
      <c r="C1533" s="168" t="s">
        <v>3672</v>
      </c>
      <c r="D1533" s="6" t="s">
        <v>278</v>
      </c>
      <c r="E1533" s="6" t="s">
        <v>25</v>
      </c>
      <c r="F1533" s="79">
        <v>44958</v>
      </c>
      <c r="G1533" s="6" t="s">
        <v>16</v>
      </c>
      <c r="H1533" s="6" t="s">
        <v>3491</v>
      </c>
      <c r="I1533" s="6">
        <v>1</v>
      </c>
      <c r="J1533" s="8">
        <v>40061</v>
      </c>
      <c r="K1533" s="8">
        <f t="shared" si="16"/>
        <v>458.7837837837838</v>
      </c>
      <c r="L1533" s="97">
        <v>44966</v>
      </c>
      <c r="M1533" s="6" t="s">
        <v>251</v>
      </c>
      <c r="N1533" s="97">
        <v>44966</v>
      </c>
      <c r="O1533" s="22" t="s">
        <v>6495</v>
      </c>
      <c r="P1533" s="6" t="s">
        <v>3673</v>
      </c>
      <c r="Q1533" s="6" t="s">
        <v>356</v>
      </c>
      <c r="R1533" s="6" t="str">
        <f t="shared" ca="1" si="17"/>
        <v>NonCategory</v>
      </c>
    </row>
    <row r="1534" spans="1:18">
      <c r="A1534" s="162">
        <v>44966</v>
      </c>
      <c r="B1534" s="164" t="s">
        <v>3674</v>
      </c>
      <c r="C1534" s="168" t="s">
        <v>3675</v>
      </c>
      <c r="D1534" s="6" t="s">
        <v>278</v>
      </c>
      <c r="E1534" s="6" t="s">
        <v>1524</v>
      </c>
      <c r="F1534" s="79">
        <v>44958</v>
      </c>
      <c r="G1534" s="6" t="s">
        <v>16</v>
      </c>
      <c r="H1534" s="6" t="s">
        <v>3540</v>
      </c>
      <c r="I1534" s="6">
        <v>1</v>
      </c>
      <c r="J1534" s="8">
        <v>24000</v>
      </c>
      <c r="K1534" s="8">
        <f t="shared" si="16"/>
        <v>274.85112230874944</v>
      </c>
      <c r="L1534" s="97">
        <v>44966</v>
      </c>
      <c r="M1534" s="6" t="s">
        <v>251</v>
      </c>
      <c r="N1534" s="97">
        <v>44966</v>
      </c>
      <c r="O1534" s="22" t="s">
        <v>6496</v>
      </c>
      <c r="P1534" s="6" t="s">
        <v>3676</v>
      </c>
      <c r="Q1534" s="6" t="s">
        <v>356</v>
      </c>
      <c r="R1534" s="6" t="str">
        <f t="shared" ca="1" si="17"/>
        <v>NonCategory</v>
      </c>
    </row>
    <row r="1535" spans="1:18">
      <c r="A1535" s="162">
        <v>44966</v>
      </c>
      <c r="B1535" s="164" t="s">
        <v>3677</v>
      </c>
      <c r="C1535" s="168" t="s">
        <v>3678</v>
      </c>
      <c r="D1535" s="6" t="s">
        <v>278</v>
      </c>
      <c r="E1535" s="6" t="s">
        <v>151</v>
      </c>
      <c r="F1535" s="79">
        <v>44958</v>
      </c>
      <c r="G1535" s="6" t="s">
        <v>16</v>
      </c>
      <c r="H1535" s="6" t="s">
        <v>3491</v>
      </c>
      <c r="I1535" s="6">
        <v>1</v>
      </c>
      <c r="J1535" s="8">
        <v>21000</v>
      </c>
      <c r="K1535" s="8">
        <f t="shared" si="16"/>
        <v>240.49473202015577</v>
      </c>
      <c r="L1535" s="97">
        <v>44966</v>
      </c>
      <c r="M1535" s="6" t="s">
        <v>251</v>
      </c>
      <c r="N1535" s="97">
        <v>44966</v>
      </c>
      <c r="O1535" s="22" t="s">
        <v>6497</v>
      </c>
      <c r="P1535" s="6" t="s">
        <v>3345</v>
      </c>
      <c r="Q1535" s="6" t="s">
        <v>356</v>
      </c>
      <c r="R1535" s="6" t="str">
        <f t="shared" ca="1" si="17"/>
        <v>NonCategory</v>
      </c>
    </row>
    <row r="1536" spans="1:18">
      <c r="A1536" s="162">
        <v>44967</v>
      </c>
      <c r="B1536" s="164" t="s">
        <v>2994</v>
      </c>
      <c r="C1536" s="168" t="s">
        <v>2995</v>
      </c>
      <c r="D1536" s="6" t="s">
        <v>470</v>
      </c>
      <c r="E1536" s="6" t="s">
        <v>1524</v>
      </c>
      <c r="F1536" s="79">
        <v>44958</v>
      </c>
      <c r="G1536" s="6" t="s">
        <v>13</v>
      </c>
      <c r="H1536" s="6" t="s">
        <v>3540</v>
      </c>
      <c r="I1536" s="6">
        <v>1</v>
      </c>
      <c r="J1536" s="8">
        <v>24000</v>
      </c>
      <c r="K1536" s="8">
        <f t="shared" si="16"/>
        <v>274.85112230874944</v>
      </c>
      <c r="L1536" s="97">
        <v>44967</v>
      </c>
      <c r="R1536" s="6" t="str">
        <f t="shared" ca="1" si="17"/>
        <v>NonCategory</v>
      </c>
    </row>
    <row r="1537" spans="1:18">
      <c r="A1537" s="163">
        <v>44966</v>
      </c>
      <c r="B1537" s="165" t="s">
        <v>3677</v>
      </c>
      <c r="C1537" s="168" t="s">
        <v>3678</v>
      </c>
      <c r="D1537" s="2" t="s">
        <v>278</v>
      </c>
      <c r="E1537" s="2" t="s">
        <v>151</v>
      </c>
      <c r="F1537" s="123">
        <v>44958</v>
      </c>
      <c r="G1537" s="2" t="s">
        <v>16</v>
      </c>
      <c r="H1537" s="2" t="s">
        <v>3491</v>
      </c>
      <c r="I1537" s="126">
        <v>1</v>
      </c>
      <c r="J1537" s="133">
        <v>21000</v>
      </c>
      <c r="K1537" s="133">
        <f t="shared" si="16"/>
        <v>240.49473202015577</v>
      </c>
      <c r="L1537" s="127">
        <v>44966</v>
      </c>
      <c r="M1537" s="2" t="s">
        <v>251</v>
      </c>
      <c r="N1537" s="127">
        <v>44966</v>
      </c>
      <c r="O1537" s="134" t="s">
        <v>6497</v>
      </c>
      <c r="P1537" s="2" t="s">
        <v>3345</v>
      </c>
      <c r="Q1537" s="2" t="s">
        <v>356</v>
      </c>
      <c r="R1537" s="2" t="str">
        <f t="shared" ca="1" si="17"/>
        <v>NonCategory</v>
      </c>
    </row>
    <row r="1538" spans="1:18">
      <c r="A1538" s="163">
        <v>44967</v>
      </c>
      <c r="B1538" s="165" t="s">
        <v>2994</v>
      </c>
      <c r="C1538" s="168" t="s">
        <v>2995</v>
      </c>
      <c r="D1538" s="2" t="s">
        <v>470</v>
      </c>
      <c r="E1538" s="2" t="s">
        <v>1524</v>
      </c>
      <c r="F1538" s="123">
        <v>44958</v>
      </c>
      <c r="G1538" s="2" t="s">
        <v>16</v>
      </c>
      <c r="H1538" s="2" t="s">
        <v>3679</v>
      </c>
      <c r="I1538" s="126">
        <v>1</v>
      </c>
      <c r="J1538" s="133">
        <v>24000</v>
      </c>
      <c r="K1538" s="133">
        <f t="shared" si="16"/>
        <v>274.85112230874944</v>
      </c>
      <c r="L1538" s="127">
        <v>44967</v>
      </c>
      <c r="M1538" s="2" t="s">
        <v>252</v>
      </c>
      <c r="N1538" s="127">
        <v>44968</v>
      </c>
      <c r="O1538" s="134" t="s">
        <v>6498</v>
      </c>
      <c r="P1538" s="2"/>
      <c r="Q1538" s="2" t="s">
        <v>356</v>
      </c>
      <c r="R1538" s="2" t="str">
        <f t="shared" ca="1" si="17"/>
        <v>NonCategory</v>
      </c>
    </row>
    <row r="1539" spans="1:18">
      <c r="A1539" s="163">
        <v>44968</v>
      </c>
      <c r="B1539" s="165" t="s">
        <v>3341</v>
      </c>
      <c r="C1539" s="168" t="s">
        <v>3342</v>
      </c>
      <c r="D1539" s="2" t="s">
        <v>470</v>
      </c>
      <c r="E1539" s="2" t="s">
        <v>1524</v>
      </c>
      <c r="F1539" s="123">
        <v>44958</v>
      </c>
      <c r="G1539" s="2" t="s">
        <v>16</v>
      </c>
      <c r="H1539" s="2" t="s">
        <v>3679</v>
      </c>
      <c r="I1539" s="126">
        <v>1</v>
      </c>
      <c r="J1539" s="133">
        <v>24000</v>
      </c>
      <c r="K1539" s="133">
        <f t="shared" si="16"/>
        <v>274.85112230874944</v>
      </c>
      <c r="L1539" s="127">
        <v>44968</v>
      </c>
      <c r="M1539" s="2" t="s">
        <v>252</v>
      </c>
      <c r="N1539" s="127">
        <v>44968</v>
      </c>
      <c r="O1539" s="134" t="s">
        <v>6499</v>
      </c>
      <c r="P1539" s="2"/>
      <c r="Q1539" s="2" t="s">
        <v>356</v>
      </c>
      <c r="R1539" s="2" t="str">
        <f t="shared" ca="1" si="17"/>
        <v>NonCategory</v>
      </c>
    </row>
    <row r="1540" spans="1:18">
      <c r="A1540" s="163">
        <v>44970</v>
      </c>
      <c r="B1540" s="165" t="s">
        <v>3680</v>
      </c>
      <c r="C1540" s="168" t="s">
        <v>3681</v>
      </c>
      <c r="D1540" s="2" t="s">
        <v>291</v>
      </c>
      <c r="E1540" s="2" t="s">
        <v>151</v>
      </c>
      <c r="F1540" s="123">
        <v>44958</v>
      </c>
      <c r="G1540" s="2" t="s">
        <v>16</v>
      </c>
      <c r="H1540" s="2" t="s">
        <v>3491</v>
      </c>
      <c r="I1540" s="126">
        <v>1</v>
      </c>
      <c r="J1540" s="133">
        <v>21000</v>
      </c>
      <c r="K1540" s="133">
        <f t="shared" si="16"/>
        <v>240.49473202015577</v>
      </c>
      <c r="L1540" s="127">
        <v>44970</v>
      </c>
      <c r="M1540" s="2" t="s">
        <v>252</v>
      </c>
      <c r="N1540" s="127">
        <v>44970</v>
      </c>
      <c r="O1540" s="134" t="s">
        <v>6500</v>
      </c>
      <c r="P1540" s="2"/>
      <c r="Q1540" s="2" t="s">
        <v>356</v>
      </c>
      <c r="R1540" s="2" t="str">
        <f t="shared" ca="1" si="17"/>
        <v>NonCategory</v>
      </c>
    </row>
    <row r="1541" spans="1:18">
      <c r="A1541" s="163">
        <v>44970</v>
      </c>
      <c r="B1541" s="165" t="s">
        <v>3682</v>
      </c>
      <c r="C1541" s="168" t="s">
        <v>3683</v>
      </c>
      <c r="D1541" s="2" t="s">
        <v>319</v>
      </c>
      <c r="E1541" s="2" t="s">
        <v>150</v>
      </c>
      <c r="F1541" s="123">
        <v>44958</v>
      </c>
      <c r="G1541" s="2" t="s">
        <v>16</v>
      </c>
      <c r="H1541" s="2" t="s">
        <v>3491</v>
      </c>
      <c r="I1541" s="126">
        <v>1</v>
      </c>
      <c r="J1541" s="133">
        <v>21000</v>
      </c>
      <c r="K1541" s="133">
        <f t="shared" si="16"/>
        <v>240.49473202015577</v>
      </c>
      <c r="L1541" s="127">
        <v>44970</v>
      </c>
      <c r="M1541" s="2" t="s">
        <v>252</v>
      </c>
      <c r="N1541" s="127">
        <v>44970</v>
      </c>
      <c r="O1541" s="134" t="s">
        <v>6501</v>
      </c>
      <c r="P1541" s="2"/>
      <c r="Q1541" s="2" t="s">
        <v>356</v>
      </c>
      <c r="R1541" s="2" t="str">
        <f t="shared" ca="1" si="17"/>
        <v>NonCategory</v>
      </c>
    </row>
    <row r="1542" spans="1:18">
      <c r="A1542" s="163">
        <v>44970</v>
      </c>
      <c r="B1542" s="165" t="s">
        <v>3684</v>
      </c>
      <c r="C1542" s="168" t="s">
        <v>3685</v>
      </c>
      <c r="D1542" s="2" t="s">
        <v>287</v>
      </c>
      <c r="E1542" s="2" t="s">
        <v>1524</v>
      </c>
      <c r="F1542" s="123">
        <v>44958</v>
      </c>
      <c r="G1542" s="2" t="s">
        <v>16</v>
      </c>
      <c r="H1542" s="2" t="s">
        <v>3679</v>
      </c>
      <c r="I1542" s="126">
        <v>1</v>
      </c>
      <c r="J1542" s="133">
        <v>24000</v>
      </c>
      <c r="K1542" s="133">
        <f t="shared" si="16"/>
        <v>274.85112230874944</v>
      </c>
      <c r="L1542" s="127">
        <v>44970</v>
      </c>
      <c r="M1542" s="2" t="s">
        <v>252</v>
      </c>
      <c r="N1542" s="127">
        <v>44970</v>
      </c>
      <c r="O1542" s="134" t="s">
        <v>6502</v>
      </c>
      <c r="P1542" s="2"/>
      <c r="Q1542" s="2" t="s">
        <v>356</v>
      </c>
      <c r="R1542" s="2" t="str">
        <f t="shared" ca="1" si="17"/>
        <v>NonCategory</v>
      </c>
    </row>
    <row r="1543" spans="1:18">
      <c r="A1543" s="163">
        <v>44971</v>
      </c>
      <c r="B1543" s="165" t="s">
        <v>3686</v>
      </c>
      <c r="C1543" s="168" t="s">
        <v>3687</v>
      </c>
      <c r="D1543" s="2" t="s">
        <v>278</v>
      </c>
      <c r="E1543" s="2" t="s">
        <v>1524</v>
      </c>
      <c r="F1543" s="123">
        <v>44958</v>
      </c>
      <c r="G1543" s="2" t="s">
        <v>16</v>
      </c>
      <c r="H1543" s="2" t="s">
        <v>3679</v>
      </c>
      <c r="I1543" s="126">
        <v>1</v>
      </c>
      <c r="J1543" s="133">
        <v>24000</v>
      </c>
      <c r="K1543" s="133">
        <f t="shared" si="16"/>
        <v>274.85112230874944</v>
      </c>
      <c r="L1543" s="127">
        <v>44971</v>
      </c>
      <c r="M1543" s="2" t="s">
        <v>252</v>
      </c>
      <c r="N1543" s="127">
        <v>44971</v>
      </c>
      <c r="O1543" s="134" t="s">
        <v>6503</v>
      </c>
      <c r="P1543" s="2" t="s">
        <v>3688</v>
      </c>
      <c r="Q1543" s="2" t="s">
        <v>356</v>
      </c>
      <c r="R1543" s="2" t="str">
        <f t="shared" ca="1" si="17"/>
        <v>NonCategory</v>
      </c>
    </row>
    <row r="1544" spans="1:18">
      <c r="A1544" s="163">
        <v>44971</v>
      </c>
      <c r="B1544" s="165" t="s">
        <v>3689</v>
      </c>
      <c r="C1544" s="168" t="s">
        <v>3690</v>
      </c>
      <c r="D1544" s="2" t="s">
        <v>306</v>
      </c>
      <c r="E1544" s="2" t="s">
        <v>25</v>
      </c>
      <c r="F1544" s="123">
        <v>44958</v>
      </c>
      <c r="G1544" s="2" t="s">
        <v>16</v>
      </c>
      <c r="H1544" s="2" t="s">
        <v>3679</v>
      </c>
      <c r="I1544" s="126">
        <v>1</v>
      </c>
      <c r="J1544" s="133">
        <v>42000</v>
      </c>
      <c r="K1544" s="133">
        <f t="shared" si="16"/>
        <v>480.98946404031153</v>
      </c>
      <c r="L1544" s="127">
        <v>44971</v>
      </c>
      <c r="M1544" s="2" t="s">
        <v>252</v>
      </c>
      <c r="N1544" s="127">
        <v>44971</v>
      </c>
      <c r="O1544" s="134" t="s">
        <v>6504</v>
      </c>
      <c r="P1544" s="2"/>
      <c r="Q1544" s="2" t="s">
        <v>356</v>
      </c>
      <c r="R1544" s="2" t="str">
        <f t="shared" ca="1" si="17"/>
        <v>NonCategory</v>
      </c>
    </row>
    <row r="1545" spans="1:18">
      <c r="A1545" s="163">
        <v>44971</v>
      </c>
      <c r="B1545" s="165" t="s">
        <v>3691</v>
      </c>
      <c r="C1545" s="168" t="s">
        <v>3692</v>
      </c>
      <c r="D1545" s="2" t="s">
        <v>303</v>
      </c>
      <c r="E1545" s="2" t="s">
        <v>25</v>
      </c>
      <c r="F1545" s="123">
        <v>44958</v>
      </c>
      <c r="G1545" s="2" t="s">
        <v>16</v>
      </c>
      <c r="H1545" s="2" t="s">
        <v>3679</v>
      </c>
      <c r="I1545" s="126">
        <v>1</v>
      </c>
      <c r="J1545" s="133">
        <v>40061</v>
      </c>
      <c r="K1545" s="133">
        <f t="shared" si="16"/>
        <v>458.7837837837838</v>
      </c>
      <c r="L1545" s="127">
        <v>44971</v>
      </c>
      <c r="M1545" s="2" t="s">
        <v>252</v>
      </c>
      <c r="N1545" s="127">
        <v>44971</v>
      </c>
      <c r="O1545" s="134" t="s">
        <v>6505</v>
      </c>
      <c r="P1545" s="2"/>
      <c r="Q1545" s="2" t="s">
        <v>356</v>
      </c>
      <c r="R1545" s="2" t="str">
        <f t="shared" ca="1" si="17"/>
        <v>NonCategory</v>
      </c>
    </row>
    <row r="1546" spans="1:18">
      <c r="A1546" s="163">
        <v>44973</v>
      </c>
      <c r="B1546" s="165" t="s">
        <v>709</v>
      </c>
      <c r="C1546" s="168" t="s">
        <v>3693</v>
      </c>
      <c r="D1546" s="2" t="s">
        <v>278</v>
      </c>
      <c r="E1546" s="2" t="s">
        <v>96</v>
      </c>
      <c r="F1546" s="123">
        <v>44958</v>
      </c>
      <c r="G1546" s="2" t="s">
        <v>16</v>
      </c>
      <c r="H1546" s="2" t="s">
        <v>3679</v>
      </c>
      <c r="I1546" s="126">
        <v>1</v>
      </c>
      <c r="J1546" s="133">
        <v>20000</v>
      </c>
      <c r="K1546" s="133">
        <f t="shared" si="16"/>
        <v>229.04260192395787</v>
      </c>
      <c r="L1546" s="127">
        <v>44973</v>
      </c>
      <c r="M1546" s="2" t="s">
        <v>252</v>
      </c>
      <c r="N1546" s="127">
        <v>44973</v>
      </c>
      <c r="O1546" s="134" t="s">
        <v>6506</v>
      </c>
      <c r="P1546" s="2" t="s">
        <v>3694</v>
      </c>
      <c r="Q1546" s="2" t="s">
        <v>356</v>
      </c>
      <c r="R1546" s="2" t="str">
        <f t="shared" ca="1" si="17"/>
        <v>NonCategory</v>
      </c>
    </row>
    <row r="1547" spans="1:18">
      <c r="A1547" s="163">
        <v>44973</v>
      </c>
      <c r="B1547" s="165" t="s">
        <v>3695</v>
      </c>
      <c r="C1547" s="168" t="s">
        <v>3696</v>
      </c>
      <c r="D1547" s="2" t="s">
        <v>343</v>
      </c>
      <c r="E1547" s="2" t="s">
        <v>25</v>
      </c>
      <c r="F1547" s="123">
        <v>44958</v>
      </c>
      <c r="G1547" s="2" t="s">
        <v>16</v>
      </c>
      <c r="H1547" s="2" t="s">
        <v>3697</v>
      </c>
      <c r="I1547" s="126">
        <v>1</v>
      </c>
      <c r="J1547" s="133">
        <v>40061</v>
      </c>
      <c r="K1547" s="133">
        <f t="shared" si="16"/>
        <v>458.7837837837838</v>
      </c>
      <c r="L1547" s="127">
        <v>44973</v>
      </c>
      <c r="M1547" s="2" t="s">
        <v>252</v>
      </c>
      <c r="N1547" s="127">
        <v>44973</v>
      </c>
      <c r="O1547" s="134" t="s">
        <v>6507</v>
      </c>
      <c r="P1547" s="2"/>
      <c r="Q1547" s="2" t="s">
        <v>356</v>
      </c>
      <c r="R1547" s="2" t="str">
        <f t="shared" ca="1" si="17"/>
        <v>NonCategory</v>
      </c>
    </row>
    <row r="1548" spans="1:18">
      <c r="A1548" s="163">
        <v>44973</v>
      </c>
      <c r="B1548" s="165" t="s">
        <v>3698</v>
      </c>
      <c r="C1548" s="168" t="s">
        <v>3699</v>
      </c>
      <c r="D1548" s="2" t="s">
        <v>303</v>
      </c>
      <c r="E1548" s="2" t="s">
        <v>150</v>
      </c>
      <c r="F1548" s="123">
        <v>44958</v>
      </c>
      <c r="G1548" s="2" t="s">
        <v>16</v>
      </c>
      <c r="H1548" s="2" t="s">
        <v>3491</v>
      </c>
      <c r="I1548" s="126">
        <v>1</v>
      </c>
      <c r="J1548" s="133">
        <v>21000</v>
      </c>
      <c r="K1548" s="133">
        <f t="shared" si="16"/>
        <v>240.49473202015577</v>
      </c>
      <c r="L1548" s="127">
        <v>44973</v>
      </c>
      <c r="M1548" s="2" t="s">
        <v>252</v>
      </c>
      <c r="N1548" s="127">
        <v>44973</v>
      </c>
      <c r="O1548" s="134" t="s">
        <v>6508</v>
      </c>
      <c r="P1548" s="2"/>
      <c r="Q1548" s="2" t="s">
        <v>356</v>
      </c>
      <c r="R1548" s="2" t="str">
        <f t="shared" ca="1" si="17"/>
        <v>NonCategory</v>
      </c>
    </row>
    <row r="1549" spans="1:18">
      <c r="A1549" s="163">
        <v>44973</v>
      </c>
      <c r="B1549" s="165" t="s">
        <v>3700</v>
      </c>
      <c r="C1549" s="168" t="s">
        <v>3701</v>
      </c>
      <c r="D1549" s="2" t="s">
        <v>278</v>
      </c>
      <c r="E1549" s="2" t="s">
        <v>97</v>
      </c>
      <c r="F1549" s="123">
        <v>44958</v>
      </c>
      <c r="G1549" s="2" t="s">
        <v>16</v>
      </c>
      <c r="H1549" s="2" t="s">
        <v>3697</v>
      </c>
      <c r="I1549" s="126">
        <v>1</v>
      </c>
      <c r="J1549" s="133">
        <v>20000</v>
      </c>
      <c r="K1549" s="133">
        <f t="shared" si="16"/>
        <v>229.04260192395787</v>
      </c>
      <c r="L1549" s="127">
        <v>44973</v>
      </c>
      <c r="M1549" s="2" t="s">
        <v>252</v>
      </c>
      <c r="N1549" s="127">
        <v>44973</v>
      </c>
      <c r="O1549" s="134" t="s">
        <v>6509</v>
      </c>
      <c r="P1549" s="2" t="s">
        <v>3702</v>
      </c>
      <c r="Q1549" s="2" t="s">
        <v>356</v>
      </c>
      <c r="R1549" s="2" t="str">
        <f t="shared" ca="1" si="17"/>
        <v>NonCategory</v>
      </c>
    </row>
    <row r="1550" spans="1:18">
      <c r="A1550" s="163">
        <v>44973</v>
      </c>
      <c r="B1550" s="165" t="s">
        <v>3703</v>
      </c>
      <c r="C1550" s="168" t="s">
        <v>3704</v>
      </c>
      <c r="D1550" s="2" t="s">
        <v>287</v>
      </c>
      <c r="E1550" s="2" t="s">
        <v>150</v>
      </c>
      <c r="F1550" s="123">
        <v>44958</v>
      </c>
      <c r="G1550" s="2" t="s">
        <v>16</v>
      </c>
      <c r="H1550" s="2" t="s">
        <v>3491</v>
      </c>
      <c r="I1550" s="126">
        <v>1</v>
      </c>
      <c r="J1550" s="133">
        <v>21000</v>
      </c>
      <c r="K1550" s="133">
        <f t="shared" si="16"/>
        <v>240.49473202015577</v>
      </c>
      <c r="L1550" s="127">
        <v>44973</v>
      </c>
      <c r="M1550" s="2" t="s">
        <v>252</v>
      </c>
      <c r="N1550" s="127">
        <v>44973</v>
      </c>
      <c r="O1550" s="134" t="s">
        <v>6510</v>
      </c>
      <c r="P1550" s="2"/>
      <c r="Q1550" s="2" t="s">
        <v>356</v>
      </c>
      <c r="R1550" s="2" t="str">
        <f t="shared" ca="1" si="17"/>
        <v>NonCategory</v>
      </c>
    </row>
    <row r="1551" spans="1:18">
      <c r="A1551" s="163">
        <v>44973</v>
      </c>
      <c r="B1551" s="165" t="s">
        <v>3705</v>
      </c>
      <c r="C1551" s="168" t="s">
        <v>3706</v>
      </c>
      <c r="D1551" s="2" t="s">
        <v>278</v>
      </c>
      <c r="E1551" s="2" t="s">
        <v>1524</v>
      </c>
      <c r="F1551" s="123">
        <v>44958</v>
      </c>
      <c r="G1551" s="2" t="s">
        <v>16</v>
      </c>
      <c r="H1551" s="2" t="s">
        <v>3679</v>
      </c>
      <c r="I1551" s="126">
        <v>1</v>
      </c>
      <c r="J1551" s="133">
        <v>24000</v>
      </c>
      <c r="K1551" s="133">
        <f t="shared" si="16"/>
        <v>274.85112230874944</v>
      </c>
      <c r="L1551" s="127">
        <v>44973</v>
      </c>
      <c r="M1551" s="2" t="s">
        <v>252</v>
      </c>
      <c r="N1551" s="127">
        <v>44973</v>
      </c>
      <c r="O1551" s="134" t="s">
        <v>6511</v>
      </c>
      <c r="P1551" s="2"/>
      <c r="Q1551" s="2" t="s">
        <v>356</v>
      </c>
      <c r="R1551" s="2" t="str">
        <f t="shared" ca="1" si="17"/>
        <v>NonCategory</v>
      </c>
    </row>
    <row r="1552" spans="1:18">
      <c r="A1552" s="163">
        <v>44974</v>
      </c>
      <c r="B1552" s="165" t="s">
        <v>3707</v>
      </c>
      <c r="C1552" s="168" t="s">
        <v>3708</v>
      </c>
      <c r="D1552" s="2" t="s">
        <v>278</v>
      </c>
      <c r="E1552" s="2" t="s">
        <v>1524</v>
      </c>
      <c r="F1552" s="123">
        <v>44958</v>
      </c>
      <c r="G1552" s="2" t="s">
        <v>16</v>
      </c>
      <c r="H1552" s="2" t="s">
        <v>3679</v>
      </c>
      <c r="I1552" s="126">
        <v>1</v>
      </c>
      <c r="J1552" s="133">
        <v>24000</v>
      </c>
      <c r="K1552" s="133">
        <f t="shared" si="16"/>
        <v>274.85112230874944</v>
      </c>
      <c r="L1552" s="127">
        <v>44974</v>
      </c>
      <c r="M1552" s="2" t="s">
        <v>252</v>
      </c>
      <c r="N1552" s="127">
        <v>44974</v>
      </c>
      <c r="O1552" s="134" t="s">
        <v>6512</v>
      </c>
      <c r="P1552" s="2" t="s">
        <v>3363</v>
      </c>
      <c r="Q1552" s="2" t="s">
        <v>356</v>
      </c>
      <c r="R1552" s="2" t="str">
        <f t="shared" ca="1" si="17"/>
        <v>NonCategory</v>
      </c>
    </row>
    <row r="1553" spans="1:18">
      <c r="A1553" s="163">
        <v>44974</v>
      </c>
      <c r="B1553" s="165" t="s">
        <v>3709</v>
      </c>
      <c r="C1553" s="168" t="s">
        <v>3710</v>
      </c>
      <c r="D1553" s="2" t="s">
        <v>3500</v>
      </c>
      <c r="E1553" s="2" t="s">
        <v>150</v>
      </c>
      <c r="F1553" s="123">
        <v>44958</v>
      </c>
      <c r="G1553" s="2" t="s">
        <v>16</v>
      </c>
      <c r="H1553" s="2" t="s">
        <v>3491</v>
      </c>
      <c r="I1553" s="126">
        <v>1</v>
      </c>
      <c r="J1553" s="133">
        <v>21000</v>
      </c>
      <c r="K1553" s="133">
        <f t="shared" si="16"/>
        <v>240.49473202015577</v>
      </c>
      <c r="L1553" s="127">
        <v>44974</v>
      </c>
      <c r="M1553" s="2" t="s">
        <v>252</v>
      </c>
      <c r="N1553" s="127">
        <v>44974</v>
      </c>
      <c r="O1553" s="134" t="s">
        <v>6513</v>
      </c>
      <c r="P1553" s="2"/>
      <c r="Q1553" s="2" t="s">
        <v>356</v>
      </c>
      <c r="R1553" s="2" t="str">
        <f t="shared" ca="1" si="17"/>
        <v>NonCategory</v>
      </c>
    </row>
    <row r="1554" spans="1:18">
      <c r="A1554" s="163">
        <v>44977</v>
      </c>
      <c r="B1554" s="165" t="s">
        <v>3711</v>
      </c>
      <c r="C1554" s="168" t="s">
        <v>3712</v>
      </c>
      <c r="D1554" s="2" t="s">
        <v>278</v>
      </c>
      <c r="E1554" s="2" t="s">
        <v>1524</v>
      </c>
      <c r="F1554" s="123">
        <v>44958</v>
      </c>
      <c r="G1554" s="2" t="s">
        <v>16</v>
      </c>
      <c r="H1554" s="2" t="s">
        <v>3679</v>
      </c>
      <c r="I1554" s="126">
        <v>1</v>
      </c>
      <c r="J1554" s="133">
        <v>24000</v>
      </c>
      <c r="K1554" s="133">
        <f t="shared" si="16"/>
        <v>274.85112230874944</v>
      </c>
      <c r="L1554" s="127">
        <v>44977</v>
      </c>
      <c r="M1554" s="2" t="s">
        <v>252</v>
      </c>
      <c r="N1554" s="127">
        <v>44977</v>
      </c>
      <c r="O1554" s="134" t="s">
        <v>6514</v>
      </c>
      <c r="P1554" s="2" t="s">
        <v>3713</v>
      </c>
      <c r="Q1554" s="2" t="s">
        <v>356</v>
      </c>
      <c r="R1554" s="2" t="str">
        <f t="shared" ca="1" si="17"/>
        <v>NonCategory</v>
      </c>
    </row>
    <row r="1555" spans="1:18">
      <c r="A1555" s="163">
        <v>44977</v>
      </c>
      <c r="B1555" s="165" t="s">
        <v>3714</v>
      </c>
      <c r="C1555" s="168" t="s">
        <v>3715</v>
      </c>
      <c r="D1555" s="2" t="s">
        <v>303</v>
      </c>
      <c r="E1555" s="2" t="s">
        <v>97</v>
      </c>
      <c r="F1555" s="123">
        <v>44958</v>
      </c>
      <c r="G1555" s="2" t="s">
        <v>16</v>
      </c>
      <c r="H1555" s="2" t="s">
        <v>3697</v>
      </c>
      <c r="I1555" s="126">
        <v>1</v>
      </c>
      <c r="J1555" s="133">
        <v>20000</v>
      </c>
      <c r="K1555" s="133">
        <f t="shared" si="16"/>
        <v>229.04260192395787</v>
      </c>
      <c r="L1555" s="127">
        <v>44977</v>
      </c>
      <c r="M1555" s="2" t="s">
        <v>252</v>
      </c>
      <c r="N1555" s="127">
        <v>44977</v>
      </c>
      <c r="O1555" s="134" t="s">
        <v>6515</v>
      </c>
      <c r="P1555" s="2"/>
      <c r="Q1555" s="2" t="s">
        <v>356</v>
      </c>
      <c r="R1555" s="2" t="str">
        <f t="shared" ca="1" si="17"/>
        <v>NonCategory</v>
      </c>
    </row>
    <row r="1556" spans="1:18">
      <c r="A1556" s="163">
        <v>44977</v>
      </c>
      <c r="B1556" s="165" t="s">
        <v>3716</v>
      </c>
      <c r="C1556" s="168" t="s">
        <v>3253</v>
      </c>
      <c r="D1556" s="2" t="s">
        <v>470</v>
      </c>
      <c r="E1556" s="2" t="s">
        <v>1524</v>
      </c>
      <c r="F1556" s="123">
        <v>44958</v>
      </c>
      <c r="G1556" s="2" t="s">
        <v>16</v>
      </c>
      <c r="H1556" s="2" t="s">
        <v>3679</v>
      </c>
      <c r="I1556" s="126">
        <v>1</v>
      </c>
      <c r="J1556" s="133">
        <v>24000</v>
      </c>
      <c r="K1556" s="133">
        <f t="shared" si="16"/>
        <v>274.85112230874944</v>
      </c>
      <c r="L1556" s="127">
        <v>44977</v>
      </c>
      <c r="M1556" s="2" t="s">
        <v>252</v>
      </c>
      <c r="N1556" s="127">
        <v>44977</v>
      </c>
      <c r="O1556" s="134" t="s">
        <v>6516</v>
      </c>
      <c r="P1556" s="2"/>
      <c r="Q1556" s="2" t="s">
        <v>356</v>
      </c>
      <c r="R1556" s="2" t="str">
        <f t="shared" ca="1" si="17"/>
        <v>NonCategory</v>
      </c>
    </row>
    <row r="1557" spans="1:18">
      <c r="A1557" s="163">
        <v>44977</v>
      </c>
      <c r="B1557" s="165" t="s">
        <v>999</v>
      </c>
      <c r="C1557" s="168" t="s">
        <v>1000</v>
      </c>
      <c r="D1557" s="2" t="s">
        <v>306</v>
      </c>
      <c r="E1557" s="2" t="s">
        <v>151</v>
      </c>
      <c r="F1557" s="123">
        <v>44958</v>
      </c>
      <c r="G1557" s="2" t="s">
        <v>16</v>
      </c>
      <c r="H1557" s="2" t="s">
        <v>3679</v>
      </c>
      <c r="I1557" s="126">
        <v>1</v>
      </c>
      <c r="J1557" s="133">
        <v>21000</v>
      </c>
      <c r="K1557" s="133">
        <f t="shared" si="16"/>
        <v>240.49473202015577</v>
      </c>
      <c r="L1557" s="127">
        <v>44977</v>
      </c>
      <c r="M1557" s="2" t="s">
        <v>252</v>
      </c>
      <c r="N1557" s="127">
        <v>44977</v>
      </c>
      <c r="O1557" s="134" t="s">
        <v>6517</v>
      </c>
      <c r="P1557" s="2"/>
      <c r="Q1557" s="2" t="s">
        <v>356</v>
      </c>
      <c r="R1557" s="2" t="str">
        <f t="shared" ca="1" si="17"/>
        <v>NonCategory</v>
      </c>
    </row>
    <row r="1558" spans="1:18">
      <c r="A1558" s="163">
        <v>44977</v>
      </c>
      <c r="B1558" s="165" t="s">
        <v>3717</v>
      </c>
      <c r="C1558" s="168" t="s">
        <v>3718</v>
      </c>
      <c r="D1558" s="2" t="s">
        <v>278</v>
      </c>
      <c r="E1558" s="2" t="s">
        <v>1524</v>
      </c>
      <c r="F1558" s="123">
        <v>44958</v>
      </c>
      <c r="G1558" s="2" t="s">
        <v>16</v>
      </c>
      <c r="H1558" s="2" t="s">
        <v>3719</v>
      </c>
      <c r="I1558" s="126">
        <v>1</v>
      </c>
      <c r="J1558" s="133">
        <v>24000</v>
      </c>
      <c r="K1558" s="133">
        <f t="shared" si="16"/>
        <v>274.85112230874944</v>
      </c>
      <c r="L1558" s="127">
        <v>44977</v>
      </c>
      <c r="M1558" s="2" t="s">
        <v>252</v>
      </c>
      <c r="N1558" s="127">
        <v>44977</v>
      </c>
      <c r="O1558" s="134" t="s">
        <v>6518</v>
      </c>
      <c r="P1558" s="2" t="s">
        <v>3720</v>
      </c>
      <c r="Q1558" s="2" t="s">
        <v>356</v>
      </c>
      <c r="R1558" s="2" t="str">
        <f t="shared" ca="1" si="17"/>
        <v>NonCategory</v>
      </c>
    </row>
    <row r="1559" spans="1:18">
      <c r="A1559" s="163">
        <v>44977</v>
      </c>
      <c r="B1559" s="165" t="s">
        <v>3721</v>
      </c>
      <c r="C1559" s="168" t="s">
        <v>3722</v>
      </c>
      <c r="D1559" s="2" t="s">
        <v>319</v>
      </c>
      <c r="E1559" s="2" t="s">
        <v>97</v>
      </c>
      <c r="F1559" s="123">
        <v>44958</v>
      </c>
      <c r="G1559" s="2" t="s">
        <v>16</v>
      </c>
      <c r="H1559" s="2" t="s">
        <v>3679</v>
      </c>
      <c r="I1559" s="126">
        <v>1</v>
      </c>
      <c r="J1559" s="133">
        <v>20000</v>
      </c>
      <c r="K1559" s="133">
        <f t="shared" si="16"/>
        <v>229.04260192395787</v>
      </c>
      <c r="L1559" s="127">
        <v>44977</v>
      </c>
      <c r="M1559" s="2" t="s">
        <v>252</v>
      </c>
      <c r="N1559" s="127">
        <v>44977</v>
      </c>
      <c r="O1559" s="134" t="s">
        <v>6519</v>
      </c>
      <c r="P1559" s="2"/>
      <c r="Q1559" s="2" t="s">
        <v>356</v>
      </c>
      <c r="R1559" s="2" t="str">
        <f t="shared" ca="1" si="17"/>
        <v>NonCategory</v>
      </c>
    </row>
    <row r="1560" spans="1:18">
      <c r="A1560" s="163">
        <v>44977</v>
      </c>
      <c r="B1560" s="165" t="s">
        <v>3723</v>
      </c>
      <c r="C1560" s="168" t="s">
        <v>3724</v>
      </c>
      <c r="D1560" s="2" t="s">
        <v>287</v>
      </c>
      <c r="E1560" s="2" t="s">
        <v>1524</v>
      </c>
      <c r="F1560" s="123">
        <v>44958</v>
      </c>
      <c r="G1560" s="2" t="s">
        <v>16</v>
      </c>
      <c r="H1560" s="2" t="s">
        <v>3679</v>
      </c>
      <c r="I1560" s="126">
        <v>1</v>
      </c>
      <c r="J1560" s="133">
        <v>24000</v>
      </c>
      <c r="K1560" s="133">
        <f t="shared" si="16"/>
        <v>274.85112230874944</v>
      </c>
      <c r="L1560" s="127">
        <v>44977</v>
      </c>
      <c r="M1560" s="2" t="s">
        <v>252</v>
      </c>
      <c r="N1560" s="127">
        <v>44977</v>
      </c>
      <c r="O1560" s="134" t="s">
        <v>6520</v>
      </c>
      <c r="P1560" s="2"/>
      <c r="Q1560" s="2" t="s">
        <v>356</v>
      </c>
      <c r="R1560" s="2" t="str">
        <f t="shared" ca="1" si="17"/>
        <v>NonCategory</v>
      </c>
    </row>
    <row r="1561" spans="1:18">
      <c r="A1561" s="163">
        <v>44977</v>
      </c>
      <c r="B1561" s="165" t="s">
        <v>3725</v>
      </c>
      <c r="C1561" s="168" t="s">
        <v>3726</v>
      </c>
      <c r="D1561" s="2" t="s">
        <v>495</v>
      </c>
      <c r="E1561" s="2" t="s">
        <v>1524</v>
      </c>
      <c r="F1561" s="123">
        <v>44958</v>
      </c>
      <c r="G1561" s="2" t="s">
        <v>16</v>
      </c>
      <c r="H1561" s="2" t="s">
        <v>3679</v>
      </c>
      <c r="I1561" s="126">
        <v>1</v>
      </c>
      <c r="J1561" s="133">
        <v>24000</v>
      </c>
      <c r="K1561" s="133">
        <f t="shared" si="16"/>
        <v>274.85112230874944</v>
      </c>
      <c r="L1561" s="127">
        <v>44977</v>
      </c>
      <c r="M1561" s="2" t="s">
        <v>253</v>
      </c>
      <c r="N1561" s="127">
        <v>44978</v>
      </c>
      <c r="O1561" s="134" t="s">
        <v>6521</v>
      </c>
      <c r="P1561" s="2"/>
      <c r="Q1561" s="2" t="s">
        <v>356</v>
      </c>
      <c r="R1561" s="2" t="str">
        <f t="shared" ca="1" si="17"/>
        <v>NonCategory</v>
      </c>
    </row>
    <row r="1562" spans="1:18">
      <c r="A1562" s="163">
        <v>44977</v>
      </c>
      <c r="B1562" s="165" t="s">
        <v>3727</v>
      </c>
      <c r="C1562" s="168" t="s">
        <v>3728</v>
      </c>
      <c r="D1562" s="2" t="s">
        <v>278</v>
      </c>
      <c r="E1562" s="2" t="s">
        <v>538</v>
      </c>
      <c r="F1562" s="123">
        <v>44958</v>
      </c>
      <c r="G1562" s="2" t="s">
        <v>16</v>
      </c>
      <c r="H1562" s="127">
        <v>44982</v>
      </c>
      <c r="I1562" s="126">
        <v>1</v>
      </c>
      <c r="J1562" s="133">
        <v>10000</v>
      </c>
      <c r="K1562" s="133">
        <f t="shared" si="16"/>
        <v>114.52130096197894</v>
      </c>
      <c r="L1562" s="127">
        <v>44977</v>
      </c>
      <c r="M1562" s="2" t="s">
        <v>253</v>
      </c>
      <c r="N1562" s="127">
        <v>44979</v>
      </c>
      <c r="O1562" s="138" t="s">
        <v>6522</v>
      </c>
      <c r="P1562" s="2" t="s">
        <v>3363</v>
      </c>
      <c r="Q1562" s="2" t="s">
        <v>356</v>
      </c>
      <c r="R1562" s="2" t="str">
        <f t="shared" ca="1" si="17"/>
        <v>NonCategory</v>
      </c>
    </row>
    <row r="1563" spans="1:18">
      <c r="A1563" s="163">
        <v>44978</v>
      </c>
      <c r="B1563" s="165" t="s">
        <v>3729</v>
      </c>
      <c r="C1563" s="168" t="s">
        <v>3730</v>
      </c>
      <c r="D1563" s="2" t="s">
        <v>278</v>
      </c>
      <c r="E1563" s="2" t="s">
        <v>1524</v>
      </c>
      <c r="F1563" s="123">
        <v>44958</v>
      </c>
      <c r="G1563" s="2" t="s">
        <v>16</v>
      </c>
      <c r="H1563" s="2" t="s">
        <v>3679</v>
      </c>
      <c r="I1563" s="126">
        <v>1</v>
      </c>
      <c r="J1563" s="133">
        <v>24000</v>
      </c>
      <c r="K1563" s="133">
        <f t="shared" si="16"/>
        <v>274.85112230874944</v>
      </c>
      <c r="L1563" s="127">
        <v>44978</v>
      </c>
      <c r="M1563" s="2" t="s">
        <v>253</v>
      </c>
      <c r="N1563" s="127">
        <v>44978</v>
      </c>
      <c r="O1563" s="134" t="s">
        <v>6523</v>
      </c>
      <c r="P1563" s="2" t="s">
        <v>3731</v>
      </c>
      <c r="Q1563" s="2" t="s">
        <v>356</v>
      </c>
      <c r="R1563" s="2" t="str">
        <f t="shared" ca="1" si="17"/>
        <v>NonCategory</v>
      </c>
    </row>
    <row r="1564" spans="1:18">
      <c r="A1564" s="163">
        <v>44979</v>
      </c>
      <c r="B1564" s="165" t="s">
        <v>3732</v>
      </c>
      <c r="C1564" s="168" t="s">
        <v>3733</v>
      </c>
      <c r="D1564" s="2" t="s">
        <v>306</v>
      </c>
      <c r="E1564" s="2" t="s">
        <v>150</v>
      </c>
      <c r="F1564" s="123">
        <v>44958</v>
      </c>
      <c r="G1564" s="2" t="s">
        <v>16</v>
      </c>
      <c r="H1564" s="2" t="s">
        <v>3679</v>
      </c>
      <c r="I1564" s="126">
        <v>1</v>
      </c>
      <c r="J1564" s="133">
        <v>21000</v>
      </c>
      <c r="K1564" s="133">
        <f t="shared" si="16"/>
        <v>240.49473202015577</v>
      </c>
      <c r="L1564" s="127">
        <v>44979</v>
      </c>
      <c r="M1564" s="2" t="s">
        <v>253</v>
      </c>
      <c r="N1564" s="127">
        <v>44979</v>
      </c>
      <c r="O1564" s="134" t="s">
        <v>6524</v>
      </c>
      <c r="P1564" s="2"/>
      <c r="Q1564" s="2" t="s">
        <v>356</v>
      </c>
      <c r="R1564" s="2" t="str">
        <f t="shared" ca="1" si="17"/>
        <v>NonCategory</v>
      </c>
    </row>
    <row r="1565" spans="1:18">
      <c r="A1565" s="163">
        <v>44979</v>
      </c>
      <c r="B1565" s="165" t="s">
        <v>3734</v>
      </c>
      <c r="C1565" s="168" t="s">
        <v>3735</v>
      </c>
      <c r="D1565" s="2" t="s">
        <v>278</v>
      </c>
      <c r="E1565" s="2" t="s">
        <v>97</v>
      </c>
      <c r="F1565" s="123">
        <v>44958</v>
      </c>
      <c r="G1565" s="2" t="s">
        <v>16</v>
      </c>
      <c r="H1565" s="2" t="s">
        <v>3679</v>
      </c>
      <c r="I1565" s="126">
        <v>1</v>
      </c>
      <c r="J1565" s="133">
        <v>20000</v>
      </c>
      <c r="K1565" s="133">
        <f t="shared" si="16"/>
        <v>229.04260192395787</v>
      </c>
      <c r="L1565" s="127">
        <v>44979</v>
      </c>
      <c r="M1565" s="2" t="s">
        <v>253</v>
      </c>
      <c r="N1565" s="127">
        <v>44979</v>
      </c>
      <c r="O1565" s="134" t="s">
        <v>6525</v>
      </c>
      <c r="P1565" s="2" t="s">
        <v>3736</v>
      </c>
      <c r="Q1565" s="2" t="s">
        <v>356</v>
      </c>
      <c r="R1565" s="2" t="str">
        <f t="shared" ca="1" si="17"/>
        <v>NonCategory</v>
      </c>
    </row>
    <row r="1566" spans="1:18">
      <c r="A1566" s="163">
        <v>44979</v>
      </c>
      <c r="B1566" s="165" t="s">
        <v>3737</v>
      </c>
      <c r="C1566" s="168" t="s">
        <v>3738</v>
      </c>
      <c r="D1566" s="2" t="s">
        <v>278</v>
      </c>
      <c r="E1566" s="2" t="s">
        <v>25</v>
      </c>
      <c r="F1566" s="123">
        <v>44958</v>
      </c>
      <c r="G1566" s="2" t="s">
        <v>16</v>
      </c>
      <c r="H1566" s="2" t="s">
        <v>3697</v>
      </c>
      <c r="I1566" s="126">
        <v>1</v>
      </c>
      <c r="J1566" s="133">
        <v>42000</v>
      </c>
      <c r="K1566" s="133">
        <f t="shared" si="16"/>
        <v>480.98946404031153</v>
      </c>
      <c r="L1566" s="127">
        <v>44979</v>
      </c>
      <c r="M1566" s="2" t="s">
        <v>253</v>
      </c>
      <c r="N1566" s="127">
        <v>44984</v>
      </c>
      <c r="O1566" s="138" t="s">
        <v>6526</v>
      </c>
      <c r="P1566" s="2" t="s">
        <v>3363</v>
      </c>
      <c r="Q1566" s="2" t="s">
        <v>356</v>
      </c>
      <c r="R1566" s="2" t="str">
        <f t="shared" ca="1" si="17"/>
        <v>NonCategory</v>
      </c>
    </row>
    <row r="1567" spans="1:18">
      <c r="A1567" s="163">
        <v>44980</v>
      </c>
      <c r="B1567" s="165" t="s">
        <v>3739</v>
      </c>
      <c r="C1567" s="168" t="s">
        <v>3740</v>
      </c>
      <c r="D1567" s="2" t="s">
        <v>278</v>
      </c>
      <c r="E1567" s="2" t="s">
        <v>150</v>
      </c>
      <c r="F1567" s="123">
        <v>44958</v>
      </c>
      <c r="G1567" s="2" t="s">
        <v>16</v>
      </c>
      <c r="H1567" s="2" t="s">
        <v>3679</v>
      </c>
      <c r="I1567" s="126">
        <v>1</v>
      </c>
      <c r="J1567" s="133">
        <v>21000</v>
      </c>
      <c r="K1567" s="133">
        <f t="shared" si="16"/>
        <v>240.49473202015577</v>
      </c>
      <c r="L1567" s="127">
        <v>44980</v>
      </c>
      <c r="M1567" s="2" t="s">
        <v>253</v>
      </c>
      <c r="N1567" s="127">
        <v>44980</v>
      </c>
      <c r="O1567" s="138" t="s">
        <v>6527</v>
      </c>
      <c r="P1567" s="2" t="s">
        <v>3363</v>
      </c>
      <c r="Q1567" s="2" t="s">
        <v>356</v>
      </c>
      <c r="R1567" s="2" t="str">
        <f t="shared" ca="1" si="17"/>
        <v>NonCategory</v>
      </c>
    </row>
    <row r="1568" spans="1:18">
      <c r="A1568" s="163">
        <v>44980</v>
      </c>
      <c r="B1568" s="165" t="s">
        <v>3741</v>
      </c>
      <c r="C1568" s="168" t="s">
        <v>3742</v>
      </c>
      <c r="D1568" s="2" t="s">
        <v>278</v>
      </c>
      <c r="E1568" s="2" t="s">
        <v>1524</v>
      </c>
      <c r="F1568" s="123">
        <v>44958</v>
      </c>
      <c r="G1568" s="2" t="s">
        <v>16</v>
      </c>
      <c r="H1568" s="2" t="s">
        <v>3679</v>
      </c>
      <c r="I1568" s="126">
        <v>1</v>
      </c>
      <c r="J1568" s="133">
        <v>24000</v>
      </c>
      <c r="K1568" s="133">
        <f t="shared" si="16"/>
        <v>274.85112230874944</v>
      </c>
      <c r="L1568" s="127">
        <v>44980</v>
      </c>
      <c r="M1568" s="2" t="s">
        <v>253</v>
      </c>
      <c r="N1568" s="127">
        <v>44980</v>
      </c>
      <c r="O1568" s="138" t="s">
        <v>6528</v>
      </c>
      <c r="P1568" s="2" t="s">
        <v>3743</v>
      </c>
      <c r="Q1568" s="2" t="s">
        <v>356</v>
      </c>
      <c r="R1568" s="2" t="str">
        <f t="shared" ca="1" si="17"/>
        <v>NonCategory</v>
      </c>
    </row>
    <row r="1569" spans="1:18">
      <c r="A1569" s="163">
        <v>44981</v>
      </c>
      <c r="B1569" s="165" t="s">
        <v>3744</v>
      </c>
      <c r="C1569" s="168" t="s">
        <v>3745</v>
      </c>
      <c r="D1569" s="2" t="s">
        <v>278</v>
      </c>
      <c r="E1569" s="2" t="s">
        <v>97</v>
      </c>
      <c r="F1569" s="123">
        <v>44958</v>
      </c>
      <c r="G1569" s="2" t="s">
        <v>16</v>
      </c>
      <c r="H1569" s="2" t="s">
        <v>3679</v>
      </c>
      <c r="I1569" s="126">
        <v>1</v>
      </c>
      <c r="J1569" s="133">
        <v>20000</v>
      </c>
      <c r="K1569" s="133">
        <f t="shared" si="16"/>
        <v>229.04260192395787</v>
      </c>
      <c r="L1569" s="127">
        <v>44981</v>
      </c>
      <c r="M1569" s="2" t="s">
        <v>253</v>
      </c>
      <c r="N1569" s="127">
        <v>44981</v>
      </c>
      <c r="O1569" s="138" t="s">
        <v>6529</v>
      </c>
      <c r="P1569" s="2" t="s">
        <v>3363</v>
      </c>
      <c r="Q1569" s="2" t="s">
        <v>356</v>
      </c>
      <c r="R1569" s="2" t="str">
        <f t="shared" ca="1" si="17"/>
        <v>NonCategory</v>
      </c>
    </row>
    <row r="1570" spans="1:18">
      <c r="A1570" s="163">
        <v>44981</v>
      </c>
      <c r="B1570" s="165" t="s">
        <v>3746</v>
      </c>
      <c r="C1570" s="168" t="s">
        <v>3747</v>
      </c>
      <c r="D1570" s="2" t="s">
        <v>291</v>
      </c>
      <c r="E1570" s="2" t="s">
        <v>25</v>
      </c>
      <c r="F1570" s="123">
        <v>44958</v>
      </c>
      <c r="G1570" s="2" t="s">
        <v>16</v>
      </c>
      <c r="H1570" s="2" t="s">
        <v>3697</v>
      </c>
      <c r="I1570" s="126">
        <v>1</v>
      </c>
      <c r="J1570" s="133">
        <v>40061</v>
      </c>
      <c r="K1570" s="133">
        <f t="shared" si="16"/>
        <v>458.7837837837838</v>
      </c>
      <c r="L1570" s="127">
        <v>44981</v>
      </c>
      <c r="M1570" s="2" t="s">
        <v>253</v>
      </c>
      <c r="N1570" s="127">
        <v>44981</v>
      </c>
      <c r="O1570" s="138" t="s">
        <v>6530</v>
      </c>
      <c r="P1570" s="2"/>
      <c r="Q1570" s="2" t="s">
        <v>356</v>
      </c>
      <c r="R1570" s="2" t="str">
        <f t="shared" ca="1" si="17"/>
        <v>NonCategory</v>
      </c>
    </row>
    <row r="1571" spans="1:18">
      <c r="A1571" s="163">
        <v>44984</v>
      </c>
      <c r="B1571" s="165" t="s">
        <v>3748</v>
      </c>
      <c r="C1571" s="168" t="s">
        <v>3749</v>
      </c>
      <c r="D1571" s="2" t="s">
        <v>278</v>
      </c>
      <c r="E1571" s="2" t="s">
        <v>1497</v>
      </c>
      <c r="F1571" s="123">
        <v>44958</v>
      </c>
      <c r="G1571" s="2" t="s">
        <v>16</v>
      </c>
      <c r="H1571" s="2" t="s">
        <v>3719</v>
      </c>
      <c r="I1571" s="126">
        <v>1</v>
      </c>
      <c r="J1571" s="133">
        <v>24000</v>
      </c>
      <c r="K1571" s="133">
        <f t="shared" si="16"/>
        <v>274.85112230874944</v>
      </c>
      <c r="L1571" s="127">
        <v>44984</v>
      </c>
      <c r="M1571" s="2" t="s">
        <v>253</v>
      </c>
      <c r="N1571" s="127">
        <v>44984</v>
      </c>
      <c r="O1571" s="138" t="s">
        <v>6531</v>
      </c>
      <c r="P1571" s="2" t="s">
        <v>3750</v>
      </c>
      <c r="Q1571" s="2" t="s">
        <v>356</v>
      </c>
      <c r="R1571" s="2" t="str">
        <f t="shared" ca="1" si="17"/>
        <v>NonCategory</v>
      </c>
    </row>
    <row r="1572" spans="1:18">
      <c r="A1572" s="163">
        <v>44984</v>
      </c>
      <c r="B1572" s="165" t="s">
        <v>3311</v>
      </c>
      <c r="C1572" s="168" t="s">
        <v>3312</v>
      </c>
      <c r="D1572" s="2" t="s">
        <v>470</v>
      </c>
      <c r="E1572" s="2" t="s">
        <v>151</v>
      </c>
      <c r="F1572" s="123">
        <v>44958</v>
      </c>
      <c r="G1572" s="2" t="s">
        <v>16</v>
      </c>
      <c r="H1572" s="2" t="s">
        <v>3697</v>
      </c>
      <c r="I1572" s="126">
        <v>1</v>
      </c>
      <c r="J1572" s="133">
        <v>21000</v>
      </c>
      <c r="K1572" s="133">
        <f t="shared" si="16"/>
        <v>240.49473202015577</v>
      </c>
      <c r="L1572" s="127">
        <v>44984</v>
      </c>
      <c r="M1572" s="2" t="s">
        <v>253</v>
      </c>
      <c r="N1572" s="127">
        <v>44984</v>
      </c>
      <c r="O1572" s="138" t="s">
        <v>6532</v>
      </c>
      <c r="P1572" s="2"/>
      <c r="Q1572" s="2" t="s">
        <v>356</v>
      </c>
      <c r="R1572" s="2" t="str">
        <f t="shared" ca="1" si="17"/>
        <v>NonCategory</v>
      </c>
    </row>
    <row r="1573" spans="1:18">
      <c r="A1573" s="163">
        <v>44984</v>
      </c>
      <c r="B1573" s="165" t="s">
        <v>3751</v>
      </c>
      <c r="C1573" s="168" t="s">
        <v>3752</v>
      </c>
      <c r="D1573" s="2" t="s">
        <v>319</v>
      </c>
      <c r="E1573" s="2" t="s">
        <v>150</v>
      </c>
      <c r="F1573" s="123">
        <v>44986</v>
      </c>
      <c r="G1573" s="2" t="s">
        <v>16</v>
      </c>
      <c r="H1573" s="2" t="s">
        <v>3697</v>
      </c>
      <c r="I1573" s="126">
        <v>1</v>
      </c>
      <c r="J1573" s="133">
        <v>21000</v>
      </c>
      <c r="K1573" s="133">
        <f t="shared" si="16"/>
        <v>240.49473202015577</v>
      </c>
      <c r="L1573" s="127">
        <v>44984</v>
      </c>
      <c r="M1573" s="2" t="s">
        <v>251</v>
      </c>
      <c r="N1573" s="125">
        <v>44986</v>
      </c>
      <c r="O1573" s="138" t="s">
        <v>6533</v>
      </c>
      <c r="P1573" s="2"/>
      <c r="Q1573" s="2" t="s">
        <v>356</v>
      </c>
      <c r="R1573" s="2" t="str">
        <f t="shared" ca="1" si="17"/>
        <v>NonCategory</v>
      </c>
    </row>
    <row r="1574" spans="1:18">
      <c r="A1574" s="163">
        <v>44985</v>
      </c>
      <c r="B1574" s="165" t="s">
        <v>3753</v>
      </c>
      <c r="C1574" s="168" t="s">
        <v>3754</v>
      </c>
      <c r="D1574" s="2" t="s">
        <v>278</v>
      </c>
      <c r="E1574" s="2" t="s">
        <v>1524</v>
      </c>
      <c r="F1574" s="123">
        <v>44958</v>
      </c>
      <c r="G1574" s="2" t="s">
        <v>16</v>
      </c>
      <c r="H1574" s="2" t="s">
        <v>3719</v>
      </c>
      <c r="I1574" s="126">
        <v>1</v>
      </c>
      <c r="J1574" s="133">
        <v>24000</v>
      </c>
      <c r="K1574" s="133">
        <f t="shared" si="16"/>
        <v>274.85112230874944</v>
      </c>
      <c r="L1574" s="127">
        <v>44985</v>
      </c>
      <c r="M1574" s="2" t="s">
        <v>253</v>
      </c>
      <c r="N1574" s="127">
        <v>44985</v>
      </c>
      <c r="O1574" s="134" t="s">
        <v>6534</v>
      </c>
      <c r="P1574" s="2" t="s">
        <v>3755</v>
      </c>
      <c r="Q1574" s="2" t="s">
        <v>356</v>
      </c>
      <c r="R1574" s="2" t="str">
        <f t="shared" ca="1" si="17"/>
        <v>NonCategory</v>
      </c>
    </row>
    <row r="1575" spans="1:18">
      <c r="A1575" s="163">
        <v>44985</v>
      </c>
      <c r="B1575" s="165" t="s">
        <v>3756</v>
      </c>
      <c r="C1575" s="168" t="s">
        <v>3757</v>
      </c>
      <c r="D1575" s="2" t="s">
        <v>470</v>
      </c>
      <c r="E1575" s="2" t="s">
        <v>150</v>
      </c>
      <c r="F1575" s="123">
        <v>44958</v>
      </c>
      <c r="G1575" s="2" t="s">
        <v>16</v>
      </c>
      <c r="H1575" s="2" t="s">
        <v>3697</v>
      </c>
      <c r="I1575" s="126">
        <v>1</v>
      </c>
      <c r="J1575" s="133">
        <v>21000</v>
      </c>
      <c r="K1575" s="133">
        <f t="shared" si="16"/>
        <v>240.49473202015577</v>
      </c>
      <c r="L1575" s="127">
        <v>44985</v>
      </c>
      <c r="M1575" s="2" t="s">
        <v>253</v>
      </c>
      <c r="N1575" s="127">
        <v>44985</v>
      </c>
      <c r="O1575" s="134" t="s">
        <v>6535</v>
      </c>
      <c r="P1575" s="2"/>
      <c r="Q1575" s="2" t="s">
        <v>356</v>
      </c>
      <c r="R1575" s="2" t="str">
        <f t="shared" ca="1" si="17"/>
        <v>NonCategory</v>
      </c>
    </row>
    <row r="1576" spans="1:18">
      <c r="A1576" s="163">
        <v>44985</v>
      </c>
      <c r="B1576" s="165" t="s">
        <v>3625</v>
      </c>
      <c r="C1576" s="168" t="s">
        <v>3626</v>
      </c>
      <c r="D1576" s="2" t="s">
        <v>306</v>
      </c>
      <c r="E1576" s="2" t="s">
        <v>998</v>
      </c>
      <c r="F1576" s="123">
        <v>44958</v>
      </c>
      <c r="G1576" s="2" t="s">
        <v>16</v>
      </c>
      <c r="H1576" s="125">
        <v>44996</v>
      </c>
      <c r="I1576" s="126">
        <v>1</v>
      </c>
      <c r="J1576" s="133">
        <v>16911</v>
      </c>
      <c r="K1576" s="133">
        <f t="shared" si="16"/>
        <v>193.66697205680256</v>
      </c>
      <c r="L1576" s="127">
        <v>44985</v>
      </c>
      <c r="M1576" s="2" t="s">
        <v>253</v>
      </c>
      <c r="N1576" s="127">
        <v>44985</v>
      </c>
      <c r="O1576" s="134" t="s">
        <v>6536</v>
      </c>
      <c r="P1576" s="2"/>
      <c r="Q1576" s="2" t="s">
        <v>356</v>
      </c>
      <c r="R1576" s="2" t="str">
        <f t="shared" ca="1" si="17"/>
        <v>NonCategory</v>
      </c>
    </row>
    <row r="1577" spans="1:18">
      <c r="A1577" s="163">
        <v>44985</v>
      </c>
      <c r="B1577" s="165" t="s">
        <v>3758</v>
      </c>
      <c r="C1577" s="168" t="s">
        <v>3759</v>
      </c>
      <c r="D1577" s="2" t="s">
        <v>278</v>
      </c>
      <c r="E1577" s="2" t="s">
        <v>150</v>
      </c>
      <c r="F1577" s="123">
        <v>44958</v>
      </c>
      <c r="G1577" s="2" t="s">
        <v>16</v>
      </c>
      <c r="H1577" s="2" t="s">
        <v>3719</v>
      </c>
      <c r="I1577" s="126">
        <v>1</v>
      </c>
      <c r="J1577" s="133">
        <v>21000</v>
      </c>
      <c r="K1577" s="133">
        <f t="shared" si="16"/>
        <v>240.49473202015577</v>
      </c>
      <c r="L1577" s="127">
        <v>44985</v>
      </c>
      <c r="M1577" s="2" t="s">
        <v>253</v>
      </c>
      <c r="N1577" s="127">
        <v>44985</v>
      </c>
      <c r="O1577" s="134" t="s">
        <v>6537</v>
      </c>
      <c r="P1577" s="2" t="s">
        <v>3287</v>
      </c>
      <c r="Q1577" s="2" t="s">
        <v>356</v>
      </c>
      <c r="R1577" s="2" t="str">
        <f t="shared" ca="1" si="17"/>
        <v>NonCategory</v>
      </c>
    </row>
    <row r="1578" spans="1:18">
      <c r="A1578" s="163">
        <v>44985</v>
      </c>
      <c r="B1578" s="165" t="s">
        <v>3760</v>
      </c>
      <c r="C1578" s="168" t="s">
        <v>3761</v>
      </c>
      <c r="D1578" s="2" t="s">
        <v>278</v>
      </c>
      <c r="E1578" s="2" t="s">
        <v>1497</v>
      </c>
      <c r="F1578" s="123">
        <v>44958</v>
      </c>
      <c r="G1578" s="2" t="s">
        <v>16</v>
      </c>
      <c r="H1578" s="2" t="s">
        <v>3719</v>
      </c>
      <c r="I1578" s="126">
        <v>1</v>
      </c>
      <c r="J1578" s="133">
        <v>24000</v>
      </c>
      <c r="K1578" s="133">
        <f t="shared" si="16"/>
        <v>274.85112230874944</v>
      </c>
      <c r="L1578" s="127">
        <v>44985</v>
      </c>
      <c r="M1578" s="2" t="s">
        <v>253</v>
      </c>
      <c r="N1578" s="127">
        <v>44985</v>
      </c>
      <c r="O1578" s="134" t="s">
        <v>6538</v>
      </c>
      <c r="P1578" s="2" t="s">
        <v>3762</v>
      </c>
      <c r="Q1578" s="2" t="s">
        <v>356</v>
      </c>
      <c r="R1578" s="2" t="str">
        <f t="shared" ca="1" si="17"/>
        <v>NonCategory</v>
      </c>
    </row>
    <row r="1579" spans="1:18">
      <c r="A1579" s="163">
        <v>44986</v>
      </c>
      <c r="B1579" s="165" t="s">
        <v>3763</v>
      </c>
      <c r="C1579" s="168" t="s">
        <v>3764</v>
      </c>
      <c r="D1579" s="2" t="s">
        <v>278</v>
      </c>
      <c r="E1579" s="2" t="s">
        <v>1524</v>
      </c>
      <c r="F1579" s="123">
        <v>44986</v>
      </c>
      <c r="G1579" s="2" t="s">
        <v>16</v>
      </c>
      <c r="H1579" s="2" t="s">
        <v>3719</v>
      </c>
      <c r="I1579" s="126">
        <v>1</v>
      </c>
      <c r="J1579" s="133">
        <v>24000</v>
      </c>
      <c r="K1579" s="133">
        <f t="shared" si="16"/>
        <v>274.85112230874944</v>
      </c>
      <c r="L1579" s="125">
        <v>44986</v>
      </c>
      <c r="M1579" s="2" t="s">
        <v>251</v>
      </c>
      <c r="N1579" s="125">
        <v>44986</v>
      </c>
      <c r="O1579" s="138" t="s">
        <v>6539</v>
      </c>
      <c r="P1579" s="2" t="s">
        <v>3765</v>
      </c>
      <c r="Q1579" s="2" t="s">
        <v>356</v>
      </c>
      <c r="R1579" s="2" t="str">
        <f t="shared" ca="1" si="17"/>
        <v>NonCategory</v>
      </c>
    </row>
    <row r="1580" spans="1:18">
      <c r="A1580" s="163">
        <v>44986</v>
      </c>
      <c r="B1580" s="165" t="s">
        <v>3766</v>
      </c>
      <c r="C1580" s="168" t="s">
        <v>3767</v>
      </c>
      <c r="D1580" s="2" t="s">
        <v>303</v>
      </c>
      <c r="E1580" s="2" t="s">
        <v>25</v>
      </c>
      <c r="F1580" s="123">
        <v>44986</v>
      </c>
      <c r="G1580" s="2" t="s">
        <v>16</v>
      </c>
      <c r="H1580" s="2" t="s">
        <v>3697</v>
      </c>
      <c r="I1580" s="126">
        <v>1</v>
      </c>
      <c r="J1580" s="133">
        <v>40061</v>
      </c>
      <c r="K1580" s="133">
        <f t="shared" si="16"/>
        <v>458.7837837837838</v>
      </c>
      <c r="L1580" s="125">
        <v>44986</v>
      </c>
      <c r="M1580" s="2" t="s">
        <v>251</v>
      </c>
      <c r="N1580" s="125">
        <v>44986</v>
      </c>
      <c r="O1580" s="138" t="s">
        <v>6540</v>
      </c>
      <c r="P1580" s="2"/>
      <c r="Q1580" s="2" t="s">
        <v>356</v>
      </c>
      <c r="R1580" s="2" t="str">
        <f t="shared" ca="1" si="17"/>
        <v>NonCategory</v>
      </c>
    </row>
    <row r="1581" spans="1:18">
      <c r="A1581" s="163">
        <v>44986</v>
      </c>
      <c r="B1581" s="165" t="s">
        <v>3768</v>
      </c>
      <c r="C1581" s="168" t="s">
        <v>3769</v>
      </c>
      <c r="D1581" s="2" t="s">
        <v>297</v>
      </c>
      <c r="E1581" s="2" t="s">
        <v>150</v>
      </c>
      <c r="F1581" s="123">
        <v>44986</v>
      </c>
      <c r="G1581" s="2" t="s">
        <v>16</v>
      </c>
      <c r="H1581" s="2" t="s">
        <v>3697</v>
      </c>
      <c r="I1581" s="126">
        <v>1</v>
      </c>
      <c r="J1581" s="133">
        <v>21000</v>
      </c>
      <c r="K1581" s="133">
        <f t="shared" si="16"/>
        <v>240.49473202015577</v>
      </c>
      <c r="L1581" s="125">
        <v>44986</v>
      </c>
      <c r="M1581" s="2" t="s">
        <v>251</v>
      </c>
      <c r="N1581" s="125">
        <v>44986</v>
      </c>
      <c r="O1581" s="138" t="s">
        <v>6541</v>
      </c>
      <c r="P1581" s="2"/>
      <c r="Q1581" s="2" t="s">
        <v>356</v>
      </c>
      <c r="R1581" s="2" t="str">
        <f t="shared" ca="1" si="17"/>
        <v>NonCategory</v>
      </c>
    </row>
    <row r="1582" spans="1:18">
      <c r="A1582" s="163">
        <v>44986</v>
      </c>
      <c r="B1582" s="165" t="s">
        <v>3770</v>
      </c>
      <c r="C1582" s="168" t="s">
        <v>3771</v>
      </c>
      <c r="D1582" s="2" t="s">
        <v>470</v>
      </c>
      <c r="E1582" s="2" t="s">
        <v>1741</v>
      </c>
      <c r="F1582" s="123">
        <v>44986</v>
      </c>
      <c r="G1582" s="2" t="s">
        <v>16</v>
      </c>
      <c r="H1582" s="2" t="s">
        <v>21</v>
      </c>
      <c r="I1582" s="126">
        <v>1</v>
      </c>
      <c r="J1582" s="133">
        <v>23714</v>
      </c>
      <c r="K1582" s="133">
        <f t="shared" si="16"/>
        <v>271.57581310123686</v>
      </c>
      <c r="L1582" s="125">
        <v>44986</v>
      </c>
      <c r="M1582" s="2" t="s">
        <v>251</v>
      </c>
      <c r="N1582" s="125">
        <v>44986</v>
      </c>
      <c r="O1582" s="138" t="s">
        <v>6542</v>
      </c>
      <c r="P1582" s="2"/>
      <c r="Q1582" s="2" t="s">
        <v>356</v>
      </c>
      <c r="R1582" s="2" t="str">
        <f t="shared" ca="1" si="17"/>
        <v>NonCategory</v>
      </c>
    </row>
    <row r="1583" spans="1:18">
      <c r="A1583" s="163">
        <v>44986</v>
      </c>
      <c r="B1583" s="165" t="s">
        <v>3772</v>
      </c>
      <c r="C1583" s="168" t="s">
        <v>3773</v>
      </c>
      <c r="D1583" s="2" t="s">
        <v>278</v>
      </c>
      <c r="E1583" s="2" t="s">
        <v>1715</v>
      </c>
      <c r="F1583" s="123">
        <v>44986</v>
      </c>
      <c r="G1583" s="2" t="s">
        <v>16</v>
      </c>
      <c r="H1583" s="125">
        <v>44996</v>
      </c>
      <c r="I1583" s="126">
        <v>1</v>
      </c>
      <c r="J1583" s="133">
        <v>21100</v>
      </c>
      <c r="K1583" s="133">
        <f t="shared" si="16"/>
        <v>241.63994502977556</v>
      </c>
      <c r="L1583" s="125">
        <v>44986</v>
      </c>
      <c r="M1583" s="2" t="s">
        <v>251</v>
      </c>
      <c r="N1583" s="125">
        <v>44986</v>
      </c>
      <c r="O1583" s="138" t="s">
        <v>6543</v>
      </c>
      <c r="P1583" s="2" t="s">
        <v>3774</v>
      </c>
      <c r="Q1583" s="2" t="s">
        <v>356</v>
      </c>
      <c r="R1583" s="2" t="str">
        <f t="shared" ca="1" si="17"/>
        <v>NonCategory</v>
      </c>
    </row>
    <row r="1584" spans="1:18">
      <c r="A1584" s="163">
        <v>44987</v>
      </c>
      <c r="B1584" s="165" t="s">
        <v>3775</v>
      </c>
      <c r="C1584" s="168" t="s">
        <v>3776</v>
      </c>
      <c r="D1584" s="2" t="s">
        <v>278</v>
      </c>
      <c r="E1584" s="2" t="s">
        <v>72</v>
      </c>
      <c r="F1584" s="123">
        <v>44986</v>
      </c>
      <c r="G1584" s="2" t="s">
        <v>16</v>
      </c>
      <c r="H1584" s="2" t="s">
        <v>3777</v>
      </c>
      <c r="I1584" s="126">
        <v>1</v>
      </c>
      <c r="J1584" s="133">
        <v>57230</v>
      </c>
      <c r="K1584" s="133">
        <f t="shared" si="16"/>
        <v>655.40540540540542</v>
      </c>
      <c r="L1584" s="125">
        <v>44987</v>
      </c>
      <c r="M1584" s="2" t="s">
        <v>251</v>
      </c>
      <c r="N1584" s="125">
        <v>44987</v>
      </c>
      <c r="O1584" s="138" t="s">
        <v>6544</v>
      </c>
      <c r="P1584" s="2" t="s">
        <v>3584</v>
      </c>
      <c r="Q1584" s="2" t="s">
        <v>356</v>
      </c>
      <c r="R1584" s="2" t="str">
        <f t="shared" ca="1" si="17"/>
        <v>NonCategory</v>
      </c>
    </row>
    <row r="1585" spans="1:18">
      <c r="A1585" s="163">
        <v>44987</v>
      </c>
      <c r="B1585" s="165" t="s">
        <v>3775</v>
      </c>
      <c r="C1585" s="168" t="s">
        <v>3776</v>
      </c>
      <c r="D1585" s="2" t="s">
        <v>278</v>
      </c>
      <c r="E1585" s="2" t="s">
        <v>72</v>
      </c>
      <c r="F1585" s="123">
        <v>44986</v>
      </c>
      <c r="G1585" s="2" t="s">
        <v>16</v>
      </c>
      <c r="H1585" s="2" t="s">
        <v>3777</v>
      </c>
      <c r="I1585" s="126">
        <v>1</v>
      </c>
      <c r="J1585" s="133">
        <v>67770</v>
      </c>
      <c r="K1585" s="133">
        <f t="shared" si="16"/>
        <v>776.11085661933123</v>
      </c>
      <c r="L1585" s="125">
        <v>44987</v>
      </c>
      <c r="M1585" s="2" t="s">
        <v>251</v>
      </c>
      <c r="N1585" s="125">
        <v>44987</v>
      </c>
      <c r="O1585" s="138" t="s">
        <v>6545</v>
      </c>
      <c r="P1585" s="2"/>
      <c r="Q1585" s="2" t="s">
        <v>356</v>
      </c>
      <c r="R1585" s="2" t="str">
        <f t="shared" ca="1" si="17"/>
        <v>NonCategory</v>
      </c>
    </row>
    <row r="1586" spans="1:18">
      <c r="A1586" s="163">
        <v>44987</v>
      </c>
      <c r="B1586" s="165" t="s">
        <v>3778</v>
      </c>
      <c r="C1586" s="168" t="s">
        <v>3779</v>
      </c>
      <c r="D1586" s="2" t="s">
        <v>303</v>
      </c>
      <c r="E1586" s="2" t="s">
        <v>151</v>
      </c>
      <c r="F1586" s="123">
        <v>44986</v>
      </c>
      <c r="G1586" s="2" t="s">
        <v>16</v>
      </c>
      <c r="H1586" s="2" t="s">
        <v>3697</v>
      </c>
      <c r="I1586" s="126">
        <v>1</v>
      </c>
      <c r="J1586" s="133">
        <v>21000</v>
      </c>
      <c r="K1586" s="133">
        <f t="shared" si="16"/>
        <v>240.49473202015577</v>
      </c>
      <c r="L1586" s="125">
        <v>44987</v>
      </c>
      <c r="M1586" s="2" t="s">
        <v>251</v>
      </c>
      <c r="N1586" s="125">
        <v>44987</v>
      </c>
      <c r="O1586" s="138" t="s">
        <v>6546</v>
      </c>
      <c r="P1586" s="2"/>
      <c r="Q1586" s="2" t="s">
        <v>356</v>
      </c>
      <c r="R1586" s="2" t="str">
        <f t="shared" ca="1" si="17"/>
        <v>NonCategory</v>
      </c>
    </row>
    <row r="1587" spans="1:18">
      <c r="A1587" s="163">
        <v>44987</v>
      </c>
      <c r="B1587" s="165" t="s">
        <v>3739</v>
      </c>
      <c r="C1587" s="168" t="s">
        <v>3740</v>
      </c>
      <c r="D1587" s="2" t="s">
        <v>470</v>
      </c>
      <c r="E1587" s="2" t="s">
        <v>151</v>
      </c>
      <c r="F1587" s="123">
        <v>44986</v>
      </c>
      <c r="G1587" s="2" t="s">
        <v>16</v>
      </c>
      <c r="H1587" s="2" t="s">
        <v>3697</v>
      </c>
      <c r="I1587" s="126">
        <v>1</v>
      </c>
      <c r="J1587" s="133">
        <v>21000</v>
      </c>
      <c r="K1587" s="133">
        <f t="shared" si="16"/>
        <v>240.49473202015577</v>
      </c>
      <c r="L1587" s="125">
        <v>44987</v>
      </c>
      <c r="M1587" s="2" t="s">
        <v>251</v>
      </c>
      <c r="N1587" s="125">
        <v>44987</v>
      </c>
      <c r="O1587" s="138" t="s">
        <v>6547</v>
      </c>
      <c r="P1587" s="2"/>
      <c r="Q1587" s="2" t="s">
        <v>356</v>
      </c>
      <c r="R1587" s="2" t="str">
        <f t="shared" ca="1" si="17"/>
        <v>NonCategory</v>
      </c>
    </row>
    <row r="1588" spans="1:18">
      <c r="A1588" s="163">
        <v>44987</v>
      </c>
      <c r="B1588" s="165" t="s">
        <v>3780</v>
      </c>
      <c r="C1588" s="168" t="s">
        <v>3781</v>
      </c>
      <c r="D1588" s="2" t="s">
        <v>291</v>
      </c>
      <c r="E1588" s="2" t="s">
        <v>150</v>
      </c>
      <c r="F1588" s="123">
        <v>44986</v>
      </c>
      <c r="G1588" s="2" t="s">
        <v>16</v>
      </c>
      <c r="H1588" s="2" t="s">
        <v>3697</v>
      </c>
      <c r="I1588" s="126">
        <v>1</v>
      </c>
      <c r="J1588" s="133">
        <v>21000</v>
      </c>
      <c r="K1588" s="133">
        <f t="shared" si="16"/>
        <v>240.49473202015577</v>
      </c>
      <c r="L1588" s="125">
        <v>44987</v>
      </c>
      <c r="M1588" s="2" t="s">
        <v>251</v>
      </c>
      <c r="N1588" s="125">
        <v>44987</v>
      </c>
      <c r="O1588" s="138" t="s">
        <v>6548</v>
      </c>
      <c r="P1588" s="2"/>
      <c r="Q1588" s="2" t="s">
        <v>356</v>
      </c>
      <c r="R1588" s="2" t="str">
        <f t="shared" ca="1" si="17"/>
        <v>NonCategory</v>
      </c>
    </row>
    <row r="1589" spans="1:18">
      <c r="A1589" s="163">
        <v>44988</v>
      </c>
      <c r="B1589" s="165" t="s">
        <v>3782</v>
      </c>
      <c r="C1589" s="168" t="s">
        <v>3783</v>
      </c>
      <c r="D1589" s="2" t="s">
        <v>278</v>
      </c>
      <c r="E1589" s="2" t="s">
        <v>1497</v>
      </c>
      <c r="F1589" s="123">
        <v>44986</v>
      </c>
      <c r="G1589" s="2" t="s">
        <v>16</v>
      </c>
      <c r="H1589" s="2" t="s">
        <v>3719</v>
      </c>
      <c r="I1589" s="126">
        <v>1</v>
      </c>
      <c r="J1589" s="133">
        <v>24000</v>
      </c>
      <c r="K1589" s="133">
        <f t="shared" si="16"/>
        <v>274.85112230874944</v>
      </c>
      <c r="L1589" s="125">
        <v>44988</v>
      </c>
      <c r="M1589" s="2" t="s">
        <v>251</v>
      </c>
      <c r="N1589" s="125">
        <v>44988</v>
      </c>
      <c r="O1589" s="134" t="s">
        <v>6549</v>
      </c>
      <c r="P1589" s="2" t="s">
        <v>3784</v>
      </c>
      <c r="Q1589" s="2" t="s">
        <v>356</v>
      </c>
      <c r="R1589" s="2" t="str">
        <f t="shared" ca="1" si="17"/>
        <v>NonCategory</v>
      </c>
    </row>
    <row r="1590" spans="1:18">
      <c r="A1590" s="163">
        <v>44988</v>
      </c>
      <c r="B1590" s="165" t="s">
        <v>746</v>
      </c>
      <c r="C1590" s="168" t="s">
        <v>747</v>
      </c>
      <c r="D1590" s="2" t="s">
        <v>470</v>
      </c>
      <c r="E1590" s="2" t="s">
        <v>97</v>
      </c>
      <c r="F1590" s="123">
        <v>44986</v>
      </c>
      <c r="G1590" s="2" t="s">
        <v>16</v>
      </c>
      <c r="H1590" s="2" t="s">
        <v>3697</v>
      </c>
      <c r="I1590" s="126">
        <v>1</v>
      </c>
      <c r="J1590" s="133">
        <v>20000</v>
      </c>
      <c r="K1590" s="133">
        <f t="shared" si="16"/>
        <v>229.04260192395787</v>
      </c>
      <c r="L1590" s="125">
        <v>44988</v>
      </c>
      <c r="M1590" s="2" t="s">
        <v>251</v>
      </c>
      <c r="N1590" s="125">
        <v>44988</v>
      </c>
      <c r="O1590" s="134" t="s">
        <v>6550</v>
      </c>
      <c r="P1590" s="2"/>
      <c r="Q1590" s="2" t="s">
        <v>356</v>
      </c>
      <c r="R1590" s="2" t="str">
        <f t="shared" ca="1" si="17"/>
        <v>NonCategory</v>
      </c>
    </row>
    <row r="1591" spans="1:18">
      <c r="A1591" s="163">
        <v>44988</v>
      </c>
      <c r="B1591" s="165" t="s">
        <v>3785</v>
      </c>
      <c r="C1591" s="168" t="s">
        <v>3786</v>
      </c>
      <c r="D1591" s="2" t="s">
        <v>278</v>
      </c>
      <c r="E1591" s="2" t="s">
        <v>1497</v>
      </c>
      <c r="F1591" s="123">
        <v>44986</v>
      </c>
      <c r="G1591" s="2" t="s">
        <v>16</v>
      </c>
      <c r="H1591" s="2" t="s">
        <v>3719</v>
      </c>
      <c r="I1591" s="126">
        <v>1</v>
      </c>
      <c r="J1591" s="133">
        <v>24000</v>
      </c>
      <c r="K1591" s="133">
        <f t="shared" si="16"/>
        <v>274.85112230874944</v>
      </c>
      <c r="L1591" s="125">
        <v>44988</v>
      </c>
      <c r="M1591" s="2" t="s">
        <v>251</v>
      </c>
      <c r="N1591" s="125">
        <v>44988</v>
      </c>
      <c r="O1591" s="134" t="s">
        <v>6551</v>
      </c>
      <c r="P1591" s="2" t="s">
        <v>3787</v>
      </c>
      <c r="Q1591" s="2" t="s">
        <v>356</v>
      </c>
      <c r="R1591" s="2" t="str">
        <f t="shared" ca="1" si="17"/>
        <v>NonCategory</v>
      </c>
    </row>
    <row r="1592" spans="1:18">
      <c r="A1592" s="163">
        <v>44988</v>
      </c>
      <c r="B1592" s="165" t="s">
        <v>3263</v>
      </c>
      <c r="C1592" s="168" t="s">
        <v>3264</v>
      </c>
      <c r="D1592" s="2" t="s">
        <v>319</v>
      </c>
      <c r="E1592" s="2" t="s">
        <v>25</v>
      </c>
      <c r="F1592" s="123">
        <v>44986</v>
      </c>
      <c r="G1592" s="2" t="s">
        <v>16</v>
      </c>
      <c r="H1592" s="2" t="s">
        <v>3697</v>
      </c>
      <c r="I1592" s="126">
        <v>1</v>
      </c>
      <c r="J1592" s="133">
        <v>40061</v>
      </c>
      <c r="K1592" s="133">
        <f t="shared" si="16"/>
        <v>458.7837837837838</v>
      </c>
      <c r="L1592" s="125">
        <v>44988</v>
      </c>
      <c r="M1592" s="2" t="s">
        <v>251</v>
      </c>
      <c r="N1592" s="125">
        <v>44988</v>
      </c>
      <c r="O1592" s="134" t="s">
        <v>6552</v>
      </c>
      <c r="P1592" s="2"/>
      <c r="Q1592" s="2" t="s">
        <v>356</v>
      </c>
      <c r="R1592" s="2" t="str">
        <f t="shared" ca="1" si="17"/>
        <v>NonCategory</v>
      </c>
    </row>
    <row r="1593" spans="1:18">
      <c r="A1593" s="163">
        <v>44988</v>
      </c>
      <c r="B1593" s="165" t="s">
        <v>3788</v>
      </c>
      <c r="C1593" s="168" t="s">
        <v>3789</v>
      </c>
      <c r="D1593" s="2" t="s">
        <v>278</v>
      </c>
      <c r="E1593" s="2" t="s">
        <v>96</v>
      </c>
      <c r="F1593" s="123">
        <v>44986</v>
      </c>
      <c r="G1593" s="2" t="s">
        <v>16</v>
      </c>
      <c r="H1593" s="2" t="s">
        <v>3790</v>
      </c>
      <c r="I1593" s="126">
        <v>1</v>
      </c>
      <c r="J1593" s="133">
        <v>20000</v>
      </c>
      <c r="K1593" s="133">
        <f t="shared" si="16"/>
        <v>229.04260192395787</v>
      </c>
      <c r="L1593" s="125">
        <v>44988</v>
      </c>
      <c r="M1593" s="2" t="s">
        <v>251</v>
      </c>
      <c r="N1593" s="125">
        <v>44991</v>
      </c>
      <c r="O1593" s="134" t="s">
        <v>6553</v>
      </c>
      <c r="P1593" s="2" t="s">
        <v>3584</v>
      </c>
      <c r="Q1593" s="2" t="s">
        <v>356</v>
      </c>
      <c r="R1593" s="2" t="str">
        <f t="shared" ca="1" si="17"/>
        <v>NonCategory</v>
      </c>
    </row>
    <row r="1594" spans="1:18">
      <c r="A1594" s="163">
        <v>44988</v>
      </c>
      <c r="B1594" s="165" t="s">
        <v>3791</v>
      </c>
      <c r="C1594" s="168" t="s">
        <v>3792</v>
      </c>
      <c r="D1594" s="2" t="s">
        <v>3500</v>
      </c>
      <c r="E1594" s="2" t="s">
        <v>96</v>
      </c>
      <c r="F1594" s="123">
        <v>44986</v>
      </c>
      <c r="G1594" s="2" t="s">
        <v>16</v>
      </c>
      <c r="H1594" s="2" t="s">
        <v>3793</v>
      </c>
      <c r="I1594" s="126">
        <v>1</v>
      </c>
      <c r="J1594" s="133">
        <v>20000</v>
      </c>
      <c r="K1594" s="133">
        <f t="shared" si="16"/>
        <v>229.04260192395787</v>
      </c>
      <c r="L1594" s="125">
        <v>44988</v>
      </c>
      <c r="M1594" s="2" t="s">
        <v>251</v>
      </c>
      <c r="N1594" s="125">
        <v>44988</v>
      </c>
      <c r="O1594" s="134" t="s">
        <v>6554</v>
      </c>
      <c r="P1594" s="2"/>
      <c r="Q1594" s="2" t="s">
        <v>356</v>
      </c>
      <c r="R1594" s="2" t="str">
        <f t="shared" ca="1" si="17"/>
        <v>NonCategory</v>
      </c>
    </row>
    <row r="1595" spans="1:18">
      <c r="A1595" s="163">
        <v>44989</v>
      </c>
      <c r="B1595" s="165" t="s">
        <v>3265</v>
      </c>
      <c r="C1595" s="168" t="s">
        <v>3266</v>
      </c>
      <c r="D1595" s="2" t="s">
        <v>470</v>
      </c>
      <c r="E1595" s="2" t="s">
        <v>151</v>
      </c>
      <c r="F1595" s="123">
        <v>44986</v>
      </c>
      <c r="G1595" s="2" t="s">
        <v>16</v>
      </c>
      <c r="H1595" s="2" t="s">
        <v>3790</v>
      </c>
      <c r="I1595" s="126">
        <v>1</v>
      </c>
      <c r="J1595" s="133">
        <v>21000</v>
      </c>
      <c r="K1595" s="133">
        <f t="shared" si="16"/>
        <v>240.49473202015577</v>
      </c>
      <c r="L1595" s="125">
        <v>44989</v>
      </c>
      <c r="M1595" s="2" t="s">
        <v>251</v>
      </c>
      <c r="N1595" s="125">
        <v>44989</v>
      </c>
      <c r="O1595" s="134" t="s">
        <v>6555</v>
      </c>
      <c r="P1595" s="2"/>
      <c r="Q1595" s="2" t="s">
        <v>356</v>
      </c>
      <c r="R1595" s="2" t="str">
        <f t="shared" ca="1" si="17"/>
        <v>NonCategory</v>
      </c>
    </row>
    <row r="1596" spans="1:18">
      <c r="A1596" s="163">
        <v>44992</v>
      </c>
      <c r="B1596" s="165" t="s">
        <v>3794</v>
      </c>
      <c r="C1596" s="168" t="s">
        <v>3795</v>
      </c>
      <c r="D1596" s="2" t="s">
        <v>287</v>
      </c>
      <c r="E1596" s="2" t="s">
        <v>150</v>
      </c>
      <c r="F1596" s="123">
        <v>44986</v>
      </c>
      <c r="G1596" s="2" t="s">
        <v>16</v>
      </c>
      <c r="H1596" s="2" t="s">
        <v>3790</v>
      </c>
      <c r="I1596" s="126">
        <v>1</v>
      </c>
      <c r="J1596" s="133">
        <v>21000</v>
      </c>
      <c r="K1596" s="133">
        <f t="shared" si="16"/>
        <v>240.49473202015577</v>
      </c>
      <c r="L1596" s="125">
        <v>44992</v>
      </c>
      <c r="M1596" s="2" t="s">
        <v>251</v>
      </c>
      <c r="N1596" s="125">
        <v>44992</v>
      </c>
      <c r="O1596" s="134" t="s">
        <v>6556</v>
      </c>
      <c r="P1596" s="2"/>
      <c r="Q1596" s="2" t="s">
        <v>356</v>
      </c>
      <c r="R1596" s="2" t="str">
        <f t="shared" ca="1" si="17"/>
        <v>NonCategory</v>
      </c>
    </row>
    <row r="1597" spans="1:18">
      <c r="A1597" s="163">
        <v>44993</v>
      </c>
      <c r="B1597" s="165" t="s">
        <v>3796</v>
      </c>
      <c r="C1597" s="168" t="s">
        <v>3797</v>
      </c>
      <c r="D1597" s="2" t="s">
        <v>278</v>
      </c>
      <c r="E1597" s="2" t="s">
        <v>1524</v>
      </c>
      <c r="F1597" s="123">
        <v>44986</v>
      </c>
      <c r="G1597" s="2" t="s">
        <v>16</v>
      </c>
      <c r="H1597" s="2" t="s">
        <v>3719</v>
      </c>
      <c r="I1597" s="126">
        <v>1</v>
      </c>
      <c r="J1597" s="133">
        <v>24000</v>
      </c>
      <c r="K1597" s="133">
        <f t="shared" si="16"/>
        <v>274.85112230874944</v>
      </c>
      <c r="L1597" s="125">
        <v>44993</v>
      </c>
      <c r="M1597" s="2" t="s">
        <v>251</v>
      </c>
      <c r="N1597" s="125">
        <v>44993</v>
      </c>
      <c r="O1597" s="134" t="s">
        <v>6557</v>
      </c>
      <c r="P1597" s="2" t="s">
        <v>3798</v>
      </c>
      <c r="Q1597" s="2" t="s">
        <v>356</v>
      </c>
      <c r="R1597" s="2" t="str">
        <f t="shared" ca="1" si="17"/>
        <v>NonCategory</v>
      </c>
    </row>
    <row r="1598" spans="1:18">
      <c r="A1598" s="163">
        <v>44994</v>
      </c>
      <c r="B1598" s="165" t="s">
        <v>3799</v>
      </c>
      <c r="C1598" s="168" t="s">
        <v>3800</v>
      </c>
      <c r="D1598" s="2" t="s">
        <v>303</v>
      </c>
      <c r="E1598" s="2" t="s">
        <v>1497</v>
      </c>
      <c r="F1598" s="123">
        <v>44986</v>
      </c>
      <c r="G1598" s="2" t="s">
        <v>16</v>
      </c>
      <c r="H1598" s="2" t="s">
        <v>3719</v>
      </c>
      <c r="I1598" s="126">
        <v>1</v>
      </c>
      <c r="J1598" s="133">
        <v>24000</v>
      </c>
      <c r="K1598" s="133">
        <f t="shared" si="16"/>
        <v>274.85112230874944</v>
      </c>
      <c r="L1598" s="125">
        <v>44994</v>
      </c>
      <c r="M1598" s="2" t="s">
        <v>251</v>
      </c>
      <c r="N1598" s="125">
        <v>44994</v>
      </c>
      <c r="O1598" s="134" t="s">
        <v>6558</v>
      </c>
      <c r="P1598" s="2"/>
      <c r="Q1598" s="2" t="s">
        <v>356</v>
      </c>
      <c r="R1598" s="2" t="str">
        <f t="shared" ca="1" si="17"/>
        <v>NonCategory</v>
      </c>
    </row>
    <row r="1599" spans="1:18">
      <c r="A1599" s="163">
        <v>44994</v>
      </c>
      <c r="B1599" s="165" t="s">
        <v>3801</v>
      </c>
      <c r="C1599" s="168" t="s">
        <v>3802</v>
      </c>
      <c r="D1599" s="2" t="s">
        <v>278</v>
      </c>
      <c r="E1599" s="2" t="s">
        <v>1524</v>
      </c>
      <c r="F1599" s="123">
        <v>44986</v>
      </c>
      <c r="G1599" s="2" t="s">
        <v>16</v>
      </c>
      <c r="H1599" s="2" t="s">
        <v>3719</v>
      </c>
      <c r="I1599" s="126">
        <v>1</v>
      </c>
      <c r="J1599" s="133">
        <v>24000</v>
      </c>
      <c r="K1599" s="133">
        <f t="shared" si="16"/>
        <v>274.85112230874944</v>
      </c>
      <c r="L1599" s="125">
        <v>44994</v>
      </c>
      <c r="M1599" s="2" t="s">
        <v>251</v>
      </c>
      <c r="N1599" s="125">
        <v>44994</v>
      </c>
      <c r="O1599" s="134" t="s">
        <v>6559</v>
      </c>
      <c r="P1599" s="2" t="s">
        <v>3803</v>
      </c>
      <c r="Q1599" s="2" t="s">
        <v>356</v>
      </c>
      <c r="R1599" s="2" t="str">
        <f t="shared" ca="1" si="17"/>
        <v>NonCategory</v>
      </c>
    </row>
    <row r="1600" spans="1:18">
      <c r="A1600" s="163">
        <v>44994</v>
      </c>
      <c r="B1600" s="165" t="s">
        <v>3804</v>
      </c>
      <c r="C1600" s="168" t="s">
        <v>3805</v>
      </c>
      <c r="D1600" s="2" t="s">
        <v>278</v>
      </c>
      <c r="E1600" s="2" t="s">
        <v>1497</v>
      </c>
      <c r="F1600" s="123">
        <v>44986</v>
      </c>
      <c r="G1600" s="2" t="s">
        <v>16</v>
      </c>
      <c r="H1600" s="2" t="s">
        <v>3719</v>
      </c>
      <c r="I1600" s="126">
        <v>1</v>
      </c>
      <c r="J1600" s="133">
        <v>24000</v>
      </c>
      <c r="K1600" s="133">
        <f t="shared" si="16"/>
        <v>274.85112230874944</v>
      </c>
      <c r="L1600" s="125">
        <v>44994</v>
      </c>
      <c r="M1600" s="2" t="s">
        <v>251</v>
      </c>
      <c r="N1600" s="125">
        <v>44995</v>
      </c>
      <c r="O1600" s="134" t="s">
        <v>6560</v>
      </c>
      <c r="P1600" s="2" t="s">
        <v>3806</v>
      </c>
      <c r="Q1600" s="2" t="s">
        <v>356</v>
      </c>
      <c r="R1600" s="2" t="str">
        <f t="shared" ca="1" si="17"/>
        <v>NonCategory</v>
      </c>
    </row>
    <row r="1601" spans="1:18">
      <c r="A1601" s="163">
        <v>44994</v>
      </c>
      <c r="B1601" s="165" t="s">
        <v>3807</v>
      </c>
      <c r="C1601" s="168" t="s">
        <v>3808</v>
      </c>
      <c r="D1601" s="2" t="s">
        <v>278</v>
      </c>
      <c r="E1601" s="2" t="s">
        <v>1497</v>
      </c>
      <c r="F1601" s="123">
        <v>44986</v>
      </c>
      <c r="G1601" s="2" t="s">
        <v>16</v>
      </c>
      <c r="H1601" s="2" t="s">
        <v>3719</v>
      </c>
      <c r="I1601" s="126">
        <v>1</v>
      </c>
      <c r="J1601" s="133">
        <v>24000</v>
      </c>
      <c r="K1601" s="133">
        <f t="shared" si="16"/>
        <v>274.85112230874944</v>
      </c>
      <c r="L1601" s="125">
        <v>44994</v>
      </c>
      <c r="M1601" s="2" t="s">
        <v>251</v>
      </c>
      <c r="N1601" s="125">
        <v>44994</v>
      </c>
      <c r="O1601" s="134" t="s">
        <v>6561</v>
      </c>
      <c r="P1601" s="2" t="s">
        <v>3809</v>
      </c>
      <c r="Q1601" s="2" t="s">
        <v>356</v>
      </c>
      <c r="R1601" s="2" t="str">
        <f t="shared" ca="1" si="17"/>
        <v>NonCategory</v>
      </c>
    </row>
    <row r="1602" spans="1:18">
      <c r="A1602" s="163">
        <v>44994</v>
      </c>
      <c r="B1602" s="165" t="s">
        <v>3810</v>
      </c>
      <c r="C1602" s="168" t="s">
        <v>3811</v>
      </c>
      <c r="D1602" s="2" t="s">
        <v>291</v>
      </c>
      <c r="E1602" s="2" t="s">
        <v>25</v>
      </c>
      <c r="F1602" s="123">
        <v>44986</v>
      </c>
      <c r="G1602" s="2" t="s">
        <v>16</v>
      </c>
      <c r="H1602" s="2" t="s">
        <v>3719</v>
      </c>
      <c r="I1602" s="126">
        <v>1</v>
      </c>
      <c r="J1602" s="133">
        <v>42000</v>
      </c>
      <c r="K1602" s="133">
        <f t="shared" si="16"/>
        <v>480.98946404031153</v>
      </c>
      <c r="L1602" s="125">
        <v>44994</v>
      </c>
      <c r="M1602" s="2" t="s">
        <v>251</v>
      </c>
      <c r="N1602" s="125">
        <v>44994</v>
      </c>
      <c r="O1602" s="134" t="s">
        <v>6562</v>
      </c>
      <c r="P1602" s="2"/>
      <c r="Q1602" s="2" t="s">
        <v>356</v>
      </c>
      <c r="R1602" s="2" t="str">
        <f t="shared" ca="1" si="17"/>
        <v>NonCategory</v>
      </c>
    </row>
    <row r="1603" spans="1:18">
      <c r="A1603" s="163">
        <v>44995</v>
      </c>
      <c r="B1603" s="165" t="s">
        <v>3812</v>
      </c>
      <c r="C1603" s="168" t="s">
        <v>3813</v>
      </c>
      <c r="D1603" s="2" t="s">
        <v>278</v>
      </c>
      <c r="E1603" s="2" t="s">
        <v>151</v>
      </c>
      <c r="F1603" s="123">
        <v>44986</v>
      </c>
      <c r="G1603" s="2" t="s">
        <v>16</v>
      </c>
      <c r="H1603" s="2" t="s">
        <v>3790</v>
      </c>
      <c r="I1603" s="126">
        <v>1</v>
      </c>
      <c r="J1603" s="133">
        <v>21000</v>
      </c>
      <c r="K1603" s="133">
        <f t="shared" si="16"/>
        <v>240.49473202015577</v>
      </c>
      <c r="L1603" s="125">
        <v>44995</v>
      </c>
      <c r="M1603" s="2" t="s">
        <v>251</v>
      </c>
      <c r="N1603" s="125">
        <v>44995</v>
      </c>
      <c r="O1603" s="134" t="s">
        <v>6563</v>
      </c>
      <c r="P1603" s="2"/>
      <c r="Q1603" s="2" t="s">
        <v>356</v>
      </c>
      <c r="R1603" s="2" t="str">
        <f t="shared" ca="1" si="17"/>
        <v>NonCategory</v>
      </c>
    </row>
    <row r="1604" spans="1:18">
      <c r="A1604" s="163">
        <v>44995</v>
      </c>
      <c r="B1604" s="165" t="s">
        <v>3814</v>
      </c>
      <c r="C1604" s="168" t="s">
        <v>3815</v>
      </c>
      <c r="D1604" s="2" t="s">
        <v>278</v>
      </c>
      <c r="E1604" s="2" t="s">
        <v>1524</v>
      </c>
      <c r="F1604" s="123">
        <v>44986</v>
      </c>
      <c r="G1604" s="2" t="s">
        <v>16</v>
      </c>
      <c r="H1604" s="2" t="s">
        <v>3719</v>
      </c>
      <c r="I1604" s="126">
        <v>1</v>
      </c>
      <c r="J1604" s="133">
        <v>24000</v>
      </c>
      <c r="K1604" s="133">
        <f t="shared" si="16"/>
        <v>274.85112230874944</v>
      </c>
      <c r="L1604" s="125">
        <v>44995</v>
      </c>
      <c r="M1604" s="2" t="s">
        <v>251</v>
      </c>
      <c r="N1604" s="125">
        <v>44995</v>
      </c>
      <c r="O1604" s="134" t="s">
        <v>6564</v>
      </c>
      <c r="P1604" s="2" t="s">
        <v>3816</v>
      </c>
      <c r="Q1604" s="2" t="s">
        <v>356</v>
      </c>
      <c r="R1604" s="2" t="str">
        <f t="shared" ca="1" si="17"/>
        <v>NonCategory</v>
      </c>
    </row>
    <row r="1605" spans="1:18">
      <c r="A1605" s="163">
        <v>44998</v>
      </c>
      <c r="B1605" s="165" t="s">
        <v>3817</v>
      </c>
      <c r="C1605" s="168" t="s">
        <v>3818</v>
      </c>
      <c r="D1605" s="2" t="s">
        <v>278</v>
      </c>
      <c r="E1605" s="2" t="s">
        <v>151</v>
      </c>
      <c r="F1605" s="123">
        <v>44986</v>
      </c>
      <c r="G1605" s="2" t="s">
        <v>16</v>
      </c>
      <c r="H1605" s="2" t="s">
        <v>3790</v>
      </c>
      <c r="I1605" s="126">
        <v>1</v>
      </c>
      <c r="J1605" s="133">
        <v>21000</v>
      </c>
      <c r="K1605" s="133">
        <f t="shared" si="16"/>
        <v>240.49473202015577</v>
      </c>
      <c r="L1605" s="125">
        <v>44998</v>
      </c>
      <c r="M1605" s="2" t="s">
        <v>252</v>
      </c>
      <c r="N1605" s="125">
        <v>44998</v>
      </c>
      <c r="O1605" s="134" t="s">
        <v>6565</v>
      </c>
      <c r="P1605" s="2" t="s">
        <v>3819</v>
      </c>
      <c r="Q1605" s="2" t="s">
        <v>356</v>
      </c>
      <c r="R1605" s="2" t="str">
        <f t="shared" ca="1" si="17"/>
        <v>NonCategory</v>
      </c>
    </row>
    <row r="1606" spans="1:18">
      <c r="A1606" s="163">
        <v>44999</v>
      </c>
      <c r="B1606" s="165" t="s">
        <v>3820</v>
      </c>
      <c r="C1606" s="168" t="s">
        <v>3821</v>
      </c>
      <c r="D1606" s="2" t="s">
        <v>306</v>
      </c>
      <c r="E1606" s="2" t="s">
        <v>1524</v>
      </c>
      <c r="F1606" s="123">
        <v>44986</v>
      </c>
      <c r="G1606" s="2" t="s">
        <v>16</v>
      </c>
      <c r="H1606" s="2" t="s">
        <v>3822</v>
      </c>
      <c r="I1606" s="126">
        <v>1</v>
      </c>
      <c r="J1606" s="133">
        <v>24000</v>
      </c>
      <c r="K1606" s="133">
        <f t="shared" si="16"/>
        <v>274.85112230874944</v>
      </c>
      <c r="L1606" s="125">
        <v>44999</v>
      </c>
      <c r="M1606" s="2" t="s">
        <v>252</v>
      </c>
      <c r="N1606" s="125">
        <v>44999</v>
      </c>
      <c r="O1606" s="134" t="s">
        <v>6566</v>
      </c>
      <c r="P1606" s="2"/>
      <c r="Q1606" s="2" t="s">
        <v>356</v>
      </c>
      <c r="R1606" s="2" t="str">
        <f t="shared" ca="1" si="17"/>
        <v>NonCategory</v>
      </c>
    </row>
    <row r="1607" spans="1:18">
      <c r="A1607" s="163">
        <v>44999</v>
      </c>
      <c r="B1607" s="165" t="s">
        <v>3823</v>
      </c>
      <c r="C1607" s="168" t="s">
        <v>3824</v>
      </c>
      <c r="D1607" s="2" t="s">
        <v>278</v>
      </c>
      <c r="E1607" s="2" t="s">
        <v>151</v>
      </c>
      <c r="F1607" s="123">
        <v>44986</v>
      </c>
      <c r="G1607" s="2" t="s">
        <v>16</v>
      </c>
      <c r="H1607" s="2" t="s">
        <v>3790</v>
      </c>
      <c r="I1607" s="126">
        <v>1</v>
      </c>
      <c r="J1607" s="133">
        <v>21000</v>
      </c>
      <c r="K1607" s="133">
        <f t="shared" si="16"/>
        <v>240.49473202015577</v>
      </c>
      <c r="L1607" s="125">
        <v>44999</v>
      </c>
      <c r="M1607" s="2" t="s">
        <v>252</v>
      </c>
      <c r="N1607" s="125">
        <v>44999</v>
      </c>
      <c r="O1607" s="134" t="s">
        <v>6567</v>
      </c>
      <c r="P1607" s="2" t="s">
        <v>3825</v>
      </c>
      <c r="Q1607" s="2" t="s">
        <v>356</v>
      </c>
      <c r="R1607" s="2" t="str">
        <f t="shared" ca="1" si="17"/>
        <v>NonCategory</v>
      </c>
    </row>
    <row r="1608" spans="1:18">
      <c r="A1608" s="163">
        <v>44999</v>
      </c>
      <c r="B1608" s="165" t="s">
        <v>3826</v>
      </c>
      <c r="C1608" s="168" t="s">
        <v>3827</v>
      </c>
      <c r="D1608" s="2" t="s">
        <v>306</v>
      </c>
      <c r="E1608" s="2" t="s">
        <v>151</v>
      </c>
      <c r="F1608" s="123">
        <v>44986</v>
      </c>
      <c r="G1608" s="2" t="s">
        <v>16</v>
      </c>
      <c r="H1608" s="2" t="s">
        <v>3790</v>
      </c>
      <c r="I1608" s="126">
        <v>1</v>
      </c>
      <c r="J1608" s="133">
        <v>21000</v>
      </c>
      <c r="K1608" s="133">
        <f t="shared" si="16"/>
        <v>240.49473202015577</v>
      </c>
      <c r="L1608" s="125">
        <v>44999</v>
      </c>
      <c r="M1608" s="2" t="s">
        <v>252</v>
      </c>
      <c r="N1608" s="125">
        <v>44999</v>
      </c>
      <c r="O1608" s="134" t="s">
        <v>6568</v>
      </c>
      <c r="P1608" s="2"/>
      <c r="Q1608" s="2" t="s">
        <v>356</v>
      </c>
      <c r="R1608" s="2" t="str">
        <f t="shared" ca="1" si="17"/>
        <v>NonCategory</v>
      </c>
    </row>
    <row r="1609" spans="1:18">
      <c r="A1609" s="163">
        <v>45001</v>
      </c>
      <c r="B1609" s="165" t="s">
        <v>3828</v>
      </c>
      <c r="C1609" s="168" t="s">
        <v>3829</v>
      </c>
      <c r="D1609" s="2" t="s">
        <v>278</v>
      </c>
      <c r="E1609" s="2" t="s">
        <v>1524</v>
      </c>
      <c r="F1609" s="123">
        <v>44986</v>
      </c>
      <c r="G1609" s="2" t="s">
        <v>16</v>
      </c>
      <c r="H1609" s="2" t="s">
        <v>3822</v>
      </c>
      <c r="I1609" s="126">
        <v>1</v>
      </c>
      <c r="J1609" s="133">
        <v>24000</v>
      </c>
      <c r="K1609" s="133">
        <f t="shared" si="16"/>
        <v>274.85112230874944</v>
      </c>
      <c r="L1609" s="125">
        <v>45001</v>
      </c>
      <c r="M1609" s="2" t="s">
        <v>252</v>
      </c>
      <c r="N1609" s="125">
        <v>45001</v>
      </c>
      <c r="O1609" s="134" t="s">
        <v>6569</v>
      </c>
      <c r="P1609" s="2" t="s">
        <v>3830</v>
      </c>
      <c r="Q1609" s="2" t="s">
        <v>356</v>
      </c>
      <c r="R1609" s="2" t="str">
        <f t="shared" ca="1" si="17"/>
        <v>NonCategory</v>
      </c>
    </row>
    <row r="1610" spans="1:18">
      <c r="A1610" s="163">
        <v>45001</v>
      </c>
      <c r="B1610" s="165" t="s">
        <v>3831</v>
      </c>
      <c r="C1610" s="168" t="s">
        <v>3832</v>
      </c>
      <c r="D1610" s="2" t="s">
        <v>278</v>
      </c>
      <c r="E1610" s="2" t="s">
        <v>150</v>
      </c>
      <c r="F1610" s="123">
        <v>44986</v>
      </c>
      <c r="G1610" s="2" t="s">
        <v>16</v>
      </c>
      <c r="H1610" s="2" t="s">
        <v>3790</v>
      </c>
      <c r="I1610" s="126">
        <v>1</v>
      </c>
      <c r="J1610" s="133">
        <v>21000</v>
      </c>
      <c r="K1610" s="133">
        <f t="shared" si="16"/>
        <v>240.49473202015577</v>
      </c>
      <c r="L1610" s="125">
        <v>45001</v>
      </c>
      <c r="M1610" s="2" t="s">
        <v>252</v>
      </c>
      <c r="N1610" s="125">
        <v>45001</v>
      </c>
      <c r="O1610" s="134" t="s">
        <v>6570</v>
      </c>
      <c r="P1610" s="2" t="s">
        <v>3363</v>
      </c>
      <c r="Q1610" s="2" t="s">
        <v>356</v>
      </c>
      <c r="R1610" s="2" t="str">
        <f t="shared" ca="1" si="17"/>
        <v>NonCategory</v>
      </c>
    </row>
    <row r="1611" spans="1:18">
      <c r="A1611" s="163">
        <v>45001</v>
      </c>
      <c r="B1611" s="165" t="s">
        <v>2261</v>
      </c>
      <c r="C1611" s="168" t="s">
        <v>3095</v>
      </c>
      <c r="D1611" s="2" t="s">
        <v>470</v>
      </c>
      <c r="E1611" s="2" t="s">
        <v>151</v>
      </c>
      <c r="F1611" s="123">
        <v>44986</v>
      </c>
      <c r="G1611" s="2" t="s">
        <v>16</v>
      </c>
      <c r="H1611" s="2" t="s">
        <v>3790</v>
      </c>
      <c r="I1611" s="126">
        <v>1</v>
      </c>
      <c r="J1611" s="133">
        <v>21000</v>
      </c>
      <c r="K1611" s="133">
        <f t="shared" si="16"/>
        <v>240.49473202015577</v>
      </c>
      <c r="L1611" s="125">
        <v>45001</v>
      </c>
      <c r="M1611" s="2" t="s">
        <v>252</v>
      </c>
      <c r="N1611" s="125">
        <v>45001</v>
      </c>
      <c r="O1611" s="134" t="s">
        <v>6571</v>
      </c>
      <c r="P1611" s="2"/>
      <c r="Q1611" s="2" t="s">
        <v>356</v>
      </c>
      <c r="R1611" s="2" t="str">
        <f t="shared" ca="1" si="17"/>
        <v>NonCategory</v>
      </c>
    </row>
    <row r="1612" spans="1:18">
      <c r="A1612" s="163">
        <v>45001</v>
      </c>
      <c r="B1612" s="165" t="s">
        <v>3833</v>
      </c>
      <c r="C1612" s="168" t="s">
        <v>2949</v>
      </c>
      <c r="D1612" s="2" t="s">
        <v>470</v>
      </c>
      <c r="E1612" s="2" t="s">
        <v>151</v>
      </c>
      <c r="F1612" s="123">
        <v>44986</v>
      </c>
      <c r="G1612" s="2" t="s">
        <v>16</v>
      </c>
      <c r="H1612" s="2" t="s">
        <v>3790</v>
      </c>
      <c r="I1612" s="126">
        <v>1</v>
      </c>
      <c r="J1612" s="133">
        <v>21000</v>
      </c>
      <c r="K1612" s="133">
        <f t="shared" si="16"/>
        <v>240.49473202015577</v>
      </c>
      <c r="L1612" s="125">
        <v>45001</v>
      </c>
      <c r="M1612" s="2" t="s">
        <v>252</v>
      </c>
      <c r="N1612" s="125">
        <v>45001</v>
      </c>
      <c r="O1612" s="134" t="s">
        <v>6572</v>
      </c>
      <c r="P1612" s="2"/>
      <c r="Q1612" s="2" t="s">
        <v>356</v>
      </c>
      <c r="R1612" s="2" t="str">
        <f t="shared" ca="1" si="17"/>
        <v>NonCategory</v>
      </c>
    </row>
    <row r="1613" spans="1:18">
      <c r="A1613" s="163">
        <v>45001</v>
      </c>
      <c r="B1613" s="165" t="s">
        <v>2712</v>
      </c>
      <c r="C1613" s="168" t="s">
        <v>2713</v>
      </c>
      <c r="D1613" s="2" t="s">
        <v>470</v>
      </c>
      <c r="E1613" s="2" t="s">
        <v>538</v>
      </c>
      <c r="F1613" s="123">
        <v>44986</v>
      </c>
      <c r="G1613" s="2" t="s">
        <v>16</v>
      </c>
      <c r="H1613" s="125">
        <v>45005</v>
      </c>
      <c r="I1613" s="126">
        <v>1</v>
      </c>
      <c r="J1613" s="133">
        <v>45000</v>
      </c>
      <c r="K1613" s="133">
        <f t="shared" si="16"/>
        <v>515.34585432890515</v>
      </c>
      <c r="L1613" s="125">
        <v>45001</v>
      </c>
      <c r="M1613" s="2" t="s">
        <v>252</v>
      </c>
      <c r="N1613" s="125">
        <v>45001</v>
      </c>
      <c r="O1613" s="134" t="s">
        <v>6573</v>
      </c>
      <c r="P1613" s="2"/>
      <c r="Q1613" s="2" t="s">
        <v>356</v>
      </c>
      <c r="R1613" s="2" t="str">
        <f t="shared" ca="1" si="17"/>
        <v>NonCategory</v>
      </c>
    </row>
    <row r="1614" spans="1:18">
      <c r="A1614" s="163">
        <v>45001</v>
      </c>
      <c r="B1614" s="165" t="s">
        <v>1368</v>
      </c>
      <c r="C1614" s="168" t="s">
        <v>3834</v>
      </c>
      <c r="D1614" s="2" t="s">
        <v>278</v>
      </c>
      <c r="E1614" s="2" t="s">
        <v>151</v>
      </c>
      <c r="F1614" s="123">
        <v>44986</v>
      </c>
      <c r="G1614" s="2" t="s">
        <v>16</v>
      </c>
      <c r="H1614" s="2" t="s">
        <v>3790</v>
      </c>
      <c r="I1614" s="126">
        <v>1</v>
      </c>
      <c r="J1614" s="133">
        <v>21000</v>
      </c>
      <c r="K1614" s="133">
        <f t="shared" si="16"/>
        <v>240.49473202015577</v>
      </c>
      <c r="L1614" s="125">
        <v>45001</v>
      </c>
      <c r="M1614" s="2" t="s">
        <v>252</v>
      </c>
      <c r="N1614" s="125">
        <v>45001</v>
      </c>
      <c r="O1614" s="134" t="s">
        <v>6574</v>
      </c>
      <c r="P1614" s="2" t="s">
        <v>3835</v>
      </c>
      <c r="Q1614" s="2" t="s">
        <v>356</v>
      </c>
      <c r="R1614" s="2" t="str">
        <f t="shared" ca="1" si="17"/>
        <v>NonCategory</v>
      </c>
    </row>
    <row r="1615" spans="1:18">
      <c r="A1615" s="163">
        <v>45001</v>
      </c>
      <c r="B1615" s="165" t="s">
        <v>3836</v>
      </c>
      <c r="C1615" s="168" t="s">
        <v>3837</v>
      </c>
      <c r="D1615" s="2" t="s">
        <v>319</v>
      </c>
      <c r="E1615" s="2" t="s">
        <v>96</v>
      </c>
      <c r="F1615" s="123">
        <v>44986</v>
      </c>
      <c r="G1615" s="2" t="s">
        <v>16</v>
      </c>
      <c r="H1615" s="2" t="s">
        <v>3822</v>
      </c>
      <c r="I1615" s="126">
        <v>1</v>
      </c>
      <c r="J1615" s="133">
        <v>20000</v>
      </c>
      <c r="K1615" s="133">
        <f t="shared" si="16"/>
        <v>229.04260192395787</v>
      </c>
      <c r="L1615" s="125">
        <v>45001</v>
      </c>
      <c r="M1615" s="2" t="s">
        <v>252</v>
      </c>
      <c r="N1615" s="125">
        <v>45001</v>
      </c>
      <c r="O1615" s="134" t="s">
        <v>6575</v>
      </c>
      <c r="P1615" s="2"/>
      <c r="Q1615" s="2" t="s">
        <v>356</v>
      </c>
      <c r="R1615" s="2" t="str">
        <f t="shared" ca="1" si="17"/>
        <v>NonCategory</v>
      </c>
    </row>
    <row r="1616" spans="1:18">
      <c r="A1616" s="163">
        <v>45002</v>
      </c>
      <c r="B1616" s="165" t="s">
        <v>3838</v>
      </c>
      <c r="C1616" s="168" t="s">
        <v>3839</v>
      </c>
      <c r="D1616" s="2" t="s">
        <v>278</v>
      </c>
      <c r="E1616" s="2" t="s">
        <v>96</v>
      </c>
      <c r="F1616" s="123">
        <v>44986</v>
      </c>
      <c r="G1616" s="2" t="s">
        <v>16</v>
      </c>
      <c r="H1616" s="2" t="s">
        <v>3790</v>
      </c>
      <c r="I1616" s="126">
        <v>1</v>
      </c>
      <c r="J1616" s="133">
        <v>20000</v>
      </c>
      <c r="K1616" s="133">
        <f t="shared" si="16"/>
        <v>229.04260192395787</v>
      </c>
      <c r="L1616" s="125">
        <v>45002</v>
      </c>
      <c r="M1616" s="2" t="s">
        <v>252</v>
      </c>
      <c r="N1616" s="125">
        <v>45002</v>
      </c>
      <c r="O1616" s="134" t="s">
        <v>6576</v>
      </c>
      <c r="P1616" s="2" t="s">
        <v>3840</v>
      </c>
      <c r="Q1616" s="2" t="s">
        <v>356</v>
      </c>
      <c r="R1616" s="2" t="str">
        <f t="shared" ca="1" si="17"/>
        <v>NonCategory</v>
      </c>
    </row>
    <row r="1617" spans="1:18">
      <c r="A1617" s="163">
        <v>45003</v>
      </c>
      <c r="B1617" s="165" t="s">
        <v>3841</v>
      </c>
      <c r="C1617" s="168" t="s">
        <v>3842</v>
      </c>
      <c r="D1617" s="2" t="s">
        <v>303</v>
      </c>
      <c r="E1617" s="2" t="s">
        <v>25</v>
      </c>
      <c r="F1617" s="123">
        <v>44986</v>
      </c>
      <c r="G1617" s="2" t="s">
        <v>16</v>
      </c>
      <c r="H1617" s="2" t="s">
        <v>3822</v>
      </c>
      <c r="I1617" s="126">
        <v>1</v>
      </c>
      <c r="J1617" s="133">
        <v>40061</v>
      </c>
      <c r="K1617" s="133">
        <f t="shared" si="16"/>
        <v>458.7837837837838</v>
      </c>
      <c r="L1617" s="125">
        <v>45003</v>
      </c>
      <c r="M1617" s="2" t="s">
        <v>252</v>
      </c>
      <c r="N1617" s="125">
        <v>45003</v>
      </c>
      <c r="O1617" s="134" t="s">
        <v>6577</v>
      </c>
      <c r="P1617" s="2"/>
      <c r="Q1617" s="2" t="s">
        <v>356</v>
      </c>
      <c r="R1617" s="2" t="str">
        <f t="shared" ca="1" si="17"/>
        <v>NonCategory</v>
      </c>
    </row>
    <row r="1618" spans="1:18">
      <c r="A1618" s="163">
        <v>45003</v>
      </c>
      <c r="B1618" s="165" t="s">
        <v>3843</v>
      </c>
      <c r="C1618" s="168" t="s">
        <v>3844</v>
      </c>
      <c r="D1618" s="2" t="s">
        <v>278</v>
      </c>
      <c r="E1618" s="2" t="s">
        <v>3845</v>
      </c>
      <c r="F1618" s="123">
        <v>44986</v>
      </c>
      <c r="G1618" s="2" t="s">
        <v>16</v>
      </c>
      <c r="H1618" s="139">
        <v>45017</v>
      </c>
      <c r="I1618" s="126">
        <v>1</v>
      </c>
      <c r="J1618" s="133">
        <v>369750</v>
      </c>
      <c r="K1618" s="133">
        <f t="shared" si="16"/>
        <v>4234.4251030691712</v>
      </c>
      <c r="L1618" s="125">
        <v>45007</v>
      </c>
      <c r="M1618" s="2" t="s">
        <v>253</v>
      </c>
      <c r="N1618" s="125">
        <v>45006</v>
      </c>
      <c r="O1618" s="134" t="s">
        <v>6578</v>
      </c>
      <c r="P1618" s="2" t="s">
        <v>3846</v>
      </c>
      <c r="Q1618" s="2" t="s">
        <v>356</v>
      </c>
      <c r="R1618" s="2" t="str">
        <f t="shared" ca="1" si="17"/>
        <v>NonCategory</v>
      </c>
    </row>
    <row r="1619" spans="1:18">
      <c r="A1619" s="163">
        <v>45003</v>
      </c>
      <c r="B1619" s="165" t="s">
        <v>3847</v>
      </c>
      <c r="C1619" s="168" t="s">
        <v>3848</v>
      </c>
      <c r="D1619" s="2" t="s">
        <v>278</v>
      </c>
      <c r="E1619" s="2" t="s">
        <v>3849</v>
      </c>
      <c r="F1619" s="123">
        <v>44986</v>
      </c>
      <c r="G1619" s="2" t="s">
        <v>16</v>
      </c>
      <c r="H1619" s="139">
        <v>44986</v>
      </c>
      <c r="I1619" s="126">
        <v>1</v>
      </c>
      <c r="J1619" s="133">
        <v>38000</v>
      </c>
      <c r="K1619" s="133">
        <f t="shared" si="16"/>
        <v>435.18094365551997</v>
      </c>
      <c r="L1619" s="125">
        <v>45005</v>
      </c>
      <c r="M1619" s="2" t="s">
        <v>252</v>
      </c>
      <c r="N1619" s="125">
        <v>45003</v>
      </c>
      <c r="O1619" s="134" t="s">
        <v>6579</v>
      </c>
      <c r="P1619" s="2" t="s">
        <v>3850</v>
      </c>
      <c r="Q1619" s="2" t="s">
        <v>356</v>
      </c>
      <c r="R1619" s="2" t="str">
        <f t="shared" ca="1" si="17"/>
        <v>NonCategory</v>
      </c>
    </row>
    <row r="1620" spans="1:18">
      <c r="A1620" s="163">
        <v>45003</v>
      </c>
      <c r="B1620" s="165" t="s">
        <v>3851</v>
      </c>
      <c r="C1620" s="168" t="s">
        <v>3852</v>
      </c>
      <c r="D1620" s="2" t="s">
        <v>278</v>
      </c>
      <c r="E1620" s="2" t="s">
        <v>1524</v>
      </c>
      <c r="F1620" s="123">
        <v>44986</v>
      </c>
      <c r="G1620" s="2" t="s">
        <v>16</v>
      </c>
      <c r="H1620" s="2" t="s">
        <v>3822</v>
      </c>
      <c r="I1620" s="126">
        <v>1</v>
      </c>
      <c r="J1620" s="133">
        <v>24000</v>
      </c>
      <c r="K1620" s="133">
        <f t="shared" si="16"/>
        <v>274.85112230874944</v>
      </c>
      <c r="L1620" s="125">
        <v>45003</v>
      </c>
      <c r="M1620" s="2" t="s">
        <v>252</v>
      </c>
      <c r="N1620" s="125">
        <v>45003</v>
      </c>
      <c r="O1620" s="134" t="s">
        <v>6580</v>
      </c>
      <c r="P1620" s="2" t="s">
        <v>3853</v>
      </c>
      <c r="Q1620" s="2" t="s">
        <v>356</v>
      </c>
      <c r="R1620" s="2" t="str">
        <f t="shared" ca="1" si="17"/>
        <v>NonCategory</v>
      </c>
    </row>
    <row r="1621" spans="1:18">
      <c r="A1621" s="163">
        <v>45005</v>
      </c>
      <c r="B1621" s="165" t="s">
        <v>3854</v>
      </c>
      <c r="C1621" s="168" t="s">
        <v>3855</v>
      </c>
      <c r="D1621" s="2" t="s">
        <v>3500</v>
      </c>
      <c r="E1621" s="2" t="s">
        <v>151</v>
      </c>
      <c r="F1621" s="123">
        <v>44986</v>
      </c>
      <c r="G1621" s="2" t="s">
        <v>16</v>
      </c>
      <c r="H1621" s="2" t="s">
        <v>3856</v>
      </c>
      <c r="I1621" s="126">
        <v>1</v>
      </c>
      <c r="J1621" s="133">
        <v>21000</v>
      </c>
      <c r="K1621" s="133">
        <f t="shared" si="16"/>
        <v>240.49473202015577</v>
      </c>
      <c r="L1621" s="125">
        <v>45005</v>
      </c>
      <c r="M1621" s="2" t="s">
        <v>252</v>
      </c>
      <c r="N1621" s="125">
        <v>45005</v>
      </c>
      <c r="O1621" s="134" t="s">
        <v>6581</v>
      </c>
      <c r="P1621" s="2"/>
      <c r="Q1621" s="2" t="s">
        <v>356</v>
      </c>
      <c r="R1621" s="2" t="str">
        <f t="shared" ca="1" si="17"/>
        <v>NonCategory</v>
      </c>
    </row>
    <row r="1622" spans="1:18">
      <c r="A1622" s="163">
        <v>45005</v>
      </c>
      <c r="B1622" s="165" t="s">
        <v>3857</v>
      </c>
      <c r="C1622" s="168" t="s">
        <v>3858</v>
      </c>
      <c r="D1622" s="2" t="s">
        <v>319</v>
      </c>
      <c r="E1622" s="2" t="s">
        <v>1524</v>
      </c>
      <c r="F1622" s="123">
        <v>44986</v>
      </c>
      <c r="G1622" s="2" t="s">
        <v>16</v>
      </c>
      <c r="H1622" s="2" t="s">
        <v>3822</v>
      </c>
      <c r="I1622" s="126">
        <v>1</v>
      </c>
      <c r="J1622" s="133">
        <v>24000</v>
      </c>
      <c r="K1622" s="133">
        <f t="shared" si="16"/>
        <v>274.85112230874944</v>
      </c>
      <c r="L1622" s="125">
        <v>45005</v>
      </c>
      <c r="M1622" s="2" t="s">
        <v>252</v>
      </c>
      <c r="N1622" s="125">
        <v>45005</v>
      </c>
      <c r="O1622" s="134" t="s">
        <v>6582</v>
      </c>
      <c r="P1622" s="2"/>
      <c r="Q1622" s="2" t="s">
        <v>356</v>
      </c>
      <c r="R1622" s="2" t="str">
        <f t="shared" ca="1" si="17"/>
        <v>NonCategory</v>
      </c>
    </row>
    <row r="1623" spans="1:18">
      <c r="A1623" s="163">
        <v>45006</v>
      </c>
      <c r="B1623" s="165" t="s">
        <v>3859</v>
      </c>
      <c r="C1623" s="168" t="s">
        <v>3860</v>
      </c>
      <c r="D1623" s="2" t="s">
        <v>278</v>
      </c>
      <c r="E1623" s="2" t="s">
        <v>1524</v>
      </c>
      <c r="F1623" s="123">
        <v>44986</v>
      </c>
      <c r="G1623" s="2" t="s">
        <v>16</v>
      </c>
      <c r="H1623" s="2" t="s">
        <v>3822</v>
      </c>
      <c r="I1623" s="126">
        <v>1</v>
      </c>
      <c r="J1623" s="133">
        <v>24000</v>
      </c>
      <c r="K1623" s="133">
        <f t="shared" si="16"/>
        <v>274.85112230874944</v>
      </c>
      <c r="L1623" s="125">
        <v>45006</v>
      </c>
      <c r="M1623" s="2" t="s">
        <v>253</v>
      </c>
      <c r="N1623" s="125">
        <v>45006</v>
      </c>
      <c r="O1623" s="134" t="s">
        <v>6583</v>
      </c>
      <c r="P1623" s="2" t="s">
        <v>3861</v>
      </c>
      <c r="Q1623" s="2" t="s">
        <v>356</v>
      </c>
      <c r="R1623" s="2" t="str">
        <f t="shared" ca="1" si="17"/>
        <v>NonCategory</v>
      </c>
    </row>
    <row r="1624" spans="1:18">
      <c r="A1624" s="163">
        <v>45006</v>
      </c>
      <c r="B1624" s="165" t="s">
        <v>3862</v>
      </c>
      <c r="C1624" s="168" t="s">
        <v>3863</v>
      </c>
      <c r="D1624" s="2" t="s">
        <v>278</v>
      </c>
      <c r="E1624" s="2" t="s">
        <v>25</v>
      </c>
      <c r="F1624" s="123">
        <v>44986</v>
      </c>
      <c r="G1624" s="2" t="s">
        <v>16</v>
      </c>
      <c r="H1624" s="2" t="s">
        <v>3822</v>
      </c>
      <c r="I1624" s="126">
        <v>1</v>
      </c>
      <c r="J1624" s="133">
        <v>42000</v>
      </c>
      <c r="K1624" s="133">
        <f t="shared" si="16"/>
        <v>480.98946404031153</v>
      </c>
      <c r="L1624" s="125">
        <v>45006</v>
      </c>
      <c r="M1624" s="2" t="s">
        <v>253</v>
      </c>
      <c r="N1624" s="125">
        <v>45006</v>
      </c>
      <c r="O1624" s="134" t="s">
        <v>6584</v>
      </c>
      <c r="P1624" s="2" t="s">
        <v>3864</v>
      </c>
      <c r="Q1624" s="2" t="s">
        <v>356</v>
      </c>
      <c r="R1624" s="2" t="str">
        <f t="shared" ca="1" si="17"/>
        <v>NonCategory</v>
      </c>
    </row>
    <row r="1625" spans="1:18">
      <c r="A1625" s="163">
        <v>45007</v>
      </c>
      <c r="B1625" s="165" t="s">
        <v>3611</v>
      </c>
      <c r="C1625" s="168" t="s">
        <v>3612</v>
      </c>
      <c r="D1625" s="2" t="s">
        <v>470</v>
      </c>
      <c r="E1625" s="2" t="s">
        <v>1715</v>
      </c>
      <c r="F1625" s="123">
        <v>44986</v>
      </c>
      <c r="G1625" s="2" t="s">
        <v>16</v>
      </c>
      <c r="H1625" s="2" t="s">
        <v>3865</v>
      </c>
      <c r="I1625" s="126">
        <v>1</v>
      </c>
      <c r="J1625" s="133">
        <v>19500</v>
      </c>
      <c r="K1625" s="133">
        <f t="shared" si="16"/>
        <v>223.3165368758589</v>
      </c>
      <c r="L1625" s="125">
        <v>45007</v>
      </c>
      <c r="M1625" s="2" t="s">
        <v>253</v>
      </c>
      <c r="N1625" s="125">
        <v>45006</v>
      </c>
      <c r="O1625" s="134" t="s">
        <v>6585</v>
      </c>
      <c r="P1625" s="2"/>
      <c r="Q1625" s="2" t="s">
        <v>356</v>
      </c>
      <c r="R1625" s="2" t="str">
        <f t="shared" ca="1" si="17"/>
        <v>NonCategory</v>
      </c>
    </row>
    <row r="1626" spans="1:18">
      <c r="A1626" s="163">
        <v>45007</v>
      </c>
      <c r="B1626" s="165" t="s">
        <v>3041</v>
      </c>
      <c r="C1626" s="168" t="s">
        <v>3866</v>
      </c>
      <c r="D1626" s="2" t="s">
        <v>278</v>
      </c>
      <c r="E1626" s="2" t="s">
        <v>1524</v>
      </c>
      <c r="F1626" s="123">
        <v>44986</v>
      </c>
      <c r="G1626" s="2" t="s">
        <v>16</v>
      </c>
      <c r="H1626" s="2" t="s">
        <v>3822</v>
      </c>
      <c r="I1626" s="126">
        <v>1</v>
      </c>
      <c r="J1626" s="133">
        <v>24000</v>
      </c>
      <c r="K1626" s="133">
        <f t="shared" si="16"/>
        <v>274.85112230874944</v>
      </c>
      <c r="L1626" s="125">
        <v>45007</v>
      </c>
      <c r="M1626" s="2" t="s">
        <v>253</v>
      </c>
      <c r="N1626" s="125">
        <v>45007</v>
      </c>
      <c r="O1626" s="134" t="s">
        <v>6586</v>
      </c>
      <c r="P1626" s="2" t="s">
        <v>3867</v>
      </c>
      <c r="Q1626" s="2" t="s">
        <v>356</v>
      </c>
      <c r="R1626" s="2" t="str">
        <f t="shared" ca="1" si="17"/>
        <v>NonCategory</v>
      </c>
    </row>
    <row r="1627" spans="1:18">
      <c r="A1627" s="163">
        <v>45007</v>
      </c>
      <c r="B1627" s="165" t="s">
        <v>3868</v>
      </c>
      <c r="C1627" s="168" t="s">
        <v>3869</v>
      </c>
      <c r="D1627" s="2" t="s">
        <v>278</v>
      </c>
      <c r="E1627" s="2" t="s">
        <v>1524</v>
      </c>
      <c r="F1627" s="123">
        <v>44986</v>
      </c>
      <c r="G1627" s="2" t="s">
        <v>16</v>
      </c>
      <c r="H1627" s="2" t="s">
        <v>3822</v>
      </c>
      <c r="I1627" s="126">
        <v>1</v>
      </c>
      <c r="J1627" s="133">
        <v>24000</v>
      </c>
      <c r="K1627" s="133">
        <f t="shared" si="16"/>
        <v>274.85112230874944</v>
      </c>
      <c r="L1627" s="125">
        <v>45007</v>
      </c>
      <c r="M1627" s="2" t="s">
        <v>253</v>
      </c>
      <c r="N1627" s="125">
        <v>45008</v>
      </c>
      <c r="O1627" s="134" t="s">
        <v>6587</v>
      </c>
      <c r="P1627" s="2" t="s">
        <v>3870</v>
      </c>
      <c r="Q1627" s="2" t="s">
        <v>356</v>
      </c>
      <c r="R1627" s="2" t="str">
        <f t="shared" ca="1" si="17"/>
        <v>NonCategory</v>
      </c>
    </row>
    <row r="1628" spans="1:18">
      <c r="A1628" s="163">
        <v>45009</v>
      </c>
      <c r="B1628" s="165" t="s">
        <v>3871</v>
      </c>
      <c r="C1628" s="168" t="s">
        <v>3872</v>
      </c>
      <c r="D1628" s="2" t="s">
        <v>291</v>
      </c>
      <c r="E1628" s="2" t="s">
        <v>150</v>
      </c>
      <c r="F1628" s="123">
        <v>44986</v>
      </c>
      <c r="G1628" s="2" t="s">
        <v>16</v>
      </c>
      <c r="H1628" s="2" t="s">
        <v>3822</v>
      </c>
      <c r="I1628" s="126">
        <v>1</v>
      </c>
      <c r="J1628" s="133">
        <v>21000</v>
      </c>
      <c r="K1628" s="133">
        <f t="shared" si="16"/>
        <v>240.49473202015577</v>
      </c>
      <c r="L1628" s="125">
        <v>45009</v>
      </c>
      <c r="M1628" s="2" t="s">
        <v>253</v>
      </c>
      <c r="N1628" s="125">
        <v>45009</v>
      </c>
      <c r="O1628" s="134" t="s">
        <v>6588</v>
      </c>
      <c r="P1628" s="2"/>
      <c r="Q1628" s="2" t="s">
        <v>356</v>
      </c>
      <c r="R1628" s="2" t="str">
        <f t="shared" ca="1" si="17"/>
        <v>NonCategory</v>
      </c>
    </row>
    <row r="1629" spans="1:18">
      <c r="A1629" s="163">
        <v>45012</v>
      </c>
      <c r="B1629" s="165" t="s">
        <v>3873</v>
      </c>
      <c r="C1629" s="168" t="s">
        <v>3874</v>
      </c>
      <c r="D1629" s="2" t="s">
        <v>287</v>
      </c>
      <c r="E1629" s="2" t="s">
        <v>150</v>
      </c>
      <c r="F1629" s="123">
        <v>44986</v>
      </c>
      <c r="G1629" s="2" t="s">
        <v>16</v>
      </c>
      <c r="H1629" s="2" t="s">
        <v>3856</v>
      </c>
      <c r="I1629" s="126">
        <v>1</v>
      </c>
      <c r="J1629" s="133">
        <v>21000</v>
      </c>
      <c r="K1629" s="133">
        <f t="shared" si="16"/>
        <v>240.49473202015577</v>
      </c>
      <c r="L1629" s="125">
        <v>45012</v>
      </c>
      <c r="M1629" s="2" t="s">
        <v>253</v>
      </c>
      <c r="N1629" s="125">
        <v>45012</v>
      </c>
      <c r="O1629" s="134" t="s">
        <v>6589</v>
      </c>
      <c r="P1629" s="2"/>
      <c r="Q1629" s="2" t="s">
        <v>356</v>
      </c>
      <c r="R1629" s="2" t="str">
        <f t="shared" ca="1" si="17"/>
        <v>NonCategory</v>
      </c>
    </row>
    <row r="1630" spans="1:18">
      <c r="A1630" s="163">
        <v>45015</v>
      </c>
      <c r="B1630" s="165" t="s">
        <v>3875</v>
      </c>
      <c r="C1630" s="168" t="s">
        <v>3876</v>
      </c>
      <c r="D1630" s="2" t="s">
        <v>287</v>
      </c>
      <c r="E1630" s="2" t="s">
        <v>538</v>
      </c>
      <c r="F1630" s="123">
        <v>44986</v>
      </c>
      <c r="G1630" s="2" t="s">
        <v>16</v>
      </c>
      <c r="H1630" s="125">
        <v>45017</v>
      </c>
      <c r="I1630" s="126">
        <v>1</v>
      </c>
      <c r="J1630" s="133">
        <v>10000</v>
      </c>
      <c r="K1630" s="133">
        <f t="shared" si="16"/>
        <v>114.52130096197894</v>
      </c>
      <c r="L1630" s="125">
        <v>45015</v>
      </c>
      <c r="M1630" s="2" t="s">
        <v>253</v>
      </c>
      <c r="N1630" s="125">
        <v>45015</v>
      </c>
      <c r="O1630" s="134" t="s">
        <v>6590</v>
      </c>
      <c r="P1630" s="2"/>
      <c r="Q1630" s="2" t="s">
        <v>356</v>
      </c>
      <c r="R1630" s="2" t="str">
        <f t="shared" ca="1" si="17"/>
        <v>NonCategory</v>
      </c>
    </row>
    <row r="1631" spans="1:18">
      <c r="A1631" s="163">
        <v>45015</v>
      </c>
      <c r="B1631" s="165" t="s">
        <v>3877</v>
      </c>
      <c r="C1631" s="168" t="s">
        <v>1711</v>
      </c>
      <c r="D1631" s="2" t="s">
        <v>470</v>
      </c>
      <c r="E1631" s="2" t="s">
        <v>96</v>
      </c>
      <c r="F1631" s="123">
        <v>44986</v>
      </c>
      <c r="G1631" s="2" t="s">
        <v>16</v>
      </c>
      <c r="H1631" s="2" t="s">
        <v>3856</v>
      </c>
      <c r="I1631" s="126">
        <v>1</v>
      </c>
      <c r="J1631" s="133">
        <v>20000</v>
      </c>
      <c r="K1631" s="133">
        <f t="shared" si="16"/>
        <v>229.04260192395787</v>
      </c>
      <c r="L1631" s="125">
        <v>45015</v>
      </c>
      <c r="M1631" s="2" t="s">
        <v>253</v>
      </c>
      <c r="N1631" s="125">
        <v>45015</v>
      </c>
      <c r="O1631" s="134" t="s">
        <v>6591</v>
      </c>
      <c r="P1631" s="2"/>
      <c r="Q1631" s="2" t="s">
        <v>356</v>
      </c>
      <c r="R1631" s="2" t="str">
        <f t="shared" ca="1" si="17"/>
        <v>NonCategory</v>
      </c>
    </row>
    <row r="1632" spans="1:18">
      <c r="A1632" s="163">
        <v>45015</v>
      </c>
      <c r="B1632" s="165" t="s">
        <v>3878</v>
      </c>
      <c r="C1632" s="168" t="s">
        <v>3879</v>
      </c>
      <c r="D1632" s="2" t="s">
        <v>303</v>
      </c>
      <c r="E1632" s="2" t="s">
        <v>151</v>
      </c>
      <c r="F1632" s="123">
        <v>44986</v>
      </c>
      <c r="G1632" s="2" t="s">
        <v>16</v>
      </c>
      <c r="H1632" s="2" t="s">
        <v>3856</v>
      </c>
      <c r="I1632" s="126">
        <v>1</v>
      </c>
      <c r="J1632" s="133">
        <v>21000</v>
      </c>
      <c r="K1632" s="133">
        <f t="shared" si="16"/>
        <v>240.49473202015577</v>
      </c>
      <c r="L1632" s="125">
        <v>45015</v>
      </c>
      <c r="M1632" s="2" t="s">
        <v>253</v>
      </c>
      <c r="N1632" s="125">
        <v>45015</v>
      </c>
      <c r="O1632" s="134" t="s">
        <v>6592</v>
      </c>
      <c r="P1632" s="2"/>
      <c r="Q1632" s="2" t="s">
        <v>356</v>
      </c>
      <c r="R1632" s="2" t="str">
        <f t="shared" ca="1" si="17"/>
        <v>NonCategory</v>
      </c>
    </row>
    <row r="1633" spans="1:18">
      <c r="A1633" s="163">
        <v>45015</v>
      </c>
      <c r="B1633" s="165" t="s">
        <v>3880</v>
      </c>
      <c r="C1633" s="168" t="s">
        <v>3881</v>
      </c>
      <c r="D1633" s="2" t="s">
        <v>278</v>
      </c>
      <c r="E1633" s="2" t="s">
        <v>150</v>
      </c>
      <c r="F1633" s="123">
        <v>44986</v>
      </c>
      <c r="G1633" s="2" t="s">
        <v>16</v>
      </c>
      <c r="H1633" s="2" t="s">
        <v>3856</v>
      </c>
      <c r="I1633" s="126">
        <v>1</v>
      </c>
      <c r="J1633" s="133">
        <v>21000</v>
      </c>
      <c r="K1633" s="133">
        <f t="shared" si="16"/>
        <v>240.49473202015577</v>
      </c>
      <c r="L1633" s="125">
        <v>45015</v>
      </c>
      <c r="M1633" s="2" t="s">
        <v>253</v>
      </c>
      <c r="N1633" s="125">
        <v>45016</v>
      </c>
      <c r="O1633" s="134" t="s">
        <v>6593</v>
      </c>
      <c r="P1633" s="2" t="s">
        <v>3882</v>
      </c>
      <c r="Q1633" s="2" t="s">
        <v>356</v>
      </c>
      <c r="R1633" s="2" t="str">
        <f t="shared" ca="1" si="17"/>
        <v>NonCategory</v>
      </c>
    </row>
    <row r="1634" spans="1:18">
      <c r="A1634" s="163">
        <v>45016</v>
      </c>
      <c r="B1634" s="165" t="s">
        <v>3883</v>
      </c>
      <c r="C1634" s="168" t="s">
        <v>3884</v>
      </c>
      <c r="D1634" s="2" t="s">
        <v>319</v>
      </c>
      <c r="E1634" s="2" t="s">
        <v>151</v>
      </c>
      <c r="F1634" s="123">
        <v>44986</v>
      </c>
      <c r="G1634" s="2" t="s">
        <v>16</v>
      </c>
      <c r="H1634" s="2" t="s">
        <v>3885</v>
      </c>
      <c r="I1634" s="126">
        <v>1</v>
      </c>
      <c r="J1634" s="133">
        <v>21000</v>
      </c>
      <c r="K1634" s="133">
        <f t="shared" si="16"/>
        <v>240.49473202015577</v>
      </c>
      <c r="L1634" s="125">
        <v>45016</v>
      </c>
      <c r="M1634" s="2" t="s">
        <v>253</v>
      </c>
      <c r="N1634" s="125">
        <v>45016</v>
      </c>
      <c r="O1634" s="134" t="s">
        <v>6594</v>
      </c>
      <c r="P1634" s="2"/>
      <c r="Q1634" s="2" t="s">
        <v>356</v>
      </c>
      <c r="R1634" s="2" t="str">
        <f t="shared" ca="1" si="17"/>
        <v>NonCategory</v>
      </c>
    </row>
    <row r="1635" spans="1:18">
      <c r="A1635" s="163">
        <v>45016</v>
      </c>
      <c r="B1635" s="165" t="s">
        <v>3886</v>
      </c>
      <c r="C1635" s="168" t="s">
        <v>3887</v>
      </c>
      <c r="D1635" s="2" t="s">
        <v>319</v>
      </c>
      <c r="E1635" s="2" t="s">
        <v>25</v>
      </c>
      <c r="F1635" s="123">
        <v>44986</v>
      </c>
      <c r="G1635" s="2" t="s">
        <v>16</v>
      </c>
      <c r="H1635" s="2" t="s">
        <v>3856</v>
      </c>
      <c r="I1635" s="126">
        <v>1</v>
      </c>
      <c r="J1635" s="133">
        <v>40061</v>
      </c>
      <c r="K1635" s="133">
        <f t="shared" si="16"/>
        <v>458.7837837837838</v>
      </c>
      <c r="L1635" s="125">
        <v>45016</v>
      </c>
      <c r="M1635" s="2" t="s">
        <v>253</v>
      </c>
      <c r="N1635" s="125">
        <v>45016</v>
      </c>
      <c r="O1635" s="134" t="s">
        <v>6595</v>
      </c>
      <c r="P1635" s="2"/>
      <c r="Q1635" s="2" t="s">
        <v>356</v>
      </c>
      <c r="R1635" s="2" t="str">
        <f t="shared" ca="1" si="17"/>
        <v>NonCategory</v>
      </c>
    </row>
    <row r="1636" spans="1:18">
      <c r="A1636" s="163">
        <v>45019</v>
      </c>
      <c r="B1636" s="165" t="s">
        <v>3888</v>
      </c>
      <c r="C1636" s="168" t="s">
        <v>3889</v>
      </c>
      <c r="D1636" s="2" t="s">
        <v>306</v>
      </c>
      <c r="E1636" s="2" t="s">
        <v>1524</v>
      </c>
      <c r="F1636" s="123">
        <v>45017</v>
      </c>
      <c r="G1636" s="2" t="s">
        <v>16</v>
      </c>
      <c r="H1636" s="2" t="s">
        <v>3890</v>
      </c>
      <c r="I1636" s="126">
        <v>1</v>
      </c>
      <c r="J1636" s="133">
        <v>24000</v>
      </c>
      <c r="K1636" s="133">
        <f t="shared" si="16"/>
        <v>274.85112230874944</v>
      </c>
      <c r="L1636" s="125">
        <v>45019</v>
      </c>
      <c r="M1636" s="2" t="s">
        <v>3891</v>
      </c>
      <c r="N1636" s="125">
        <v>45019</v>
      </c>
      <c r="O1636" s="134" t="s">
        <v>6596</v>
      </c>
      <c r="P1636" s="2"/>
      <c r="Q1636" s="2" t="s">
        <v>356</v>
      </c>
      <c r="R1636" s="2" t="str">
        <f t="shared" ca="1" si="17"/>
        <v>NonCategory</v>
      </c>
    </row>
    <row r="1637" spans="1:18">
      <c r="A1637" s="163">
        <v>45019</v>
      </c>
      <c r="B1637" s="165" t="s">
        <v>3892</v>
      </c>
      <c r="C1637" s="168" t="s">
        <v>3893</v>
      </c>
      <c r="D1637" s="2" t="s">
        <v>319</v>
      </c>
      <c r="E1637" s="2" t="s">
        <v>151</v>
      </c>
      <c r="F1637" s="123">
        <v>45017</v>
      </c>
      <c r="G1637" s="2" t="s">
        <v>16</v>
      </c>
      <c r="H1637" s="2" t="s">
        <v>3885</v>
      </c>
      <c r="I1637" s="126">
        <v>1</v>
      </c>
      <c r="J1637" s="133">
        <v>21000</v>
      </c>
      <c r="K1637" s="133">
        <f t="shared" si="16"/>
        <v>240.49473202015577</v>
      </c>
      <c r="L1637" s="125">
        <v>45019</v>
      </c>
      <c r="M1637" s="2" t="s">
        <v>3891</v>
      </c>
      <c r="N1637" s="125">
        <v>45019</v>
      </c>
      <c r="O1637" s="134" t="s">
        <v>6597</v>
      </c>
      <c r="P1637" s="2"/>
      <c r="Q1637" s="2" t="s">
        <v>356</v>
      </c>
      <c r="R1637" s="2" t="str">
        <f t="shared" ca="1" si="17"/>
        <v>NonCategory</v>
      </c>
    </row>
    <row r="1638" spans="1:18">
      <c r="A1638" s="163">
        <v>45019</v>
      </c>
      <c r="B1638" s="165" t="s">
        <v>2833</v>
      </c>
      <c r="C1638" s="168" t="s">
        <v>3894</v>
      </c>
      <c r="D1638" s="2" t="s">
        <v>278</v>
      </c>
      <c r="E1638" s="2" t="s">
        <v>96</v>
      </c>
      <c r="F1638" s="123">
        <v>45017</v>
      </c>
      <c r="G1638" s="2" t="s">
        <v>16</v>
      </c>
      <c r="H1638" s="2" t="s">
        <v>3885</v>
      </c>
      <c r="I1638" s="126">
        <v>1</v>
      </c>
      <c r="J1638" s="133">
        <v>20000</v>
      </c>
      <c r="K1638" s="133">
        <f t="shared" si="16"/>
        <v>229.04260192395787</v>
      </c>
      <c r="L1638" s="125">
        <v>45019</v>
      </c>
      <c r="M1638" s="2" t="s">
        <v>3891</v>
      </c>
      <c r="N1638" s="125">
        <v>45020</v>
      </c>
      <c r="O1638" s="134" t="s">
        <v>6598</v>
      </c>
      <c r="P1638" s="2" t="s">
        <v>3363</v>
      </c>
      <c r="Q1638" s="2" t="s">
        <v>356</v>
      </c>
      <c r="R1638" s="2" t="str">
        <f t="shared" ca="1" si="17"/>
        <v>NonCategory</v>
      </c>
    </row>
    <row r="1639" spans="1:18">
      <c r="A1639" s="163">
        <v>45020</v>
      </c>
      <c r="B1639" s="165" t="s">
        <v>3895</v>
      </c>
      <c r="C1639" s="168" t="s">
        <v>3896</v>
      </c>
      <c r="D1639" s="2" t="s">
        <v>278</v>
      </c>
      <c r="E1639" s="2" t="s">
        <v>25</v>
      </c>
      <c r="F1639" s="123">
        <v>45017</v>
      </c>
      <c r="G1639" s="2" t="s">
        <v>16</v>
      </c>
      <c r="H1639" s="2" t="s">
        <v>3897</v>
      </c>
      <c r="I1639" s="126">
        <v>1</v>
      </c>
      <c r="J1639" s="133">
        <v>42000</v>
      </c>
      <c r="K1639" s="133">
        <f t="shared" si="16"/>
        <v>480.98946404031153</v>
      </c>
      <c r="L1639" s="125">
        <v>45020</v>
      </c>
      <c r="M1639" s="2" t="s">
        <v>3891</v>
      </c>
      <c r="N1639" s="125">
        <v>45020</v>
      </c>
      <c r="O1639" s="134" t="s">
        <v>6599</v>
      </c>
      <c r="P1639" s="2" t="s">
        <v>3898</v>
      </c>
      <c r="Q1639" s="2" t="s">
        <v>356</v>
      </c>
      <c r="R1639" s="2" t="str">
        <f t="shared" ca="1" si="17"/>
        <v>NonCategory</v>
      </c>
    </row>
    <row r="1640" spans="1:18">
      <c r="A1640" s="163">
        <v>45022</v>
      </c>
      <c r="B1640" s="165" t="s">
        <v>2436</v>
      </c>
      <c r="C1640" s="168" t="s">
        <v>2437</v>
      </c>
      <c r="D1640" s="2" t="s">
        <v>470</v>
      </c>
      <c r="E1640" s="2" t="s">
        <v>538</v>
      </c>
      <c r="F1640" s="123">
        <v>45017</v>
      </c>
      <c r="G1640" s="2" t="s">
        <v>16</v>
      </c>
      <c r="H1640" s="125">
        <v>45024</v>
      </c>
      <c r="I1640" s="126">
        <v>1</v>
      </c>
      <c r="J1640" s="133">
        <v>10000</v>
      </c>
      <c r="K1640" s="133">
        <f t="shared" si="16"/>
        <v>114.52130096197894</v>
      </c>
      <c r="L1640" s="125">
        <v>45022</v>
      </c>
      <c r="M1640" s="2" t="s">
        <v>3891</v>
      </c>
      <c r="N1640" s="125">
        <v>45023</v>
      </c>
      <c r="O1640" s="134" t="s">
        <v>6600</v>
      </c>
      <c r="P1640" s="2"/>
      <c r="Q1640" s="2" t="s">
        <v>356</v>
      </c>
      <c r="R1640" s="2" t="str">
        <f t="shared" ca="1" si="17"/>
        <v>NonCategory</v>
      </c>
    </row>
    <row r="1641" spans="1:18">
      <c r="A1641" s="163">
        <v>45022</v>
      </c>
      <c r="B1641" s="165" t="s">
        <v>3899</v>
      </c>
      <c r="C1641" s="168" t="s">
        <v>3900</v>
      </c>
      <c r="D1641" s="2" t="s">
        <v>319</v>
      </c>
      <c r="E1641" s="2" t="s">
        <v>151</v>
      </c>
      <c r="F1641" s="123">
        <v>45017</v>
      </c>
      <c r="G1641" s="2" t="s">
        <v>16</v>
      </c>
      <c r="H1641" s="2" t="s">
        <v>3885</v>
      </c>
      <c r="I1641" s="126">
        <v>1</v>
      </c>
      <c r="J1641" s="133">
        <v>21000</v>
      </c>
      <c r="K1641" s="133">
        <f t="shared" si="16"/>
        <v>240.49473202015577</v>
      </c>
      <c r="L1641" s="125">
        <v>45022</v>
      </c>
      <c r="M1641" s="2" t="s">
        <v>3891</v>
      </c>
      <c r="N1641" s="125">
        <v>45022</v>
      </c>
      <c r="O1641" s="134" t="s">
        <v>6601</v>
      </c>
      <c r="P1641" s="2"/>
      <c r="Q1641" s="2" t="s">
        <v>356</v>
      </c>
      <c r="R1641" s="2" t="str">
        <f t="shared" ca="1" si="17"/>
        <v>NonCategory</v>
      </c>
    </row>
    <row r="1642" spans="1:18">
      <c r="A1642" s="163">
        <v>45023</v>
      </c>
      <c r="B1642" s="165" t="s">
        <v>3901</v>
      </c>
      <c r="C1642" s="168" t="s">
        <v>3902</v>
      </c>
      <c r="D1642" s="2" t="s">
        <v>343</v>
      </c>
      <c r="E1642" s="2" t="s">
        <v>96</v>
      </c>
      <c r="F1642" s="123">
        <v>45017</v>
      </c>
      <c r="G1642" s="2" t="s">
        <v>16</v>
      </c>
      <c r="H1642" s="2" t="s">
        <v>3903</v>
      </c>
      <c r="I1642" s="126">
        <v>1</v>
      </c>
      <c r="J1642" s="133">
        <v>20000</v>
      </c>
      <c r="K1642" s="133">
        <f t="shared" si="16"/>
        <v>229.04260192395787</v>
      </c>
      <c r="L1642" s="125">
        <v>45023</v>
      </c>
      <c r="M1642" s="2" t="s">
        <v>3891</v>
      </c>
      <c r="N1642" s="125">
        <v>45023</v>
      </c>
      <c r="O1642" s="134" t="s">
        <v>6602</v>
      </c>
      <c r="P1642" s="2"/>
      <c r="Q1642" s="2" t="s">
        <v>3904</v>
      </c>
      <c r="R1642" s="2" t="str">
        <f t="shared" ca="1" si="17"/>
        <v>NonCategory</v>
      </c>
    </row>
    <row r="1643" spans="1:18">
      <c r="A1643" s="163">
        <v>45023</v>
      </c>
      <c r="B1643" s="165" t="s">
        <v>3905</v>
      </c>
      <c r="C1643" s="168" t="s">
        <v>3906</v>
      </c>
      <c r="D1643" s="2" t="s">
        <v>291</v>
      </c>
      <c r="E1643" s="2" t="s">
        <v>1524</v>
      </c>
      <c r="F1643" s="123">
        <v>45017</v>
      </c>
      <c r="G1643" s="2" t="s">
        <v>16</v>
      </c>
      <c r="H1643" s="2" t="s">
        <v>3907</v>
      </c>
      <c r="I1643" s="126">
        <v>1</v>
      </c>
      <c r="J1643" s="133">
        <v>24000</v>
      </c>
      <c r="K1643" s="133">
        <f t="shared" si="16"/>
        <v>274.85112230874944</v>
      </c>
      <c r="L1643" s="125">
        <v>45023</v>
      </c>
      <c r="M1643" s="2" t="s">
        <v>3891</v>
      </c>
      <c r="N1643" s="125">
        <v>45023</v>
      </c>
      <c r="O1643" s="134" t="s">
        <v>6603</v>
      </c>
      <c r="P1643" s="2"/>
      <c r="Q1643" s="2" t="s">
        <v>356</v>
      </c>
      <c r="R1643" s="2" t="str">
        <f t="shared" ca="1" si="17"/>
        <v>NonCategory</v>
      </c>
    </row>
    <row r="1644" spans="1:18">
      <c r="A1644" s="163">
        <v>45026</v>
      </c>
      <c r="B1644" s="165" t="s">
        <v>3908</v>
      </c>
      <c r="C1644" s="168" t="s">
        <v>3909</v>
      </c>
      <c r="D1644" s="2" t="s">
        <v>319</v>
      </c>
      <c r="E1644" s="2" t="s">
        <v>6</v>
      </c>
      <c r="F1644" s="123">
        <v>45017</v>
      </c>
      <c r="G1644" s="2" t="s">
        <v>16</v>
      </c>
      <c r="H1644" s="2" t="s">
        <v>3885</v>
      </c>
      <c r="I1644" s="126">
        <v>1</v>
      </c>
      <c r="J1644" s="133">
        <v>40061</v>
      </c>
      <c r="K1644" s="133">
        <f t="shared" si="16"/>
        <v>458.7837837837838</v>
      </c>
      <c r="L1644" s="125">
        <v>45026</v>
      </c>
      <c r="M1644" s="2" t="s">
        <v>3891</v>
      </c>
      <c r="N1644" s="125">
        <v>45026</v>
      </c>
      <c r="O1644" s="134" t="s">
        <v>6604</v>
      </c>
      <c r="P1644" s="2"/>
      <c r="Q1644" s="2" t="s">
        <v>356</v>
      </c>
      <c r="R1644" s="2" t="str">
        <f t="shared" ca="1" si="17"/>
        <v>NonCategory</v>
      </c>
    </row>
    <row r="1645" spans="1:18">
      <c r="A1645" s="163">
        <v>45026</v>
      </c>
      <c r="B1645" s="165" t="s">
        <v>3910</v>
      </c>
      <c r="C1645" s="168" t="s">
        <v>3911</v>
      </c>
      <c r="D1645" s="2" t="s">
        <v>278</v>
      </c>
      <c r="E1645" s="2" t="s">
        <v>150</v>
      </c>
      <c r="F1645" s="123">
        <v>45017</v>
      </c>
      <c r="G1645" s="2" t="s">
        <v>16</v>
      </c>
      <c r="H1645" s="2" t="s">
        <v>3912</v>
      </c>
      <c r="I1645" s="126">
        <v>1</v>
      </c>
      <c r="J1645" s="133">
        <v>21000</v>
      </c>
      <c r="K1645" s="133">
        <f t="shared" si="16"/>
        <v>240.49473202015577</v>
      </c>
      <c r="L1645" s="125">
        <v>45026</v>
      </c>
      <c r="M1645" s="2" t="s">
        <v>3891</v>
      </c>
      <c r="N1645" s="125">
        <v>45026</v>
      </c>
      <c r="O1645" s="134" t="s">
        <v>6605</v>
      </c>
      <c r="P1645" s="2" t="s">
        <v>3913</v>
      </c>
      <c r="Q1645" s="2" t="s">
        <v>356</v>
      </c>
      <c r="R1645" s="2" t="str">
        <f t="shared" ca="1" si="17"/>
        <v>NonCategory</v>
      </c>
    </row>
    <row r="1646" spans="1:18">
      <c r="A1646" s="163">
        <v>45029</v>
      </c>
      <c r="B1646" s="165" t="s">
        <v>3914</v>
      </c>
      <c r="C1646" s="168" t="s">
        <v>3915</v>
      </c>
      <c r="D1646" s="2" t="s">
        <v>319</v>
      </c>
      <c r="E1646" s="2" t="s">
        <v>96</v>
      </c>
      <c r="F1646" s="123">
        <v>45017</v>
      </c>
      <c r="G1646" s="2" t="s">
        <v>16</v>
      </c>
      <c r="H1646" s="2" t="s">
        <v>3885</v>
      </c>
      <c r="I1646" s="126">
        <v>1</v>
      </c>
      <c r="J1646" s="133">
        <v>20000</v>
      </c>
      <c r="K1646" s="133">
        <f t="shared" si="16"/>
        <v>229.04260192395787</v>
      </c>
      <c r="L1646" s="125">
        <v>45029</v>
      </c>
      <c r="M1646" s="2" t="s">
        <v>3891</v>
      </c>
      <c r="N1646" s="125">
        <v>45029</v>
      </c>
      <c r="O1646" s="134" t="s">
        <v>6606</v>
      </c>
      <c r="P1646" s="2"/>
      <c r="Q1646" s="2" t="s">
        <v>356</v>
      </c>
      <c r="R1646" s="2" t="str">
        <f t="shared" ca="1" si="17"/>
        <v>NonCategory</v>
      </c>
    </row>
    <row r="1647" spans="1:18">
      <c r="A1647" s="163">
        <v>45030</v>
      </c>
      <c r="B1647" s="165" t="s">
        <v>3916</v>
      </c>
      <c r="C1647" s="168" t="s">
        <v>3917</v>
      </c>
      <c r="D1647" s="2" t="s">
        <v>3500</v>
      </c>
      <c r="E1647" s="2" t="s">
        <v>150</v>
      </c>
      <c r="F1647" s="123">
        <v>45017</v>
      </c>
      <c r="G1647" s="2" t="s">
        <v>16</v>
      </c>
      <c r="H1647" s="2" t="s">
        <v>3885</v>
      </c>
      <c r="I1647" s="126">
        <v>1</v>
      </c>
      <c r="J1647" s="133">
        <v>21000</v>
      </c>
      <c r="K1647" s="133">
        <f t="shared" si="16"/>
        <v>240.49473202015577</v>
      </c>
      <c r="L1647" s="125">
        <v>45030</v>
      </c>
      <c r="M1647" s="2" t="s">
        <v>3891</v>
      </c>
      <c r="N1647" s="125">
        <v>45030</v>
      </c>
      <c r="O1647" s="134" t="s">
        <v>6607</v>
      </c>
      <c r="P1647" s="2"/>
      <c r="Q1647" s="2" t="s">
        <v>356</v>
      </c>
      <c r="R1647" s="2" t="str">
        <f t="shared" ca="1" si="17"/>
        <v>NonCategory</v>
      </c>
    </row>
    <row r="1648" spans="1:18">
      <c r="A1648" s="163">
        <v>45033</v>
      </c>
      <c r="B1648" s="165" t="s">
        <v>3918</v>
      </c>
      <c r="C1648" s="168" t="s">
        <v>3919</v>
      </c>
      <c r="D1648" s="2" t="s">
        <v>278</v>
      </c>
      <c r="E1648" s="2" t="s">
        <v>1715</v>
      </c>
      <c r="F1648" s="123">
        <v>45017</v>
      </c>
      <c r="G1648" s="2" t="s">
        <v>16</v>
      </c>
      <c r="H1648" s="2" t="s">
        <v>21</v>
      </c>
      <c r="I1648" s="126">
        <v>1</v>
      </c>
      <c r="J1648" s="133">
        <v>47939</v>
      </c>
      <c r="K1648" s="133">
        <f t="shared" si="16"/>
        <v>549.00366468163088</v>
      </c>
      <c r="L1648" s="125">
        <v>45033</v>
      </c>
      <c r="M1648" s="2" t="s">
        <v>3920</v>
      </c>
      <c r="N1648" s="125">
        <v>45033</v>
      </c>
      <c r="O1648" s="134" t="s">
        <v>6608</v>
      </c>
      <c r="P1648" s="2"/>
      <c r="Q1648" s="2" t="s">
        <v>356</v>
      </c>
      <c r="R1648" s="2" t="str">
        <f t="shared" ca="1" si="17"/>
        <v>NonCategory</v>
      </c>
    </row>
    <row r="1649" spans="1:18">
      <c r="A1649" s="163">
        <v>45034</v>
      </c>
      <c r="B1649" s="165" t="s">
        <v>3921</v>
      </c>
      <c r="C1649" s="168" t="s">
        <v>3922</v>
      </c>
      <c r="D1649" s="2" t="s">
        <v>278</v>
      </c>
      <c r="E1649" s="2" t="s">
        <v>96</v>
      </c>
      <c r="F1649" s="123">
        <v>45017</v>
      </c>
      <c r="G1649" s="2" t="s">
        <v>16</v>
      </c>
      <c r="H1649" s="2" t="s">
        <v>3923</v>
      </c>
      <c r="I1649" s="126">
        <v>1</v>
      </c>
      <c r="J1649" s="133">
        <v>20000</v>
      </c>
      <c r="K1649" s="133">
        <f t="shared" si="16"/>
        <v>229.04260192395787</v>
      </c>
      <c r="L1649" s="125">
        <v>45034</v>
      </c>
      <c r="M1649" s="2" t="s">
        <v>3920</v>
      </c>
      <c r="N1649" s="125">
        <v>45034</v>
      </c>
      <c r="O1649" s="134" t="s">
        <v>6609</v>
      </c>
      <c r="P1649" s="2"/>
      <c r="Q1649" s="2" t="s">
        <v>356</v>
      </c>
      <c r="R1649" s="2" t="str">
        <f t="shared" ca="1" si="17"/>
        <v>NonCategory</v>
      </c>
    </row>
    <row r="1650" spans="1:18">
      <c r="A1650" s="163">
        <v>45034</v>
      </c>
      <c r="B1650" s="165" t="s">
        <v>3924</v>
      </c>
      <c r="C1650" s="168" t="s">
        <v>3925</v>
      </c>
      <c r="D1650" s="2" t="s">
        <v>278</v>
      </c>
      <c r="E1650" s="2" t="s">
        <v>1524</v>
      </c>
      <c r="F1650" s="123">
        <v>45017</v>
      </c>
      <c r="G1650" s="2" t="s">
        <v>16</v>
      </c>
      <c r="H1650" s="2" t="s">
        <v>3890</v>
      </c>
      <c r="I1650" s="126">
        <v>1</v>
      </c>
      <c r="J1650" s="133">
        <v>24000</v>
      </c>
      <c r="K1650" s="133">
        <f t="shared" si="16"/>
        <v>274.85112230874944</v>
      </c>
      <c r="L1650" s="125">
        <v>45034</v>
      </c>
      <c r="M1650" s="2" t="s">
        <v>3920</v>
      </c>
      <c r="N1650" s="125">
        <v>45034</v>
      </c>
      <c r="O1650" s="134" t="s">
        <v>6610</v>
      </c>
      <c r="P1650" s="2" t="s">
        <v>3926</v>
      </c>
      <c r="Q1650" s="2" t="s">
        <v>356</v>
      </c>
      <c r="R1650" s="2" t="str">
        <f t="shared" ca="1" si="17"/>
        <v>NonCategory</v>
      </c>
    </row>
    <row r="1651" spans="1:18">
      <c r="A1651" s="163">
        <v>45036</v>
      </c>
      <c r="B1651" s="165" t="s">
        <v>3927</v>
      </c>
      <c r="C1651" s="168" t="s">
        <v>3928</v>
      </c>
      <c r="D1651" s="2" t="s">
        <v>291</v>
      </c>
      <c r="E1651" s="2" t="s">
        <v>151</v>
      </c>
      <c r="F1651" s="123">
        <v>45017</v>
      </c>
      <c r="G1651" s="2" t="s">
        <v>16</v>
      </c>
      <c r="H1651" s="2" t="s">
        <v>3903</v>
      </c>
      <c r="I1651" s="126">
        <v>1</v>
      </c>
      <c r="J1651" s="133">
        <v>20000</v>
      </c>
      <c r="K1651" s="133">
        <f t="shared" si="16"/>
        <v>229.04260192395787</v>
      </c>
      <c r="L1651" s="125">
        <v>45036</v>
      </c>
      <c r="M1651" s="2" t="s">
        <v>3920</v>
      </c>
      <c r="N1651" s="125">
        <v>45036</v>
      </c>
      <c r="O1651" s="134" t="s">
        <v>6611</v>
      </c>
      <c r="P1651" s="2"/>
      <c r="Q1651" s="2" t="s">
        <v>3904</v>
      </c>
      <c r="R1651" s="2" t="str">
        <f t="shared" ca="1" si="17"/>
        <v>NonCategory</v>
      </c>
    </row>
    <row r="1652" spans="1:18">
      <c r="A1652" s="163">
        <v>45036</v>
      </c>
      <c r="B1652" s="165" t="s">
        <v>1742</v>
      </c>
      <c r="C1652" s="168" t="s">
        <v>3929</v>
      </c>
      <c r="D1652" s="2" t="s">
        <v>278</v>
      </c>
      <c r="E1652" s="2" t="s">
        <v>96</v>
      </c>
      <c r="F1652" s="123">
        <v>45017</v>
      </c>
      <c r="G1652" s="2" t="s">
        <v>16</v>
      </c>
      <c r="H1652" s="2" t="s">
        <v>3890</v>
      </c>
      <c r="I1652" s="126">
        <v>1</v>
      </c>
      <c r="J1652" s="133">
        <v>20000</v>
      </c>
      <c r="K1652" s="133">
        <f t="shared" si="16"/>
        <v>229.04260192395787</v>
      </c>
      <c r="L1652" s="125">
        <v>45036</v>
      </c>
      <c r="M1652" s="2" t="s">
        <v>3920</v>
      </c>
      <c r="N1652" s="125">
        <v>45036</v>
      </c>
      <c r="O1652" s="134" t="s">
        <v>6612</v>
      </c>
      <c r="P1652" s="2"/>
      <c r="Q1652" s="2" t="s">
        <v>356</v>
      </c>
      <c r="R1652" s="2" t="str">
        <f t="shared" ca="1" si="17"/>
        <v>NonCategory</v>
      </c>
    </row>
    <row r="1653" spans="1:18">
      <c r="A1653" s="163">
        <v>45037</v>
      </c>
      <c r="B1653" s="165" t="s">
        <v>3930</v>
      </c>
      <c r="C1653" s="168" t="s">
        <v>3931</v>
      </c>
      <c r="D1653" s="2" t="s">
        <v>319</v>
      </c>
      <c r="E1653" s="2" t="s">
        <v>150</v>
      </c>
      <c r="F1653" s="123">
        <v>45017</v>
      </c>
      <c r="G1653" s="2" t="s">
        <v>16</v>
      </c>
      <c r="H1653" s="2" t="s">
        <v>3932</v>
      </c>
      <c r="I1653" s="126">
        <v>1</v>
      </c>
      <c r="J1653" s="133">
        <v>21000</v>
      </c>
      <c r="K1653" s="133">
        <f t="shared" si="16"/>
        <v>240.49473202015577</v>
      </c>
      <c r="L1653" s="125">
        <v>45037</v>
      </c>
      <c r="M1653" s="2" t="s">
        <v>3920</v>
      </c>
      <c r="N1653" s="125">
        <v>45037</v>
      </c>
      <c r="O1653" s="134" t="s">
        <v>6613</v>
      </c>
      <c r="P1653" s="2"/>
      <c r="Q1653" s="2" t="s">
        <v>356</v>
      </c>
      <c r="R1653" s="2" t="str">
        <f t="shared" ca="1" si="17"/>
        <v>NonCategory</v>
      </c>
    </row>
    <row r="1654" spans="1:18">
      <c r="A1654" s="163">
        <v>45037</v>
      </c>
      <c r="B1654" s="165" t="s">
        <v>3933</v>
      </c>
      <c r="C1654" s="168" t="s">
        <v>3934</v>
      </c>
      <c r="D1654" s="2" t="s">
        <v>319</v>
      </c>
      <c r="E1654" s="2" t="s">
        <v>1524</v>
      </c>
      <c r="F1654" s="123">
        <v>45017</v>
      </c>
      <c r="G1654" s="2" t="s">
        <v>16</v>
      </c>
      <c r="H1654" s="2" t="s">
        <v>3890</v>
      </c>
      <c r="I1654" s="126">
        <v>1</v>
      </c>
      <c r="J1654" s="133">
        <v>24000</v>
      </c>
      <c r="K1654" s="133">
        <f t="shared" si="16"/>
        <v>274.85112230874944</v>
      </c>
      <c r="L1654" s="125">
        <v>45037</v>
      </c>
      <c r="M1654" s="2" t="s">
        <v>3920</v>
      </c>
      <c r="N1654" s="125">
        <v>45037</v>
      </c>
      <c r="O1654" s="134" t="s">
        <v>6614</v>
      </c>
      <c r="P1654" s="2"/>
      <c r="Q1654" s="2" t="s">
        <v>356</v>
      </c>
      <c r="R1654" s="2" t="str">
        <f t="shared" ca="1" si="17"/>
        <v>NonCategory</v>
      </c>
    </row>
    <row r="1655" spans="1:18">
      <c r="A1655" s="163">
        <v>45042</v>
      </c>
      <c r="B1655" s="165" t="s">
        <v>3935</v>
      </c>
      <c r="C1655" s="168" t="s">
        <v>3936</v>
      </c>
      <c r="D1655" s="2" t="s">
        <v>343</v>
      </c>
      <c r="E1655" s="2" t="s">
        <v>96</v>
      </c>
      <c r="F1655" s="123">
        <v>45017</v>
      </c>
      <c r="G1655" s="2" t="s">
        <v>16</v>
      </c>
      <c r="H1655" s="2" t="s">
        <v>3932</v>
      </c>
      <c r="I1655" s="126">
        <v>1</v>
      </c>
      <c r="J1655" s="133">
        <v>20000</v>
      </c>
      <c r="K1655" s="133">
        <f t="shared" si="16"/>
        <v>229.04260192395787</v>
      </c>
      <c r="L1655" s="125">
        <v>45042</v>
      </c>
      <c r="M1655" s="2" t="s">
        <v>3920</v>
      </c>
      <c r="N1655" s="125">
        <v>45042</v>
      </c>
      <c r="O1655" s="134" t="s">
        <v>6615</v>
      </c>
      <c r="P1655" s="2"/>
      <c r="Q1655" s="2" t="s">
        <v>356</v>
      </c>
      <c r="R1655" s="2" t="str">
        <f t="shared" ca="1" si="17"/>
        <v>NonCategory</v>
      </c>
    </row>
    <row r="1656" spans="1:18">
      <c r="A1656" s="163">
        <v>45043</v>
      </c>
      <c r="B1656" s="165" t="s">
        <v>3937</v>
      </c>
      <c r="C1656" s="168" t="s">
        <v>3938</v>
      </c>
      <c r="D1656" s="2" t="s">
        <v>470</v>
      </c>
      <c r="E1656" s="2" t="s">
        <v>6</v>
      </c>
      <c r="F1656" s="123">
        <v>45017</v>
      </c>
      <c r="G1656" s="2" t="s">
        <v>16</v>
      </c>
      <c r="H1656" s="2" t="s">
        <v>3912</v>
      </c>
      <c r="I1656" s="126">
        <v>1</v>
      </c>
      <c r="J1656" s="133">
        <v>40061</v>
      </c>
      <c r="K1656" s="133">
        <f t="shared" si="16"/>
        <v>458.7837837837838</v>
      </c>
      <c r="L1656" s="125">
        <v>45043</v>
      </c>
      <c r="M1656" s="2" t="s">
        <v>3920</v>
      </c>
      <c r="N1656" s="125">
        <v>45043</v>
      </c>
      <c r="O1656" s="134" t="s">
        <v>6616</v>
      </c>
      <c r="P1656" s="2"/>
      <c r="Q1656" s="2" t="s">
        <v>356</v>
      </c>
      <c r="R1656" s="2" t="str">
        <f t="shared" ca="1" si="17"/>
        <v>NonCategory</v>
      </c>
    </row>
    <row r="1657" spans="1:18">
      <c r="A1657" s="163">
        <v>45047</v>
      </c>
      <c r="B1657" s="165" t="s">
        <v>3939</v>
      </c>
      <c r="C1657" s="168" t="s">
        <v>3940</v>
      </c>
      <c r="D1657" s="2" t="s">
        <v>319</v>
      </c>
      <c r="E1657" s="2" t="s">
        <v>6</v>
      </c>
      <c r="F1657" s="123">
        <v>45047</v>
      </c>
      <c r="G1657" s="2" t="s">
        <v>16</v>
      </c>
      <c r="H1657" s="2" t="s">
        <v>3932</v>
      </c>
      <c r="I1657" s="126">
        <v>1</v>
      </c>
      <c r="J1657" s="133">
        <v>40061</v>
      </c>
      <c r="K1657" s="133">
        <f t="shared" si="16"/>
        <v>458.7837837837838</v>
      </c>
      <c r="L1657" s="125">
        <v>45047</v>
      </c>
      <c r="M1657" s="2" t="s">
        <v>251</v>
      </c>
      <c r="N1657" s="125">
        <v>45047</v>
      </c>
      <c r="O1657" s="134" t="s">
        <v>6617</v>
      </c>
      <c r="P1657" s="2"/>
      <c r="Q1657" s="2" t="s">
        <v>356</v>
      </c>
      <c r="R1657" s="2" t="str">
        <f t="shared" ca="1" si="17"/>
        <v>NonCategory</v>
      </c>
    </row>
    <row r="1658" spans="1:18">
      <c r="A1658" s="163">
        <v>45047</v>
      </c>
      <c r="B1658" s="165" t="s">
        <v>3941</v>
      </c>
      <c r="C1658" s="168" t="s">
        <v>3942</v>
      </c>
      <c r="D1658" s="2" t="s">
        <v>278</v>
      </c>
      <c r="E1658" s="2" t="s">
        <v>6</v>
      </c>
      <c r="F1658" s="123">
        <v>45047</v>
      </c>
      <c r="G1658" s="2" t="s">
        <v>16</v>
      </c>
      <c r="H1658" s="2" t="s">
        <v>3932</v>
      </c>
      <c r="I1658" s="126">
        <v>1</v>
      </c>
      <c r="J1658" s="133">
        <v>40061</v>
      </c>
      <c r="K1658" s="133">
        <f t="shared" si="16"/>
        <v>458.7837837837838</v>
      </c>
      <c r="L1658" s="125">
        <v>45047</v>
      </c>
      <c r="M1658" s="2" t="s">
        <v>251</v>
      </c>
      <c r="N1658" s="125">
        <v>45047</v>
      </c>
      <c r="O1658" s="140" t="s">
        <v>6618</v>
      </c>
      <c r="P1658" s="2"/>
      <c r="Q1658" s="2" t="s">
        <v>356</v>
      </c>
      <c r="R1658" s="2" t="str">
        <f t="shared" ca="1" si="17"/>
        <v>NonCategory</v>
      </c>
    </row>
    <row r="1659" spans="1:18">
      <c r="A1659" s="163">
        <v>45048</v>
      </c>
      <c r="B1659" s="165" t="s">
        <v>3943</v>
      </c>
      <c r="C1659" s="168" t="s">
        <v>3944</v>
      </c>
      <c r="D1659" s="2" t="s">
        <v>291</v>
      </c>
      <c r="E1659" s="2" t="s">
        <v>150</v>
      </c>
      <c r="F1659" s="123">
        <v>45047</v>
      </c>
      <c r="G1659" s="2" t="s">
        <v>16</v>
      </c>
      <c r="H1659" s="2" t="s">
        <v>3932</v>
      </c>
      <c r="I1659" s="126">
        <v>1</v>
      </c>
      <c r="J1659" s="133">
        <v>21000</v>
      </c>
      <c r="K1659" s="133">
        <f t="shared" si="16"/>
        <v>240.49473202015577</v>
      </c>
      <c r="L1659" s="125">
        <v>45048</v>
      </c>
      <c r="M1659" s="2" t="s">
        <v>251</v>
      </c>
      <c r="N1659" s="125">
        <v>45048</v>
      </c>
      <c r="O1659" s="134" t="s">
        <v>6619</v>
      </c>
      <c r="P1659" s="2"/>
      <c r="Q1659" s="2" t="s">
        <v>356</v>
      </c>
      <c r="R1659" s="2" t="str">
        <f t="shared" ca="1" si="17"/>
        <v>NonCategory</v>
      </c>
    </row>
    <row r="1660" spans="1:18">
      <c r="A1660" s="163">
        <v>45048</v>
      </c>
      <c r="B1660" s="165" t="s">
        <v>3945</v>
      </c>
      <c r="C1660" s="168" t="s">
        <v>3946</v>
      </c>
      <c r="D1660" s="2" t="s">
        <v>278</v>
      </c>
      <c r="E1660" s="2" t="s">
        <v>150</v>
      </c>
      <c r="F1660" s="123">
        <v>45047</v>
      </c>
      <c r="G1660" s="2" t="s">
        <v>16</v>
      </c>
      <c r="H1660" s="2" t="s">
        <v>3932</v>
      </c>
      <c r="I1660" s="126">
        <v>1</v>
      </c>
      <c r="J1660" s="133">
        <v>21000</v>
      </c>
      <c r="K1660" s="133">
        <f t="shared" si="16"/>
        <v>240.49473202015577</v>
      </c>
      <c r="L1660" s="125">
        <v>45048</v>
      </c>
      <c r="M1660" s="2" t="s">
        <v>251</v>
      </c>
      <c r="N1660" s="125">
        <v>45048</v>
      </c>
      <c r="O1660" s="134" t="s">
        <v>6620</v>
      </c>
      <c r="P1660" s="2" t="s">
        <v>3947</v>
      </c>
      <c r="Q1660" s="2" t="s">
        <v>356</v>
      </c>
      <c r="R1660" s="2" t="str">
        <f t="shared" ca="1" si="17"/>
        <v>NonCategory</v>
      </c>
    </row>
    <row r="1661" spans="1:18">
      <c r="A1661" s="163">
        <v>45049</v>
      </c>
      <c r="B1661" s="165" t="s">
        <v>3948</v>
      </c>
      <c r="C1661" s="168" t="s">
        <v>3949</v>
      </c>
      <c r="D1661" s="2" t="s">
        <v>278</v>
      </c>
      <c r="E1661" s="2" t="s">
        <v>96</v>
      </c>
      <c r="F1661" s="123">
        <v>45047</v>
      </c>
      <c r="G1661" s="2" t="s">
        <v>16</v>
      </c>
      <c r="H1661" s="2" t="s">
        <v>3923</v>
      </c>
      <c r="I1661" s="126">
        <v>1</v>
      </c>
      <c r="J1661" s="133">
        <v>18000</v>
      </c>
      <c r="K1661" s="133">
        <f t="shared" si="16"/>
        <v>206.13834173156206</v>
      </c>
      <c r="L1661" s="125">
        <v>45049</v>
      </c>
      <c r="M1661" s="2" t="s">
        <v>251</v>
      </c>
      <c r="N1661" s="125">
        <v>45049</v>
      </c>
      <c r="O1661" s="134" t="s">
        <v>6621</v>
      </c>
      <c r="P1661" s="2" t="s">
        <v>3950</v>
      </c>
      <c r="Q1661" s="2" t="s">
        <v>356</v>
      </c>
      <c r="R1661" s="2" t="str">
        <f t="shared" ca="1" si="17"/>
        <v>NonCategory</v>
      </c>
    </row>
    <row r="1662" spans="1:18">
      <c r="A1662" s="163">
        <v>45049</v>
      </c>
      <c r="B1662" s="165" t="s">
        <v>3951</v>
      </c>
      <c r="C1662" s="168" t="s">
        <v>3952</v>
      </c>
      <c r="D1662" s="2" t="s">
        <v>291</v>
      </c>
      <c r="E1662" s="2" t="s">
        <v>151</v>
      </c>
      <c r="F1662" s="123">
        <v>45047</v>
      </c>
      <c r="G1662" s="2" t="s">
        <v>16</v>
      </c>
      <c r="H1662" s="2" t="s">
        <v>3932</v>
      </c>
      <c r="I1662" s="126">
        <v>1</v>
      </c>
      <c r="J1662" s="133">
        <v>21000</v>
      </c>
      <c r="K1662" s="133">
        <f t="shared" si="16"/>
        <v>240.49473202015577</v>
      </c>
      <c r="L1662" s="125">
        <v>45049</v>
      </c>
      <c r="M1662" s="2" t="s">
        <v>251</v>
      </c>
      <c r="N1662" s="125">
        <v>45049</v>
      </c>
      <c r="O1662" s="134" t="s">
        <v>6622</v>
      </c>
      <c r="P1662" s="2"/>
      <c r="Q1662" s="2" t="s">
        <v>356</v>
      </c>
      <c r="R1662" s="2" t="str">
        <f t="shared" ca="1" si="17"/>
        <v>NonCategory</v>
      </c>
    </row>
    <row r="1663" spans="1:18">
      <c r="A1663" s="163">
        <v>45050</v>
      </c>
      <c r="B1663" s="165" t="s">
        <v>3953</v>
      </c>
      <c r="C1663" s="168" t="s">
        <v>3954</v>
      </c>
      <c r="D1663" s="2" t="s">
        <v>278</v>
      </c>
      <c r="E1663" s="2" t="s">
        <v>1715</v>
      </c>
      <c r="F1663" s="123">
        <v>45047</v>
      </c>
      <c r="G1663" s="2" t="s">
        <v>16</v>
      </c>
      <c r="H1663" s="125">
        <v>45054</v>
      </c>
      <c r="I1663" s="126">
        <v>1</v>
      </c>
      <c r="J1663" s="133">
        <v>62721</v>
      </c>
      <c r="K1663" s="133">
        <f t="shared" si="16"/>
        <v>718.28905176362809</v>
      </c>
      <c r="L1663" s="125">
        <v>45050</v>
      </c>
      <c r="M1663" s="2" t="s">
        <v>251</v>
      </c>
      <c r="N1663" s="125">
        <v>45050</v>
      </c>
      <c r="O1663" s="134" t="s">
        <v>6623</v>
      </c>
      <c r="P1663" s="2" t="s">
        <v>3955</v>
      </c>
      <c r="Q1663" s="2" t="s">
        <v>356</v>
      </c>
      <c r="R1663" s="2" t="str">
        <f t="shared" ca="1" si="17"/>
        <v>NonCategory</v>
      </c>
    </row>
    <row r="1664" spans="1:18">
      <c r="A1664" s="163">
        <v>45050</v>
      </c>
      <c r="B1664" s="165" t="s">
        <v>3956</v>
      </c>
      <c r="C1664" s="168" t="s">
        <v>3957</v>
      </c>
      <c r="D1664" s="2" t="s">
        <v>278</v>
      </c>
      <c r="E1664" s="2" t="s">
        <v>6</v>
      </c>
      <c r="F1664" s="123">
        <v>45047</v>
      </c>
      <c r="G1664" s="2" t="s">
        <v>16</v>
      </c>
      <c r="H1664" s="2" t="s">
        <v>3958</v>
      </c>
      <c r="I1664" s="126">
        <v>1</v>
      </c>
      <c r="J1664" s="133">
        <v>42000</v>
      </c>
      <c r="K1664" s="133">
        <f t="shared" si="16"/>
        <v>480.98946404031153</v>
      </c>
      <c r="L1664" s="125">
        <v>45050</v>
      </c>
      <c r="M1664" s="2" t="s">
        <v>251</v>
      </c>
      <c r="N1664" s="125">
        <v>45050</v>
      </c>
      <c r="O1664" s="134" t="s">
        <v>6624</v>
      </c>
      <c r="P1664" s="2" t="s">
        <v>3835</v>
      </c>
      <c r="Q1664" s="2" t="s">
        <v>356</v>
      </c>
      <c r="R1664" s="2" t="str">
        <f t="shared" ca="1" si="17"/>
        <v>NonCategory</v>
      </c>
    </row>
    <row r="1665" spans="1:18">
      <c r="A1665" s="163">
        <v>45051</v>
      </c>
      <c r="B1665" s="165" t="s">
        <v>3959</v>
      </c>
      <c r="C1665" s="168" t="s">
        <v>3960</v>
      </c>
      <c r="D1665" s="2" t="s">
        <v>303</v>
      </c>
      <c r="E1665" s="2" t="s">
        <v>97</v>
      </c>
      <c r="F1665" s="123">
        <v>45047</v>
      </c>
      <c r="G1665" s="2" t="s">
        <v>16</v>
      </c>
      <c r="H1665" s="2" t="s">
        <v>3958</v>
      </c>
      <c r="I1665" s="126">
        <v>1</v>
      </c>
      <c r="J1665" s="133">
        <v>20000</v>
      </c>
      <c r="K1665" s="133">
        <f t="shared" si="16"/>
        <v>229.04260192395787</v>
      </c>
      <c r="L1665" s="125">
        <v>45051</v>
      </c>
      <c r="M1665" s="2" t="s">
        <v>251</v>
      </c>
      <c r="N1665" s="125">
        <v>45051</v>
      </c>
      <c r="O1665" s="134" t="s">
        <v>6625</v>
      </c>
      <c r="P1665" s="2"/>
      <c r="Q1665" s="2" t="s">
        <v>356</v>
      </c>
      <c r="R1665" s="2" t="str">
        <f t="shared" ca="1" si="17"/>
        <v>NonCategory</v>
      </c>
    </row>
    <row r="1666" spans="1:18">
      <c r="A1666" s="163">
        <v>45051</v>
      </c>
      <c r="B1666" s="165" t="s">
        <v>3961</v>
      </c>
      <c r="C1666" s="168" t="s">
        <v>3962</v>
      </c>
      <c r="D1666" s="2" t="s">
        <v>278</v>
      </c>
      <c r="E1666" s="2" t="s">
        <v>532</v>
      </c>
      <c r="F1666" s="123">
        <v>45047</v>
      </c>
      <c r="G1666" s="2" t="s">
        <v>16</v>
      </c>
      <c r="H1666" s="125">
        <v>45061</v>
      </c>
      <c r="I1666" s="126">
        <v>1</v>
      </c>
      <c r="J1666" s="133">
        <v>14000</v>
      </c>
      <c r="K1666" s="133">
        <f t="shared" si="16"/>
        <v>160.3298213467705</v>
      </c>
      <c r="L1666" s="125">
        <v>45051</v>
      </c>
      <c r="M1666" s="2" t="s">
        <v>251</v>
      </c>
      <c r="N1666" s="125">
        <v>45051</v>
      </c>
      <c r="O1666" s="134" t="s">
        <v>6626</v>
      </c>
      <c r="P1666" s="2" t="s">
        <v>3963</v>
      </c>
      <c r="Q1666" s="2" t="s">
        <v>356</v>
      </c>
      <c r="R1666" s="2" t="str">
        <f t="shared" ca="1" si="17"/>
        <v>NonCategory</v>
      </c>
    </row>
    <row r="1667" spans="1:18">
      <c r="A1667" s="163">
        <v>45051</v>
      </c>
      <c r="B1667" s="165" t="s">
        <v>3964</v>
      </c>
      <c r="C1667" s="168" t="s">
        <v>3965</v>
      </c>
      <c r="D1667" s="2" t="s">
        <v>278</v>
      </c>
      <c r="E1667" s="2" t="s">
        <v>96</v>
      </c>
      <c r="F1667" s="123">
        <v>45047</v>
      </c>
      <c r="G1667" s="2" t="s">
        <v>16</v>
      </c>
      <c r="H1667" s="2" t="s">
        <v>3966</v>
      </c>
      <c r="I1667" s="126">
        <v>1</v>
      </c>
      <c r="J1667" s="133">
        <v>43393</v>
      </c>
      <c r="K1667" s="133">
        <f t="shared" si="16"/>
        <v>496.94228126431523</v>
      </c>
      <c r="L1667" s="125">
        <v>45051</v>
      </c>
      <c r="M1667" s="2" t="s">
        <v>251</v>
      </c>
      <c r="N1667" s="125">
        <v>45051</v>
      </c>
      <c r="O1667" s="134" t="s">
        <v>6627</v>
      </c>
      <c r="P1667" s="2" t="s">
        <v>3967</v>
      </c>
      <c r="Q1667" s="2" t="s">
        <v>356</v>
      </c>
      <c r="R1667" s="2" t="str">
        <f t="shared" ca="1" si="17"/>
        <v>NonCategory</v>
      </c>
    </row>
    <row r="1668" spans="1:18">
      <c r="A1668" s="163">
        <v>45054</v>
      </c>
      <c r="B1668" s="165" t="s">
        <v>3968</v>
      </c>
      <c r="C1668" s="168" t="s">
        <v>3969</v>
      </c>
      <c r="D1668" s="2" t="s">
        <v>303</v>
      </c>
      <c r="E1668" s="2" t="s">
        <v>150</v>
      </c>
      <c r="F1668" s="123">
        <v>45047</v>
      </c>
      <c r="G1668" s="2" t="s">
        <v>16</v>
      </c>
      <c r="H1668" s="2" t="s">
        <v>3907</v>
      </c>
      <c r="I1668" s="126">
        <v>1</v>
      </c>
      <c r="J1668" s="133">
        <v>21000</v>
      </c>
      <c r="K1668" s="133">
        <f t="shared" si="16"/>
        <v>240.49473202015577</v>
      </c>
      <c r="L1668" s="125">
        <v>45054</v>
      </c>
      <c r="M1668" s="2" t="s">
        <v>251</v>
      </c>
      <c r="N1668" s="125">
        <v>45055</v>
      </c>
      <c r="O1668" s="134" t="s">
        <v>6628</v>
      </c>
      <c r="P1668" s="2"/>
      <c r="Q1668" s="2" t="s">
        <v>356</v>
      </c>
      <c r="R1668" s="2" t="str">
        <f t="shared" ca="1" si="17"/>
        <v>NonCategory</v>
      </c>
    </row>
    <row r="1669" spans="1:18">
      <c r="A1669" s="163">
        <v>45055</v>
      </c>
      <c r="B1669" s="165" t="s">
        <v>3970</v>
      </c>
      <c r="C1669" s="168" t="s">
        <v>3971</v>
      </c>
      <c r="D1669" s="2" t="s">
        <v>306</v>
      </c>
      <c r="E1669" s="2" t="s">
        <v>151</v>
      </c>
      <c r="F1669" s="123">
        <v>45047</v>
      </c>
      <c r="G1669" s="2" t="s">
        <v>16</v>
      </c>
      <c r="H1669" s="2" t="s">
        <v>3958</v>
      </c>
      <c r="I1669" s="126">
        <v>1</v>
      </c>
      <c r="J1669" s="133">
        <v>21000</v>
      </c>
      <c r="K1669" s="133">
        <f t="shared" si="16"/>
        <v>240.49473202015577</v>
      </c>
      <c r="L1669" s="125">
        <v>45055</v>
      </c>
      <c r="M1669" s="2" t="s">
        <v>251</v>
      </c>
      <c r="N1669" s="125">
        <v>45055</v>
      </c>
      <c r="O1669" s="134" t="s">
        <v>6629</v>
      </c>
      <c r="P1669" s="2"/>
      <c r="Q1669" s="2" t="s">
        <v>356</v>
      </c>
      <c r="R1669" s="2" t="str">
        <f t="shared" ca="1" si="17"/>
        <v>NonCategory</v>
      </c>
    </row>
    <row r="1670" spans="1:18">
      <c r="A1670" s="163">
        <v>45057</v>
      </c>
      <c r="B1670" s="165" t="s">
        <v>3224</v>
      </c>
      <c r="C1670" s="168" t="s">
        <v>3225</v>
      </c>
      <c r="D1670" s="2" t="s">
        <v>470</v>
      </c>
      <c r="E1670" s="2" t="s">
        <v>1524</v>
      </c>
      <c r="F1670" s="123">
        <v>45047</v>
      </c>
      <c r="G1670" s="2" t="s">
        <v>16</v>
      </c>
      <c r="H1670" s="2" t="s">
        <v>3907</v>
      </c>
      <c r="I1670" s="126">
        <v>1</v>
      </c>
      <c r="J1670" s="133">
        <v>24000</v>
      </c>
      <c r="K1670" s="133">
        <f t="shared" si="16"/>
        <v>274.85112230874944</v>
      </c>
      <c r="L1670" s="125">
        <v>45057</v>
      </c>
      <c r="M1670" s="2" t="s">
        <v>252</v>
      </c>
      <c r="N1670" s="125">
        <v>45057</v>
      </c>
      <c r="O1670" s="134" t="s">
        <v>6630</v>
      </c>
      <c r="P1670" s="2"/>
      <c r="Q1670" s="2" t="s">
        <v>356</v>
      </c>
      <c r="R1670" s="2" t="str">
        <f t="shared" ca="1" si="17"/>
        <v>NonCategory</v>
      </c>
    </row>
    <row r="1671" spans="1:18">
      <c r="A1671" s="163">
        <v>45058</v>
      </c>
      <c r="B1671" s="165" t="s">
        <v>3972</v>
      </c>
      <c r="C1671" s="168" t="s">
        <v>3973</v>
      </c>
      <c r="D1671" s="2" t="s">
        <v>319</v>
      </c>
      <c r="E1671" s="2" t="s">
        <v>151</v>
      </c>
      <c r="F1671" s="123">
        <v>45047</v>
      </c>
      <c r="G1671" s="2" t="s">
        <v>16</v>
      </c>
      <c r="H1671" s="2" t="s">
        <v>3974</v>
      </c>
      <c r="I1671" s="126">
        <v>1</v>
      </c>
      <c r="J1671" s="133">
        <v>21000</v>
      </c>
      <c r="K1671" s="133">
        <f t="shared" si="16"/>
        <v>240.49473202015577</v>
      </c>
      <c r="L1671" s="125">
        <v>45058</v>
      </c>
      <c r="M1671" s="2" t="s">
        <v>252</v>
      </c>
      <c r="N1671" s="125">
        <v>45058</v>
      </c>
      <c r="O1671" s="134" t="s">
        <v>6631</v>
      </c>
      <c r="P1671" s="2"/>
      <c r="Q1671" s="2" t="s">
        <v>356</v>
      </c>
      <c r="R1671" s="2" t="str">
        <f t="shared" ca="1" si="17"/>
        <v>NonCategory</v>
      </c>
    </row>
    <row r="1672" spans="1:18">
      <c r="A1672" s="163">
        <v>45058</v>
      </c>
      <c r="B1672" s="165" t="s">
        <v>1495</v>
      </c>
      <c r="C1672" s="168" t="s">
        <v>3975</v>
      </c>
      <c r="D1672" s="2" t="s">
        <v>470</v>
      </c>
      <c r="E1672" s="2" t="s">
        <v>25</v>
      </c>
      <c r="F1672" s="123">
        <v>45047</v>
      </c>
      <c r="G1672" s="2" t="s">
        <v>16</v>
      </c>
      <c r="H1672" s="2" t="s">
        <v>3974</v>
      </c>
      <c r="I1672" s="126">
        <v>1</v>
      </c>
      <c r="J1672" s="133">
        <v>42000</v>
      </c>
      <c r="K1672" s="133">
        <f t="shared" si="16"/>
        <v>480.98946404031153</v>
      </c>
      <c r="L1672" s="125">
        <v>45058</v>
      </c>
      <c r="M1672" s="2" t="s">
        <v>252</v>
      </c>
      <c r="N1672" s="125">
        <v>45058</v>
      </c>
      <c r="O1672" s="134" t="s">
        <v>6632</v>
      </c>
      <c r="P1672" s="2"/>
      <c r="Q1672" s="2" t="s">
        <v>356</v>
      </c>
      <c r="R1672" s="2" t="str">
        <f t="shared" ca="1" si="17"/>
        <v>NonCategory</v>
      </c>
    </row>
    <row r="1673" spans="1:18">
      <c r="A1673" s="163">
        <v>45064</v>
      </c>
      <c r="B1673" s="165" t="s">
        <v>3976</v>
      </c>
      <c r="C1673" s="168" t="s">
        <v>3977</v>
      </c>
      <c r="D1673" s="2" t="s">
        <v>287</v>
      </c>
      <c r="E1673" s="2" t="s">
        <v>25</v>
      </c>
      <c r="F1673" s="123">
        <v>45047</v>
      </c>
      <c r="G1673" s="2" t="s">
        <v>16</v>
      </c>
      <c r="H1673" s="2" t="s">
        <v>3912</v>
      </c>
      <c r="I1673" s="126">
        <v>1</v>
      </c>
      <c r="J1673" s="133">
        <v>42000</v>
      </c>
      <c r="K1673" s="133">
        <f t="shared" si="16"/>
        <v>480.98946404031153</v>
      </c>
      <c r="L1673" s="125">
        <v>45064</v>
      </c>
      <c r="M1673" s="2" t="s">
        <v>252</v>
      </c>
      <c r="N1673" s="125">
        <v>45064</v>
      </c>
      <c r="O1673" s="134" t="s">
        <v>6633</v>
      </c>
      <c r="P1673" s="2"/>
      <c r="Q1673" s="2" t="s">
        <v>356</v>
      </c>
      <c r="R1673" s="2" t="str">
        <f t="shared" ca="1" si="17"/>
        <v>NonCategory</v>
      </c>
    </row>
    <row r="1674" spans="1:18">
      <c r="A1674" s="163">
        <v>45064</v>
      </c>
      <c r="B1674" s="165" t="s">
        <v>3978</v>
      </c>
      <c r="C1674" s="168" t="s">
        <v>3979</v>
      </c>
      <c r="D1674" s="2" t="s">
        <v>470</v>
      </c>
      <c r="E1674" s="2" t="s">
        <v>3147</v>
      </c>
      <c r="F1674" s="123">
        <v>45047</v>
      </c>
      <c r="G1674" s="2" t="s">
        <v>16</v>
      </c>
      <c r="H1674" s="125">
        <v>45073</v>
      </c>
      <c r="I1674" s="126">
        <v>1</v>
      </c>
      <c r="J1674" s="133">
        <v>38000</v>
      </c>
      <c r="K1674" s="133">
        <f t="shared" si="16"/>
        <v>435.18094365551997</v>
      </c>
      <c r="L1674" s="125">
        <v>45064</v>
      </c>
      <c r="M1674" s="2" t="s">
        <v>252</v>
      </c>
      <c r="N1674" s="125">
        <v>45064</v>
      </c>
      <c r="O1674" s="134" t="s">
        <v>6634</v>
      </c>
      <c r="P1674" s="2"/>
      <c r="Q1674" s="2" t="s">
        <v>356</v>
      </c>
      <c r="R1674" s="2" t="str">
        <f t="shared" ca="1" si="17"/>
        <v>NonCategory</v>
      </c>
    </row>
    <row r="1675" spans="1:18">
      <c r="A1675" s="163">
        <v>45065</v>
      </c>
      <c r="B1675" s="165" t="s">
        <v>2629</v>
      </c>
      <c r="C1675" s="168" t="s">
        <v>2630</v>
      </c>
      <c r="D1675" s="2" t="s">
        <v>470</v>
      </c>
      <c r="E1675" s="2" t="s">
        <v>1524</v>
      </c>
      <c r="F1675" s="123">
        <v>45047</v>
      </c>
      <c r="G1675" s="2" t="s">
        <v>16</v>
      </c>
      <c r="H1675" s="2" t="s">
        <v>3912</v>
      </c>
      <c r="I1675" s="126">
        <v>1</v>
      </c>
      <c r="J1675" s="133">
        <v>24000</v>
      </c>
      <c r="K1675" s="133">
        <f t="shared" si="16"/>
        <v>274.85112230874944</v>
      </c>
      <c r="L1675" s="125">
        <v>45065</v>
      </c>
      <c r="M1675" s="2" t="s">
        <v>252</v>
      </c>
      <c r="N1675" s="125">
        <v>45065</v>
      </c>
      <c r="O1675" s="134" t="s">
        <v>6635</v>
      </c>
      <c r="P1675" s="2"/>
      <c r="Q1675" s="2" t="s">
        <v>356</v>
      </c>
      <c r="R1675" s="2" t="str">
        <f t="shared" ca="1" si="17"/>
        <v>NonCategory</v>
      </c>
    </row>
    <row r="1676" spans="1:18">
      <c r="A1676" s="163">
        <v>45069</v>
      </c>
      <c r="B1676" s="165" t="s">
        <v>3980</v>
      </c>
      <c r="C1676" s="168" t="s">
        <v>3981</v>
      </c>
      <c r="D1676" s="2" t="s">
        <v>470</v>
      </c>
      <c r="E1676" s="2" t="s">
        <v>3982</v>
      </c>
      <c r="F1676" s="123">
        <v>45047</v>
      </c>
      <c r="G1676" s="2" t="s">
        <v>16</v>
      </c>
      <c r="H1676" s="125">
        <v>45073</v>
      </c>
      <c r="I1676" s="126">
        <v>1</v>
      </c>
      <c r="J1676" s="133">
        <v>43000</v>
      </c>
      <c r="K1676" s="133">
        <f t="shared" si="16"/>
        <v>492.44159413650942</v>
      </c>
      <c r="L1676" s="125">
        <v>45069</v>
      </c>
      <c r="M1676" s="2" t="s">
        <v>253</v>
      </c>
      <c r="N1676" s="125">
        <v>45069</v>
      </c>
      <c r="O1676" s="134" t="s">
        <v>6636</v>
      </c>
      <c r="P1676" s="2"/>
      <c r="Q1676" s="2" t="s">
        <v>356</v>
      </c>
      <c r="R1676" s="2" t="str">
        <f t="shared" ca="1" si="17"/>
        <v>NonCategory</v>
      </c>
    </row>
    <row r="1677" spans="1:18">
      <c r="A1677" s="163">
        <v>45070</v>
      </c>
      <c r="B1677" s="165" t="s">
        <v>3983</v>
      </c>
      <c r="C1677" s="168" t="s">
        <v>3984</v>
      </c>
      <c r="D1677" s="2" t="s">
        <v>278</v>
      </c>
      <c r="E1677" s="2" t="s">
        <v>150</v>
      </c>
      <c r="F1677" s="123">
        <v>45047</v>
      </c>
      <c r="G1677" s="2" t="s">
        <v>16</v>
      </c>
      <c r="H1677" s="2" t="s">
        <v>3912</v>
      </c>
      <c r="I1677" s="126">
        <v>1</v>
      </c>
      <c r="J1677" s="133">
        <v>21000</v>
      </c>
      <c r="K1677" s="133">
        <f t="shared" si="16"/>
        <v>240.49473202015577</v>
      </c>
      <c r="L1677" s="125">
        <v>45070</v>
      </c>
      <c r="M1677" s="2" t="s">
        <v>253</v>
      </c>
      <c r="N1677" s="125">
        <v>45070</v>
      </c>
      <c r="O1677" s="134" t="s">
        <v>6637</v>
      </c>
      <c r="P1677" s="2" t="s">
        <v>3616</v>
      </c>
      <c r="Q1677" s="2" t="s">
        <v>356</v>
      </c>
      <c r="R1677" s="2" t="str">
        <f t="shared" ca="1" si="17"/>
        <v>NonCategory</v>
      </c>
    </row>
    <row r="1678" spans="1:18">
      <c r="A1678" s="163">
        <v>45071</v>
      </c>
      <c r="B1678" s="165" t="s">
        <v>3985</v>
      </c>
      <c r="C1678" s="168" t="s">
        <v>3986</v>
      </c>
      <c r="D1678" s="2" t="s">
        <v>319</v>
      </c>
      <c r="E1678" s="2" t="s">
        <v>97</v>
      </c>
      <c r="F1678" s="123">
        <v>45047</v>
      </c>
      <c r="G1678" s="2" t="s">
        <v>16</v>
      </c>
      <c r="H1678" s="2" t="s">
        <v>3958</v>
      </c>
      <c r="I1678" s="126">
        <v>1</v>
      </c>
      <c r="J1678" s="133">
        <v>20000</v>
      </c>
      <c r="K1678" s="133">
        <f t="shared" si="16"/>
        <v>229.04260192395787</v>
      </c>
      <c r="L1678" s="125">
        <v>45071</v>
      </c>
      <c r="M1678" s="2" t="s">
        <v>253</v>
      </c>
      <c r="N1678" s="125">
        <v>45071</v>
      </c>
      <c r="O1678" s="134" t="s">
        <v>6638</v>
      </c>
      <c r="P1678" s="2"/>
      <c r="Q1678" s="2" t="s">
        <v>356</v>
      </c>
      <c r="R1678" s="2" t="str">
        <f t="shared" ca="1" si="17"/>
        <v>NonCategory</v>
      </c>
    </row>
    <row r="1679" spans="1:18">
      <c r="A1679" s="163">
        <v>45071</v>
      </c>
      <c r="B1679" s="165" t="s">
        <v>3987</v>
      </c>
      <c r="C1679" s="168" t="s">
        <v>3988</v>
      </c>
      <c r="D1679" s="2" t="s">
        <v>1291</v>
      </c>
      <c r="E1679" s="2" t="s">
        <v>96</v>
      </c>
      <c r="F1679" s="123">
        <v>45047</v>
      </c>
      <c r="G1679" s="2" t="s">
        <v>16</v>
      </c>
      <c r="H1679" s="2" t="s">
        <v>3912</v>
      </c>
      <c r="I1679" s="126">
        <v>1</v>
      </c>
      <c r="J1679" s="133">
        <v>18000</v>
      </c>
      <c r="K1679" s="133">
        <f t="shared" si="16"/>
        <v>206.13834173156206</v>
      </c>
      <c r="L1679" s="125">
        <v>45071</v>
      </c>
      <c r="M1679" s="2" t="s">
        <v>253</v>
      </c>
      <c r="N1679" s="125">
        <v>45072</v>
      </c>
      <c r="O1679" s="134" t="s">
        <v>6639</v>
      </c>
      <c r="P1679" s="2"/>
      <c r="Q1679" s="2" t="s">
        <v>356</v>
      </c>
      <c r="R1679" s="2" t="str">
        <f t="shared" ca="1" si="17"/>
        <v>NonCategory</v>
      </c>
    </row>
    <row r="1680" spans="1:18">
      <c r="A1680" s="163">
        <v>45072</v>
      </c>
      <c r="B1680" s="165" t="s">
        <v>3989</v>
      </c>
      <c r="C1680" s="168" t="s">
        <v>3990</v>
      </c>
      <c r="D1680" s="2" t="s">
        <v>319</v>
      </c>
      <c r="E1680" s="2" t="s">
        <v>96</v>
      </c>
      <c r="F1680" s="123">
        <v>45047</v>
      </c>
      <c r="G1680" s="2" t="s">
        <v>16</v>
      </c>
      <c r="H1680" s="2" t="s">
        <v>3912</v>
      </c>
      <c r="I1680" s="126">
        <v>1</v>
      </c>
      <c r="J1680" s="133">
        <v>18000</v>
      </c>
      <c r="K1680" s="133">
        <f t="shared" si="16"/>
        <v>206.13834173156206</v>
      </c>
      <c r="L1680" s="125">
        <v>45072</v>
      </c>
      <c r="M1680" s="2" t="s">
        <v>253</v>
      </c>
      <c r="N1680" s="125">
        <v>45072</v>
      </c>
      <c r="O1680" s="134" t="s">
        <v>6640</v>
      </c>
      <c r="P1680" s="2"/>
      <c r="Q1680" s="2" t="s">
        <v>356</v>
      </c>
      <c r="R1680" s="2" t="str">
        <f t="shared" ca="1" si="17"/>
        <v>NonCategory</v>
      </c>
    </row>
    <row r="1681" spans="1:18">
      <c r="A1681" s="163">
        <v>45073</v>
      </c>
      <c r="B1681" s="165" t="s">
        <v>3991</v>
      </c>
      <c r="C1681" s="168" t="s">
        <v>3992</v>
      </c>
      <c r="D1681" s="2" t="s">
        <v>278</v>
      </c>
      <c r="E1681" s="2" t="s">
        <v>96</v>
      </c>
      <c r="F1681" s="123">
        <v>45047</v>
      </c>
      <c r="G1681" s="2" t="s">
        <v>16</v>
      </c>
      <c r="H1681" s="2" t="s">
        <v>3912</v>
      </c>
      <c r="I1681" s="126">
        <v>1</v>
      </c>
      <c r="J1681" s="133">
        <v>20000</v>
      </c>
      <c r="K1681" s="133">
        <f t="shared" si="16"/>
        <v>229.04260192395787</v>
      </c>
      <c r="L1681" s="125">
        <v>45072</v>
      </c>
      <c r="M1681" s="2" t="s">
        <v>253</v>
      </c>
      <c r="N1681" s="125">
        <v>45072</v>
      </c>
      <c r="O1681" s="134" t="s">
        <v>6641</v>
      </c>
      <c r="P1681" s="2" t="s">
        <v>3993</v>
      </c>
      <c r="Q1681" s="2" t="s">
        <v>356</v>
      </c>
      <c r="R1681" s="2" t="str">
        <f t="shared" ca="1" si="17"/>
        <v>NonCategory</v>
      </c>
    </row>
    <row r="1682" spans="1:18">
      <c r="A1682" s="163">
        <v>45073</v>
      </c>
      <c r="B1682" s="165" t="s">
        <v>3994</v>
      </c>
      <c r="C1682" s="168" t="s">
        <v>3995</v>
      </c>
      <c r="D1682" s="2" t="s">
        <v>287</v>
      </c>
      <c r="E1682" s="2" t="s">
        <v>96</v>
      </c>
      <c r="F1682" s="123">
        <v>45047</v>
      </c>
      <c r="G1682" s="2" t="s">
        <v>16</v>
      </c>
      <c r="H1682" s="2" t="s">
        <v>3912</v>
      </c>
      <c r="I1682" s="126">
        <v>1</v>
      </c>
      <c r="J1682" s="133">
        <v>18000</v>
      </c>
      <c r="K1682" s="133">
        <f t="shared" si="16"/>
        <v>206.13834173156206</v>
      </c>
      <c r="L1682" s="125">
        <v>45072</v>
      </c>
      <c r="M1682" s="2" t="s">
        <v>253</v>
      </c>
      <c r="N1682" s="125">
        <v>45072</v>
      </c>
      <c r="O1682" s="134" t="s">
        <v>6642</v>
      </c>
      <c r="P1682" s="2"/>
      <c r="Q1682" s="2" t="s">
        <v>356</v>
      </c>
      <c r="R1682" s="2" t="str">
        <f t="shared" ca="1" si="17"/>
        <v>NonCategory</v>
      </c>
    </row>
    <row r="1683" spans="1:18">
      <c r="A1683" s="96"/>
      <c r="F1683" s="79"/>
      <c r="J1683" s="8"/>
      <c r="K1683" s="8"/>
      <c r="R1683" s="6"/>
    </row>
    <row r="1684" spans="1:18">
      <c r="A1684" s="96"/>
      <c r="F1684" s="79"/>
      <c r="J1684" s="8"/>
      <c r="K1684" s="8"/>
      <c r="R1684" s="6"/>
    </row>
    <row r="1685" spans="1:18">
      <c r="A1685" s="96"/>
      <c r="F1685" s="79"/>
      <c r="J1685" s="8"/>
      <c r="K1685" s="8"/>
      <c r="R1685" s="6"/>
    </row>
    <row r="1686" spans="1:18">
      <c r="A1686" s="96"/>
      <c r="F1686" s="79"/>
      <c r="J1686" s="8"/>
      <c r="K1686" s="8"/>
      <c r="R1686" s="6"/>
    </row>
    <row r="1687" spans="1:18">
      <c r="A1687" s="96"/>
      <c r="F1687" s="79"/>
      <c r="J1687" s="8"/>
      <c r="K1687" s="8"/>
      <c r="R1687" s="6"/>
    </row>
    <row r="1688" spans="1:18">
      <c r="A1688" s="96"/>
      <c r="F1688" s="79"/>
      <c r="J1688" s="8"/>
      <c r="K1688" s="8"/>
      <c r="R1688" s="6"/>
    </row>
    <row r="1689" spans="1:18">
      <c r="A1689" s="96"/>
      <c r="F1689" s="79"/>
      <c r="J1689" s="8"/>
      <c r="K1689" s="8"/>
      <c r="R1689" s="6"/>
    </row>
    <row r="1690" spans="1:18">
      <c r="A1690" s="96"/>
      <c r="F1690" s="79"/>
      <c r="J1690" s="8"/>
      <c r="K1690" s="8"/>
      <c r="R1690" s="6"/>
    </row>
    <row r="1691" spans="1:18">
      <c r="A1691" s="96"/>
      <c r="F1691" s="79"/>
      <c r="J1691" s="8"/>
      <c r="K1691" s="8"/>
      <c r="R1691" s="6"/>
    </row>
    <row r="1692" spans="1:18">
      <c r="A1692" s="96"/>
      <c r="F1692" s="79"/>
      <c r="J1692" s="8"/>
      <c r="K1692" s="8"/>
      <c r="R1692" s="6"/>
    </row>
    <row r="1693" spans="1:18">
      <c r="A1693" s="96"/>
      <c r="F1693" s="79"/>
      <c r="J1693" s="8"/>
      <c r="K1693" s="8"/>
      <c r="R1693" s="6"/>
    </row>
    <row r="1694" spans="1:18">
      <c r="A1694" s="96"/>
      <c r="F1694" s="79"/>
      <c r="J1694" s="8"/>
      <c r="K1694" s="8"/>
      <c r="R1694" s="6"/>
    </row>
    <row r="1695" spans="1:18">
      <c r="A1695" s="96"/>
      <c r="F1695" s="79"/>
      <c r="J1695" s="8"/>
      <c r="K1695" s="8"/>
      <c r="R1695" s="6"/>
    </row>
    <row r="1696" spans="1:18">
      <c r="A1696" s="96"/>
      <c r="F1696" s="79"/>
      <c r="J1696" s="8"/>
      <c r="K1696" s="8"/>
      <c r="R1696" s="6"/>
    </row>
    <row r="1697" spans="1:18">
      <c r="A1697" s="96"/>
      <c r="F1697" s="79"/>
      <c r="J1697" s="8"/>
      <c r="K1697" s="8"/>
      <c r="R1697" s="6"/>
    </row>
    <row r="1698" spans="1:18">
      <c r="A1698" s="96"/>
      <c r="F1698" s="79"/>
      <c r="J1698" s="8"/>
      <c r="K1698" s="8"/>
      <c r="R1698" s="6"/>
    </row>
    <row r="1699" spans="1:18">
      <c r="A1699" s="96"/>
      <c r="F1699" s="79"/>
      <c r="J1699" s="8"/>
      <c r="K1699" s="8"/>
      <c r="R1699" s="6"/>
    </row>
    <row r="1700" spans="1:18">
      <c r="A1700" s="96"/>
      <c r="F1700" s="79"/>
      <c r="J1700" s="8"/>
      <c r="K1700" s="8"/>
      <c r="R1700" s="6"/>
    </row>
    <row r="1701" spans="1:18">
      <c r="A1701" s="96"/>
      <c r="F1701" s="79"/>
      <c r="J1701" s="8"/>
      <c r="K1701" s="8"/>
      <c r="R1701" s="6"/>
    </row>
    <row r="1702" spans="1:18">
      <c r="A1702" s="96"/>
      <c r="F1702" s="79"/>
      <c r="J1702" s="8"/>
      <c r="K1702" s="8"/>
      <c r="R1702" s="6"/>
    </row>
    <row r="1703" spans="1:18">
      <c r="A1703" s="96"/>
      <c r="F1703" s="79"/>
      <c r="J1703" s="8"/>
      <c r="K1703" s="8"/>
      <c r="R1703" s="6"/>
    </row>
    <row r="1704" spans="1:18">
      <c r="A1704" s="96"/>
      <c r="F1704" s="79"/>
      <c r="J1704" s="8"/>
      <c r="K1704" s="8"/>
      <c r="R1704" s="6"/>
    </row>
    <row r="1705" spans="1:18">
      <c r="A1705" s="96"/>
      <c r="F1705" s="79"/>
      <c r="J1705" s="8"/>
      <c r="K1705" s="8"/>
      <c r="R1705" s="6"/>
    </row>
    <row r="1706" spans="1:18">
      <c r="A1706" s="96"/>
      <c r="F1706" s="79"/>
      <c r="J1706" s="8"/>
      <c r="K1706" s="8"/>
      <c r="R1706" s="6"/>
    </row>
    <row r="1707" spans="1:18">
      <c r="A1707" s="96"/>
      <c r="F1707" s="79"/>
      <c r="J1707" s="8"/>
      <c r="K1707" s="8"/>
      <c r="R1707" s="6"/>
    </row>
    <row r="1708" spans="1:18">
      <c r="A1708" s="96"/>
      <c r="F1708" s="79"/>
      <c r="J1708" s="8"/>
      <c r="K1708" s="8"/>
      <c r="R1708" s="6"/>
    </row>
    <row r="1709" spans="1:18">
      <c r="A1709" s="96"/>
      <c r="F1709" s="79"/>
      <c r="J1709" s="8"/>
      <c r="K1709" s="8"/>
      <c r="R1709" s="6"/>
    </row>
    <row r="1710" spans="1:18">
      <c r="A1710" s="96"/>
      <c r="F1710" s="79"/>
      <c r="J1710" s="8"/>
      <c r="K1710" s="8"/>
      <c r="R1710" s="6"/>
    </row>
    <row r="1711" spans="1:18">
      <c r="A1711" s="96"/>
      <c r="F1711" s="79"/>
      <c r="J1711" s="8"/>
      <c r="K1711" s="8"/>
      <c r="R1711" s="6"/>
    </row>
    <row r="1712" spans="1:18">
      <c r="A1712" s="96"/>
      <c r="F1712" s="79"/>
      <c r="J1712" s="8"/>
      <c r="K1712" s="8"/>
      <c r="R1712" s="6"/>
    </row>
    <row r="1713" spans="1:18">
      <c r="A1713" s="96"/>
      <c r="F1713" s="79"/>
      <c r="J1713" s="8"/>
      <c r="K1713" s="8"/>
      <c r="R1713" s="6"/>
    </row>
    <row r="1714" spans="1:18">
      <c r="A1714" s="96"/>
      <c r="F1714" s="79"/>
      <c r="J1714" s="8"/>
      <c r="K1714" s="8"/>
      <c r="R1714" s="6"/>
    </row>
    <row r="1715" spans="1:18">
      <c r="A1715" s="96"/>
      <c r="F1715" s="79"/>
      <c r="J1715" s="8"/>
      <c r="K1715" s="8"/>
      <c r="R1715" s="6"/>
    </row>
    <row r="1716" spans="1:18">
      <c r="A1716" s="96"/>
      <c r="F1716" s="79"/>
      <c r="J1716" s="8"/>
      <c r="K1716" s="8"/>
      <c r="R1716" s="6"/>
    </row>
    <row r="1717" spans="1:18">
      <c r="A1717" s="96"/>
      <c r="F1717" s="79"/>
      <c r="J1717" s="8"/>
      <c r="K1717" s="8"/>
      <c r="R1717" s="6"/>
    </row>
    <row r="1718" spans="1:18">
      <c r="A1718" s="96"/>
      <c r="F1718" s="79"/>
      <c r="J1718" s="8"/>
      <c r="K1718" s="8"/>
      <c r="R1718" s="6"/>
    </row>
    <row r="1719" spans="1:18">
      <c r="A1719" s="96"/>
      <c r="F1719" s="79"/>
      <c r="J1719" s="8"/>
      <c r="K1719" s="8"/>
      <c r="R1719" s="6"/>
    </row>
    <row r="1720" spans="1:18">
      <c r="A1720" s="96"/>
      <c r="F1720" s="79"/>
      <c r="J1720" s="8"/>
      <c r="K1720" s="8"/>
      <c r="R1720" s="6"/>
    </row>
    <row r="1721" spans="1:18">
      <c r="A1721" s="96"/>
      <c r="F1721" s="79"/>
      <c r="J1721" s="8"/>
      <c r="K1721" s="8"/>
      <c r="R1721" s="6"/>
    </row>
    <row r="1722" spans="1:18">
      <c r="A1722" s="96"/>
      <c r="F1722" s="79"/>
      <c r="J1722" s="8"/>
      <c r="K1722" s="8"/>
      <c r="R1722" s="6"/>
    </row>
    <row r="1723" spans="1:18">
      <c r="A1723" s="96"/>
      <c r="F1723" s="79"/>
      <c r="J1723" s="8"/>
      <c r="K1723" s="8"/>
      <c r="R1723" s="6"/>
    </row>
    <row r="1724" spans="1:18">
      <c r="A1724" s="96"/>
      <c r="F1724" s="79"/>
      <c r="J1724" s="8"/>
      <c r="K1724" s="8"/>
      <c r="R1724" s="6"/>
    </row>
    <row r="1725" spans="1:18">
      <c r="A1725" s="96"/>
      <c r="F1725" s="79"/>
      <c r="J1725" s="8"/>
      <c r="K1725" s="8"/>
      <c r="R1725" s="6"/>
    </row>
    <row r="1726" spans="1:18">
      <c r="A1726" s="96"/>
      <c r="F1726" s="79"/>
      <c r="J1726" s="8"/>
      <c r="K1726" s="8"/>
      <c r="R1726" s="6"/>
    </row>
    <row r="1727" spans="1:18">
      <c r="A1727" s="96"/>
      <c r="F1727" s="79"/>
      <c r="J1727" s="8"/>
      <c r="K1727" s="8"/>
      <c r="R1727" s="6"/>
    </row>
    <row r="1728" spans="1:18">
      <c r="A1728" s="96"/>
      <c r="F1728" s="79"/>
      <c r="J1728" s="8"/>
      <c r="K1728" s="8"/>
      <c r="R1728" s="6"/>
    </row>
    <row r="1729" spans="1:18">
      <c r="A1729" s="96"/>
      <c r="F1729" s="79"/>
      <c r="J1729" s="8"/>
      <c r="K1729" s="8"/>
      <c r="R1729" s="6"/>
    </row>
    <row r="1730" spans="1:18">
      <c r="A1730" s="96"/>
      <c r="F1730" s="79"/>
      <c r="J1730" s="8"/>
      <c r="K1730" s="8"/>
      <c r="R1730" s="6"/>
    </row>
    <row r="1731" spans="1:18">
      <c r="A1731" s="96"/>
      <c r="F1731" s="79"/>
      <c r="J1731" s="8"/>
      <c r="K1731" s="8"/>
      <c r="R1731" s="6"/>
    </row>
    <row r="1732" spans="1:18">
      <c r="A1732" s="96"/>
      <c r="F1732" s="79"/>
      <c r="J1732" s="8"/>
      <c r="K1732" s="8"/>
      <c r="R1732" s="6"/>
    </row>
    <row r="1733" spans="1:18">
      <c r="A1733" s="96"/>
      <c r="F1733" s="79"/>
      <c r="J1733" s="8"/>
      <c r="K1733" s="8"/>
      <c r="R1733" s="6"/>
    </row>
    <row r="1734" spans="1:18">
      <c r="A1734" s="96"/>
      <c r="F1734" s="79"/>
      <c r="J1734" s="8"/>
      <c r="K1734" s="8"/>
      <c r="R1734" s="6"/>
    </row>
    <row r="1735" spans="1:18">
      <c r="A1735" s="96"/>
      <c r="F1735" s="79"/>
      <c r="J1735" s="8"/>
      <c r="K1735" s="8"/>
      <c r="R1735" s="6"/>
    </row>
    <row r="1736" spans="1:18">
      <c r="A1736" s="96"/>
      <c r="F1736" s="79"/>
      <c r="J1736" s="8"/>
      <c r="K1736" s="8"/>
      <c r="R1736" s="6"/>
    </row>
    <row r="1737" spans="1:18">
      <c r="A1737" s="96"/>
      <c r="F1737" s="79"/>
      <c r="J1737" s="8"/>
      <c r="K1737" s="8"/>
      <c r="R1737" s="6"/>
    </row>
    <row r="1738" spans="1:18">
      <c r="A1738" s="96"/>
      <c r="F1738" s="79"/>
      <c r="J1738" s="8"/>
      <c r="K1738" s="8"/>
      <c r="R1738" s="6"/>
    </row>
    <row r="1739" spans="1:18">
      <c r="A1739" s="96"/>
      <c r="F1739" s="79"/>
      <c r="J1739" s="8"/>
      <c r="K1739" s="8"/>
      <c r="R1739" s="6"/>
    </row>
    <row r="1740" spans="1:18">
      <c r="A1740" s="96"/>
      <c r="F1740" s="79"/>
      <c r="J1740" s="8"/>
      <c r="K1740" s="8"/>
      <c r="R1740" s="6"/>
    </row>
    <row r="1741" spans="1:18">
      <c r="A1741" s="96"/>
      <c r="F1741" s="79"/>
      <c r="J1741" s="8"/>
      <c r="K1741" s="8"/>
      <c r="R1741" s="6"/>
    </row>
    <row r="1742" spans="1:18">
      <c r="A1742" s="96"/>
      <c r="F1742" s="79"/>
      <c r="J1742" s="8"/>
      <c r="K1742" s="8"/>
      <c r="R1742" s="6"/>
    </row>
    <row r="1743" spans="1:18">
      <c r="A1743" s="96"/>
      <c r="F1743" s="79"/>
      <c r="J1743" s="8"/>
      <c r="K1743" s="8"/>
      <c r="R1743" s="6"/>
    </row>
    <row r="1744" spans="1:18">
      <c r="A1744" s="96"/>
      <c r="F1744" s="79"/>
      <c r="J1744" s="8"/>
      <c r="K1744" s="8"/>
      <c r="R1744" s="6"/>
    </row>
    <row r="1745" spans="1:18">
      <c r="A1745" s="96"/>
      <c r="F1745" s="79"/>
      <c r="J1745" s="8"/>
      <c r="K1745" s="8"/>
      <c r="R1745" s="6"/>
    </row>
    <row r="1746" spans="1:18">
      <c r="A1746" s="96"/>
      <c r="F1746" s="79"/>
      <c r="J1746" s="8"/>
      <c r="K1746" s="8"/>
      <c r="R1746" s="6"/>
    </row>
    <row r="1747" spans="1:18">
      <c r="A1747" s="96"/>
      <c r="F1747" s="79"/>
      <c r="J1747" s="8"/>
      <c r="K1747" s="8"/>
      <c r="R1747" s="6"/>
    </row>
    <row r="1748" spans="1:18">
      <c r="A1748" s="96"/>
      <c r="F1748" s="79"/>
      <c r="J1748" s="8"/>
      <c r="K1748" s="8"/>
      <c r="R1748" s="6"/>
    </row>
    <row r="1749" spans="1:18">
      <c r="A1749" s="96"/>
      <c r="F1749" s="79"/>
      <c r="J1749" s="8"/>
      <c r="K1749" s="8"/>
      <c r="R1749" s="6"/>
    </row>
    <row r="1750" spans="1:18">
      <c r="A1750" s="96"/>
      <c r="F1750" s="79"/>
      <c r="J1750" s="8"/>
      <c r="K1750" s="8"/>
      <c r="R1750" s="6"/>
    </row>
    <row r="1751" spans="1:18">
      <c r="A1751" s="96"/>
      <c r="F1751" s="79"/>
      <c r="J1751" s="8"/>
      <c r="K1751" s="8"/>
      <c r="R1751" s="6"/>
    </row>
    <row r="1752" spans="1:18">
      <c r="A1752" s="96"/>
      <c r="F1752" s="79"/>
      <c r="J1752" s="8"/>
      <c r="K1752" s="8"/>
      <c r="R1752" s="6"/>
    </row>
    <row r="1753" spans="1:18">
      <c r="A1753" s="96"/>
      <c r="F1753" s="79"/>
      <c r="J1753" s="8"/>
      <c r="K1753" s="8"/>
      <c r="R1753" s="6"/>
    </row>
    <row r="1754" spans="1:18">
      <c r="A1754" s="96"/>
      <c r="F1754" s="79"/>
      <c r="J1754" s="8"/>
      <c r="K1754" s="8"/>
      <c r="R1754" s="6"/>
    </row>
    <row r="1755" spans="1:18">
      <c r="A1755" s="96"/>
      <c r="F1755" s="79"/>
      <c r="J1755" s="8"/>
      <c r="K1755" s="8"/>
      <c r="R1755" s="6"/>
    </row>
    <row r="1756" spans="1:18">
      <c r="A1756" s="96"/>
      <c r="F1756" s="79"/>
      <c r="J1756" s="8"/>
      <c r="K1756" s="8"/>
      <c r="R1756" s="6"/>
    </row>
    <row r="1757" spans="1:18">
      <c r="A1757" s="96"/>
      <c r="F1757" s="79"/>
      <c r="J1757" s="8"/>
      <c r="K1757" s="8"/>
      <c r="R1757" s="6"/>
    </row>
    <row r="1758" spans="1:18">
      <c r="A1758" s="96"/>
      <c r="F1758" s="79"/>
      <c r="J1758" s="8"/>
      <c r="K1758" s="8"/>
      <c r="R1758" s="6"/>
    </row>
    <row r="1759" spans="1:18">
      <c r="A1759" s="96"/>
      <c r="F1759" s="79"/>
      <c r="J1759" s="8"/>
      <c r="K1759" s="8"/>
      <c r="R1759" s="6"/>
    </row>
    <row r="1760" spans="1:18">
      <c r="A1760" s="96"/>
      <c r="F1760" s="79"/>
      <c r="J1760" s="8"/>
      <c r="K1760" s="8"/>
      <c r="R1760" s="6"/>
    </row>
    <row r="1761" spans="1:18">
      <c r="A1761" s="96"/>
      <c r="F1761" s="79"/>
      <c r="J1761" s="8"/>
      <c r="K1761" s="8"/>
      <c r="R1761" s="6"/>
    </row>
    <row r="1762" spans="1:18">
      <c r="A1762" s="96"/>
      <c r="F1762" s="79"/>
      <c r="J1762" s="8"/>
      <c r="K1762" s="8"/>
      <c r="R1762" s="6"/>
    </row>
    <row r="1763" spans="1:18">
      <c r="A1763" s="96"/>
      <c r="F1763" s="79"/>
      <c r="J1763" s="8"/>
      <c r="K1763" s="8"/>
      <c r="R1763" s="6"/>
    </row>
    <row r="1764" spans="1:18">
      <c r="A1764" s="96"/>
      <c r="F1764" s="79"/>
      <c r="J1764" s="8"/>
      <c r="K1764" s="8"/>
      <c r="R1764" s="6"/>
    </row>
    <row r="1765" spans="1:18">
      <c r="A1765" s="96"/>
      <c r="F1765" s="79"/>
      <c r="J1765" s="8"/>
      <c r="K1765" s="8"/>
      <c r="R1765" s="6"/>
    </row>
    <row r="1766" spans="1:18">
      <c r="A1766" s="96"/>
      <c r="F1766" s="79"/>
      <c r="J1766" s="8"/>
      <c r="K1766" s="8"/>
      <c r="R1766" s="6"/>
    </row>
    <row r="1767" spans="1:18">
      <c r="A1767" s="96"/>
      <c r="F1767" s="79"/>
      <c r="J1767" s="8"/>
      <c r="K1767" s="8"/>
      <c r="R1767" s="6"/>
    </row>
    <row r="1768" spans="1:18">
      <c r="A1768" s="96"/>
      <c r="F1768" s="79"/>
      <c r="J1768" s="8"/>
      <c r="K1768" s="8"/>
      <c r="R1768" s="6"/>
    </row>
    <row r="1769" spans="1:18">
      <c r="A1769" s="96"/>
      <c r="F1769" s="79"/>
      <c r="J1769" s="8"/>
      <c r="K1769" s="8"/>
      <c r="R1769" s="6"/>
    </row>
    <row r="1770" spans="1:18">
      <c r="A1770" s="96"/>
      <c r="F1770" s="79"/>
      <c r="J1770" s="8"/>
      <c r="K1770" s="8"/>
      <c r="R1770" s="6"/>
    </row>
    <row r="1771" spans="1:18">
      <c r="A1771" s="96"/>
      <c r="F1771" s="79"/>
      <c r="J1771" s="8"/>
      <c r="K1771" s="8"/>
      <c r="R1771" s="6"/>
    </row>
    <row r="1772" spans="1:18">
      <c r="A1772" s="96"/>
      <c r="F1772" s="79"/>
      <c r="J1772" s="8"/>
      <c r="K1772" s="8"/>
      <c r="R1772" s="6"/>
    </row>
    <row r="1773" spans="1:18">
      <c r="A1773" s="96"/>
      <c r="F1773" s="79"/>
      <c r="J1773" s="8"/>
      <c r="K1773" s="8"/>
      <c r="R1773" s="6"/>
    </row>
    <row r="1774" spans="1:18">
      <c r="A1774" s="96"/>
      <c r="F1774" s="79"/>
      <c r="J1774" s="8"/>
      <c r="K1774" s="8"/>
      <c r="R1774" s="6"/>
    </row>
    <row r="1775" spans="1:18">
      <c r="A1775" s="96"/>
      <c r="F1775" s="79"/>
      <c r="J1775" s="8"/>
      <c r="K1775" s="8"/>
      <c r="R1775" s="6"/>
    </row>
    <row r="1776" spans="1:18">
      <c r="A1776" s="96"/>
      <c r="F1776" s="79"/>
      <c r="J1776" s="8"/>
      <c r="K1776" s="8"/>
      <c r="R1776" s="6"/>
    </row>
    <row r="1777" spans="1:18">
      <c r="A1777" s="96"/>
      <c r="F1777" s="79"/>
      <c r="J1777" s="8"/>
      <c r="K1777" s="8"/>
      <c r="R1777" s="6"/>
    </row>
    <row r="1778" spans="1:18">
      <c r="A1778" s="96"/>
      <c r="F1778" s="79"/>
      <c r="J1778" s="8"/>
      <c r="K1778" s="8"/>
      <c r="R1778" s="6"/>
    </row>
    <row r="1779" spans="1:18">
      <c r="A1779" s="96"/>
      <c r="F1779" s="79"/>
      <c r="J1779" s="8"/>
      <c r="K1779" s="8"/>
      <c r="R1779" s="6"/>
    </row>
    <row r="1780" spans="1:18">
      <c r="A1780" s="96"/>
      <c r="F1780" s="79"/>
      <c r="J1780" s="8"/>
      <c r="K1780" s="8"/>
      <c r="R1780" s="6"/>
    </row>
    <row r="1781" spans="1:18">
      <c r="A1781" s="96"/>
      <c r="F1781" s="79"/>
      <c r="J1781" s="8"/>
      <c r="K1781" s="8"/>
      <c r="R1781" s="6"/>
    </row>
    <row r="1782" spans="1:18">
      <c r="A1782" s="96"/>
      <c r="F1782" s="79"/>
      <c r="J1782" s="8"/>
      <c r="K1782" s="8"/>
      <c r="R1782" s="6"/>
    </row>
    <row r="1783" spans="1:18">
      <c r="A1783" s="96"/>
      <c r="F1783" s="79"/>
      <c r="J1783" s="8"/>
      <c r="K1783" s="8"/>
      <c r="R1783" s="6"/>
    </row>
    <row r="1784" spans="1:18">
      <c r="A1784" s="96"/>
      <c r="F1784" s="79"/>
      <c r="J1784" s="8"/>
      <c r="K1784" s="8"/>
      <c r="R1784" s="6"/>
    </row>
    <row r="1785" spans="1:18">
      <c r="A1785" s="96"/>
      <c r="F1785" s="79"/>
      <c r="J1785" s="8"/>
      <c r="K1785" s="8"/>
      <c r="R1785" s="6"/>
    </row>
    <row r="1786" spans="1:18">
      <c r="A1786" s="96"/>
      <c r="F1786" s="79"/>
      <c r="J1786" s="8"/>
      <c r="K1786" s="8"/>
      <c r="R1786" s="6"/>
    </row>
    <row r="1787" spans="1:18">
      <c r="A1787" s="96"/>
      <c r="F1787" s="79"/>
      <c r="J1787" s="8"/>
      <c r="K1787" s="8"/>
      <c r="R1787" s="6"/>
    </row>
    <row r="1788" spans="1:18">
      <c r="A1788" s="96"/>
      <c r="F1788" s="79"/>
      <c r="J1788" s="8"/>
      <c r="K1788" s="8"/>
      <c r="R1788" s="6"/>
    </row>
    <row r="1789" spans="1:18">
      <c r="A1789" s="96"/>
      <c r="F1789" s="79"/>
      <c r="J1789" s="8"/>
      <c r="K1789" s="8"/>
      <c r="R1789" s="6"/>
    </row>
    <row r="1790" spans="1:18">
      <c r="A1790" s="96"/>
      <c r="F1790" s="79"/>
      <c r="J1790" s="8"/>
      <c r="K1790" s="8"/>
      <c r="R1790" s="6"/>
    </row>
    <row r="1791" spans="1:18">
      <c r="A1791" s="96"/>
      <c r="F1791" s="79"/>
      <c r="J1791" s="8"/>
      <c r="K1791" s="8"/>
      <c r="R1791" s="6"/>
    </row>
    <row r="1792" spans="1:18">
      <c r="A1792" s="96"/>
      <c r="F1792" s="79"/>
      <c r="J1792" s="8"/>
      <c r="K1792" s="8"/>
      <c r="R1792" s="6"/>
    </row>
    <row r="1793" spans="1:18">
      <c r="A1793" s="96"/>
      <c r="F1793" s="79"/>
      <c r="J1793" s="8"/>
      <c r="K1793" s="8"/>
      <c r="R1793" s="6"/>
    </row>
    <row r="1794" spans="1:18">
      <c r="A1794" s="96"/>
      <c r="F1794" s="79"/>
      <c r="J1794" s="8"/>
      <c r="K1794" s="8"/>
      <c r="R1794" s="6"/>
    </row>
    <row r="1795" spans="1:18">
      <c r="A1795" s="96"/>
      <c r="F1795" s="79"/>
      <c r="J1795" s="8"/>
      <c r="K1795" s="8"/>
      <c r="R1795" s="6"/>
    </row>
    <row r="1796" spans="1:18">
      <c r="A1796" s="96"/>
      <c r="F1796" s="79"/>
      <c r="J1796" s="8"/>
      <c r="K1796" s="8"/>
      <c r="R1796" s="6"/>
    </row>
    <row r="1797" spans="1:18">
      <c r="A1797" s="96"/>
      <c r="F1797" s="79"/>
      <c r="J1797" s="8"/>
      <c r="K1797" s="8"/>
      <c r="R1797" s="6"/>
    </row>
    <row r="1798" spans="1:18">
      <c r="A1798" s="96"/>
      <c r="F1798" s="79"/>
      <c r="J1798" s="8"/>
      <c r="K1798" s="8"/>
      <c r="R1798" s="6"/>
    </row>
    <row r="1799" spans="1:18">
      <c r="A1799" s="96"/>
      <c r="F1799" s="79"/>
      <c r="J1799" s="8"/>
      <c r="K1799" s="8"/>
      <c r="R1799" s="6"/>
    </row>
    <row r="1800" spans="1:18">
      <c r="A1800" s="96"/>
      <c r="F1800" s="79"/>
      <c r="J1800" s="8"/>
      <c r="K1800" s="8"/>
      <c r="R1800" s="6"/>
    </row>
    <row r="1801" spans="1:18">
      <c r="A1801" s="96"/>
      <c r="F1801" s="79"/>
      <c r="J1801" s="8"/>
      <c r="K1801" s="8"/>
      <c r="R1801" s="6"/>
    </row>
    <row r="1802" spans="1:18">
      <c r="A1802" s="96"/>
      <c r="F1802" s="79"/>
      <c r="J1802" s="8"/>
      <c r="K1802" s="8"/>
      <c r="R1802" s="6"/>
    </row>
    <row r="1803" spans="1:18">
      <c r="A1803" s="96"/>
      <c r="F1803" s="79"/>
      <c r="J1803" s="8"/>
      <c r="K1803" s="8"/>
      <c r="R1803" s="6"/>
    </row>
    <row r="1804" spans="1:18">
      <c r="A1804" s="96"/>
      <c r="F1804" s="79"/>
      <c r="J1804" s="8"/>
      <c r="K1804" s="8"/>
      <c r="R1804" s="6"/>
    </row>
    <row r="1805" spans="1:18">
      <c r="A1805" s="96"/>
      <c r="F1805" s="79"/>
      <c r="J1805" s="8"/>
      <c r="K1805" s="8"/>
      <c r="R1805" s="6"/>
    </row>
    <row r="1806" spans="1:18">
      <c r="A1806" s="96"/>
      <c r="F1806" s="79"/>
      <c r="J1806" s="8"/>
      <c r="K1806" s="8"/>
      <c r="R1806" s="6"/>
    </row>
    <row r="1807" spans="1:18">
      <c r="A1807" s="96"/>
      <c r="F1807" s="79"/>
      <c r="J1807" s="8"/>
      <c r="K1807" s="8"/>
      <c r="R1807" s="6"/>
    </row>
    <row r="1808" spans="1:18">
      <c r="A1808" s="96"/>
      <c r="F1808" s="79"/>
      <c r="J1808" s="8"/>
      <c r="K1808" s="8"/>
      <c r="R1808" s="6"/>
    </row>
    <row r="1809" spans="1:18">
      <c r="A1809" s="96"/>
      <c r="F1809" s="79"/>
      <c r="J1809" s="8"/>
      <c r="K1809" s="8"/>
      <c r="R1809" s="6"/>
    </row>
    <row r="1810" spans="1:18">
      <c r="A1810" s="96"/>
      <c r="F1810" s="79"/>
      <c r="J1810" s="8"/>
      <c r="K1810" s="8"/>
      <c r="R1810" s="6"/>
    </row>
    <row r="1811" spans="1:18">
      <c r="A1811" s="96"/>
      <c r="F1811" s="79"/>
      <c r="J1811" s="8"/>
      <c r="K1811" s="8"/>
      <c r="R1811" s="6"/>
    </row>
    <row r="1812" spans="1:18">
      <c r="A1812" s="96"/>
      <c r="F1812" s="79"/>
      <c r="J1812" s="8"/>
      <c r="K1812" s="8"/>
      <c r="R1812" s="6"/>
    </row>
    <row r="1813" spans="1:18">
      <c r="A1813" s="96"/>
      <c r="F1813" s="79"/>
      <c r="J1813" s="8"/>
      <c r="K1813" s="8"/>
      <c r="R1813" s="6"/>
    </row>
    <row r="1814" spans="1:18">
      <c r="A1814" s="96"/>
      <c r="F1814" s="79"/>
      <c r="J1814" s="8"/>
      <c r="K1814" s="8"/>
      <c r="R1814" s="6"/>
    </row>
    <row r="1815" spans="1:18">
      <c r="A1815" s="96"/>
      <c r="F1815" s="79"/>
      <c r="J1815" s="8"/>
      <c r="K1815" s="8"/>
      <c r="R1815" s="6"/>
    </row>
    <row r="1816" spans="1:18">
      <c r="A1816" s="96"/>
      <c r="F1816" s="79"/>
      <c r="J1816" s="8"/>
      <c r="K1816" s="8"/>
      <c r="R1816" s="6"/>
    </row>
    <row r="1817" spans="1:18">
      <c r="A1817" s="96"/>
      <c r="F1817" s="79"/>
      <c r="J1817" s="8"/>
      <c r="K1817" s="8"/>
      <c r="R1817" s="6"/>
    </row>
    <row r="1818" spans="1:18">
      <c r="A1818" s="96"/>
      <c r="F1818" s="79"/>
      <c r="J1818" s="8"/>
      <c r="K1818" s="8"/>
      <c r="R1818" s="6"/>
    </row>
    <row r="1819" spans="1:18">
      <c r="A1819" s="96"/>
      <c r="F1819" s="79"/>
      <c r="J1819" s="8"/>
      <c r="K1819" s="8"/>
      <c r="R1819" s="6"/>
    </row>
    <row r="1820" spans="1:18">
      <c r="A1820" s="96"/>
      <c r="F1820" s="79"/>
      <c r="J1820" s="8"/>
      <c r="K1820" s="8"/>
      <c r="R1820" s="6"/>
    </row>
    <row r="1821" spans="1:18">
      <c r="A1821" s="96"/>
      <c r="F1821" s="79"/>
      <c r="J1821" s="8"/>
      <c r="K1821" s="8"/>
      <c r="R1821" s="6"/>
    </row>
    <row r="1822" spans="1:18">
      <c r="A1822" s="96"/>
      <c r="F1822" s="79"/>
      <c r="J1822" s="8"/>
      <c r="K1822" s="8"/>
      <c r="R1822" s="6"/>
    </row>
    <row r="1823" spans="1:18">
      <c r="A1823" s="96"/>
      <c r="F1823" s="79"/>
      <c r="J1823" s="8"/>
      <c r="K1823" s="8"/>
      <c r="R1823" s="6"/>
    </row>
    <row r="1824" spans="1:18">
      <c r="A1824" s="96"/>
      <c r="F1824" s="79"/>
      <c r="J1824" s="8"/>
      <c r="K1824" s="8"/>
      <c r="R1824" s="6"/>
    </row>
    <row r="1825" spans="1:18">
      <c r="A1825" s="96"/>
      <c r="F1825" s="79"/>
      <c r="J1825" s="8"/>
      <c r="K1825" s="8"/>
      <c r="R1825" s="6"/>
    </row>
    <row r="1826" spans="1:18">
      <c r="A1826" s="96"/>
      <c r="F1826" s="79"/>
      <c r="J1826" s="8"/>
      <c r="K1826" s="8"/>
      <c r="R1826" s="6"/>
    </row>
    <row r="1827" spans="1:18">
      <c r="A1827" s="96"/>
      <c r="F1827" s="79"/>
      <c r="J1827" s="8"/>
      <c r="K1827" s="8"/>
      <c r="R1827" s="6"/>
    </row>
    <row r="1828" spans="1:18">
      <c r="A1828" s="96"/>
      <c r="F1828" s="79"/>
      <c r="J1828" s="8"/>
      <c r="K1828" s="8"/>
      <c r="R1828" s="6"/>
    </row>
    <row r="1829" spans="1:18">
      <c r="A1829" s="96"/>
      <c r="F1829" s="79"/>
      <c r="J1829" s="8"/>
      <c r="K1829" s="8"/>
      <c r="R1829" s="6"/>
    </row>
    <row r="1830" spans="1:18">
      <c r="A1830" s="96"/>
      <c r="F1830" s="79"/>
      <c r="J1830" s="8"/>
      <c r="K1830" s="8"/>
      <c r="R1830" s="6"/>
    </row>
    <row r="1831" spans="1:18">
      <c r="A1831" s="96"/>
      <c r="F1831" s="79"/>
      <c r="J1831" s="8"/>
      <c r="K1831" s="8"/>
      <c r="R1831" s="6"/>
    </row>
    <row r="1832" spans="1:18">
      <c r="A1832" s="96"/>
      <c r="F1832" s="79"/>
      <c r="J1832" s="8"/>
      <c r="K1832" s="8"/>
      <c r="R1832" s="6"/>
    </row>
    <row r="1833" spans="1:18">
      <c r="A1833" s="96"/>
      <c r="F1833" s="79"/>
      <c r="J1833" s="8"/>
      <c r="K1833" s="8"/>
      <c r="R1833" s="6"/>
    </row>
    <row r="1834" spans="1:18">
      <c r="A1834" s="96"/>
      <c r="F1834" s="79"/>
      <c r="J1834" s="8"/>
      <c r="K1834" s="8"/>
      <c r="R1834" s="6"/>
    </row>
    <row r="1835" spans="1:18">
      <c r="A1835" s="96"/>
      <c r="F1835" s="79"/>
      <c r="J1835" s="8"/>
      <c r="K1835" s="8"/>
      <c r="R1835" s="6"/>
    </row>
    <row r="1836" spans="1:18">
      <c r="A1836" s="96"/>
      <c r="F1836" s="79"/>
      <c r="J1836" s="8"/>
      <c r="K1836" s="8"/>
      <c r="R1836" s="6"/>
    </row>
    <row r="1837" spans="1:18">
      <c r="A1837" s="96"/>
      <c r="F1837" s="79"/>
      <c r="J1837" s="8"/>
      <c r="K1837" s="8"/>
      <c r="R1837" s="6"/>
    </row>
    <row r="1838" spans="1:18">
      <c r="A1838" s="96"/>
      <c r="F1838" s="79"/>
      <c r="J1838" s="8"/>
      <c r="K1838" s="8"/>
      <c r="R1838" s="6"/>
    </row>
    <row r="1839" spans="1:18">
      <c r="A1839" s="96"/>
      <c r="F1839" s="79"/>
      <c r="J1839" s="8"/>
      <c r="K1839" s="8"/>
      <c r="R1839" s="6"/>
    </row>
    <row r="1840" spans="1:18">
      <c r="A1840" s="96"/>
      <c r="F1840" s="79"/>
      <c r="J1840" s="8"/>
      <c r="K1840" s="8"/>
      <c r="R1840" s="6"/>
    </row>
    <row r="1841" spans="1:18">
      <c r="A1841" s="96"/>
      <c r="F1841" s="79"/>
      <c r="J1841" s="8"/>
      <c r="K1841" s="8"/>
      <c r="R1841" s="6"/>
    </row>
    <row r="1842" spans="1:18">
      <c r="A1842" s="96"/>
      <c r="F1842" s="79"/>
      <c r="J1842" s="8"/>
      <c r="K1842" s="8"/>
      <c r="R1842" s="6"/>
    </row>
    <row r="1843" spans="1:18">
      <c r="A1843" s="96"/>
      <c r="F1843" s="79"/>
      <c r="J1843" s="8"/>
      <c r="K1843" s="8"/>
      <c r="R1843" s="6"/>
    </row>
    <row r="1844" spans="1:18">
      <c r="A1844" s="96"/>
      <c r="F1844" s="79"/>
      <c r="J1844" s="8"/>
      <c r="K1844" s="8"/>
      <c r="R1844" s="6"/>
    </row>
    <row r="1845" spans="1:18">
      <c r="A1845" s="96"/>
      <c r="F1845" s="79"/>
      <c r="J1845" s="8"/>
      <c r="K1845" s="8"/>
      <c r="R1845" s="6"/>
    </row>
    <row r="1846" spans="1:18">
      <c r="A1846" s="96"/>
      <c r="F1846" s="79"/>
      <c r="J1846" s="8"/>
      <c r="K1846" s="8"/>
      <c r="R1846" s="6"/>
    </row>
    <row r="1847" spans="1:18">
      <c r="A1847" s="96"/>
      <c r="F1847" s="79"/>
      <c r="J1847" s="8"/>
      <c r="K1847" s="8"/>
      <c r="R1847" s="6"/>
    </row>
    <row r="1848" spans="1:18">
      <c r="A1848" s="96"/>
      <c r="F1848" s="79"/>
      <c r="J1848" s="8"/>
      <c r="K1848" s="8"/>
      <c r="R1848" s="6"/>
    </row>
    <row r="1849" spans="1:18">
      <c r="A1849" s="96"/>
      <c r="F1849" s="79"/>
      <c r="J1849" s="8"/>
      <c r="K1849" s="8"/>
      <c r="R1849" s="6"/>
    </row>
    <row r="1850" spans="1:18">
      <c r="A1850" s="96"/>
      <c r="F1850" s="79"/>
      <c r="J1850" s="8"/>
      <c r="K1850" s="8"/>
      <c r="R1850" s="6"/>
    </row>
    <row r="1851" spans="1:18">
      <c r="A1851" s="96"/>
      <c r="F1851" s="79"/>
      <c r="J1851" s="8"/>
      <c r="K1851" s="8"/>
      <c r="R1851" s="6"/>
    </row>
    <row r="1852" spans="1:18">
      <c r="A1852" s="96"/>
      <c r="F1852" s="79"/>
      <c r="J1852" s="8"/>
      <c r="K1852" s="8"/>
      <c r="R1852" s="6"/>
    </row>
    <row r="1853" spans="1:18">
      <c r="A1853" s="96"/>
      <c r="F1853" s="79"/>
      <c r="J1853" s="8"/>
      <c r="K1853" s="8"/>
      <c r="R1853" s="6"/>
    </row>
    <row r="1854" spans="1:18">
      <c r="A1854" s="96"/>
      <c r="F1854" s="79"/>
      <c r="J1854" s="8"/>
      <c r="K1854" s="8"/>
      <c r="R1854" s="6"/>
    </row>
    <row r="1855" spans="1:18">
      <c r="A1855" s="96"/>
      <c r="F1855" s="79"/>
      <c r="J1855" s="8"/>
      <c r="K1855" s="8"/>
      <c r="R1855" s="6"/>
    </row>
    <row r="1856" spans="1:18">
      <c r="A1856" s="96"/>
      <c r="F1856" s="79"/>
      <c r="J1856" s="8"/>
      <c r="K1856" s="8"/>
      <c r="R1856" s="6"/>
    </row>
    <row r="1857" spans="1:18">
      <c r="A1857" s="96"/>
      <c r="F1857" s="79"/>
      <c r="J1857" s="8"/>
      <c r="K1857" s="8"/>
      <c r="R1857" s="6"/>
    </row>
    <row r="1858" spans="1:18">
      <c r="A1858" s="96"/>
      <c r="F1858" s="79"/>
      <c r="J1858" s="8"/>
      <c r="K1858" s="8"/>
      <c r="R1858" s="6"/>
    </row>
    <row r="1859" spans="1:18">
      <c r="A1859" s="96"/>
      <c r="F1859" s="79"/>
      <c r="J1859" s="8"/>
      <c r="K1859" s="8"/>
      <c r="R1859" s="6"/>
    </row>
    <row r="1860" spans="1:18">
      <c r="A1860" s="96"/>
      <c r="F1860" s="79"/>
      <c r="J1860" s="8"/>
      <c r="K1860" s="8"/>
      <c r="R1860" s="6"/>
    </row>
    <row r="1861" spans="1:18">
      <c r="A1861" s="96"/>
      <c r="F1861" s="79"/>
      <c r="J1861" s="8"/>
      <c r="K1861" s="8"/>
      <c r="R1861" s="6"/>
    </row>
    <row r="1862" spans="1:18">
      <c r="A1862" s="96"/>
      <c r="F1862" s="79"/>
      <c r="J1862" s="8"/>
      <c r="K1862" s="8"/>
      <c r="R1862" s="6"/>
    </row>
    <row r="1863" spans="1:18">
      <c r="A1863" s="96"/>
      <c r="F1863" s="79"/>
      <c r="J1863" s="8"/>
      <c r="K1863" s="8"/>
      <c r="R1863" s="6"/>
    </row>
    <row r="1864" spans="1:18">
      <c r="A1864" s="96"/>
      <c r="F1864" s="79"/>
      <c r="J1864" s="8"/>
      <c r="K1864" s="8"/>
      <c r="R1864" s="6"/>
    </row>
    <row r="1865" spans="1:18">
      <c r="A1865" s="96"/>
      <c r="F1865" s="79"/>
      <c r="J1865" s="8"/>
      <c r="K1865" s="8"/>
      <c r="R1865" s="6"/>
    </row>
    <row r="1866" spans="1:18">
      <c r="A1866" s="96"/>
      <c r="F1866" s="79"/>
      <c r="J1866" s="8"/>
      <c r="K1866" s="8"/>
      <c r="R1866" s="6"/>
    </row>
    <row r="1867" spans="1:18">
      <c r="A1867" s="96"/>
      <c r="F1867" s="79"/>
      <c r="J1867" s="8"/>
      <c r="K1867" s="8"/>
      <c r="R1867" s="6"/>
    </row>
    <row r="1868" spans="1:18">
      <c r="A1868" s="96"/>
      <c r="F1868" s="79"/>
      <c r="J1868" s="8"/>
      <c r="K1868" s="8"/>
      <c r="R1868" s="6"/>
    </row>
    <row r="1869" spans="1:18">
      <c r="A1869" s="96"/>
      <c r="F1869" s="79"/>
      <c r="J1869" s="8"/>
      <c r="K1869" s="8"/>
      <c r="R1869" s="6"/>
    </row>
    <row r="1870" spans="1:18">
      <c r="A1870" s="96"/>
      <c r="F1870" s="79"/>
      <c r="J1870" s="8"/>
      <c r="K1870" s="8"/>
      <c r="R1870" s="6"/>
    </row>
    <row r="1871" spans="1:18">
      <c r="A1871" s="96"/>
      <c r="F1871" s="79"/>
      <c r="J1871" s="8"/>
      <c r="K1871" s="8"/>
      <c r="R1871" s="6"/>
    </row>
    <row r="1872" spans="1:18">
      <c r="A1872" s="96"/>
      <c r="F1872" s="79"/>
      <c r="J1872" s="8"/>
      <c r="K1872" s="8"/>
      <c r="R1872" s="6"/>
    </row>
    <row r="1873" spans="1:18">
      <c r="A1873" s="96"/>
      <c r="F1873" s="79"/>
      <c r="J1873" s="8"/>
      <c r="K1873" s="8"/>
      <c r="R1873" s="6"/>
    </row>
    <row r="1874" spans="1:18">
      <c r="A1874" s="96"/>
      <c r="F1874" s="79"/>
      <c r="J1874" s="8"/>
      <c r="K1874" s="8"/>
      <c r="R1874" s="6"/>
    </row>
    <row r="1875" spans="1:18">
      <c r="A1875" s="96"/>
      <c r="F1875" s="79"/>
      <c r="J1875" s="8"/>
      <c r="K1875" s="8"/>
      <c r="R1875" s="6"/>
    </row>
    <row r="1876" spans="1:18">
      <c r="A1876" s="96"/>
      <c r="F1876" s="79"/>
      <c r="J1876" s="8"/>
      <c r="K1876" s="8"/>
      <c r="R1876" s="6"/>
    </row>
    <row r="1877" spans="1:18">
      <c r="A1877" s="96"/>
      <c r="F1877" s="79"/>
      <c r="J1877" s="8"/>
      <c r="K1877" s="8"/>
      <c r="R1877" s="6"/>
    </row>
    <row r="1878" spans="1:18">
      <c r="A1878" s="96"/>
      <c r="F1878" s="79"/>
      <c r="J1878" s="8"/>
      <c r="K1878" s="8"/>
      <c r="R1878" s="6"/>
    </row>
    <row r="1879" spans="1:18">
      <c r="A1879" s="96"/>
      <c r="F1879" s="79"/>
      <c r="J1879" s="8"/>
      <c r="K1879" s="8"/>
      <c r="R1879" s="6"/>
    </row>
    <row r="1880" spans="1:18">
      <c r="A1880" s="96"/>
      <c r="F1880" s="79"/>
      <c r="J1880" s="8"/>
      <c r="K1880" s="8"/>
      <c r="R1880" s="6"/>
    </row>
    <row r="1881" spans="1:18">
      <c r="A1881" s="96"/>
      <c r="F1881" s="79"/>
      <c r="J1881" s="8"/>
      <c r="K1881" s="8"/>
      <c r="R1881" s="6"/>
    </row>
    <row r="1882" spans="1:18">
      <c r="A1882" s="96"/>
      <c r="F1882" s="79"/>
      <c r="J1882" s="8"/>
      <c r="K1882" s="8"/>
      <c r="R1882" s="6"/>
    </row>
    <row r="1883" spans="1:18">
      <c r="A1883" s="96"/>
      <c r="F1883" s="79"/>
      <c r="J1883" s="8"/>
      <c r="K1883" s="8"/>
      <c r="R1883" s="6"/>
    </row>
    <row r="1884" spans="1:18">
      <c r="A1884" s="96"/>
      <c r="F1884" s="79"/>
      <c r="J1884" s="8"/>
      <c r="K1884" s="8"/>
      <c r="R1884" s="6"/>
    </row>
    <row r="1885" spans="1:18">
      <c r="A1885" s="96"/>
      <c r="F1885" s="79"/>
      <c r="J1885" s="8"/>
      <c r="K1885" s="8"/>
      <c r="R1885" s="6"/>
    </row>
    <row r="1886" spans="1:18">
      <c r="A1886" s="96"/>
      <c r="F1886" s="79"/>
      <c r="J1886" s="8"/>
      <c r="K1886" s="8"/>
      <c r="R1886" s="6"/>
    </row>
    <row r="1887" spans="1:18">
      <c r="A1887" s="96"/>
      <c r="F1887" s="79"/>
      <c r="J1887" s="8"/>
      <c r="K1887" s="8"/>
      <c r="R1887" s="6"/>
    </row>
    <row r="1888" spans="1:18">
      <c r="A1888" s="96"/>
      <c r="F1888" s="79"/>
      <c r="J1888" s="8"/>
      <c r="K1888" s="8"/>
      <c r="R1888" s="6"/>
    </row>
    <row r="1889" spans="1:18">
      <c r="A1889" s="96"/>
      <c r="F1889" s="79"/>
      <c r="J1889" s="8"/>
      <c r="K1889" s="8"/>
      <c r="R1889" s="6"/>
    </row>
    <row r="1890" spans="1:18">
      <c r="A1890" s="96"/>
      <c r="F1890" s="79"/>
      <c r="J1890" s="8"/>
      <c r="K1890" s="8"/>
      <c r="R1890" s="6"/>
    </row>
    <row r="1891" spans="1:18">
      <c r="A1891" s="96"/>
      <c r="F1891" s="79"/>
      <c r="J1891" s="8"/>
      <c r="K1891" s="8"/>
      <c r="R1891" s="6"/>
    </row>
    <row r="1892" spans="1:18">
      <c r="A1892" s="96"/>
      <c r="F1892" s="79"/>
      <c r="J1892" s="8"/>
      <c r="K1892" s="8"/>
      <c r="R1892" s="6"/>
    </row>
    <row r="1893" spans="1:18">
      <c r="A1893" s="96"/>
      <c r="F1893" s="79"/>
      <c r="J1893" s="8"/>
      <c r="K1893" s="8"/>
      <c r="R1893" s="6"/>
    </row>
    <row r="1894" spans="1:18">
      <c r="A1894" s="96"/>
      <c r="F1894" s="79"/>
      <c r="J1894" s="8"/>
      <c r="K1894" s="8"/>
      <c r="R1894" s="6"/>
    </row>
    <row r="1895" spans="1:18">
      <c r="A1895" s="96"/>
      <c r="F1895" s="79"/>
      <c r="J1895" s="8"/>
      <c r="K1895" s="8"/>
      <c r="R1895" s="6"/>
    </row>
    <row r="1896" spans="1:18">
      <c r="A1896" s="96"/>
      <c r="F1896" s="79"/>
      <c r="J1896" s="8"/>
      <c r="K1896" s="8"/>
      <c r="R1896" s="6"/>
    </row>
    <row r="1897" spans="1:18">
      <c r="A1897" s="96"/>
      <c r="F1897" s="79"/>
      <c r="J1897" s="8"/>
      <c r="K1897" s="8"/>
      <c r="R1897" s="6"/>
    </row>
    <row r="1898" spans="1:18">
      <c r="A1898" s="96"/>
      <c r="F1898" s="79"/>
      <c r="J1898" s="8"/>
      <c r="K1898" s="8"/>
      <c r="R1898" s="6"/>
    </row>
    <row r="1899" spans="1:18">
      <c r="A1899" s="96"/>
      <c r="F1899" s="79"/>
      <c r="J1899" s="8"/>
      <c r="K1899" s="8"/>
      <c r="R1899" s="6"/>
    </row>
    <row r="1900" spans="1:18">
      <c r="A1900" s="96"/>
      <c r="F1900" s="79"/>
      <c r="J1900" s="8"/>
      <c r="K1900" s="8"/>
      <c r="R1900" s="6"/>
    </row>
    <row r="1901" spans="1:18">
      <c r="A1901" s="96"/>
      <c r="F1901" s="79"/>
      <c r="J1901" s="8"/>
      <c r="K1901" s="8"/>
      <c r="R1901" s="6"/>
    </row>
    <row r="1902" spans="1:18">
      <c r="A1902" s="96"/>
      <c r="F1902" s="79"/>
      <c r="J1902" s="8"/>
      <c r="K1902" s="8"/>
      <c r="R1902" s="6"/>
    </row>
    <row r="1903" spans="1:18">
      <c r="A1903" s="96"/>
      <c r="F1903" s="79"/>
      <c r="J1903" s="8"/>
      <c r="K1903" s="8"/>
      <c r="R1903" s="6"/>
    </row>
    <row r="1904" spans="1:18">
      <c r="A1904" s="96"/>
      <c r="F1904" s="79"/>
      <c r="J1904" s="8"/>
      <c r="K1904" s="8"/>
      <c r="R1904" s="6"/>
    </row>
    <row r="1905" spans="1:18">
      <c r="A1905" s="96"/>
      <c r="F1905" s="79"/>
      <c r="J1905" s="8"/>
      <c r="K1905" s="8"/>
      <c r="R1905" s="6"/>
    </row>
    <row r="1906" spans="1:18">
      <c r="A1906" s="96"/>
      <c r="F1906" s="79"/>
      <c r="J1906" s="8"/>
      <c r="K1906" s="8"/>
      <c r="R1906" s="6"/>
    </row>
    <row r="1907" spans="1:18">
      <c r="A1907" s="96"/>
      <c r="F1907" s="79"/>
      <c r="J1907" s="8"/>
      <c r="K1907" s="8"/>
      <c r="R1907" s="6"/>
    </row>
    <row r="1908" spans="1:18">
      <c r="A1908" s="96"/>
      <c r="F1908" s="79"/>
      <c r="J1908" s="8"/>
      <c r="K1908" s="8"/>
      <c r="R1908" s="6"/>
    </row>
    <row r="1909" spans="1:18">
      <c r="A1909" s="96"/>
      <c r="F1909" s="79"/>
      <c r="J1909" s="8"/>
      <c r="K1909" s="8"/>
      <c r="R1909" s="6"/>
    </row>
    <row r="1910" spans="1:18">
      <c r="A1910" s="96"/>
      <c r="F1910" s="79"/>
      <c r="J1910" s="8"/>
      <c r="K1910" s="8"/>
      <c r="R1910" s="6"/>
    </row>
    <row r="1911" spans="1:18">
      <c r="A1911" s="96"/>
      <c r="F1911" s="79"/>
      <c r="J1911" s="8"/>
      <c r="K1911" s="8"/>
      <c r="R1911" s="6"/>
    </row>
    <row r="1912" spans="1:18">
      <c r="A1912" s="96"/>
      <c r="F1912" s="79"/>
      <c r="J1912" s="8"/>
      <c r="K1912" s="8"/>
      <c r="R1912" s="6"/>
    </row>
    <row r="1913" spans="1:18">
      <c r="A1913" s="96"/>
      <c r="F1913" s="79"/>
      <c r="J1913" s="8"/>
      <c r="K1913" s="8"/>
      <c r="R1913" s="6"/>
    </row>
    <row r="1914" spans="1:18">
      <c r="A1914" s="96"/>
      <c r="F1914" s="79"/>
      <c r="J1914" s="8"/>
      <c r="K1914" s="8"/>
      <c r="R1914" s="6"/>
    </row>
    <row r="1915" spans="1:18">
      <c r="A1915" s="96"/>
      <c r="F1915" s="79"/>
      <c r="J1915" s="8"/>
      <c r="K1915" s="8"/>
      <c r="R1915" s="6"/>
    </row>
    <row r="1916" spans="1:18">
      <c r="A1916" s="96"/>
      <c r="F1916" s="79"/>
      <c r="J1916" s="8"/>
      <c r="K1916" s="8"/>
      <c r="R1916" s="6"/>
    </row>
    <row r="1917" spans="1:18">
      <c r="A1917" s="96"/>
      <c r="F1917" s="79"/>
      <c r="J1917" s="8"/>
      <c r="K1917" s="8"/>
      <c r="R1917" s="6"/>
    </row>
    <row r="1918" spans="1:18">
      <c r="A1918" s="96"/>
      <c r="F1918" s="79"/>
      <c r="J1918" s="8"/>
      <c r="K1918" s="8"/>
      <c r="R1918" s="6"/>
    </row>
    <row r="1919" spans="1:18">
      <c r="A1919" s="96"/>
      <c r="F1919" s="79"/>
      <c r="J1919" s="8"/>
      <c r="K1919" s="8"/>
      <c r="R1919" s="6"/>
    </row>
    <row r="1920" spans="1:18">
      <c r="J1920" s="8"/>
      <c r="K1920" s="8"/>
      <c r="Q1920" s="6"/>
      <c r="R1920" s="6"/>
    </row>
    <row r="1921" spans="1:18">
      <c r="J1921" s="8"/>
      <c r="K1921" s="8"/>
      <c r="R1921" s="6"/>
    </row>
    <row r="1922" spans="1:18">
      <c r="J1922" s="8"/>
      <c r="K1922" s="8"/>
      <c r="R1922" s="6"/>
    </row>
    <row r="1923" spans="1:18">
      <c r="J1923" s="8"/>
      <c r="K1923" s="8"/>
      <c r="Q1923" s="6"/>
      <c r="R1923" s="6"/>
    </row>
    <row r="1924" spans="1:18">
      <c r="A1924" s="96"/>
      <c r="J1924" s="8"/>
      <c r="K1924" s="8"/>
      <c r="R1924" s="6"/>
    </row>
    <row r="1925" spans="1:18" ht="14.4">
      <c r="A1925" s="96"/>
      <c r="C1925" s="10"/>
      <c r="J1925" s="8"/>
      <c r="K1925" s="8"/>
      <c r="R1925" s="6"/>
    </row>
    <row r="1926" spans="1:18">
      <c r="A1926" s="96"/>
      <c r="J1926" s="8"/>
      <c r="K1926" s="8"/>
      <c r="R1926" s="6"/>
    </row>
    <row r="1927" spans="1:18">
      <c r="A1927" s="96"/>
      <c r="J1927" s="8"/>
      <c r="K1927" s="8"/>
      <c r="R1927" s="6"/>
    </row>
    <row r="1928" spans="1:18">
      <c r="A1928" s="96"/>
      <c r="J1928" s="8"/>
      <c r="K1928" s="8"/>
      <c r="R1928" s="6"/>
    </row>
    <row r="1929" spans="1:18">
      <c r="A1929" s="96"/>
      <c r="J1929" s="8"/>
      <c r="K1929" s="8"/>
      <c r="R1929" s="6"/>
    </row>
    <row r="1930" spans="1:18">
      <c r="A1930" s="96"/>
      <c r="J1930" s="8"/>
      <c r="K1930" s="8"/>
      <c r="R1930" s="6"/>
    </row>
    <row r="1931" spans="1:18">
      <c r="A1931" s="96"/>
      <c r="J1931" s="8"/>
      <c r="K1931" s="8"/>
      <c r="R1931" s="6"/>
    </row>
    <row r="1932" spans="1:18">
      <c r="A1932" s="96"/>
      <c r="J1932" s="8"/>
      <c r="K1932" s="8"/>
      <c r="R1932" s="6"/>
    </row>
    <row r="1933" spans="1:18">
      <c r="A1933" s="96"/>
      <c r="J1933" s="8"/>
      <c r="K1933" s="8"/>
      <c r="R1933" s="6"/>
    </row>
    <row r="1934" spans="1:18">
      <c r="A1934" s="96"/>
      <c r="J1934" s="8"/>
      <c r="K1934" s="8"/>
      <c r="R1934" s="6"/>
    </row>
    <row r="1935" spans="1:18">
      <c r="A1935" s="96"/>
      <c r="J1935" s="8"/>
      <c r="K1935" s="8"/>
      <c r="R1935" s="6"/>
    </row>
    <row r="1936" spans="1:18">
      <c r="A1936" s="96"/>
      <c r="J1936" s="8"/>
      <c r="K1936" s="8"/>
      <c r="R1936" s="6"/>
    </row>
    <row r="1937" spans="1:18">
      <c r="A1937" s="96"/>
      <c r="J1937" s="8"/>
      <c r="K1937" s="8"/>
      <c r="R1937" s="6"/>
    </row>
    <row r="1938" spans="1:18">
      <c r="A1938" s="96"/>
      <c r="J1938" s="8"/>
      <c r="K1938" s="8"/>
      <c r="R1938" s="6"/>
    </row>
    <row r="1939" spans="1:18">
      <c r="A1939" s="96"/>
      <c r="J1939" s="8"/>
      <c r="K1939" s="8"/>
      <c r="R1939" s="6"/>
    </row>
    <row r="1940" spans="1:18">
      <c r="A1940" s="96"/>
      <c r="J1940" s="8"/>
      <c r="K1940" s="8"/>
      <c r="R1940" s="6"/>
    </row>
    <row r="1941" spans="1:18">
      <c r="A1941" s="96"/>
      <c r="J1941" s="8"/>
      <c r="K1941" s="8"/>
      <c r="R1941" s="6"/>
    </row>
    <row r="1942" spans="1:18">
      <c r="A1942" s="96"/>
      <c r="J1942" s="8"/>
      <c r="K1942" s="8"/>
      <c r="R1942" s="6"/>
    </row>
    <row r="1943" spans="1:18">
      <c r="A1943" s="96"/>
      <c r="J1943" s="8"/>
      <c r="K1943" s="8"/>
      <c r="R1943" s="6"/>
    </row>
    <row r="1944" spans="1:18">
      <c r="A1944" s="96"/>
      <c r="J1944" s="8"/>
      <c r="K1944" s="8"/>
      <c r="R1944" s="6"/>
    </row>
    <row r="1945" spans="1:18">
      <c r="A1945" s="96"/>
      <c r="J1945" s="8"/>
      <c r="K1945" s="8"/>
      <c r="R1945" s="6"/>
    </row>
    <row r="1946" spans="1:18">
      <c r="A1946" s="96"/>
      <c r="J1946" s="8"/>
      <c r="K1946" s="8"/>
      <c r="R1946" s="6"/>
    </row>
    <row r="1947" spans="1:18">
      <c r="A1947" s="96"/>
      <c r="J1947" s="8"/>
      <c r="K1947" s="8"/>
      <c r="R1947" s="6"/>
    </row>
    <row r="1948" spans="1:18">
      <c r="A1948" s="96"/>
      <c r="J1948" s="8"/>
      <c r="K1948" s="8"/>
      <c r="R1948" s="6"/>
    </row>
    <row r="1949" spans="1:18">
      <c r="A1949" s="96"/>
      <c r="J1949" s="8"/>
      <c r="K1949" s="8"/>
      <c r="R1949" s="6"/>
    </row>
    <row r="1950" spans="1:18">
      <c r="A1950" s="96"/>
      <c r="J1950" s="8"/>
      <c r="K1950" s="8"/>
      <c r="R1950" s="6"/>
    </row>
    <row r="1951" spans="1:18">
      <c r="A1951" s="96"/>
      <c r="J1951" s="8"/>
      <c r="K1951" s="8"/>
      <c r="R1951" s="6"/>
    </row>
    <row r="1952" spans="1:18">
      <c r="A1952" s="96"/>
      <c r="J1952" s="8"/>
      <c r="K1952" s="8"/>
      <c r="R1952" s="6"/>
    </row>
    <row r="1953" spans="1:18">
      <c r="A1953" s="96"/>
      <c r="J1953" s="8"/>
      <c r="K1953" s="8"/>
      <c r="R1953" s="6"/>
    </row>
    <row r="1954" spans="1:18">
      <c r="A1954" s="96"/>
      <c r="J1954" s="8"/>
      <c r="K1954" s="8"/>
      <c r="R1954" s="6"/>
    </row>
    <row r="1955" spans="1:18">
      <c r="A1955" s="96"/>
      <c r="J1955" s="8"/>
      <c r="K1955" s="8"/>
      <c r="R1955" s="6"/>
    </row>
    <row r="1956" spans="1:18">
      <c r="A1956" s="96"/>
      <c r="J1956" s="8"/>
      <c r="K1956" s="8"/>
      <c r="R1956" s="6"/>
    </row>
    <row r="1957" spans="1:18">
      <c r="A1957" s="96"/>
      <c r="J1957" s="8"/>
      <c r="K1957" s="8"/>
      <c r="R1957" s="6"/>
    </row>
    <row r="1958" spans="1:18">
      <c r="A1958" s="96"/>
      <c r="J1958" s="8"/>
      <c r="K1958" s="8"/>
      <c r="R1958" s="6"/>
    </row>
    <row r="1959" spans="1:18">
      <c r="A1959" s="96"/>
      <c r="J1959" s="8"/>
      <c r="K1959" s="8"/>
      <c r="R1959" s="6"/>
    </row>
    <row r="1960" spans="1:18">
      <c r="A1960" s="96"/>
      <c r="J1960" s="8"/>
      <c r="K1960" s="8"/>
      <c r="R1960" s="6"/>
    </row>
    <row r="1961" spans="1:18">
      <c r="A1961" s="96"/>
      <c r="J1961" s="8"/>
      <c r="K1961" s="8"/>
      <c r="R1961" s="6"/>
    </row>
    <row r="1962" spans="1:18">
      <c r="A1962" s="96"/>
      <c r="J1962" s="8"/>
      <c r="K1962" s="8"/>
      <c r="R1962" s="6"/>
    </row>
    <row r="1963" spans="1:18">
      <c r="A1963" s="96"/>
      <c r="J1963" s="8"/>
      <c r="K1963" s="8"/>
      <c r="R1963" s="6"/>
    </row>
    <row r="1964" spans="1:18">
      <c r="A1964" s="96"/>
      <c r="J1964" s="8"/>
      <c r="K1964" s="8"/>
      <c r="R1964" s="6"/>
    </row>
    <row r="1965" spans="1:18">
      <c r="A1965" s="96"/>
      <c r="J1965" s="8"/>
      <c r="K1965" s="8"/>
      <c r="R1965" s="6"/>
    </row>
    <row r="1966" spans="1:18">
      <c r="A1966" s="96"/>
      <c r="J1966" s="8"/>
      <c r="K1966" s="8"/>
      <c r="R1966" s="6"/>
    </row>
    <row r="1967" spans="1:18">
      <c r="A1967" s="96"/>
      <c r="J1967" s="8"/>
      <c r="K1967" s="8"/>
      <c r="R1967" s="6"/>
    </row>
    <row r="1968" spans="1:18">
      <c r="A1968" s="96"/>
      <c r="J1968" s="8"/>
      <c r="K1968" s="8"/>
      <c r="R1968" s="6"/>
    </row>
    <row r="1969" spans="1:18">
      <c r="A1969" s="96"/>
      <c r="J1969" s="8"/>
      <c r="K1969" s="8"/>
      <c r="R1969" s="6"/>
    </row>
    <row r="1970" spans="1:18">
      <c r="A1970" s="96"/>
      <c r="J1970" s="8"/>
      <c r="K1970" s="8"/>
      <c r="R1970" s="6"/>
    </row>
    <row r="1971" spans="1:18">
      <c r="A1971" s="96"/>
      <c r="J1971" s="8"/>
      <c r="K1971" s="8"/>
      <c r="R1971" s="6"/>
    </row>
    <row r="1972" spans="1:18">
      <c r="A1972" s="96"/>
      <c r="J1972" s="8"/>
      <c r="K1972" s="8"/>
      <c r="R1972" s="6"/>
    </row>
    <row r="1973" spans="1:18">
      <c r="A1973" s="96"/>
      <c r="J1973" s="8"/>
      <c r="K1973" s="8"/>
      <c r="R1973" s="6"/>
    </row>
    <row r="1974" spans="1:18">
      <c r="A1974" s="96"/>
      <c r="J1974" s="8"/>
      <c r="K1974" s="8"/>
      <c r="R1974" s="6"/>
    </row>
    <row r="1975" spans="1:18">
      <c r="A1975" s="96"/>
      <c r="J1975" s="8"/>
      <c r="K1975" s="8"/>
      <c r="R1975" s="6"/>
    </row>
    <row r="1976" spans="1:18">
      <c r="A1976" s="96"/>
      <c r="J1976" s="8"/>
      <c r="K1976" s="8"/>
      <c r="R1976" s="6"/>
    </row>
    <row r="1977" spans="1:18">
      <c r="A1977" s="96"/>
      <c r="J1977" s="8"/>
      <c r="K1977" s="8"/>
      <c r="R1977" s="6"/>
    </row>
    <row r="1978" spans="1:18">
      <c r="A1978" s="96"/>
      <c r="J1978" s="8"/>
      <c r="K1978" s="8"/>
      <c r="R1978" s="6"/>
    </row>
    <row r="1979" spans="1:18">
      <c r="A1979" s="96"/>
      <c r="J1979" s="8"/>
      <c r="K1979" s="8"/>
      <c r="R1979" s="6"/>
    </row>
    <row r="1980" spans="1:18">
      <c r="A1980" s="96"/>
      <c r="J1980" s="8"/>
      <c r="K1980" s="8"/>
      <c r="R1980" s="6"/>
    </row>
    <row r="1981" spans="1:18">
      <c r="A1981" s="96"/>
      <c r="J1981" s="8"/>
      <c r="K1981" s="8"/>
      <c r="R1981" s="6"/>
    </row>
    <row r="1982" spans="1:18">
      <c r="A1982" s="96"/>
      <c r="J1982" s="8"/>
      <c r="K1982" s="8"/>
      <c r="R1982" s="6"/>
    </row>
    <row r="1983" spans="1:18">
      <c r="A1983" s="96"/>
      <c r="J1983" s="8"/>
      <c r="K1983" s="8"/>
      <c r="R1983" s="6"/>
    </row>
    <row r="1984" spans="1:18">
      <c r="A1984" s="96"/>
      <c r="J1984" s="8"/>
      <c r="K1984" s="8"/>
      <c r="R1984" s="6"/>
    </row>
    <row r="1985" spans="1:18">
      <c r="A1985" s="96"/>
      <c r="J1985" s="8"/>
      <c r="K1985" s="8"/>
      <c r="R1985" s="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B24A9-12AB-4EBA-ACB6-02ED024E1C43}">
  <dimension ref="A1:Q1746"/>
  <sheetViews>
    <sheetView workbookViewId="0"/>
  </sheetViews>
  <sheetFormatPr defaultRowHeight="13.8"/>
  <cols>
    <col min="1" max="1" width="11.5546875" bestFit="1" customWidth="1"/>
    <col min="2" max="3" width="22.33203125" bestFit="1" customWidth="1"/>
    <col min="4" max="4" width="26.109375" bestFit="1" customWidth="1"/>
    <col min="5" max="5" width="9" bestFit="1" customWidth="1"/>
    <col min="6" max="6" width="12.33203125" bestFit="1" customWidth="1"/>
    <col min="7" max="8" width="20.6640625" bestFit="1" customWidth="1"/>
    <col min="9" max="9" width="9.6640625" bestFit="1" customWidth="1"/>
    <col min="10" max="10" width="22.44140625" bestFit="1" customWidth="1"/>
    <col min="11" max="11" width="21.88671875" customWidth="1"/>
    <col min="12" max="12" width="11.5546875" bestFit="1" customWidth="1"/>
    <col min="13" max="13" width="25.109375" customWidth="1"/>
    <col min="14" max="14" width="32.109375" bestFit="1" customWidth="1"/>
    <col min="15" max="15" width="22.77734375" customWidth="1"/>
    <col min="16" max="16" width="25.21875" bestFit="1" customWidth="1"/>
    <col min="17" max="17" width="11.6640625" bestFit="1" customWidth="1"/>
  </cols>
  <sheetData>
    <row r="1" spans="1:17" ht="14.4">
      <c r="A1" s="94" t="s">
        <v>261</v>
      </c>
      <c r="B1" s="94" t="s">
        <v>8</v>
      </c>
      <c r="C1" s="94" t="s">
        <v>150</v>
      </c>
      <c r="D1" s="94" t="s">
        <v>3</v>
      </c>
      <c r="E1" s="94" t="s">
        <v>236</v>
      </c>
      <c r="F1" s="177" t="s">
        <v>10</v>
      </c>
      <c r="G1" s="94" t="s">
        <v>263</v>
      </c>
      <c r="H1" s="95" t="s">
        <v>265</v>
      </c>
      <c r="I1" s="95" t="s">
        <v>266</v>
      </c>
      <c r="J1" s="94" t="s">
        <v>267</v>
      </c>
      <c r="K1" s="94" t="s">
        <v>268</v>
      </c>
      <c r="L1" s="94" t="s">
        <v>269</v>
      </c>
      <c r="M1" s="94" t="s">
        <v>270</v>
      </c>
      <c r="N1" s="178" t="s">
        <v>11</v>
      </c>
      <c r="O1" s="94" t="s">
        <v>271</v>
      </c>
      <c r="P1" s="94" t="s">
        <v>20</v>
      </c>
      <c r="Q1" s="94" t="s">
        <v>5217</v>
      </c>
    </row>
    <row r="2" spans="1:17">
      <c r="A2" s="162">
        <v>44291</v>
      </c>
      <c r="B2" s="164" t="s">
        <v>272</v>
      </c>
      <c r="C2" s="164" t="s">
        <v>274</v>
      </c>
      <c r="D2" s="164" t="s">
        <v>150</v>
      </c>
      <c r="E2" s="79">
        <v>44228</v>
      </c>
      <c r="F2" s="6" t="s">
        <v>16</v>
      </c>
      <c r="G2" s="6" t="s">
        <v>275</v>
      </c>
      <c r="H2" s="170">
        <v>0</v>
      </c>
      <c r="I2" s="172">
        <f t="shared" ref="I2:I65" si="0">IFERROR((($H2/1.18))/74,"")</f>
        <v>0</v>
      </c>
      <c r="J2" s="174">
        <v>44302</v>
      </c>
      <c r="L2" s="174">
        <v>44302</v>
      </c>
      <c r="M2" s="175" t="s">
        <v>5219</v>
      </c>
      <c r="N2" s="176"/>
      <c r="O2" s="6" t="s">
        <v>280</v>
      </c>
      <c r="P2" s="6" t="str">
        <f t="shared" ref="P2:P65" si="1">IFERROR(_xlfn.IFS($D2="CSM","Category",$D2="CSPO","Category", $D2="PSM","SAFe que",$D2="PSPO","SAFe que",$D2="SAFe Agile","SAFe que",$D2="SAFe SSM","SAFe que",$D2="SAFe POPM","SAFe que",$D2="SASM","SAFe que",$D2="PMI-ACP","Category",$D2="ICP-ACC","SAFe que",$D2="PSM 2","SAFe que",$D2="SAFe RTE","SAFe que",$D2="Implementing SAFe","SAFe que",$D2="SAFe for Government","SAFe que",$D2="PSPO 2","SAFe que",$D2="",""),"NonCategory")</f>
        <v>SAFe que</v>
      </c>
      <c r="Q2" t="str">
        <f t="shared" ref="Q2:Q65" si="2">TEXT(E2, "yyyy")</f>
        <v>2021</v>
      </c>
    </row>
    <row r="3" spans="1:17">
      <c r="A3" s="162">
        <v>44316</v>
      </c>
      <c r="B3" s="164" t="s">
        <v>276</v>
      </c>
      <c r="C3" s="164" t="s">
        <v>278</v>
      </c>
      <c r="D3" s="164" t="s">
        <v>97</v>
      </c>
      <c r="E3" s="79">
        <v>44287</v>
      </c>
      <c r="F3" s="6" t="s">
        <v>16</v>
      </c>
      <c r="G3" s="6" t="s">
        <v>279</v>
      </c>
      <c r="H3" s="170">
        <v>18000</v>
      </c>
      <c r="I3" s="172">
        <f t="shared" si="0"/>
        <v>206.13834173156206</v>
      </c>
      <c r="J3" s="162">
        <v>44316</v>
      </c>
      <c r="L3" s="174">
        <v>44316</v>
      </c>
      <c r="M3" s="175" t="s">
        <v>5220</v>
      </c>
      <c r="N3" s="176"/>
      <c r="O3" s="6" t="s">
        <v>280</v>
      </c>
      <c r="P3" s="6" t="str">
        <f t="shared" si="1"/>
        <v>Category</v>
      </c>
      <c r="Q3" t="str">
        <f t="shared" si="2"/>
        <v>2021</v>
      </c>
    </row>
    <row r="4" spans="1:17">
      <c r="A4" s="162">
        <v>44145</v>
      </c>
      <c r="B4" s="164" t="s">
        <v>281</v>
      </c>
      <c r="C4" s="164" t="s">
        <v>278</v>
      </c>
      <c r="D4" s="164" t="s">
        <v>97</v>
      </c>
      <c r="E4" s="79">
        <v>44136</v>
      </c>
      <c r="F4" s="6" t="s">
        <v>16</v>
      </c>
      <c r="G4" s="6" t="s">
        <v>283</v>
      </c>
      <c r="H4" s="170">
        <v>20000</v>
      </c>
      <c r="I4" s="172">
        <f t="shared" si="0"/>
        <v>229.04260192395787</v>
      </c>
      <c r="J4" s="162">
        <v>44146</v>
      </c>
      <c r="K4" s="97"/>
      <c r="L4" s="162">
        <v>44146</v>
      </c>
      <c r="M4" s="175" t="s">
        <v>5221</v>
      </c>
      <c r="N4" s="164" t="s">
        <v>284</v>
      </c>
      <c r="O4" s="6" t="s">
        <v>280</v>
      </c>
      <c r="P4" s="6" t="str">
        <f t="shared" si="1"/>
        <v>Category</v>
      </c>
      <c r="Q4" t="str">
        <f t="shared" si="2"/>
        <v>2020</v>
      </c>
    </row>
    <row r="5" spans="1:17">
      <c r="A5" s="162">
        <v>44146</v>
      </c>
      <c r="B5" s="164" t="s">
        <v>285</v>
      </c>
      <c r="C5" s="164" t="s">
        <v>287</v>
      </c>
      <c r="D5" s="164" t="s">
        <v>96</v>
      </c>
      <c r="E5" s="79">
        <v>44136</v>
      </c>
      <c r="F5" s="6" t="s">
        <v>16</v>
      </c>
      <c r="G5" s="6" t="s">
        <v>288</v>
      </c>
      <c r="H5" s="170">
        <v>20000</v>
      </c>
      <c r="I5" s="172">
        <f t="shared" si="0"/>
        <v>229.04260192395787</v>
      </c>
      <c r="J5" s="162">
        <v>44147</v>
      </c>
      <c r="K5" s="97"/>
      <c r="L5" s="162">
        <v>44147</v>
      </c>
      <c r="M5" s="175" t="s">
        <v>5222</v>
      </c>
      <c r="N5" s="176"/>
      <c r="O5" s="6" t="s">
        <v>280</v>
      </c>
      <c r="P5" s="6" t="str">
        <f t="shared" si="1"/>
        <v>Category</v>
      </c>
      <c r="Q5" t="str">
        <f t="shared" si="2"/>
        <v>2020</v>
      </c>
    </row>
    <row r="6" spans="1:17">
      <c r="A6" s="162">
        <v>44147</v>
      </c>
      <c r="B6" s="164" t="s">
        <v>289</v>
      </c>
      <c r="C6" s="164" t="s">
        <v>291</v>
      </c>
      <c r="D6" s="164" t="s">
        <v>96</v>
      </c>
      <c r="E6" s="79">
        <v>44136</v>
      </c>
      <c r="F6" s="6" t="s">
        <v>16</v>
      </c>
      <c r="G6" s="6" t="s">
        <v>292</v>
      </c>
      <c r="H6" s="170">
        <v>20000</v>
      </c>
      <c r="I6" s="172">
        <f t="shared" si="0"/>
        <v>229.04260192395787</v>
      </c>
      <c r="J6" s="162">
        <v>44148</v>
      </c>
      <c r="K6" s="97"/>
      <c r="L6" s="162">
        <v>44147</v>
      </c>
      <c r="M6" s="175" t="s">
        <v>5223</v>
      </c>
      <c r="N6" s="176"/>
      <c r="O6" s="6" t="s">
        <v>280</v>
      </c>
      <c r="P6" s="6" t="str">
        <f t="shared" si="1"/>
        <v>Category</v>
      </c>
      <c r="Q6" t="str">
        <f t="shared" si="2"/>
        <v>2020</v>
      </c>
    </row>
    <row r="7" spans="1:17">
      <c r="A7" s="162">
        <v>44145</v>
      </c>
      <c r="B7" s="164" t="s">
        <v>293</v>
      </c>
      <c r="C7" s="164" t="s">
        <v>291</v>
      </c>
      <c r="D7" s="164" t="s">
        <v>96</v>
      </c>
      <c r="E7" s="79">
        <v>44136</v>
      </c>
      <c r="F7" s="6" t="s">
        <v>16</v>
      </c>
      <c r="G7" s="6" t="s">
        <v>295</v>
      </c>
      <c r="H7" s="170">
        <v>20000</v>
      </c>
      <c r="I7" s="172">
        <f t="shared" si="0"/>
        <v>229.04260192395787</v>
      </c>
      <c r="J7" s="162">
        <v>44149</v>
      </c>
      <c r="K7" s="97"/>
      <c r="L7" s="162">
        <v>44147</v>
      </c>
      <c r="M7" s="175" t="s">
        <v>5224</v>
      </c>
      <c r="N7" s="176"/>
      <c r="O7" s="6" t="s">
        <v>280</v>
      </c>
      <c r="P7" s="6" t="str">
        <f t="shared" si="1"/>
        <v>Category</v>
      </c>
      <c r="Q7" t="str">
        <f t="shared" si="2"/>
        <v>2020</v>
      </c>
    </row>
    <row r="8" spans="1:17">
      <c r="A8" s="162">
        <v>44148</v>
      </c>
      <c r="B8" s="164" t="s">
        <v>5</v>
      </c>
      <c r="C8" s="164" t="s">
        <v>297</v>
      </c>
      <c r="D8" s="164" t="s">
        <v>97</v>
      </c>
      <c r="E8" s="79">
        <v>44136</v>
      </c>
      <c r="F8" s="6" t="s">
        <v>16</v>
      </c>
      <c r="G8" s="6" t="s">
        <v>288</v>
      </c>
      <c r="H8" s="170">
        <v>20000</v>
      </c>
      <c r="I8" s="172">
        <f t="shared" si="0"/>
        <v>229.04260192395787</v>
      </c>
      <c r="J8" s="162">
        <v>44152</v>
      </c>
      <c r="K8" s="97"/>
      <c r="L8" s="162">
        <v>44152</v>
      </c>
      <c r="M8" s="175" t="s">
        <v>5225</v>
      </c>
      <c r="N8" s="176"/>
      <c r="O8" s="6" t="s">
        <v>280</v>
      </c>
      <c r="P8" s="6" t="str">
        <f t="shared" si="1"/>
        <v>Category</v>
      </c>
      <c r="Q8" t="str">
        <f t="shared" si="2"/>
        <v>2020</v>
      </c>
    </row>
    <row r="9" spans="1:17">
      <c r="A9" s="162">
        <v>44152</v>
      </c>
      <c r="B9" s="164" t="s">
        <v>298</v>
      </c>
      <c r="C9" s="164" t="s">
        <v>278</v>
      </c>
      <c r="D9" s="164" t="s">
        <v>97</v>
      </c>
      <c r="E9" s="79">
        <v>44136</v>
      </c>
      <c r="F9" s="6" t="s">
        <v>16</v>
      </c>
      <c r="G9" s="6" t="s">
        <v>288</v>
      </c>
      <c r="H9" s="170">
        <v>20000</v>
      </c>
      <c r="I9" s="172">
        <f t="shared" si="0"/>
        <v>229.04260192395787</v>
      </c>
      <c r="J9" s="162">
        <v>44152</v>
      </c>
      <c r="K9" s="97"/>
      <c r="L9" s="162">
        <v>44152</v>
      </c>
      <c r="M9" s="175" t="s">
        <v>5226</v>
      </c>
      <c r="N9" s="164" t="s">
        <v>300</v>
      </c>
      <c r="O9" s="6" t="s">
        <v>280</v>
      </c>
      <c r="P9" s="6" t="str">
        <f t="shared" si="1"/>
        <v>Category</v>
      </c>
      <c r="Q9" t="str">
        <f t="shared" si="2"/>
        <v>2020</v>
      </c>
    </row>
    <row r="10" spans="1:17">
      <c r="A10" s="162">
        <v>44153</v>
      </c>
      <c r="B10" s="164" t="s">
        <v>301</v>
      </c>
      <c r="C10" s="164" t="s">
        <v>303</v>
      </c>
      <c r="D10" s="164" t="s">
        <v>96</v>
      </c>
      <c r="E10" s="79">
        <v>44136</v>
      </c>
      <c r="F10" s="6" t="s">
        <v>16</v>
      </c>
      <c r="G10" s="6" t="s">
        <v>304</v>
      </c>
      <c r="H10" s="170">
        <v>22000</v>
      </c>
      <c r="I10" s="172">
        <f t="shared" si="0"/>
        <v>251.94686211635369</v>
      </c>
      <c r="J10" s="162">
        <v>44153</v>
      </c>
      <c r="K10" s="97"/>
      <c r="L10" s="162">
        <v>44153</v>
      </c>
      <c r="M10" s="175" t="s">
        <v>5227</v>
      </c>
      <c r="N10" s="176"/>
      <c r="O10" s="6" t="s">
        <v>280</v>
      </c>
      <c r="P10" s="6" t="str">
        <f t="shared" si="1"/>
        <v>Category</v>
      </c>
      <c r="Q10" t="str">
        <f t="shared" si="2"/>
        <v>2020</v>
      </c>
    </row>
    <row r="11" spans="1:17">
      <c r="A11" s="162">
        <v>44153</v>
      </c>
      <c r="B11" s="164" t="s">
        <v>305</v>
      </c>
      <c r="C11" s="164" t="s">
        <v>306</v>
      </c>
      <c r="D11" s="164" t="s">
        <v>96</v>
      </c>
      <c r="E11" s="79">
        <v>44136</v>
      </c>
      <c r="F11" s="6" t="s">
        <v>16</v>
      </c>
      <c r="G11" s="6" t="s">
        <v>288</v>
      </c>
      <c r="H11" s="170">
        <v>20000</v>
      </c>
      <c r="I11" s="172">
        <f t="shared" si="0"/>
        <v>229.04260192395787</v>
      </c>
      <c r="J11" s="162">
        <v>44154</v>
      </c>
      <c r="K11" s="97"/>
      <c r="L11" s="162">
        <v>44154</v>
      </c>
      <c r="M11" s="175" t="s">
        <v>5228</v>
      </c>
      <c r="N11" s="176"/>
      <c r="O11" s="6" t="s">
        <v>307</v>
      </c>
      <c r="P11" s="6" t="str">
        <f t="shared" si="1"/>
        <v>Category</v>
      </c>
      <c r="Q11" t="str">
        <f t="shared" si="2"/>
        <v>2020</v>
      </c>
    </row>
    <row r="12" spans="1:17">
      <c r="A12" s="162">
        <v>44155</v>
      </c>
      <c r="B12" s="164" t="s">
        <v>308</v>
      </c>
      <c r="C12" s="164" t="s">
        <v>278</v>
      </c>
      <c r="D12" s="164" t="s">
        <v>96</v>
      </c>
      <c r="E12" s="79">
        <v>44136</v>
      </c>
      <c r="F12" s="6" t="s">
        <v>16</v>
      </c>
      <c r="G12" s="6" t="s">
        <v>288</v>
      </c>
      <c r="H12" s="170">
        <v>20000</v>
      </c>
      <c r="I12" s="172">
        <f t="shared" si="0"/>
        <v>229.04260192395787</v>
      </c>
      <c r="J12" s="162">
        <v>44155</v>
      </c>
      <c r="K12" s="97"/>
      <c r="L12" s="162">
        <v>44155</v>
      </c>
      <c r="M12" s="175" t="s">
        <v>5229</v>
      </c>
      <c r="N12" s="164" t="s">
        <v>310</v>
      </c>
      <c r="O12" s="6" t="s">
        <v>5182</v>
      </c>
      <c r="P12" s="6" t="str">
        <f t="shared" si="1"/>
        <v>Category</v>
      </c>
      <c r="Q12" t="str">
        <f t="shared" si="2"/>
        <v>2020</v>
      </c>
    </row>
    <row r="13" spans="1:17">
      <c r="A13" s="162">
        <v>44152</v>
      </c>
      <c r="B13" s="164" t="s">
        <v>312</v>
      </c>
      <c r="C13" s="164" t="s">
        <v>278</v>
      </c>
      <c r="D13" s="164" t="s">
        <v>96</v>
      </c>
      <c r="E13" s="79">
        <v>44136</v>
      </c>
      <c r="F13" s="6" t="s">
        <v>16</v>
      </c>
      <c r="G13" s="6" t="s">
        <v>314</v>
      </c>
      <c r="H13" s="170">
        <v>19000</v>
      </c>
      <c r="I13" s="172">
        <f t="shared" si="0"/>
        <v>217.59047182775998</v>
      </c>
      <c r="J13" s="162" t="s">
        <v>315</v>
      </c>
      <c r="K13" s="97"/>
      <c r="L13" s="162">
        <v>44155</v>
      </c>
      <c r="M13" s="175" t="s">
        <v>5230</v>
      </c>
      <c r="N13" s="164" t="s">
        <v>316</v>
      </c>
      <c r="O13" s="6" t="s">
        <v>307</v>
      </c>
      <c r="P13" s="6" t="str">
        <f t="shared" si="1"/>
        <v>Category</v>
      </c>
      <c r="Q13" t="str">
        <f t="shared" si="2"/>
        <v>2020</v>
      </c>
    </row>
    <row r="14" spans="1:17">
      <c r="A14" s="162">
        <v>44155</v>
      </c>
      <c r="B14" s="164" t="s">
        <v>317</v>
      </c>
      <c r="C14" s="164" t="s">
        <v>319</v>
      </c>
      <c r="D14" s="164" t="s">
        <v>22</v>
      </c>
      <c r="E14" s="79">
        <v>44136</v>
      </c>
      <c r="F14" s="6" t="s">
        <v>16</v>
      </c>
      <c r="G14" s="6" t="s">
        <v>304</v>
      </c>
      <c r="H14" s="170">
        <v>14337</v>
      </c>
      <c r="I14" s="172">
        <f t="shared" si="0"/>
        <v>164.18918918918919</v>
      </c>
      <c r="J14" s="162">
        <v>44158</v>
      </c>
      <c r="K14" s="97"/>
      <c r="L14" s="162">
        <v>44158</v>
      </c>
      <c r="M14" s="175" t="s">
        <v>5231</v>
      </c>
      <c r="N14" s="176"/>
      <c r="O14" s="6" t="s">
        <v>320</v>
      </c>
      <c r="P14" s="6" t="str">
        <f t="shared" si="1"/>
        <v>Category</v>
      </c>
      <c r="Q14" t="str">
        <f t="shared" si="2"/>
        <v>2020</v>
      </c>
    </row>
    <row r="15" spans="1:17">
      <c r="A15" s="162">
        <v>44159</v>
      </c>
      <c r="B15" s="164" t="s">
        <v>321</v>
      </c>
      <c r="C15" s="164" t="s">
        <v>150</v>
      </c>
      <c r="D15" s="164" t="s">
        <v>96</v>
      </c>
      <c r="E15" s="79">
        <v>44136</v>
      </c>
      <c r="F15" s="6" t="s">
        <v>16</v>
      </c>
      <c r="G15" s="6" t="s">
        <v>292</v>
      </c>
      <c r="H15" s="170">
        <v>24780</v>
      </c>
      <c r="I15" s="172">
        <f t="shared" si="0"/>
        <v>283.7837837837838</v>
      </c>
      <c r="J15" s="162">
        <v>44159</v>
      </c>
      <c r="K15" s="97"/>
      <c r="L15" s="162">
        <v>44159</v>
      </c>
      <c r="M15" s="175" t="s">
        <v>5232</v>
      </c>
      <c r="N15" s="176"/>
      <c r="O15" s="6" t="s">
        <v>280</v>
      </c>
      <c r="P15" s="6" t="str">
        <f t="shared" si="1"/>
        <v>Category</v>
      </c>
      <c r="Q15" t="str">
        <f t="shared" si="2"/>
        <v>2020</v>
      </c>
    </row>
    <row r="16" spans="1:17">
      <c r="A16" s="162">
        <v>44155</v>
      </c>
      <c r="B16" s="164" t="s">
        <v>323</v>
      </c>
      <c r="C16" s="164" t="s">
        <v>303</v>
      </c>
      <c r="D16" s="164" t="s">
        <v>96</v>
      </c>
      <c r="E16" s="79">
        <v>44136</v>
      </c>
      <c r="F16" s="6" t="s">
        <v>16</v>
      </c>
      <c r="G16" s="6" t="s">
        <v>325</v>
      </c>
      <c r="H16" s="170">
        <v>20000</v>
      </c>
      <c r="I16" s="172">
        <f t="shared" si="0"/>
        <v>229.04260192395787</v>
      </c>
      <c r="J16" s="162">
        <v>44159</v>
      </c>
      <c r="K16" s="97"/>
      <c r="L16" s="162">
        <v>44159</v>
      </c>
      <c r="M16" s="175" t="s">
        <v>5233</v>
      </c>
      <c r="N16" s="176"/>
      <c r="O16" s="6" t="s">
        <v>280</v>
      </c>
      <c r="P16" s="6" t="str">
        <f t="shared" si="1"/>
        <v>Category</v>
      </c>
      <c r="Q16" t="str">
        <f t="shared" si="2"/>
        <v>2020</v>
      </c>
    </row>
    <row r="17" spans="1:17">
      <c r="A17" s="162">
        <v>44146</v>
      </c>
      <c r="B17" s="164" t="s">
        <v>326</v>
      </c>
      <c r="C17" s="164" t="s">
        <v>328</v>
      </c>
      <c r="D17" s="164" t="s">
        <v>96</v>
      </c>
      <c r="E17" s="79">
        <v>44136</v>
      </c>
      <c r="F17" s="6" t="s">
        <v>16</v>
      </c>
      <c r="G17" s="6" t="s">
        <v>304</v>
      </c>
      <c r="H17" s="170">
        <v>20000</v>
      </c>
      <c r="I17" s="172">
        <f t="shared" si="0"/>
        <v>229.04260192395787</v>
      </c>
      <c r="J17" s="162" t="s">
        <v>315</v>
      </c>
      <c r="K17" s="97"/>
      <c r="L17" s="162">
        <v>44159</v>
      </c>
      <c r="M17" s="175" t="s">
        <v>5234</v>
      </c>
      <c r="N17" s="176"/>
      <c r="O17" s="6" t="s">
        <v>280</v>
      </c>
      <c r="P17" s="6" t="str">
        <f t="shared" si="1"/>
        <v>Category</v>
      </c>
      <c r="Q17" t="str">
        <f t="shared" si="2"/>
        <v>2020</v>
      </c>
    </row>
    <row r="18" spans="1:17">
      <c r="A18" s="162">
        <v>44151</v>
      </c>
      <c r="B18" s="164" t="s">
        <v>329</v>
      </c>
      <c r="C18" s="164" t="s">
        <v>150</v>
      </c>
      <c r="D18" s="164" t="s">
        <v>96</v>
      </c>
      <c r="E18" s="79">
        <v>44136</v>
      </c>
      <c r="F18" s="6" t="s">
        <v>16</v>
      </c>
      <c r="G18" s="6" t="s">
        <v>292</v>
      </c>
      <c r="H18" s="170">
        <v>20000</v>
      </c>
      <c r="I18" s="172">
        <f t="shared" si="0"/>
        <v>229.04260192395787</v>
      </c>
      <c r="J18" s="162">
        <v>44160</v>
      </c>
      <c r="K18" s="97"/>
      <c r="L18" s="162">
        <v>44160</v>
      </c>
      <c r="M18" s="175" t="s">
        <v>5235</v>
      </c>
      <c r="N18" s="176"/>
      <c r="O18" s="6" t="s">
        <v>280</v>
      </c>
      <c r="P18" s="6" t="str">
        <f t="shared" si="1"/>
        <v>Category</v>
      </c>
      <c r="Q18" t="str">
        <f t="shared" si="2"/>
        <v>2020</v>
      </c>
    </row>
    <row r="19" spans="1:17">
      <c r="A19" s="162">
        <v>44163</v>
      </c>
      <c r="B19" s="164" t="s">
        <v>331</v>
      </c>
      <c r="C19" s="164" t="s">
        <v>303</v>
      </c>
      <c r="D19" s="164" t="s">
        <v>96</v>
      </c>
      <c r="E19" s="79">
        <v>44136</v>
      </c>
      <c r="F19" s="6" t="s">
        <v>16</v>
      </c>
      <c r="G19" s="6" t="s">
        <v>333</v>
      </c>
      <c r="H19" s="170">
        <v>20000</v>
      </c>
      <c r="I19" s="172">
        <f t="shared" si="0"/>
        <v>229.04260192395787</v>
      </c>
      <c r="J19" s="162">
        <v>44165</v>
      </c>
      <c r="K19" s="97"/>
      <c r="L19" s="162">
        <v>44165</v>
      </c>
      <c r="M19" s="175" t="s">
        <v>5236</v>
      </c>
      <c r="N19" s="176"/>
      <c r="O19" s="6" t="s">
        <v>280</v>
      </c>
      <c r="P19" s="6" t="str">
        <f t="shared" si="1"/>
        <v>Category</v>
      </c>
      <c r="Q19" t="str">
        <f t="shared" si="2"/>
        <v>2020</v>
      </c>
    </row>
    <row r="20" spans="1:17">
      <c r="A20" s="162">
        <v>44168</v>
      </c>
      <c r="B20" s="164" t="s">
        <v>334</v>
      </c>
      <c r="C20" s="164" t="s">
        <v>319</v>
      </c>
      <c r="D20" s="164" t="s">
        <v>96</v>
      </c>
      <c r="E20" s="79">
        <v>44166</v>
      </c>
      <c r="F20" s="6" t="s">
        <v>16</v>
      </c>
      <c r="G20" s="6" t="s">
        <v>333</v>
      </c>
      <c r="H20" s="170">
        <v>19000</v>
      </c>
      <c r="I20" s="172">
        <f t="shared" si="0"/>
        <v>217.59047182775998</v>
      </c>
      <c r="J20" s="162">
        <v>44168</v>
      </c>
      <c r="K20" s="97"/>
      <c r="L20" s="162">
        <v>44168</v>
      </c>
      <c r="M20" s="175" t="s">
        <v>5237</v>
      </c>
      <c r="N20" s="176"/>
      <c r="O20" s="6" t="s">
        <v>280</v>
      </c>
      <c r="P20" s="6" t="str">
        <f t="shared" si="1"/>
        <v>Category</v>
      </c>
      <c r="Q20" t="str">
        <f t="shared" si="2"/>
        <v>2020</v>
      </c>
    </row>
    <row r="21" spans="1:17">
      <c r="A21" s="162">
        <v>44168</v>
      </c>
      <c r="B21" s="164" t="s">
        <v>336</v>
      </c>
      <c r="C21" s="164" t="s">
        <v>303</v>
      </c>
      <c r="D21" s="164" t="s">
        <v>96</v>
      </c>
      <c r="E21" s="79">
        <v>44166</v>
      </c>
      <c r="F21" s="6" t="s">
        <v>16</v>
      </c>
      <c r="G21" s="6" t="s">
        <v>333</v>
      </c>
      <c r="H21" s="170">
        <v>19000</v>
      </c>
      <c r="I21" s="172">
        <f t="shared" si="0"/>
        <v>217.59047182775998</v>
      </c>
      <c r="J21" s="162">
        <v>44168</v>
      </c>
      <c r="K21" s="97"/>
      <c r="L21" s="162">
        <v>44168</v>
      </c>
      <c r="M21" s="175" t="s">
        <v>5238</v>
      </c>
      <c r="N21" s="176"/>
      <c r="O21" s="6" t="s">
        <v>338</v>
      </c>
      <c r="P21" s="6" t="str">
        <f t="shared" si="1"/>
        <v>Category</v>
      </c>
      <c r="Q21" t="str">
        <f t="shared" si="2"/>
        <v>2020</v>
      </c>
    </row>
    <row r="22" spans="1:17">
      <c r="A22" s="162">
        <v>44168</v>
      </c>
      <c r="B22" s="164" t="s">
        <v>339</v>
      </c>
      <c r="C22" s="164" t="s">
        <v>287</v>
      </c>
      <c r="D22" s="164" t="s">
        <v>96</v>
      </c>
      <c r="E22" s="79">
        <v>44166</v>
      </c>
      <c r="F22" s="6" t="s">
        <v>16</v>
      </c>
      <c r="G22" s="6" t="s">
        <v>292</v>
      </c>
      <c r="H22" s="170">
        <v>20000</v>
      </c>
      <c r="I22" s="172">
        <f t="shared" si="0"/>
        <v>229.04260192395787</v>
      </c>
      <c r="J22" s="162">
        <v>44169</v>
      </c>
      <c r="K22" s="97"/>
      <c r="L22" s="162">
        <v>44169</v>
      </c>
      <c r="M22" s="175" t="s">
        <v>5239</v>
      </c>
      <c r="N22" s="176"/>
      <c r="O22" s="6" t="s">
        <v>280</v>
      </c>
      <c r="P22" s="6" t="str">
        <f t="shared" si="1"/>
        <v>Category</v>
      </c>
      <c r="Q22" t="str">
        <f t="shared" si="2"/>
        <v>2020</v>
      </c>
    </row>
    <row r="23" spans="1:17">
      <c r="A23" s="162">
        <v>44169</v>
      </c>
      <c r="B23" s="164" t="s">
        <v>341</v>
      </c>
      <c r="C23" s="164" t="s">
        <v>343</v>
      </c>
      <c r="D23" s="164" t="s">
        <v>96</v>
      </c>
      <c r="E23" s="79">
        <v>44166</v>
      </c>
      <c r="F23" s="6" t="s">
        <v>16</v>
      </c>
      <c r="G23" s="6" t="s">
        <v>292</v>
      </c>
      <c r="H23" s="170">
        <v>21000</v>
      </c>
      <c r="I23" s="172">
        <f t="shared" si="0"/>
        <v>240.49473202015577</v>
      </c>
      <c r="J23" s="162">
        <v>44169</v>
      </c>
      <c r="K23" s="97"/>
      <c r="L23" s="162">
        <v>44169</v>
      </c>
      <c r="M23" s="175" t="s">
        <v>5240</v>
      </c>
      <c r="N23" s="176"/>
      <c r="O23" s="6" t="s">
        <v>280</v>
      </c>
      <c r="P23" s="6" t="str">
        <f t="shared" si="1"/>
        <v>Category</v>
      </c>
      <c r="Q23" t="str">
        <f t="shared" si="2"/>
        <v>2020</v>
      </c>
    </row>
    <row r="24" spans="1:17">
      <c r="A24" s="162">
        <v>44154</v>
      </c>
      <c r="B24" s="164" t="s">
        <v>346</v>
      </c>
      <c r="C24" s="164" t="s">
        <v>278</v>
      </c>
      <c r="D24" s="164" t="s">
        <v>96</v>
      </c>
      <c r="E24" s="79">
        <v>44166</v>
      </c>
      <c r="F24" s="6" t="s">
        <v>16</v>
      </c>
      <c r="G24" s="6" t="s">
        <v>325</v>
      </c>
      <c r="H24" s="170">
        <v>19000</v>
      </c>
      <c r="I24" s="172">
        <f t="shared" si="0"/>
        <v>217.59047182775998</v>
      </c>
      <c r="J24" s="162">
        <v>44170</v>
      </c>
      <c r="K24" s="97"/>
      <c r="L24" s="162">
        <v>44170</v>
      </c>
      <c r="M24" s="175" t="s">
        <v>5241</v>
      </c>
      <c r="N24" s="164" t="s">
        <v>348</v>
      </c>
      <c r="O24" s="6" t="s">
        <v>280</v>
      </c>
      <c r="P24" s="6" t="str">
        <f t="shared" si="1"/>
        <v>Category</v>
      </c>
      <c r="Q24" t="str">
        <f t="shared" si="2"/>
        <v>2020</v>
      </c>
    </row>
    <row r="25" spans="1:17">
      <c r="A25" s="162">
        <v>44165</v>
      </c>
      <c r="B25" s="164" t="s">
        <v>349</v>
      </c>
      <c r="C25" s="164" t="s">
        <v>278</v>
      </c>
      <c r="D25" s="164" t="s">
        <v>96</v>
      </c>
      <c r="E25" s="79">
        <v>44166</v>
      </c>
      <c r="F25" s="6" t="s">
        <v>16</v>
      </c>
      <c r="G25" s="6" t="s">
        <v>325</v>
      </c>
      <c r="H25" s="170">
        <v>19000</v>
      </c>
      <c r="I25" s="172">
        <f t="shared" si="0"/>
        <v>217.59047182775998</v>
      </c>
      <c r="J25" s="162">
        <v>44170</v>
      </c>
      <c r="K25" s="97"/>
      <c r="L25" s="162">
        <v>44170</v>
      </c>
      <c r="M25" s="175" t="s">
        <v>5242</v>
      </c>
      <c r="N25" s="164" t="s">
        <v>351</v>
      </c>
      <c r="O25" s="6" t="s">
        <v>280</v>
      </c>
      <c r="P25" s="6" t="str">
        <f t="shared" si="1"/>
        <v>Category</v>
      </c>
      <c r="Q25" t="str">
        <f t="shared" si="2"/>
        <v>2020</v>
      </c>
    </row>
    <row r="26" spans="1:17">
      <c r="A26" s="162">
        <v>44151</v>
      </c>
      <c r="B26" s="164" t="s">
        <v>354</v>
      </c>
      <c r="C26" s="164" t="s">
        <v>328</v>
      </c>
      <c r="D26" s="164" t="s">
        <v>96</v>
      </c>
      <c r="E26" s="79">
        <v>44166</v>
      </c>
      <c r="F26" s="6" t="s">
        <v>16</v>
      </c>
      <c r="G26" s="6" t="s">
        <v>333</v>
      </c>
      <c r="H26" s="170">
        <v>20000</v>
      </c>
      <c r="I26" s="172">
        <f t="shared" si="0"/>
        <v>229.04260192395787</v>
      </c>
      <c r="J26" s="162">
        <v>44170</v>
      </c>
      <c r="K26" s="97"/>
      <c r="L26" s="162">
        <v>44172</v>
      </c>
      <c r="M26" s="175" t="s">
        <v>5243</v>
      </c>
      <c r="N26" s="176"/>
      <c r="O26" s="6" t="s">
        <v>356</v>
      </c>
      <c r="P26" s="6" t="str">
        <f t="shared" si="1"/>
        <v>Category</v>
      </c>
      <c r="Q26" t="str">
        <f t="shared" si="2"/>
        <v>2020</v>
      </c>
    </row>
    <row r="27" spans="1:17">
      <c r="A27" s="162">
        <v>44167</v>
      </c>
      <c r="B27" s="164" t="s">
        <v>357</v>
      </c>
      <c r="C27" s="164" t="s">
        <v>303</v>
      </c>
      <c r="D27" s="164" t="s">
        <v>96</v>
      </c>
      <c r="E27" s="79">
        <v>44166</v>
      </c>
      <c r="F27" s="6" t="s">
        <v>16</v>
      </c>
      <c r="G27" s="6" t="s">
        <v>359</v>
      </c>
      <c r="H27" s="170">
        <v>20000</v>
      </c>
      <c r="I27" s="172">
        <f t="shared" si="0"/>
        <v>229.04260192395787</v>
      </c>
      <c r="J27" s="162" t="s">
        <v>360</v>
      </c>
      <c r="K27" s="97"/>
      <c r="L27" s="162">
        <v>44172</v>
      </c>
      <c r="M27" s="175" t="s">
        <v>5244</v>
      </c>
      <c r="N27" s="176"/>
      <c r="O27" s="6" t="s">
        <v>280</v>
      </c>
      <c r="P27" s="6" t="str">
        <f t="shared" si="1"/>
        <v>Category</v>
      </c>
      <c r="Q27" t="str">
        <f t="shared" si="2"/>
        <v>2020</v>
      </c>
    </row>
    <row r="28" spans="1:17">
      <c r="A28" s="162">
        <v>44169</v>
      </c>
      <c r="B28" s="164" t="s">
        <v>364</v>
      </c>
      <c r="C28" s="164" t="s">
        <v>343</v>
      </c>
      <c r="D28" s="164" t="s">
        <v>97</v>
      </c>
      <c r="E28" s="79">
        <v>44166</v>
      </c>
      <c r="F28" s="6" t="s">
        <v>16</v>
      </c>
      <c r="G28" s="6" t="s">
        <v>359</v>
      </c>
      <c r="H28" s="170">
        <v>20500</v>
      </c>
      <c r="I28" s="172">
        <f t="shared" si="0"/>
        <v>234.76866697205682</v>
      </c>
      <c r="J28" s="162">
        <v>44172</v>
      </c>
      <c r="K28" s="97"/>
      <c r="L28" s="162">
        <v>44173</v>
      </c>
      <c r="M28" s="175" t="s">
        <v>5245</v>
      </c>
      <c r="N28" s="176"/>
      <c r="O28" s="6" t="s">
        <v>280</v>
      </c>
      <c r="P28" s="6" t="str">
        <f t="shared" si="1"/>
        <v>Category</v>
      </c>
      <c r="Q28" t="str">
        <f t="shared" si="2"/>
        <v>2020</v>
      </c>
    </row>
    <row r="29" spans="1:17">
      <c r="A29" s="162">
        <v>44172</v>
      </c>
      <c r="B29" s="164" t="s">
        <v>366</v>
      </c>
      <c r="C29" s="164" t="s">
        <v>303</v>
      </c>
      <c r="D29" s="164" t="s">
        <v>96</v>
      </c>
      <c r="E29" s="79">
        <v>44166</v>
      </c>
      <c r="F29" s="6" t="s">
        <v>16</v>
      </c>
      <c r="G29" s="6" t="s">
        <v>333</v>
      </c>
      <c r="H29" s="170">
        <v>20000</v>
      </c>
      <c r="I29" s="172">
        <f t="shared" si="0"/>
        <v>229.04260192395787</v>
      </c>
      <c r="J29" s="162">
        <v>44173</v>
      </c>
      <c r="K29" s="97"/>
      <c r="L29" s="162">
        <v>44173</v>
      </c>
      <c r="M29" s="175" t="s">
        <v>5246</v>
      </c>
      <c r="N29" s="176"/>
      <c r="O29" s="6" t="s">
        <v>280</v>
      </c>
      <c r="P29" s="6" t="str">
        <f t="shared" si="1"/>
        <v>Category</v>
      </c>
      <c r="Q29" t="str">
        <f t="shared" si="2"/>
        <v>2020</v>
      </c>
    </row>
    <row r="30" spans="1:17">
      <c r="A30" s="162">
        <v>44173</v>
      </c>
      <c r="B30" s="164" t="s">
        <v>368</v>
      </c>
      <c r="C30" s="164" t="s">
        <v>287</v>
      </c>
      <c r="D30" s="164" t="s">
        <v>96</v>
      </c>
      <c r="E30" s="79">
        <v>44166</v>
      </c>
      <c r="F30" s="6" t="s">
        <v>16</v>
      </c>
      <c r="G30" s="6" t="s">
        <v>370</v>
      </c>
      <c r="H30" s="170">
        <v>20000</v>
      </c>
      <c r="I30" s="172">
        <f t="shared" si="0"/>
        <v>229.04260192395787</v>
      </c>
      <c r="J30" s="162">
        <v>44173</v>
      </c>
      <c r="K30" s="97"/>
      <c r="L30" s="162">
        <v>44173</v>
      </c>
      <c r="M30" s="175" t="s">
        <v>5247</v>
      </c>
      <c r="N30" s="176"/>
      <c r="O30" s="6" t="s">
        <v>356</v>
      </c>
      <c r="P30" s="6" t="str">
        <f t="shared" si="1"/>
        <v>Category</v>
      </c>
      <c r="Q30" t="str">
        <f t="shared" si="2"/>
        <v>2020</v>
      </c>
    </row>
    <row r="31" spans="1:17">
      <c r="A31" s="162">
        <v>44174</v>
      </c>
      <c r="B31" s="164" t="s">
        <v>371</v>
      </c>
      <c r="C31" s="164" t="s">
        <v>278</v>
      </c>
      <c r="D31" s="164" t="s">
        <v>96</v>
      </c>
      <c r="E31" s="79">
        <v>44166</v>
      </c>
      <c r="F31" s="6" t="s">
        <v>16</v>
      </c>
      <c r="G31" s="6" t="s">
        <v>373</v>
      </c>
      <c r="H31" s="170">
        <v>20000</v>
      </c>
      <c r="I31" s="172">
        <f t="shared" si="0"/>
        <v>229.04260192395787</v>
      </c>
      <c r="J31" s="162">
        <v>44174</v>
      </c>
      <c r="K31" s="97"/>
      <c r="L31" s="162">
        <v>44174</v>
      </c>
      <c r="M31" s="175" t="s">
        <v>5248</v>
      </c>
      <c r="N31" s="164" t="s">
        <v>374</v>
      </c>
      <c r="O31" s="6" t="s">
        <v>280</v>
      </c>
      <c r="P31" s="6" t="str">
        <f t="shared" si="1"/>
        <v>Category</v>
      </c>
      <c r="Q31" t="str">
        <f t="shared" si="2"/>
        <v>2020</v>
      </c>
    </row>
    <row r="32" spans="1:17">
      <c r="A32" s="162">
        <v>44173</v>
      </c>
      <c r="B32" s="164" t="s">
        <v>375</v>
      </c>
      <c r="C32" s="164" t="s">
        <v>278</v>
      </c>
      <c r="D32" s="164" t="s">
        <v>96</v>
      </c>
      <c r="E32" s="79">
        <v>44166</v>
      </c>
      <c r="F32" s="6" t="s">
        <v>16</v>
      </c>
      <c r="G32" s="6" t="s">
        <v>325</v>
      </c>
      <c r="H32" s="170">
        <v>20000</v>
      </c>
      <c r="I32" s="172">
        <f t="shared" si="0"/>
        <v>229.04260192395787</v>
      </c>
      <c r="J32" s="162">
        <v>44174</v>
      </c>
      <c r="K32" s="97"/>
      <c r="L32" s="162">
        <v>44174</v>
      </c>
      <c r="M32" s="175" t="s">
        <v>5249</v>
      </c>
      <c r="N32" s="164" t="s">
        <v>377</v>
      </c>
      <c r="O32" s="6" t="s">
        <v>280</v>
      </c>
      <c r="P32" s="6" t="str">
        <f t="shared" si="1"/>
        <v>Category</v>
      </c>
      <c r="Q32" t="str">
        <f t="shared" si="2"/>
        <v>2020</v>
      </c>
    </row>
    <row r="33" spans="1:17">
      <c r="A33" s="162">
        <v>44173</v>
      </c>
      <c r="B33" s="164" t="s">
        <v>378</v>
      </c>
      <c r="C33" s="164" t="s">
        <v>278</v>
      </c>
      <c r="D33" s="164" t="s">
        <v>96</v>
      </c>
      <c r="E33" s="79">
        <v>44166</v>
      </c>
      <c r="F33" s="6" t="s">
        <v>16</v>
      </c>
      <c r="G33" s="6" t="s">
        <v>325</v>
      </c>
      <c r="H33" s="170">
        <v>20000</v>
      </c>
      <c r="I33" s="172">
        <f t="shared" si="0"/>
        <v>229.04260192395787</v>
      </c>
      <c r="J33" s="162">
        <v>44174</v>
      </c>
      <c r="K33" s="97"/>
      <c r="L33" s="162">
        <v>44174</v>
      </c>
      <c r="M33" s="175" t="s">
        <v>5250</v>
      </c>
      <c r="N33" s="164" t="s">
        <v>380</v>
      </c>
      <c r="O33" s="6" t="s">
        <v>280</v>
      </c>
      <c r="P33" s="6" t="str">
        <f t="shared" si="1"/>
        <v>Category</v>
      </c>
      <c r="Q33" t="str">
        <f t="shared" si="2"/>
        <v>2020</v>
      </c>
    </row>
    <row r="34" spans="1:17">
      <c r="A34" s="162">
        <v>44174</v>
      </c>
      <c r="B34" s="164" t="s">
        <v>381</v>
      </c>
      <c r="C34" s="164" t="s">
        <v>287</v>
      </c>
      <c r="D34" s="164" t="s">
        <v>96</v>
      </c>
      <c r="E34" s="79">
        <v>44166</v>
      </c>
      <c r="F34" s="6" t="s">
        <v>16</v>
      </c>
      <c r="G34" s="6" t="s">
        <v>370</v>
      </c>
      <c r="H34" s="170">
        <v>21000</v>
      </c>
      <c r="I34" s="172">
        <f t="shared" si="0"/>
        <v>240.49473202015577</v>
      </c>
      <c r="J34" s="162">
        <v>44175</v>
      </c>
      <c r="K34" s="97"/>
      <c r="L34" s="162">
        <v>44175</v>
      </c>
      <c r="M34" s="175" t="s">
        <v>5251</v>
      </c>
      <c r="O34" s="6" t="s">
        <v>356</v>
      </c>
      <c r="P34" s="6" t="str">
        <f t="shared" si="1"/>
        <v>Category</v>
      </c>
      <c r="Q34" t="str">
        <f t="shared" si="2"/>
        <v>2020</v>
      </c>
    </row>
    <row r="35" spans="1:17">
      <c r="A35" s="162">
        <v>44172</v>
      </c>
      <c r="B35" s="164" t="s">
        <v>383</v>
      </c>
      <c r="C35" s="164" t="s">
        <v>385</v>
      </c>
      <c r="D35" s="164" t="s">
        <v>96</v>
      </c>
      <c r="E35" s="79">
        <v>44166</v>
      </c>
      <c r="F35" s="6" t="s">
        <v>16</v>
      </c>
      <c r="G35" s="6" t="s">
        <v>359</v>
      </c>
      <c r="H35" s="170">
        <v>20000</v>
      </c>
      <c r="I35" s="172">
        <f t="shared" si="0"/>
        <v>229.04260192395787</v>
      </c>
      <c r="J35" s="162">
        <v>44174</v>
      </c>
      <c r="K35" s="97"/>
      <c r="L35" s="162">
        <v>44176</v>
      </c>
      <c r="M35" s="175" t="s">
        <v>5252</v>
      </c>
      <c r="O35" s="6" t="s">
        <v>280</v>
      </c>
      <c r="P35" s="6" t="str">
        <f t="shared" si="1"/>
        <v>Category</v>
      </c>
      <c r="Q35" t="str">
        <f t="shared" si="2"/>
        <v>2020</v>
      </c>
    </row>
    <row r="36" spans="1:17">
      <c r="A36" s="162">
        <v>44161</v>
      </c>
      <c r="B36" s="164" t="s">
        <v>386</v>
      </c>
      <c r="C36" s="164" t="s">
        <v>291</v>
      </c>
      <c r="D36" s="164" t="s">
        <v>96</v>
      </c>
      <c r="E36" s="79">
        <v>44166</v>
      </c>
      <c r="F36" s="6" t="s">
        <v>16</v>
      </c>
      <c r="G36" s="6" t="s">
        <v>388</v>
      </c>
      <c r="H36" s="170">
        <v>20000</v>
      </c>
      <c r="I36" s="172">
        <f t="shared" si="0"/>
        <v>229.04260192395787</v>
      </c>
      <c r="J36" s="162">
        <v>44200</v>
      </c>
      <c r="K36" s="97"/>
      <c r="L36" s="162">
        <v>44179</v>
      </c>
      <c r="M36" s="175" t="s">
        <v>5253</v>
      </c>
      <c r="O36" s="6" t="s">
        <v>356</v>
      </c>
      <c r="P36" s="6" t="str">
        <f t="shared" si="1"/>
        <v>Category</v>
      </c>
      <c r="Q36" t="str">
        <f t="shared" si="2"/>
        <v>2020</v>
      </c>
    </row>
    <row r="37" spans="1:17">
      <c r="A37" s="162">
        <v>44181</v>
      </c>
      <c r="B37" s="164" t="s">
        <v>395</v>
      </c>
      <c r="C37" s="164" t="s">
        <v>397</v>
      </c>
      <c r="D37" s="164" t="s">
        <v>96</v>
      </c>
      <c r="E37" s="79">
        <v>44166</v>
      </c>
      <c r="F37" s="6" t="s">
        <v>16</v>
      </c>
      <c r="G37" s="6" t="s">
        <v>333</v>
      </c>
      <c r="H37" s="170">
        <v>19000</v>
      </c>
      <c r="I37" s="172">
        <f t="shared" si="0"/>
        <v>217.59047182775998</v>
      </c>
      <c r="J37" s="162">
        <v>44181</v>
      </c>
      <c r="K37" s="97"/>
      <c r="L37" s="162">
        <v>44181</v>
      </c>
      <c r="M37" s="175" t="s">
        <v>5254</v>
      </c>
      <c r="O37" s="6" t="s">
        <v>280</v>
      </c>
      <c r="P37" s="6" t="str">
        <f t="shared" si="1"/>
        <v>Category</v>
      </c>
      <c r="Q37" t="str">
        <f t="shared" si="2"/>
        <v>2020</v>
      </c>
    </row>
    <row r="38" spans="1:17">
      <c r="A38" s="162">
        <v>44181</v>
      </c>
      <c r="B38" s="164" t="s">
        <v>398</v>
      </c>
      <c r="C38" s="164" t="s">
        <v>303</v>
      </c>
      <c r="D38" s="164" t="s">
        <v>96</v>
      </c>
      <c r="E38" s="79">
        <v>44166</v>
      </c>
      <c r="F38" s="6" t="s">
        <v>16</v>
      </c>
      <c r="G38" s="6" t="s">
        <v>370</v>
      </c>
      <c r="H38" s="170">
        <v>21000</v>
      </c>
      <c r="I38" s="172">
        <f t="shared" si="0"/>
        <v>240.49473202015577</v>
      </c>
      <c r="J38" s="162">
        <v>44181</v>
      </c>
      <c r="K38" s="97"/>
      <c r="L38" s="162">
        <v>44182</v>
      </c>
      <c r="M38" s="175" t="s">
        <v>5255</v>
      </c>
      <c r="O38" s="6" t="s">
        <v>356</v>
      </c>
      <c r="P38" s="6" t="str">
        <f t="shared" si="1"/>
        <v>Category</v>
      </c>
      <c r="Q38" t="str">
        <f t="shared" si="2"/>
        <v>2020</v>
      </c>
    </row>
    <row r="39" spans="1:17">
      <c r="A39" s="162">
        <v>44158</v>
      </c>
      <c r="B39" s="164" t="s">
        <v>412</v>
      </c>
      <c r="C39" s="164" t="s">
        <v>287</v>
      </c>
      <c r="D39" s="164" t="s">
        <v>96</v>
      </c>
      <c r="E39" s="79">
        <v>44166</v>
      </c>
      <c r="F39" s="6" t="s">
        <v>16</v>
      </c>
      <c r="G39" s="6" t="s">
        <v>370</v>
      </c>
      <c r="H39" s="170">
        <v>19000</v>
      </c>
      <c r="I39" s="172">
        <f t="shared" si="0"/>
        <v>217.59047182775998</v>
      </c>
      <c r="J39" s="162">
        <v>44183</v>
      </c>
      <c r="K39" s="97"/>
      <c r="L39" s="162">
        <v>44182</v>
      </c>
      <c r="M39" s="175" t="s">
        <v>5256</v>
      </c>
      <c r="O39" s="6" t="s">
        <v>356</v>
      </c>
      <c r="P39" s="6" t="str">
        <f t="shared" si="1"/>
        <v>Category</v>
      </c>
      <c r="Q39" t="str">
        <f t="shared" si="2"/>
        <v>2020</v>
      </c>
    </row>
    <row r="40" spans="1:17">
      <c r="A40" s="162">
        <v>44181</v>
      </c>
      <c r="B40" s="164" t="s">
        <v>414</v>
      </c>
      <c r="C40" s="164" t="s">
        <v>278</v>
      </c>
      <c r="D40" s="164" t="s">
        <v>96</v>
      </c>
      <c r="E40" s="79">
        <v>44166</v>
      </c>
      <c r="F40" s="6" t="s">
        <v>16</v>
      </c>
      <c r="G40" s="6" t="s">
        <v>370</v>
      </c>
      <c r="H40" s="170">
        <v>20000</v>
      </c>
      <c r="I40" s="172">
        <f t="shared" si="0"/>
        <v>229.04260192395787</v>
      </c>
      <c r="J40" s="162">
        <v>44183</v>
      </c>
      <c r="K40" s="97"/>
      <c r="L40" s="162">
        <v>44183</v>
      </c>
      <c r="M40" s="175" t="s">
        <v>5257</v>
      </c>
      <c r="O40" s="6" t="s">
        <v>356</v>
      </c>
      <c r="P40" s="6" t="str">
        <f t="shared" si="1"/>
        <v>Category</v>
      </c>
      <c r="Q40" t="str">
        <f t="shared" si="2"/>
        <v>2020</v>
      </c>
    </row>
    <row r="41" spans="1:17">
      <c r="A41" s="162">
        <v>44160</v>
      </c>
      <c r="B41" s="164" t="s">
        <v>416</v>
      </c>
      <c r="C41" s="164" t="s">
        <v>287</v>
      </c>
      <c r="D41" s="164" t="s">
        <v>96</v>
      </c>
      <c r="E41" s="79">
        <v>44166</v>
      </c>
      <c r="F41" s="6" t="s">
        <v>16</v>
      </c>
      <c r="G41" s="6" t="s">
        <v>418</v>
      </c>
      <c r="H41" s="170">
        <v>20000</v>
      </c>
      <c r="I41" s="172">
        <f t="shared" si="0"/>
        <v>229.04260192395787</v>
      </c>
      <c r="J41" s="162">
        <v>44184</v>
      </c>
      <c r="K41" s="97"/>
      <c r="L41" s="162">
        <v>44184</v>
      </c>
      <c r="M41" s="175" t="s">
        <v>5258</v>
      </c>
      <c r="O41" s="6" t="s">
        <v>338</v>
      </c>
      <c r="P41" s="6" t="str">
        <f t="shared" si="1"/>
        <v>Category</v>
      </c>
      <c r="Q41" t="str">
        <f t="shared" si="2"/>
        <v>2020</v>
      </c>
    </row>
    <row r="42" spans="1:17">
      <c r="A42" s="162">
        <v>44184</v>
      </c>
      <c r="B42" s="164" t="s">
        <v>419</v>
      </c>
      <c r="C42" s="164" t="s">
        <v>421</v>
      </c>
      <c r="D42" s="164" t="s">
        <v>96</v>
      </c>
      <c r="E42" s="79">
        <v>44166</v>
      </c>
      <c r="F42" s="6" t="s">
        <v>16</v>
      </c>
      <c r="G42" s="6" t="s">
        <v>370</v>
      </c>
      <c r="H42" s="170">
        <v>21000</v>
      </c>
      <c r="I42" s="172">
        <f t="shared" si="0"/>
        <v>240.49473202015577</v>
      </c>
      <c r="J42" s="162">
        <v>44184</v>
      </c>
      <c r="K42" s="97"/>
      <c r="L42" s="162">
        <v>44184</v>
      </c>
      <c r="M42" s="175" t="s">
        <v>5259</v>
      </c>
      <c r="O42" s="6" t="s">
        <v>356</v>
      </c>
      <c r="P42" s="6" t="str">
        <f t="shared" si="1"/>
        <v>Category</v>
      </c>
      <c r="Q42" t="str">
        <f t="shared" si="2"/>
        <v>2020</v>
      </c>
    </row>
    <row r="43" spans="1:17">
      <c r="A43" s="162">
        <v>44183</v>
      </c>
      <c r="B43" s="164" t="s">
        <v>422</v>
      </c>
      <c r="C43" s="164" t="s">
        <v>278</v>
      </c>
      <c r="D43" s="164" t="s">
        <v>96</v>
      </c>
      <c r="E43" s="79">
        <v>44166</v>
      </c>
      <c r="F43" s="6" t="s">
        <v>16</v>
      </c>
      <c r="G43" s="6" t="s">
        <v>325</v>
      </c>
      <c r="H43" s="170">
        <v>20000</v>
      </c>
      <c r="I43" s="172">
        <f t="shared" si="0"/>
        <v>229.04260192395787</v>
      </c>
      <c r="J43" s="162">
        <v>44184</v>
      </c>
      <c r="K43" s="97"/>
      <c r="L43" s="162">
        <v>44184</v>
      </c>
      <c r="M43" s="175" t="s">
        <v>5260</v>
      </c>
      <c r="N43" s="6" t="s">
        <v>424</v>
      </c>
      <c r="O43" s="6" t="s">
        <v>280</v>
      </c>
      <c r="P43" s="6" t="str">
        <f t="shared" si="1"/>
        <v>Category</v>
      </c>
      <c r="Q43" t="str">
        <f t="shared" si="2"/>
        <v>2020</v>
      </c>
    </row>
    <row r="44" spans="1:17">
      <c r="A44" s="162">
        <v>44183</v>
      </c>
      <c r="B44" s="164" t="s">
        <v>425</v>
      </c>
      <c r="C44" s="164" t="s">
        <v>319</v>
      </c>
      <c r="D44" s="164" t="s">
        <v>96</v>
      </c>
      <c r="E44" s="79">
        <v>44166</v>
      </c>
      <c r="F44" s="6" t="s">
        <v>16</v>
      </c>
      <c r="G44" s="6" t="s">
        <v>427</v>
      </c>
      <c r="H44" s="170">
        <v>20000</v>
      </c>
      <c r="I44" s="172">
        <f t="shared" si="0"/>
        <v>229.04260192395787</v>
      </c>
      <c r="J44" s="162">
        <v>44185</v>
      </c>
      <c r="K44" s="97"/>
      <c r="L44" s="162">
        <v>44185</v>
      </c>
      <c r="M44" s="175" t="s">
        <v>5261</v>
      </c>
      <c r="O44" s="6" t="s">
        <v>356</v>
      </c>
      <c r="P44" s="6" t="str">
        <f t="shared" si="1"/>
        <v>Category</v>
      </c>
      <c r="Q44" t="str">
        <f t="shared" si="2"/>
        <v>2020</v>
      </c>
    </row>
    <row r="45" spans="1:17">
      <c r="A45" s="162">
        <v>44185</v>
      </c>
      <c r="B45" s="164" t="s">
        <v>428</v>
      </c>
      <c r="C45" s="164" t="s">
        <v>319</v>
      </c>
      <c r="D45" s="164" t="s">
        <v>96</v>
      </c>
      <c r="E45" s="79">
        <v>44166</v>
      </c>
      <c r="F45" s="6" t="s">
        <v>16</v>
      </c>
      <c r="G45" s="6" t="s">
        <v>325</v>
      </c>
      <c r="H45" s="170">
        <v>20500</v>
      </c>
      <c r="I45" s="172">
        <f t="shared" si="0"/>
        <v>234.76866697205682</v>
      </c>
      <c r="J45" s="162">
        <v>44189</v>
      </c>
      <c r="K45" s="97"/>
      <c r="L45" s="162">
        <v>44186</v>
      </c>
      <c r="M45" s="175" t="s">
        <v>5262</v>
      </c>
      <c r="O45" s="6" t="s">
        <v>280</v>
      </c>
      <c r="P45" s="6" t="str">
        <f t="shared" si="1"/>
        <v>Category</v>
      </c>
      <c r="Q45" t="str">
        <f t="shared" si="2"/>
        <v>2020</v>
      </c>
    </row>
    <row r="46" spans="1:17">
      <c r="A46" s="162">
        <v>44188</v>
      </c>
      <c r="B46" s="164" t="s">
        <v>430</v>
      </c>
      <c r="C46" s="164" t="s">
        <v>303</v>
      </c>
      <c r="D46" s="164" t="s">
        <v>402</v>
      </c>
      <c r="E46" s="79">
        <v>44166</v>
      </c>
      <c r="F46" s="6" t="s">
        <v>16</v>
      </c>
      <c r="G46" s="97">
        <v>44205</v>
      </c>
      <c r="H46" s="170">
        <v>18000</v>
      </c>
      <c r="I46" s="172">
        <f t="shared" si="0"/>
        <v>206.13834173156206</v>
      </c>
      <c r="J46" s="162">
        <v>44188</v>
      </c>
      <c r="K46" s="97"/>
      <c r="L46" s="162">
        <v>44188</v>
      </c>
      <c r="M46" s="175" t="s">
        <v>5263</v>
      </c>
      <c r="O46" s="6" t="s">
        <v>432</v>
      </c>
      <c r="P46" s="6" t="str">
        <f t="shared" si="1"/>
        <v>NonCategory</v>
      </c>
      <c r="Q46" t="str">
        <f t="shared" si="2"/>
        <v>2020</v>
      </c>
    </row>
    <row r="47" spans="1:17">
      <c r="A47" s="162">
        <v>44187</v>
      </c>
      <c r="B47" s="164" t="s">
        <v>440</v>
      </c>
      <c r="C47" s="164" t="s">
        <v>303</v>
      </c>
      <c r="D47" s="164" t="s">
        <v>97</v>
      </c>
      <c r="E47" s="79">
        <v>44166</v>
      </c>
      <c r="F47" s="6" t="s">
        <v>16</v>
      </c>
      <c r="G47" s="6" t="s">
        <v>370</v>
      </c>
      <c r="H47" s="170">
        <v>20000</v>
      </c>
      <c r="I47" s="172">
        <f t="shared" si="0"/>
        <v>229.04260192395787</v>
      </c>
      <c r="J47" s="162">
        <v>44188</v>
      </c>
      <c r="K47" s="97"/>
      <c r="L47" s="162">
        <v>44188</v>
      </c>
      <c r="M47" s="175" t="s">
        <v>5264</v>
      </c>
      <c r="O47" s="6" t="s">
        <v>356</v>
      </c>
      <c r="P47" s="6" t="str">
        <f t="shared" si="1"/>
        <v>Category</v>
      </c>
      <c r="Q47" t="str">
        <f t="shared" si="2"/>
        <v>2020</v>
      </c>
    </row>
    <row r="48" spans="1:17">
      <c r="A48" s="162">
        <v>44186</v>
      </c>
      <c r="B48" s="164" t="s">
        <v>442</v>
      </c>
      <c r="C48" s="164" t="s">
        <v>303</v>
      </c>
      <c r="D48" s="164" t="s">
        <v>96</v>
      </c>
      <c r="E48" s="79">
        <v>44166</v>
      </c>
      <c r="F48" s="6" t="s">
        <v>16</v>
      </c>
      <c r="G48" s="6" t="s">
        <v>444</v>
      </c>
      <c r="H48" s="170">
        <v>20500</v>
      </c>
      <c r="I48" s="172">
        <f t="shared" si="0"/>
        <v>234.76866697205682</v>
      </c>
      <c r="J48" s="162">
        <v>44188</v>
      </c>
      <c r="K48" s="97"/>
      <c r="L48" s="162">
        <v>44188</v>
      </c>
      <c r="M48" s="175" t="s">
        <v>5265</v>
      </c>
      <c r="O48" s="6" t="s">
        <v>356</v>
      </c>
      <c r="P48" s="6" t="str">
        <f t="shared" si="1"/>
        <v>Category</v>
      </c>
      <c r="Q48" t="str">
        <f t="shared" si="2"/>
        <v>2020</v>
      </c>
    </row>
    <row r="49" spans="1:17">
      <c r="A49" s="162">
        <v>44188</v>
      </c>
      <c r="B49" s="164" t="s">
        <v>448</v>
      </c>
      <c r="C49" s="164" t="s">
        <v>278</v>
      </c>
      <c r="D49" s="164" t="s">
        <v>96</v>
      </c>
      <c r="E49" s="79">
        <v>44166</v>
      </c>
      <c r="F49" s="6" t="s">
        <v>16</v>
      </c>
      <c r="G49" s="6" t="s">
        <v>444</v>
      </c>
      <c r="H49" s="170">
        <v>20500</v>
      </c>
      <c r="I49" s="172">
        <f t="shared" si="0"/>
        <v>234.76866697205682</v>
      </c>
      <c r="J49" s="162">
        <v>44188</v>
      </c>
      <c r="K49" s="97"/>
      <c r="L49" s="162">
        <v>44188</v>
      </c>
      <c r="M49" s="175" t="s">
        <v>5266</v>
      </c>
      <c r="N49" s="6" t="s">
        <v>450</v>
      </c>
      <c r="O49" s="6" t="s">
        <v>356</v>
      </c>
      <c r="P49" s="6" t="str">
        <f t="shared" si="1"/>
        <v>Category</v>
      </c>
      <c r="Q49" t="str">
        <f t="shared" si="2"/>
        <v>2020</v>
      </c>
    </row>
    <row r="50" spans="1:17">
      <c r="A50" s="162">
        <v>44188</v>
      </c>
      <c r="B50" s="164" t="s">
        <v>455</v>
      </c>
      <c r="C50" s="164" t="s">
        <v>278</v>
      </c>
      <c r="D50" s="164" t="s">
        <v>96</v>
      </c>
      <c r="E50" s="79">
        <v>44166</v>
      </c>
      <c r="F50" s="6" t="s">
        <v>16</v>
      </c>
      <c r="G50" s="6" t="s">
        <v>325</v>
      </c>
      <c r="H50" s="170">
        <v>20500</v>
      </c>
      <c r="I50" s="172">
        <f t="shared" si="0"/>
        <v>234.76866697205682</v>
      </c>
      <c r="J50" s="162">
        <v>44188</v>
      </c>
      <c r="K50" s="97"/>
      <c r="L50" s="162">
        <v>44188</v>
      </c>
      <c r="M50" s="175" t="s">
        <v>5267</v>
      </c>
      <c r="N50" s="6" t="s">
        <v>450</v>
      </c>
      <c r="O50" s="6" t="s">
        <v>280</v>
      </c>
      <c r="P50" s="6" t="str">
        <f t="shared" si="1"/>
        <v>Category</v>
      </c>
      <c r="Q50" t="str">
        <f t="shared" si="2"/>
        <v>2020</v>
      </c>
    </row>
    <row r="51" spans="1:17">
      <c r="A51" s="162">
        <v>44189</v>
      </c>
      <c r="B51" s="164" t="s">
        <v>460</v>
      </c>
      <c r="C51" s="164" t="s">
        <v>291</v>
      </c>
      <c r="D51" s="164" t="s">
        <v>96</v>
      </c>
      <c r="E51" s="79">
        <v>44166</v>
      </c>
      <c r="F51" s="6" t="s">
        <v>16</v>
      </c>
      <c r="G51" s="6" t="s">
        <v>462</v>
      </c>
      <c r="H51" s="170">
        <v>20000</v>
      </c>
      <c r="I51" s="172">
        <f t="shared" si="0"/>
        <v>229.04260192395787</v>
      </c>
      <c r="J51" s="162">
        <v>44191</v>
      </c>
      <c r="K51" s="97"/>
      <c r="L51" s="162">
        <v>44192</v>
      </c>
      <c r="M51" s="175" t="s">
        <v>5268</v>
      </c>
      <c r="O51" s="6" t="s">
        <v>356</v>
      </c>
      <c r="P51" s="6" t="str">
        <f t="shared" si="1"/>
        <v>Category</v>
      </c>
      <c r="Q51" t="str">
        <f t="shared" si="2"/>
        <v>2020</v>
      </c>
    </row>
    <row r="52" spans="1:17">
      <c r="A52" s="162">
        <v>44168</v>
      </c>
      <c r="B52" s="164" t="s">
        <v>468</v>
      </c>
      <c r="C52" s="164" t="s">
        <v>470</v>
      </c>
      <c r="D52" s="164" t="s">
        <v>96</v>
      </c>
      <c r="E52" s="79">
        <v>44166</v>
      </c>
      <c r="F52" s="6" t="s">
        <v>16</v>
      </c>
      <c r="G52" s="6" t="s">
        <v>471</v>
      </c>
      <c r="H52" s="170">
        <v>20000</v>
      </c>
      <c r="I52" s="172">
        <f t="shared" si="0"/>
        <v>229.04260192395787</v>
      </c>
      <c r="J52" s="162">
        <v>44193</v>
      </c>
      <c r="K52" s="97"/>
      <c r="L52" s="162">
        <v>44193</v>
      </c>
      <c r="M52" s="175" t="s">
        <v>5269</v>
      </c>
      <c r="O52" s="6" t="s">
        <v>356</v>
      </c>
      <c r="P52" s="6" t="str">
        <f t="shared" si="1"/>
        <v>Category</v>
      </c>
      <c r="Q52" t="str">
        <f t="shared" si="2"/>
        <v>2020</v>
      </c>
    </row>
    <row r="53" spans="1:17">
      <c r="A53" s="162">
        <v>44186</v>
      </c>
      <c r="B53" s="164" t="s">
        <v>476</v>
      </c>
      <c r="C53" s="164" t="s">
        <v>303</v>
      </c>
      <c r="D53" s="164" t="s">
        <v>96</v>
      </c>
      <c r="E53" s="79">
        <v>44166</v>
      </c>
      <c r="F53" s="6" t="s">
        <v>16</v>
      </c>
      <c r="G53" s="6" t="s">
        <v>388</v>
      </c>
      <c r="H53" s="170">
        <v>20000</v>
      </c>
      <c r="I53" s="172">
        <f t="shared" si="0"/>
        <v>229.04260192395787</v>
      </c>
      <c r="J53" s="162">
        <v>44194</v>
      </c>
      <c r="K53" s="97"/>
      <c r="L53" s="162">
        <v>44195</v>
      </c>
      <c r="M53" s="175" t="s">
        <v>5270</v>
      </c>
      <c r="O53" s="6" t="s">
        <v>356</v>
      </c>
      <c r="P53" s="6" t="str">
        <f t="shared" si="1"/>
        <v>Category</v>
      </c>
      <c r="Q53" t="str">
        <f t="shared" si="2"/>
        <v>2020</v>
      </c>
    </row>
    <row r="54" spans="1:17">
      <c r="A54" s="162">
        <v>44191</v>
      </c>
      <c r="B54" s="164" t="s">
        <v>478</v>
      </c>
      <c r="C54" s="164" t="s">
        <v>343</v>
      </c>
      <c r="D54" s="164" t="s">
        <v>22</v>
      </c>
      <c r="E54" s="79">
        <v>44166</v>
      </c>
      <c r="F54" s="6" t="s">
        <v>16</v>
      </c>
      <c r="G54" s="6" t="s">
        <v>480</v>
      </c>
      <c r="H54" s="170">
        <v>10000</v>
      </c>
      <c r="I54" s="172">
        <f t="shared" si="0"/>
        <v>114.52130096197894</v>
      </c>
      <c r="J54" s="162">
        <v>44195</v>
      </c>
      <c r="K54" s="97"/>
      <c r="L54" s="162">
        <v>44195</v>
      </c>
      <c r="M54" s="175" t="s">
        <v>5271</v>
      </c>
      <c r="O54" s="169" t="s">
        <v>5181</v>
      </c>
      <c r="P54" s="6" t="str">
        <f t="shared" si="1"/>
        <v>Category</v>
      </c>
      <c r="Q54" t="str">
        <f t="shared" si="2"/>
        <v>2020</v>
      </c>
    </row>
    <row r="55" spans="1:17">
      <c r="A55" s="162">
        <v>44195</v>
      </c>
      <c r="B55" s="164" t="s">
        <v>481</v>
      </c>
      <c r="C55" s="164" t="s">
        <v>421</v>
      </c>
      <c r="D55" s="164" t="s">
        <v>483</v>
      </c>
      <c r="E55" s="79">
        <v>44166</v>
      </c>
      <c r="F55" s="6" t="s">
        <v>16</v>
      </c>
      <c r="G55" s="97">
        <v>44219</v>
      </c>
      <c r="H55" s="170">
        <v>20000</v>
      </c>
      <c r="I55" s="172">
        <f t="shared" si="0"/>
        <v>229.04260192395787</v>
      </c>
      <c r="J55" s="162">
        <v>44195</v>
      </c>
      <c r="K55" s="97"/>
      <c r="L55" s="162">
        <v>44195</v>
      </c>
      <c r="M55" s="175" t="s">
        <v>5272</v>
      </c>
      <c r="O55" s="169" t="s">
        <v>5181</v>
      </c>
      <c r="P55" s="6" t="str">
        <f t="shared" si="1"/>
        <v>NonCategory</v>
      </c>
      <c r="Q55" t="str">
        <f t="shared" si="2"/>
        <v>2020</v>
      </c>
    </row>
    <row r="56" spans="1:17">
      <c r="A56" s="162">
        <v>44196</v>
      </c>
      <c r="B56" s="164" t="s">
        <v>488</v>
      </c>
      <c r="C56" s="164" t="s">
        <v>278</v>
      </c>
      <c r="D56" s="164" t="s">
        <v>96</v>
      </c>
      <c r="E56" s="79">
        <v>44166</v>
      </c>
      <c r="F56" s="6" t="s">
        <v>16</v>
      </c>
      <c r="G56" s="6" t="s">
        <v>388</v>
      </c>
      <c r="H56" s="170">
        <v>20000</v>
      </c>
      <c r="I56" s="172">
        <f t="shared" si="0"/>
        <v>229.04260192395787</v>
      </c>
      <c r="J56" s="162">
        <v>44196</v>
      </c>
      <c r="K56" s="97"/>
      <c r="L56" s="162">
        <v>44196</v>
      </c>
      <c r="M56" s="175" t="s">
        <v>5273</v>
      </c>
      <c r="N56" s="6" t="s">
        <v>490</v>
      </c>
      <c r="O56" s="6" t="s">
        <v>356</v>
      </c>
      <c r="P56" s="6" t="str">
        <f t="shared" si="1"/>
        <v>Category</v>
      </c>
      <c r="Q56" t="str">
        <f t="shared" si="2"/>
        <v>2020</v>
      </c>
    </row>
    <row r="57" spans="1:17">
      <c r="A57" s="162">
        <v>44182</v>
      </c>
      <c r="B57" s="164" t="s">
        <v>496</v>
      </c>
      <c r="C57" s="164" t="s">
        <v>278</v>
      </c>
      <c r="D57" s="164" t="s">
        <v>498</v>
      </c>
      <c r="E57" s="79">
        <v>44166</v>
      </c>
      <c r="F57" s="6" t="s">
        <v>16</v>
      </c>
      <c r="G57" s="97">
        <v>44212</v>
      </c>
      <c r="H57" s="170">
        <v>22000</v>
      </c>
      <c r="I57" s="172">
        <f t="shared" si="0"/>
        <v>251.94686211635369</v>
      </c>
      <c r="J57" s="162">
        <v>44186</v>
      </c>
      <c r="K57" s="97"/>
      <c r="L57" s="162">
        <v>44216</v>
      </c>
      <c r="M57" s="175" t="s">
        <v>5274</v>
      </c>
      <c r="N57" s="6" t="s">
        <v>499</v>
      </c>
      <c r="O57" s="6" t="s">
        <v>432</v>
      </c>
      <c r="P57" s="6" t="str">
        <f t="shared" si="1"/>
        <v>NonCategory</v>
      </c>
      <c r="Q57" t="str">
        <f t="shared" si="2"/>
        <v>2020</v>
      </c>
    </row>
    <row r="58" spans="1:17">
      <c r="A58" s="162">
        <v>44198</v>
      </c>
      <c r="B58" s="164" t="s">
        <v>500</v>
      </c>
      <c r="C58" s="164" t="s">
        <v>421</v>
      </c>
      <c r="D58" s="164" t="s">
        <v>96</v>
      </c>
      <c r="E58" s="79">
        <v>44197</v>
      </c>
      <c r="F58" s="6" t="s">
        <v>16</v>
      </c>
      <c r="G58" s="6" t="s">
        <v>325</v>
      </c>
      <c r="H58" s="170">
        <v>21000</v>
      </c>
      <c r="I58" s="172">
        <f t="shared" si="0"/>
        <v>240.49473202015577</v>
      </c>
      <c r="J58" s="162">
        <v>44198</v>
      </c>
      <c r="K58" s="6" t="s">
        <v>502</v>
      </c>
      <c r="L58" s="162">
        <v>44198</v>
      </c>
      <c r="M58" s="175" t="s">
        <v>5275</v>
      </c>
      <c r="O58" s="6" t="s">
        <v>503</v>
      </c>
      <c r="P58" s="6" t="str">
        <f t="shared" si="1"/>
        <v>Category</v>
      </c>
      <c r="Q58" t="str">
        <f t="shared" si="2"/>
        <v>2021</v>
      </c>
    </row>
    <row r="59" spans="1:17">
      <c r="A59" s="162">
        <v>44186</v>
      </c>
      <c r="B59" s="164" t="s">
        <v>524</v>
      </c>
      <c r="C59" s="164" t="s">
        <v>343</v>
      </c>
      <c r="D59" s="164" t="s">
        <v>97</v>
      </c>
      <c r="E59" s="79">
        <v>44197</v>
      </c>
      <c r="F59" s="6" t="s">
        <v>16</v>
      </c>
      <c r="G59" s="6" t="s">
        <v>486</v>
      </c>
      <c r="H59" s="170">
        <v>21000</v>
      </c>
      <c r="I59" s="172">
        <f t="shared" si="0"/>
        <v>240.49473202015577</v>
      </c>
      <c r="J59" s="162">
        <v>44194</v>
      </c>
      <c r="K59" s="6" t="s">
        <v>502</v>
      </c>
      <c r="L59" s="162">
        <v>44199</v>
      </c>
      <c r="M59" s="175" t="s">
        <v>5276</v>
      </c>
      <c r="O59" s="6" t="s">
        <v>356</v>
      </c>
      <c r="P59" s="6" t="str">
        <f t="shared" si="1"/>
        <v>Category</v>
      </c>
      <c r="Q59" t="str">
        <f t="shared" si="2"/>
        <v>2021</v>
      </c>
    </row>
    <row r="60" spans="1:17">
      <c r="A60" s="162">
        <v>44191</v>
      </c>
      <c r="B60" s="164" t="s">
        <v>539</v>
      </c>
      <c r="C60" s="164" t="s">
        <v>319</v>
      </c>
      <c r="D60" s="164" t="s">
        <v>96</v>
      </c>
      <c r="E60" s="79">
        <v>44197</v>
      </c>
      <c r="F60" s="6" t="s">
        <v>16</v>
      </c>
      <c r="G60" s="6" t="s">
        <v>325</v>
      </c>
      <c r="H60" s="170">
        <v>19000</v>
      </c>
      <c r="I60" s="172">
        <f t="shared" si="0"/>
        <v>217.59047182775998</v>
      </c>
      <c r="J60" s="162">
        <v>44194</v>
      </c>
      <c r="K60" s="6" t="s">
        <v>502</v>
      </c>
      <c r="L60" s="162">
        <v>44200</v>
      </c>
      <c r="M60" s="175" t="s">
        <v>5277</v>
      </c>
      <c r="O60" s="6" t="s">
        <v>280</v>
      </c>
      <c r="P60" s="6" t="str">
        <f t="shared" si="1"/>
        <v>Category</v>
      </c>
      <c r="Q60" t="str">
        <f t="shared" si="2"/>
        <v>2021</v>
      </c>
    </row>
    <row r="61" spans="1:17">
      <c r="A61" s="162">
        <v>44182</v>
      </c>
      <c r="B61" s="164" t="s">
        <v>553</v>
      </c>
      <c r="C61" s="164" t="s">
        <v>278</v>
      </c>
      <c r="D61" s="164" t="s">
        <v>96</v>
      </c>
      <c r="E61" s="79">
        <v>44197</v>
      </c>
      <c r="F61" s="6" t="s">
        <v>16</v>
      </c>
      <c r="G61" s="6" t="s">
        <v>325</v>
      </c>
      <c r="H61" s="170">
        <v>20000</v>
      </c>
      <c r="I61" s="172">
        <f t="shared" si="0"/>
        <v>229.04260192395787</v>
      </c>
      <c r="J61" s="162">
        <v>44198</v>
      </c>
      <c r="K61" s="6" t="s">
        <v>502</v>
      </c>
      <c r="L61" s="162">
        <v>44200</v>
      </c>
      <c r="M61" s="175" t="s">
        <v>5278</v>
      </c>
      <c r="N61" s="6" t="s">
        <v>555</v>
      </c>
      <c r="O61" s="6" t="s">
        <v>280</v>
      </c>
      <c r="P61" s="6" t="str">
        <f t="shared" si="1"/>
        <v>Category</v>
      </c>
      <c r="Q61" t="str">
        <f t="shared" si="2"/>
        <v>2021</v>
      </c>
    </row>
    <row r="62" spans="1:17">
      <c r="A62" s="162">
        <v>44200</v>
      </c>
      <c r="B62" s="164" t="s">
        <v>567</v>
      </c>
      <c r="C62" s="164" t="s">
        <v>287</v>
      </c>
      <c r="D62" s="164" t="s">
        <v>96</v>
      </c>
      <c r="E62" s="79">
        <v>44197</v>
      </c>
      <c r="F62" s="6" t="s">
        <v>16</v>
      </c>
      <c r="G62" s="6" t="s">
        <v>325</v>
      </c>
      <c r="H62" s="170">
        <v>22500</v>
      </c>
      <c r="I62" s="172">
        <f t="shared" si="0"/>
        <v>257.67292716445257</v>
      </c>
      <c r="J62" s="162">
        <v>44200</v>
      </c>
      <c r="K62" s="6" t="s">
        <v>502</v>
      </c>
      <c r="L62" s="162">
        <v>44200</v>
      </c>
      <c r="M62" s="175" t="s">
        <v>5279</v>
      </c>
      <c r="O62" s="6" t="s">
        <v>280</v>
      </c>
      <c r="P62" s="6" t="str">
        <f t="shared" si="1"/>
        <v>Category</v>
      </c>
      <c r="Q62" t="str">
        <f t="shared" si="2"/>
        <v>2021</v>
      </c>
    </row>
    <row r="63" spans="1:17">
      <c r="A63" s="162">
        <v>44165</v>
      </c>
      <c r="B63" s="164" t="s">
        <v>576</v>
      </c>
      <c r="C63" s="164" t="s">
        <v>578</v>
      </c>
      <c r="D63" s="164" t="s">
        <v>96</v>
      </c>
      <c r="E63" s="79">
        <v>44197</v>
      </c>
      <c r="F63" s="6" t="s">
        <v>16</v>
      </c>
      <c r="G63" s="6" t="s">
        <v>579</v>
      </c>
      <c r="H63" s="170">
        <v>19000</v>
      </c>
      <c r="I63" s="172">
        <f t="shared" si="0"/>
        <v>217.59047182775998</v>
      </c>
      <c r="J63" s="162">
        <v>44204</v>
      </c>
      <c r="K63" s="6" t="s">
        <v>502</v>
      </c>
      <c r="L63" s="162">
        <v>44200</v>
      </c>
      <c r="M63" s="175" t="s">
        <v>5280</v>
      </c>
      <c r="O63" s="6" t="s">
        <v>280</v>
      </c>
      <c r="P63" s="6" t="str">
        <f t="shared" si="1"/>
        <v>Category</v>
      </c>
      <c r="Q63" t="str">
        <f t="shared" si="2"/>
        <v>2021</v>
      </c>
    </row>
    <row r="64" spans="1:17">
      <c r="A64" s="162">
        <v>44187</v>
      </c>
      <c r="B64" s="164" t="s">
        <v>580</v>
      </c>
      <c r="C64" s="164" t="s">
        <v>571</v>
      </c>
      <c r="D64" s="164" t="s">
        <v>97</v>
      </c>
      <c r="E64" s="79">
        <v>44197</v>
      </c>
      <c r="F64" s="6" t="s">
        <v>16</v>
      </c>
      <c r="G64" s="6" t="s">
        <v>427</v>
      </c>
      <c r="H64" s="170">
        <v>21000</v>
      </c>
      <c r="I64" s="172">
        <f t="shared" si="0"/>
        <v>240.49473202015577</v>
      </c>
      <c r="J64" s="162">
        <v>44200</v>
      </c>
      <c r="K64" s="6" t="s">
        <v>502</v>
      </c>
      <c r="L64" s="162">
        <v>44201</v>
      </c>
      <c r="M64" s="175" t="s">
        <v>5281</v>
      </c>
      <c r="O64" s="6" t="s">
        <v>356</v>
      </c>
      <c r="P64" s="6" t="str">
        <f t="shared" si="1"/>
        <v>Category</v>
      </c>
      <c r="Q64" t="str">
        <f t="shared" si="2"/>
        <v>2021</v>
      </c>
    </row>
    <row r="65" spans="1:17">
      <c r="A65" s="162">
        <v>44201</v>
      </c>
      <c r="B65" s="164" t="s">
        <v>596</v>
      </c>
      <c r="C65" s="164" t="s">
        <v>319</v>
      </c>
      <c r="D65" s="164" t="s">
        <v>96</v>
      </c>
      <c r="E65" s="79">
        <v>44197</v>
      </c>
      <c r="F65" s="6" t="s">
        <v>16</v>
      </c>
      <c r="G65" s="6" t="s">
        <v>536</v>
      </c>
      <c r="H65" s="170">
        <v>20000</v>
      </c>
      <c r="I65" s="172">
        <f t="shared" si="0"/>
        <v>229.04260192395787</v>
      </c>
      <c r="J65" s="162">
        <v>44202</v>
      </c>
      <c r="K65" s="6" t="s">
        <v>502</v>
      </c>
      <c r="L65" s="162">
        <v>44202</v>
      </c>
      <c r="M65" s="175" t="s">
        <v>5282</v>
      </c>
      <c r="O65" s="6" t="s">
        <v>280</v>
      </c>
      <c r="P65" s="6" t="str">
        <f t="shared" si="1"/>
        <v>Category</v>
      </c>
      <c r="Q65" t="str">
        <f t="shared" si="2"/>
        <v>2021</v>
      </c>
    </row>
    <row r="66" spans="1:17">
      <c r="A66" s="162">
        <v>44202</v>
      </c>
      <c r="B66" s="164" t="s">
        <v>600</v>
      </c>
      <c r="C66" s="164" t="s">
        <v>319</v>
      </c>
      <c r="D66" s="164" t="s">
        <v>96</v>
      </c>
      <c r="E66" s="79">
        <v>44197</v>
      </c>
      <c r="F66" s="6" t="s">
        <v>16</v>
      </c>
      <c r="G66" s="6" t="s">
        <v>427</v>
      </c>
      <c r="H66" s="170">
        <v>24780</v>
      </c>
      <c r="I66" s="172">
        <f t="shared" ref="I66:I129" si="3">IFERROR((($H66/1.18))/74,"")</f>
        <v>283.7837837837838</v>
      </c>
      <c r="J66" s="162">
        <v>44202</v>
      </c>
      <c r="K66" s="6" t="s">
        <v>502</v>
      </c>
      <c r="L66" s="162">
        <v>44202</v>
      </c>
      <c r="M66" s="175" t="s">
        <v>5283</v>
      </c>
      <c r="O66" s="6" t="s">
        <v>356</v>
      </c>
      <c r="P66" s="6" t="str">
        <f t="shared" ref="P66:P129" si="4">IFERROR(_xlfn.IFS($D66="CSM","Category",$D66="CSPO","Category", $D66="PSM","SAFe que",$D66="PSPO","SAFe que",$D66="SAFe Agile","SAFe que",$D66="SAFe SSM","SAFe que",$D66="SAFe POPM","SAFe que",$D66="SASM","SAFe que",$D66="PMI-ACP","Category",$D66="ICP-ACC","SAFe que",$D66="PSM 2","SAFe que",$D66="SAFe RTE","SAFe que",$D66="Implementing SAFe","SAFe que",$D66="SAFe for Government","SAFe que",$D66="PSPO 2","SAFe que",$D66="",""),"NonCategory")</f>
        <v>Category</v>
      </c>
      <c r="Q66" t="str">
        <f t="shared" ref="Q66:Q129" si="5">TEXT(E66, "yyyy")</f>
        <v>2021</v>
      </c>
    </row>
    <row r="67" spans="1:17">
      <c r="A67" s="162">
        <v>44202</v>
      </c>
      <c r="B67" s="164" t="s">
        <v>620</v>
      </c>
      <c r="C67" s="164" t="s">
        <v>306</v>
      </c>
      <c r="D67" s="164" t="s">
        <v>96</v>
      </c>
      <c r="E67" s="79">
        <v>44197</v>
      </c>
      <c r="F67" s="6" t="s">
        <v>16</v>
      </c>
      <c r="G67" s="6" t="s">
        <v>427</v>
      </c>
      <c r="H67" s="170">
        <v>21500</v>
      </c>
      <c r="I67" s="172">
        <f t="shared" si="3"/>
        <v>246.22079706825471</v>
      </c>
      <c r="J67" s="162">
        <v>44202</v>
      </c>
      <c r="K67" s="6" t="s">
        <v>502</v>
      </c>
      <c r="L67" s="162">
        <v>44202</v>
      </c>
      <c r="M67" s="175" t="s">
        <v>5284</v>
      </c>
      <c r="O67" s="6" t="s">
        <v>356</v>
      </c>
      <c r="P67" s="6" t="str">
        <f t="shared" si="4"/>
        <v>Category</v>
      </c>
      <c r="Q67" t="str">
        <f t="shared" si="5"/>
        <v>2021</v>
      </c>
    </row>
    <row r="68" spans="1:17">
      <c r="A68" s="162">
        <v>44203</v>
      </c>
      <c r="B68" s="164" t="s">
        <v>630</v>
      </c>
      <c r="C68" s="164" t="s">
        <v>306</v>
      </c>
      <c r="D68" s="164" t="s">
        <v>97</v>
      </c>
      <c r="E68" s="79">
        <v>44197</v>
      </c>
      <c r="F68" s="6" t="s">
        <v>16</v>
      </c>
      <c r="G68" s="6" t="s">
        <v>536</v>
      </c>
      <c r="H68" s="170">
        <v>22000</v>
      </c>
      <c r="I68" s="172">
        <f t="shared" si="3"/>
        <v>251.94686211635369</v>
      </c>
      <c r="J68" s="162">
        <v>44203</v>
      </c>
      <c r="K68" s="6" t="s">
        <v>502</v>
      </c>
      <c r="L68" s="162">
        <v>44203</v>
      </c>
      <c r="M68" s="175" t="s">
        <v>5285</v>
      </c>
      <c r="O68" s="6" t="s">
        <v>356</v>
      </c>
      <c r="P68" s="6" t="str">
        <f t="shared" si="4"/>
        <v>Category</v>
      </c>
      <c r="Q68" t="str">
        <f t="shared" si="5"/>
        <v>2021</v>
      </c>
    </row>
    <row r="69" spans="1:17">
      <c r="A69" s="162">
        <v>44205</v>
      </c>
      <c r="B69" s="164" t="s">
        <v>632</v>
      </c>
      <c r="C69" s="164" t="s">
        <v>303</v>
      </c>
      <c r="D69" s="164" t="s">
        <v>96</v>
      </c>
      <c r="E69" s="79">
        <v>44197</v>
      </c>
      <c r="F69" s="6" t="s">
        <v>16</v>
      </c>
      <c r="G69" s="6" t="s">
        <v>520</v>
      </c>
      <c r="H69" s="170">
        <v>20000</v>
      </c>
      <c r="I69" s="172">
        <f t="shared" si="3"/>
        <v>229.04260192395787</v>
      </c>
      <c r="J69" s="162">
        <v>44205</v>
      </c>
      <c r="K69" s="6" t="s">
        <v>502</v>
      </c>
      <c r="L69" s="162">
        <v>44205</v>
      </c>
      <c r="M69" s="175" t="s">
        <v>5286</v>
      </c>
      <c r="O69" s="6" t="s">
        <v>280</v>
      </c>
      <c r="P69" s="6" t="str">
        <f t="shared" si="4"/>
        <v>Category</v>
      </c>
      <c r="Q69" t="str">
        <f t="shared" si="5"/>
        <v>2021</v>
      </c>
    </row>
    <row r="70" spans="1:17">
      <c r="A70" s="162">
        <v>44205</v>
      </c>
      <c r="B70" s="164" t="s">
        <v>642</v>
      </c>
      <c r="C70" s="164" t="s">
        <v>287</v>
      </c>
      <c r="D70" s="164" t="s">
        <v>96</v>
      </c>
      <c r="E70" s="79">
        <v>44197</v>
      </c>
      <c r="F70" s="6" t="s">
        <v>16</v>
      </c>
      <c r="G70" s="6" t="s">
        <v>427</v>
      </c>
      <c r="H70" s="170">
        <v>22500</v>
      </c>
      <c r="I70" s="172">
        <f t="shared" si="3"/>
        <v>257.67292716445257</v>
      </c>
      <c r="J70" s="162">
        <v>44206</v>
      </c>
      <c r="K70" s="6" t="s">
        <v>502</v>
      </c>
      <c r="L70" s="162">
        <v>44206</v>
      </c>
      <c r="M70" s="175" t="s">
        <v>5287</v>
      </c>
      <c r="O70" s="6" t="s">
        <v>356</v>
      </c>
      <c r="P70" s="6" t="str">
        <f t="shared" si="4"/>
        <v>Category</v>
      </c>
      <c r="Q70" t="str">
        <f t="shared" si="5"/>
        <v>2021</v>
      </c>
    </row>
    <row r="71" spans="1:17">
      <c r="A71" s="162">
        <v>44207</v>
      </c>
      <c r="B71" s="164" t="s">
        <v>647</v>
      </c>
      <c r="C71" s="164" t="s">
        <v>306</v>
      </c>
      <c r="D71" s="164" t="s">
        <v>96</v>
      </c>
      <c r="E71" s="79">
        <v>44197</v>
      </c>
      <c r="F71" s="6" t="s">
        <v>16</v>
      </c>
      <c r="G71" s="6" t="s">
        <v>649</v>
      </c>
      <c r="H71" s="170">
        <v>19000</v>
      </c>
      <c r="I71" s="172">
        <f t="shared" si="3"/>
        <v>217.59047182775998</v>
      </c>
      <c r="J71" s="162">
        <v>44207</v>
      </c>
      <c r="K71" s="6" t="s">
        <v>650</v>
      </c>
      <c r="L71" s="162">
        <v>44207</v>
      </c>
      <c r="M71" s="175" t="s">
        <v>5288</v>
      </c>
      <c r="O71" s="6" t="s">
        <v>356</v>
      </c>
      <c r="P71" s="6" t="str">
        <f t="shared" si="4"/>
        <v>Category</v>
      </c>
      <c r="Q71" t="str">
        <f t="shared" si="5"/>
        <v>2021</v>
      </c>
    </row>
    <row r="72" spans="1:17">
      <c r="A72" s="162">
        <v>44201</v>
      </c>
      <c r="B72" s="164" t="s">
        <v>657</v>
      </c>
      <c r="C72" s="164" t="s">
        <v>278</v>
      </c>
      <c r="D72" s="164" t="s">
        <v>96</v>
      </c>
      <c r="E72" s="79">
        <v>44197</v>
      </c>
      <c r="F72" s="6" t="s">
        <v>16</v>
      </c>
      <c r="G72" s="6" t="s">
        <v>427</v>
      </c>
      <c r="H72" s="170">
        <v>20000</v>
      </c>
      <c r="I72" s="172">
        <f t="shared" si="3"/>
        <v>229.04260192395787</v>
      </c>
      <c r="J72" s="162">
        <v>44207</v>
      </c>
      <c r="K72" s="6" t="s">
        <v>650</v>
      </c>
      <c r="L72" s="162">
        <v>44208</v>
      </c>
      <c r="M72" s="175" t="s">
        <v>5289</v>
      </c>
      <c r="N72" s="6" t="s">
        <v>659</v>
      </c>
      <c r="O72" s="6" t="s">
        <v>356</v>
      </c>
      <c r="P72" s="6" t="str">
        <f t="shared" si="4"/>
        <v>Category</v>
      </c>
      <c r="Q72" t="str">
        <f t="shared" si="5"/>
        <v>2021</v>
      </c>
    </row>
    <row r="73" spans="1:17">
      <c r="A73" s="162">
        <v>44207</v>
      </c>
      <c r="B73" s="164" t="s">
        <v>660</v>
      </c>
      <c r="C73" s="164" t="s">
        <v>278</v>
      </c>
      <c r="D73" s="164" t="s">
        <v>97</v>
      </c>
      <c r="E73" s="79">
        <v>44197</v>
      </c>
      <c r="F73" s="6" t="s">
        <v>16</v>
      </c>
      <c r="G73" s="6" t="s">
        <v>579</v>
      </c>
      <c r="H73" s="170">
        <v>18500</v>
      </c>
      <c r="I73" s="172">
        <f t="shared" si="3"/>
        <v>211.86440677966101</v>
      </c>
      <c r="J73" s="162">
        <v>44208</v>
      </c>
      <c r="K73" s="6" t="s">
        <v>650</v>
      </c>
      <c r="L73" s="162">
        <v>44208</v>
      </c>
      <c r="M73" s="175" t="s">
        <v>5290</v>
      </c>
      <c r="N73" s="6" t="s">
        <v>662</v>
      </c>
      <c r="O73" s="6" t="s">
        <v>280</v>
      </c>
      <c r="P73" s="6" t="str">
        <f t="shared" si="4"/>
        <v>Category</v>
      </c>
      <c r="Q73" t="str">
        <f t="shared" si="5"/>
        <v>2021</v>
      </c>
    </row>
    <row r="74" spans="1:17">
      <c r="A74" s="162">
        <v>44207</v>
      </c>
      <c r="B74" s="164" t="s">
        <v>665</v>
      </c>
      <c r="C74" s="164" t="s">
        <v>278</v>
      </c>
      <c r="D74" s="164" t="s">
        <v>97</v>
      </c>
      <c r="E74" s="79">
        <v>44197</v>
      </c>
      <c r="F74" s="6" t="s">
        <v>16</v>
      </c>
      <c r="G74" s="6" t="s">
        <v>579</v>
      </c>
      <c r="H74" s="170">
        <v>18500</v>
      </c>
      <c r="I74" s="172">
        <f t="shared" si="3"/>
        <v>211.86440677966101</v>
      </c>
      <c r="J74" s="162">
        <v>44208</v>
      </c>
      <c r="K74" s="6" t="s">
        <v>650</v>
      </c>
      <c r="L74" s="162">
        <v>44208</v>
      </c>
      <c r="M74" s="175" t="s">
        <v>5291</v>
      </c>
      <c r="N74" s="6" t="s">
        <v>662</v>
      </c>
      <c r="O74" s="6" t="s">
        <v>280</v>
      </c>
      <c r="P74" s="6" t="str">
        <f t="shared" si="4"/>
        <v>Category</v>
      </c>
      <c r="Q74" t="str">
        <f t="shared" si="5"/>
        <v>2021</v>
      </c>
    </row>
    <row r="75" spans="1:17">
      <c r="A75" s="162">
        <v>44207</v>
      </c>
      <c r="B75" s="164" t="s">
        <v>667</v>
      </c>
      <c r="C75" s="164" t="s">
        <v>278</v>
      </c>
      <c r="D75" s="164" t="s">
        <v>97</v>
      </c>
      <c r="E75" s="79">
        <v>44197</v>
      </c>
      <c r="F75" s="6" t="s">
        <v>16</v>
      </c>
      <c r="G75" s="6" t="s">
        <v>579</v>
      </c>
      <c r="H75" s="170">
        <v>18500</v>
      </c>
      <c r="I75" s="172">
        <f t="shared" si="3"/>
        <v>211.86440677966101</v>
      </c>
      <c r="J75" s="162">
        <v>44208</v>
      </c>
      <c r="K75" s="6" t="s">
        <v>650</v>
      </c>
      <c r="L75" s="162">
        <v>44208</v>
      </c>
      <c r="M75" s="175" t="s">
        <v>5292</v>
      </c>
      <c r="N75" s="6" t="s">
        <v>662</v>
      </c>
      <c r="O75" s="6" t="s">
        <v>356</v>
      </c>
      <c r="P75" s="6" t="str">
        <f t="shared" si="4"/>
        <v>Category</v>
      </c>
      <c r="Q75" t="str">
        <f t="shared" si="5"/>
        <v>2021</v>
      </c>
    </row>
    <row r="76" spans="1:17">
      <c r="A76" s="162">
        <v>44154</v>
      </c>
      <c r="B76" s="164" t="s">
        <v>671</v>
      </c>
      <c r="C76" s="164" t="s">
        <v>397</v>
      </c>
      <c r="D76" s="164" t="s">
        <v>97</v>
      </c>
      <c r="E76" s="79">
        <v>44197</v>
      </c>
      <c r="F76" s="6" t="s">
        <v>16</v>
      </c>
      <c r="G76" s="6" t="s">
        <v>579</v>
      </c>
      <c r="H76" s="170">
        <v>18500</v>
      </c>
      <c r="I76" s="172">
        <f t="shared" si="3"/>
        <v>211.86440677966101</v>
      </c>
      <c r="J76" s="162">
        <v>44228</v>
      </c>
      <c r="K76" s="6" t="s">
        <v>650</v>
      </c>
      <c r="L76" s="162">
        <v>44208</v>
      </c>
      <c r="M76" s="175" t="s">
        <v>5293</v>
      </c>
      <c r="O76" s="6" t="s">
        <v>356</v>
      </c>
      <c r="P76" s="6" t="str">
        <f t="shared" si="4"/>
        <v>Category</v>
      </c>
      <c r="Q76" t="str">
        <f t="shared" si="5"/>
        <v>2021</v>
      </c>
    </row>
    <row r="77" spans="1:17">
      <c r="A77" s="162">
        <v>44206</v>
      </c>
      <c r="B77" s="164" t="s">
        <v>675</v>
      </c>
      <c r="C77" s="164" t="s">
        <v>278</v>
      </c>
      <c r="D77" s="164" t="s">
        <v>96</v>
      </c>
      <c r="E77" s="79">
        <v>44197</v>
      </c>
      <c r="F77" s="6" t="s">
        <v>16</v>
      </c>
      <c r="G77" s="6" t="s">
        <v>520</v>
      </c>
      <c r="H77" s="170">
        <v>19000</v>
      </c>
      <c r="I77" s="172">
        <f t="shared" si="3"/>
        <v>217.59047182775998</v>
      </c>
      <c r="J77" s="162">
        <v>44206</v>
      </c>
      <c r="K77" s="6" t="s">
        <v>650</v>
      </c>
      <c r="L77" s="162">
        <v>44209</v>
      </c>
      <c r="M77" s="175" t="s">
        <v>5294</v>
      </c>
      <c r="O77" s="6" t="s">
        <v>280</v>
      </c>
      <c r="P77" s="6" t="str">
        <f t="shared" si="4"/>
        <v>Category</v>
      </c>
      <c r="Q77" t="str">
        <f t="shared" si="5"/>
        <v>2021</v>
      </c>
    </row>
    <row r="78" spans="1:17">
      <c r="A78" s="162">
        <v>44207</v>
      </c>
      <c r="B78" s="164" t="s">
        <v>677</v>
      </c>
      <c r="C78" s="164" t="s">
        <v>287</v>
      </c>
      <c r="D78" s="164" t="s">
        <v>96</v>
      </c>
      <c r="E78" s="79">
        <v>44197</v>
      </c>
      <c r="F78" s="6" t="s">
        <v>16</v>
      </c>
      <c r="G78" s="6" t="s">
        <v>427</v>
      </c>
      <c r="H78" s="170">
        <v>20000</v>
      </c>
      <c r="I78" s="172">
        <f t="shared" si="3"/>
        <v>229.04260192395787</v>
      </c>
      <c r="J78" s="162">
        <v>44208</v>
      </c>
      <c r="K78" s="6" t="s">
        <v>650</v>
      </c>
      <c r="L78" s="162">
        <v>44209</v>
      </c>
      <c r="M78" s="175" t="s">
        <v>5295</v>
      </c>
      <c r="O78" s="6" t="s">
        <v>356</v>
      </c>
      <c r="P78" s="6" t="str">
        <f t="shared" si="4"/>
        <v>Category</v>
      </c>
      <c r="Q78" t="str">
        <f t="shared" si="5"/>
        <v>2021</v>
      </c>
    </row>
    <row r="79" spans="1:17">
      <c r="A79" s="162">
        <v>44210</v>
      </c>
      <c r="B79" s="164" t="s">
        <v>679</v>
      </c>
      <c r="C79" s="164" t="s">
        <v>303</v>
      </c>
      <c r="D79" s="164" t="s">
        <v>96</v>
      </c>
      <c r="E79" s="79">
        <v>44197</v>
      </c>
      <c r="F79" s="6" t="s">
        <v>16</v>
      </c>
      <c r="G79" s="79">
        <v>44197</v>
      </c>
      <c r="H79" s="170">
        <v>20000</v>
      </c>
      <c r="I79" s="172">
        <f t="shared" si="3"/>
        <v>229.04260192395787</v>
      </c>
      <c r="J79" s="162">
        <v>44210</v>
      </c>
      <c r="K79" s="6" t="s">
        <v>650</v>
      </c>
      <c r="L79" s="162">
        <v>44210</v>
      </c>
      <c r="M79" s="175" t="s">
        <v>5296</v>
      </c>
      <c r="O79" s="6" t="s">
        <v>356</v>
      </c>
      <c r="P79" s="6" t="str">
        <f t="shared" si="4"/>
        <v>Category</v>
      </c>
      <c r="Q79" t="str">
        <f t="shared" si="5"/>
        <v>2021</v>
      </c>
    </row>
    <row r="80" spans="1:17">
      <c r="A80" s="162">
        <v>44190</v>
      </c>
      <c r="B80" s="164" t="s">
        <v>681</v>
      </c>
      <c r="C80" s="164" t="s">
        <v>303</v>
      </c>
      <c r="D80" s="164" t="s">
        <v>96</v>
      </c>
      <c r="E80" s="79">
        <v>44197</v>
      </c>
      <c r="F80" s="6" t="s">
        <v>16</v>
      </c>
      <c r="G80" s="6" t="s">
        <v>427</v>
      </c>
      <c r="H80" s="170">
        <v>20000</v>
      </c>
      <c r="I80" s="172">
        <f t="shared" si="3"/>
        <v>229.04260192395787</v>
      </c>
      <c r="J80" s="162">
        <v>44232</v>
      </c>
      <c r="K80" s="6" t="s">
        <v>650</v>
      </c>
      <c r="L80" s="162">
        <v>44210</v>
      </c>
      <c r="M80" s="175" t="s">
        <v>5297</v>
      </c>
      <c r="O80" s="6" t="s">
        <v>356</v>
      </c>
      <c r="P80" s="6" t="str">
        <f t="shared" si="4"/>
        <v>Category</v>
      </c>
      <c r="Q80" t="str">
        <f t="shared" si="5"/>
        <v>2021</v>
      </c>
    </row>
    <row r="81" spans="1:17">
      <c r="A81" s="162">
        <v>44158</v>
      </c>
      <c r="B81" s="164" t="s">
        <v>685</v>
      </c>
      <c r="C81" s="164" t="s">
        <v>278</v>
      </c>
      <c r="D81" s="164" t="s">
        <v>538</v>
      </c>
      <c r="E81" s="79">
        <v>44197</v>
      </c>
      <c r="F81" s="6" t="s">
        <v>16</v>
      </c>
      <c r="G81" s="79">
        <v>44219</v>
      </c>
      <c r="H81" s="170">
        <v>12500</v>
      </c>
      <c r="I81" s="172">
        <f t="shared" si="3"/>
        <v>143.15162620247366</v>
      </c>
      <c r="J81" s="162">
        <v>44256</v>
      </c>
      <c r="K81" s="6" t="s">
        <v>650</v>
      </c>
      <c r="L81" s="162">
        <v>44210</v>
      </c>
      <c r="M81" s="175" t="s">
        <v>5298</v>
      </c>
      <c r="N81" s="6" t="s">
        <v>687</v>
      </c>
      <c r="O81" s="6" t="s">
        <v>280</v>
      </c>
      <c r="P81" s="6" t="str">
        <f t="shared" si="4"/>
        <v>NonCategory</v>
      </c>
      <c r="Q81" t="str">
        <f t="shared" si="5"/>
        <v>2021</v>
      </c>
    </row>
    <row r="82" spans="1:17">
      <c r="A82" s="162">
        <v>44213</v>
      </c>
      <c r="B82" s="164" t="s">
        <v>689</v>
      </c>
      <c r="C82" s="164" t="s">
        <v>578</v>
      </c>
      <c r="D82" s="164" t="s">
        <v>96</v>
      </c>
      <c r="E82" s="79">
        <v>44197</v>
      </c>
      <c r="F82" s="6" t="s">
        <v>16</v>
      </c>
      <c r="G82" s="6" t="s">
        <v>520</v>
      </c>
      <c r="H82" s="170">
        <v>21000</v>
      </c>
      <c r="I82" s="172">
        <f t="shared" si="3"/>
        <v>240.49473202015577</v>
      </c>
      <c r="J82" s="162">
        <v>44213</v>
      </c>
      <c r="K82" s="6" t="s">
        <v>650</v>
      </c>
      <c r="L82" s="162">
        <v>44213</v>
      </c>
      <c r="M82" s="175" t="s">
        <v>5299</v>
      </c>
      <c r="O82" s="6" t="s">
        <v>280</v>
      </c>
      <c r="P82" s="6" t="str">
        <f t="shared" si="4"/>
        <v>Category</v>
      </c>
      <c r="Q82" t="str">
        <f t="shared" si="5"/>
        <v>2021</v>
      </c>
    </row>
    <row r="83" spans="1:17">
      <c r="A83" s="162">
        <v>44212</v>
      </c>
      <c r="B83" s="164" t="s">
        <v>691</v>
      </c>
      <c r="C83" s="164" t="s">
        <v>278</v>
      </c>
      <c r="D83" s="164" t="s">
        <v>96</v>
      </c>
      <c r="E83" s="79">
        <v>44197</v>
      </c>
      <c r="F83" s="6" t="s">
        <v>16</v>
      </c>
      <c r="G83" s="6" t="s">
        <v>536</v>
      </c>
      <c r="H83" s="170">
        <v>19000</v>
      </c>
      <c r="I83" s="172">
        <f t="shared" si="3"/>
        <v>217.59047182775998</v>
      </c>
      <c r="J83" s="162">
        <v>44214</v>
      </c>
      <c r="K83" s="6" t="s">
        <v>650</v>
      </c>
      <c r="L83" s="162">
        <v>44213</v>
      </c>
      <c r="M83" s="175" t="s">
        <v>5300</v>
      </c>
      <c r="N83" s="6" t="s">
        <v>693</v>
      </c>
      <c r="O83" s="6" t="s">
        <v>280</v>
      </c>
      <c r="P83" s="6" t="str">
        <f t="shared" si="4"/>
        <v>Category</v>
      </c>
      <c r="Q83" t="str">
        <f t="shared" si="5"/>
        <v>2021</v>
      </c>
    </row>
    <row r="84" spans="1:17">
      <c r="A84" s="162">
        <v>44213</v>
      </c>
      <c r="B84" s="164" t="s">
        <v>698</v>
      </c>
      <c r="C84" s="164" t="s">
        <v>319</v>
      </c>
      <c r="D84" s="164" t="s">
        <v>96</v>
      </c>
      <c r="E84" s="79">
        <v>44197</v>
      </c>
      <c r="F84" s="6" t="s">
        <v>16</v>
      </c>
      <c r="G84" s="6" t="s">
        <v>520</v>
      </c>
      <c r="H84" s="170">
        <v>20000</v>
      </c>
      <c r="I84" s="172">
        <f t="shared" si="3"/>
        <v>229.04260192395787</v>
      </c>
      <c r="J84" s="162">
        <v>44215</v>
      </c>
      <c r="K84" s="6" t="s">
        <v>700</v>
      </c>
      <c r="L84" s="162">
        <v>44216</v>
      </c>
      <c r="M84" s="175" t="s">
        <v>5301</v>
      </c>
      <c r="O84" s="6" t="s">
        <v>280</v>
      </c>
      <c r="P84" s="6" t="str">
        <f t="shared" si="4"/>
        <v>Category</v>
      </c>
      <c r="Q84" t="str">
        <f t="shared" si="5"/>
        <v>2021</v>
      </c>
    </row>
    <row r="85" spans="1:17">
      <c r="A85" s="162">
        <v>44214</v>
      </c>
      <c r="B85" s="164" t="s">
        <v>460</v>
      </c>
      <c r="C85" s="164" t="s">
        <v>705</v>
      </c>
      <c r="D85" s="164" t="s">
        <v>706</v>
      </c>
      <c r="E85" s="79">
        <v>44197</v>
      </c>
      <c r="F85" s="6" t="s">
        <v>16</v>
      </c>
      <c r="G85" s="6" t="s">
        <v>520</v>
      </c>
      <c r="H85" s="170">
        <v>33000</v>
      </c>
      <c r="I85" s="172">
        <f t="shared" si="3"/>
        <v>377.92029317453046</v>
      </c>
      <c r="J85" s="162">
        <v>44216</v>
      </c>
      <c r="K85" s="6" t="s">
        <v>700</v>
      </c>
      <c r="L85" s="162">
        <v>44216</v>
      </c>
      <c r="M85" s="175" t="s">
        <v>5302</v>
      </c>
      <c r="O85" s="6" t="s">
        <v>280</v>
      </c>
      <c r="P85" s="6" t="str">
        <f t="shared" si="4"/>
        <v>NonCategory</v>
      </c>
      <c r="Q85" t="str">
        <f t="shared" si="5"/>
        <v>2021</v>
      </c>
    </row>
    <row r="86" spans="1:17">
      <c r="A86" s="162">
        <v>44216</v>
      </c>
      <c r="B86" s="164" t="s">
        <v>707</v>
      </c>
      <c r="C86" s="164" t="s">
        <v>547</v>
      </c>
      <c r="D86" s="164" t="s">
        <v>96</v>
      </c>
      <c r="E86" s="79">
        <v>44197</v>
      </c>
      <c r="F86" s="6" t="s">
        <v>16</v>
      </c>
      <c r="G86" s="6" t="s">
        <v>536</v>
      </c>
      <c r="H86" s="170">
        <v>20500</v>
      </c>
      <c r="I86" s="172">
        <f t="shared" si="3"/>
        <v>234.76866697205682</v>
      </c>
      <c r="J86" s="162">
        <v>44217</v>
      </c>
      <c r="K86" s="6" t="s">
        <v>700</v>
      </c>
      <c r="L86" s="162">
        <v>44217</v>
      </c>
      <c r="M86" s="175" t="s">
        <v>5303</v>
      </c>
      <c r="O86" s="6" t="s">
        <v>356</v>
      </c>
      <c r="P86" s="6" t="str">
        <f t="shared" si="4"/>
        <v>Category</v>
      </c>
      <c r="Q86" t="str">
        <f t="shared" si="5"/>
        <v>2021</v>
      </c>
    </row>
    <row r="87" spans="1:17">
      <c r="A87" s="162">
        <v>44219</v>
      </c>
      <c r="B87" s="164" t="s">
        <v>677</v>
      </c>
      <c r="C87" s="164" t="s">
        <v>705</v>
      </c>
      <c r="D87" s="164" t="s">
        <v>97</v>
      </c>
      <c r="E87" s="79">
        <v>44197</v>
      </c>
      <c r="F87" s="6" t="s">
        <v>16</v>
      </c>
      <c r="G87" s="6" t="s">
        <v>713</v>
      </c>
      <c r="H87" s="170">
        <v>20000</v>
      </c>
      <c r="I87" s="172">
        <f t="shared" si="3"/>
        <v>229.04260192395787</v>
      </c>
      <c r="J87" s="162">
        <v>44219</v>
      </c>
      <c r="K87" s="6" t="s">
        <v>700</v>
      </c>
      <c r="L87" s="162">
        <v>44219</v>
      </c>
      <c r="M87" s="175" t="s">
        <v>5304</v>
      </c>
      <c r="O87" s="6" t="s">
        <v>356</v>
      </c>
      <c r="P87" s="6" t="str">
        <f t="shared" si="4"/>
        <v>Category</v>
      </c>
      <c r="Q87" t="str">
        <f t="shared" si="5"/>
        <v>2021</v>
      </c>
    </row>
    <row r="88" spans="1:17">
      <c r="A88" s="162">
        <v>44221</v>
      </c>
      <c r="B88" s="164" t="s">
        <v>729</v>
      </c>
      <c r="C88" s="164" t="s">
        <v>278</v>
      </c>
      <c r="D88" s="164" t="s">
        <v>96</v>
      </c>
      <c r="E88" s="79">
        <v>44197</v>
      </c>
      <c r="F88" s="6" t="s">
        <v>16</v>
      </c>
      <c r="G88" s="6" t="s">
        <v>536</v>
      </c>
      <c r="H88" s="170">
        <v>20000</v>
      </c>
      <c r="I88" s="172">
        <f t="shared" si="3"/>
        <v>229.04260192395787</v>
      </c>
      <c r="J88" s="162">
        <v>44221</v>
      </c>
      <c r="K88" s="6" t="s">
        <v>731</v>
      </c>
      <c r="L88" s="162">
        <v>44221</v>
      </c>
      <c r="M88" s="175" t="s">
        <v>5305</v>
      </c>
      <c r="N88" s="6" t="s">
        <v>732</v>
      </c>
      <c r="O88" s="6" t="s">
        <v>733</v>
      </c>
      <c r="P88" s="6" t="str">
        <f t="shared" si="4"/>
        <v>Category</v>
      </c>
      <c r="Q88" t="str">
        <f t="shared" si="5"/>
        <v>2021</v>
      </c>
    </row>
    <row r="89" spans="1:17">
      <c r="A89" s="162">
        <v>44221</v>
      </c>
      <c r="B89" s="164" t="s">
        <v>460</v>
      </c>
      <c r="C89" s="164" t="s">
        <v>736</v>
      </c>
      <c r="D89" s="164" t="s">
        <v>97</v>
      </c>
      <c r="E89" s="79">
        <v>44197</v>
      </c>
      <c r="F89" s="6" t="s">
        <v>16</v>
      </c>
      <c r="G89" s="6" t="s">
        <v>737</v>
      </c>
      <c r="H89" s="170">
        <v>20000</v>
      </c>
      <c r="I89" s="172">
        <f t="shared" si="3"/>
        <v>229.04260192395787</v>
      </c>
      <c r="J89" s="162">
        <v>44221</v>
      </c>
      <c r="K89" s="6" t="s">
        <v>731</v>
      </c>
      <c r="L89" s="162">
        <v>44221</v>
      </c>
      <c r="M89" s="175" t="s">
        <v>5306</v>
      </c>
      <c r="O89" s="6" t="s">
        <v>356</v>
      </c>
      <c r="P89" s="6" t="str">
        <f t="shared" si="4"/>
        <v>Category</v>
      </c>
      <c r="Q89" t="str">
        <f t="shared" si="5"/>
        <v>2021</v>
      </c>
    </row>
    <row r="90" spans="1:17">
      <c r="A90" s="162">
        <v>44217</v>
      </c>
      <c r="B90" s="164" t="s">
        <v>2</v>
      </c>
      <c r="C90" s="164" t="s">
        <v>303</v>
      </c>
      <c r="D90" s="164" t="s">
        <v>96</v>
      </c>
      <c r="E90" s="79">
        <v>44197</v>
      </c>
      <c r="F90" s="6" t="s">
        <v>16</v>
      </c>
      <c r="G90" s="6" t="s">
        <v>486</v>
      </c>
      <c r="H90" s="170">
        <v>20000</v>
      </c>
      <c r="I90" s="172">
        <f t="shared" si="3"/>
        <v>229.04260192395787</v>
      </c>
      <c r="J90" s="162">
        <v>44218</v>
      </c>
      <c r="K90" s="6" t="s">
        <v>731</v>
      </c>
      <c r="L90" s="162">
        <v>44222</v>
      </c>
      <c r="M90" s="175" t="s">
        <v>5307</v>
      </c>
      <c r="O90" s="6" t="s">
        <v>280</v>
      </c>
      <c r="P90" s="6" t="str">
        <f t="shared" si="4"/>
        <v>Category</v>
      </c>
      <c r="Q90" t="str">
        <f t="shared" si="5"/>
        <v>2021</v>
      </c>
    </row>
    <row r="91" spans="1:17">
      <c r="A91" s="162">
        <v>44223</v>
      </c>
      <c r="B91" s="164" t="s">
        <v>739</v>
      </c>
      <c r="C91" s="164" t="s">
        <v>303</v>
      </c>
      <c r="D91" s="164" t="s">
        <v>96</v>
      </c>
      <c r="E91" s="79">
        <v>44197</v>
      </c>
      <c r="F91" s="6" t="s">
        <v>16</v>
      </c>
      <c r="G91" s="6" t="s">
        <v>536</v>
      </c>
      <c r="H91" s="170">
        <v>20000</v>
      </c>
      <c r="I91" s="172">
        <f t="shared" si="3"/>
        <v>229.04260192395787</v>
      </c>
      <c r="J91" s="162">
        <v>44223</v>
      </c>
      <c r="K91" s="6" t="s">
        <v>731</v>
      </c>
      <c r="L91" s="162">
        <v>44223</v>
      </c>
      <c r="M91" s="175" t="s">
        <v>5308</v>
      </c>
      <c r="O91" s="6" t="s">
        <v>280</v>
      </c>
      <c r="P91" s="6" t="str">
        <f t="shared" si="4"/>
        <v>Category</v>
      </c>
      <c r="Q91" t="str">
        <f t="shared" si="5"/>
        <v>2021</v>
      </c>
    </row>
    <row r="92" spans="1:17">
      <c r="A92" s="162">
        <v>44224</v>
      </c>
      <c r="B92" s="164" t="s">
        <v>743</v>
      </c>
      <c r="C92" s="164" t="s">
        <v>291</v>
      </c>
      <c r="D92" s="164" t="s">
        <v>96</v>
      </c>
      <c r="E92" s="79">
        <v>44197</v>
      </c>
      <c r="F92" s="6" t="s">
        <v>16</v>
      </c>
      <c r="G92" s="6" t="s">
        <v>745</v>
      </c>
      <c r="H92" s="170">
        <v>22000</v>
      </c>
      <c r="I92" s="172">
        <f t="shared" si="3"/>
        <v>251.94686211635369</v>
      </c>
      <c r="J92" s="162">
        <v>44224</v>
      </c>
      <c r="K92" s="6" t="s">
        <v>731</v>
      </c>
      <c r="L92" s="162">
        <v>44224</v>
      </c>
      <c r="M92" s="175" t="s">
        <v>5309</v>
      </c>
      <c r="O92" s="6" t="s">
        <v>356</v>
      </c>
      <c r="P92" s="6" t="str">
        <f t="shared" si="4"/>
        <v>Category</v>
      </c>
      <c r="Q92" t="str">
        <f t="shared" si="5"/>
        <v>2021</v>
      </c>
    </row>
    <row r="93" spans="1:17">
      <c r="A93" s="162">
        <v>44216</v>
      </c>
      <c r="B93" s="164" t="s">
        <v>746</v>
      </c>
      <c r="C93" s="164" t="s">
        <v>278</v>
      </c>
      <c r="D93" s="164" t="s">
        <v>96</v>
      </c>
      <c r="E93" s="79">
        <v>44197</v>
      </c>
      <c r="F93" s="6" t="s">
        <v>16</v>
      </c>
      <c r="G93" s="6" t="s">
        <v>520</v>
      </c>
      <c r="H93" s="170">
        <v>20500</v>
      </c>
      <c r="I93" s="172">
        <f t="shared" si="3"/>
        <v>234.76866697205682</v>
      </c>
      <c r="J93" s="162">
        <v>44216</v>
      </c>
      <c r="L93" s="174">
        <v>44218</v>
      </c>
      <c r="M93" s="175" t="s">
        <v>5310</v>
      </c>
      <c r="N93" s="6" t="s">
        <v>748</v>
      </c>
      <c r="O93" s="169" t="s">
        <v>5181</v>
      </c>
      <c r="P93" s="6" t="str">
        <f t="shared" si="4"/>
        <v>Category</v>
      </c>
      <c r="Q93" t="str">
        <f t="shared" si="5"/>
        <v>2021</v>
      </c>
    </row>
    <row r="94" spans="1:17">
      <c r="A94" s="162">
        <v>44224</v>
      </c>
      <c r="B94" s="164" t="s">
        <v>749</v>
      </c>
      <c r="C94" s="164" t="s">
        <v>291</v>
      </c>
      <c r="D94" s="164" t="s">
        <v>97</v>
      </c>
      <c r="E94" s="79">
        <v>44197</v>
      </c>
      <c r="F94" s="6" t="s">
        <v>16</v>
      </c>
      <c r="G94" s="6" t="s">
        <v>548</v>
      </c>
      <c r="H94" s="170">
        <v>24780</v>
      </c>
      <c r="I94" s="172">
        <f t="shared" si="3"/>
        <v>283.7837837837838</v>
      </c>
      <c r="J94" s="162">
        <v>44224</v>
      </c>
      <c r="K94" s="6" t="s">
        <v>731</v>
      </c>
      <c r="L94" s="162">
        <v>44224</v>
      </c>
      <c r="M94" s="175" t="s">
        <v>751</v>
      </c>
      <c r="O94" s="6" t="s">
        <v>356</v>
      </c>
      <c r="P94" s="6" t="str">
        <f t="shared" si="4"/>
        <v>Category</v>
      </c>
      <c r="Q94" t="str">
        <f t="shared" si="5"/>
        <v>2021</v>
      </c>
    </row>
    <row r="95" spans="1:17">
      <c r="A95" s="162">
        <v>44224</v>
      </c>
      <c r="B95" s="164" t="s">
        <v>754</v>
      </c>
      <c r="C95" s="164" t="s">
        <v>705</v>
      </c>
      <c r="D95" s="164" t="s">
        <v>25</v>
      </c>
      <c r="E95" s="79">
        <v>44197</v>
      </c>
      <c r="F95" s="6" t="s">
        <v>16</v>
      </c>
      <c r="G95" s="6" t="s">
        <v>536</v>
      </c>
      <c r="H95" s="170">
        <v>53100</v>
      </c>
      <c r="I95" s="172">
        <f t="shared" si="3"/>
        <v>608.10810810810813</v>
      </c>
      <c r="J95" s="162">
        <v>44224</v>
      </c>
      <c r="K95" s="6" t="s">
        <v>731</v>
      </c>
      <c r="L95" s="162">
        <v>44225</v>
      </c>
      <c r="M95" s="175" t="s">
        <v>5311</v>
      </c>
      <c r="O95" s="6" t="s">
        <v>280</v>
      </c>
      <c r="P95" s="6" t="str">
        <f t="shared" si="4"/>
        <v>SAFe que</v>
      </c>
      <c r="Q95" t="str">
        <f t="shared" si="5"/>
        <v>2021</v>
      </c>
    </row>
    <row r="96" spans="1:17">
      <c r="A96" s="162">
        <v>44224</v>
      </c>
      <c r="B96" s="164" t="s">
        <v>754</v>
      </c>
      <c r="C96" s="164" t="s">
        <v>705</v>
      </c>
      <c r="D96" s="164" t="s">
        <v>532</v>
      </c>
      <c r="E96" s="79">
        <v>44197</v>
      </c>
      <c r="F96" s="6" t="s">
        <v>16</v>
      </c>
      <c r="G96" s="97">
        <v>44233</v>
      </c>
      <c r="H96" s="170">
        <v>8500</v>
      </c>
      <c r="I96" s="172">
        <f t="shared" si="3"/>
        <v>97.343105817682087</v>
      </c>
      <c r="J96" s="162">
        <v>44224</v>
      </c>
      <c r="K96" s="6" t="s">
        <v>731</v>
      </c>
      <c r="L96" s="162">
        <v>44225</v>
      </c>
      <c r="M96" s="175" t="s">
        <v>5312</v>
      </c>
      <c r="O96" s="6" t="s">
        <v>280</v>
      </c>
      <c r="P96" s="6" t="str">
        <f t="shared" si="4"/>
        <v>NonCategory</v>
      </c>
      <c r="Q96" t="str">
        <f t="shared" si="5"/>
        <v>2021</v>
      </c>
    </row>
    <row r="97" spans="1:17">
      <c r="A97" s="162">
        <v>44216</v>
      </c>
      <c r="B97" s="164" t="s">
        <v>763</v>
      </c>
      <c r="C97" s="164" t="s">
        <v>278</v>
      </c>
      <c r="D97" s="164" t="s">
        <v>96</v>
      </c>
      <c r="E97" s="79">
        <v>44197</v>
      </c>
      <c r="F97" s="6" t="s">
        <v>16</v>
      </c>
      <c r="G97" s="6" t="s">
        <v>548</v>
      </c>
      <c r="H97" s="170">
        <v>20000</v>
      </c>
      <c r="I97" s="172">
        <f t="shared" si="3"/>
        <v>229.04260192395787</v>
      </c>
      <c r="J97" s="162">
        <v>44221</v>
      </c>
      <c r="K97" s="6" t="s">
        <v>731</v>
      </c>
      <c r="L97" s="162">
        <v>44226</v>
      </c>
      <c r="M97" s="175" t="s">
        <v>5313</v>
      </c>
      <c r="N97" s="6" t="s">
        <v>765</v>
      </c>
      <c r="O97" s="6" t="s">
        <v>280</v>
      </c>
      <c r="P97" s="6" t="str">
        <f t="shared" si="4"/>
        <v>Category</v>
      </c>
      <c r="Q97" t="str">
        <f t="shared" si="5"/>
        <v>2021</v>
      </c>
    </row>
    <row r="98" spans="1:17">
      <c r="A98" s="162">
        <v>44226</v>
      </c>
      <c r="B98" s="164" t="s">
        <v>766</v>
      </c>
      <c r="C98" s="164" t="s">
        <v>303</v>
      </c>
      <c r="D98" s="164" t="s">
        <v>96</v>
      </c>
      <c r="E98" s="79">
        <v>44197</v>
      </c>
      <c r="F98" s="6" t="s">
        <v>16</v>
      </c>
      <c r="G98" s="6" t="s">
        <v>486</v>
      </c>
      <c r="H98" s="170">
        <v>20000</v>
      </c>
      <c r="I98" s="172">
        <f t="shared" si="3"/>
        <v>229.04260192395787</v>
      </c>
      <c r="J98" s="162">
        <v>44226</v>
      </c>
      <c r="K98" s="6" t="s">
        <v>731</v>
      </c>
      <c r="L98" s="162">
        <v>44226</v>
      </c>
      <c r="M98" s="175" t="s">
        <v>5314</v>
      </c>
      <c r="O98" s="6" t="s">
        <v>356</v>
      </c>
      <c r="P98" s="6" t="str">
        <f t="shared" si="4"/>
        <v>Category</v>
      </c>
      <c r="Q98" t="str">
        <f t="shared" si="5"/>
        <v>2021</v>
      </c>
    </row>
    <row r="99" spans="1:17">
      <c r="A99" s="162">
        <v>44216</v>
      </c>
      <c r="B99" s="164" t="s">
        <v>775</v>
      </c>
      <c r="C99" s="164" t="s">
        <v>319</v>
      </c>
      <c r="D99" s="164" t="s">
        <v>96</v>
      </c>
      <c r="E99" s="79">
        <v>44197</v>
      </c>
      <c r="F99" s="6" t="s">
        <v>16</v>
      </c>
      <c r="G99" s="6" t="s">
        <v>486</v>
      </c>
      <c r="H99" s="170">
        <v>19000</v>
      </c>
      <c r="I99" s="172">
        <f t="shared" si="3"/>
        <v>217.59047182775998</v>
      </c>
      <c r="J99" s="162">
        <v>44222</v>
      </c>
      <c r="K99" s="6" t="s">
        <v>731</v>
      </c>
      <c r="L99" s="162">
        <v>44227</v>
      </c>
      <c r="M99" s="175" t="s">
        <v>5315</v>
      </c>
      <c r="O99" s="6" t="s">
        <v>280</v>
      </c>
      <c r="P99" s="6" t="str">
        <f t="shared" si="4"/>
        <v>Category</v>
      </c>
      <c r="Q99" t="str">
        <f t="shared" si="5"/>
        <v>2021</v>
      </c>
    </row>
    <row r="100" spans="1:17">
      <c r="A100" s="162">
        <v>44227</v>
      </c>
      <c r="B100" s="164" t="s">
        <v>782</v>
      </c>
      <c r="C100" s="164" t="s">
        <v>303</v>
      </c>
      <c r="D100" s="164" t="s">
        <v>96</v>
      </c>
      <c r="E100" s="79">
        <v>44197</v>
      </c>
      <c r="F100" s="6" t="s">
        <v>16</v>
      </c>
      <c r="G100" s="6" t="s">
        <v>486</v>
      </c>
      <c r="H100" s="170">
        <v>20000</v>
      </c>
      <c r="I100" s="172">
        <f t="shared" si="3"/>
        <v>229.04260192395787</v>
      </c>
      <c r="J100" s="162">
        <v>44227</v>
      </c>
      <c r="K100" s="6" t="s">
        <v>731</v>
      </c>
      <c r="L100" s="162">
        <v>44227</v>
      </c>
      <c r="M100" s="175" t="s">
        <v>5316</v>
      </c>
      <c r="O100" s="6" t="s">
        <v>356</v>
      </c>
      <c r="P100" s="6" t="str">
        <f t="shared" si="4"/>
        <v>Category</v>
      </c>
      <c r="Q100" t="str">
        <f t="shared" si="5"/>
        <v>2021</v>
      </c>
    </row>
    <row r="101" spans="1:17">
      <c r="A101" s="162">
        <v>44163</v>
      </c>
      <c r="B101" s="164" t="s">
        <v>784</v>
      </c>
      <c r="C101" s="164" t="s">
        <v>278</v>
      </c>
      <c r="D101" s="164" t="s">
        <v>96</v>
      </c>
      <c r="E101" s="79">
        <v>44228</v>
      </c>
      <c r="F101" s="6" t="s">
        <v>16</v>
      </c>
      <c r="G101" s="6" t="s">
        <v>486</v>
      </c>
      <c r="H101" s="170">
        <v>20000</v>
      </c>
      <c r="I101" s="172">
        <f t="shared" si="3"/>
        <v>229.04260192395787</v>
      </c>
      <c r="J101" s="162" t="s">
        <v>315</v>
      </c>
      <c r="K101" s="6" t="s">
        <v>502</v>
      </c>
      <c r="L101" s="162">
        <v>44228</v>
      </c>
      <c r="M101" s="175" t="s">
        <v>5317</v>
      </c>
      <c r="N101" s="6" t="s">
        <v>786</v>
      </c>
      <c r="O101" s="6" t="s">
        <v>280</v>
      </c>
      <c r="P101" s="6" t="str">
        <f t="shared" si="4"/>
        <v>Category</v>
      </c>
      <c r="Q101" t="str">
        <f t="shared" si="5"/>
        <v>2021</v>
      </c>
    </row>
    <row r="102" spans="1:17">
      <c r="A102" s="162">
        <v>44216</v>
      </c>
      <c r="B102" s="164" t="s">
        <v>787</v>
      </c>
      <c r="C102" s="164" t="s">
        <v>278</v>
      </c>
      <c r="D102" s="164" t="s">
        <v>96</v>
      </c>
      <c r="E102" s="79">
        <v>44228</v>
      </c>
      <c r="F102" s="6" t="s">
        <v>16</v>
      </c>
      <c r="G102" s="6" t="s">
        <v>486</v>
      </c>
      <c r="H102" s="170">
        <v>20000</v>
      </c>
      <c r="I102" s="172">
        <f t="shared" si="3"/>
        <v>229.04260192395787</v>
      </c>
      <c r="J102" s="162">
        <v>44228</v>
      </c>
      <c r="K102" s="6" t="s">
        <v>502</v>
      </c>
      <c r="L102" s="162">
        <v>44229</v>
      </c>
      <c r="M102" s="175" t="s">
        <v>5318</v>
      </c>
      <c r="N102" s="6" t="s">
        <v>732</v>
      </c>
      <c r="O102" s="6" t="s">
        <v>280</v>
      </c>
      <c r="P102" s="6" t="str">
        <f t="shared" si="4"/>
        <v>Category</v>
      </c>
      <c r="Q102" t="str">
        <f t="shared" si="5"/>
        <v>2021</v>
      </c>
    </row>
    <row r="103" spans="1:17">
      <c r="A103" s="162">
        <v>44228</v>
      </c>
      <c r="B103" s="164" t="s">
        <v>789</v>
      </c>
      <c r="C103" s="164" t="s">
        <v>291</v>
      </c>
      <c r="D103" s="164" t="s">
        <v>96</v>
      </c>
      <c r="E103" s="79">
        <v>44228</v>
      </c>
      <c r="F103" s="6" t="s">
        <v>16</v>
      </c>
      <c r="G103" s="6" t="s">
        <v>548</v>
      </c>
      <c r="H103" s="170">
        <v>20500</v>
      </c>
      <c r="I103" s="172">
        <f t="shared" si="3"/>
        <v>234.76866697205682</v>
      </c>
      <c r="J103" s="162">
        <v>44229</v>
      </c>
      <c r="K103" s="6" t="s">
        <v>502</v>
      </c>
      <c r="L103" s="162">
        <v>44229</v>
      </c>
      <c r="M103" s="175" t="s">
        <v>5319</v>
      </c>
      <c r="O103" s="6" t="s">
        <v>280</v>
      </c>
      <c r="P103" s="6" t="str">
        <f t="shared" si="4"/>
        <v>Category</v>
      </c>
      <c r="Q103" t="str">
        <f t="shared" si="5"/>
        <v>2021</v>
      </c>
    </row>
    <row r="104" spans="1:17">
      <c r="A104" s="162">
        <v>44229</v>
      </c>
      <c r="B104" s="164" t="s">
        <v>799</v>
      </c>
      <c r="C104" s="164" t="s">
        <v>303</v>
      </c>
      <c r="D104" s="164" t="s">
        <v>96</v>
      </c>
      <c r="E104" s="79">
        <v>44228</v>
      </c>
      <c r="F104" s="6" t="s">
        <v>16</v>
      </c>
      <c r="G104" s="6" t="s">
        <v>486</v>
      </c>
      <c r="H104" s="170">
        <v>20500</v>
      </c>
      <c r="I104" s="172">
        <f t="shared" si="3"/>
        <v>234.76866697205682</v>
      </c>
      <c r="J104" s="162">
        <v>44230</v>
      </c>
      <c r="K104" s="6" t="s">
        <v>502</v>
      </c>
      <c r="L104" s="162">
        <v>44230</v>
      </c>
      <c r="M104" s="175" t="s">
        <v>5320</v>
      </c>
      <c r="O104" s="6" t="s">
        <v>280</v>
      </c>
      <c r="P104" s="6" t="str">
        <f t="shared" si="4"/>
        <v>Category</v>
      </c>
      <c r="Q104" t="str">
        <f t="shared" si="5"/>
        <v>2021</v>
      </c>
    </row>
    <row r="105" spans="1:17">
      <c r="A105" s="162">
        <v>44230</v>
      </c>
      <c r="B105" s="164" t="s">
        <v>803</v>
      </c>
      <c r="C105" s="164" t="s">
        <v>435</v>
      </c>
      <c r="D105" s="164" t="s">
        <v>150</v>
      </c>
      <c r="E105" s="79">
        <v>44228</v>
      </c>
      <c r="F105" s="6" t="s">
        <v>16</v>
      </c>
      <c r="G105" s="6" t="s">
        <v>486</v>
      </c>
      <c r="H105" s="170">
        <v>20500</v>
      </c>
      <c r="I105" s="172">
        <f t="shared" si="3"/>
        <v>234.76866697205682</v>
      </c>
      <c r="J105" s="162">
        <v>44230</v>
      </c>
      <c r="K105" s="6" t="s">
        <v>502</v>
      </c>
      <c r="L105" s="162">
        <v>44230</v>
      </c>
      <c r="M105" s="175" t="s">
        <v>5321</v>
      </c>
      <c r="O105" s="6" t="s">
        <v>356</v>
      </c>
      <c r="P105" s="6" t="str">
        <f t="shared" si="4"/>
        <v>SAFe que</v>
      </c>
      <c r="Q105" t="str">
        <f t="shared" si="5"/>
        <v>2021</v>
      </c>
    </row>
    <row r="106" spans="1:17">
      <c r="A106" s="162">
        <v>44231</v>
      </c>
      <c r="B106" s="164" t="s">
        <v>813</v>
      </c>
      <c r="C106" s="164" t="s">
        <v>303</v>
      </c>
      <c r="D106" s="164" t="s">
        <v>96</v>
      </c>
      <c r="E106" s="79">
        <v>44228</v>
      </c>
      <c r="F106" s="6" t="s">
        <v>16</v>
      </c>
      <c r="G106" s="6" t="s">
        <v>486</v>
      </c>
      <c r="H106" s="170">
        <v>19000</v>
      </c>
      <c r="I106" s="172">
        <f t="shared" si="3"/>
        <v>217.59047182775998</v>
      </c>
      <c r="J106" s="162">
        <v>44231</v>
      </c>
      <c r="K106" s="6" t="s">
        <v>502</v>
      </c>
      <c r="L106" s="162">
        <v>44231</v>
      </c>
      <c r="M106" s="175" t="s">
        <v>5322</v>
      </c>
      <c r="O106" s="6" t="s">
        <v>280</v>
      </c>
      <c r="P106" s="6" t="str">
        <f t="shared" si="4"/>
        <v>Category</v>
      </c>
      <c r="Q106" t="str">
        <f t="shared" si="5"/>
        <v>2021</v>
      </c>
    </row>
    <row r="107" spans="1:17">
      <c r="A107" s="162">
        <v>44232</v>
      </c>
      <c r="B107" s="164" t="s">
        <v>815</v>
      </c>
      <c r="C107" s="164" t="s">
        <v>303</v>
      </c>
      <c r="D107" s="164" t="s">
        <v>96</v>
      </c>
      <c r="E107" s="79">
        <v>44228</v>
      </c>
      <c r="F107" s="6" t="s">
        <v>16</v>
      </c>
      <c r="G107" s="6" t="s">
        <v>548</v>
      </c>
      <c r="H107" s="170">
        <v>20500</v>
      </c>
      <c r="I107" s="172">
        <f t="shared" si="3"/>
        <v>234.76866697205682</v>
      </c>
      <c r="J107" s="162">
        <v>44232</v>
      </c>
      <c r="K107" s="6" t="s">
        <v>502</v>
      </c>
      <c r="L107" s="162">
        <v>44232</v>
      </c>
      <c r="M107" s="175" t="s">
        <v>5323</v>
      </c>
      <c r="O107" s="6" t="s">
        <v>280</v>
      </c>
      <c r="P107" s="6" t="str">
        <f t="shared" si="4"/>
        <v>Category</v>
      </c>
      <c r="Q107" t="str">
        <f t="shared" si="5"/>
        <v>2021</v>
      </c>
    </row>
    <row r="108" spans="1:17">
      <c r="A108" s="162">
        <v>44232</v>
      </c>
      <c r="B108" s="164" t="s">
        <v>819</v>
      </c>
      <c r="C108" s="164" t="s">
        <v>571</v>
      </c>
      <c r="D108" s="164" t="s">
        <v>821</v>
      </c>
      <c r="E108" s="79">
        <v>44228</v>
      </c>
      <c r="F108" s="6" t="s">
        <v>16</v>
      </c>
      <c r="G108" s="6" t="s">
        <v>822</v>
      </c>
      <c r="H108" s="170">
        <v>2360</v>
      </c>
      <c r="I108" s="172">
        <f t="shared" si="3"/>
        <v>27.027027027027028</v>
      </c>
      <c r="J108" s="162">
        <v>44232</v>
      </c>
      <c r="K108" s="6" t="s">
        <v>502</v>
      </c>
      <c r="L108" s="162">
        <v>44232</v>
      </c>
      <c r="M108" s="175" t="s">
        <v>823</v>
      </c>
      <c r="O108" s="169" t="s">
        <v>5181</v>
      </c>
      <c r="P108" s="6" t="str">
        <f t="shared" si="4"/>
        <v>NonCategory</v>
      </c>
      <c r="Q108" t="str">
        <f t="shared" si="5"/>
        <v>2021</v>
      </c>
    </row>
    <row r="109" spans="1:17">
      <c r="A109" s="162">
        <v>44232</v>
      </c>
      <c r="B109" s="164" t="s">
        <v>815</v>
      </c>
      <c r="C109" s="164" t="s">
        <v>274</v>
      </c>
      <c r="D109" s="164" t="s">
        <v>96</v>
      </c>
      <c r="E109" s="79">
        <v>44228</v>
      </c>
      <c r="F109" s="6" t="s">
        <v>16</v>
      </c>
      <c r="G109" s="6" t="s">
        <v>548</v>
      </c>
      <c r="H109" s="170">
        <v>500</v>
      </c>
      <c r="I109" s="172">
        <f t="shared" si="3"/>
        <v>5.7260650480989472</v>
      </c>
      <c r="J109" s="162">
        <v>44232</v>
      </c>
      <c r="K109" s="6" t="s">
        <v>502</v>
      </c>
      <c r="L109" s="162">
        <v>44232</v>
      </c>
      <c r="M109" s="175" t="s">
        <v>5324</v>
      </c>
      <c r="O109" s="6" t="s">
        <v>280</v>
      </c>
      <c r="P109" s="6" t="str">
        <f t="shared" si="4"/>
        <v>Category</v>
      </c>
      <c r="Q109" t="str">
        <f t="shared" si="5"/>
        <v>2021</v>
      </c>
    </row>
    <row r="110" spans="1:17">
      <c r="A110" s="162">
        <v>44229</v>
      </c>
      <c r="B110" s="164" t="s">
        <v>827</v>
      </c>
      <c r="C110" s="164" t="s">
        <v>303</v>
      </c>
      <c r="D110" s="164" t="s">
        <v>25</v>
      </c>
      <c r="E110" s="79">
        <v>44228</v>
      </c>
      <c r="F110" s="6" t="s">
        <v>16</v>
      </c>
      <c r="G110" s="6" t="s">
        <v>579</v>
      </c>
      <c r="H110" s="170">
        <v>48000</v>
      </c>
      <c r="I110" s="172">
        <f t="shared" si="3"/>
        <v>549.70224461749888</v>
      </c>
      <c r="J110" s="162">
        <v>44233</v>
      </c>
      <c r="K110" s="6" t="s">
        <v>502</v>
      </c>
      <c r="L110" s="162">
        <v>44233</v>
      </c>
      <c r="M110" s="175" t="s">
        <v>5325</v>
      </c>
      <c r="O110" s="6" t="s">
        <v>280</v>
      </c>
      <c r="P110" s="6" t="str">
        <f t="shared" si="4"/>
        <v>SAFe que</v>
      </c>
      <c r="Q110" t="str">
        <f t="shared" si="5"/>
        <v>2021</v>
      </c>
    </row>
    <row r="111" spans="1:17">
      <c r="A111" s="162">
        <v>44204</v>
      </c>
      <c r="B111" s="164" t="s">
        <v>833</v>
      </c>
      <c r="C111" s="164" t="s">
        <v>303</v>
      </c>
      <c r="D111" s="164" t="s">
        <v>96</v>
      </c>
      <c r="E111" s="79">
        <v>44228</v>
      </c>
      <c r="F111" s="6" t="s">
        <v>16</v>
      </c>
      <c r="G111" s="6" t="s">
        <v>649</v>
      </c>
      <c r="H111" s="170">
        <v>19000</v>
      </c>
      <c r="I111" s="172">
        <f t="shared" si="3"/>
        <v>217.59047182775998</v>
      </c>
      <c r="J111" s="162">
        <v>44206</v>
      </c>
      <c r="K111" s="6" t="s">
        <v>650</v>
      </c>
      <c r="L111" s="162">
        <v>44236</v>
      </c>
      <c r="M111" s="175" t="s">
        <v>5326</v>
      </c>
      <c r="O111" s="6" t="s">
        <v>356</v>
      </c>
      <c r="P111" s="6" t="str">
        <f t="shared" si="4"/>
        <v>Category</v>
      </c>
      <c r="Q111" t="str">
        <f t="shared" si="5"/>
        <v>2021</v>
      </c>
    </row>
    <row r="112" spans="1:17">
      <c r="A112" s="162">
        <v>44233</v>
      </c>
      <c r="B112" s="164" t="s">
        <v>835</v>
      </c>
      <c r="C112" s="164" t="s">
        <v>303</v>
      </c>
      <c r="D112" s="164" t="s">
        <v>402</v>
      </c>
      <c r="E112" s="79">
        <v>44228</v>
      </c>
      <c r="F112" s="6" t="s">
        <v>16</v>
      </c>
      <c r="G112" s="97">
        <v>44247</v>
      </c>
      <c r="H112" s="170">
        <v>22500</v>
      </c>
      <c r="I112" s="172">
        <f t="shared" si="3"/>
        <v>257.67292716445257</v>
      </c>
      <c r="J112" s="162">
        <v>44233</v>
      </c>
      <c r="K112" s="6" t="s">
        <v>650</v>
      </c>
      <c r="L112" s="162">
        <v>44237</v>
      </c>
      <c r="M112" s="175" t="s">
        <v>5327</v>
      </c>
      <c r="O112" s="6" t="s">
        <v>356</v>
      </c>
      <c r="P112" s="6" t="str">
        <f t="shared" si="4"/>
        <v>NonCategory</v>
      </c>
      <c r="Q112" t="str">
        <f t="shared" si="5"/>
        <v>2021</v>
      </c>
    </row>
    <row r="113" spans="1:17">
      <c r="A113" s="162">
        <v>44237</v>
      </c>
      <c r="B113" s="164" t="s">
        <v>839</v>
      </c>
      <c r="C113" s="164" t="s">
        <v>303</v>
      </c>
      <c r="D113" s="164" t="s">
        <v>402</v>
      </c>
      <c r="E113" s="79">
        <v>44228</v>
      </c>
      <c r="F113" s="6" t="s">
        <v>16</v>
      </c>
      <c r="G113" s="96">
        <v>44261</v>
      </c>
      <c r="H113" s="170">
        <v>22500</v>
      </c>
      <c r="I113" s="172">
        <f t="shared" si="3"/>
        <v>257.67292716445257</v>
      </c>
      <c r="J113" s="162">
        <v>44237</v>
      </c>
      <c r="K113" s="6" t="s">
        <v>650</v>
      </c>
      <c r="L113" s="162">
        <v>44237</v>
      </c>
      <c r="M113" s="175" t="s">
        <v>5328</v>
      </c>
      <c r="O113" s="6" t="s">
        <v>356</v>
      </c>
      <c r="P113" s="6" t="str">
        <f t="shared" si="4"/>
        <v>NonCategory</v>
      </c>
      <c r="Q113" t="str">
        <f t="shared" si="5"/>
        <v>2021</v>
      </c>
    </row>
    <row r="114" spans="1:17">
      <c r="A114" s="162">
        <v>44239</v>
      </c>
      <c r="B114" s="164" t="s">
        <v>354</v>
      </c>
      <c r="C114" s="164" t="s">
        <v>841</v>
      </c>
      <c r="D114" s="164" t="s">
        <v>842</v>
      </c>
      <c r="E114" s="79">
        <v>44228</v>
      </c>
      <c r="F114" s="6" t="s">
        <v>16</v>
      </c>
      <c r="G114" s="6" t="s">
        <v>21</v>
      </c>
      <c r="H114" s="170">
        <v>26000</v>
      </c>
      <c r="I114" s="172">
        <f t="shared" si="3"/>
        <v>297.75538250114522</v>
      </c>
      <c r="J114" s="162">
        <v>44239</v>
      </c>
      <c r="K114" s="6" t="s">
        <v>650</v>
      </c>
      <c r="L114" s="162">
        <v>44239</v>
      </c>
      <c r="M114" s="175" t="s">
        <v>5329</v>
      </c>
      <c r="O114" s="6" t="s">
        <v>356</v>
      </c>
      <c r="P114" s="6" t="str">
        <f t="shared" si="4"/>
        <v>NonCategory</v>
      </c>
      <c r="Q114" t="str">
        <f t="shared" si="5"/>
        <v>2021</v>
      </c>
    </row>
    <row r="115" spans="1:17">
      <c r="A115" s="162">
        <v>44239</v>
      </c>
      <c r="B115" s="164" t="s">
        <v>789</v>
      </c>
      <c r="C115" s="164" t="s">
        <v>303</v>
      </c>
      <c r="D115" s="164" t="s">
        <v>849</v>
      </c>
      <c r="E115" s="79">
        <v>44228</v>
      </c>
      <c r="F115" s="6" t="s">
        <v>16</v>
      </c>
      <c r="G115" s="97">
        <v>44248</v>
      </c>
      <c r="H115" s="170">
        <v>22418</v>
      </c>
      <c r="I115" s="172">
        <f t="shared" si="3"/>
        <v>256.7338524965644</v>
      </c>
      <c r="J115" s="162">
        <v>44239</v>
      </c>
      <c r="K115" s="6" t="s">
        <v>502</v>
      </c>
      <c r="L115" s="162">
        <v>44239</v>
      </c>
      <c r="M115" s="175" t="s">
        <v>850</v>
      </c>
      <c r="O115" s="169" t="s">
        <v>5181</v>
      </c>
      <c r="P115" s="6" t="str">
        <f t="shared" si="4"/>
        <v>NonCategory</v>
      </c>
      <c r="Q115" t="str">
        <f t="shared" si="5"/>
        <v>2021</v>
      </c>
    </row>
    <row r="116" spans="1:17">
      <c r="A116" s="162">
        <v>44239</v>
      </c>
      <c r="B116" s="164" t="s">
        <v>12</v>
      </c>
      <c r="C116" s="164" t="s">
        <v>291</v>
      </c>
      <c r="D116" s="164" t="s">
        <v>96</v>
      </c>
      <c r="E116" s="79">
        <v>44228</v>
      </c>
      <c r="F116" s="6" t="s">
        <v>16</v>
      </c>
      <c r="G116" s="6" t="s">
        <v>649</v>
      </c>
      <c r="H116" s="170">
        <v>21000</v>
      </c>
      <c r="I116" s="172">
        <f t="shared" si="3"/>
        <v>240.49473202015577</v>
      </c>
      <c r="J116" s="162">
        <v>44242</v>
      </c>
      <c r="K116" s="6" t="s">
        <v>700</v>
      </c>
      <c r="L116" s="162">
        <v>44243</v>
      </c>
      <c r="M116" s="175" t="s">
        <v>5330</v>
      </c>
      <c r="O116" s="6" t="s">
        <v>356</v>
      </c>
      <c r="P116" s="6" t="str">
        <f t="shared" si="4"/>
        <v>Category</v>
      </c>
      <c r="Q116" t="str">
        <f t="shared" si="5"/>
        <v>2021</v>
      </c>
    </row>
    <row r="117" spans="1:17">
      <c r="A117" s="162">
        <v>44242</v>
      </c>
      <c r="B117" s="164" t="s">
        <v>858</v>
      </c>
      <c r="C117" s="164" t="s">
        <v>278</v>
      </c>
      <c r="D117" s="164" t="s">
        <v>151</v>
      </c>
      <c r="E117" s="79">
        <v>44228</v>
      </c>
      <c r="F117" s="6" t="s">
        <v>16</v>
      </c>
      <c r="G117" s="6" t="s">
        <v>649</v>
      </c>
      <c r="H117" s="170">
        <v>20500</v>
      </c>
      <c r="I117" s="172">
        <f t="shared" si="3"/>
        <v>234.76866697205682</v>
      </c>
      <c r="J117" s="162">
        <v>44245</v>
      </c>
      <c r="K117" s="6" t="s">
        <v>700</v>
      </c>
      <c r="L117" s="162">
        <v>44243</v>
      </c>
      <c r="M117" s="175" t="s">
        <v>5331</v>
      </c>
      <c r="N117" s="6" t="s">
        <v>826</v>
      </c>
      <c r="O117" s="6" t="s">
        <v>356</v>
      </c>
      <c r="P117" s="6" t="str">
        <f t="shared" si="4"/>
        <v>SAFe que</v>
      </c>
      <c r="Q117" t="str">
        <f t="shared" si="5"/>
        <v>2021</v>
      </c>
    </row>
    <row r="118" spans="1:17">
      <c r="A118" s="162">
        <v>44244</v>
      </c>
      <c r="B118" s="164" t="s">
        <v>862</v>
      </c>
      <c r="C118" s="164" t="s">
        <v>287</v>
      </c>
      <c r="D118" s="164" t="s">
        <v>151</v>
      </c>
      <c r="E118" s="79">
        <v>44228</v>
      </c>
      <c r="F118" s="6" t="s">
        <v>16</v>
      </c>
      <c r="G118" s="6" t="s">
        <v>649</v>
      </c>
      <c r="H118" s="170">
        <v>21000</v>
      </c>
      <c r="I118" s="172">
        <f t="shared" si="3"/>
        <v>240.49473202015577</v>
      </c>
      <c r="J118" s="162">
        <v>44244</v>
      </c>
      <c r="K118" s="6" t="s">
        <v>700</v>
      </c>
      <c r="L118" s="162">
        <v>44244</v>
      </c>
      <c r="M118" s="175" t="s">
        <v>5332</v>
      </c>
      <c r="O118" s="6" t="s">
        <v>356</v>
      </c>
      <c r="P118" s="6" t="str">
        <f t="shared" si="4"/>
        <v>SAFe que</v>
      </c>
      <c r="Q118" t="str">
        <f t="shared" si="5"/>
        <v>2021</v>
      </c>
    </row>
    <row r="119" spans="1:17">
      <c r="A119" s="162">
        <v>44243</v>
      </c>
      <c r="B119" s="164" t="s">
        <v>868</v>
      </c>
      <c r="C119" s="164" t="s">
        <v>319</v>
      </c>
      <c r="D119" s="164" t="s">
        <v>870</v>
      </c>
      <c r="E119" s="79">
        <v>44228</v>
      </c>
      <c r="F119" s="6" t="s">
        <v>16</v>
      </c>
      <c r="G119" s="6" t="s">
        <v>745</v>
      </c>
      <c r="H119" s="170">
        <v>50000</v>
      </c>
      <c r="I119" s="172">
        <f t="shared" si="3"/>
        <v>572.60650480989466</v>
      </c>
      <c r="J119" s="162">
        <v>44244</v>
      </c>
      <c r="K119" s="6" t="s">
        <v>700</v>
      </c>
      <c r="L119" s="162">
        <v>44245</v>
      </c>
      <c r="M119" s="175" t="s">
        <v>5333</v>
      </c>
      <c r="O119" s="6" t="s">
        <v>280</v>
      </c>
      <c r="P119" s="6" t="str">
        <f t="shared" si="4"/>
        <v>SAFe que</v>
      </c>
      <c r="Q119" t="str">
        <f t="shared" si="5"/>
        <v>2021</v>
      </c>
    </row>
    <row r="120" spans="1:17">
      <c r="A120" s="162">
        <v>44245</v>
      </c>
      <c r="B120" s="164" t="s">
        <v>875</v>
      </c>
      <c r="C120" s="164" t="s">
        <v>287</v>
      </c>
      <c r="D120" s="164" t="s">
        <v>538</v>
      </c>
      <c r="E120" s="79">
        <v>44228</v>
      </c>
      <c r="F120" s="6" t="s">
        <v>16</v>
      </c>
      <c r="G120" s="80">
        <v>44256</v>
      </c>
      <c r="H120" s="170">
        <v>13500</v>
      </c>
      <c r="I120" s="172">
        <f t="shared" si="3"/>
        <v>154.60375629867156</v>
      </c>
      <c r="J120" s="162">
        <v>44247</v>
      </c>
      <c r="K120" s="6" t="s">
        <v>700</v>
      </c>
      <c r="L120" s="162">
        <v>44248</v>
      </c>
      <c r="M120" s="175" t="s">
        <v>5334</v>
      </c>
      <c r="O120" s="6" t="s">
        <v>356</v>
      </c>
      <c r="P120" s="6" t="str">
        <f t="shared" si="4"/>
        <v>NonCategory</v>
      </c>
      <c r="Q120" t="str">
        <f t="shared" si="5"/>
        <v>2021</v>
      </c>
    </row>
    <row r="121" spans="1:17">
      <c r="A121" s="162">
        <v>44245</v>
      </c>
      <c r="B121" s="164" t="s">
        <v>882</v>
      </c>
      <c r="C121" s="164" t="s">
        <v>287</v>
      </c>
      <c r="D121" s="164" t="s">
        <v>97</v>
      </c>
      <c r="E121" s="79">
        <v>44228</v>
      </c>
      <c r="F121" s="6" t="s">
        <v>16</v>
      </c>
      <c r="G121" s="6" t="s">
        <v>275</v>
      </c>
      <c r="H121" s="170">
        <v>20000</v>
      </c>
      <c r="I121" s="172">
        <f t="shared" si="3"/>
        <v>229.04260192395787</v>
      </c>
      <c r="J121" s="162">
        <v>44246</v>
      </c>
      <c r="K121" s="6" t="s">
        <v>731</v>
      </c>
      <c r="L121" s="162">
        <v>44250</v>
      </c>
      <c r="M121" s="175" t="s">
        <v>5335</v>
      </c>
      <c r="O121" s="6" t="s">
        <v>280</v>
      </c>
      <c r="P121" s="6" t="str">
        <f t="shared" si="4"/>
        <v>Category</v>
      </c>
      <c r="Q121" t="str">
        <f t="shared" si="5"/>
        <v>2021</v>
      </c>
    </row>
    <row r="122" spans="1:17">
      <c r="A122" s="163">
        <v>44250</v>
      </c>
      <c r="B122" s="165" t="s">
        <v>886</v>
      </c>
      <c r="C122" s="165" t="s">
        <v>306</v>
      </c>
      <c r="D122" s="165" t="s">
        <v>25</v>
      </c>
      <c r="E122" s="79">
        <v>44228</v>
      </c>
      <c r="F122" s="6" t="s">
        <v>16</v>
      </c>
      <c r="G122" s="6" t="s">
        <v>745</v>
      </c>
      <c r="H122" s="170">
        <v>45000</v>
      </c>
      <c r="I122" s="172">
        <f t="shared" si="3"/>
        <v>515.34585432890515</v>
      </c>
      <c r="J122" s="162">
        <v>44250</v>
      </c>
      <c r="K122" s="6" t="s">
        <v>731</v>
      </c>
      <c r="L122" s="162">
        <v>44250</v>
      </c>
      <c r="M122" s="175" t="s">
        <v>5336</v>
      </c>
      <c r="O122" s="6" t="s">
        <v>280</v>
      </c>
      <c r="P122" s="6" t="str">
        <f t="shared" si="4"/>
        <v>SAFe que</v>
      </c>
      <c r="Q122" t="str">
        <f t="shared" si="5"/>
        <v>2021</v>
      </c>
    </row>
    <row r="123" spans="1:17">
      <c r="A123" s="162">
        <v>44247</v>
      </c>
      <c r="B123" s="164" t="s">
        <v>897</v>
      </c>
      <c r="C123" s="164" t="s">
        <v>303</v>
      </c>
      <c r="D123" s="164" t="s">
        <v>151</v>
      </c>
      <c r="E123" s="79">
        <v>44228</v>
      </c>
      <c r="F123" s="6" t="s">
        <v>16</v>
      </c>
      <c r="G123" s="6" t="s">
        <v>899</v>
      </c>
      <c r="H123" s="170">
        <v>21000</v>
      </c>
      <c r="I123" s="172">
        <f t="shared" si="3"/>
        <v>240.49473202015577</v>
      </c>
      <c r="J123" s="162">
        <v>44249</v>
      </c>
      <c r="K123" s="6" t="s">
        <v>731</v>
      </c>
      <c r="L123" s="162">
        <v>44251</v>
      </c>
      <c r="M123" s="175" t="s">
        <v>5337</v>
      </c>
      <c r="O123" s="6" t="s">
        <v>356</v>
      </c>
      <c r="P123" s="6" t="str">
        <f t="shared" si="4"/>
        <v>SAFe que</v>
      </c>
      <c r="Q123" t="str">
        <f t="shared" si="5"/>
        <v>2021</v>
      </c>
    </row>
    <row r="124" spans="1:17">
      <c r="A124" s="162">
        <v>44251</v>
      </c>
      <c r="B124" s="164" t="s">
        <v>902</v>
      </c>
      <c r="C124" s="164" t="s">
        <v>904</v>
      </c>
      <c r="D124" s="164" t="s">
        <v>96</v>
      </c>
      <c r="E124" s="79">
        <v>44228</v>
      </c>
      <c r="F124" s="6" t="s">
        <v>16</v>
      </c>
      <c r="G124" s="6" t="s">
        <v>579</v>
      </c>
      <c r="H124" s="170">
        <v>20000</v>
      </c>
      <c r="I124" s="172">
        <f t="shared" si="3"/>
        <v>229.04260192395787</v>
      </c>
      <c r="J124" s="162">
        <v>44251</v>
      </c>
      <c r="K124" s="6" t="s">
        <v>731</v>
      </c>
      <c r="L124" s="162">
        <v>44251</v>
      </c>
      <c r="M124" s="175" t="s">
        <v>5338</v>
      </c>
      <c r="O124" s="6" t="s">
        <v>280</v>
      </c>
      <c r="P124" s="6" t="str">
        <f t="shared" si="4"/>
        <v>Category</v>
      </c>
      <c r="Q124" t="str">
        <f t="shared" si="5"/>
        <v>2021</v>
      </c>
    </row>
    <row r="125" spans="1:17">
      <c r="A125" s="162">
        <v>44249</v>
      </c>
      <c r="B125" s="164" t="s">
        <v>907</v>
      </c>
      <c r="C125" s="164" t="s">
        <v>287</v>
      </c>
      <c r="D125" s="164" t="s">
        <v>150</v>
      </c>
      <c r="E125" s="79">
        <v>44228</v>
      </c>
      <c r="F125" s="6" t="s">
        <v>16</v>
      </c>
      <c r="G125" s="6" t="s">
        <v>909</v>
      </c>
      <c r="H125" s="170">
        <v>20500</v>
      </c>
      <c r="I125" s="172">
        <f t="shared" si="3"/>
        <v>234.76866697205682</v>
      </c>
      <c r="J125" s="162">
        <v>44251</v>
      </c>
      <c r="K125" s="6" t="s">
        <v>731</v>
      </c>
      <c r="L125" s="162">
        <v>44251</v>
      </c>
      <c r="M125" s="175" t="s">
        <v>5339</v>
      </c>
      <c r="O125" s="6" t="s">
        <v>280</v>
      </c>
      <c r="P125" s="6" t="str">
        <f t="shared" si="4"/>
        <v>SAFe que</v>
      </c>
      <c r="Q125" t="str">
        <f t="shared" si="5"/>
        <v>2021</v>
      </c>
    </row>
    <row r="126" spans="1:17">
      <c r="A126" s="162">
        <v>44246</v>
      </c>
      <c r="B126" s="164" t="s">
        <v>912</v>
      </c>
      <c r="C126" s="164" t="s">
        <v>319</v>
      </c>
      <c r="D126" s="164" t="s">
        <v>96</v>
      </c>
      <c r="E126" s="79">
        <v>44228</v>
      </c>
      <c r="F126" s="6" t="s">
        <v>16</v>
      </c>
      <c r="G126" s="6" t="s">
        <v>579</v>
      </c>
      <c r="H126" s="170">
        <v>20000</v>
      </c>
      <c r="I126" s="172">
        <f t="shared" si="3"/>
        <v>229.04260192395787</v>
      </c>
      <c r="J126" s="162">
        <v>44249</v>
      </c>
      <c r="K126" s="6" t="s">
        <v>731</v>
      </c>
      <c r="L126" s="162">
        <v>44252</v>
      </c>
      <c r="M126" s="175" t="s">
        <v>5340</v>
      </c>
      <c r="O126" s="6" t="s">
        <v>356</v>
      </c>
      <c r="P126" s="6" t="str">
        <f t="shared" si="4"/>
        <v>Category</v>
      </c>
      <c r="Q126" t="str">
        <f t="shared" si="5"/>
        <v>2021</v>
      </c>
    </row>
    <row r="127" spans="1:17">
      <c r="A127" s="162">
        <v>44252</v>
      </c>
      <c r="B127" s="164" t="s">
        <v>914</v>
      </c>
      <c r="C127" s="164" t="s">
        <v>278</v>
      </c>
      <c r="D127" s="164" t="s">
        <v>96</v>
      </c>
      <c r="E127" s="79">
        <v>44228</v>
      </c>
      <c r="F127" s="6" t="s">
        <v>16</v>
      </c>
      <c r="G127" s="6" t="s">
        <v>745</v>
      </c>
      <c r="H127" s="170">
        <v>20000</v>
      </c>
      <c r="I127" s="172">
        <f t="shared" si="3"/>
        <v>229.04260192395787</v>
      </c>
      <c r="J127" s="162">
        <v>44253</v>
      </c>
      <c r="K127" s="6" t="s">
        <v>731</v>
      </c>
      <c r="L127" s="162">
        <v>44253</v>
      </c>
      <c r="M127" s="175" t="s">
        <v>5341</v>
      </c>
      <c r="N127" s="6" t="s">
        <v>916</v>
      </c>
      <c r="O127" s="6" t="s">
        <v>280</v>
      </c>
      <c r="P127" s="6" t="str">
        <f t="shared" si="4"/>
        <v>Category</v>
      </c>
      <c r="Q127" t="str">
        <f t="shared" si="5"/>
        <v>2021</v>
      </c>
    </row>
    <row r="128" spans="1:17">
      <c r="A128" s="162">
        <v>44251</v>
      </c>
      <c r="B128" s="164" t="s">
        <v>919</v>
      </c>
      <c r="C128" s="164" t="s">
        <v>303</v>
      </c>
      <c r="D128" s="164" t="s">
        <v>96</v>
      </c>
      <c r="E128" s="79">
        <v>44228</v>
      </c>
      <c r="F128" s="6" t="s">
        <v>16</v>
      </c>
      <c r="G128" s="6" t="s">
        <v>745</v>
      </c>
      <c r="H128" s="170">
        <v>18500</v>
      </c>
      <c r="I128" s="172">
        <f t="shared" si="3"/>
        <v>211.86440677966101</v>
      </c>
      <c r="J128" s="162">
        <v>44253</v>
      </c>
      <c r="K128" s="6" t="s">
        <v>731</v>
      </c>
      <c r="L128" s="162">
        <v>44253</v>
      </c>
      <c r="M128" s="175" t="s">
        <v>5342</v>
      </c>
      <c r="O128" s="6" t="s">
        <v>280</v>
      </c>
      <c r="P128" s="6" t="str">
        <f t="shared" si="4"/>
        <v>Category</v>
      </c>
      <c r="Q128" t="str">
        <f t="shared" si="5"/>
        <v>2021</v>
      </c>
    </row>
    <row r="129" spans="1:17">
      <c r="A129" s="162">
        <v>44252</v>
      </c>
      <c r="B129" s="164" t="s">
        <v>921</v>
      </c>
      <c r="C129" s="164" t="s">
        <v>303</v>
      </c>
      <c r="D129" s="164" t="s">
        <v>25</v>
      </c>
      <c r="E129" s="79">
        <v>44228</v>
      </c>
      <c r="F129" s="6" t="s">
        <v>16</v>
      </c>
      <c r="G129" s="6" t="s">
        <v>745</v>
      </c>
      <c r="H129" s="170">
        <v>45000</v>
      </c>
      <c r="I129" s="172">
        <f t="shared" si="3"/>
        <v>515.34585432890515</v>
      </c>
      <c r="J129" s="162">
        <v>44253</v>
      </c>
      <c r="K129" s="6" t="s">
        <v>731</v>
      </c>
      <c r="L129" s="162">
        <v>44253</v>
      </c>
      <c r="M129" s="175" t="s">
        <v>5343</v>
      </c>
      <c r="O129" s="6" t="s">
        <v>280</v>
      </c>
      <c r="P129" s="6" t="str">
        <f t="shared" si="4"/>
        <v>SAFe que</v>
      </c>
      <c r="Q129" t="str">
        <f t="shared" si="5"/>
        <v>2021</v>
      </c>
    </row>
    <row r="130" spans="1:17">
      <c r="A130" s="163">
        <v>44253</v>
      </c>
      <c r="B130" s="165" t="s">
        <v>926</v>
      </c>
      <c r="C130" s="165" t="s">
        <v>319</v>
      </c>
      <c r="D130" s="164" t="s">
        <v>150</v>
      </c>
      <c r="E130" s="79">
        <v>44228</v>
      </c>
      <c r="F130" s="6" t="s">
        <v>16</v>
      </c>
      <c r="G130" s="6" t="s">
        <v>579</v>
      </c>
      <c r="H130" s="170">
        <v>21000</v>
      </c>
      <c r="I130" s="172">
        <f t="shared" ref="I130:I193" si="6">IFERROR((($H130/1.18))/74,"")</f>
        <v>240.49473202015577</v>
      </c>
      <c r="J130" s="162">
        <v>44253</v>
      </c>
      <c r="K130" s="6" t="s">
        <v>731</v>
      </c>
      <c r="L130" s="162">
        <v>44253</v>
      </c>
      <c r="M130" s="175" t="s">
        <v>5344</v>
      </c>
      <c r="O130" s="6" t="s">
        <v>928</v>
      </c>
      <c r="P130" s="6" t="str">
        <f t="shared" ref="P130:P193" si="7">IFERROR(_xlfn.IFS($D130="CSM","Category",$D130="CSPO","Category", $D130="PSM","SAFe que",$D130="PSPO","SAFe que",$D130="SAFe Agile","SAFe que",$D130="SAFe SSM","SAFe que",$D130="SAFe POPM","SAFe que",$D130="SASM","SAFe que",$D130="PMI-ACP","Category",$D130="ICP-ACC","SAFe que",$D130="PSM 2","SAFe que",$D130="SAFe RTE","SAFe que",$D130="Implementing SAFe","SAFe que",$D130="SAFe for Government","SAFe que",$D130="PSPO 2","SAFe que",$D130="",""),"NonCategory")</f>
        <v>SAFe que</v>
      </c>
      <c r="Q130" t="str">
        <f t="shared" ref="Q130:Q193" si="8">TEXT(E130, "yyyy")</f>
        <v>2021</v>
      </c>
    </row>
    <row r="131" spans="1:17">
      <c r="A131" s="162">
        <v>44250</v>
      </c>
      <c r="B131" s="164" t="s">
        <v>929</v>
      </c>
      <c r="C131" s="164" t="s">
        <v>930</v>
      </c>
      <c r="D131" s="164" t="s">
        <v>96</v>
      </c>
      <c r="E131" s="79">
        <v>44228</v>
      </c>
      <c r="F131" s="6" t="s">
        <v>16</v>
      </c>
      <c r="G131" s="6" t="s">
        <v>275</v>
      </c>
      <c r="H131" s="170">
        <v>20000</v>
      </c>
      <c r="I131" s="172">
        <f t="shared" si="6"/>
        <v>229.04260192395787</v>
      </c>
      <c r="J131" s="162">
        <v>44259</v>
      </c>
      <c r="K131" s="6" t="s">
        <v>731</v>
      </c>
      <c r="L131" s="162">
        <v>44253</v>
      </c>
      <c r="M131" s="175" t="s">
        <v>5345</v>
      </c>
      <c r="O131" s="6" t="s">
        <v>280</v>
      </c>
      <c r="P131" s="6" t="str">
        <f t="shared" si="7"/>
        <v>Category</v>
      </c>
      <c r="Q131" t="str">
        <f t="shared" si="8"/>
        <v>2021</v>
      </c>
    </row>
    <row r="132" spans="1:17">
      <c r="A132" s="162">
        <v>44230</v>
      </c>
      <c r="B132" s="164" t="s">
        <v>931</v>
      </c>
      <c r="C132" s="164" t="s">
        <v>319</v>
      </c>
      <c r="D132" s="164" t="s">
        <v>96</v>
      </c>
      <c r="E132" s="79">
        <v>44228</v>
      </c>
      <c r="F132" s="6" t="s">
        <v>16</v>
      </c>
      <c r="G132" s="6" t="s">
        <v>933</v>
      </c>
      <c r="H132" s="170">
        <v>18000</v>
      </c>
      <c r="I132" s="172">
        <f t="shared" si="6"/>
        <v>206.13834173156206</v>
      </c>
      <c r="J132" s="162">
        <v>44230</v>
      </c>
      <c r="K132" s="6" t="s">
        <v>731</v>
      </c>
      <c r="L132" s="162">
        <v>44254</v>
      </c>
      <c r="M132" s="175" t="s">
        <v>5346</v>
      </c>
      <c r="O132" s="169" t="s">
        <v>5181</v>
      </c>
      <c r="P132" s="6" t="str">
        <f t="shared" si="7"/>
        <v>Category</v>
      </c>
      <c r="Q132" t="str">
        <f t="shared" si="8"/>
        <v>2021</v>
      </c>
    </row>
    <row r="133" spans="1:17">
      <c r="A133" s="162">
        <v>44253</v>
      </c>
      <c r="B133" s="164" t="s">
        <v>934</v>
      </c>
      <c r="C133" s="164" t="s">
        <v>303</v>
      </c>
      <c r="D133" s="164" t="s">
        <v>25</v>
      </c>
      <c r="E133" s="79">
        <v>44256</v>
      </c>
      <c r="F133" s="6" t="s">
        <v>16</v>
      </c>
      <c r="G133" s="6" t="s">
        <v>936</v>
      </c>
      <c r="H133" s="170">
        <v>45000</v>
      </c>
      <c r="I133" s="172">
        <f t="shared" si="6"/>
        <v>515.34585432890515</v>
      </c>
      <c r="J133" s="162">
        <v>44254</v>
      </c>
      <c r="K133" s="6" t="s">
        <v>502</v>
      </c>
      <c r="L133" s="162">
        <v>44256</v>
      </c>
      <c r="M133" s="175" t="s">
        <v>5347</v>
      </c>
      <c r="O133" s="6" t="s">
        <v>280</v>
      </c>
      <c r="P133" s="6" t="str">
        <f t="shared" si="7"/>
        <v>SAFe que</v>
      </c>
      <c r="Q133" t="str">
        <f t="shared" si="8"/>
        <v>2021</v>
      </c>
    </row>
    <row r="134" spans="1:17">
      <c r="A134" s="162">
        <v>44257</v>
      </c>
      <c r="B134" s="164" t="s">
        <v>368</v>
      </c>
      <c r="C134" s="164" t="s">
        <v>941</v>
      </c>
      <c r="D134" s="164" t="s">
        <v>942</v>
      </c>
      <c r="E134" s="79">
        <v>44256</v>
      </c>
      <c r="F134" s="6" t="s">
        <v>16</v>
      </c>
      <c r="G134" s="80">
        <v>44268</v>
      </c>
      <c r="H134" s="170">
        <v>11000</v>
      </c>
      <c r="I134" s="172">
        <f t="shared" si="6"/>
        <v>125.97343105817684</v>
      </c>
      <c r="J134" s="162">
        <v>44257</v>
      </c>
      <c r="K134" s="6" t="s">
        <v>502</v>
      </c>
      <c r="L134" s="162">
        <v>44257</v>
      </c>
      <c r="M134" s="175" t="s">
        <v>5348</v>
      </c>
      <c r="O134" s="169" t="s">
        <v>5181</v>
      </c>
      <c r="P134" s="6" t="str">
        <f t="shared" si="7"/>
        <v>NonCategory</v>
      </c>
      <c r="Q134" t="str">
        <f t="shared" si="8"/>
        <v>2021</v>
      </c>
    </row>
    <row r="135" spans="1:17">
      <c r="A135" s="162">
        <v>44257</v>
      </c>
      <c r="B135" s="164" t="s">
        <v>943</v>
      </c>
      <c r="C135" s="164" t="s">
        <v>319</v>
      </c>
      <c r="D135" s="164" t="s">
        <v>150</v>
      </c>
      <c r="E135" s="79">
        <v>44256</v>
      </c>
      <c r="F135" s="6" t="s">
        <v>16</v>
      </c>
      <c r="G135" s="6" t="s">
        <v>745</v>
      </c>
      <c r="H135" s="170">
        <v>21000</v>
      </c>
      <c r="I135" s="172">
        <f t="shared" si="6"/>
        <v>240.49473202015577</v>
      </c>
      <c r="J135" s="162">
        <v>44257</v>
      </c>
      <c r="K135" s="6" t="s">
        <v>502</v>
      </c>
      <c r="L135" s="162">
        <v>44257</v>
      </c>
      <c r="M135" s="175" t="s">
        <v>5349</v>
      </c>
      <c r="O135" s="6" t="s">
        <v>356</v>
      </c>
      <c r="P135" s="6" t="str">
        <f t="shared" si="7"/>
        <v>SAFe que</v>
      </c>
      <c r="Q135" t="str">
        <f t="shared" si="8"/>
        <v>2021</v>
      </c>
    </row>
    <row r="136" spans="1:17">
      <c r="A136" s="162">
        <v>44256</v>
      </c>
      <c r="B136" s="165" t="s">
        <v>950</v>
      </c>
      <c r="C136" s="165" t="s">
        <v>319</v>
      </c>
      <c r="D136" s="164" t="s">
        <v>96</v>
      </c>
      <c r="E136" s="79">
        <v>44256</v>
      </c>
      <c r="F136" s="6" t="s">
        <v>16</v>
      </c>
      <c r="G136" s="6" t="s">
        <v>745</v>
      </c>
      <c r="H136" s="170">
        <v>20000</v>
      </c>
      <c r="I136" s="172">
        <f t="shared" si="6"/>
        <v>229.04260192395787</v>
      </c>
      <c r="J136" s="162">
        <v>44256</v>
      </c>
      <c r="K136" s="6" t="s">
        <v>502</v>
      </c>
      <c r="L136" s="162">
        <v>44258</v>
      </c>
      <c r="M136" s="175" t="s">
        <v>5350</v>
      </c>
      <c r="O136" s="6" t="s">
        <v>356</v>
      </c>
      <c r="P136" s="6" t="str">
        <f t="shared" si="7"/>
        <v>Category</v>
      </c>
      <c r="Q136" t="str">
        <f t="shared" si="8"/>
        <v>2021</v>
      </c>
    </row>
    <row r="137" spans="1:17">
      <c r="A137" s="162">
        <v>44256</v>
      </c>
      <c r="B137" s="164" t="s">
        <v>954</v>
      </c>
      <c r="C137" s="164" t="s">
        <v>278</v>
      </c>
      <c r="D137" s="164" t="s">
        <v>96</v>
      </c>
      <c r="E137" s="79">
        <v>44256</v>
      </c>
      <c r="F137" s="6" t="s">
        <v>16</v>
      </c>
      <c r="G137" s="6" t="s">
        <v>909</v>
      </c>
      <c r="H137" s="170">
        <v>20000</v>
      </c>
      <c r="I137" s="172">
        <f t="shared" si="6"/>
        <v>229.04260192395787</v>
      </c>
      <c r="J137" s="162">
        <v>44258</v>
      </c>
      <c r="K137" s="6" t="s">
        <v>502</v>
      </c>
      <c r="L137" s="162">
        <v>44258</v>
      </c>
      <c r="M137" s="175" t="s">
        <v>5351</v>
      </c>
      <c r="N137" s="6" t="s">
        <v>826</v>
      </c>
      <c r="O137" s="6" t="s">
        <v>280</v>
      </c>
      <c r="P137" s="6" t="str">
        <f t="shared" si="7"/>
        <v>Category</v>
      </c>
      <c r="Q137" t="str">
        <f t="shared" si="8"/>
        <v>2021</v>
      </c>
    </row>
    <row r="138" spans="1:17">
      <c r="A138" s="162">
        <v>44258</v>
      </c>
      <c r="B138" s="164" t="s">
        <v>956</v>
      </c>
      <c r="C138" s="164" t="s">
        <v>287</v>
      </c>
      <c r="D138" s="164" t="s">
        <v>151</v>
      </c>
      <c r="E138" s="79">
        <v>44256</v>
      </c>
      <c r="F138" s="6" t="s">
        <v>16</v>
      </c>
      <c r="G138" s="6" t="s">
        <v>745</v>
      </c>
      <c r="H138" s="170">
        <v>21000</v>
      </c>
      <c r="I138" s="172">
        <f t="shared" si="6"/>
        <v>240.49473202015577</v>
      </c>
      <c r="J138" s="162">
        <v>44261</v>
      </c>
      <c r="K138" s="6" t="s">
        <v>502</v>
      </c>
      <c r="L138" s="162">
        <v>44259</v>
      </c>
      <c r="M138" s="175" t="s">
        <v>5352</v>
      </c>
      <c r="O138" s="6" t="s">
        <v>280</v>
      </c>
      <c r="P138" s="6" t="str">
        <f t="shared" si="7"/>
        <v>SAFe que</v>
      </c>
      <c r="Q138" t="str">
        <f t="shared" si="8"/>
        <v>2021</v>
      </c>
    </row>
    <row r="139" spans="1:17">
      <c r="A139" s="162">
        <v>44183</v>
      </c>
      <c r="B139" s="164" t="s">
        <v>966</v>
      </c>
      <c r="C139" s="164" t="s">
        <v>319</v>
      </c>
      <c r="D139" s="164" t="s">
        <v>968</v>
      </c>
      <c r="E139" s="79">
        <v>44256</v>
      </c>
      <c r="F139" s="6" t="s">
        <v>16</v>
      </c>
      <c r="G139" s="6" t="s">
        <v>315</v>
      </c>
      <c r="H139" s="170">
        <v>3500</v>
      </c>
      <c r="I139" s="172">
        <f t="shared" si="6"/>
        <v>40.082455336692625</v>
      </c>
      <c r="J139" s="162" t="s">
        <v>315</v>
      </c>
      <c r="K139" s="6" t="s">
        <v>502</v>
      </c>
      <c r="L139" s="162">
        <v>44262</v>
      </c>
      <c r="M139" s="175" t="s">
        <v>5353</v>
      </c>
      <c r="O139" s="169" t="s">
        <v>5181</v>
      </c>
      <c r="P139" s="6" t="str">
        <f t="shared" si="7"/>
        <v>NonCategory</v>
      </c>
      <c r="Q139" t="str">
        <f t="shared" si="8"/>
        <v>2021</v>
      </c>
    </row>
    <row r="140" spans="1:17">
      <c r="A140" s="162">
        <v>44259</v>
      </c>
      <c r="B140" s="165" t="s">
        <v>285</v>
      </c>
      <c r="C140" s="165" t="s">
        <v>303</v>
      </c>
      <c r="D140" s="164" t="s">
        <v>25</v>
      </c>
      <c r="E140" s="79">
        <v>44256</v>
      </c>
      <c r="F140" s="6" t="s">
        <v>16</v>
      </c>
      <c r="G140" s="6" t="s">
        <v>909</v>
      </c>
      <c r="H140" s="170">
        <v>53100</v>
      </c>
      <c r="I140" s="172">
        <f t="shared" si="6"/>
        <v>608.10810810810813</v>
      </c>
      <c r="J140" s="162">
        <v>44263</v>
      </c>
      <c r="K140" s="6" t="s">
        <v>650</v>
      </c>
      <c r="L140" s="162">
        <v>44263</v>
      </c>
      <c r="M140" s="175" t="s">
        <v>5354</v>
      </c>
      <c r="O140" s="6" t="s">
        <v>280</v>
      </c>
      <c r="P140" s="6" t="str">
        <f t="shared" si="7"/>
        <v>SAFe que</v>
      </c>
      <c r="Q140" t="str">
        <f t="shared" si="8"/>
        <v>2021</v>
      </c>
    </row>
    <row r="141" spans="1:17">
      <c r="A141" s="162">
        <v>44263</v>
      </c>
      <c r="B141" s="164" t="s">
        <v>974</v>
      </c>
      <c r="C141" s="164" t="s">
        <v>303</v>
      </c>
      <c r="D141" s="164" t="s">
        <v>976</v>
      </c>
      <c r="E141" s="79">
        <v>44256</v>
      </c>
      <c r="F141" s="6" t="s">
        <v>16</v>
      </c>
      <c r="G141" s="96">
        <v>44275</v>
      </c>
      <c r="H141" s="170">
        <v>16000</v>
      </c>
      <c r="I141" s="172">
        <f t="shared" si="6"/>
        <v>183.23408153916631</v>
      </c>
      <c r="J141" s="162">
        <v>44263</v>
      </c>
      <c r="K141" s="6" t="s">
        <v>650</v>
      </c>
      <c r="L141" s="162">
        <v>44264</v>
      </c>
      <c r="M141" s="175" t="s">
        <v>5355</v>
      </c>
      <c r="O141" s="6" t="s">
        <v>356</v>
      </c>
      <c r="P141" s="6" t="str">
        <f t="shared" si="7"/>
        <v>NonCategory</v>
      </c>
      <c r="Q141" t="str">
        <f t="shared" si="8"/>
        <v>2021</v>
      </c>
    </row>
    <row r="142" spans="1:17">
      <c r="A142" s="162">
        <v>44264</v>
      </c>
      <c r="B142" s="164" t="s">
        <v>979</v>
      </c>
      <c r="C142" s="164" t="s">
        <v>291</v>
      </c>
      <c r="D142" s="164" t="s">
        <v>96</v>
      </c>
      <c r="E142" s="79">
        <v>44256</v>
      </c>
      <c r="F142" s="6" t="s">
        <v>16</v>
      </c>
      <c r="G142" s="6" t="s">
        <v>909</v>
      </c>
      <c r="H142" s="170">
        <v>20000</v>
      </c>
      <c r="I142" s="172">
        <f t="shared" si="6"/>
        <v>229.04260192395787</v>
      </c>
      <c r="J142" s="162">
        <v>44264</v>
      </c>
      <c r="K142" s="6" t="s">
        <v>650</v>
      </c>
      <c r="L142" s="162">
        <v>44264</v>
      </c>
      <c r="M142" s="175" t="s">
        <v>5356</v>
      </c>
      <c r="O142" s="6" t="s">
        <v>280</v>
      </c>
      <c r="P142" s="6" t="str">
        <f t="shared" si="7"/>
        <v>Category</v>
      </c>
      <c r="Q142" t="str">
        <f t="shared" si="8"/>
        <v>2021</v>
      </c>
    </row>
    <row r="143" spans="1:17">
      <c r="A143" s="162">
        <v>44257</v>
      </c>
      <c r="B143" s="165" t="s">
        <v>981</v>
      </c>
      <c r="C143" s="165" t="s">
        <v>319</v>
      </c>
      <c r="D143" s="164" t="s">
        <v>25</v>
      </c>
      <c r="E143" s="79">
        <v>44256</v>
      </c>
      <c r="F143" s="6" t="s">
        <v>16</v>
      </c>
      <c r="G143" s="6" t="s">
        <v>909</v>
      </c>
      <c r="H143" s="170">
        <v>45000</v>
      </c>
      <c r="I143" s="172">
        <f t="shared" si="6"/>
        <v>515.34585432890515</v>
      </c>
      <c r="J143" s="162">
        <v>44264</v>
      </c>
      <c r="K143" s="6" t="s">
        <v>650</v>
      </c>
      <c r="L143" s="162">
        <v>44264</v>
      </c>
      <c r="M143" s="175" t="s">
        <v>5357</v>
      </c>
      <c r="O143" s="6" t="s">
        <v>280</v>
      </c>
      <c r="P143" s="6" t="str">
        <f t="shared" si="7"/>
        <v>SAFe que</v>
      </c>
      <c r="Q143" t="str">
        <f t="shared" si="8"/>
        <v>2021</v>
      </c>
    </row>
    <row r="144" spans="1:17">
      <c r="A144" s="162">
        <v>44260</v>
      </c>
      <c r="B144" s="164" t="s">
        <v>983</v>
      </c>
      <c r="C144" s="164" t="s">
        <v>291</v>
      </c>
      <c r="D144" s="164" t="s">
        <v>96</v>
      </c>
      <c r="E144" s="79">
        <v>44256</v>
      </c>
      <c r="F144" s="6" t="s">
        <v>16</v>
      </c>
      <c r="G144" s="6" t="s">
        <v>933</v>
      </c>
      <c r="H144" s="170">
        <v>20000</v>
      </c>
      <c r="I144" s="172">
        <f t="shared" si="6"/>
        <v>229.04260192395787</v>
      </c>
      <c r="J144" s="162">
        <v>44263</v>
      </c>
      <c r="K144" s="6" t="s">
        <v>650</v>
      </c>
      <c r="L144" s="162">
        <v>44265</v>
      </c>
      <c r="M144" s="175" t="s">
        <v>5358</v>
      </c>
      <c r="O144" s="6" t="s">
        <v>280</v>
      </c>
      <c r="P144" s="6" t="str">
        <f t="shared" si="7"/>
        <v>Category</v>
      </c>
      <c r="Q144" t="str">
        <f t="shared" si="8"/>
        <v>2021</v>
      </c>
    </row>
    <row r="145" spans="1:17">
      <c r="A145" s="162">
        <v>44264</v>
      </c>
      <c r="B145" s="164" t="s">
        <v>993</v>
      </c>
      <c r="C145" s="164" t="s">
        <v>291</v>
      </c>
      <c r="D145" s="164" t="s">
        <v>995</v>
      </c>
      <c r="E145" s="79">
        <v>44256</v>
      </c>
      <c r="F145" s="6" t="s">
        <v>16</v>
      </c>
      <c r="G145" s="96">
        <v>44270</v>
      </c>
      <c r="H145" s="170">
        <v>15000</v>
      </c>
      <c r="I145" s="172">
        <f t="shared" si="6"/>
        <v>171.78195144296839</v>
      </c>
      <c r="J145" s="162">
        <v>44265</v>
      </c>
      <c r="K145" s="6" t="s">
        <v>650</v>
      </c>
      <c r="L145" s="162">
        <v>44265</v>
      </c>
      <c r="M145" s="175" t="s">
        <v>5359</v>
      </c>
      <c r="O145" s="6" t="s">
        <v>280</v>
      </c>
      <c r="P145" s="6" t="str">
        <f t="shared" si="7"/>
        <v>NonCategory</v>
      </c>
      <c r="Q145" t="str">
        <f t="shared" si="8"/>
        <v>2021</v>
      </c>
    </row>
    <row r="146" spans="1:17">
      <c r="A146" s="162">
        <v>44256</v>
      </c>
      <c r="B146" s="164" t="s">
        <v>996</v>
      </c>
      <c r="C146" s="164" t="s">
        <v>904</v>
      </c>
      <c r="D146" s="164" t="s">
        <v>998</v>
      </c>
      <c r="E146" s="79">
        <v>44256</v>
      </c>
      <c r="F146" s="6" t="s">
        <v>16</v>
      </c>
      <c r="G146" s="80">
        <v>44256</v>
      </c>
      <c r="H146" s="170">
        <v>15000</v>
      </c>
      <c r="I146" s="172">
        <f t="shared" si="6"/>
        <v>171.78195144296839</v>
      </c>
      <c r="J146" s="162">
        <v>44257</v>
      </c>
      <c r="K146" s="6" t="s">
        <v>650</v>
      </c>
      <c r="L146" s="162">
        <v>44266</v>
      </c>
      <c r="M146" s="175" t="s">
        <v>5360</v>
      </c>
      <c r="O146" s="6" t="s">
        <v>356</v>
      </c>
      <c r="P146" s="6" t="str">
        <f t="shared" si="7"/>
        <v>NonCategory</v>
      </c>
      <c r="Q146" t="str">
        <f t="shared" si="8"/>
        <v>2021</v>
      </c>
    </row>
    <row r="147" spans="1:17">
      <c r="A147" s="162">
        <v>44266</v>
      </c>
      <c r="B147" s="164" t="s">
        <v>1004</v>
      </c>
      <c r="C147" s="164" t="s">
        <v>278</v>
      </c>
      <c r="D147" s="164" t="s">
        <v>150</v>
      </c>
      <c r="E147" s="79">
        <v>44256</v>
      </c>
      <c r="F147" s="6" t="s">
        <v>16</v>
      </c>
      <c r="G147" s="6" t="s">
        <v>909</v>
      </c>
      <c r="H147" s="170">
        <v>21000</v>
      </c>
      <c r="I147" s="172">
        <f t="shared" si="6"/>
        <v>240.49473202015577</v>
      </c>
      <c r="J147" s="162">
        <v>44266</v>
      </c>
      <c r="K147" s="6" t="s">
        <v>650</v>
      </c>
      <c r="L147" s="162">
        <v>44266</v>
      </c>
      <c r="M147" s="175" t="s">
        <v>5361</v>
      </c>
      <c r="N147" s="6" t="s">
        <v>1006</v>
      </c>
      <c r="O147" s="6" t="s">
        <v>280</v>
      </c>
      <c r="P147" s="6" t="str">
        <f t="shared" si="7"/>
        <v>SAFe que</v>
      </c>
      <c r="Q147" t="str">
        <f t="shared" si="8"/>
        <v>2021</v>
      </c>
    </row>
    <row r="148" spans="1:17">
      <c r="A148" s="162">
        <v>44266</v>
      </c>
      <c r="B148" s="164" t="s">
        <v>1007</v>
      </c>
      <c r="C148" s="164" t="s">
        <v>435</v>
      </c>
      <c r="D148" s="164" t="s">
        <v>96</v>
      </c>
      <c r="E148" s="79">
        <v>44256</v>
      </c>
      <c r="F148" s="6" t="s">
        <v>16</v>
      </c>
      <c r="G148" s="6" t="s">
        <v>892</v>
      </c>
      <c r="H148" s="170">
        <v>19000</v>
      </c>
      <c r="I148" s="172">
        <f t="shared" si="6"/>
        <v>217.59047182775998</v>
      </c>
      <c r="J148" s="162">
        <v>44266</v>
      </c>
      <c r="K148" s="6" t="s">
        <v>650</v>
      </c>
      <c r="L148" s="162">
        <v>44266</v>
      </c>
      <c r="M148" s="175" t="s">
        <v>5362</v>
      </c>
      <c r="O148" s="6" t="s">
        <v>280</v>
      </c>
      <c r="P148" s="6" t="str">
        <f t="shared" si="7"/>
        <v>Category</v>
      </c>
      <c r="Q148" t="str">
        <f t="shared" si="8"/>
        <v>2021</v>
      </c>
    </row>
    <row r="149" spans="1:17">
      <c r="A149" s="162">
        <v>44264</v>
      </c>
      <c r="B149" s="165" t="s">
        <v>1009</v>
      </c>
      <c r="C149" s="165" t="s">
        <v>319</v>
      </c>
      <c r="D149" s="164" t="s">
        <v>25</v>
      </c>
      <c r="E149" s="79">
        <v>44256</v>
      </c>
      <c r="F149" s="6" t="s">
        <v>16</v>
      </c>
      <c r="G149" s="6" t="s">
        <v>909</v>
      </c>
      <c r="H149" s="170">
        <v>44000</v>
      </c>
      <c r="I149" s="172">
        <f t="shared" si="6"/>
        <v>503.89372423270737</v>
      </c>
      <c r="J149" s="162">
        <v>44265</v>
      </c>
      <c r="K149" s="6" t="s">
        <v>650</v>
      </c>
      <c r="L149" s="162">
        <v>44267</v>
      </c>
      <c r="M149" s="175" t="s">
        <v>5363</v>
      </c>
      <c r="O149" s="6" t="s">
        <v>280</v>
      </c>
      <c r="P149" s="6" t="str">
        <f t="shared" si="7"/>
        <v>SAFe que</v>
      </c>
      <c r="Q149" t="str">
        <f t="shared" si="8"/>
        <v>2021</v>
      </c>
    </row>
    <row r="150" spans="1:17">
      <c r="A150" s="162">
        <v>44266</v>
      </c>
      <c r="B150" s="165" t="s">
        <v>1011</v>
      </c>
      <c r="C150" s="165" t="s">
        <v>941</v>
      </c>
      <c r="D150" s="164" t="s">
        <v>150</v>
      </c>
      <c r="E150" s="79">
        <v>44256</v>
      </c>
      <c r="F150" s="6" t="s">
        <v>16</v>
      </c>
      <c r="G150" s="6" t="s">
        <v>933</v>
      </c>
      <c r="H150" s="170">
        <v>21000</v>
      </c>
      <c r="I150" s="172">
        <f t="shared" si="6"/>
        <v>240.49473202015577</v>
      </c>
      <c r="J150" s="162">
        <v>44266</v>
      </c>
      <c r="K150" s="6" t="s">
        <v>650</v>
      </c>
      <c r="L150" s="162">
        <v>44267</v>
      </c>
      <c r="M150" s="175" t="s">
        <v>5364</v>
      </c>
      <c r="O150" s="6" t="s">
        <v>280</v>
      </c>
      <c r="P150" s="6" t="str">
        <f t="shared" si="7"/>
        <v>SAFe que</v>
      </c>
      <c r="Q150" t="str">
        <f t="shared" si="8"/>
        <v>2021</v>
      </c>
    </row>
    <row r="151" spans="1:17">
      <c r="A151" s="162">
        <v>44249</v>
      </c>
      <c r="B151" s="164" t="s">
        <v>1013</v>
      </c>
      <c r="C151" s="164" t="s">
        <v>278</v>
      </c>
      <c r="D151" s="164" t="s">
        <v>96</v>
      </c>
      <c r="E151" s="79">
        <v>44256</v>
      </c>
      <c r="F151" s="6" t="s">
        <v>16</v>
      </c>
      <c r="G151" s="6" t="s">
        <v>1015</v>
      </c>
      <c r="H151" s="170">
        <v>20000</v>
      </c>
      <c r="I151" s="172">
        <f t="shared" si="6"/>
        <v>229.04260192395787</v>
      </c>
      <c r="J151" s="162">
        <v>44252</v>
      </c>
      <c r="K151" s="6" t="s">
        <v>650</v>
      </c>
      <c r="L151" s="162">
        <v>44268</v>
      </c>
      <c r="M151" s="175" t="s">
        <v>5365</v>
      </c>
      <c r="N151" s="6" t="s">
        <v>1016</v>
      </c>
      <c r="O151" s="6" t="s">
        <v>356</v>
      </c>
      <c r="P151" s="6" t="str">
        <f t="shared" si="7"/>
        <v>Category</v>
      </c>
      <c r="Q151" t="str">
        <f t="shared" si="8"/>
        <v>2021</v>
      </c>
    </row>
    <row r="152" spans="1:17">
      <c r="A152" s="162">
        <v>44268</v>
      </c>
      <c r="B152" s="164" t="s">
        <v>1017</v>
      </c>
      <c r="C152" s="164" t="s">
        <v>278</v>
      </c>
      <c r="D152" s="164" t="s">
        <v>96</v>
      </c>
      <c r="E152" s="79">
        <v>44256</v>
      </c>
      <c r="F152" s="6" t="s">
        <v>16</v>
      </c>
      <c r="G152" s="6" t="s">
        <v>933</v>
      </c>
      <c r="H152" s="170">
        <v>20000</v>
      </c>
      <c r="I152" s="172">
        <f t="shared" si="6"/>
        <v>229.04260192395787</v>
      </c>
      <c r="J152" s="162">
        <v>44268</v>
      </c>
      <c r="K152" s="6" t="s">
        <v>650</v>
      </c>
      <c r="L152" s="162">
        <v>44268</v>
      </c>
      <c r="M152" s="175" t="s">
        <v>5366</v>
      </c>
      <c r="N152" s="6" t="s">
        <v>1019</v>
      </c>
      <c r="O152" s="6" t="s">
        <v>1020</v>
      </c>
      <c r="P152" s="6" t="str">
        <f t="shared" si="7"/>
        <v>Category</v>
      </c>
      <c r="Q152" t="str">
        <f t="shared" si="8"/>
        <v>2021</v>
      </c>
    </row>
    <row r="153" spans="1:17">
      <c r="A153" s="162">
        <v>44268</v>
      </c>
      <c r="B153" s="164" t="s">
        <v>1021</v>
      </c>
      <c r="C153" s="164" t="s">
        <v>291</v>
      </c>
      <c r="D153" s="164" t="s">
        <v>1023</v>
      </c>
      <c r="E153" s="79">
        <v>44256</v>
      </c>
      <c r="F153" s="6" t="s">
        <v>16</v>
      </c>
      <c r="G153" s="80">
        <v>44256</v>
      </c>
      <c r="H153" s="170">
        <v>26549</v>
      </c>
      <c r="I153" s="172">
        <f t="shared" si="6"/>
        <v>304.04260192395787</v>
      </c>
      <c r="J153" s="162">
        <v>44268</v>
      </c>
      <c r="K153" s="6" t="s">
        <v>650</v>
      </c>
      <c r="L153" s="162">
        <v>44268</v>
      </c>
      <c r="M153" s="175" t="s">
        <v>5367</v>
      </c>
      <c r="O153" s="169" t="s">
        <v>5181</v>
      </c>
      <c r="P153" s="6" t="str">
        <f t="shared" si="7"/>
        <v>NonCategory</v>
      </c>
      <c r="Q153" t="str">
        <f t="shared" si="8"/>
        <v>2021</v>
      </c>
    </row>
    <row r="154" spans="1:17">
      <c r="A154" s="162">
        <v>44267</v>
      </c>
      <c r="B154" s="165" t="s">
        <v>1024</v>
      </c>
      <c r="C154" s="165" t="s">
        <v>287</v>
      </c>
      <c r="D154" s="165" t="s">
        <v>151</v>
      </c>
      <c r="E154" s="79">
        <v>44256</v>
      </c>
      <c r="F154" s="6" t="s">
        <v>16</v>
      </c>
      <c r="G154" s="6" t="s">
        <v>933</v>
      </c>
      <c r="H154" s="170">
        <v>21000</v>
      </c>
      <c r="I154" s="172">
        <f t="shared" si="6"/>
        <v>240.49473202015577</v>
      </c>
      <c r="J154" s="162">
        <v>44268</v>
      </c>
      <c r="K154" s="6" t="s">
        <v>650</v>
      </c>
      <c r="L154" s="162">
        <v>44269</v>
      </c>
      <c r="M154" s="175" t="s">
        <v>5368</v>
      </c>
      <c r="O154" s="169" t="s">
        <v>5181</v>
      </c>
      <c r="P154" s="6" t="str">
        <f t="shared" si="7"/>
        <v>SAFe que</v>
      </c>
      <c r="Q154" t="str">
        <f t="shared" si="8"/>
        <v>2021</v>
      </c>
    </row>
    <row r="155" spans="1:17">
      <c r="A155" s="162">
        <v>44193</v>
      </c>
      <c r="B155" s="164" t="s">
        <v>1028</v>
      </c>
      <c r="C155" s="164" t="s">
        <v>343</v>
      </c>
      <c r="D155" s="164" t="s">
        <v>96</v>
      </c>
      <c r="E155" s="79">
        <v>44256</v>
      </c>
      <c r="F155" s="6" t="s">
        <v>16</v>
      </c>
      <c r="G155" s="6" t="s">
        <v>933</v>
      </c>
      <c r="H155" s="170">
        <v>19000</v>
      </c>
      <c r="I155" s="172">
        <f t="shared" si="6"/>
        <v>217.59047182775998</v>
      </c>
      <c r="J155" s="162">
        <v>44204</v>
      </c>
      <c r="K155" s="6" t="s">
        <v>700</v>
      </c>
      <c r="L155" s="162">
        <v>44270</v>
      </c>
      <c r="M155" s="175" t="s">
        <v>5369</v>
      </c>
      <c r="O155" s="6" t="s">
        <v>280</v>
      </c>
      <c r="P155" s="6" t="str">
        <f t="shared" si="7"/>
        <v>Category</v>
      </c>
      <c r="Q155" t="str">
        <f t="shared" si="8"/>
        <v>2021</v>
      </c>
    </row>
    <row r="156" spans="1:17">
      <c r="A156" s="162">
        <v>44247</v>
      </c>
      <c r="B156" s="164" t="s">
        <v>1030</v>
      </c>
      <c r="C156" s="164" t="s">
        <v>287</v>
      </c>
      <c r="D156" s="164" t="s">
        <v>150</v>
      </c>
      <c r="E156" s="79">
        <v>44256</v>
      </c>
      <c r="F156" s="6" t="s">
        <v>16</v>
      </c>
      <c r="G156" s="6" t="s">
        <v>933</v>
      </c>
      <c r="H156" s="170">
        <v>21000</v>
      </c>
      <c r="I156" s="172">
        <f t="shared" si="6"/>
        <v>240.49473202015577</v>
      </c>
      <c r="J156" s="162">
        <v>44247</v>
      </c>
      <c r="K156" s="6" t="s">
        <v>700</v>
      </c>
      <c r="L156" s="162">
        <v>44270</v>
      </c>
      <c r="M156" s="175" t="s">
        <v>5370</v>
      </c>
      <c r="O156" s="6" t="s">
        <v>280</v>
      </c>
      <c r="P156" s="6" t="str">
        <f t="shared" si="7"/>
        <v>SAFe que</v>
      </c>
      <c r="Q156" t="str">
        <f t="shared" si="8"/>
        <v>2021</v>
      </c>
    </row>
    <row r="157" spans="1:17">
      <c r="A157" s="162">
        <v>44270</v>
      </c>
      <c r="B157" s="164" t="s">
        <v>1032</v>
      </c>
      <c r="C157" s="164" t="s">
        <v>278</v>
      </c>
      <c r="D157" s="164" t="s">
        <v>151</v>
      </c>
      <c r="E157" s="79">
        <v>44256</v>
      </c>
      <c r="F157" s="6" t="s">
        <v>16</v>
      </c>
      <c r="G157" s="6" t="s">
        <v>933</v>
      </c>
      <c r="H157" s="170">
        <v>21000</v>
      </c>
      <c r="I157" s="172">
        <f t="shared" si="6"/>
        <v>240.49473202015577</v>
      </c>
      <c r="J157" s="162">
        <v>44270</v>
      </c>
      <c r="K157" s="6" t="s">
        <v>700</v>
      </c>
      <c r="L157" s="162">
        <v>44270</v>
      </c>
      <c r="M157" s="175" t="s">
        <v>5371</v>
      </c>
      <c r="N157" s="6" t="s">
        <v>1034</v>
      </c>
      <c r="O157" s="6" t="s">
        <v>280</v>
      </c>
      <c r="P157" s="6" t="str">
        <f t="shared" si="7"/>
        <v>SAFe que</v>
      </c>
      <c r="Q157" t="str">
        <f t="shared" si="8"/>
        <v>2021</v>
      </c>
    </row>
    <row r="158" spans="1:17">
      <c r="A158" s="162">
        <v>44270</v>
      </c>
      <c r="B158" s="164" t="s">
        <v>1035</v>
      </c>
      <c r="C158" s="164" t="s">
        <v>297</v>
      </c>
      <c r="D158" s="164" t="s">
        <v>151</v>
      </c>
      <c r="E158" s="79">
        <v>44256</v>
      </c>
      <c r="F158" s="6" t="s">
        <v>16</v>
      </c>
      <c r="G158" s="6" t="s">
        <v>933</v>
      </c>
      <c r="H158" s="170">
        <v>21000</v>
      </c>
      <c r="I158" s="172">
        <f t="shared" si="6"/>
        <v>240.49473202015577</v>
      </c>
      <c r="J158" s="162">
        <v>44270</v>
      </c>
      <c r="K158" s="6" t="s">
        <v>700</v>
      </c>
      <c r="L158" s="162">
        <v>44270</v>
      </c>
      <c r="M158" s="175" t="s">
        <v>5372</v>
      </c>
      <c r="O158" s="6" t="s">
        <v>280</v>
      </c>
      <c r="P158" s="6" t="str">
        <f t="shared" si="7"/>
        <v>SAFe que</v>
      </c>
      <c r="Q158" t="str">
        <f t="shared" si="8"/>
        <v>2021</v>
      </c>
    </row>
    <row r="159" spans="1:17">
      <c r="A159" s="162">
        <v>44269</v>
      </c>
      <c r="B159" s="164" t="s">
        <v>1037</v>
      </c>
      <c r="C159" s="164" t="s">
        <v>278</v>
      </c>
      <c r="D159" s="164" t="s">
        <v>96</v>
      </c>
      <c r="E159" s="79">
        <v>44256</v>
      </c>
      <c r="F159" s="6" t="s">
        <v>16</v>
      </c>
      <c r="G159" s="6" t="s">
        <v>892</v>
      </c>
      <c r="H159" s="170">
        <v>19000</v>
      </c>
      <c r="I159" s="172">
        <f t="shared" si="6"/>
        <v>217.59047182775998</v>
      </c>
      <c r="J159" s="162">
        <v>44270</v>
      </c>
      <c r="K159" s="6" t="s">
        <v>700</v>
      </c>
      <c r="L159" s="162">
        <v>44271</v>
      </c>
      <c r="M159" s="175" t="s">
        <v>5373</v>
      </c>
      <c r="N159" s="6" t="s">
        <v>1039</v>
      </c>
      <c r="O159" s="6" t="s">
        <v>280</v>
      </c>
      <c r="P159" s="6" t="str">
        <f t="shared" si="7"/>
        <v>Category</v>
      </c>
      <c r="Q159" t="str">
        <f t="shared" si="8"/>
        <v>2021</v>
      </c>
    </row>
    <row r="160" spans="1:17">
      <c r="A160" s="162">
        <v>44270</v>
      </c>
      <c r="B160" s="164" t="s">
        <v>1040</v>
      </c>
      <c r="C160" s="164" t="s">
        <v>278</v>
      </c>
      <c r="D160" s="164" t="s">
        <v>25</v>
      </c>
      <c r="E160" s="79">
        <v>44256</v>
      </c>
      <c r="F160" s="6" t="s">
        <v>16</v>
      </c>
      <c r="G160" s="6" t="s">
        <v>892</v>
      </c>
      <c r="H160" s="170">
        <v>43000</v>
      </c>
      <c r="I160" s="172">
        <f t="shared" si="6"/>
        <v>492.44159413650942</v>
      </c>
      <c r="J160" s="162">
        <v>44271</v>
      </c>
      <c r="K160" s="6" t="s">
        <v>700</v>
      </c>
      <c r="L160" s="162">
        <v>44271</v>
      </c>
      <c r="M160" s="175" t="s">
        <v>5374</v>
      </c>
      <c r="N160" s="6" t="s">
        <v>1042</v>
      </c>
      <c r="O160" s="6" t="s">
        <v>280</v>
      </c>
      <c r="P160" s="6" t="str">
        <f t="shared" si="7"/>
        <v>SAFe que</v>
      </c>
      <c r="Q160" t="str">
        <f t="shared" si="8"/>
        <v>2021</v>
      </c>
    </row>
    <row r="161" spans="1:17">
      <c r="A161" s="162">
        <v>44272</v>
      </c>
      <c r="B161" s="164" t="s">
        <v>1043</v>
      </c>
      <c r="C161" s="164" t="s">
        <v>319</v>
      </c>
      <c r="D161" s="164" t="s">
        <v>96</v>
      </c>
      <c r="E161" s="79">
        <v>44256</v>
      </c>
      <c r="F161" s="6" t="s">
        <v>16</v>
      </c>
      <c r="G161" s="6" t="s">
        <v>933</v>
      </c>
      <c r="H161" s="170">
        <v>20000</v>
      </c>
      <c r="I161" s="172">
        <f t="shared" si="6"/>
        <v>229.04260192395787</v>
      </c>
      <c r="J161" s="162">
        <v>44272</v>
      </c>
      <c r="K161" s="6" t="s">
        <v>700</v>
      </c>
      <c r="L161" s="162">
        <v>44272</v>
      </c>
      <c r="M161" s="175" t="s">
        <v>5375</v>
      </c>
      <c r="O161" s="6" t="s">
        <v>280</v>
      </c>
      <c r="P161" s="6" t="str">
        <f t="shared" si="7"/>
        <v>Category</v>
      </c>
      <c r="Q161" t="str">
        <f t="shared" si="8"/>
        <v>2021</v>
      </c>
    </row>
    <row r="162" spans="1:17">
      <c r="A162" s="162">
        <v>44273</v>
      </c>
      <c r="B162" s="165" t="s">
        <v>1045</v>
      </c>
      <c r="C162" s="165" t="s">
        <v>303</v>
      </c>
      <c r="D162" s="165" t="s">
        <v>25</v>
      </c>
      <c r="E162" s="79">
        <v>44256</v>
      </c>
      <c r="F162" s="6" t="s">
        <v>16</v>
      </c>
      <c r="G162" s="6" t="s">
        <v>892</v>
      </c>
      <c r="H162" s="170">
        <v>44500</v>
      </c>
      <c r="I162" s="172">
        <f t="shared" si="6"/>
        <v>509.61978928080623</v>
      </c>
      <c r="J162" s="162">
        <v>44273</v>
      </c>
      <c r="K162" s="6" t="s">
        <v>700</v>
      </c>
      <c r="L162" s="162">
        <v>44273</v>
      </c>
      <c r="M162" s="175" t="s">
        <v>5376</v>
      </c>
      <c r="O162" s="169" t="s">
        <v>5181</v>
      </c>
      <c r="P162" s="6" t="str">
        <f t="shared" si="7"/>
        <v>SAFe que</v>
      </c>
      <c r="Q162" t="str">
        <f t="shared" si="8"/>
        <v>2021</v>
      </c>
    </row>
    <row r="163" spans="1:17">
      <c r="A163" s="162">
        <v>44278</v>
      </c>
      <c r="B163" s="164" t="s">
        <v>1047</v>
      </c>
      <c r="C163" s="164" t="s">
        <v>306</v>
      </c>
      <c r="D163" s="164" t="s">
        <v>151</v>
      </c>
      <c r="E163" s="79">
        <v>44256</v>
      </c>
      <c r="F163" s="6" t="s">
        <v>16</v>
      </c>
      <c r="G163" s="6" t="s">
        <v>1049</v>
      </c>
      <c r="H163" s="170">
        <v>21000</v>
      </c>
      <c r="I163" s="172">
        <f t="shared" si="6"/>
        <v>240.49473202015577</v>
      </c>
      <c r="J163" s="162">
        <v>44278</v>
      </c>
      <c r="K163" s="6" t="s">
        <v>731</v>
      </c>
      <c r="L163" s="162">
        <v>44278</v>
      </c>
      <c r="M163" s="175" t="s">
        <v>5377</v>
      </c>
      <c r="O163" s="6" t="s">
        <v>280</v>
      </c>
      <c r="P163" s="6" t="str">
        <f t="shared" si="7"/>
        <v>SAFe que</v>
      </c>
      <c r="Q163" t="str">
        <f t="shared" si="8"/>
        <v>2021</v>
      </c>
    </row>
    <row r="164" spans="1:17">
      <c r="A164" s="162">
        <v>44278</v>
      </c>
      <c r="B164" s="164" t="s">
        <v>1050</v>
      </c>
      <c r="C164" s="164" t="s">
        <v>278</v>
      </c>
      <c r="D164" s="165" t="s">
        <v>25</v>
      </c>
      <c r="E164" s="79">
        <v>44256</v>
      </c>
      <c r="F164" s="6" t="s">
        <v>16</v>
      </c>
      <c r="G164" s="6" t="s">
        <v>892</v>
      </c>
      <c r="H164" s="170">
        <v>43000</v>
      </c>
      <c r="I164" s="172">
        <f t="shared" si="6"/>
        <v>492.44159413650942</v>
      </c>
      <c r="J164" s="162">
        <v>44278</v>
      </c>
      <c r="K164" s="6" t="s">
        <v>731</v>
      </c>
      <c r="L164" s="162">
        <v>44278</v>
      </c>
      <c r="M164" s="175" t="s">
        <v>5378</v>
      </c>
      <c r="N164" s="6" t="s">
        <v>1042</v>
      </c>
      <c r="O164" s="6" t="s">
        <v>280</v>
      </c>
      <c r="P164" s="6" t="str">
        <f t="shared" si="7"/>
        <v>SAFe que</v>
      </c>
      <c r="Q164" t="str">
        <f t="shared" si="8"/>
        <v>2021</v>
      </c>
    </row>
    <row r="165" spans="1:17">
      <c r="A165" s="162">
        <v>44278</v>
      </c>
      <c r="B165" s="164" t="s">
        <v>1055</v>
      </c>
      <c r="C165" s="164" t="s">
        <v>278</v>
      </c>
      <c r="D165" s="164" t="s">
        <v>151</v>
      </c>
      <c r="E165" s="79">
        <v>44256</v>
      </c>
      <c r="F165" s="6" t="s">
        <v>16</v>
      </c>
      <c r="G165" s="6" t="s">
        <v>1049</v>
      </c>
      <c r="H165" s="170">
        <v>21000</v>
      </c>
      <c r="I165" s="172">
        <f t="shared" si="6"/>
        <v>240.49473202015577</v>
      </c>
      <c r="J165" s="162">
        <v>44278</v>
      </c>
      <c r="K165" s="6" t="s">
        <v>731</v>
      </c>
      <c r="L165" s="162">
        <v>44278</v>
      </c>
      <c r="M165" s="175" t="s">
        <v>5379</v>
      </c>
      <c r="N165" s="6" t="s">
        <v>1057</v>
      </c>
      <c r="O165" s="6" t="s">
        <v>280</v>
      </c>
      <c r="P165" s="6" t="str">
        <f t="shared" si="7"/>
        <v>SAFe que</v>
      </c>
      <c r="Q165" t="str">
        <f t="shared" si="8"/>
        <v>2021</v>
      </c>
    </row>
    <row r="166" spans="1:17">
      <c r="A166" s="162">
        <v>44279</v>
      </c>
      <c r="B166" s="164" t="s">
        <v>1064</v>
      </c>
      <c r="C166" s="164" t="s">
        <v>278</v>
      </c>
      <c r="D166" s="164" t="s">
        <v>25</v>
      </c>
      <c r="E166" s="79">
        <v>44256</v>
      </c>
      <c r="F166" s="6" t="s">
        <v>16</v>
      </c>
      <c r="G166" s="6" t="s">
        <v>892</v>
      </c>
      <c r="H166" s="170">
        <v>43000</v>
      </c>
      <c r="I166" s="172">
        <f t="shared" si="6"/>
        <v>492.44159413650942</v>
      </c>
      <c r="J166" s="162">
        <v>44279</v>
      </c>
      <c r="K166" s="6" t="s">
        <v>731</v>
      </c>
      <c r="L166" s="162">
        <v>44280</v>
      </c>
      <c r="M166" s="175" t="s">
        <v>5380</v>
      </c>
      <c r="N166" s="6" t="s">
        <v>1042</v>
      </c>
      <c r="O166" s="6" t="s">
        <v>356</v>
      </c>
      <c r="P166" s="6" t="str">
        <f t="shared" si="7"/>
        <v>SAFe que</v>
      </c>
      <c r="Q166" t="str">
        <f t="shared" si="8"/>
        <v>2021</v>
      </c>
    </row>
    <row r="167" spans="1:17">
      <c r="A167" s="162">
        <v>44281</v>
      </c>
      <c r="B167" s="164" t="s">
        <v>1066</v>
      </c>
      <c r="C167" s="164" t="s">
        <v>571</v>
      </c>
      <c r="D167" s="164" t="s">
        <v>97</v>
      </c>
      <c r="E167" s="79">
        <v>44256</v>
      </c>
      <c r="F167" s="6" t="s">
        <v>16</v>
      </c>
      <c r="G167" s="6" t="s">
        <v>892</v>
      </c>
      <c r="H167" s="170">
        <v>20000</v>
      </c>
      <c r="I167" s="172">
        <f t="shared" si="6"/>
        <v>229.04260192395787</v>
      </c>
      <c r="J167" s="162">
        <v>44281</v>
      </c>
      <c r="K167" s="6" t="s">
        <v>731</v>
      </c>
      <c r="L167" s="162">
        <v>44281</v>
      </c>
      <c r="M167" s="175" t="s">
        <v>5381</v>
      </c>
      <c r="O167" s="6" t="s">
        <v>280</v>
      </c>
      <c r="P167" s="6" t="str">
        <f t="shared" si="7"/>
        <v>Category</v>
      </c>
      <c r="Q167" t="str">
        <f t="shared" si="8"/>
        <v>2021</v>
      </c>
    </row>
    <row r="168" spans="1:17">
      <c r="A168" s="162">
        <v>44281</v>
      </c>
      <c r="B168" s="164" t="s">
        <v>900</v>
      </c>
      <c r="C168" s="164" t="s">
        <v>306</v>
      </c>
      <c r="D168" s="164" t="s">
        <v>1068</v>
      </c>
      <c r="E168" s="79">
        <v>44256</v>
      </c>
      <c r="F168" s="6" t="s">
        <v>16</v>
      </c>
      <c r="G168" s="6" t="s">
        <v>21</v>
      </c>
      <c r="H168" s="170">
        <v>8000</v>
      </c>
      <c r="I168" s="172">
        <f t="shared" si="6"/>
        <v>91.617040769583156</v>
      </c>
      <c r="J168" s="162">
        <v>44281</v>
      </c>
      <c r="K168" s="6" t="s">
        <v>731</v>
      </c>
      <c r="L168" s="162">
        <v>44281</v>
      </c>
      <c r="M168" s="175" t="s">
        <v>5382</v>
      </c>
      <c r="O168" s="169" t="s">
        <v>5181</v>
      </c>
      <c r="P168" s="6" t="str">
        <f t="shared" si="7"/>
        <v>NonCategory</v>
      </c>
      <c r="Q168" t="str">
        <f t="shared" si="8"/>
        <v>2021</v>
      </c>
    </row>
    <row r="169" spans="1:17">
      <c r="A169" s="162">
        <v>44284</v>
      </c>
      <c r="B169" s="164" t="s">
        <v>1069</v>
      </c>
      <c r="C169" s="164" t="s">
        <v>278</v>
      </c>
      <c r="D169" s="164" t="s">
        <v>97</v>
      </c>
      <c r="E169" s="79">
        <v>44256</v>
      </c>
      <c r="F169" s="6" t="s">
        <v>16</v>
      </c>
      <c r="G169" s="6" t="s">
        <v>275</v>
      </c>
      <c r="H169" s="170">
        <v>20000</v>
      </c>
      <c r="I169" s="172">
        <f t="shared" si="6"/>
        <v>229.04260192395787</v>
      </c>
      <c r="J169" s="162">
        <v>44284</v>
      </c>
      <c r="K169" s="6" t="s">
        <v>1071</v>
      </c>
      <c r="L169" s="162">
        <v>44284</v>
      </c>
      <c r="M169" s="175" t="s">
        <v>5383</v>
      </c>
      <c r="N169" s="6" t="s">
        <v>732</v>
      </c>
      <c r="O169" s="6" t="s">
        <v>356</v>
      </c>
      <c r="P169" s="6" t="str">
        <f t="shared" si="7"/>
        <v>Category</v>
      </c>
      <c r="Q169" t="str">
        <f t="shared" si="8"/>
        <v>2021</v>
      </c>
    </row>
    <row r="170" spans="1:17">
      <c r="A170" s="162">
        <v>44284</v>
      </c>
      <c r="B170" s="165" t="s">
        <v>1072</v>
      </c>
      <c r="C170" s="165" t="s">
        <v>303</v>
      </c>
      <c r="D170" s="165" t="s">
        <v>150</v>
      </c>
      <c r="E170" s="79">
        <v>44256</v>
      </c>
      <c r="F170" s="6" t="s">
        <v>16</v>
      </c>
      <c r="G170" s="6" t="s">
        <v>1074</v>
      </c>
      <c r="H170" s="170">
        <v>21000</v>
      </c>
      <c r="I170" s="172">
        <f t="shared" si="6"/>
        <v>240.49473202015577</v>
      </c>
      <c r="J170" s="162">
        <v>44284</v>
      </c>
      <c r="K170" s="6" t="s">
        <v>1071</v>
      </c>
      <c r="L170" s="162">
        <v>44284</v>
      </c>
      <c r="M170" s="175" t="s">
        <v>5384</v>
      </c>
      <c r="O170" s="6" t="s">
        <v>356</v>
      </c>
      <c r="P170" s="6" t="str">
        <f t="shared" si="7"/>
        <v>SAFe que</v>
      </c>
      <c r="Q170" t="str">
        <f t="shared" si="8"/>
        <v>2021</v>
      </c>
    </row>
    <row r="171" spans="1:17">
      <c r="A171" s="162">
        <v>44282</v>
      </c>
      <c r="B171" s="164" t="s">
        <v>1075</v>
      </c>
      <c r="C171" s="164" t="s">
        <v>291</v>
      </c>
      <c r="D171" s="164" t="s">
        <v>25</v>
      </c>
      <c r="E171" s="79">
        <v>44256</v>
      </c>
      <c r="F171" s="6" t="s">
        <v>16</v>
      </c>
      <c r="G171" s="6" t="s">
        <v>1077</v>
      </c>
      <c r="H171" s="170">
        <v>45000</v>
      </c>
      <c r="I171" s="172">
        <f t="shared" si="6"/>
        <v>515.34585432890515</v>
      </c>
      <c r="J171" s="162">
        <v>44284</v>
      </c>
      <c r="K171" s="6" t="s">
        <v>1071</v>
      </c>
      <c r="L171" s="162">
        <v>44284</v>
      </c>
      <c r="M171" s="175" t="s">
        <v>5385</v>
      </c>
      <c r="O171" s="6" t="s">
        <v>356</v>
      </c>
      <c r="P171" s="6" t="str">
        <f t="shared" si="7"/>
        <v>SAFe que</v>
      </c>
      <c r="Q171" t="str">
        <f t="shared" si="8"/>
        <v>2021</v>
      </c>
    </row>
    <row r="172" spans="1:17">
      <c r="A172" s="162">
        <v>44284</v>
      </c>
      <c r="B172" s="164" t="s">
        <v>1078</v>
      </c>
      <c r="C172" s="164" t="s">
        <v>303</v>
      </c>
      <c r="D172" s="165" t="s">
        <v>150</v>
      </c>
      <c r="E172" s="79">
        <v>44256</v>
      </c>
      <c r="F172" s="6" t="s">
        <v>16</v>
      </c>
      <c r="G172" s="6" t="s">
        <v>1074</v>
      </c>
      <c r="H172" s="170">
        <v>20500</v>
      </c>
      <c r="I172" s="172">
        <f t="shared" si="6"/>
        <v>234.76866697205682</v>
      </c>
      <c r="J172" s="162">
        <v>44284</v>
      </c>
      <c r="K172" s="6" t="s">
        <v>1071</v>
      </c>
      <c r="L172" s="162">
        <v>44285</v>
      </c>
      <c r="M172" s="175" t="s">
        <v>5386</v>
      </c>
      <c r="O172" s="169" t="s">
        <v>5181</v>
      </c>
      <c r="P172" s="6" t="str">
        <f t="shared" si="7"/>
        <v>SAFe que</v>
      </c>
      <c r="Q172" t="str">
        <f t="shared" si="8"/>
        <v>2021</v>
      </c>
    </row>
    <row r="173" spans="1:17">
      <c r="A173" s="162">
        <v>44284</v>
      </c>
      <c r="B173" s="164" t="s">
        <v>1080</v>
      </c>
      <c r="C173" s="164" t="s">
        <v>287</v>
      </c>
      <c r="D173" s="164" t="s">
        <v>25</v>
      </c>
      <c r="E173" s="79">
        <v>44256</v>
      </c>
      <c r="F173" s="6" t="s">
        <v>16</v>
      </c>
      <c r="G173" s="6" t="s">
        <v>1074</v>
      </c>
      <c r="H173" s="170">
        <v>23000</v>
      </c>
      <c r="I173" s="172">
        <f t="shared" si="6"/>
        <v>263.39899221255155</v>
      </c>
      <c r="J173" s="162">
        <v>44284</v>
      </c>
      <c r="K173" s="6" t="s">
        <v>1071</v>
      </c>
      <c r="L173" s="162">
        <v>44285</v>
      </c>
      <c r="M173" s="175" t="s">
        <v>5387</v>
      </c>
      <c r="O173" s="6" t="s">
        <v>280</v>
      </c>
      <c r="P173" s="6" t="str">
        <f t="shared" si="7"/>
        <v>SAFe que</v>
      </c>
      <c r="Q173" t="str">
        <f t="shared" si="8"/>
        <v>2021</v>
      </c>
    </row>
    <row r="174" spans="1:17">
      <c r="A174" s="162">
        <v>44284</v>
      </c>
      <c r="B174" s="164" t="s">
        <v>1082</v>
      </c>
      <c r="C174" s="164" t="s">
        <v>319</v>
      </c>
      <c r="D174" s="164" t="s">
        <v>25</v>
      </c>
      <c r="E174" s="79">
        <v>44256</v>
      </c>
      <c r="F174" s="6" t="s">
        <v>16</v>
      </c>
      <c r="G174" s="6" t="s">
        <v>1074</v>
      </c>
      <c r="H174" s="170">
        <v>23000</v>
      </c>
      <c r="I174" s="172">
        <f t="shared" si="6"/>
        <v>263.39899221255155</v>
      </c>
      <c r="J174" s="162">
        <v>44284</v>
      </c>
      <c r="K174" s="6" t="s">
        <v>1071</v>
      </c>
      <c r="L174" s="162">
        <v>44285</v>
      </c>
      <c r="M174" s="175" t="s">
        <v>5388</v>
      </c>
      <c r="O174" s="169" t="s">
        <v>5181</v>
      </c>
      <c r="P174" s="6" t="str">
        <f t="shared" si="7"/>
        <v>SAFe que</v>
      </c>
      <c r="Q174" t="str">
        <f t="shared" si="8"/>
        <v>2021</v>
      </c>
    </row>
    <row r="175" spans="1:17">
      <c r="A175" s="162">
        <v>44284</v>
      </c>
      <c r="B175" s="164" t="s">
        <v>1084</v>
      </c>
      <c r="C175" s="164" t="s">
        <v>278</v>
      </c>
      <c r="D175" s="164" t="s">
        <v>25</v>
      </c>
      <c r="E175" s="79">
        <v>44256</v>
      </c>
      <c r="F175" s="6" t="s">
        <v>16</v>
      </c>
      <c r="G175" s="6" t="s">
        <v>1074</v>
      </c>
      <c r="H175" s="170">
        <v>23000</v>
      </c>
      <c r="I175" s="172">
        <f t="shared" si="6"/>
        <v>263.39899221255155</v>
      </c>
      <c r="J175" s="162">
        <v>44284</v>
      </c>
      <c r="K175" s="6" t="s">
        <v>1071</v>
      </c>
      <c r="L175" s="162">
        <v>44285</v>
      </c>
      <c r="M175" s="175" t="s">
        <v>5389</v>
      </c>
      <c r="N175" s="6" t="s">
        <v>1086</v>
      </c>
      <c r="O175" s="6" t="s">
        <v>280</v>
      </c>
      <c r="P175" s="6" t="str">
        <f t="shared" si="7"/>
        <v>SAFe que</v>
      </c>
      <c r="Q175" t="str">
        <f t="shared" si="8"/>
        <v>2021</v>
      </c>
    </row>
    <row r="176" spans="1:17">
      <c r="A176" s="162">
        <v>44284</v>
      </c>
      <c r="B176" s="164" t="s">
        <v>873</v>
      </c>
      <c r="C176" s="164" t="s">
        <v>278</v>
      </c>
      <c r="D176" s="164" t="s">
        <v>25</v>
      </c>
      <c r="E176" s="79">
        <v>44256</v>
      </c>
      <c r="F176" s="6" t="s">
        <v>16</v>
      </c>
      <c r="G176" s="6" t="s">
        <v>1074</v>
      </c>
      <c r="H176" s="170">
        <v>23000</v>
      </c>
      <c r="I176" s="172">
        <f t="shared" si="6"/>
        <v>263.39899221255155</v>
      </c>
      <c r="J176" s="162">
        <v>44284</v>
      </c>
      <c r="K176" s="6" t="s">
        <v>1071</v>
      </c>
      <c r="L176" s="162">
        <v>44285</v>
      </c>
      <c r="M176" s="175" t="s">
        <v>5390</v>
      </c>
      <c r="N176" s="6" t="s">
        <v>1086</v>
      </c>
      <c r="O176" s="6" t="s">
        <v>280</v>
      </c>
      <c r="P176" s="6" t="str">
        <f t="shared" si="7"/>
        <v>SAFe que</v>
      </c>
      <c r="Q176" t="str">
        <f t="shared" si="8"/>
        <v>2021</v>
      </c>
    </row>
    <row r="177" spans="1:17">
      <c r="A177" s="162">
        <v>44284</v>
      </c>
      <c r="B177" s="164" t="s">
        <v>1088</v>
      </c>
      <c r="C177" s="164" t="s">
        <v>278</v>
      </c>
      <c r="D177" s="164" t="s">
        <v>25</v>
      </c>
      <c r="E177" s="79">
        <v>44256</v>
      </c>
      <c r="F177" s="6" t="s">
        <v>16</v>
      </c>
      <c r="G177" s="6" t="s">
        <v>1074</v>
      </c>
      <c r="H177" s="170">
        <v>23000</v>
      </c>
      <c r="I177" s="172">
        <f t="shared" si="6"/>
        <v>263.39899221255155</v>
      </c>
      <c r="J177" s="162">
        <v>44284</v>
      </c>
      <c r="K177" s="6" t="s">
        <v>1071</v>
      </c>
      <c r="L177" s="162">
        <v>44285</v>
      </c>
      <c r="M177" s="175" t="s">
        <v>5391</v>
      </c>
      <c r="N177" s="6" t="s">
        <v>1086</v>
      </c>
      <c r="O177" s="6" t="s">
        <v>280</v>
      </c>
      <c r="P177" s="6" t="str">
        <f t="shared" si="7"/>
        <v>SAFe que</v>
      </c>
      <c r="Q177" t="str">
        <f t="shared" si="8"/>
        <v>2021</v>
      </c>
    </row>
    <row r="178" spans="1:17">
      <c r="A178" s="162">
        <v>44284</v>
      </c>
      <c r="B178" s="164" t="s">
        <v>1090</v>
      </c>
      <c r="C178" s="164" t="s">
        <v>319</v>
      </c>
      <c r="D178" s="164" t="s">
        <v>25</v>
      </c>
      <c r="E178" s="79">
        <v>44256</v>
      </c>
      <c r="F178" s="6" t="s">
        <v>16</v>
      </c>
      <c r="G178" s="6" t="s">
        <v>1074</v>
      </c>
      <c r="H178" s="170">
        <v>23000</v>
      </c>
      <c r="I178" s="172">
        <f t="shared" si="6"/>
        <v>263.39899221255155</v>
      </c>
      <c r="J178" s="162">
        <v>44284</v>
      </c>
      <c r="K178" s="6" t="s">
        <v>1071</v>
      </c>
      <c r="L178" s="162">
        <v>44285</v>
      </c>
      <c r="M178" s="175" t="s">
        <v>5392</v>
      </c>
      <c r="O178" s="169" t="s">
        <v>5181</v>
      </c>
      <c r="P178" s="6" t="str">
        <f t="shared" si="7"/>
        <v>SAFe que</v>
      </c>
      <c r="Q178" t="str">
        <f t="shared" si="8"/>
        <v>2021</v>
      </c>
    </row>
    <row r="179" spans="1:17">
      <c r="A179" s="162">
        <v>44284</v>
      </c>
      <c r="B179" s="164" t="s">
        <v>1092</v>
      </c>
      <c r="C179" s="164" t="s">
        <v>278</v>
      </c>
      <c r="D179" s="164" t="s">
        <v>25</v>
      </c>
      <c r="E179" s="79">
        <v>44256</v>
      </c>
      <c r="F179" s="6" t="s">
        <v>16</v>
      </c>
      <c r="G179" s="6" t="s">
        <v>1074</v>
      </c>
      <c r="H179" s="170">
        <v>23000</v>
      </c>
      <c r="I179" s="172">
        <f t="shared" si="6"/>
        <v>263.39899221255155</v>
      </c>
      <c r="J179" s="162">
        <v>44284</v>
      </c>
      <c r="K179" s="6" t="s">
        <v>1071</v>
      </c>
      <c r="L179" s="162">
        <v>44285</v>
      </c>
      <c r="M179" s="175" t="s">
        <v>5393</v>
      </c>
      <c r="N179" s="6" t="s">
        <v>1086</v>
      </c>
      <c r="O179" s="6" t="s">
        <v>280</v>
      </c>
      <c r="P179" s="6" t="str">
        <f t="shared" si="7"/>
        <v>SAFe que</v>
      </c>
      <c r="Q179" t="str">
        <f t="shared" si="8"/>
        <v>2021</v>
      </c>
    </row>
    <row r="180" spans="1:17">
      <c r="A180" s="162">
        <v>44282</v>
      </c>
      <c r="B180" s="164" t="s">
        <v>1094</v>
      </c>
      <c r="C180" s="164" t="s">
        <v>319</v>
      </c>
      <c r="D180" s="164" t="s">
        <v>25</v>
      </c>
      <c r="E180" s="79">
        <v>44256</v>
      </c>
      <c r="F180" s="6" t="s">
        <v>16</v>
      </c>
      <c r="G180" s="6" t="s">
        <v>1015</v>
      </c>
      <c r="H180" s="170">
        <v>44000</v>
      </c>
      <c r="I180" s="172">
        <f t="shared" si="6"/>
        <v>503.89372423270737</v>
      </c>
      <c r="J180" s="162">
        <v>44284</v>
      </c>
      <c r="K180" s="6" t="s">
        <v>1071</v>
      </c>
      <c r="L180" s="162">
        <v>44285</v>
      </c>
      <c r="M180" s="175" t="s">
        <v>5394</v>
      </c>
      <c r="O180" s="6" t="s">
        <v>1096</v>
      </c>
      <c r="P180" s="6" t="str">
        <f t="shared" si="7"/>
        <v>SAFe que</v>
      </c>
      <c r="Q180" t="str">
        <f t="shared" si="8"/>
        <v>2021</v>
      </c>
    </row>
    <row r="181" spans="1:17">
      <c r="A181" s="162">
        <v>44286</v>
      </c>
      <c r="B181" s="164" t="s">
        <v>1097</v>
      </c>
      <c r="C181" s="164" t="s">
        <v>278</v>
      </c>
      <c r="D181" s="164" t="s">
        <v>96</v>
      </c>
      <c r="E181" s="79">
        <v>44287</v>
      </c>
      <c r="F181" s="6" t="s">
        <v>16</v>
      </c>
      <c r="G181" s="6" t="s">
        <v>1015</v>
      </c>
      <c r="H181" s="170">
        <v>20000</v>
      </c>
      <c r="I181" s="172">
        <f t="shared" si="6"/>
        <v>229.04260192395787</v>
      </c>
      <c r="J181" s="162">
        <v>44287</v>
      </c>
      <c r="K181" s="6" t="s">
        <v>251</v>
      </c>
      <c r="L181" s="162">
        <v>44287</v>
      </c>
      <c r="M181" s="175" t="s">
        <v>5395</v>
      </c>
      <c r="N181" s="6" t="s">
        <v>1099</v>
      </c>
      <c r="O181" s="6" t="s">
        <v>280</v>
      </c>
      <c r="P181" s="6" t="str">
        <f t="shared" si="7"/>
        <v>Category</v>
      </c>
      <c r="Q181" t="str">
        <f t="shared" si="8"/>
        <v>2021</v>
      </c>
    </row>
    <row r="182" spans="1:17">
      <c r="A182" s="162">
        <v>44286</v>
      </c>
      <c r="B182" s="164" t="s">
        <v>1100</v>
      </c>
      <c r="C182" s="164" t="s">
        <v>303</v>
      </c>
      <c r="D182" s="164" t="s">
        <v>25</v>
      </c>
      <c r="E182" s="79">
        <v>44287</v>
      </c>
      <c r="F182" s="6" t="s">
        <v>16</v>
      </c>
      <c r="G182" s="6" t="s">
        <v>1074</v>
      </c>
      <c r="H182" s="170">
        <v>45000</v>
      </c>
      <c r="I182" s="172">
        <f t="shared" si="6"/>
        <v>515.34585432890515</v>
      </c>
      <c r="J182" s="162">
        <v>44287</v>
      </c>
      <c r="K182" s="6" t="s">
        <v>251</v>
      </c>
      <c r="L182" s="162">
        <v>44287</v>
      </c>
      <c r="M182" s="175" t="s">
        <v>5396</v>
      </c>
      <c r="O182" s="6" t="s">
        <v>356</v>
      </c>
      <c r="P182" s="6" t="str">
        <f t="shared" si="7"/>
        <v>SAFe que</v>
      </c>
      <c r="Q182" t="str">
        <f t="shared" si="8"/>
        <v>2021</v>
      </c>
    </row>
    <row r="183" spans="1:17">
      <c r="A183" s="162">
        <v>44287</v>
      </c>
      <c r="B183" s="166" t="s">
        <v>1102</v>
      </c>
      <c r="C183" s="164" t="s">
        <v>278</v>
      </c>
      <c r="D183" s="164" t="s">
        <v>25</v>
      </c>
      <c r="E183" s="79">
        <v>44287</v>
      </c>
      <c r="F183" s="6" t="s">
        <v>16</v>
      </c>
      <c r="G183" s="6" t="s">
        <v>1074</v>
      </c>
      <c r="H183" s="170">
        <v>45000</v>
      </c>
      <c r="I183" s="172">
        <f t="shared" si="6"/>
        <v>515.34585432890515</v>
      </c>
      <c r="J183" s="162">
        <v>44287</v>
      </c>
      <c r="K183" s="6" t="s">
        <v>251</v>
      </c>
      <c r="L183" s="162">
        <v>44287</v>
      </c>
      <c r="M183" s="175" t="s">
        <v>5397</v>
      </c>
      <c r="N183" s="6" t="s">
        <v>1086</v>
      </c>
      <c r="O183" s="6" t="s">
        <v>356</v>
      </c>
      <c r="P183" s="6" t="str">
        <f t="shared" si="7"/>
        <v>SAFe que</v>
      </c>
      <c r="Q183" t="str">
        <f t="shared" si="8"/>
        <v>2021</v>
      </c>
    </row>
    <row r="184" spans="1:17">
      <c r="A184" s="162">
        <v>44287</v>
      </c>
      <c r="B184" s="164" t="s">
        <v>1104</v>
      </c>
      <c r="C184" s="164" t="s">
        <v>343</v>
      </c>
      <c r="D184" s="164" t="s">
        <v>96</v>
      </c>
      <c r="E184" s="79">
        <v>44287</v>
      </c>
      <c r="F184" s="6" t="s">
        <v>16</v>
      </c>
      <c r="G184" s="6" t="s">
        <v>1074</v>
      </c>
      <c r="H184" s="170">
        <v>19000</v>
      </c>
      <c r="I184" s="172">
        <f t="shared" si="6"/>
        <v>217.59047182775998</v>
      </c>
      <c r="J184" s="162">
        <v>44288</v>
      </c>
      <c r="K184" s="6" t="s">
        <v>251</v>
      </c>
      <c r="L184" s="162">
        <v>44288</v>
      </c>
      <c r="M184" s="175" t="s">
        <v>5398</v>
      </c>
      <c r="O184" s="6" t="s">
        <v>356</v>
      </c>
      <c r="P184" s="6" t="str">
        <f t="shared" si="7"/>
        <v>Category</v>
      </c>
      <c r="Q184" t="str">
        <f t="shared" si="8"/>
        <v>2021</v>
      </c>
    </row>
    <row r="185" spans="1:17">
      <c r="A185" s="162">
        <v>44289</v>
      </c>
      <c r="B185" s="164" t="s">
        <v>1106</v>
      </c>
      <c r="C185" s="164" t="s">
        <v>303</v>
      </c>
      <c r="D185" s="164" t="s">
        <v>25</v>
      </c>
      <c r="E185" s="79">
        <v>44287</v>
      </c>
      <c r="F185" s="6" t="s">
        <v>16</v>
      </c>
      <c r="G185" s="6" t="s">
        <v>1015</v>
      </c>
      <c r="H185" s="170">
        <v>45000</v>
      </c>
      <c r="I185" s="172">
        <f t="shared" si="6"/>
        <v>515.34585432890515</v>
      </c>
      <c r="J185" s="162">
        <v>44289</v>
      </c>
      <c r="K185" s="6" t="s">
        <v>251</v>
      </c>
      <c r="L185" s="162">
        <v>44289</v>
      </c>
      <c r="M185" s="175" t="s">
        <v>5399</v>
      </c>
      <c r="O185" s="6" t="s">
        <v>280</v>
      </c>
      <c r="P185" s="6" t="str">
        <f t="shared" si="7"/>
        <v>SAFe que</v>
      </c>
      <c r="Q185" t="str">
        <f t="shared" si="8"/>
        <v>2021</v>
      </c>
    </row>
    <row r="186" spans="1:17">
      <c r="A186" s="162">
        <v>44291</v>
      </c>
      <c r="B186" s="164" t="s">
        <v>630</v>
      </c>
      <c r="C186" s="164" t="s">
        <v>274</v>
      </c>
      <c r="D186" s="164" t="s">
        <v>538</v>
      </c>
      <c r="E186" s="79">
        <v>44287</v>
      </c>
      <c r="F186" s="6" t="s">
        <v>16</v>
      </c>
      <c r="G186" s="80">
        <v>44287</v>
      </c>
      <c r="H186" s="170">
        <v>13500</v>
      </c>
      <c r="I186" s="172">
        <f t="shared" si="6"/>
        <v>154.60375629867156</v>
      </c>
      <c r="J186" s="162">
        <v>44291</v>
      </c>
      <c r="K186" s="6" t="s">
        <v>251</v>
      </c>
      <c r="L186" s="162">
        <v>44291</v>
      </c>
      <c r="M186" s="175" t="s">
        <v>5400</v>
      </c>
      <c r="O186" s="6" t="s">
        <v>356</v>
      </c>
      <c r="P186" s="6" t="str">
        <f t="shared" si="7"/>
        <v>NonCategory</v>
      </c>
      <c r="Q186" t="str">
        <f t="shared" si="8"/>
        <v>2021</v>
      </c>
    </row>
    <row r="187" spans="1:17">
      <c r="A187" s="162">
        <v>44291</v>
      </c>
      <c r="B187" s="164" t="s">
        <v>1108</v>
      </c>
      <c r="C187" s="164" t="s">
        <v>319</v>
      </c>
      <c r="D187" s="164" t="s">
        <v>538</v>
      </c>
      <c r="E187" s="79">
        <v>44287</v>
      </c>
      <c r="F187" s="6" t="s">
        <v>16</v>
      </c>
      <c r="G187" s="80">
        <v>44287</v>
      </c>
      <c r="H187" s="170">
        <v>13500</v>
      </c>
      <c r="I187" s="172">
        <f t="shared" si="6"/>
        <v>154.60375629867156</v>
      </c>
      <c r="J187" s="162">
        <v>44291</v>
      </c>
      <c r="K187" s="6" t="s">
        <v>251</v>
      </c>
      <c r="L187" s="162">
        <v>44291</v>
      </c>
      <c r="M187" s="175" t="s">
        <v>5401</v>
      </c>
      <c r="O187" s="6" t="s">
        <v>356</v>
      </c>
      <c r="P187" s="6" t="str">
        <f t="shared" si="7"/>
        <v>NonCategory</v>
      </c>
      <c r="Q187" t="str">
        <f t="shared" si="8"/>
        <v>2021</v>
      </c>
    </row>
    <row r="188" spans="1:17">
      <c r="A188" s="162">
        <v>44291</v>
      </c>
      <c r="B188" s="164" t="s">
        <v>1110</v>
      </c>
      <c r="C188" s="164" t="s">
        <v>297</v>
      </c>
      <c r="D188" s="164" t="s">
        <v>25</v>
      </c>
      <c r="E188" s="79">
        <v>44287</v>
      </c>
      <c r="F188" s="6" t="s">
        <v>16</v>
      </c>
      <c r="G188" s="6" t="s">
        <v>1015</v>
      </c>
      <c r="H188" s="170">
        <v>45000</v>
      </c>
      <c r="I188" s="172">
        <f t="shared" si="6"/>
        <v>515.34585432890515</v>
      </c>
      <c r="J188" s="162">
        <v>44291</v>
      </c>
      <c r="K188" s="6" t="s">
        <v>251</v>
      </c>
      <c r="L188" s="162">
        <v>44291</v>
      </c>
      <c r="M188" s="175" t="s">
        <v>5402</v>
      </c>
      <c r="O188" s="6" t="s">
        <v>356</v>
      </c>
      <c r="P188" s="6" t="str">
        <f t="shared" si="7"/>
        <v>SAFe que</v>
      </c>
      <c r="Q188" t="str">
        <f t="shared" si="8"/>
        <v>2021</v>
      </c>
    </row>
    <row r="189" spans="1:17">
      <c r="A189" s="162">
        <v>44292</v>
      </c>
      <c r="B189" s="164" t="s">
        <v>1112</v>
      </c>
      <c r="C189" s="164" t="s">
        <v>319</v>
      </c>
      <c r="D189" s="164" t="s">
        <v>14</v>
      </c>
      <c r="E189" s="79">
        <v>44287</v>
      </c>
      <c r="F189" s="6" t="s">
        <v>16</v>
      </c>
      <c r="G189" s="6" t="s">
        <v>1015</v>
      </c>
      <c r="H189" s="170">
        <v>30000</v>
      </c>
      <c r="I189" s="172">
        <f t="shared" si="6"/>
        <v>343.56390288593678</v>
      </c>
      <c r="J189" s="162">
        <v>44292</v>
      </c>
      <c r="K189" s="6" t="s">
        <v>251</v>
      </c>
      <c r="L189" s="162">
        <v>44292</v>
      </c>
      <c r="M189" s="175" t="s">
        <v>5403</v>
      </c>
      <c r="O189" s="6" t="s">
        <v>356</v>
      </c>
      <c r="P189" s="6" t="str">
        <f t="shared" si="7"/>
        <v>SAFe que</v>
      </c>
      <c r="Q189" t="str">
        <f t="shared" si="8"/>
        <v>2021</v>
      </c>
    </row>
    <row r="190" spans="1:17">
      <c r="A190" s="162">
        <v>44291</v>
      </c>
      <c r="B190" s="164" t="s">
        <v>1114</v>
      </c>
      <c r="C190" s="164" t="s">
        <v>278</v>
      </c>
      <c r="D190" s="165" t="s">
        <v>150</v>
      </c>
      <c r="E190" s="79">
        <v>44287</v>
      </c>
      <c r="F190" s="6" t="s">
        <v>16</v>
      </c>
      <c r="G190" s="6" t="s">
        <v>275</v>
      </c>
      <c r="H190" s="170">
        <v>20500</v>
      </c>
      <c r="I190" s="172">
        <f t="shared" si="6"/>
        <v>234.76866697205682</v>
      </c>
      <c r="J190" s="162">
        <v>44295</v>
      </c>
      <c r="K190" s="6" t="s">
        <v>251</v>
      </c>
      <c r="L190" s="162">
        <v>44293</v>
      </c>
      <c r="M190" s="175" t="s">
        <v>5404</v>
      </c>
      <c r="N190" s="6" t="s">
        <v>1116</v>
      </c>
      <c r="O190" s="6" t="s">
        <v>356</v>
      </c>
      <c r="P190" s="6" t="str">
        <f t="shared" si="7"/>
        <v>SAFe que</v>
      </c>
      <c r="Q190" t="str">
        <f t="shared" si="8"/>
        <v>2021</v>
      </c>
    </row>
    <row r="191" spans="1:17">
      <c r="A191" s="162">
        <v>44292</v>
      </c>
      <c r="B191" s="164" t="s">
        <v>1117</v>
      </c>
      <c r="C191" s="164" t="s">
        <v>278</v>
      </c>
      <c r="D191" s="164" t="s">
        <v>14</v>
      </c>
      <c r="E191" s="79">
        <v>44287</v>
      </c>
      <c r="F191" s="6" t="s">
        <v>16</v>
      </c>
      <c r="G191" s="6" t="s">
        <v>1015</v>
      </c>
      <c r="H191" s="170">
        <v>30000</v>
      </c>
      <c r="I191" s="172">
        <f t="shared" si="6"/>
        <v>343.56390288593678</v>
      </c>
      <c r="J191" s="162">
        <v>44292</v>
      </c>
      <c r="K191" s="6" t="s">
        <v>251</v>
      </c>
      <c r="L191" s="162">
        <v>44294</v>
      </c>
      <c r="M191" s="175" t="s">
        <v>5405</v>
      </c>
      <c r="N191" s="6" t="s">
        <v>1119</v>
      </c>
      <c r="O191" s="6" t="s">
        <v>1120</v>
      </c>
      <c r="P191" s="6" t="str">
        <f t="shared" si="7"/>
        <v>SAFe que</v>
      </c>
      <c r="Q191" t="str">
        <f t="shared" si="8"/>
        <v>2021</v>
      </c>
    </row>
    <row r="192" spans="1:17">
      <c r="A192" s="162">
        <v>44295</v>
      </c>
      <c r="B192" s="164" t="s">
        <v>1121</v>
      </c>
      <c r="C192" s="164" t="s">
        <v>319</v>
      </c>
      <c r="D192" s="164" t="s">
        <v>97</v>
      </c>
      <c r="E192" s="79">
        <v>44287</v>
      </c>
      <c r="F192" s="6" t="s">
        <v>16</v>
      </c>
      <c r="G192" s="6" t="s">
        <v>1123</v>
      </c>
      <c r="H192" s="170">
        <v>18500</v>
      </c>
      <c r="I192" s="172">
        <f t="shared" si="6"/>
        <v>211.86440677966101</v>
      </c>
      <c r="J192" s="162">
        <v>44295</v>
      </c>
      <c r="K192" s="6" t="s">
        <v>251</v>
      </c>
      <c r="L192" s="162">
        <v>44295</v>
      </c>
      <c r="M192" s="175" t="s">
        <v>5406</v>
      </c>
      <c r="O192" s="6" t="s">
        <v>356</v>
      </c>
      <c r="P192" s="6" t="str">
        <f t="shared" si="7"/>
        <v>Category</v>
      </c>
      <c r="Q192" t="str">
        <f t="shared" si="8"/>
        <v>2021</v>
      </c>
    </row>
    <row r="193" spans="1:17">
      <c r="A193" s="162">
        <v>44296</v>
      </c>
      <c r="B193" s="164" t="s">
        <v>1124</v>
      </c>
      <c r="C193" s="164" t="s">
        <v>287</v>
      </c>
      <c r="D193" s="164" t="s">
        <v>25</v>
      </c>
      <c r="E193" s="79">
        <v>44287</v>
      </c>
      <c r="F193" s="6" t="s">
        <v>16</v>
      </c>
      <c r="G193" s="6" t="s">
        <v>936</v>
      </c>
      <c r="H193" s="170">
        <v>43000</v>
      </c>
      <c r="I193" s="172">
        <f t="shared" si="6"/>
        <v>492.44159413650942</v>
      </c>
      <c r="J193" s="162">
        <v>44296</v>
      </c>
      <c r="K193" s="6" t="s">
        <v>251</v>
      </c>
      <c r="L193" s="162">
        <v>44296</v>
      </c>
      <c r="M193" s="175" t="s">
        <v>5407</v>
      </c>
      <c r="O193" s="6" t="s">
        <v>356</v>
      </c>
      <c r="P193" s="6" t="str">
        <f t="shared" si="7"/>
        <v>SAFe que</v>
      </c>
      <c r="Q193" t="str">
        <f t="shared" si="8"/>
        <v>2021</v>
      </c>
    </row>
    <row r="194" spans="1:17">
      <c r="A194" s="162">
        <v>44296</v>
      </c>
      <c r="B194" s="164" t="s">
        <v>1126</v>
      </c>
      <c r="C194" s="164" t="s">
        <v>319</v>
      </c>
      <c r="D194" s="164" t="s">
        <v>6</v>
      </c>
      <c r="E194" s="79">
        <v>44287</v>
      </c>
      <c r="F194" s="6" t="s">
        <v>16</v>
      </c>
      <c r="G194" s="6" t="s">
        <v>936</v>
      </c>
      <c r="H194" s="170">
        <v>50000</v>
      </c>
      <c r="I194" s="172">
        <f t="shared" ref="I194:I257" si="9">IFERROR((($H194/1.18))/74,"")</f>
        <v>572.60650480989466</v>
      </c>
      <c r="J194" s="162">
        <v>44296</v>
      </c>
      <c r="K194" s="6" t="s">
        <v>251</v>
      </c>
      <c r="L194" s="162">
        <v>44296</v>
      </c>
      <c r="M194" s="175" t="s">
        <v>5408</v>
      </c>
      <c r="O194" s="6" t="s">
        <v>280</v>
      </c>
      <c r="P194" s="6" t="str">
        <f t="shared" ref="P194:P257" si="10">IFERROR(_xlfn.IFS($D194="CSM","Category",$D194="CSPO","Category", $D194="PSM","SAFe que",$D194="PSPO","SAFe que",$D194="SAFe Agile","SAFe que",$D194="SAFe SSM","SAFe que",$D194="SAFe POPM","SAFe que",$D194="SASM","SAFe que",$D194="PMI-ACP","Category",$D194="ICP-ACC","SAFe que",$D194="PSM 2","SAFe que",$D194="SAFe RTE","SAFe que",$D194="Implementing SAFe","SAFe que",$D194="SAFe for Government","SAFe que",$D194="PSPO 2","SAFe que",$D194="",""),"NonCategory")</f>
        <v>SAFe que</v>
      </c>
      <c r="Q194" t="str">
        <f t="shared" ref="Q194:Q257" si="11">TEXT(E194, "yyyy")</f>
        <v>2021</v>
      </c>
    </row>
    <row r="195" spans="1:17">
      <c r="A195" s="163">
        <v>44295</v>
      </c>
      <c r="B195" s="165" t="s">
        <v>1133</v>
      </c>
      <c r="C195" s="165" t="s">
        <v>297</v>
      </c>
      <c r="D195" s="165" t="s">
        <v>150</v>
      </c>
      <c r="E195" s="79">
        <v>44287</v>
      </c>
      <c r="F195" s="6" t="s">
        <v>16</v>
      </c>
      <c r="G195" s="6" t="s">
        <v>275</v>
      </c>
      <c r="H195" s="170">
        <v>21000</v>
      </c>
      <c r="I195" s="172">
        <f t="shared" si="9"/>
        <v>240.49473202015577</v>
      </c>
      <c r="J195" s="162">
        <v>44297</v>
      </c>
      <c r="K195" s="6" t="s">
        <v>252</v>
      </c>
      <c r="L195" s="162">
        <v>44297</v>
      </c>
      <c r="M195" s="175" t="s">
        <v>5409</v>
      </c>
      <c r="O195" s="6" t="s">
        <v>280</v>
      </c>
      <c r="P195" s="6" t="str">
        <f t="shared" si="10"/>
        <v>SAFe que</v>
      </c>
      <c r="Q195" t="str">
        <f t="shared" si="11"/>
        <v>2021</v>
      </c>
    </row>
    <row r="196" spans="1:17">
      <c r="A196" s="163">
        <v>44295</v>
      </c>
      <c r="B196" s="165" t="s">
        <v>1135</v>
      </c>
      <c r="C196" s="165" t="s">
        <v>303</v>
      </c>
      <c r="D196" s="164" t="s">
        <v>1137</v>
      </c>
      <c r="E196" s="79">
        <v>44287</v>
      </c>
      <c r="F196" s="6" t="s">
        <v>16</v>
      </c>
      <c r="G196" s="96">
        <v>44303</v>
      </c>
      <c r="H196" s="170">
        <v>12000</v>
      </c>
      <c r="I196" s="172">
        <f t="shared" si="9"/>
        <v>137.42556115437472</v>
      </c>
      <c r="J196" s="162">
        <v>44300</v>
      </c>
      <c r="K196" s="6" t="s">
        <v>252</v>
      </c>
      <c r="L196" s="162">
        <v>44301</v>
      </c>
      <c r="M196" s="175" t="s">
        <v>5410</v>
      </c>
      <c r="O196" s="169" t="s">
        <v>5181</v>
      </c>
      <c r="P196" s="6" t="str">
        <f t="shared" si="10"/>
        <v>NonCategory</v>
      </c>
      <c r="Q196" t="str">
        <f t="shared" si="11"/>
        <v>2021</v>
      </c>
    </row>
    <row r="197" spans="1:17">
      <c r="A197" s="162">
        <v>44301</v>
      </c>
      <c r="B197" s="164" t="s">
        <v>1138</v>
      </c>
      <c r="C197" s="164" t="s">
        <v>303</v>
      </c>
      <c r="D197" s="165" t="s">
        <v>150</v>
      </c>
      <c r="E197" s="79">
        <v>44287</v>
      </c>
      <c r="F197" s="6" t="s">
        <v>16</v>
      </c>
      <c r="G197" s="6" t="s">
        <v>275</v>
      </c>
      <c r="H197" s="170">
        <v>21000</v>
      </c>
      <c r="I197" s="172">
        <f t="shared" si="9"/>
        <v>240.49473202015577</v>
      </c>
      <c r="J197" s="162">
        <v>44301</v>
      </c>
      <c r="K197" s="6" t="s">
        <v>252</v>
      </c>
      <c r="L197" s="162">
        <v>44301</v>
      </c>
      <c r="M197" s="175" t="s">
        <v>5411</v>
      </c>
      <c r="O197" s="6" t="s">
        <v>280</v>
      </c>
      <c r="P197" s="6" t="str">
        <f t="shared" si="10"/>
        <v>SAFe que</v>
      </c>
      <c r="Q197" t="str">
        <f t="shared" si="11"/>
        <v>2021</v>
      </c>
    </row>
    <row r="198" spans="1:17">
      <c r="A198" s="162">
        <v>44231</v>
      </c>
      <c r="B198" s="164" t="s">
        <v>1140</v>
      </c>
      <c r="C198" s="164" t="s">
        <v>303</v>
      </c>
      <c r="D198" s="164" t="s">
        <v>97</v>
      </c>
      <c r="E198" s="79">
        <v>44287</v>
      </c>
      <c r="F198" s="6" t="s">
        <v>16</v>
      </c>
      <c r="G198" s="6" t="s">
        <v>1130</v>
      </c>
      <c r="H198" s="170">
        <v>20000</v>
      </c>
      <c r="I198" s="172">
        <f t="shared" si="9"/>
        <v>229.04260192395787</v>
      </c>
      <c r="J198" s="162">
        <v>44302</v>
      </c>
      <c r="K198" s="6" t="s">
        <v>252</v>
      </c>
      <c r="L198" s="162">
        <v>44302</v>
      </c>
      <c r="M198" s="175" t="s">
        <v>5412</v>
      </c>
      <c r="O198" s="6" t="s">
        <v>280</v>
      </c>
      <c r="P198" s="6" t="str">
        <f t="shared" si="10"/>
        <v>Category</v>
      </c>
      <c r="Q198" t="str">
        <f t="shared" si="11"/>
        <v>2021</v>
      </c>
    </row>
    <row r="199" spans="1:17">
      <c r="A199" s="162">
        <v>44301</v>
      </c>
      <c r="B199" s="164" t="s">
        <v>1142</v>
      </c>
      <c r="C199" s="164" t="s">
        <v>319</v>
      </c>
      <c r="D199" s="165" t="s">
        <v>150</v>
      </c>
      <c r="E199" s="79">
        <v>44287</v>
      </c>
      <c r="F199" s="6" t="s">
        <v>16</v>
      </c>
      <c r="G199" s="6" t="s">
        <v>275</v>
      </c>
      <c r="H199" s="170">
        <v>20000</v>
      </c>
      <c r="I199" s="172">
        <f t="shared" si="9"/>
        <v>229.04260192395787</v>
      </c>
      <c r="J199" s="162">
        <v>44302</v>
      </c>
      <c r="K199" s="6" t="s">
        <v>252</v>
      </c>
      <c r="L199" s="162">
        <v>44302</v>
      </c>
      <c r="M199" s="175" t="s">
        <v>5413</v>
      </c>
      <c r="O199" s="6" t="s">
        <v>356</v>
      </c>
      <c r="P199" s="6" t="str">
        <f t="shared" si="10"/>
        <v>SAFe que</v>
      </c>
      <c r="Q199" t="str">
        <f t="shared" si="11"/>
        <v>2021</v>
      </c>
    </row>
    <row r="200" spans="1:17">
      <c r="A200" s="162">
        <v>44303</v>
      </c>
      <c r="B200" s="164" t="s">
        <v>1144</v>
      </c>
      <c r="C200" s="164" t="s">
        <v>303</v>
      </c>
      <c r="D200" s="164" t="s">
        <v>97</v>
      </c>
      <c r="E200" s="79">
        <v>44287</v>
      </c>
      <c r="F200" s="6" t="s">
        <v>16</v>
      </c>
      <c r="G200" s="6" t="s">
        <v>1130</v>
      </c>
      <c r="H200" s="170">
        <v>19000</v>
      </c>
      <c r="I200" s="172">
        <f t="shared" si="9"/>
        <v>217.59047182775998</v>
      </c>
      <c r="J200" s="162">
        <v>44304</v>
      </c>
      <c r="K200" s="6" t="s">
        <v>252</v>
      </c>
      <c r="L200" s="162">
        <v>44304</v>
      </c>
      <c r="M200" s="175" t="s">
        <v>5414</v>
      </c>
      <c r="O200" s="6" t="s">
        <v>356</v>
      </c>
      <c r="P200" s="6" t="str">
        <f t="shared" si="10"/>
        <v>Category</v>
      </c>
      <c r="Q200" t="str">
        <f t="shared" si="11"/>
        <v>2021</v>
      </c>
    </row>
    <row r="201" spans="1:17">
      <c r="A201" s="163">
        <v>44302</v>
      </c>
      <c r="B201" s="165" t="s">
        <v>1146</v>
      </c>
      <c r="C201" s="165" t="s">
        <v>303</v>
      </c>
      <c r="D201" s="165" t="s">
        <v>25</v>
      </c>
      <c r="E201" s="79">
        <v>44287</v>
      </c>
      <c r="F201" s="6" t="s">
        <v>16</v>
      </c>
      <c r="G201" s="6" t="s">
        <v>1130</v>
      </c>
      <c r="H201" s="170">
        <v>45000</v>
      </c>
      <c r="I201" s="172">
        <f t="shared" si="9"/>
        <v>515.34585432890515</v>
      </c>
      <c r="J201" s="162">
        <v>44304</v>
      </c>
      <c r="K201" s="6" t="s">
        <v>252</v>
      </c>
      <c r="L201" s="162">
        <v>44304</v>
      </c>
      <c r="M201" s="175" t="s">
        <v>5415</v>
      </c>
      <c r="O201" s="6" t="s">
        <v>280</v>
      </c>
      <c r="P201" s="6" t="str">
        <f t="shared" si="10"/>
        <v>SAFe que</v>
      </c>
      <c r="Q201" t="str">
        <f t="shared" si="11"/>
        <v>2021</v>
      </c>
    </row>
    <row r="202" spans="1:17">
      <c r="A202" s="162">
        <v>44303</v>
      </c>
      <c r="B202" s="164" t="s">
        <v>1148</v>
      </c>
      <c r="C202" s="164" t="s">
        <v>278</v>
      </c>
      <c r="D202" s="164" t="s">
        <v>97</v>
      </c>
      <c r="E202" s="79">
        <v>44287</v>
      </c>
      <c r="F202" s="6" t="s">
        <v>16</v>
      </c>
      <c r="G202" s="6" t="s">
        <v>1130</v>
      </c>
      <c r="H202" s="170">
        <v>19000</v>
      </c>
      <c r="I202" s="172">
        <f t="shared" si="9"/>
        <v>217.59047182775998</v>
      </c>
      <c r="J202" s="162">
        <v>44304</v>
      </c>
      <c r="K202" s="6" t="s">
        <v>252</v>
      </c>
      <c r="L202" s="162">
        <v>44305</v>
      </c>
      <c r="M202" s="175" t="s">
        <v>5416</v>
      </c>
      <c r="N202" s="6" t="s">
        <v>1150</v>
      </c>
      <c r="O202" s="6" t="s">
        <v>280</v>
      </c>
      <c r="P202" s="6" t="str">
        <f t="shared" si="10"/>
        <v>Category</v>
      </c>
      <c r="Q202" t="str">
        <f t="shared" si="11"/>
        <v>2021</v>
      </c>
    </row>
    <row r="203" spans="1:17">
      <c r="A203" s="162">
        <v>44305</v>
      </c>
      <c r="B203" s="164" t="s">
        <v>1151</v>
      </c>
      <c r="C203" s="164" t="s">
        <v>303</v>
      </c>
      <c r="D203" s="164" t="s">
        <v>25</v>
      </c>
      <c r="E203" s="79">
        <v>44287</v>
      </c>
      <c r="F203" s="6" t="s">
        <v>16</v>
      </c>
      <c r="G203" s="6" t="s">
        <v>936</v>
      </c>
      <c r="H203" s="170">
        <v>50000</v>
      </c>
      <c r="I203" s="172">
        <f t="shared" si="9"/>
        <v>572.60650480989466</v>
      </c>
      <c r="J203" s="162">
        <v>44305</v>
      </c>
      <c r="K203" s="6" t="s">
        <v>252</v>
      </c>
      <c r="L203" s="162">
        <v>44305</v>
      </c>
      <c r="M203" s="175" t="s">
        <v>5417</v>
      </c>
      <c r="O203" s="6" t="s">
        <v>280</v>
      </c>
      <c r="P203" s="6" t="str">
        <f t="shared" si="10"/>
        <v>SAFe que</v>
      </c>
      <c r="Q203" t="str">
        <f t="shared" si="11"/>
        <v>2021</v>
      </c>
    </row>
    <row r="204" spans="1:17">
      <c r="A204" s="162">
        <v>44306</v>
      </c>
      <c r="B204" s="164" t="s">
        <v>1153</v>
      </c>
      <c r="C204" s="164" t="s">
        <v>319</v>
      </c>
      <c r="D204" s="164" t="s">
        <v>25</v>
      </c>
      <c r="E204" s="79">
        <v>44287</v>
      </c>
      <c r="F204" s="6" t="s">
        <v>16</v>
      </c>
      <c r="G204" s="6" t="s">
        <v>1077</v>
      </c>
      <c r="H204" s="170">
        <v>43000</v>
      </c>
      <c r="I204" s="172">
        <f t="shared" si="9"/>
        <v>492.44159413650942</v>
      </c>
      <c r="J204" s="162">
        <v>44306</v>
      </c>
      <c r="K204" s="6" t="s">
        <v>252</v>
      </c>
      <c r="L204" s="162">
        <v>44306</v>
      </c>
      <c r="M204" s="175" t="s">
        <v>5418</v>
      </c>
      <c r="O204" s="6" t="s">
        <v>356</v>
      </c>
      <c r="P204" s="6" t="str">
        <f t="shared" si="10"/>
        <v>SAFe que</v>
      </c>
      <c r="Q204" t="str">
        <f t="shared" si="11"/>
        <v>2021</v>
      </c>
    </row>
    <row r="205" spans="1:17">
      <c r="A205" s="163">
        <v>44283</v>
      </c>
      <c r="B205" s="165" t="s">
        <v>1155</v>
      </c>
      <c r="C205" s="165" t="s">
        <v>303</v>
      </c>
      <c r="D205" s="165" t="s">
        <v>150</v>
      </c>
      <c r="E205" s="79">
        <v>44287</v>
      </c>
      <c r="F205" s="6" t="s">
        <v>16</v>
      </c>
      <c r="G205" s="6" t="s">
        <v>1157</v>
      </c>
      <c r="H205" s="170">
        <v>21000</v>
      </c>
      <c r="I205" s="172">
        <f t="shared" si="9"/>
        <v>240.49473202015577</v>
      </c>
      <c r="J205" s="162">
        <v>44303</v>
      </c>
      <c r="K205" s="6" t="s">
        <v>253</v>
      </c>
      <c r="L205" s="162">
        <v>44307</v>
      </c>
      <c r="M205" s="175" t="s">
        <v>5419</v>
      </c>
      <c r="O205" s="6" t="s">
        <v>280</v>
      </c>
      <c r="P205" s="6" t="str">
        <f t="shared" si="10"/>
        <v>SAFe que</v>
      </c>
      <c r="Q205" t="str">
        <f t="shared" si="11"/>
        <v>2021</v>
      </c>
    </row>
    <row r="206" spans="1:17">
      <c r="A206" s="162">
        <v>44169</v>
      </c>
      <c r="B206" s="164" t="s">
        <v>1158</v>
      </c>
      <c r="C206" s="164" t="s">
        <v>319</v>
      </c>
      <c r="D206" s="164" t="s">
        <v>97</v>
      </c>
      <c r="E206" s="79">
        <v>44287</v>
      </c>
      <c r="F206" s="6" t="s">
        <v>16</v>
      </c>
      <c r="G206" s="6" t="s">
        <v>1160</v>
      </c>
      <c r="H206" s="170">
        <v>20000</v>
      </c>
      <c r="I206" s="172">
        <f t="shared" si="9"/>
        <v>229.04260192395787</v>
      </c>
      <c r="J206" s="162">
        <v>44307</v>
      </c>
      <c r="K206" s="6" t="s">
        <v>252</v>
      </c>
      <c r="L206" s="162">
        <v>44307</v>
      </c>
      <c r="M206" s="175" t="s">
        <v>5420</v>
      </c>
      <c r="O206" s="6" t="s">
        <v>280</v>
      </c>
      <c r="P206" s="6" t="str">
        <f t="shared" si="10"/>
        <v>Category</v>
      </c>
      <c r="Q206" t="str">
        <f t="shared" si="11"/>
        <v>2021</v>
      </c>
    </row>
    <row r="207" spans="1:17">
      <c r="A207" s="162">
        <v>44305</v>
      </c>
      <c r="B207" s="164" t="s">
        <v>1161</v>
      </c>
      <c r="C207" s="164" t="s">
        <v>303</v>
      </c>
      <c r="D207" s="164" t="s">
        <v>151</v>
      </c>
      <c r="E207" s="79">
        <v>44287</v>
      </c>
      <c r="F207" s="6" t="s">
        <v>16</v>
      </c>
      <c r="G207" s="6" t="s">
        <v>1160</v>
      </c>
      <c r="H207" s="170">
        <v>20500</v>
      </c>
      <c r="I207" s="172">
        <f t="shared" si="9"/>
        <v>234.76866697205682</v>
      </c>
      <c r="J207" s="162">
        <v>44308</v>
      </c>
      <c r="K207" s="6" t="s">
        <v>253</v>
      </c>
      <c r="L207" s="162">
        <v>44308</v>
      </c>
      <c r="M207" s="175" t="s">
        <v>5421</v>
      </c>
      <c r="O207" s="6" t="s">
        <v>280</v>
      </c>
      <c r="P207" s="6" t="str">
        <f t="shared" si="10"/>
        <v>SAFe que</v>
      </c>
      <c r="Q207" t="str">
        <f t="shared" si="11"/>
        <v>2021</v>
      </c>
    </row>
    <row r="208" spans="1:17">
      <c r="A208" s="162">
        <v>44305</v>
      </c>
      <c r="B208" s="164" t="s">
        <v>1163</v>
      </c>
      <c r="C208" s="164" t="s">
        <v>278</v>
      </c>
      <c r="D208" s="164" t="s">
        <v>151</v>
      </c>
      <c r="E208" s="79">
        <v>44287</v>
      </c>
      <c r="F208" s="6" t="s">
        <v>16</v>
      </c>
      <c r="G208" s="6" t="s">
        <v>1160</v>
      </c>
      <c r="H208" s="170">
        <v>20500</v>
      </c>
      <c r="I208" s="172">
        <f t="shared" si="9"/>
        <v>234.76866697205682</v>
      </c>
      <c r="J208" s="162">
        <v>44308</v>
      </c>
      <c r="K208" s="6" t="s">
        <v>253</v>
      </c>
      <c r="L208" s="162">
        <v>44308</v>
      </c>
      <c r="M208" s="175" t="s">
        <v>5422</v>
      </c>
      <c r="N208" s="6" t="s">
        <v>1165</v>
      </c>
      <c r="O208" s="6" t="s">
        <v>280</v>
      </c>
      <c r="P208" s="6" t="str">
        <f t="shared" si="10"/>
        <v>SAFe que</v>
      </c>
      <c r="Q208" t="str">
        <f t="shared" si="11"/>
        <v>2021</v>
      </c>
    </row>
    <row r="209" spans="1:17">
      <c r="A209" s="162">
        <v>44308</v>
      </c>
      <c r="B209" s="164" t="s">
        <v>1168</v>
      </c>
      <c r="C209" s="164" t="s">
        <v>278</v>
      </c>
      <c r="D209" s="164" t="s">
        <v>151</v>
      </c>
      <c r="E209" s="79">
        <v>44287</v>
      </c>
      <c r="F209" s="6" t="s">
        <v>16</v>
      </c>
      <c r="G209" s="6" t="s">
        <v>1160</v>
      </c>
      <c r="H209" s="170">
        <v>20500</v>
      </c>
      <c r="I209" s="172">
        <f t="shared" si="9"/>
        <v>234.76866697205682</v>
      </c>
      <c r="J209" s="162">
        <v>44308</v>
      </c>
      <c r="K209" s="6" t="s">
        <v>253</v>
      </c>
      <c r="L209" s="162">
        <v>44308</v>
      </c>
      <c r="M209" s="175" t="s">
        <v>5423</v>
      </c>
      <c r="N209" s="6" t="s">
        <v>1165</v>
      </c>
      <c r="O209" s="6" t="s">
        <v>280</v>
      </c>
      <c r="P209" s="6" t="str">
        <f t="shared" si="10"/>
        <v>SAFe que</v>
      </c>
      <c r="Q209" t="str">
        <f t="shared" si="11"/>
        <v>2021</v>
      </c>
    </row>
    <row r="210" spans="1:17">
      <c r="A210" s="162">
        <v>44308</v>
      </c>
      <c r="B210" s="164" t="s">
        <v>1170</v>
      </c>
      <c r="C210" s="164" t="s">
        <v>278</v>
      </c>
      <c r="D210" s="164" t="s">
        <v>151</v>
      </c>
      <c r="E210" s="79">
        <v>44287</v>
      </c>
      <c r="F210" s="6" t="s">
        <v>16</v>
      </c>
      <c r="G210" s="6" t="s">
        <v>1160</v>
      </c>
      <c r="H210" s="170">
        <v>20500</v>
      </c>
      <c r="I210" s="172">
        <f t="shared" si="9"/>
        <v>234.76866697205682</v>
      </c>
      <c r="J210" s="162">
        <v>44309</v>
      </c>
      <c r="K210" s="6" t="s">
        <v>253</v>
      </c>
      <c r="L210" s="162">
        <v>44309</v>
      </c>
      <c r="M210" s="175" t="s">
        <v>5424</v>
      </c>
      <c r="N210" s="6" t="s">
        <v>1172</v>
      </c>
      <c r="O210" s="6" t="s">
        <v>280</v>
      </c>
      <c r="P210" s="6" t="str">
        <f t="shared" si="10"/>
        <v>SAFe que</v>
      </c>
      <c r="Q210" t="str">
        <f t="shared" si="11"/>
        <v>2021</v>
      </c>
    </row>
    <row r="211" spans="1:17">
      <c r="A211" s="162">
        <v>44310</v>
      </c>
      <c r="B211" s="164" t="s">
        <v>580</v>
      </c>
      <c r="C211" s="164" t="s">
        <v>274</v>
      </c>
      <c r="D211" s="164" t="s">
        <v>842</v>
      </c>
      <c r="E211" s="79">
        <v>44287</v>
      </c>
      <c r="F211" s="6" t="s">
        <v>16</v>
      </c>
      <c r="G211" s="80">
        <v>44287</v>
      </c>
      <c r="H211" s="170">
        <v>30000</v>
      </c>
      <c r="I211" s="172">
        <f t="shared" si="9"/>
        <v>343.56390288593678</v>
      </c>
      <c r="J211" s="162">
        <v>44310</v>
      </c>
      <c r="K211" s="6" t="s">
        <v>253</v>
      </c>
      <c r="L211" s="162">
        <v>44310</v>
      </c>
      <c r="M211" s="175" t="s">
        <v>5425</v>
      </c>
      <c r="O211" s="169" t="s">
        <v>5181</v>
      </c>
      <c r="P211" s="6" t="str">
        <f t="shared" si="10"/>
        <v>NonCategory</v>
      </c>
      <c r="Q211" t="str">
        <f t="shared" si="11"/>
        <v>2021</v>
      </c>
    </row>
    <row r="212" spans="1:17">
      <c r="A212" s="162">
        <v>44310</v>
      </c>
      <c r="B212" s="164" t="s">
        <v>1174</v>
      </c>
      <c r="C212" s="164" t="s">
        <v>287</v>
      </c>
      <c r="D212" s="164" t="s">
        <v>6</v>
      </c>
      <c r="E212" s="79">
        <v>44287</v>
      </c>
      <c r="F212" s="6" t="s">
        <v>16</v>
      </c>
      <c r="G212" s="6" t="s">
        <v>936</v>
      </c>
      <c r="H212" s="170">
        <v>45000</v>
      </c>
      <c r="I212" s="172">
        <f t="shared" si="9"/>
        <v>515.34585432890515</v>
      </c>
      <c r="J212" s="162">
        <v>44312</v>
      </c>
      <c r="K212" s="6" t="s">
        <v>253</v>
      </c>
      <c r="L212" s="162">
        <v>44312</v>
      </c>
      <c r="M212" s="175" t="s">
        <v>5426</v>
      </c>
      <c r="O212" s="6" t="s">
        <v>280</v>
      </c>
      <c r="P212" s="6" t="str">
        <f t="shared" si="10"/>
        <v>SAFe que</v>
      </c>
      <c r="Q212" t="str">
        <f t="shared" si="11"/>
        <v>2021</v>
      </c>
    </row>
    <row r="213" spans="1:17">
      <c r="A213" s="162">
        <v>44313</v>
      </c>
      <c r="B213" s="164" t="s">
        <v>1176</v>
      </c>
      <c r="C213" s="164" t="s">
        <v>287</v>
      </c>
      <c r="D213" s="165" t="s">
        <v>150</v>
      </c>
      <c r="E213" s="79">
        <v>44287</v>
      </c>
      <c r="F213" s="6" t="s">
        <v>16</v>
      </c>
      <c r="G213" s="6" t="s">
        <v>1160</v>
      </c>
      <c r="H213" s="170">
        <v>21000</v>
      </c>
      <c r="I213" s="172">
        <f t="shared" si="9"/>
        <v>240.49473202015577</v>
      </c>
      <c r="J213" s="162">
        <v>44313</v>
      </c>
      <c r="K213" s="6" t="s">
        <v>253</v>
      </c>
      <c r="L213" s="162">
        <v>44313</v>
      </c>
      <c r="M213" s="175" t="s">
        <v>5427</v>
      </c>
      <c r="O213" s="6" t="s">
        <v>280</v>
      </c>
      <c r="P213" s="6" t="str">
        <f t="shared" si="10"/>
        <v>SAFe que</v>
      </c>
      <c r="Q213" t="str">
        <f t="shared" si="11"/>
        <v>2021</v>
      </c>
    </row>
    <row r="214" spans="1:17">
      <c r="A214" s="162">
        <v>44312</v>
      </c>
      <c r="B214" s="164" t="s">
        <v>1178</v>
      </c>
      <c r="C214" s="164" t="s">
        <v>278</v>
      </c>
      <c r="D214" s="164" t="s">
        <v>25</v>
      </c>
      <c r="E214" s="79">
        <v>44287</v>
      </c>
      <c r="F214" s="6" t="s">
        <v>16</v>
      </c>
      <c r="G214" s="6" t="s">
        <v>936</v>
      </c>
      <c r="H214" s="170">
        <v>45000</v>
      </c>
      <c r="I214" s="172">
        <f t="shared" si="9"/>
        <v>515.34585432890515</v>
      </c>
      <c r="J214" s="162">
        <v>44314</v>
      </c>
      <c r="K214" s="6" t="s">
        <v>253</v>
      </c>
      <c r="L214" s="162">
        <v>44314</v>
      </c>
      <c r="M214" s="175" t="s">
        <v>5428</v>
      </c>
      <c r="N214" s="6" t="s">
        <v>1180</v>
      </c>
      <c r="O214" s="6" t="s">
        <v>356</v>
      </c>
      <c r="P214" s="6" t="str">
        <f t="shared" si="10"/>
        <v>SAFe que</v>
      </c>
      <c r="Q214" t="str">
        <f t="shared" si="11"/>
        <v>2021</v>
      </c>
    </row>
    <row r="215" spans="1:17">
      <c r="A215" s="162">
        <v>44315</v>
      </c>
      <c r="B215" s="164" t="s">
        <v>1181</v>
      </c>
      <c r="C215" s="164" t="s">
        <v>291</v>
      </c>
      <c r="D215" s="164" t="s">
        <v>6</v>
      </c>
      <c r="E215" s="79">
        <v>44287</v>
      </c>
      <c r="F215" s="6" t="s">
        <v>16</v>
      </c>
      <c r="G215" s="6" t="s">
        <v>936</v>
      </c>
      <c r="H215" s="170">
        <v>45000</v>
      </c>
      <c r="I215" s="172">
        <f t="shared" si="9"/>
        <v>515.34585432890515</v>
      </c>
      <c r="J215" s="162">
        <v>44315</v>
      </c>
      <c r="K215" s="6" t="s">
        <v>253</v>
      </c>
      <c r="L215" s="162">
        <v>44315</v>
      </c>
      <c r="M215" s="175" t="s">
        <v>5429</v>
      </c>
      <c r="O215" s="6" t="s">
        <v>356</v>
      </c>
      <c r="P215" s="6" t="str">
        <f t="shared" si="10"/>
        <v>SAFe que</v>
      </c>
      <c r="Q215" t="str">
        <f t="shared" si="11"/>
        <v>2021</v>
      </c>
    </row>
    <row r="216" spans="1:17">
      <c r="A216" s="162">
        <v>44317</v>
      </c>
      <c r="B216" s="164" t="s">
        <v>1183</v>
      </c>
      <c r="C216" s="164" t="s">
        <v>278</v>
      </c>
      <c r="D216" s="164" t="s">
        <v>1184</v>
      </c>
      <c r="E216" s="79">
        <v>44317</v>
      </c>
      <c r="F216" s="6" t="s">
        <v>16</v>
      </c>
      <c r="G216" s="80">
        <v>44317</v>
      </c>
      <c r="H216" s="170">
        <v>32000</v>
      </c>
      <c r="I216" s="172">
        <f t="shared" si="9"/>
        <v>366.46816307833262</v>
      </c>
      <c r="J216" s="162">
        <v>44317</v>
      </c>
      <c r="K216" s="6" t="s">
        <v>251</v>
      </c>
      <c r="L216" s="162">
        <v>44318</v>
      </c>
      <c r="M216" s="175" t="s">
        <v>5430</v>
      </c>
      <c r="N216" s="6" t="s">
        <v>1185</v>
      </c>
      <c r="O216" s="6" t="s">
        <v>280</v>
      </c>
      <c r="P216" s="6" t="str">
        <f t="shared" si="10"/>
        <v>NonCategory</v>
      </c>
      <c r="Q216" t="str">
        <f t="shared" si="11"/>
        <v>2021</v>
      </c>
    </row>
    <row r="217" spans="1:17">
      <c r="A217" s="162">
        <v>44319</v>
      </c>
      <c r="B217" s="164" t="s">
        <v>1186</v>
      </c>
      <c r="C217" s="164" t="s">
        <v>303</v>
      </c>
      <c r="D217" s="164" t="s">
        <v>25</v>
      </c>
      <c r="E217" s="79">
        <v>44317</v>
      </c>
      <c r="F217" s="6" t="s">
        <v>16</v>
      </c>
      <c r="G217" s="6" t="s">
        <v>936</v>
      </c>
      <c r="H217" s="170">
        <v>45000</v>
      </c>
      <c r="I217" s="172">
        <f t="shared" si="9"/>
        <v>515.34585432890515</v>
      </c>
      <c r="J217" s="162">
        <v>44319</v>
      </c>
      <c r="K217" s="6" t="s">
        <v>251</v>
      </c>
      <c r="L217" s="162">
        <v>44319</v>
      </c>
      <c r="M217" s="175" t="s">
        <v>5431</v>
      </c>
      <c r="O217" s="6" t="s">
        <v>356</v>
      </c>
      <c r="P217" s="6" t="str">
        <f t="shared" si="10"/>
        <v>SAFe que</v>
      </c>
      <c r="Q217" t="str">
        <f t="shared" si="11"/>
        <v>2021</v>
      </c>
    </row>
    <row r="218" spans="1:17">
      <c r="A218" s="162">
        <v>44319</v>
      </c>
      <c r="B218" s="164" t="s">
        <v>1188</v>
      </c>
      <c r="C218" s="164" t="s">
        <v>274</v>
      </c>
      <c r="D218" s="164" t="s">
        <v>25</v>
      </c>
      <c r="E218" s="79">
        <v>44317</v>
      </c>
      <c r="F218" s="6" t="s">
        <v>16</v>
      </c>
      <c r="G218" s="6" t="s">
        <v>936</v>
      </c>
      <c r="H218" s="170">
        <v>45000</v>
      </c>
      <c r="I218" s="172">
        <f t="shared" si="9"/>
        <v>515.34585432890515</v>
      </c>
      <c r="J218" s="162">
        <v>44319</v>
      </c>
      <c r="K218" s="6" t="s">
        <v>251</v>
      </c>
      <c r="L218" s="162">
        <v>44320</v>
      </c>
      <c r="M218" s="175" t="s">
        <v>5432</v>
      </c>
      <c r="O218" s="6" t="s">
        <v>280</v>
      </c>
      <c r="P218" s="6" t="str">
        <f t="shared" si="10"/>
        <v>SAFe que</v>
      </c>
      <c r="Q218" t="str">
        <f t="shared" si="11"/>
        <v>2021</v>
      </c>
    </row>
    <row r="219" spans="1:17">
      <c r="A219" s="162">
        <v>44320</v>
      </c>
      <c r="B219" s="164" t="s">
        <v>1190</v>
      </c>
      <c r="C219" s="164" t="s">
        <v>435</v>
      </c>
      <c r="D219" s="164" t="s">
        <v>96</v>
      </c>
      <c r="E219" s="79">
        <v>44317</v>
      </c>
      <c r="F219" s="6" t="s">
        <v>16</v>
      </c>
      <c r="G219" s="6" t="s">
        <v>1192</v>
      </c>
      <c r="H219" s="170">
        <v>18000</v>
      </c>
      <c r="I219" s="172">
        <f t="shared" si="9"/>
        <v>206.13834173156206</v>
      </c>
      <c r="J219" s="162">
        <v>44320</v>
      </c>
      <c r="K219" s="6" t="s">
        <v>251</v>
      </c>
      <c r="L219" s="162">
        <v>44320</v>
      </c>
      <c r="M219" s="175" t="s">
        <v>5433</v>
      </c>
      <c r="O219" s="6" t="s">
        <v>356</v>
      </c>
      <c r="P219" s="6" t="str">
        <f t="shared" si="10"/>
        <v>Category</v>
      </c>
      <c r="Q219" t="str">
        <f t="shared" si="11"/>
        <v>2021</v>
      </c>
    </row>
    <row r="220" spans="1:17">
      <c r="A220" s="162">
        <v>44320</v>
      </c>
      <c r="B220" s="164" t="s">
        <v>1193</v>
      </c>
      <c r="C220" s="164" t="s">
        <v>278</v>
      </c>
      <c r="D220" s="164" t="s">
        <v>96</v>
      </c>
      <c r="E220" s="79">
        <v>44317</v>
      </c>
      <c r="F220" s="6" t="s">
        <v>16</v>
      </c>
      <c r="G220" s="6" t="s">
        <v>1192</v>
      </c>
      <c r="H220" s="170">
        <v>18000</v>
      </c>
      <c r="I220" s="172">
        <f t="shared" si="9"/>
        <v>206.13834173156206</v>
      </c>
      <c r="J220" s="162">
        <v>44320</v>
      </c>
      <c r="K220" s="6" t="s">
        <v>251</v>
      </c>
      <c r="L220" s="162">
        <v>44320</v>
      </c>
      <c r="M220" s="175" t="s">
        <v>5434</v>
      </c>
      <c r="N220" s="6" t="s">
        <v>1195</v>
      </c>
      <c r="O220" s="6" t="s">
        <v>356</v>
      </c>
      <c r="P220" s="6" t="str">
        <f t="shared" si="10"/>
        <v>Category</v>
      </c>
      <c r="Q220" t="str">
        <f t="shared" si="11"/>
        <v>2021</v>
      </c>
    </row>
    <row r="221" spans="1:17">
      <c r="A221" s="162">
        <v>44320</v>
      </c>
      <c r="B221" s="164" t="s">
        <v>1196</v>
      </c>
      <c r="C221" s="164" t="s">
        <v>278</v>
      </c>
      <c r="D221" s="164" t="s">
        <v>96</v>
      </c>
      <c r="E221" s="79">
        <v>44317</v>
      </c>
      <c r="F221" s="6" t="s">
        <v>16</v>
      </c>
      <c r="G221" s="6" t="s">
        <v>1192</v>
      </c>
      <c r="H221" s="170">
        <v>18000</v>
      </c>
      <c r="I221" s="172">
        <f t="shared" si="9"/>
        <v>206.13834173156206</v>
      </c>
      <c r="J221" s="162">
        <v>44320</v>
      </c>
      <c r="K221" s="6" t="s">
        <v>251</v>
      </c>
      <c r="L221" s="162">
        <v>44320</v>
      </c>
      <c r="M221" s="175" t="s">
        <v>5435</v>
      </c>
      <c r="N221" s="6" t="s">
        <v>1195</v>
      </c>
      <c r="O221" s="6" t="s">
        <v>356</v>
      </c>
      <c r="P221" s="6" t="str">
        <f t="shared" si="10"/>
        <v>Category</v>
      </c>
      <c r="Q221" t="str">
        <f t="shared" si="11"/>
        <v>2021</v>
      </c>
    </row>
    <row r="222" spans="1:17">
      <c r="A222" s="162">
        <v>44321</v>
      </c>
      <c r="B222" s="165" t="s">
        <v>1198</v>
      </c>
      <c r="C222" s="165" t="s">
        <v>303</v>
      </c>
      <c r="D222" s="164" t="s">
        <v>96</v>
      </c>
      <c r="E222" s="79">
        <v>44317</v>
      </c>
      <c r="F222" s="6" t="s">
        <v>16</v>
      </c>
      <c r="G222" s="6" t="s">
        <v>936</v>
      </c>
      <c r="H222" s="170">
        <v>20000</v>
      </c>
      <c r="I222" s="172">
        <f t="shared" si="9"/>
        <v>229.04260192395787</v>
      </c>
      <c r="J222" s="162">
        <v>44321</v>
      </c>
      <c r="K222" s="6" t="s">
        <v>251</v>
      </c>
      <c r="L222" s="162">
        <v>44321</v>
      </c>
      <c r="M222" s="175" t="s">
        <v>5436</v>
      </c>
      <c r="O222" s="6" t="s">
        <v>280</v>
      </c>
      <c r="P222" s="6" t="str">
        <f t="shared" si="10"/>
        <v>Category</v>
      </c>
      <c r="Q222" t="str">
        <f t="shared" si="11"/>
        <v>2021</v>
      </c>
    </row>
    <row r="223" spans="1:17">
      <c r="A223" s="162">
        <v>44322</v>
      </c>
      <c r="B223" s="164" t="s">
        <v>1078</v>
      </c>
      <c r="C223" s="164" t="s">
        <v>274</v>
      </c>
      <c r="D223" s="164" t="s">
        <v>538</v>
      </c>
      <c r="E223" s="79">
        <v>44317</v>
      </c>
      <c r="F223" s="6" t="s">
        <v>16</v>
      </c>
      <c r="G223" s="96">
        <v>44324</v>
      </c>
      <c r="H223" s="170">
        <v>13500</v>
      </c>
      <c r="I223" s="172">
        <f t="shared" si="9"/>
        <v>154.60375629867156</v>
      </c>
      <c r="J223" s="162">
        <v>44322</v>
      </c>
      <c r="K223" s="6" t="s">
        <v>251</v>
      </c>
      <c r="L223" s="162">
        <v>44322</v>
      </c>
      <c r="M223" s="175" t="s">
        <v>5437</v>
      </c>
      <c r="O223" s="6" t="s">
        <v>356</v>
      </c>
      <c r="P223" s="6" t="str">
        <f t="shared" si="10"/>
        <v>NonCategory</v>
      </c>
      <c r="Q223" t="str">
        <f t="shared" si="11"/>
        <v>2021</v>
      </c>
    </row>
    <row r="224" spans="1:17">
      <c r="A224" s="162">
        <v>44320</v>
      </c>
      <c r="B224" s="164" t="s">
        <v>1200</v>
      </c>
      <c r="C224" s="164" t="s">
        <v>495</v>
      </c>
      <c r="D224" s="164" t="s">
        <v>25</v>
      </c>
      <c r="E224" s="79">
        <v>44317</v>
      </c>
      <c r="F224" s="6" t="s">
        <v>16</v>
      </c>
      <c r="G224" s="6" t="s">
        <v>1202</v>
      </c>
      <c r="H224" s="170">
        <v>45000</v>
      </c>
      <c r="I224" s="172">
        <f t="shared" si="9"/>
        <v>515.34585432890515</v>
      </c>
      <c r="J224" s="162">
        <v>44323</v>
      </c>
      <c r="K224" s="6" t="s">
        <v>251</v>
      </c>
      <c r="L224" s="162">
        <v>44323</v>
      </c>
      <c r="M224" s="175" t="s">
        <v>5438</v>
      </c>
      <c r="O224" s="6" t="s">
        <v>280</v>
      </c>
      <c r="P224" s="6" t="str">
        <f t="shared" si="10"/>
        <v>SAFe que</v>
      </c>
      <c r="Q224" t="str">
        <f t="shared" si="11"/>
        <v>2021</v>
      </c>
    </row>
    <row r="225" spans="1:17">
      <c r="A225" s="162">
        <v>44217</v>
      </c>
      <c r="B225" s="164" t="s">
        <v>1203</v>
      </c>
      <c r="C225" s="164" t="s">
        <v>547</v>
      </c>
      <c r="D225" s="164" t="s">
        <v>96</v>
      </c>
      <c r="E225" s="79">
        <v>44317</v>
      </c>
      <c r="F225" s="6" t="s">
        <v>16</v>
      </c>
      <c r="G225" s="6" t="s">
        <v>279</v>
      </c>
      <c r="H225" s="170">
        <v>21000</v>
      </c>
      <c r="I225" s="172">
        <f t="shared" si="9"/>
        <v>240.49473202015577</v>
      </c>
      <c r="J225" s="162">
        <v>44224</v>
      </c>
      <c r="K225" s="6" t="s">
        <v>251</v>
      </c>
      <c r="L225" s="162">
        <v>44326</v>
      </c>
      <c r="M225" s="175" t="s">
        <v>5439</v>
      </c>
      <c r="O225" s="6" t="s">
        <v>280</v>
      </c>
      <c r="P225" s="6" t="str">
        <f t="shared" si="10"/>
        <v>Category</v>
      </c>
      <c r="Q225" t="str">
        <f t="shared" si="11"/>
        <v>2021</v>
      </c>
    </row>
    <row r="226" spans="1:17">
      <c r="A226" s="162">
        <v>44321</v>
      </c>
      <c r="B226" s="164" t="s">
        <v>1205</v>
      </c>
      <c r="C226" s="164" t="s">
        <v>287</v>
      </c>
      <c r="D226" s="164" t="s">
        <v>25</v>
      </c>
      <c r="E226" s="79">
        <v>44378</v>
      </c>
      <c r="F226" s="6" t="s">
        <v>16</v>
      </c>
      <c r="G226" s="6" t="s">
        <v>38</v>
      </c>
      <c r="H226" s="170">
        <v>45000</v>
      </c>
      <c r="I226" s="172">
        <f t="shared" si="9"/>
        <v>515.34585432890515</v>
      </c>
      <c r="J226" s="162">
        <v>44321</v>
      </c>
      <c r="K226" s="6" t="s">
        <v>253</v>
      </c>
      <c r="L226" s="162">
        <v>44407</v>
      </c>
      <c r="M226" s="175" t="s">
        <v>5440</v>
      </c>
      <c r="O226" s="6" t="s">
        <v>280</v>
      </c>
      <c r="P226" s="6" t="str">
        <f t="shared" si="10"/>
        <v>SAFe que</v>
      </c>
      <c r="Q226" t="str">
        <f t="shared" si="11"/>
        <v>2021</v>
      </c>
    </row>
    <row r="227" spans="1:17">
      <c r="A227" s="162">
        <v>44326</v>
      </c>
      <c r="B227" s="164" t="s">
        <v>1207</v>
      </c>
      <c r="C227" s="164" t="s">
        <v>303</v>
      </c>
      <c r="D227" s="165" t="s">
        <v>150</v>
      </c>
      <c r="E227" s="79">
        <v>44317</v>
      </c>
      <c r="F227" s="6" t="s">
        <v>16</v>
      </c>
      <c r="G227" s="6" t="s">
        <v>279</v>
      </c>
      <c r="H227" s="170">
        <v>21000</v>
      </c>
      <c r="I227" s="172">
        <f t="shared" si="9"/>
        <v>240.49473202015577</v>
      </c>
      <c r="J227" s="162">
        <v>44326</v>
      </c>
      <c r="K227" s="6" t="s">
        <v>251</v>
      </c>
      <c r="L227" s="162">
        <v>44326</v>
      </c>
      <c r="M227" s="175" t="s">
        <v>5441</v>
      </c>
      <c r="O227" s="6" t="s">
        <v>356</v>
      </c>
      <c r="P227" s="6" t="str">
        <f t="shared" si="10"/>
        <v>SAFe que</v>
      </c>
      <c r="Q227" t="str">
        <f t="shared" si="11"/>
        <v>2021</v>
      </c>
    </row>
    <row r="228" spans="1:17">
      <c r="A228" s="162">
        <v>44326</v>
      </c>
      <c r="B228" s="164" t="s">
        <v>1209</v>
      </c>
      <c r="C228" s="164" t="s">
        <v>303</v>
      </c>
      <c r="D228" s="165" t="s">
        <v>150</v>
      </c>
      <c r="E228" s="79">
        <v>44317</v>
      </c>
      <c r="F228" s="6" t="s">
        <v>16</v>
      </c>
      <c r="G228" s="6" t="s">
        <v>279</v>
      </c>
      <c r="H228" s="170">
        <v>21000</v>
      </c>
      <c r="I228" s="172">
        <f t="shared" si="9"/>
        <v>240.49473202015577</v>
      </c>
      <c r="J228" s="162">
        <v>44326</v>
      </c>
      <c r="K228" s="6" t="s">
        <v>251</v>
      </c>
      <c r="L228" s="162">
        <v>44326</v>
      </c>
      <c r="M228" s="175" t="s">
        <v>5442</v>
      </c>
      <c r="O228" s="6" t="s">
        <v>280</v>
      </c>
      <c r="P228" s="6" t="str">
        <f t="shared" si="10"/>
        <v>SAFe que</v>
      </c>
      <c r="Q228" t="str">
        <f t="shared" si="11"/>
        <v>2021</v>
      </c>
    </row>
    <row r="229" spans="1:17">
      <c r="A229" s="162">
        <v>44326</v>
      </c>
      <c r="B229" s="164" t="s">
        <v>1200</v>
      </c>
      <c r="C229" s="164" t="s">
        <v>291</v>
      </c>
      <c r="D229" s="164" t="s">
        <v>25</v>
      </c>
      <c r="E229" s="79">
        <v>44317</v>
      </c>
      <c r="F229" s="6" t="s">
        <v>16</v>
      </c>
      <c r="G229" s="6" t="s">
        <v>1077</v>
      </c>
      <c r="H229" s="170">
        <v>45000</v>
      </c>
      <c r="I229" s="172">
        <f t="shared" si="9"/>
        <v>515.34585432890515</v>
      </c>
      <c r="J229" s="162">
        <v>44326</v>
      </c>
      <c r="K229" s="6" t="s">
        <v>251</v>
      </c>
      <c r="L229" s="162">
        <v>44326</v>
      </c>
      <c r="M229" s="175" t="s">
        <v>5443</v>
      </c>
      <c r="O229" s="6" t="s">
        <v>280</v>
      </c>
      <c r="P229" s="6" t="str">
        <f t="shared" si="10"/>
        <v>SAFe que</v>
      </c>
      <c r="Q229" t="str">
        <f t="shared" si="11"/>
        <v>2021</v>
      </c>
    </row>
    <row r="230" spans="1:17">
      <c r="A230" s="162">
        <v>44327</v>
      </c>
      <c r="B230" s="164" t="s">
        <v>1212</v>
      </c>
      <c r="C230" s="164" t="s">
        <v>278</v>
      </c>
      <c r="D230" s="165" t="s">
        <v>150</v>
      </c>
      <c r="E230" s="79">
        <v>44317</v>
      </c>
      <c r="F230" s="6" t="s">
        <v>16</v>
      </c>
      <c r="G230" s="6" t="s">
        <v>279</v>
      </c>
      <c r="H230" s="170">
        <v>21000</v>
      </c>
      <c r="I230" s="172">
        <f t="shared" si="9"/>
        <v>240.49473202015577</v>
      </c>
      <c r="J230" s="162">
        <v>44327</v>
      </c>
      <c r="K230" s="6" t="s">
        <v>252</v>
      </c>
      <c r="L230" s="162">
        <v>44327</v>
      </c>
      <c r="M230" s="175" t="s">
        <v>5444</v>
      </c>
      <c r="N230" s="6" t="s">
        <v>1214</v>
      </c>
      <c r="O230" s="6" t="s">
        <v>280</v>
      </c>
      <c r="P230" s="6" t="str">
        <f t="shared" si="10"/>
        <v>SAFe que</v>
      </c>
      <c r="Q230" t="str">
        <f t="shared" si="11"/>
        <v>2021</v>
      </c>
    </row>
    <row r="231" spans="1:17">
      <c r="A231" s="162">
        <v>44327</v>
      </c>
      <c r="B231" s="164" t="s">
        <v>1215</v>
      </c>
      <c r="C231" s="164" t="s">
        <v>278</v>
      </c>
      <c r="D231" s="165" t="s">
        <v>150</v>
      </c>
      <c r="E231" s="79">
        <v>44317</v>
      </c>
      <c r="F231" s="6" t="s">
        <v>16</v>
      </c>
      <c r="G231" s="6" t="s">
        <v>279</v>
      </c>
      <c r="H231" s="170">
        <v>21000</v>
      </c>
      <c r="I231" s="172">
        <f t="shared" si="9"/>
        <v>240.49473202015577</v>
      </c>
      <c r="J231" s="162">
        <v>44327</v>
      </c>
      <c r="K231" s="6" t="s">
        <v>252</v>
      </c>
      <c r="L231" s="162">
        <v>44327</v>
      </c>
      <c r="M231" s="175" t="s">
        <v>5445</v>
      </c>
      <c r="N231" s="6" t="s">
        <v>1214</v>
      </c>
      <c r="O231" s="6" t="s">
        <v>280</v>
      </c>
      <c r="P231" s="6" t="str">
        <f t="shared" si="10"/>
        <v>SAFe que</v>
      </c>
      <c r="Q231" t="str">
        <f t="shared" si="11"/>
        <v>2021</v>
      </c>
    </row>
    <row r="232" spans="1:17">
      <c r="A232" s="162">
        <v>44329</v>
      </c>
      <c r="B232" s="164" t="s">
        <v>1217</v>
      </c>
      <c r="C232" s="164" t="s">
        <v>274</v>
      </c>
      <c r="D232" s="164" t="s">
        <v>1218</v>
      </c>
      <c r="E232" s="79">
        <v>44317</v>
      </c>
      <c r="F232" s="6" t="s">
        <v>16</v>
      </c>
      <c r="G232" s="80">
        <v>44317</v>
      </c>
      <c r="H232" s="170">
        <v>10000</v>
      </c>
      <c r="I232" s="172">
        <f t="shared" si="9"/>
        <v>114.52130096197894</v>
      </c>
      <c r="J232" s="162">
        <v>44329</v>
      </c>
      <c r="K232" s="6" t="s">
        <v>252</v>
      </c>
      <c r="L232" s="162">
        <v>44329</v>
      </c>
      <c r="M232" s="175" t="s">
        <v>5446</v>
      </c>
      <c r="O232" s="169" t="s">
        <v>5181</v>
      </c>
      <c r="P232" s="6" t="str">
        <f t="shared" si="10"/>
        <v>NonCategory</v>
      </c>
      <c r="Q232" t="str">
        <f t="shared" si="11"/>
        <v>2021</v>
      </c>
    </row>
    <row r="233" spans="1:17">
      <c r="A233" s="162">
        <v>44329</v>
      </c>
      <c r="B233" s="164" t="s">
        <v>1219</v>
      </c>
      <c r="C233" s="164" t="s">
        <v>297</v>
      </c>
      <c r="D233" s="164" t="s">
        <v>97</v>
      </c>
      <c r="E233" s="79">
        <v>44317</v>
      </c>
      <c r="F233" s="6" t="s">
        <v>16</v>
      </c>
      <c r="G233" s="6" t="s">
        <v>279</v>
      </c>
      <c r="H233" s="170">
        <v>19000</v>
      </c>
      <c r="I233" s="172">
        <f t="shared" si="9"/>
        <v>217.59047182775998</v>
      </c>
      <c r="J233" s="162">
        <v>44329</v>
      </c>
      <c r="K233" s="6" t="s">
        <v>252</v>
      </c>
      <c r="L233" s="162">
        <v>44330</v>
      </c>
      <c r="M233" s="175" t="s">
        <v>5447</v>
      </c>
      <c r="O233" s="6" t="s">
        <v>280</v>
      </c>
      <c r="P233" s="6" t="str">
        <f t="shared" si="10"/>
        <v>Category</v>
      </c>
      <c r="Q233" t="str">
        <f t="shared" si="11"/>
        <v>2021</v>
      </c>
    </row>
    <row r="234" spans="1:17">
      <c r="A234" s="162">
        <v>44331</v>
      </c>
      <c r="B234" s="164" t="s">
        <v>1133</v>
      </c>
      <c r="C234" s="164" t="s">
        <v>274</v>
      </c>
      <c r="D234" s="164" t="s">
        <v>1218</v>
      </c>
      <c r="E234" s="79">
        <v>44317</v>
      </c>
      <c r="F234" s="6" t="s">
        <v>16</v>
      </c>
      <c r="G234" s="80">
        <v>44317</v>
      </c>
      <c r="H234" s="170">
        <v>175000</v>
      </c>
      <c r="I234" s="172">
        <f t="shared" si="9"/>
        <v>2004.1227668346314</v>
      </c>
      <c r="J234" s="162">
        <v>44331</v>
      </c>
      <c r="K234" s="6" t="s">
        <v>252</v>
      </c>
      <c r="L234" s="162">
        <v>44331</v>
      </c>
      <c r="M234" s="175" t="s">
        <v>5448</v>
      </c>
      <c r="O234" s="169" t="s">
        <v>5181</v>
      </c>
      <c r="P234" s="6" t="str">
        <f t="shared" si="10"/>
        <v>NonCategory</v>
      </c>
      <c r="Q234" t="str">
        <f t="shared" si="11"/>
        <v>2021</v>
      </c>
    </row>
    <row r="235" spans="1:17">
      <c r="A235" s="162">
        <v>44331</v>
      </c>
      <c r="B235" s="164" t="s">
        <v>1221</v>
      </c>
      <c r="C235" s="164" t="s">
        <v>303</v>
      </c>
      <c r="D235" s="165" t="s">
        <v>150</v>
      </c>
      <c r="E235" s="79">
        <v>44317</v>
      </c>
      <c r="F235" s="6" t="s">
        <v>16</v>
      </c>
      <c r="G235" s="6" t="s">
        <v>1223</v>
      </c>
      <c r="H235" s="170">
        <v>21000</v>
      </c>
      <c r="I235" s="172">
        <f t="shared" si="9"/>
        <v>240.49473202015577</v>
      </c>
      <c r="J235" s="162">
        <v>44331</v>
      </c>
      <c r="K235" s="6" t="s">
        <v>252</v>
      </c>
      <c r="L235" s="162">
        <v>44331</v>
      </c>
      <c r="M235" s="175" t="s">
        <v>5449</v>
      </c>
      <c r="O235" s="6" t="s">
        <v>356</v>
      </c>
      <c r="P235" s="6" t="str">
        <f t="shared" si="10"/>
        <v>SAFe que</v>
      </c>
      <c r="Q235" t="str">
        <f t="shared" si="11"/>
        <v>2021</v>
      </c>
    </row>
    <row r="236" spans="1:17">
      <c r="A236" s="162">
        <v>44331</v>
      </c>
      <c r="B236" s="164" t="s">
        <v>1224</v>
      </c>
      <c r="C236" s="164" t="s">
        <v>287</v>
      </c>
      <c r="D236" s="164" t="s">
        <v>25</v>
      </c>
      <c r="E236" s="79">
        <v>44317</v>
      </c>
      <c r="F236" s="6" t="s">
        <v>16</v>
      </c>
      <c r="G236" s="6" t="s">
        <v>1226</v>
      </c>
      <c r="H236" s="170">
        <v>45000</v>
      </c>
      <c r="I236" s="172">
        <f t="shared" si="9"/>
        <v>515.34585432890515</v>
      </c>
      <c r="J236" s="162">
        <v>44331</v>
      </c>
      <c r="K236" s="6" t="s">
        <v>252</v>
      </c>
      <c r="L236" s="162">
        <v>44331</v>
      </c>
      <c r="M236" s="175" t="s">
        <v>5450</v>
      </c>
      <c r="O236" s="6" t="s">
        <v>356</v>
      </c>
      <c r="P236" s="6" t="str">
        <f t="shared" si="10"/>
        <v>SAFe que</v>
      </c>
      <c r="Q236" t="str">
        <f t="shared" si="11"/>
        <v>2021</v>
      </c>
    </row>
    <row r="237" spans="1:17">
      <c r="A237" s="162">
        <v>44333</v>
      </c>
      <c r="B237" s="164" t="s">
        <v>1227</v>
      </c>
      <c r="C237" s="164" t="s">
        <v>303</v>
      </c>
      <c r="D237" s="164" t="s">
        <v>96</v>
      </c>
      <c r="E237" s="79">
        <v>44317</v>
      </c>
      <c r="F237" s="6" t="s">
        <v>16</v>
      </c>
      <c r="G237" s="6" t="s">
        <v>1077</v>
      </c>
      <c r="H237" s="170">
        <v>19000</v>
      </c>
      <c r="I237" s="172">
        <f t="shared" si="9"/>
        <v>217.59047182775998</v>
      </c>
      <c r="J237" s="162">
        <v>44333</v>
      </c>
      <c r="K237" s="6" t="s">
        <v>252</v>
      </c>
      <c r="L237" s="162">
        <v>44333</v>
      </c>
      <c r="M237" s="175" t="s">
        <v>5451</v>
      </c>
      <c r="O237" s="6" t="s">
        <v>280</v>
      </c>
      <c r="P237" s="6" t="str">
        <f t="shared" si="10"/>
        <v>Category</v>
      </c>
      <c r="Q237" t="str">
        <f t="shared" si="11"/>
        <v>2021</v>
      </c>
    </row>
    <row r="238" spans="1:17">
      <c r="A238" s="162">
        <v>44335</v>
      </c>
      <c r="B238" s="164" t="s">
        <v>1229</v>
      </c>
      <c r="C238" s="164" t="s">
        <v>278</v>
      </c>
      <c r="D238" s="164" t="s">
        <v>538</v>
      </c>
      <c r="E238" s="79">
        <v>44317</v>
      </c>
      <c r="F238" s="6" t="s">
        <v>16</v>
      </c>
      <c r="G238" s="80">
        <v>44317</v>
      </c>
      <c r="H238" s="170">
        <v>10000</v>
      </c>
      <c r="I238" s="172">
        <f t="shared" si="9"/>
        <v>114.52130096197894</v>
      </c>
      <c r="J238" s="162">
        <v>44335</v>
      </c>
      <c r="K238" s="6" t="s">
        <v>252</v>
      </c>
      <c r="L238" s="162">
        <v>44335</v>
      </c>
      <c r="M238" s="175" t="s">
        <v>5452</v>
      </c>
      <c r="N238" s="6" t="s">
        <v>1231</v>
      </c>
      <c r="O238" s="6" t="s">
        <v>280</v>
      </c>
      <c r="P238" s="6" t="str">
        <f t="shared" si="10"/>
        <v>NonCategory</v>
      </c>
      <c r="Q238" t="str">
        <f t="shared" si="11"/>
        <v>2021</v>
      </c>
    </row>
    <row r="239" spans="1:17">
      <c r="A239" s="162">
        <v>44335</v>
      </c>
      <c r="B239" s="164" t="s">
        <v>1233</v>
      </c>
      <c r="C239" s="164" t="s">
        <v>303</v>
      </c>
      <c r="D239" s="164" t="s">
        <v>25</v>
      </c>
      <c r="E239" s="79">
        <v>44317</v>
      </c>
      <c r="F239" s="6" t="s">
        <v>16</v>
      </c>
      <c r="G239" s="6" t="s">
        <v>1077</v>
      </c>
      <c r="H239" s="170">
        <v>45000</v>
      </c>
      <c r="I239" s="172">
        <f t="shared" si="9"/>
        <v>515.34585432890515</v>
      </c>
      <c r="J239" s="162">
        <v>44335</v>
      </c>
      <c r="K239" s="6" t="s">
        <v>252</v>
      </c>
      <c r="L239" s="162">
        <v>44335</v>
      </c>
      <c r="M239" s="175" t="s">
        <v>5453</v>
      </c>
      <c r="O239" s="6" t="s">
        <v>356</v>
      </c>
      <c r="P239" s="6" t="str">
        <f t="shared" si="10"/>
        <v>SAFe que</v>
      </c>
      <c r="Q239" t="str">
        <f t="shared" si="11"/>
        <v>2021</v>
      </c>
    </row>
    <row r="240" spans="1:17">
      <c r="A240" s="162">
        <v>44336</v>
      </c>
      <c r="B240" s="164" t="s">
        <v>969</v>
      </c>
      <c r="C240" s="164" t="s">
        <v>303</v>
      </c>
      <c r="D240" s="164" t="s">
        <v>151</v>
      </c>
      <c r="E240" s="79">
        <v>44317</v>
      </c>
      <c r="F240" s="6" t="s">
        <v>16</v>
      </c>
      <c r="G240" s="6" t="s">
        <v>1077</v>
      </c>
      <c r="H240" s="170">
        <v>21000</v>
      </c>
      <c r="I240" s="172">
        <f t="shared" si="9"/>
        <v>240.49473202015577</v>
      </c>
      <c r="J240" s="162">
        <v>44336</v>
      </c>
      <c r="K240" s="6" t="s">
        <v>252</v>
      </c>
      <c r="L240" s="162">
        <v>44336</v>
      </c>
      <c r="M240" s="175" t="s">
        <v>5454</v>
      </c>
      <c r="O240" s="6" t="s">
        <v>280</v>
      </c>
      <c r="P240" s="6" t="str">
        <f t="shared" si="10"/>
        <v>SAFe que</v>
      </c>
      <c r="Q240" t="str">
        <f t="shared" si="11"/>
        <v>2021</v>
      </c>
    </row>
    <row r="241" spans="1:17">
      <c r="A241" s="162">
        <v>44336</v>
      </c>
      <c r="B241" s="164" t="s">
        <v>1235</v>
      </c>
      <c r="C241" s="164" t="s">
        <v>319</v>
      </c>
      <c r="D241" s="165" t="s">
        <v>150</v>
      </c>
      <c r="E241" s="79">
        <v>44317</v>
      </c>
      <c r="F241" s="6" t="s">
        <v>16</v>
      </c>
      <c r="G241" s="6" t="s">
        <v>1237</v>
      </c>
      <c r="H241" s="170">
        <v>20000</v>
      </c>
      <c r="I241" s="172">
        <f t="shared" si="9"/>
        <v>229.04260192395787</v>
      </c>
      <c r="J241" s="162">
        <v>44336</v>
      </c>
      <c r="K241" s="6" t="s">
        <v>252</v>
      </c>
      <c r="L241" s="162">
        <v>44336</v>
      </c>
      <c r="M241" s="175" t="s">
        <v>5455</v>
      </c>
      <c r="O241" s="6" t="s">
        <v>356</v>
      </c>
      <c r="P241" s="6" t="str">
        <f t="shared" si="10"/>
        <v>SAFe que</v>
      </c>
      <c r="Q241" t="str">
        <f t="shared" si="11"/>
        <v>2021</v>
      </c>
    </row>
    <row r="242" spans="1:17">
      <c r="A242" s="162">
        <v>44337</v>
      </c>
      <c r="B242" s="164" t="s">
        <v>1238</v>
      </c>
      <c r="C242" s="164" t="s">
        <v>278</v>
      </c>
      <c r="D242" s="164" t="s">
        <v>97</v>
      </c>
      <c r="E242" s="79">
        <v>44317</v>
      </c>
      <c r="F242" s="6" t="s">
        <v>16</v>
      </c>
      <c r="G242" s="6" t="s">
        <v>1237</v>
      </c>
      <c r="H242" s="170">
        <v>20000</v>
      </c>
      <c r="I242" s="172">
        <f t="shared" si="9"/>
        <v>229.04260192395787</v>
      </c>
      <c r="J242" s="162">
        <v>44337</v>
      </c>
      <c r="K242" s="6" t="s">
        <v>253</v>
      </c>
      <c r="L242" s="162">
        <v>44337</v>
      </c>
      <c r="M242" s="175" t="s">
        <v>5456</v>
      </c>
      <c r="N242" s="6" t="s">
        <v>1240</v>
      </c>
      <c r="O242" s="6" t="s">
        <v>280</v>
      </c>
      <c r="P242" s="6" t="str">
        <f t="shared" si="10"/>
        <v>Category</v>
      </c>
      <c r="Q242" t="str">
        <f t="shared" si="11"/>
        <v>2021</v>
      </c>
    </row>
    <row r="243" spans="1:17">
      <c r="A243" s="162">
        <v>44337</v>
      </c>
      <c r="B243" s="164" t="s">
        <v>1241</v>
      </c>
      <c r="C243" s="164" t="s">
        <v>287</v>
      </c>
      <c r="D243" s="164" t="s">
        <v>25</v>
      </c>
      <c r="E243" s="79">
        <v>44317</v>
      </c>
      <c r="F243" s="6" t="s">
        <v>16</v>
      </c>
      <c r="G243" s="6" t="s">
        <v>1077</v>
      </c>
      <c r="H243" s="170">
        <v>45000</v>
      </c>
      <c r="I243" s="172">
        <f t="shared" si="9"/>
        <v>515.34585432890515</v>
      </c>
      <c r="J243" s="162">
        <v>44337</v>
      </c>
      <c r="K243" s="6" t="s">
        <v>253</v>
      </c>
      <c r="L243" s="162">
        <v>44337</v>
      </c>
      <c r="M243" s="175" t="s">
        <v>5457</v>
      </c>
      <c r="O243" s="6" t="s">
        <v>280</v>
      </c>
      <c r="P243" s="6" t="str">
        <f t="shared" si="10"/>
        <v>SAFe que</v>
      </c>
      <c r="Q243" t="str">
        <f t="shared" si="11"/>
        <v>2021</v>
      </c>
    </row>
    <row r="244" spans="1:17">
      <c r="A244" s="162">
        <v>44337</v>
      </c>
      <c r="B244" s="164" t="s">
        <v>1243</v>
      </c>
      <c r="C244" s="164" t="s">
        <v>319</v>
      </c>
      <c r="D244" s="164" t="s">
        <v>6</v>
      </c>
      <c r="E244" s="79">
        <v>44317</v>
      </c>
      <c r="F244" s="6" t="s">
        <v>16</v>
      </c>
      <c r="G244" s="6" t="s">
        <v>1237</v>
      </c>
      <c r="H244" s="170">
        <v>45000</v>
      </c>
      <c r="I244" s="172">
        <f t="shared" si="9"/>
        <v>515.34585432890515</v>
      </c>
      <c r="J244" s="162">
        <v>44337</v>
      </c>
      <c r="K244" s="6" t="s">
        <v>253</v>
      </c>
      <c r="L244" s="162">
        <v>44337</v>
      </c>
      <c r="M244" s="175" t="s">
        <v>5458</v>
      </c>
      <c r="O244" s="6" t="s">
        <v>280</v>
      </c>
      <c r="P244" s="6" t="str">
        <f t="shared" si="10"/>
        <v>SAFe que</v>
      </c>
      <c r="Q244" t="str">
        <f t="shared" si="11"/>
        <v>2021</v>
      </c>
    </row>
    <row r="245" spans="1:17">
      <c r="A245" s="162">
        <v>44337</v>
      </c>
      <c r="B245" s="164" t="s">
        <v>1245</v>
      </c>
      <c r="C245" s="164" t="s">
        <v>278</v>
      </c>
      <c r="D245" s="164" t="s">
        <v>6</v>
      </c>
      <c r="E245" s="79">
        <v>44317</v>
      </c>
      <c r="F245" s="6" t="s">
        <v>16</v>
      </c>
      <c r="G245" s="6" t="s">
        <v>1237</v>
      </c>
      <c r="H245" s="170">
        <v>45000</v>
      </c>
      <c r="I245" s="172">
        <f t="shared" si="9"/>
        <v>515.34585432890515</v>
      </c>
      <c r="J245" s="162">
        <v>44337</v>
      </c>
      <c r="K245" s="6" t="s">
        <v>253</v>
      </c>
      <c r="L245" s="162">
        <v>44337</v>
      </c>
      <c r="M245" s="175" t="s">
        <v>5459</v>
      </c>
      <c r="N245" s="6" t="s">
        <v>1247</v>
      </c>
      <c r="O245" s="6" t="s">
        <v>280</v>
      </c>
      <c r="P245" s="6" t="str">
        <f t="shared" si="10"/>
        <v>SAFe que</v>
      </c>
      <c r="Q245" t="str">
        <f t="shared" si="11"/>
        <v>2021</v>
      </c>
    </row>
    <row r="246" spans="1:17">
      <c r="A246" s="162">
        <v>44338</v>
      </c>
      <c r="B246" s="164" t="s">
        <v>1248</v>
      </c>
      <c r="C246" s="164" t="s">
        <v>278</v>
      </c>
      <c r="D246" s="164" t="s">
        <v>96</v>
      </c>
      <c r="E246" s="79">
        <v>44317</v>
      </c>
      <c r="F246" s="6" t="s">
        <v>16</v>
      </c>
      <c r="G246" s="6" t="s">
        <v>1192</v>
      </c>
      <c r="H246" s="170">
        <v>19000</v>
      </c>
      <c r="I246" s="172">
        <f t="shared" si="9"/>
        <v>217.59047182775998</v>
      </c>
      <c r="J246" s="162">
        <v>44338</v>
      </c>
      <c r="K246" s="6" t="s">
        <v>253</v>
      </c>
      <c r="L246" s="162">
        <v>44338</v>
      </c>
      <c r="M246" s="175" t="s">
        <v>5460</v>
      </c>
      <c r="N246" s="6" t="s">
        <v>1250</v>
      </c>
      <c r="O246" s="6" t="s">
        <v>356</v>
      </c>
      <c r="P246" s="6" t="str">
        <f t="shared" si="10"/>
        <v>Category</v>
      </c>
      <c r="Q246" t="str">
        <f t="shared" si="11"/>
        <v>2021</v>
      </c>
    </row>
    <row r="247" spans="1:17">
      <c r="A247" s="162">
        <v>44337</v>
      </c>
      <c r="B247" s="164" t="s">
        <v>1251</v>
      </c>
      <c r="C247" s="164" t="s">
        <v>287</v>
      </c>
      <c r="D247" s="164" t="s">
        <v>1253</v>
      </c>
      <c r="E247" s="79">
        <v>44317</v>
      </c>
      <c r="F247" s="6" t="s">
        <v>16</v>
      </c>
      <c r="G247" s="80">
        <v>44317</v>
      </c>
      <c r="H247" s="170">
        <v>43000</v>
      </c>
      <c r="I247" s="172">
        <f t="shared" si="9"/>
        <v>492.44159413650942</v>
      </c>
      <c r="J247" s="162">
        <v>44337</v>
      </c>
      <c r="K247" s="6" t="s">
        <v>253</v>
      </c>
      <c r="L247" s="162">
        <v>44340</v>
      </c>
      <c r="M247" s="175" t="s">
        <v>5461</v>
      </c>
      <c r="O247" s="169" t="s">
        <v>5181</v>
      </c>
      <c r="P247" s="6" t="str">
        <f t="shared" si="10"/>
        <v>NonCategory</v>
      </c>
      <c r="Q247" t="str">
        <f t="shared" si="11"/>
        <v>2021</v>
      </c>
    </row>
    <row r="248" spans="1:17">
      <c r="A248" s="162">
        <v>44340</v>
      </c>
      <c r="B248" s="164" t="s">
        <v>1254</v>
      </c>
      <c r="C248" s="164" t="s">
        <v>278</v>
      </c>
      <c r="D248" s="164" t="s">
        <v>976</v>
      </c>
      <c r="E248" s="79">
        <v>44317</v>
      </c>
      <c r="F248" s="6" t="s">
        <v>16</v>
      </c>
      <c r="G248" s="80">
        <v>44317</v>
      </c>
      <c r="H248" s="170">
        <v>15500</v>
      </c>
      <c r="I248" s="172">
        <f t="shared" si="9"/>
        <v>177.50801649106734</v>
      </c>
      <c r="J248" s="162">
        <v>44340</v>
      </c>
      <c r="K248" s="6" t="s">
        <v>253</v>
      </c>
      <c r="L248" s="162">
        <v>44340</v>
      </c>
      <c r="M248" s="175" t="s">
        <v>5462</v>
      </c>
      <c r="N248" s="6" t="s">
        <v>1256</v>
      </c>
      <c r="O248" s="169" t="s">
        <v>5181</v>
      </c>
      <c r="P248" s="6" t="str">
        <f t="shared" si="10"/>
        <v>NonCategory</v>
      </c>
      <c r="Q248" t="str">
        <f t="shared" si="11"/>
        <v>2021</v>
      </c>
    </row>
    <row r="249" spans="1:17">
      <c r="A249" s="162">
        <v>44340</v>
      </c>
      <c r="B249" s="164" t="s">
        <v>1257</v>
      </c>
      <c r="C249" s="164" t="s">
        <v>287</v>
      </c>
      <c r="D249" s="164" t="s">
        <v>6</v>
      </c>
      <c r="E249" s="79">
        <v>44317</v>
      </c>
      <c r="F249" s="6" t="s">
        <v>16</v>
      </c>
      <c r="G249" s="6" t="s">
        <v>1237</v>
      </c>
      <c r="H249" s="170">
        <v>45000</v>
      </c>
      <c r="I249" s="172">
        <f t="shared" si="9"/>
        <v>515.34585432890515</v>
      </c>
      <c r="J249" s="162">
        <v>44340</v>
      </c>
      <c r="K249" s="6" t="s">
        <v>253</v>
      </c>
      <c r="L249" s="162">
        <v>44340</v>
      </c>
      <c r="M249" s="175" t="s">
        <v>5463</v>
      </c>
      <c r="O249" s="6" t="s">
        <v>280</v>
      </c>
      <c r="P249" s="6" t="str">
        <f t="shared" si="10"/>
        <v>SAFe que</v>
      </c>
      <c r="Q249" t="str">
        <f t="shared" si="11"/>
        <v>2021</v>
      </c>
    </row>
    <row r="250" spans="1:17">
      <c r="A250" s="162">
        <v>44342</v>
      </c>
      <c r="B250" s="164" t="s">
        <v>1259</v>
      </c>
      <c r="C250" s="164" t="s">
        <v>303</v>
      </c>
      <c r="D250" s="165" t="s">
        <v>150</v>
      </c>
      <c r="E250" s="79">
        <v>44317</v>
      </c>
      <c r="F250" s="6" t="s">
        <v>16</v>
      </c>
      <c r="G250" s="6" t="s">
        <v>1192</v>
      </c>
      <c r="H250" s="170">
        <v>20500</v>
      </c>
      <c r="I250" s="172">
        <f t="shared" si="9"/>
        <v>234.76866697205682</v>
      </c>
      <c r="J250" s="162">
        <v>44342</v>
      </c>
      <c r="K250" s="6" t="s">
        <v>253</v>
      </c>
      <c r="L250" s="162">
        <v>44342</v>
      </c>
      <c r="M250" s="175" t="s">
        <v>5464</v>
      </c>
      <c r="O250" s="6" t="s">
        <v>356</v>
      </c>
      <c r="P250" s="6" t="str">
        <f t="shared" si="10"/>
        <v>SAFe que</v>
      </c>
      <c r="Q250" t="str">
        <f t="shared" si="11"/>
        <v>2021</v>
      </c>
    </row>
    <row r="251" spans="1:17">
      <c r="A251" s="162">
        <v>44344</v>
      </c>
      <c r="B251" s="164" t="s">
        <v>1261</v>
      </c>
      <c r="C251" s="164" t="s">
        <v>291</v>
      </c>
      <c r="D251" s="164" t="s">
        <v>96</v>
      </c>
      <c r="E251" s="79">
        <v>44317</v>
      </c>
      <c r="F251" s="6" t="s">
        <v>16</v>
      </c>
      <c r="G251" s="6" t="s">
        <v>1237</v>
      </c>
      <c r="H251" s="170">
        <v>19000</v>
      </c>
      <c r="I251" s="172">
        <f t="shared" si="9"/>
        <v>217.59047182775998</v>
      </c>
      <c r="J251" s="162">
        <v>44344</v>
      </c>
      <c r="K251" s="6" t="s">
        <v>253</v>
      </c>
      <c r="L251" s="162">
        <v>44344</v>
      </c>
      <c r="M251" s="175" t="s">
        <v>5465</v>
      </c>
      <c r="O251" s="6" t="s">
        <v>280</v>
      </c>
      <c r="P251" s="6" t="str">
        <f t="shared" si="10"/>
        <v>Category</v>
      </c>
      <c r="Q251" t="str">
        <f t="shared" si="11"/>
        <v>2021</v>
      </c>
    </row>
    <row r="252" spans="1:17">
      <c r="A252" s="162">
        <v>44345</v>
      </c>
      <c r="B252" s="164" t="s">
        <v>1265</v>
      </c>
      <c r="C252" s="164" t="s">
        <v>278</v>
      </c>
      <c r="D252" s="165" t="s">
        <v>150</v>
      </c>
      <c r="E252" s="79">
        <v>44317</v>
      </c>
      <c r="F252" s="6" t="s">
        <v>16</v>
      </c>
      <c r="G252" s="6" t="s">
        <v>1237</v>
      </c>
      <c r="H252" s="170">
        <v>20000</v>
      </c>
      <c r="I252" s="172">
        <f t="shared" si="9"/>
        <v>229.04260192395787</v>
      </c>
      <c r="J252" s="162">
        <v>44345</v>
      </c>
      <c r="K252" s="6" t="s">
        <v>253</v>
      </c>
      <c r="L252" s="162">
        <v>44345</v>
      </c>
      <c r="M252" s="175" t="s">
        <v>5466</v>
      </c>
      <c r="O252" s="6" t="s">
        <v>280</v>
      </c>
      <c r="P252" s="6" t="str">
        <f t="shared" si="10"/>
        <v>SAFe que</v>
      </c>
      <c r="Q252" t="str">
        <f t="shared" si="11"/>
        <v>2021</v>
      </c>
    </row>
    <row r="253" spans="1:17">
      <c r="A253" s="162">
        <v>44345</v>
      </c>
      <c r="B253" s="164" t="s">
        <v>1267</v>
      </c>
      <c r="C253" s="164" t="s">
        <v>287</v>
      </c>
      <c r="D253" s="164" t="s">
        <v>538</v>
      </c>
      <c r="E253" s="79">
        <v>44317</v>
      </c>
      <c r="F253" s="6" t="s">
        <v>16</v>
      </c>
      <c r="G253" s="80">
        <v>44348</v>
      </c>
      <c r="H253" s="170">
        <v>12000</v>
      </c>
      <c r="I253" s="172">
        <f t="shared" si="9"/>
        <v>137.42556115437472</v>
      </c>
      <c r="J253" s="162">
        <v>44345</v>
      </c>
      <c r="K253" s="6" t="s">
        <v>253</v>
      </c>
      <c r="L253" s="162">
        <v>44345</v>
      </c>
      <c r="M253" s="175" t="s">
        <v>5467</v>
      </c>
      <c r="O253" s="169" t="s">
        <v>5181</v>
      </c>
      <c r="P253" s="6" t="str">
        <f t="shared" si="10"/>
        <v>NonCategory</v>
      </c>
      <c r="Q253" t="str">
        <f t="shared" si="11"/>
        <v>2021</v>
      </c>
    </row>
    <row r="254" spans="1:17">
      <c r="A254" s="162">
        <v>44345</v>
      </c>
      <c r="B254" s="164" t="s">
        <v>1269</v>
      </c>
      <c r="C254" s="164" t="s">
        <v>303</v>
      </c>
      <c r="D254" s="164" t="s">
        <v>25</v>
      </c>
      <c r="E254" s="79">
        <v>44317</v>
      </c>
      <c r="F254" s="6" t="s">
        <v>16</v>
      </c>
      <c r="G254" s="6" t="s">
        <v>1226</v>
      </c>
      <c r="H254" s="170">
        <v>45000</v>
      </c>
      <c r="I254" s="172">
        <f t="shared" si="9"/>
        <v>515.34585432890515</v>
      </c>
      <c r="J254" s="162">
        <v>44345</v>
      </c>
      <c r="K254" s="6" t="s">
        <v>253</v>
      </c>
      <c r="L254" s="162">
        <v>44345</v>
      </c>
      <c r="M254" s="175" t="s">
        <v>5468</v>
      </c>
      <c r="O254" s="6" t="s">
        <v>280</v>
      </c>
      <c r="P254" s="6" t="str">
        <f t="shared" si="10"/>
        <v>SAFe que</v>
      </c>
      <c r="Q254" t="str">
        <f t="shared" si="11"/>
        <v>2021</v>
      </c>
    </row>
    <row r="255" spans="1:17">
      <c r="A255" s="162">
        <v>44345</v>
      </c>
      <c r="B255" s="164" t="s">
        <v>1271</v>
      </c>
      <c r="C255" s="164" t="s">
        <v>278</v>
      </c>
      <c r="D255" s="164" t="s">
        <v>25</v>
      </c>
      <c r="E255" s="79">
        <v>44317</v>
      </c>
      <c r="F255" s="6" t="s">
        <v>16</v>
      </c>
      <c r="G255" s="6" t="s">
        <v>1226</v>
      </c>
      <c r="H255" s="170">
        <v>45000</v>
      </c>
      <c r="I255" s="172">
        <f t="shared" si="9"/>
        <v>515.34585432890515</v>
      </c>
      <c r="J255" s="162">
        <v>44345</v>
      </c>
      <c r="K255" s="6" t="s">
        <v>253</v>
      </c>
      <c r="L255" s="162">
        <v>44345</v>
      </c>
      <c r="M255" s="175" t="s">
        <v>5469</v>
      </c>
      <c r="O255" s="6" t="s">
        <v>356</v>
      </c>
      <c r="P255" s="6" t="str">
        <f t="shared" si="10"/>
        <v>SAFe que</v>
      </c>
      <c r="Q255" t="str">
        <f t="shared" si="11"/>
        <v>2021</v>
      </c>
    </row>
    <row r="256" spans="1:17">
      <c r="A256" s="162">
        <v>44236</v>
      </c>
      <c r="B256" s="164" t="s">
        <v>1273</v>
      </c>
      <c r="C256" s="164" t="s">
        <v>319</v>
      </c>
      <c r="D256" s="164" t="s">
        <v>96</v>
      </c>
      <c r="E256" s="79">
        <v>44348</v>
      </c>
      <c r="F256" s="6" t="s">
        <v>16</v>
      </c>
      <c r="G256" s="6" t="s">
        <v>1202</v>
      </c>
      <c r="H256" s="170">
        <v>20000</v>
      </c>
      <c r="I256" s="172">
        <f t="shared" si="9"/>
        <v>229.04260192395787</v>
      </c>
      <c r="J256" s="162">
        <v>44348</v>
      </c>
      <c r="K256" s="6" t="s">
        <v>251</v>
      </c>
      <c r="L256" s="162">
        <v>44348</v>
      </c>
      <c r="M256" s="175" t="s">
        <v>5470</v>
      </c>
      <c r="O256" s="6" t="s">
        <v>280</v>
      </c>
      <c r="P256" s="6" t="str">
        <f t="shared" si="10"/>
        <v>Category</v>
      </c>
      <c r="Q256" t="str">
        <f t="shared" si="11"/>
        <v>2021</v>
      </c>
    </row>
    <row r="257" spans="1:17">
      <c r="A257" s="162">
        <v>44348</v>
      </c>
      <c r="B257" s="164" t="s">
        <v>1275</v>
      </c>
      <c r="C257" s="164" t="s">
        <v>278</v>
      </c>
      <c r="D257" s="164" t="s">
        <v>1698</v>
      </c>
      <c r="E257" s="79">
        <v>44348</v>
      </c>
      <c r="F257" s="6" t="s">
        <v>16</v>
      </c>
      <c r="G257" s="80">
        <v>44348</v>
      </c>
      <c r="H257" s="170">
        <v>36000</v>
      </c>
      <c r="I257" s="172">
        <f t="shared" si="9"/>
        <v>412.27668346312413</v>
      </c>
      <c r="J257" s="162">
        <v>44348</v>
      </c>
      <c r="K257" s="6" t="s">
        <v>251</v>
      </c>
      <c r="L257" s="162">
        <v>44348</v>
      </c>
      <c r="M257" s="175" t="s">
        <v>5471</v>
      </c>
      <c r="N257" s="6" t="s">
        <v>1278</v>
      </c>
      <c r="O257" s="6" t="s">
        <v>356</v>
      </c>
      <c r="P257" s="6" t="str">
        <f t="shared" si="10"/>
        <v>NonCategory</v>
      </c>
      <c r="Q257" t="str">
        <f t="shared" si="11"/>
        <v>2021</v>
      </c>
    </row>
    <row r="258" spans="1:17">
      <c r="A258" s="162">
        <v>44349</v>
      </c>
      <c r="B258" s="164" t="s">
        <v>1279</v>
      </c>
      <c r="C258" s="164" t="s">
        <v>303</v>
      </c>
      <c r="D258" s="165" t="s">
        <v>150</v>
      </c>
      <c r="E258" s="79">
        <v>44348</v>
      </c>
      <c r="F258" s="6" t="s">
        <v>16</v>
      </c>
      <c r="G258" s="6" t="s">
        <v>1237</v>
      </c>
      <c r="H258" s="170">
        <v>20000</v>
      </c>
      <c r="I258" s="172">
        <f t="shared" ref="I258:I321" si="12">IFERROR((($H258/1.18))/74,"")</f>
        <v>229.04260192395787</v>
      </c>
      <c r="J258" s="162">
        <v>44349</v>
      </c>
      <c r="K258" s="6" t="s">
        <v>251</v>
      </c>
      <c r="L258" s="162">
        <v>44349</v>
      </c>
      <c r="M258" s="175" t="s">
        <v>5472</v>
      </c>
      <c r="O258" s="6" t="s">
        <v>356</v>
      </c>
      <c r="P258" s="6" t="str">
        <f t="shared" ref="P258:P321" si="13">IFERROR(_xlfn.IFS($D258="CSM","Category",$D258="CSPO","Category", $D258="PSM","SAFe que",$D258="PSPO","SAFe que",$D258="SAFe Agile","SAFe que",$D258="SAFe SSM","SAFe que",$D258="SAFe POPM","SAFe que",$D258="SASM","SAFe que",$D258="PMI-ACP","Category",$D258="ICP-ACC","SAFe que",$D258="PSM 2","SAFe que",$D258="SAFe RTE","SAFe que",$D258="Implementing SAFe","SAFe que",$D258="SAFe for Government","SAFe que",$D258="PSPO 2","SAFe que",$D258="",""),"NonCategory")</f>
        <v>SAFe que</v>
      </c>
      <c r="Q258" t="str">
        <f t="shared" ref="Q258:Q321" si="14">TEXT(E258, "yyyy")</f>
        <v>2021</v>
      </c>
    </row>
    <row r="259" spans="1:17">
      <c r="A259" s="162">
        <v>44349</v>
      </c>
      <c r="B259" s="164" t="s">
        <v>1281</v>
      </c>
      <c r="C259" s="164" t="s">
        <v>303</v>
      </c>
      <c r="D259" s="164" t="s">
        <v>25</v>
      </c>
      <c r="E259" s="79">
        <v>44348</v>
      </c>
      <c r="F259" s="6" t="s">
        <v>16</v>
      </c>
      <c r="G259" s="6" t="s">
        <v>1226</v>
      </c>
      <c r="H259" s="170">
        <v>45000</v>
      </c>
      <c r="I259" s="172">
        <f t="shared" si="12"/>
        <v>515.34585432890515</v>
      </c>
      <c r="J259" s="162">
        <v>44349</v>
      </c>
      <c r="K259" s="6" t="s">
        <v>251</v>
      </c>
      <c r="L259" s="162">
        <v>44349</v>
      </c>
      <c r="M259" s="175" t="s">
        <v>5473</v>
      </c>
      <c r="O259" s="6" t="s">
        <v>280</v>
      </c>
      <c r="P259" s="6" t="str">
        <f t="shared" si="13"/>
        <v>SAFe que</v>
      </c>
      <c r="Q259" t="str">
        <f t="shared" si="14"/>
        <v>2021</v>
      </c>
    </row>
    <row r="260" spans="1:17">
      <c r="A260" s="162">
        <v>44350</v>
      </c>
      <c r="B260" s="164" t="s">
        <v>1283</v>
      </c>
      <c r="C260" s="164" t="s">
        <v>303</v>
      </c>
      <c r="D260" s="165" t="s">
        <v>150</v>
      </c>
      <c r="E260" s="79">
        <v>44348</v>
      </c>
      <c r="F260" s="6" t="s">
        <v>16</v>
      </c>
      <c r="G260" s="6" t="s">
        <v>1237</v>
      </c>
      <c r="H260" s="170">
        <v>20500</v>
      </c>
      <c r="I260" s="172">
        <f t="shared" si="12"/>
        <v>234.76866697205682</v>
      </c>
      <c r="J260" s="162">
        <v>44350</v>
      </c>
      <c r="K260" s="6" t="s">
        <v>251</v>
      </c>
      <c r="L260" s="162">
        <v>44350</v>
      </c>
      <c r="M260" s="175" t="s">
        <v>5474</v>
      </c>
      <c r="O260" s="6" t="s">
        <v>280</v>
      </c>
      <c r="P260" s="6" t="str">
        <f t="shared" si="13"/>
        <v>SAFe que</v>
      </c>
      <c r="Q260" t="str">
        <f t="shared" si="14"/>
        <v>2021</v>
      </c>
    </row>
    <row r="261" spans="1:17">
      <c r="A261" s="162">
        <v>44350</v>
      </c>
      <c r="B261" s="164" t="s">
        <v>1285</v>
      </c>
      <c r="C261" s="164" t="s">
        <v>278</v>
      </c>
      <c r="D261" s="164" t="s">
        <v>1698</v>
      </c>
      <c r="E261" s="79">
        <v>44348</v>
      </c>
      <c r="F261" s="6" t="s">
        <v>16</v>
      </c>
      <c r="G261" s="80">
        <v>44348</v>
      </c>
      <c r="H261" s="170">
        <v>36000</v>
      </c>
      <c r="I261" s="172">
        <f t="shared" si="12"/>
        <v>412.27668346312413</v>
      </c>
      <c r="J261" s="162">
        <v>44350</v>
      </c>
      <c r="K261" s="6" t="s">
        <v>251</v>
      </c>
      <c r="L261" s="162">
        <v>44350</v>
      </c>
      <c r="M261" s="175" t="s">
        <v>5475</v>
      </c>
      <c r="N261" s="6" t="s">
        <v>1278</v>
      </c>
      <c r="O261" s="169" t="s">
        <v>5181</v>
      </c>
      <c r="P261" s="6" t="str">
        <f t="shared" si="13"/>
        <v>NonCategory</v>
      </c>
      <c r="Q261" t="str">
        <f t="shared" si="14"/>
        <v>2021</v>
      </c>
    </row>
    <row r="262" spans="1:17">
      <c r="A262" s="162">
        <v>44350</v>
      </c>
      <c r="B262" s="164" t="s">
        <v>1287</v>
      </c>
      <c r="C262" s="164" t="s">
        <v>306</v>
      </c>
      <c r="D262" s="164" t="s">
        <v>6</v>
      </c>
      <c r="E262" s="79">
        <v>44348</v>
      </c>
      <c r="F262" s="6" t="s">
        <v>16</v>
      </c>
      <c r="G262" s="6" t="s">
        <v>1237</v>
      </c>
      <c r="H262" s="170">
        <v>45000</v>
      </c>
      <c r="I262" s="172">
        <f t="shared" si="12"/>
        <v>515.34585432890515</v>
      </c>
      <c r="J262" s="162">
        <v>44350</v>
      </c>
      <c r="K262" s="6" t="s">
        <v>251</v>
      </c>
      <c r="L262" s="162">
        <v>44350</v>
      </c>
      <c r="M262" s="175" t="s">
        <v>5476</v>
      </c>
      <c r="O262" s="6" t="s">
        <v>356</v>
      </c>
      <c r="P262" s="6" t="str">
        <f t="shared" si="13"/>
        <v>SAFe que</v>
      </c>
      <c r="Q262" t="str">
        <f t="shared" si="14"/>
        <v>2021</v>
      </c>
    </row>
    <row r="263" spans="1:17">
      <c r="A263" s="162">
        <v>44350</v>
      </c>
      <c r="B263" s="164" t="s">
        <v>1289</v>
      </c>
      <c r="C263" s="164" t="s">
        <v>1291</v>
      </c>
      <c r="D263" s="164" t="s">
        <v>6</v>
      </c>
      <c r="E263" s="79">
        <v>44348</v>
      </c>
      <c r="F263" s="6" t="s">
        <v>16</v>
      </c>
      <c r="G263" s="6" t="s">
        <v>1237</v>
      </c>
      <c r="H263" s="170">
        <v>45000</v>
      </c>
      <c r="I263" s="172">
        <f t="shared" si="12"/>
        <v>515.34585432890515</v>
      </c>
      <c r="J263" s="162">
        <v>44350</v>
      </c>
      <c r="K263" s="6" t="s">
        <v>251</v>
      </c>
      <c r="L263" s="162">
        <v>44350</v>
      </c>
      <c r="M263" s="175" t="s">
        <v>5477</v>
      </c>
      <c r="O263" s="6" t="s">
        <v>356</v>
      </c>
      <c r="P263" s="6" t="str">
        <f t="shared" si="13"/>
        <v>SAFe que</v>
      </c>
      <c r="Q263" t="str">
        <f t="shared" si="14"/>
        <v>2021</v>
      </c>
    </row>
    <row r="264" spans="1:17">
      <c r="A264" s="162">
        <v>44350</v>
      </c>
      <c r="B264" s="164" t="s">
        <v>1292</v>
      </c>
      <c r="C264" s="164" t="s">
        <v>1295</v>
      </c>
      <c r="D264" s="164" t="s">
        <v>96</v>
      </c>
      <c r="E264" s="79">
        <v>44348</v>
      </c>
      <c r="F264" s="6" t="s">
        <v>16</v>
      </c>
      <c r="G264" s="6" t="s">
        <v>1226</v>
      </c>
      <c r="H264" s="170">
        <v>38000</v>
      </c>
      <c r="I264" s="172">
        <f t="shared" si="12"/>
        <v>435.18094365551997</v>
      </c>
      <c r="J264" s="162">
        <v>44350</v>
      </c>
      <c r="K264" s="6" t="s">
        <v>251</v>
      </c>
      <c r="L264" s="162">
        <v>44350</v>
      </c>
      <c r="M264" s="175" t="s">
        <v>220</v>
      </c>
      <c r="O264" s="6" t="s">
        <v>356</v>
      </c>
      <c r="P264" s="6" t="str">
        <f t="shared" si="13"/>
        <v>Category</v>
      </c>
      <c r="Q264" t="str">
        <f t="shared" si="14"/>
        <v>2021</v>
      </c>
    </row>
    <row r="265" spans="1:17">
      <c r="A265" s="162">
        <v>44351</v>
      </c>
      <c r="B265" s="164" t="s">
        <v>1296</v>
      </c>
      <c r="C265" s="164" t="s">
        <v>291</v>
      </c>
      <c r="D265" s="165" t="s">
        <v>150</v>
      </c>
      <c r="E265" s="79">
        <v>44348</v>
      </c>
      <c r="F265" s="6" t="s">
        <v>16</v>
      </c>
      <c r="G265" s="6" t="s">
        <v>1237</v>
      </c>
      <c r="H265" s="170">
        <v>20000</v>
      </c>
      <c r="I265" s="172">
        <f t="shared" si="12"/>
        <v>229.04260192395787</v>
      </c>
      <c r="J265" s="162">
        <v>44351</v>
      </c>
      <c r="K265" s="6" t="s">
        <v>251</v>
      </c>
      <c r="L265" s="162">
        <v>44351</v>
      </c>
      <c r="M265" s="175" t="s">
        <v>5478</v>
      </c>
      <c r="O265" s="6" t="s">
        <v>356</v>
      </c>
      <c r="P265" s="6" t="str">
        <f t="shared" si="13"/>
        <v>SAFe que</v>
      </c>
      <c r="Q265" t="str">
        <f t="shared" si="14"/>
        <v>2021</v>
      </c>
    </row>
    <row r="266" spans="1:17">
      <c r="A266" s="162">
        <v>44352</v>
      </c>
      <c r="B266" s="164" t="s">
        <v>1298</v>
      </c>
      <c r="C266" s="164" t="s">
        <v>291</v>
      </c>
      <c r="D266" s="164" t="s">
        <v>25</v>
      </c>
      <c r="E266" s="79">
        <v>44348</v>
      </c>
      <c r="F266" s="6" t="s">
        <v>16</v>
      </c>
      <c r="G266" s="6" t="s">
        <v>1226</v>
      </c>
      <c r="H266" s="170">
        <v>45000</v>
      </c>
      <c r="I266" s="172">
        <f t="shared" si="12"/>
        <v>515.34585432890515</v>
      </c>
      <c r="J266" s="162">
        <v>44352</v>
      </c>
      <c r="K266" s="6" t="s">
        <v>251</v>
      </c>
      <c r="L266" s="162">
        <v>44352</v>
      </c>
      <c r="M266" s="175" t="s">
        <v>5479</v>
      </c>
      <c r="O266" s="6" t="s">
        <v>280</v>
      </c>
      <c r="P266" s="6" t="str">
        <f t="shared" si="13"/>
        <v>SAFe que</v>
      </c>
      <c r="Q266" t="str">
        <f t="shared" si="14"/>
        <v>2021</v>
      </c>
    </row>
    <row r="267" spans="1:17">
      <c r="A267" s="162">
        <v>44353</v>
      </c>
      <c r="B267" s="164" t="s">
        <v>851</v>
      </c>
      <c r="C267" s="164" t="s">
        <v>278</v>
      </c>
      <c r="D267" s="164" t="s">
        <v>96</v>
      </c>
      <c r="E267" s="79">
        <v>44348</v>
      </c>
      <c r="F267" s="6" t="s">
        <v>16</v>
      </c>
      <c r="G267" s="6" t="s">
        <v>1226</v>
      </c>
      <c r="H267" s="170">
        <v>20000</v>
      </c>
      <c r="I267" s="172">
        <f t="shared" si="12"/>
        <v>229.04260192395787</v>
      </c>
      <c r="J267" s="162">
        <v>44353</v>
      </c>
      <c r="K267" s="6" t="s">
        <v>251</v>
      </c>
      <c r="L267" s="162">
        <v>44353</v>
      </c>
      <c r="M267" s="175" t="s">
        <v>5480</v>
      </c>
      <c r="O267" s="6" t="s">
        <v>356</v>
      </c>
      <c r="P267" s="6" t="str">
        <f t="shared" si="13"/>
        <v>Category</v>
      </c>
      <c r="Q267" t="str">
        <f t="shared" si="14"/>
        <v>2021</v>
      </c>
    </row>
    <row r="268" spans="1:17">
      <c r="A268" s="162">
        <v>44354</v>
      </c>
      <c r="B268" s="164" t="s">
        <v>1301</v>
      </c>
      <c r="C268" s="164" t="s">
        <v>291</v>
      </c>
      <c r="D268" s="164" t="s">
        <v>538</v>
      </c>
      <c r="E268" s="79">
        <v>44348</v>
      </c>
      <c r="F268" s="6" t="s">
        <v>16</v>
      </c>
      <c r="G268" s="96">
        <v>44359</v>
      </c>
      <c r="H268" s="170">
        <v>12000</v>
      </c>
      <c r="I268" s="172">
        <f t="shared" si="12"/>
        <v>137.42556115437472</v>
      </c>
      <c r="J268" s="162">
        <v>44354</v>
      </c>
      <c r="K268" s="6" t="s">
        <v>251</v>
      </c>
      <c r="L268" s="162">
        <v>44354</v>
      </c>
      <c r="M268" s="175" t="s">
        <v>5481</v>
      </c>
      <c r="O268" s="169" t="s">
        <v>5181</v>
      </c>
      <c r="P268" s="6" t="str">
        <f t="shared" si="13"/>
        <v>NonCategory</v>
      </c>
      <c r="Q268" t="str">
        <f t="shared" si="14"/>
        <v>2021</v>
      </c>
    </row>
    <row r="269" spans="1:17">
      <c r="A269" s="162">
        <v>44354</v>
      </c>
      <c r="B269" s="164" t="s">
        <v>1303</v>
      </c>
      <c r="C269" s="164" t="s">
        <v>303</v>
      </c>
      <c r="D269" s="164" t="s">
        <v>25</v>
      </c>
      <c r="E269" s="79">
        <v>44348</v>
      </c>
      <c r="F269" s="6" t="s">
        <v>16</v>
      </c>
      <c r="G269" s="6" t="s">
        <v>1226</v>
      </c>
      <c r="H269" s="170">
        <v>45000</v>
      </c>
      <c r="I269" s="172">
        <f t="shared" si="12"/>
        <v>515.34585432890515</v>
      </c>
      <c r="J269" s="162">
        <v>44354</v>
      </c>
      <c r="K269" s="6" t="s">
        <v>251</v>
      </c>
      <c r="L269" s="162">
        <v>44354</v>
      </c>
      <c r="M269" s="175" t="s">
        <v>5482</v>
      </c>
      <c r="O269" s="6" t="s">
        <v>356</v>
      </c>
      <c r="P269" s="6" t="str">
        <f t="shared" si="13"/>
        <v>SAFe que</v>
      </c>
      <c r="Q269" t="str">
        <f t="shared" si="14"/>
        <v>2021</v>
      </c>
    </row>
    <row r="270" spans="1:17" ht="14.4">
      <c r="A270" s="162">
        <v>44355</v>
      </c>
      <c r="B270" s="164" t="s">
        <v>1305</v>
      </c>
      <c r="C270" s="164" t="s">
        <v>278</v>
      </c>
      <c r="D270" s="164" t="s">
        <v>96</v>
      </c>
      <c r="E270" s="79">
        <v>44348</v>
      </c>
      <c r="F270" s="6" t="s">
        <v>16</v>
      </c>
      <c r="G270" s="6" t="s">
        <v>1202</v>
      </c>
      <c r="H270" s="170">
        <v>19000</v>
      </c>
      <c r="I270" s="172">
        <f t="shared" si="12"/>
        <v>217.59047182775998</v>
      </c>
      <c r="J270" s="162">
        <v>44355</v>
      </c>
      <c r="K270" s="6" t="s">
        <v>251</v>
      </c>
      <c r="L270" s="162">
        <v>44355</v>
      </c>
      <c r="M270" s="175" t="s">
        <v>5483</v>
      </c>
      <c r="N270" s="122" t="s">
        <v>1306</v>
      </c>
      <c r="O270" s="6" t="s">
        <v>280</v>
      </c>
      <c r="P270" s="6" t="str">
        <f t="shared" si="13"/>
        <v>Category</v>
      </c>
      <c r="Q270" t="str">
        <f t="shared" si="14"/>
        <v>2021</v>
      </c>
    </row>
    <row r="271" spans="1:17">
      <c r="A271" s="162">
        <v>44355</v>
      </c>
      <c r="B271" s="164" t="s">
        <v>1307</v>
      </c>
      <c r="C271" s="164" t="s">
        <v>319</v>
      </c>
      <c r="D271" s="165" t="s">
        <v>150</v>
      </c>
      <c r="E271" s="79">
        <v>44348</v>
      </c>
      <c r="F271" s="6" t="s">
        <v>16</v>
      </c>
      <c r="G271" s="6" t="s">
        <v>1226</v>
      </c>
      <c r="H271" s="170">
        <v>20000</v>
      </c>
      <c r="I271" s="172">
        <f t="shared" si="12"/>
        <v>229.04260192395787</v>
      </c>
      <c r="J271" s="162">
        <v>44355</v>
      </c>
      <c r="K271" s="6" t="s">
        <v>251</v>
      </c>
      <c r="L271" s="162">
        <v>44355</v>
      </c>
      <c r="M271" s="175" t="s">
        <v>5484</v>
      </c>
      <c r="O271" s="6" t="s">
        <v>280</v>
      </c>
      <c r="P271" s="6" t="str">
        <f t="shared" si="13"/>
        <v>SAFe que</v>
      </c>
      <c r="Q271" t="str">
        <f t="shared" si="14"/>
        <v>2021</v>
      </c>
    </row>
    <row r="272" spans="1:17">
      <c r="A272" s="162">
        <v>44355</v>
      </c>
      <c r="B272" s="164" t="s">
        <v>1309</v>
      </c>
      <c r="C272" s="164" t="s">
        <v>278</v>
      </c>
      <c r="D272" s="164" t="s">
        <v>96</v>
      </c>
      <c r="E272" s="79">
        <v>44348</v>
      </c>
      <c r="F272" s="6" t="s">
        <v>16</v>
      </c>
      <c r="G272" s="6" t="s">
        <v>1202</v>
      </c>
      <c r="H272" s="170">
        <v>19000</v>
      </c>
      <c r="I272" s="172">
        <f t="shared" si="12"/>
        <v>217.59047182775998</v>
      </c>
      <c r="J272" s="162">
        <v>44355</v>
      </c>
      <c r="K272" s="6" t="s">
        <v>251</v>
      </c>
      <c r="L272" s="162">
        <v>44355</v>
      </c>
      <c r="M272" s="175" t="s">
        <v>5485</v>
      </c>
      <c r="O272" s="6" t="s">
        <v>280</v>
      </c>
      <c r="P272" s="6" t="str">
        <f t="shared" si="13"/>
        <v>Category</v>
      </c>
      <c r="Q272" t="str">
        <f t="shared" si="14"/>
        <v>2021</v>
      </c>
    </row>
    <row r="273" spans="1:17">
      <c r="A273" s="162">
        <v>44355</v>
      </c>
      <c r="B273" s="164" t="s">
        <v>1311</v>
      </c>
      <c r="C273" s="164" t="s">
        <v>547</v>
      </c>
      <c r="D273" s="164" t="s">
        <v>96</v>
      </c>
      <c r="E273" s="79">
        <v>44348</v>
      </c>
      <c r="F273" s="6" t="s">
        <v>16</v>
      </c>
      <c r="G273" s="6" t="s">
        <v>1202</v>
      </c>
      <c r="H273" s="170">
        <v>18000</v>
      </c>
      <c r="I273" s="172">
        <f t="shared" si="12"/>
        <v>206.13834173156206</v>
      </c>
      <c r="J273" s="162">
        <v>44355</v>
      </c>
      <c r="K273" s="6" t="s">
        <v>251</v>
      </c>
      <c r="L273" s="162">
        <v>44355</v>
      </c>
      <c r="M273" s="175" t="s">
        <v>5486</v>
      </c>
      <c r="O273" s="6" t="s">
        <v>280</v>
      </c>
      <c r="P273" s="6" t="str">
        <f t="shared" si="13"/>
        <v>Category</v>
      </c>
      <c r="Q273" t="str">
        <f t="shared" si="14"/>
        <v>2021</v>
      </c>
    </row>
    <row r="274" spans="1:17">
      <c r="A274" s="162">
        <v>44355</v>
      </c>
      <c r="B274" s="164" t="s">
        <v>1313</v>
      </c>
      <c r="C274" s="164" t="s">
        <v>343</v>
      </c>
      <c r="D274" s="165" t="s">
        <v>150</v>
      </c>
      <c r="E274" s="79">
        <v>44348</v>
      </c>
      <c r="F274" s="6" t="s">
        <v>16</v>
      </c>
      <c r="G274" s="6" t="s">
        <v>1226</v>
      </c>
      <c r="H274" s="170">
        <v>20500</v>
      </c>
      <c r="I274" s="172">
        <f t="shared" si="12"/>
        <v>234.76866697205682</v>
      </c>
      <c r="J274" s="162">
        <v>44355</v>
      </c>
      <c r="K274" s="6" t="s">
        <v>251</v>
      </c>
      <c r="L274" s="162">
        <v>44356</v>
      </c>
      <c r="M274" s="175" t="s">
        <v>5487</v>
      </c>
      <c r="O274" s="6" t="s">
        <v>280</v>
      </c>
      <c r="P274" s="6" t="str">
        <f t="shared" si="13"/>
        <v>SAFe que</v>
      </c>
      <c r="Q274" t="str">
        <f t="shared" si="14"/>
        <v>2021</v>
      </c>
    </row>
    <row r="275" spans="1:17">
      <c r="A275" s="162">
        <v>44356</v>
      </c>
      <c r="B275" s="164" t="s">
        <v>1315</v>
      </c>
      <c r="C275" s="164" t="s">
        <v>278</v>
      </c>
      <c r="D275" s="164" t="s">
        <v>1317</v>
      </c>
      <c r="E275" s="79">
        <v>44348</v>
      </c>
      <c r="F275" s="6" t="s">
        <v>16</v>
      </c>
      <c r="G275" s="80">
        <v>44348</v>
      </c>
      <c r="H275" s="170">
        <v>4500</v>
      </c>
      <c r="I275" s="172">
        <f t="shared" si="12"/>
        <v>51.534585432890516</v>
      </c>
      <c r="J275" s="162">
        <v>44356</v>
      </c>
      <c r="K275" s="6" t="s">
        <v>251</v>
      </c>
      <c r="L275" s="162">
        <v>44356</v>
      </c>
      <c r="M275" s="175" t="s">
        <v>5488</v>
      </c>
      <c r="O275" s="169" t="s">
        <v>5181</v>
      </c>
      <c r="P275" s="6" t="str">
        <f t="shared" si="13"/>
        <v>NonCategory</v>
      </c>
      <c r="Q275" t="str">
        <f t="shared" si="14"/>
        <v>2021</v>
      </c>
    </row>
    <row r="276" spans="1:17">
      <c r="A276" s="162">
        <v>44357</v>
      </c>
      <c r="B276" s="164" t="s">
        <v>1318</v>
      </c>
      <c r="C276" s="164" t="s">
        <v>319</v>
      </c>
      <c r="D276" s="164" t="s">
        <v>96</v>
      </c>
      <c r="E276" s="79">
        <v>44348</v>
      </c>
      <c r="F276" s="6" t="s">
        <v>16</v>
      </c>
      <c r="G276" s="6" t="s">
        <v>1157</v>
      </c>
      <c r="H276" s="170">
        <v>19000</v>
      </c>
      <c r="I276" s="172">
        <f t="shared" si="12"/>
        <v>217.59047182775998</v>
      </c>
      <c r="J276" s="162">
        <v>44357</v>
      </c>
      <c r="K276" s="6" t="s">
        <v>251</v>
      </c>
      <c r="L276" s="162">
        <v>44357</v>
      </c>
      <c r="M276" s="175" t="s">
        <v>5489</v>
      </c>
      <c r="O276" s="6" t="s">
        <v>356</v>
      </c>
      <c r="P276" s="6" t="str">
        <f t="shared" si="13"/>
        <v>Category</v>
      </c>
      <c r="Q276" t="str">
        <f t="shared" si="14"/>
        <v>2021</v>
      </c>
    </row>
    <row r="277" spans="1:17">
      <c r="A277" s="162">
        <v>44357</v>
      </c>
      <c r="B277" s="164" t="s">
        <v>1261</v>
      </c>
      <c r="C277" s="164" t="s">
        <v>274</v>
      </c>
      <c r="D277" s="164" t="s">
        <v>976</v>
      </c>
      <c r="E277" s="79">
        <v>44348</v>
      </c>
      <c r="F277" s="6" t="s">
        <v>16</v>
      </c>
      <c r="G277" s="80">
        <v>44348</v>
      </c>
      <c r="H277" s="170">
        <v>16000</v>
      </c>
      <c r="I277" s="172">
        <f t="shared" si="12"/>
        <v>183.23408153916631</v>
      </c>
      <c r="J277" s="162">
        <v>44357</v>
      </c>
      <c r="K277" s="6" t="s">
        <v>251</v>
      </c>
      <c r="L277" s="162">
        <v>44357</v>
      </c>
      <c r="M277" s="175" t="s">
        <v>5490</v>
      </c>
      <c r="O277" s="169" t="s">
        <v>5181</v>
      </c>
      <c r="P277" s="6" t="str">
        <f t="shared" si="13"/>
        <v>NonCategory</v>
      </c>
      <c r="Q277" t="str">
        <f t="shared" si="14"/>
        <v>2021</v>
      </c>
    </row>
    <row r="278" spans="1:17">
      <c r="A278" s="162">
        <v>44357</v>
      </c>
      <c r="B278" s="164" t="s">
        <v>1320</v>
      </c>
      <c r="C278" s="164" t="s">
        <v>291</v>
      </c>
      <c r="D278" s="165" t="s">
        <v>150</v>
      </c>
      <c r="E278" s="79">
        <v>44348</v>
      </c>
      <c r="F278" s="6" t="s">
        <v>16</v>
      </c>
      <c r="G278" s="6" t="s">
        <v>1157</v>
      </c>
      <c r="H278" s="170">
        <v>21000</v>
      </c>
      <c r="I278" s="172">
        <f t="shared" si="12"/>
        <v>240.49473202015577</v>
      </c>
      <c r="J278" s="162">
        <v>44357</v>
      </c>
      <c r="K278" s="6" t="s">
        <v>251</v>
      </c>
      <c r="L278" s="162">
        <v>44357</v>
      </c>
      <c r="M278" s="175" t="s">
        <v>5491</v>
      </c>
      <c r="O278" s="6" t="s">
        <v>280</v>
      </c>
      <c r="P278" s="6" t="str">
        <f t="shared" si="13"/>
        <v>SAFe que</v>
      </c>
      <c r="Q278" t="str">
        <f t="shared" si="14"/>
        <v>2021</v>
      </c>
    </row>
    <row r="279" spans="1:17">
      <c r="A279" s="162">
        <v>44357</v>
      </c>
      <c r="B279" s="164" t="s">
        <v>1322</v>
      </c>
      <c r="C279" s="164" t="s">
        <v>278</v>
      </c>
      <c r="D279" s="165" t="s">
        <v>150</v>
      </c>
      <c r="E279" s="79">
        <v>44348</v>
      </c>
      <c r="F279" s="6" t="s">
        <v>16</v>
      </c>
      <c r="G279" s="6" t="s">
        <v>1157</v>
      </c>
      <c r="H279" s="170">
        <v>21000</v>
      </c>
      <c r="I279" s="172">
        <f t="shared" si="12"/>
        <v>240.49473202015577</v>
      </c>
      <c r="J279" s="162">
        <v>44357</v>
      </c>
      <c r="K279" s="6" t="s">
        <v>251</v>
      </c>
      <c r="L279" s="162">
        <v>44357</v>
      </c>
      <c r="M279" s="175" t="s">
        <v>5492</v>
      </c>
      <c r="N279" s="6" t="s">
        <v>1324</v>
      </c>
      <c r="O279" s="6" t="s">
        <v>280</v>
      </c>
      <c r="P279" s="6" t="str">
        <f t="shared" si="13"/>
        <v>SAFe que</v>
      </c>
      <c r="Q279" t="str">
        <f t="shared" si="14"/>
        <v>2021</v>
      </c>
    </row>
    <row r="280" spans="1:17">
      <c r="A280" s="162">
        <v>44358</v>
      </c>
      <c r="B280" s="164" t="s">
        <v>1325</v>
      </c>
      <c r="C280" s="164" t="s">
        <v>291</v>
      </c>
      <c r="D280" s="165" t="s">
        <v>150</v>
      </c>
      <c r="E280" s="79">
        <v>44348</v>
      </c>
      <c r="F280" s="6" t="s">
        <v>16</v>
      </c>
      <c r="G280" s="6" t="s">
        <v>1226</v>
      </c>
      <c r="H280" s="170">
        <v>20500</v>
      </c>
      <c r="I280" s="172">
        <f t="shared" si="12"/>
        <v>234.76866697205682</v>
      </c>
      <c r="J280" s="162">
        <v>44358</v>
      </c>
      <c r="K280" s="6" t="s">
        <v>252</v>
      </c>
      <c r="L280" s="162">
        <v>44358</v>
      </c>
      <c r="M280" s="175" t="s">
        <v>5493</v>
      </c>
      <c r="O280" s="6" t="s">
        <v>280</v>
      </c>
      <c r="P280" s="6" t="str">
        <f t="shared" si="13"/>
        <v>SAFe que</v>
      </c>
      <c r="Q280" t="str">
        <f t="shared" si="14"/>
        <v>2021</v>
      </c>
    </row>
    <row r="281" spans="1:17">
      <c r="A281" s="162">
        <v>44358</v>
      </c>
      <c r="B281" s="164" t="s">
        <v>1327</v>
      </c>
      <c r="C281" s="164" t="s">
        <v>278</v>
      </c>
      <c r="D281" s="164" t="s">
        <v>151</v>
      </c>
      <c r="E281" s="79">
        <v>44348</v>
      </c>
      <c r="F281" s="6" t="s">
        <v>16</v>
      </c>
      <c r="G281" s="6" t="s">
        <v>1226</v>
      </c>
      <c r="H281" s="170">
        <v>20500</v>
      </c>
      <c r="I281" s="172">
        <f t="shared" si="12"/>
        <v>234.76866697205682</v>
      </c>
      <c r="J281" s="162">
        <v>44359</v>
      </c>
      <c r="K281" s="6" t="s">
        <v>252</v>
      </c>
      <c r="L281" s="162">
        <v>44358</v>
      </c>
      <c r="M281" s="175" t="s">
        <v>5494</v>
      </c>
      <c r="O281" s="6" t="s">
        <v>356</v>
      </c>
      <c r="P281" s="6" t="str">
        <f t="shared" si="13"/>
        <v>SAFe que</v>
      </c>
      <c r="Q281" t="str">
        <f t="shared" si="14"/>
        <v>2021</v>
      </c>
    </row>
    <row r="282" spans="1:17">
      <c r="A282" s="162">
        <v>44361</v>
      </c>
      <c r="B282" s="164" t="s">
        <v>1329</v>
      </c>
      <c r="C282" s="164" t="s">
        <v>278</v>
      </c>
      <c r="D282" s="164" t="s">
        <v>96</v>
      </c>
      <c r="E282" s="79">
        <v>44348</v>
      </c>
      <c r="F282" s="6" t="s">
        <v>16</v>
      </c>
      <c r="G282" s="6" t="s">
        <v>1202</v>
      </c>
      <c r="H282" s="170">
        <v>19000</v>
      </c>
      <c r="I282" s="172">
        <f t="shared" si="12"/>
        <v>217.59047182775998</v>
      </c>
      <c r="J282" s="162">
        <v>44361</v>
      </c>
      <c r="K282" s="6" t="s">
        <v>252</v>
      </c>
      <c r="L282" s="162">
        <v>44361</v>
      </c>
      <c r="M282" s="175" t="s">
        <v>5495</v>
      </c>
      <c r="O282" s="6" t="s">
        <v>280</v>
      </c>
      <c r="P282" s="6" t="str">
        <f t="shared" si="13"/>
        <v>Category</v>
      </c>
      <c r="Q282" t="str">
        <f t="shared" si="14"/>
        <v>2021</v>
      </c>
    </row>
    <row r="283" spans="1:17">
      <c r="A283" s="162">
        <v>44361</v>
      </c>
      <c r="B283" s="164" t="s">
        <v>1331</v>
      </c>
      <c r="C283" s="164" t="s">
        <v>278</v>
      </c>
      <c r="D283" s="164" t="s">
        <v>96</v>
      </c>
      <c r="E283" s="79">
        <v>44348</v>
      </c>
      <c r="F283" s="6" t="s">
        <v>16</v>
      </c>
      <c r="G283" s="6" t="s">
        <v>1333</v>
      </c>
      <c r="H283" s="170">
        <v>19000</v>
      </c>
      <c r="I283" s="172">
        <f t="shared" si="12"/>
        <v>217.59047182775998</v>
      </c>
      <c r="J283" s="162">
        <v>44361</v>
      </c>
      <c r="K283" s="6" t="s">
        <v>252</v>
      </c>
      <c r="L283" s="162">
        <v>44361</v>
      </c>
      <c r="M283" s="175" t="s">
        <v>5496</v>
      </c>
      <c r="N283" s="6" t="s">
        <v>1334</v>
      </c>
      <c r="O283" s="6" t="s">
        <v>356</v>
      </c>
      <c r="P283" s="6" t="str">
        <f t="shared" si="13"/>
        <v>Category</v>
      </c>
      <c r="Q283" t="str">
        <f t="shared" si="14"/>
        <v>2021</v>
      </c>
    </row>
    <row r="284" spans="1:17">
      <c r="A284" s="162">
        <v>44361</v>
      </c>
      <c r="B284" s="164" t="s">
        <v>1335</v>
      </c>
      <c r="C284" s="164" t="s">
        <v>291</v>
      </c>
      <c r="D284" s="164" t="s">
        <v>25</v>
      </c>
      <c r="E284" s="79">
        <v>44348</v>
      </c>
      <c r="F284" s="6" t="s">
        <v>16</v>
      </c>
      <c r="G284" s="6" t="s">
        <v>1202</v>
      </c>
      <c r="H284" s="170">
        <v>45000</v>
      </c>
      <c r="I284" s="172">
        <f t="shared" si="12"/>
        <v>515.34585432890515</v>
      </c>
      <c r="J284" s="162">
        <v>44361</v>
      </c>
      <c r="K284" s="6" t="s">
        <v>252</v>
      </c>
      <c r="L284" s="162">
        <v>44361</v>
      </c>
      <c r="M284" s="175" t="s">
        <v>5497</v>
      </c>
      <c r="O284" s="6" t="s">
        <v>356</v>
      </c>
      <c r="P284" s="6" t="str">
        <f t="shared" si="13"/>
        <v>SAFe que</v>
      </c>
      <c r="Q284" t="str">
        <f t="shared" si="14"/>
        <v>2021</v>
      </c>
    </row>
    <row r="285" spans="1:17">
      <c r="A285" s="162">
        <v>44363</v>
      </c>
      <c r="B285" s="164" t="s">
        <v>1337</v>
      </c>
      <c r="C285" s="164" t="s">
        <v>319</v>
      </c>
      <c r="D285" s="164" t="s">
        <v>7</v>
      </c>
      <c r="E285" s="79">
        <v>44348</v>
      </c>
      <c r="F285" s="6" t="s">
        <v>16</v>
      </c>
      <c r="G285" s="6" t="s">
        <v>1202</v>
      </c>
      <c r="H285" s="170">
        <v>45000</v>
      </c>
      <c r="I285" s="172">
        <f t="shared" si="12"/>
        <v>515.34585432890515</v>
      </c>
      <c r="J285" s="162">
        <v>44363</v>
      </c>
      <c r="K285" s="6" t="s">
        <v>252</v>
      </c>
      <c r="L285" s="162">
        <v>44363</v>
      </c>
      <c r="M285" s="175" t="s">
        <v>5498</v>
      </c>
      <c r="O285" s="6" t="s">
        <v>280</v>
      </c>
      <c r="P285" s="6" t="str">
        <f t="shared" si="13"/>
        <v>SAFe que</v>
      </c>
      <c r="Q285" t="str">
        <f t="shared" si="14"/>
        <v>2021</v>
      </c>
    </row>
    <row r="286" spans="1:17">
      <c r="A286" s="162">
        <v>44356</v>
      </c>
      <c r="B286" s="164" t="s">
        <v>1315</v>
      </c>
      <c r="C286" s="164" t="s">
        <v>278</v>
      </c>
      <c r="D286" s="164" t="s">
        <v>1317</v>
      </c>
      <c r="E286" s="79">
        <v>44348</v>
      </c>
      <c r="F286" s="6" t="s">
        <v>16</v>
      </c>
      <c r="G286" s="80">
        <v>44348</v>
      </c>
      <c r="H286" s="170">
        <v>25500</v>
      </c>
      <c r="I286" s="172">
        <f t="shared" si="12"/>
        <v>292.0293174530463</v>
      </c>
      <c r="J286" s="162">
        <v>44363</v>
      </c>
      <c r="K286" s="6" t="s">
        <v>252</v>
      </c>
      <c r="L286" s="162">
        <v>44363</v>
      </c>
      <c r="M286" s="175" t="s">
        <v>5499</v>
      </c>
      <c r="O286" s="169" t="s">
        <v>5181</v>
      </c>
      <c r="P286" s="6" t="str">
        <f t="shared" si="13"/>
        <v>NonCategory</v>
      </c>
      <c r="Q286" t="str">
        <f t="shared" si="14"/>
        <v>2021</v>
      </c>
    </row>
    <row r="287" spans="1:17">
      <c r="A287" s="162">
        <v>44364</v>
      </c>
      <c r="B287" s="164" t="s">
        <v>1343</v>
      </c>
      <c r="C287" s="164" t="s">
        <v>319</v>
      </c>
      <c r="D287" s="164" t="s">
        <v>96</v>
      </c>
      <c r="E287" s="79">
        <v>44348</v>
      </c>
      <c r="F287" s="6" t="s">
        <v>16</v>
      </c>
      <c r="G287" s="6" t="s">
        <v>1202</v>
      </c>
      <c r="H287" s="170">
        <v>20000</v>
      </c>
      <c r="I287" s="172">
        <f t="shared" si="12"/>
        <v>229.04260192395787</v>
      </c>
      <c r="J287" s="162">
        <v>44364</v>
      </c>
      <c r="K287" s="6" t="s">
        <v>252</v>
      </c>
      <c r="L287" s="162">
        <v>44364</v>
      </c>
      <c r="M287" s="175" t="s">
        <v>5500</v>
      </c>
      <c r="O287" s="6" t="s">
        <v>280</v>
      </c>
      <c r="P287" s="6" t="str">
        <f t="shared" si="13"/>
        <v>Category</v>
      </c>
      <c r="Q287" t="str">
        <f t="shared" si="14"/>
        <v>2021</v>
      </c>
    </row>
    <row r="288" spans="1:17">
      <c r="A288" s="162">
        <v>44375</v>
      </c>
      <c r="B288" s="164" t="s">
        <v>831</v>
      </c>
      <c r="C288" s="164" t="s">
        <v>278</v>
      </c>
      <c r="D288" s="164" t="s">
        <v>96</v>
      </c>
      <c r="E288" s="79">
        <v>44348</v>
      </c>
      <c r="F288" s="6" t="s">
        <v>16</v>
      </c>
      <c r="G288" s="6" t="s">
        <v>1345</v>
      </c>
      <c r="H288" s="170">
        <v>19300</v>
      </c>
      <c r="I288" s="172">
        <f t="shared" si="12"/>
        <v>221.02611085661934</v>
      </c>
      <c r="J288" s="162">
        <v>44375</v>
      </c>
      <c r="K288" s="6" t="s">
        <v>253</v>
      </c>
      <c r="L288" s="162">
        <v>44376</v>
      </c>
      <c r="M288" s="175" t="s">
        <v>5501</v>
      </c>
      <c r="O288" s="6" t="s">
        <v>280</v>
      </c>
      <c r="P288" s="6" t="str">
        <f t="shared" si="13"/>
        <v>Category</v>
      </c>
      <c r="Q288" t="str">
        <f t="shared" si="14"/>
        <v>2021</v>
      </c>
    </row>
    <row r="289" spans="1:17">
      <c r="A289" s="162">
        <v>44364</v>
      </c>
      <c r="B289" s="164" t="s">
        <v>996</v>
      </c>
      <c r="C289" s="164" t="s">
        <v>278</v>
      </c>
      <c r="D289" s="164" t="s">
        <v>150</v>
      </c>
      <c r="E289" s="79">
        <v>44348</v>
      </c>
      <c r="F289" s="6" t="s">
        <v>16</v>
      </c>
      <c r="G289" s="6" t="s">
        <v>1157</v>
      </c>
      <c r="H289" s="170">
        <v>20000</v>
      </c>
      <c r="I289" s="172">
        <f t="shared" si="12"/>
        <v>229.04260192395787</v>
      </c>
      <c r="J289" s="162">
        <v>44364</v>
      </c>
      <c r="K289" s="6" t="s">
        <v>252</v>
      </c>
      <c r="L289" s="162">
        <v>44364</v>
      </c>
      <c r="M289" s="175" t="s">
        <v>5502</v>
      </c>
      <c r="O289" s="6" t="s">
        <v>280</v>
      </c>
      <c r="P289" s="6" t="str">
        <f t="shared" si="13"/>
        <v>SAFe que</v>
      </c>
      <c r="Q289" t="str">
        <f t="shared" si="14"/>
        <v>2021</v>
      </c>
    </row>
    <row r="290" spans="1:17">
      <c r="A290" s="163">
        <v>44252</v>
      </c>
      <c r="B290" s="165" t="s">
        <v>1347</v>
      </c>
      <c r="C290" s="165" t="s">
        <v>306</v>
      </c>
      <c r="D290" s="165" t="s">
        <v>97</v>
      </c>
      <c r="E290" s="79">
        <v>44348</v>
      </c>
      <c r="F290" s="6" t="s">
        <v>16</v>
      </c>
      <c r="G290" s="6" t="s">
        <v>1349</v>
      </c>
      <c r="H290" s="170">
        <v>19000</v>
      </c>
      <c r="I290" s="172">
        <f t="shared" si="12"/>
        <v>217.59047182775998</v>
      </c>
      <c r="J290" s="162">
        <v>44254</v>
      </c>
      <c r="K290" s="6" t="s">
        <v>252</v>
      </c>
      <c r="L290" s="174">
        <v>44379</v>
      </c>
      <c r="M290" s="175" t="s">
        <v>5503</v>
      </c>
      <c r="O290" s="6" t="s">
        <v>356</v>
      </c>
      <c r="P290" s="6" t="str">
        <f t="shared" si="13"/>
        <v>Category</v>
      </c>
      <c r="Q290" t="str">
        <f t="shared" si="14"/>
        <v>2021</v>
      </c>
    </row>
    <row r="291" spans="1:17">
      <c r="A291" s="162">
        <v>44367</v>
      </c>
      <c r="B291" s="164" t="s">
        <v>1350</v>
      </c>
      <c r="C291" s="164" t="s">
        <v>319</v>
      </c>
      <c r="D291" s="164" t="s">
        <v>7</v>
      </c>
      <c r="E291" s="79">
        <v>44348</v>
      </c>
      <c r="F291" s="6" t="s">
        <v>16</v>
      </c>
      <c r="G291" s="6" t="s">
        <v>1202</v>
      </c>
      <c r="H291" s="170">
        <v>45000</v>
      </c>
      <c r="I291" s="172">
        <f t="shared" si="12"/>
        <v>515.34585432890515</v>
      </c>
      <c r="J291" s="162">
        <v>44368</v>
      </c>
      <c r="K291" s="6" t="s">
        <v>253</v>
      </c>
      <c r="L291" s="162">
        <v>44368</v>
      </c>
      <c r="M291" s="175" t="s">
        <v>5504</v>
      </c>
      <c r="O291" s="6" t="s">
        <v>356</v>
      </c>
      <c r="P291" s="6" t="str">
        <f t="shared" si="13"/>
        <v>SAFe que</v>
      </c>
      <c r="Q291" t="str">
        <f t="shared" si="14"/>
        <v>2021</v>
      </c>
    </row>
    <row r="292" spans="1:17">
      <c r="A292" s="162">
        <v>44368</v>
      </c>
      <c r="B292" s="164" t="s">
        <v>1352</v>
      </c>
      <c r="C292" s="164" t="s">
        <v>319</v>
      </c>
      <c r="D292" s="164" t="s">
        <v>150</v>
      </c>
      <c r="E292" s="79">
        <v>44348</v>
      </c>
      <c r="F292" s="6" t="s">
        <v>16</v>
      </c>
      <c r="G292" s="6" t="s">
        <v>1354</v>
      </c>
      <c r="H292" s="170">
        <v>21000</v>
      </c>
      <c r="I292" s="172">
        <f t="shared" si="12"/>
        <v>240.49473202015577</v>
      </c>
      <c r="J292" s="162">
        <v>44369</v>
      </c>
      <c r="K292" s="6" t="s">
        <v>253</v>
      </c>
      <c r="L292" s="162">
        <v>44369</v>
      </c>
      <c r="M292" s="175" t="s">
        <v>5505</v>
      </c>
      <c r="O292" s="6" t="s">
        <v>356</v>
      </c>
      <c r="P292" s="6" t="str">
        <f t="shared" si="13"/>
        <v>SAFe que</v>
      </c>
      <c r="Q292" t="str">
        <f t="shared" si="14"/>
        <v>2021</v>
      </c>
    </row>
    <row r="293" spans="1:17">
      <c r="A293" s="162">
        <v>44375</v>
      </c>
      <c r="B293" s="164" t="s">
        <v>1355</v>
      </c>
      <c r="C293" s="164" t="s">
        <v>278</v>
      </c>
      <c r="D293" s="164" t="s">
        <v>96</v>
      </c>
      <c r="E293" s="79">
        <v>44348</v>
      </c>
      <c r="F293" s="6" t="s">
        <v>16</v>
      </c>
      <c r="G293" s="6" t="s">
        <v>1345</v>
      </c>
      <c r="H293" s="170">
        <v>19300</v>
      </c>
      <c r="I293" s="172">
        <f t="shared" si="12"/>
        <v>221.02611085661934</v>
      </c>
      <c r="J293" s="162">
        <v>44375</v>
      </c>
      <c r="K293" s="6" t="s">
        <v>253</v>
      </c>
      <c r="L293" s="162">
        <v>44376</v>
      </c>
      <c r="M293" s="175" t="s">
        <v>5506</v>
      </c>
      <c r="O293" s="6" t="s">
        <v>356</v>
      </c>
      <c r="P293" s="6" t="str">
        <f t="shared" si="13"/>
        <v>Category</v>
      </c>
      <c r="Q293" t="str">
        <f t="shared" si="14"/>
        <v>2021</v>
      </c>
    </row>
    <row r="294" spans="1:17">
      <c r="A294" s="162">
        <v>44370</v>
      </c>
      <c r="B294" s="164" t="s">
        <v>1357</v>
      </c>
      <c r="C294" s="164" t="s">
        <v>291</v>
      </c>
      <c r="D294" s="164" t="s">
        <v>1698</v>
      </c>
      <c r="E294" s="79">
        <v>44348</v>
      </c>
      <c r="F294" s="6" t="s">
        <v>16</v>
      </c>
      <c r="G294" s="80">
        <v>44348</v>
      </c>
      <c r="H294" s="170">
        <v>37000</v>
      </c>
      <c r="I294" s="172">
        <f t="shared" si="12"/>
        <v>423.72881355932202</v>
      </c>
      <c r="J294" s="162">
        <v>44370</v>
      </c>
      <c r="K294" s="6" t="s">
        <v>253</v>
      </c>
      <c r="L294" s="162">
        <v>44369</v>
      </c>
      <c r="M294" s="175" t="s">
        <v>5507</v>
      </c>
      <c r="O294" s="6" t="s">
        <v>356</v>
      </c>
      <c r="P294" s="6" t="str">
        <f t="shared" si="13"/>
        <v>NonCategory</v>
      </c>
      <c r="Q294" t="str">
        <f t="shared" si="14"/>
        <v>2021</v>
      </c>
    </row>
    <row r="295" spans="1:17">
      <c r="A295" s="162">
        <v>44372</v>
      </c>
      <c r="B295" s="164" t="s">
        <v>1360</v>
      </c>
      <c r="C295" s="164" t="s">
        <v>303</v>
      </c>
      <c r="D295" s="164" t="s">
        <v>14</v>
      </c>
      <c r="E295" s="79">
        <v>44348</v>
      </c>
      <c r="F295" s="6" t="s">
        <v>16</v>
      </c>
      <c r="G295" s="6" t="s">
        <v>1362</v>
      </c>
      <c r="H295" s="170">
        <v>31000</v>
      </c>
      <c r="I295" s="172">
        <f t="shared" si="12"/>
        <v>355.01603298213467</v>
      </c>
      <c r="J295" s="162">
        <v>44372</v>
      </c>
      <c r="K295" s="6" t="s">
        <v>253</v>
      </c>
      <c r="L295" s="162">
        <v>44372</v>
      </c>
      <c r="M295" s="175" t="s">
        <v>5508</v>
      </c>
      <c r="O295" s="6" t="s">
        <v>356</v>
      </c>
      <c r="P295" s="6" t="str">
        <f t="shared" si="13"/>
        <v>SAFe que</v>
      </c>
      <c r="Q295" t="str">
        <f t="shared" si="14"/>
        <v>2021</v>
      </c>
    </row>
    <row r="296" spans="1:17">
      <c r="A296" s="162">
        <v>44365</v>
      </c>
      <c r="B296" s="164" t="s">
        <v>1363</v>
      </c>
      <c r="C296" s="164" t="s">
        <v>278</v>
      </c>
      <c r="D296" s="164" t="s">
        <v>150</v>
      </c>
      <c r="E296" s="79">
        <v>44348</v>
      </c>
      <c r="F296" s="6" t="s">
        <v>16</v>
      </c>
      <c r="G296" s="6" t="s">
        <v>1349</v>
      </c>
      <c r="H296" s="170">
        <v>21000</v>
      </c>
      <c r="I296" s="172">
        <f t="shared" si="12"/>
        <v>240.49473202015577</v>
      </c>
      <c r="J296" s="162">
        <v>44365</v>
      </c>
      <c r="K296" s="6" t="s">
        <v>252</v>
      </c>
      <c r="L296" s="162">
        <v>44365</v>
      </c>
      <c r="M296" s="175" t="s">
        <v>5509</v>
      </c>
      <c r="O296" s="6" t="s">
        <v>280</v>
      </c>
      <c r="P296" s="6" t="str">
        <f t="shared" si="13"/>
        <v>SAFe que</v>
      </c>
      <c r="Q296" t="str">
        <f t="shared" si="14"/>
        <v>2021</v>
      </c>
    </row>
    <row r="297" spans="1:17">
      <c r="A297" s="162">
        <v>44373</v>
      </c>
      <c r="B297" s="164" t="s">
        <v>1368</v>
      </c>
      <c r="C297" s="164" t="s">
        <v>319</v>
      </c>
      <c r="D297" s="164" t="s">
        <v>150</v>
      </c>
      <c r="E297" s="79">
        <v>44348</v>
      </c>
      <c r="F297" s="6" t="s">
        <v>16</v>
      </c>
      <c r="G297" s="6" t="s">
        <v>1349</v>
      </c>
      <c r="H297" s="170">
        <v>21000</v>
      </c>
      <c r="I297" s="172">
        <f t="shared" si="12"/>
        <v>240.49473202015577</v>
      </c>
      <c r="J297" s="162">
        <v>44373</v>
      </c>
      <c r="K297" s="6" t="s">
        <v>253</v>
      </c>
      <c r="L297" s="162">
        <v>44373</v>
      </c>
      <c r="M297" s="175" t="s">
        <v>5510</v>
      </c>
      <c r="O297" s="6" t="s">
        <v>280</v>
      </c>
      <c r="P297" s="6" t="str">
        <f t="shared" si="13"/>
        <v>SAFe que</v>
      </c>
      <c r="Q297" t="str">
        <f t="shared" si="14"/>
        <v>2021</v>
      </c>
    </row>
    <row r="298" spans="1:17">
      <c r="A298" s="162">
        <v>44375</v>
      </c>
      <c r="B298" s="164" t="s">
        <v>1370</v>
      </c>
      <c r="C298" s="164" t="s">
        <v>278</v>
      </c>
      <c r="D298" s="164" t="s">
        <v>96</v>
      </c>
      <c r="E298" s="79">
        <v>44348</v>
      </c>
      <c r="F298" s="6" t="s">
        <v>16</v>
      </c>
      <c r="G298" s="6" t="s">
        <v>1345</v>
      </c>
      <c r="H298" s="170">
        <v>19300</v>
      </c>
      <c r="I298" s="172">
        <f t="shared" si="12"/>
        <v>221.02611085661934</v>
      </c>
      <c r="J298" s="162">
        <v>44375</v>
      </c>
      <c r="K298" s="6" t="s">
        <v>253</v>
      </c>
      <c r="L298" s="162">
        <v>44376</v>
      </c>
      <c r="M298" s="175" t="s">
        <v>5511</v>
      </c>
      <c r="O298" s="6" t="s">
        <v>280</v>
      </c>
      <c r="P298" s="6" t="str">
        <f t="shared" si="13"/>
        <v>Category</v>
      </c>
      <c r="Q298" t="str">
        <f t="shared" si="14"/>
        <v>2021</v>
      </c>
    </row>
    <row r="299" spans="1:17">
      <c r="A299" s="162">
        <v>44375</v>
      </c>
      <c r="B299" s="164" t="s">
        <v>1372</v>
      </c>
      <c r="C299" s="164" t="s">
        <v>297</v>
      </c>
      <c r="D299" s="164" t="s">
        <v>150</v>
      </c>
      <c r="E299" s="79">
        <v>44348</v>
      </c>
      <c r="F299" s="6" t="s">
        <v>16</v>
      </c>
      <c r="G299" s="6" t="s">
        <v>1374</v>
      </c>
      <c r="H299" s="170">
        <v>21000</v>
      </c>
      <c r="I299" s="172">
        <f t="shared" si="12"/>
        <v>240.49473202015577</v>
      </c>
      <c r="J299" s="162">
        <v>44375</v>
      </c>
      <c r="K299" s="6" t="s">
        <v>253</v>
      </c>
      <c r="L299" s="162">
        <v>44375</v>
      </c>
      <c r="M299" s="175" t="s">
        <v>5512</v>
      </c>
      <c r="O299" s="6" t="s">
        <v>356</v>
      </c>
      <c r="P299" s="6" t="str">
        <f t="shared" si="13"/>
        <v>SAFe que</v>
      </c>
      <c r="Q299" t="str">
        <f t="shared" si="14"/>
        <v>2021</v>
      </c>
    </row>
    <row r="300" spans="1:17">
      <c r="A300" s="162">
        <v>44377</v>
      </c>
      <c r="B300" s="164" t="s">
        <v>1375</v>
      </c>
      <c r="C300" s="164" t="s">
        <v>278</v>
      </c>
      <c r="D300" s="164" t="s">
        <v>96</v>
      </c>
      <c r="E300" s="79">
        <v>44348</v>
      </c>
      <c r="F300" s="6" t="s">
        <v>16</v>
      </c>
      <c r="G300" s="6" t="s">
        <v>1345</v>
      </c>
      <c r="H300" s="170">
        <v>19000</v>
      </c>
      <c r="I300" s="172">
        <f t="shared" si="12"/>
        <v>217.59047182775998</v>
      </c>
      <c r="J300" s="162">
        <v>44377</v>
      </c>
      <c r="K300" s="6" t="s">
        <v>253</v>
      </c>
      <c r="L300" s="162">
        <v>44377</v>
      </c>
      <c r="M300" s="175" t="s">
        <v>5513</v>
      </c>
      <c r="O300" s="6" t="s">
        <v>280</v>
      </c>
      <c r="P300" s="6" t="str">
        <f t="shared" si="13"/>
        <v>Category</v>
      </c>
      <c r="Q300" t="str">
        <f t="shared" si="14"/>
        <v>2021</v>
      </c>
    </row>
    <row r="301" spans="1:17">
      <c r="A301" s="162">
        <v>44378</v>
      </c>
      <c r="B301" s="164" t="s">
        <v>1377</v>
      </c>
      <c r="C301" s="164" t="s">
        <v>297</v>
      </c>
      <c r="D301" s="164" t="s">
        <v>96</v>
      </c>
      <c r="E301" s="79">
        <v>44378</v>
      </c>
      <c r="F301" s="6" t="s">
        <v>16</v>
      </c>
      <c r="G301" s="6" t="s">
        <v>1345</v>
      </c>
      <c r="H301" s="170">
        <v>19000</v>
      </c>
      <c r="I301" s="172">
        <f t="shared" si="12"/>
        <v>217.59047182775998</v>
      </c>
      <c r="J301" s="162">
        <v>44378</v>
      </c>
      <c r="K301" s="6" t="s">
        <v>251</v>
      </c>
      <c r="L301" s="162">
        <v>44378</v>
      </c>
      <c r="M301" s="175" t="s">
        <v>5514</v>
      </c>
      <c r="O301" s="6" t="s">
        <v>280</v>
      </c>
      <c r="P301" s="6" t="str">
        <f t="shared" si="13"/>
        <v>Category</v>
      </c>
      <c r="Q301" t="str">
        <f t="shared" si="14"/>
        <v>2021</v>
      </c>
    </row>
    <row r="302" spans="1:17">
      <c r="A302" s="162">
        <v>44382</v>
      </c>
      <c r="B302" s="165" t="s">
        <v>1379</v>
      </c>
      <c r="C302" s="165" t="s">
        <v>319</v>
      </c>
      <c r="D302" s="165" t="s">
        <v>150</v>
      </c>
      <c r="E302" s="79">
        <v>44378</v>
      </c>
      <c r="F302" s="6" t="s">
        <v>16</v>
      </c>
      <c r="G302" s="6" t="s">
        <v>1345</v>
      </c>
      <c r="H302" s="170">
        <v>21000</v>
      </c>
      <c r="I302" s="172">
        <f t="shared" si="12"/>
        <v>240.49473202015577</v>
      </c>
      <c r="J302" s="162">
        <v>44382</v>
      </c>
      <c r="K302" s="6" t="s">
        <v>251</v>
      </c>
      <c r="L302" s="162">
        <v>44382</v>
      </c>
      <c r="M302" s="175" t="s">
        <v>5515</v>
      </c>
      <c r="O302" s="6" t="s">
        <v>280</v>
      </c>
      <c r="P302" s="6" t="str">
        <f t="shared" si="13"/>
        <v>SAFe que</v>
      </c>
      <c r="Q302" t="str">
        <f t="shared" si="14"/>
        <v>2021</v>
      </c>
    </row>
    <row r="303" spans="1:17">
      <c r="A303" s="162">
        <v>44384</v>
      </c>
      <c r="B303" s="164" t="s">
        <v>1381</v>
      </c>
      <c r="C303" s="164" t="s">
        <v>495</v>
      </c>
      <c r="D303" s="164" t="s">
        <v>150</v>
      </c>
      <c r="E303" s="79">
        <v>44378</v>
      </c>
      <c r="F303" s="6" t="s">
        <v>16</v>
      </c>
      <c r="G303" s="6" t="s">
        <v>1345</v>
      </c>
      <c r="H303" s="170">
        <v>20500</v>
      </c>
      <c r="I303" s="172">
        <f t="shared" si="12"/>
        <v>234.76866697205682</v>
      </c>
      <c r="J303" s="162">
        <v>44384</v>
      </c>
      <c r="K303" s="6" t="s">
        <v>251</v>
      </c>
      <c r="L303" s="162">
        <v>44384</v>
      </c>
      <c r="M303" s="175" t="s">
        <v>5516</v>
      </c>
      <c r="O303" s="6" t="s">
        <v>280</v>
      </c>
      <c r="P303" s="6" t="str">
        <f t="shared" si="13"/>
        <v>SAFe que</v>
      </c>
      <c r="Q303" t="str">
        <f t="shared" si="14"/>
        <v>2021</v>
      </c>
    </row>
    <row r="304" spans="1:17">
      <c r="A304" s="162">
        <v>44377</v>
      </c>
      <c r="B304" s="164" t="s">
        <v>1383</v>
      </c>
      <c r="C304" s="164" t="s">
        <v>303</v>
      </c>
      <c r="D304" s="164" t="s">
        <v>538</v>
      </c>
      <c r="E304" s="123">
        <v>44440</v>
      </c>
      <c r="F304" s="6" t="s">
        <v>16</v>
      </c>
      <c r="G304" s="80">
        <v>44378</v>
      </c>
      <c r="H304" s="170">
        <v>12500</v>
      </c>
      <c r="I304" s="172">
        <f t="shared" si="12"/>
        <v>143.15162620247366</v>
      </c>
      <c r="J304" s="162">
        <v>44377</v>
      </c>
      <c r="K304" s="6" t="s">
        <v>252</v>
      </c>
      <c r="L304" s="162">
        <v>44453</v>
      </c>
      <c r="M304" s="175" t="s">
        <v>5517</v>
      </c>
      <c r="O304" s="6" t="s">
        <v>356</v>
      </c>
      <c r="P304" s="6" t="str">
        <f t="shared" si="13"/>
        <v>NonCategory</v>
      </c>
      <c r="Q304" t="str">
        <f t="shared" si="14"/>
        <v>2021</v>
      </c>
    </row>
    <row r="305" spans="1:17">
      <c r="A305" s="162">
        <v>44371</v>
      </c>
      <c r="B305" s="164" t="s">
        <v>1387</v>
      </c>
      <c r="C305" s="164" t="s">
        <v>274</v>
      </c>
      <c r="D305" s="164" t="s">
        <v>151</v>
      </c>
      <c r="E305" s="79">
        <v>44348</v>
      </c>
      <c r="F305" s="6" t="s">
        <v>16</v>
      </c>
      <c r="G305" s="6" t="s">
        <v>1049</v>
      </c>
      <c r="H305" s="170">
        <v>20000</v>
      </c>
      <c r="I305" s="172">
        <f t="shared" si="12"/>
        <v>229.04260192395787</v>
      </c>
      <c r="J305" s="162">
        <v>44371</v>
      </c>
      <c r="K305" s="6" t="s">
        <v>253</v>
      </c>
      <c r="L305" s="162">
        <v>44376</v>
      </c>
      <c r="M305" s="175" t="s">
        <v>5518</v>
      </c>
      <c r="O305" s="6" t="s">
        <v>280</v>
      </c>
      <c r="P305" s="6" t="str">
        <f t="shared" si="13"/>
        <v>SAFe que</v>
      </c>
      <c r="Q305" t="str">
        <f t="shared" si="14"/>
        <v>2021</v>
      </c>
    </row>
    <row r="306" spans="1:17">
      <c r="A306" s="162">
        <v>44378</v>
      </c>
      <c r="B306" s="164" t="s">
        <v>1389</v>
      </c>
      <c r="C306" s="164" t="s">
        <v>319</v>
      </c>
      <c r="D306" s="164" t="s">
        <v>150</v>
      </c>
      <c r="E306" s="79">
        <v>44378</v>
      </c>
      <c r="F306" s="6" t="s">
        <v>16</v>
      </c>
      <c r="G306" s="6" t="s">
        <v>1349</v>
      </c>
      <c r="H306" s="170">
        <v>21000</v>
      </c>
      <c r="I306" s="172">
        <f t="shared" si="12"/>
        <v>240.49473202015577</v>
      </c>
      <c r="J306" s="162">
        <v>44378</v>
      </c>
      <c r="K306" s="6" t="s">
        <v>251</v>
      </c>
      <c r="L306" s="162">
        <v>44378</v>
      </c>
      <c r="M306" s="175" t="s">
        <v>5519</v>
      </c>
      <c r="O306" s="6" t="s">
        <v>280</v>
      </c>
      <c r="P306" s="6" t="str">
        <f t="shared" si="13"/>
        <v>SAFe que</v>
      </c>
      <c r="Q306" t="str">
        <f t="shared" si="14"/>
        <v>2021</v>
      </c>
    </row>
    <row r="307" spans="1:17">
      <c r="A307" s="162">
        <v>44369</v>
      </c>
      <c r="B307" s="164" t="s">
        <v>1391</v>
      </c>
      <c r="C307" s="164" t="s">
        <v>303</v>
      </c>
      <c r="D307" s="164" t="s">
        <v>25</v>
      </c>
      <c r="E307" s="79">
        <v>44348</v>
      </c>
      <c r="F307" s="6" t="s">
        <v>16</v>
      </c>
      <c r="G307" s="6" t="s">
        <v>1345</v>
      </c>
      <c r="H307" s="170">
        <v>45000</v>
      </c>
      <c r="I307" s="172">
        <f t="shared" si="12"/>
        <v>515.34585432890515</v>
      </c>
      <c r="J307" s="162">
        <v>44369</v>
      </c>
      <c r="K307" s="6" t="s">
        <v>253</v>
      </c>
      <c r="L307" s="162">
        <v>44369</v>
      </c>
      <c r="M307" s="175" t="s">
        <v>5520</v>
      </c>
      <c r="O307" s="6" t="s">
        <v>280</v>
      </c>
      <c r="P307" s="6" t="str">
        <f t="shared" si="13"/>
        <v>SAFe que</v>
      </c>
      <c r="Q307" t="str">
        <f t="shared" si="14"/>
        <v>2021</v>
      </c>
    </row>
    <row r="308" spans="1:17">
      <c r="A308" s="162">
        <v>44384</v>
      </c>
      <c r="B308" s="165" t="s">
        <v>1393</v>
      </c>
      <c r="C308" s="165" t="s">
        <v>291</v>
      </c>
      <c r="D308" s="164" t="s">
        <v>25</v>
      </c>
      <c r="E308" s="79">
        <v>44378</v>
      </c>
      <c r="F308" s="6" t="s">
        <v>16</v>
      </c>
      <c r="G308" s="6" t="s">
        <v>1345</v>
      </c>
      <c r="H308" s="170">
        <v>45000</v>
      </c>
      <c r="I308" s="172">
        <f t="shared" si="12"/>
        <v>515.34585432890515</v>
      </c>
      <c r="J308" s="162">
        <v>44384</v>
      </c>
      <c r="K308" s="6" t="s">
        <v>251</v>
      </c>
      <c r="L308" s="162">
        <v>44384</v>
      </c>
      <c r="M308" s="175" t="s">
        <v>5521</v>
      </c>
      <c r="O308" s="6" t="s">
        <v>280</v>
      </c>
      <c r="P308" s="6" t="str">
        <f t="shared" si="13"/>
        <v>SAFe que</v>
      </c>
      <c r="Q308" t="str">
        <f t="shared" si="14"/>
        <v>2021</v>
      </c>
    </row>
    <row r="309" spans="1:17">
      <c r="A309" s="162">
        <v>44380</v>
      </c>
      <c r="B309" s="164" t="s">
        <v>1397</v>
      </c>
      <c r="C309" s="164" t="s">
        <v>319</v>
      </c>
      <c r="D309" s="164" t="s">
        <v>150</v>
      </c>
      <c r="E309" s="79">
        <v>44378</v>
      </c>
      <c r="F309" s="6" t="s">
        <v>16</v>
      </c>
      <c r="G309" s="6" t="s">
        <v>48</v>
      </c>
      <c r="H309" s="170">
        <v>21000</v>
      </c>
      <c r="I309" s="172">
        <f t="shared" si="12"/>
        <v>240.49473202015577</v>
      </c>
      <c r="J309" s="162">
        <v>44380</v>
      </c>
      <c r="K309" s="6" t="s">
        <v>251</v>
      </c>
      <c r="L309" s="162">
        <v>44385</v>
      </c>
      <c r="M309" s="175" t="s">
        <v>5522</v>
      </c>
      <c r="O309" s="6" t="s">
        <v>280</v>
      </c>
      <c r="P309" s="6" t="str">
        <f t="shared" si="13"/>
        <v>SAFe que</v>
      </c>
      <c r="Q309" t="str">
        <f t="shared" si="14"/>
        <v>2021</v>
      </c>
    </row>
    <row r="310" spans="1:17">
      <c r="A310" s="162">
        <v>44385</v>
      </c>
      <c r="B310" s="164" t="s">
        <v>1399</v>
      </c>
      <c r="C310" s="164" t="s">
        <v>303</v>
      </c>
      <c r="D310" s="164" t="s">
        <v>25</v>
      </c>
      <c r="E310" s="79">
        <v>44378</v>
      </c>
      <c r="F310" s="6" t="s">
        <v>16</v>
      </c>
      <c r="G310" s="6" t="s">
        <v>1345</v>
      </c>
      <c r="H310" s="170">
        <v>45000</v>
      </c>
      <c r="I310" s="172">
        <f t="shared" si="12"/>
        <v>515.34585432890515</v>
      </c>
      <c r="J310" s="162">
        <v>44385</v>
      </c>
      <c r="K310" s="6" t="s">
        <v>251</v>
      </c>
      <c r="L310" s="162">
        <v>44385</v>
      </c>
      <c r="M310" s="175" t="s">
        <v>5523</v>
      </c>
      <c r="O310" s="6" t="s">
        <v>280</v>
      </c>
      <c r="P310" s="6" t="str">
        <f t="shared" si="13"/>
        <v>SAFe que</v>
      </c>
      <c r="Q310" t="str">
        <f t="shared" si="14"/>
        <v>2021</v>
      </c>
    </row>
    <row r="311" spans="1:17">
      <c r="A311" s="162">
        <v>44364</v>
      </c>
      <c r="B311" s="164" t="s">
        <v>1401</v>
      </c>
      <c r="C311" s="164" t="s">
        <v>287</v>
      </c>
      <c r="D311" s="164" t="s">
        <v>6</v>
      </c>
      <c r="E311" s="79">
        <v>44348</v>
      </c>
      <c r="F311" s="6" t="s">
        <v>16</v>
      </c>
      <c r="G311" s="6" t="s">
        <v>1345</v>
      </c>
      <c r="H311" s="170">
        <v>47000</v>
      </c>
      <c r="I311" s="172">
        <f t="shared" si="12"/>
        <v>538.25011452130093</v>
      </c>
      <c r="J311" s="162">
        <v>44364</v>
      </c>
      <c r="K311" s="6" t="s">
        <v>252</v>
      </c>
      <c r="L311" s="162">
        <v>44364</v>
      </c>
      <c r="M311" s="175" t="s">
        <v>5524</v>
      </c>
      <c r="O311" s="6" t="s">
        <v>356</v>
      </c>
      <c r="P311" s="6" t="str">
        <f t="shared" si="13"/>
        <v>SAFe que</v>
      </c>
      <c r="Q311" t="str">
        <f t="shared" si="14"/>
        <v>2021</v>
      </c>
    </row>
    <row r="312" spans="1:17">
      <c r="A312" s="162">
        <v>44383</v>
      </c>
      <c r="B312" s="164" t="s">
        <v>1403</v>
      </c>
      <c r="C312" s="164" t="s">
        <v>291</v>
      </c>
      <c r="D312" s="164" t="s">
        <v>25</v>
      </c>
      <c r="E312" s="79">
        <v>44378</v>
      </c>
      <c r="F312" s="6" t="s">
        <v>16</v>
      </c>
      <c r="G312" s="6" t="s">
        <v>82</v>
      </c>
      <c r="H312" s="170">
        <v>45000</v>
      </c>
      <c r="I312" s="172">
        <f t="shared" si="12"/>
        <v>515.34585432890515</v>
      </c>
      <c r="J312" s="162">
        <v>44383</v>
      </c>
      <c r="K312" s="6" t="s">
        <v>251</v>
      </c>
      <c r="L312" s="162">
        <v>44385</v>
      </c>
      <c r="M312" s="175" t="s">
        <v>5525</v>
      </c>
      <c r="O312" s="6" t="s">
        <v>356</v>
      </c>
      <c r="P312" s="6" t="str">
        <f t="shared" si="13"/>
        <v>SAFe que</v>
      </c>
      <c r="Q312" t="str">
        <f t="shared" si="14"/>
        <v>2021</v>
      </c>
    </row>
    <row r="313" spans="1:17">
      <c r="A313" s="162">
        <v>44383</v>
      </c>
      <c r="B313" s="164" t="s">
        <v>1405</v>
      </c>
      <c r="C313" s="164" t="s">
        <v>278</v>
      </c>
      <c r="D313" s="164" t="s">
        <v>25</v>
      </c>
      <c r="E313" s="79">
        <v>44378</v>
      </c>
      <c r="F313" s="6" t="s">
        <v>16</v>
      </c>
      <c r="G313" s="6" t="s">
        <v>82</v>
      </c>
      <c r="H313" s="170">
        <v>45000</v>
      </c>
      <c r="I313" s="172">
        <f t="shared" si="12"/>
        <v>515.34585432890515</v>
      </c>
      <c r="J313" s="162">
        <v>44383</v>
      </c>
      <c r="K313" s="6" t="s">
        <v>252</v>
      </c>
      <c r="L313" s="162">
        <v>44391</v>
      </c>
      <c r="M313" s="175" t="s">
        <v>5526</v>
      </c>
      <c r="O313" s="6" t="s">
        <v>280</v>
      </c>
      <c r="P313" s="6" t="str">
        <f t="shared" si="13"/>
        <v>SAFe que</v>
      </c>
      <c r="Q313" t="str">
        <f t="shared" si="14"/>
        <v>2021</v>
      </c>
    </row>
    <row r="314" spans="1:17">
      <c r="A314" s="162">
        <v>44383</v>
      </c>
      <c r="B314" s="164" t="s">
        <v>406</v>
      </c>
      <c r="C314" s="164" t="s">
        <v>319</v>
      </c>
      <c r="D314" s="164" t="s">
        <v>6</v>
      </c>
      <c r="E314" s="79">
        <v>44378</v>
      </c>
      <c r="F314" s="6" t="s">
        <v>16</v>
      </c>
      <c r="G314" s="6" t="s">
        <v>1410</v>
      </c>
      <c r="H314" s="170">
        <v>45000</v>
      </c>
      <c r="I314" s="172">
        <f t="shared" si="12"/>
        <v>515.34585432890515</v>
      </c>
      <c r="J314" s="162">
        <v>44383</v>
      </c>
      <c r="K314" s="6" t="s">
        <v>252</v>
      </c>
      <c r="L314" s="162">
        <v>44391</v>
      </c>
      <c r="M314" s="175" t="s">
        <v>5527</v>
      </c>
      <c r="O314" s="6" t="s">
        <v>356</v>
      </c>
      <c r="P314" s="6" t="str">
        <f t="shared" si="13"/>
        <v>SAFe que</v>
      </c>
      <c r="Q314" t="str">
        <f t="shared" si="14"/>
        <v>2021</v>
      </c>
    </row>
    <row r="315" spans="1:17">
      <c r="A315" s="162">
        <v>44383</v>
      </c>
      <c r="B315" s="164" t="s">
        <v>1411</v>
      </c>
      <c r="C315" s="164" t="s">
        <v>319</v>
      </c>
      <c r="D315" s="164" t="s">
        <v>151</v>
      </c>
      <c r="E315" s="79">
        <v>44378</v>
      </c>
      <c r="F315" s="6" t="s">
        <v>16</v>
      </c>
      <c r="G315" s="6" t="s">
        <v>1410</v>
      </c>
      <c r="H315" s="170">
        <v>24780</v>
      </c>
      <c r="I315" s="172">
        <f t="shared" si="12"/>
        <v>283.7837837837838</v>
      </c>
      <c r="J315" s="162">
        <v>44383</v>
      </c>
      <c r="K315" s="6" t="s">
        <v>251</v>
      </c>
      <c r="L315" s="162">
        <v>44383</v>
      </c>
      <c r="M315" s="175" t="s">
        <v>1413</v>
      </c>
      <c r="O315" s="6" t="s">
        <v>280</v>
      </c>
      <c r="P315" s="6" t="str">
        <f t="shared" si="13"/>
        <v>SAFe que</v>
      </c>
      <c r="Q315" t="str">
        <f t="shared" si="14"/>
        <v>2021</v>
      </c>
    </row>
    <row r="316" spans="1:17">
      <c r="A316" s="162">
        <v>44384</v>
      </c>
      <c r="B316" s="165" t="s">
        <v>1414</v>
      </c>
      <c r="C316" s="164" t="s">
        <v>495</v>
      </c>
      <c r="D316" s="164" t="s">
        <v>150</v>
      </c>
      <c r="E316" s="79">
        <v>44378</v>
      </c>
      <c r="F316" s="6" t="s">
        <v>16</v>
      </c>
      <c r="G316" s="6" t="s">
        <v>1374</v>
      </c>
      <c r="H316" s="170">
        <v>21000</v>
      </c>
      <c r="I316" s="172">
        <f t="shared" si="12"/>
        <v>240.49473202015577</v>
      </c>
      <c r="J316" s="162">
        <v>44384</v>
      </c>
      <c r="K316" s="6" t="s">
        <v>252</v>
      </c>
      <c r="L316" s="162">
        <v>44390</v>
      </c>
      <c r="M316" s="175" t="s">
        <v>5528</v>
      </c>
      <c r="O316" s="6" t="s">
        <v>280</v>
      </c>
      <c r="P316" s="6" t="str">
        <f t="shared" si="13"/>
        <v>SAFe que</v>
      </c>
      <c r="Q316" t="str">
        <f t="shared" si="14"/>
        <v>2021</v>
      </c>
    </row>
    <row r="317" spans="1:17">
      <c r="A317" s="162">
        <v>44375</v>
      </c>
      <c r="B317" s="164" t="s">
        <v>1416</v>
      </c>
      <c r="C317" s="164" t="s">
        <v>287</v>
      </c>
      <c r="D317" s="164" t="s">
        <v>6</v>
      </c>
      <c r="E317" s="79">
        <v>44348</v>
      </c>
      <c r="F317" s="6" t="s">
        <v>16</v>
      </c>
      <c r="G317" s="6" t="s">
        <v>1345</v>
      </c>
      <c r="H317" s="170">
        <v>45000</v>
      </c>
      <c r="I317" s="172">
        <f t="shared" si="12"/>
        <v>515.34585432890515</v>
      </c>
      <c r="J317" s="162">
        <v>44375</v>
      </c>
      <c r="K317" s="6" t="s">
        <v>253</v>
      </c>
      <c r="L317" s="162">
        <v>44375</v>
      </c>
      <c r="M317" s="175" t="s">
        <v>5529</v>
      </c>
      <c r="O317" s="6" t="s">
        <v>1418</v>
      </c>
      <c r="P317" s="6" t="str">
        <f t="shared" si="13"/>
        <v>SAFe que</v>
      </c>
      <c r="Q317" t="str">
        <f t="shared" si="14"/>
        <v>2021</v>
      </c>
    </row>
    <row r="318" spans="1:17">
      <c r="A318" s="162">
        <v>44377</v>
      </c>
      <c r="B318" s="164" t="s">
        <v>1170</v>
      </c>
      <c r="C318" s="164" t="s">
        <v>319</v>
      </c>
      <c r="D318" s="164" t="s">
        <v>6</v>
      </c>
      <c r="E318" s="79">
        <v>44378</v>
      </c>
      <c r="F318" s="6" t="s">
        <v>16</v>
      </c>
      <c r="G318" s="6" t="s">
        <v>1345</v>
      </c>
      <c r="H318" s="170">
        <v>45000</v>
      </c>
      <c r="I318" s="172">
        <f t="shared" si="12"/>
        <v>515.34585432890515</v>
      </c>
      <c r="J318" s="162">
        <v>44377</v>
      </c>
      <c r="K318" s="6" t="s">
        <v>251</v>
      </c>
      <c r="L318" s="162">
        <v>44378</v>
      </c>
      <c r="M318" s="175" t="s">
        <v>5530</v>
      </c>
      <c r="O318" s="6" t="s">
        <v>280</v>
      </c>
      <c r="P318" s="6" t="str">
        <f t="shared" si="13"/>
        <v>SAFe que</v>
      </c>
      <c r="Q318" t="str">
        <f t="shared" si="14"/>
        <v>2021</v>
      </c>
    </row>
    <row r="319" spans="1:17">
      <c r="A319" s="162">
        <v>44382</v>
      </c>
      <c r="B319" s="164" t="s">
        <v>1420</v>
      </c>
      <c r="C319" s="164" t="s">
        <v>278</v>
      </c>
      <c r="D319" s="164" t="s">
        <v>6</v>
      </c>
      <c r="E319" s="79">
        <v>44378</v>
      </c>
      <c r="F319" s="6" t="s">
        <v>16</v>
      </c>
      <c r="G319" s="6" t="s">
        <v>1345</v>
      </c>
      <c r="H319" s="170">
        <v>45000</v>
      </c>
      <c r="I319" s="172">
        <f t="shared" si="12"/>
        <v>515.34585432890515</v>
      </c>
      <c r="J319" s="162">
        <v>44382</v>
      </c>
      <c r="K319" s="6" t="s">
        <v>251</v>
      </c>
      <c r="L319" s="162">
        <v>44382</v>
      </c>
      <c r="M319" s="175" t="s">
        <v>5531</v>
      </c>
      <c r="O319" s="6" t="s">
        <v>280</v>
      </c>
      <c r="P319" s="6" t="str">
        <f t="shared" si="13"/>
        <v>SAFe que</v>
      </c>
      <c r="Q319" t="str">
        <f t="shared" si="14"/>
        <v>2021</v>
      </c>
    </row>
    <row r="320" spans="1:17">
      <c r="A320" s="162">
        <v>44385</v>
      </c>
      <c r="B320" s="164" t="s">
        <v>1422</v>
      </c>
      <c r="C320" s="164" t="s">
        <v>319</v>
      </c>
      <c r="D320" s="164" t="s">
        <v>96</v>
      </c>
      <c r="E320" s="79">
        <v>44378</v>
      </c>
      <c r="F320" s="6" t="s">
        <v>16</v>
      </c>
      <c r="G320" s="6" t="s">
        <v>1374</v>
      </c>
      <c r="H320" s="170">
        <v>19000</v>
      </c>
      <c r="I320" s="172">
        <f t="shared" si="12"/>
        <v>217.59047182775998</v>
      </c>
      <c r="J320" s="162">
        <v>44385</v>
      </c>
      <c r="K320" s="6" t="s">
        <v>251</v>
      </c>
      <c r="L320" s="162">
        <v>44385</v>
      </c>
      <c r="M320" s="175" t="s">
        <v>5532</v>
      </c>
      <c r="O320" s="6" t="s">
        <v>280</v>
      </c>
      <c r="P320" s="6" t="str">
        <f t="shared" si="13"/>
        <v>Category</v>
      </c>
      <c r="Q320" t="str">
        <f t="shared" si="14"/>
        <v>2021</v>
      </c>
    </row>
    <row r="321" spans="1:17">
      <c r="A321" s="162">
        <v>44389</v>
      </c>
      <c r="B321" s="164" t="s">
        <v>1426</v>
      </c>
      <c r="C321" s="164" t="s">
        <v>278</v>
      </c>
      <c r="D321" s="164" t="s">
        <v>151</v>
      </c>
      <c r="E321" s="79">
        <v>44378</v>
      </c>
      <c r="F321" s="6" t="s">
        <v>16</v>
      </c>
      <c r="G321" s="6" t="s">
        <v>1428</v>
      </c>
      <c r="H321" s="170">
        <v>21000</v>
      </c>
      <c r="I321" s="172">
        <f t="shared" si="12"/>
        <v>240.49473202015577</v>
      </c>
      <c r="J321" s="162">
        <v>44389</v>
      </c>
      <c r="K321" s="6" t="s">
        <v>252</v>
      </c>
      <c r="L321" s="162">
        <v>44389</v>
      </c>
      <c r="M321" s="175" t="s">
        <v>5533</v>
      </c>
      <c r="N321" s="6" t="s">
        <v>1429</v>
      </c>
      <c r="O321" s="6" t="s">
        <v>280</v>
      </c>
      <c r="P321" s="6" t="str">
        <f t="shared" si="13"/>
        <v>SAFe que</v>
      </c>
      <c r="Q321" t="str">
        <f t="shared" si="14"/>
        <v>2021</v>
      </c>
    </row>
    <row r="322" spans="1:17">
      <c r="A322" s="162">
        <v>44390</v>
      </c>
      <c r="B322" s="164" t="s">
        <v>1430</v>
      </c>
      <c r="C322" s="164" t="s">
        <v>278</v>
      </c>
      <c r="D322" s="164" t="s">
        <v>150</v>
      </c>
      <c r="E322" s="79">
        <v>44378</v>
      </c>
      <c r="F322" s="6" t="s">
        <v>16</v>
      </c>
      <c r="G322" s="6" t="s">
        <v>1374</v>
      </c>
      <c r="H322" s="170">
        <v>21000</v>
      </c>
      <c r="I322" s="172">
        <f t="shared" ref="I322:I385" si="15">IFERROR((($H322/1.18))/74,"")</f>
        <v>240.49473202015577</v>
      </c>
      <c r="J322" s="162">
        <v>44390</v>
      </c>
      <c r="K322" s="6" t="s">
        <v>252</v>
      </c>
      <c r="L322" s="162">
        <v>44390</v>
      </c>
      <c r="M322" s="175" t="s">
        <v>5534</v>
      </c>
      <c r="N322" s="6" t="s">
        <v>1432</v>
      </c>
      <c r="O322" s="6" t="s">
        <v>280</v>
      </c>
      <c r="P322" s="6" t="str">
        <f t="shared" ref="P322:P385" si="16">IFERROR(_xlfn.IFS($D322="CSM","Category",$D322="CSPO","Category", $D322="PSM","SAFe que",$D322="PSPO","SAFe que",$D322="SAFe Agile","SAFe que",$D322="SAFe SSM","SAFe que",$D322="SAFe POPM","SAFe que",$D322="SASM","SAFe que",$D322="PMI-ACP","Category",$D322="ICP-ACC","SAFe que",$D322="PSM 2","SAFe que",$D322="SAFe RTE","SAFe que",$D322="Implementing SAFe","SAFe que",$D322="SAFe for Government","SAFe que",$D322="PSPO 2","SAFe que",$D322="",""),"NonCategory")</f>
        <v>SAFe que</v>
      </c>
      <c r="Q322" t="str">
        <f t="shared" ref="Q322:Q385" si="17">TEXT(E322, "yyyy")</f>
        <v>2021</v>
      </c>
    </row>
    <row r="323" spans="1:17">
      <c r="A323" s="162">
        <v>44390</v>
      </c>
      <c r="B323" s="164" t="s">
        <v>1433</v>
      </c>
      <c r="C323" s="164" t="s">
        <v>278</v>
      </c>
      <c r="D323" s="164" t="s">
        <v>96</v>
      </c>
      <c r="E323" s="79">
        <v>44378</v>
      </c>
      <c r="F323" s="6" t="s">
        <v>16</v>
      </c>
      <c r="G323" s="6" t="s">
        <v>82</v>
      </c>
      <c r="H323" s="170">
        <v>18500</v>
      </c>
      <c r="I323" s="172">
        <f t="shared" si="15"/>
        <v>211.86440677966101</v>
      </c>
      <c r="J323" s="162">
        <v>44390</v>
      </c>
      <c r="K323" s="6" t="s">
        <v>252</v>
      </c>
      <c r="L323" s="162">
        <v>44390</v>
      </c>
      <c r="M323" s="175" t="s">
        <v>5535</v>
      </c>
      <c r="N323" s="6" t="s">
        <v>1435</v>
      </c>
      <c r="O323" s="6" t="s">
        <v>356</v>
      </c>
      <c r="P323" s="6" t="str">
        <f t="shared" si="16"/>
        <v>Category</v>
      </c>
      <c r="Q323" t="str">
        <f t="shared" si="17"/>
        <v>2021</v>
      </c>
    </row>
    <row r="324" spans="1:17">
      <c r="A324" s="162">
        <v>44391</v>
      </c>
      <c r="B324" s="164" t="s">
        <v>1436</v>
      </c>
      <c r="C324" s="164" t="s">
        <v>278</v>
      </c>
      <c r="D324" s="164" t="s">
        <v>150</v>
      </c>
      <c r="E324" s="79">
        <v>44378</v>
      </c>
      <c r="F324" s="6" t="s">
        <v>16</v>
      </c>
      <c r="G324" s="6" t="s">
        <v>1374</v>
      </c>
      <c r="H324" s="170">
        <v>21000</v>
      </c>
      <c r="I324" s="172">
        <f t="shared" si="15"/>
        <v>240.49473202015577</v>
      </c>
      <c r="J324" s="162">
        <v>44391</v>
      </c>
      <c r="K324" s="6" t="s">
        <v>252</v>
      </c>
      <c r="L324" s="162">
        <v>44391</v>
      </c>
      <c r="M324" s="175" t="s">
        <v>5536</v>
      </c>
      <c r="N324" s="6" t="s">
        <v>1034</v>
      </c>
      <c r="O324" s="6" t="s">
        <v>356</v>
      </c>
      <c r="P324" s="6" t="str">
        <f t="shared" si="16"/>
        <v>SAFe que</v>
      </c>
      <c r="Q324" t="str">
        <f t="shared" si="17"/>
        <v>2021</v>
      </c>
    </row>
    <row r="325" spans="1:17">
      <c r="A325" s="162">
        <v>44392</v>
      </c>
      <c r="B325" s="164" t="s">
        <v>1438</v>
      </c>
      <c r="C325" s="164" t="s">
        <v>319</v>
      </c>
      <c r="D325" s="164" t="s">
        <v>14</v>
      </c>
      <c r="E325" s="79">
        <v>44378</v>
      </c>
      <c r="F325" s="6" t="s">
        <v>16</v>
      </c>
      <c r="G325" s="6" t="s">
        <v>1440</v>
      </c>
      <c r="H325" s="170">
        <v>31000</v>
      </c>
      <c r="I325" s="172">
        <f t="shared" si="15"/>
        <v>355.01603298213467</v>
      </c>
      <c r="J325" s="162">
        <v>44392</v>
      </c>
      <c r="K325" s="6" t="s">
        <v>252</v>
      </c>
      <c r="L325" s="162">
        <v>44392</v>
      </c>
      <c r="M325" s="175" t="s">
        <v>5537</v>
      </c>
      <c r="O325" s="6" t="s">
        <v>356</v>
      </c>
      <c r="P325" s="6" t="str">
        <f t="shared" si="16"/>
        <v>SAFe que</v>
      </c>
      <c r="Q325" t="str">
        <f t="shared" si="17"/>
        <v>2021</v>
      </c>
    </row>
    <row r="326" spans="1:17">
      <c r="A326" s="162">
        <v>44392</v>
      </c>
      <c r="B326" s="164" t="s">
        <v>1441</v>
      </c>
      <c r="C326" s="164" t="s">
        <v>291</v>
      </c>
      <c r="D326" s="164" t="s">
        <v>25</v>
      </c>
      <c r="E326" s="79">
        <v>44378</v>
      </c>
      <c r="F326" s="6" t="s">
        <v>16</v>
      </c>
      <c r="G326" s="6" t="s">
        <v>1049</v>
      </c>
      <c r="H326" s="170">
        <v>46000</v>
      </c>
      <c r="I326" s="172">
        <f t="shared" si="15"/>
        <v>526.7979844251031</v>
      </c>
      <c r="J326" s="162">
        <v>44392</v>
      </c>
      <c r="K326" s="6" t="s">
        <v>252</v>
      </c>
      <c r="L326" s="162">
        <v>44392</v>
      </c>
      <c r="M326" s="175" t="s">
        <v>5538</v>
      </c>
      <c r="O326" s="6" t="s">
        <v>280</v>
      </c>
      <c r="P326" s="6" t="str">
        <f t="shared" si="16"/>
        <v>SAFe que</v>
      </c>
      <c r="Q326" t="str">
        <f t="shared" si="17"/>
        <v>2021</v>
      </c>
    </row>
    <row r="327" spans="1:17">
      <c r="A327" s="162">
        <v>44393</v>
      </c>
      <c r="B327" s="164" t="s">
        <v>1443</v>
      </c>
      <c r="C327" s="164" t="s">
        <v>278</v>
      </c>
      <c r="D327" s="164" t="s">
        <v>97</v>
      </c>
      <c r="E327" s="79">
        <v>44378</v>
      </c>
      <c r="F327" s="6" t="s">
        <v>16</v>
      </c>
      <c r="G327" s="6" t="s">
        <v>1410</v>
      </c>
      <c r="H327" s="170">
        <v>19000</v>
      </c>
      <c r="I327" s="172">
        <f t="shared" si="15"/>
        <v>217.59047182775998</v>
      </c>
      <c r="J327" s="162">
        <v>44393</v>
      </c>
      <c r="K327" s="6" t="s">
        <v>252</v>
      </c>
      <c r="L327" s="162">
        <v>44393</v>
      </c>
      <c r="M327" s="175" t="s">
        <v>5539</v>
      </c>
      <c r="N327" s="19" t="s">
        <v>1278</v>
      </c>
      <c r="O327" s="6" t="s">
        <v>280</v>
      </c>
      <c r="P327" s="6" t="str">
        <f t="shared" si="16"/>
        <v>Category</v>
      </c>
      <c r="Q327" t="str">
        <f t="shared" si="17"/>
        <v>2021</v>
      </c>
    </row>
    <row r="328" spans="1:17">
      <c r="A328" s="162">
        <v>44396</v>
      </c>
      <c r="B328" s="164" t="s">
        <v>1445</v>
      </c>
      <c r="C328" s="164" t="s">
        <v>278</v>
      </c>
      <c r="D328" s="164" t="s">
        <v>96</v>
      </c>
      <c r="E328" s="79">
        <v>44378</v>
      </c>
      <c r="F328" s="6" t="s">
        <v>16</v>
      </c>
      <c r="G328" s="6" t="s">
        <v>1447</v>
      </c>
      <c r="H328" s="170">
        <v>20000</v>
      </c>
      <c r="I328" s="172">
        <f t="shared" si="15"/>
        <v>229.04260192395787</v>
      </c>
      <c r="J328" s="162">
        <v>44396</v>
      </c>
      <c r="K328" s="6" t="s">
        <v>252</v>
      </c>
      <c r="L328" s="162">
        <v>44396</v>
      </c>
      <c r="M328" s="175" t="s">
        <v>5540</v>
      </c>
      <c r="N328" s="6" t="s">
        <v>732</v>
      </c>
      <c r="O328" s="6" t="s">
        <v>356</v>
      </c>
      <c r="P328" s="6" t="str">
        <f t="shared" si="16"/>
        <v>Category</v>
      </c>
      <c r="Q328" t="str">
        <f t="shared" si="17"/>
        <v>2021</v>
      </c>
    </row>
    <row r="329" spans="1:17">
      <c r="A329" s="162">
        <v>44396</v>
      </c>
      <c r="B329" s="164" t="s">
        <v>1448</v>
      </c>
      <c r="C329" s="164" t="s">
        <v>319</v>
      </c>
      <c r="D329" s="164" t="s">
        <v>150</v>
      </c>
      <c r="E329" s="79">
        <v>44378</v>
      </c>
      <c r="F329" s="6" t="s">
        <v>16</v>
      </c>
      <c r="G329" s="6" t="s">
        <v>1410</v>
      </c>
      <c r="H329" s="170">
        <v>21000</v>
      </c>
      <c r="I329" s="172">
        <f t="shared" si="15"/>
        <v>240.49473202015577</v>
      </c>
      <c r="J329" s="162">
        <v>44396</v>
      </c>
      <c r="K329" s="6" t="s">
        <v>252</v>
      </c>
      <c r="L329" s="162">
        <v>44396</v>
      </c>
      <c r="M329" s="175" t="s">
        <v>5541</v>
      </c>
      <c r="O329" s="6" t="s">
        <v>280</v>
      </c>
      <c r="P329" s="6" t="str">
        <f t="shared" si="16"/>
        <v>SAFe que</v>
      </c>
      <c r="Q329" t="str">
        <f t="shared" si="17"/>
        <v>2021</v>
      </c>
    </row>
    <row r="330" spans="1:17">
      <c r="A330" s="162">
        <v>44396</v>
      </c>
      <c r="B330" s="164" t="s">
        <v>1450</v>
      </c>
      <c r="C330" s="164" t="s">
        <v>303</v>
      </c>
      <c r="D330" s="164" t="s">
        <v>7</v>
      </c>
      <c r="E330" s="79">
        <v>44378</v>
      </c>
      <c r="F330" s="6" t="s">
        <v>16</v>
      </c>
      <c r="G330" s="6" t="s">
        <v>1049</v>
      </c>
      <c r="H330" s="170">
        <v>48000</v>
      </c>
      <c r="I330" s="172">
        <f t="shared" si="15"/>
        <v>549.70224461749888</v>
      </c>
      <c r="J330" s="162">
        <v>44396</v>
      </c>
      <c r="K330" s="6" t="s">
        <v>252</v>
      </c>
      <c r="L330" s="162">
        <v>44396</v>
      </c>
      <c r="M330" s="175" t="s">
        <v>5542</v>
      </c>
      <c r="O330" s="6" t="s">
        <v>280</v>
      </c>
      <c r="P330" s="6" t="str">
        <f t="shared" si="16"/>
        <v>SAFe que</v>
      </c>
      <c r="Q330" t="str">
        <f t="shared" si="17"/>
        <v>2021</v>
      </c>
    </row>
    <row r="331" spans="1:17">
      <c r="A331" s="162">
        <v>44398</v>
      </c>
      <c r="B331" s="164" t="s">
        <v>1452</v>
      </c>
      <c r="C331" s="164" t="s">
        <v>303</v>
      </c>
      <c r="D331" s="164" t="s">
        <v>25</v>
      </c>
      <c r="E331" s="79">
        <v>44378</v>
      </c>
      <c r="F331" s="6" t="s">
        <v>16</v>
      </c>
      <c r="G331" s="6" t="s">
        <v>1049</v>
      </c>
      <c r="H331" s="170">
        <v>45000</v>
      </c>
      <c r="I331" s="172">
        <f t="shared" si="15"/>
        <v>515.34585432890515</v>
      </c>
      <c r="J331" s="162">
        <v>44398</v>
      </c>
      <c r="K331" s="6" t="s">
        <v>253</v>
      </c>
      <c r="L331" s="162">
        <v>44398</v>
      </c>
      <c r="M331" s="175" t="s">
        <v>5543</v>
      </c>
      <c r="O331" s="6" t="s">
        <v>280</v>
      </c>
      <c r="P331" s="6" t="str">
        <f t="shared" si="16"/>
        <v>SAFe que</v>
      </c>
      <c r="Q331" t="str">
        <f t="shared" si="17"/>
        <v>2021</v>
      </c>
    </row>
    <row r="332" spans="1:17" ht="14.4">
      <c r="A332" s="162">
        <v>44399</v>
      </c>
      <c r="B332" s="164" t="s">
        <v>1453</v>
      </c>
      <c r="C332" s="164" t="s">
        <v>278</v>
      </c>
      <c r="D332" s="164" t="s">
        <v>25</v>
      </c>
      <c r="E332" s="79">
        <v>44378</v>
      </c>
      <c r="F332" s="6" t="s">
        <v>16</v>
      </c>
      <c r="G332" s="6" t="s">
        <v>1049</v>
      </c>
      <c r="H332" s="170">
        <v>45000</v>
      </c>
      <c r="I332" s="172">
        <f t="shared" si="15"/>
        <v>515.34585432890515</v>
      </c>
      <c r="J332" s="162">
        <v>44399</v>
      </c>
      <c r="K332" s="6" t="s">
        <v>253</v>
      </c>
      <c r="L332" s="162">
        <v>44399</v>
      </c>
      <c r="M332" s="175" t="s">
        <v>5544</v>
      </c>
      <c r="N332" s="44" t="s">
        <v>1455</v>
      </c>
      <c r="O332" s="6" t="s">
        <v>280</v>
      </c>
      <c r="P332" s="6" t="str">
        <f t="shared" si="16"/>
        <v>SAFe que</v>
      </c>
      <c r="Q332" t="str">
        <f t="shared" si="17"/>
        <v>2021</v>
      </c>
    </row>
    <row r="333" spans="1:17">
      <c r="A333" s="162">
        <v>44400</v>
      </c>
      <c r="B333" s="164" t="s">
        <v>1456</v>
      </c>
      <c r="C333" s="164" t="s">
        <v>278</v>
      </c>
      <c r="D333" s="164" t="s">
        <v>96</v>
      </c>
      <c r="E333" s="79">
        <v>44378</v>
      </c>
      <c r="F333" s="6" t="s">
        <v>16</v>
      </c>
      <c r="G333" s="6" t="s">
        <v>82</v>
      </c>
      <c r="H333" s="170">
        <v>18000</v>
      </c>
      <c r="I333" s="172">
        <f t="shared" si="15"/>
        <v>206.13834173156206</v>
      </c>
      <c r="J333" s="162">
        <v>44400</v>
      </c>
      <c r="K333" s="6" t="s">
        <v>253</v>
      </c>
      <c r="L333" s="162">
        <v>44400</v>
      </c>
      <c r="M333" s="175" t="s">
        <v>5545</v>
      </c>
      <c r="N333" s="6" t="s">
        <v>1278</v>
      </c>
      <c r="O333" s="6" t="s">
        <v>1458</v>
      </c>
      <c r="P333" s="6" t="str">
        <f t="shared" si="16"/>
        <v>Category</v>
      </c>
      <c r="Q333" t="str">
        <f t="shared" si="17"/>
        <v>2021</v>
      </c>
    </row>
    <row r="334" spans="1:17">
      <c r="A334" s="162">
        <v>44400</v>
      </c>
      <c r="B334" s="164" t="s">
        <v>1459</v>
      </c>
      <c r="C334" s="164" t="s">
        <v>278</v>
      </c>
      <c r="D334" s="164" t="s">
        <v>96</v>
      </c>
      <c r="E334" s="79">
        <v>44378</v>
      </c>
      <c r="F334" s="6" t="s">
        <v>16</v>
      </c>
      <c r="G334" s="6" t="s">
        <v>82</v>
      </c>
      <c r="H334" s="170">
        <v>18000</v>
      </c>
      <c r="I334" s="172">
        <f t="shared" si="15"/>
        <v>206.13834173156206</v>
      </c>
      <c r="J334" s="162">
        <v>44400</v>
      </c>
      <c r="K334" s="6" t="s">
        <v>253</v>
      </c>
      <c r="L334" s="162">
        <v>44400</v>
      </c>
      <c r="M334" s="175" t="s">
        <v>5546</v>
      </c>
      <c r="N334" s="6" t="s">
        <v>1278</v>
      </c>
      <c r="O334" s="6" t="s">
        <v>1458</v>
      </c>
      <c r="P334" s="6" t="str">
        <f t="shared" si="16"/>
        <v>Category</v>
      </c>
      <c r="Q334" t="str">
        <f t="shared" si="17"/>
        <v>2021</v>
      </c>
    </row>
    <row r="335" spans="1:17">
      <c r="A335" s="162">
        <v>44401</v>
      </c>
      <c r="B335" s="164" t="s">
        <v>1461</v>
      </c>
      <c r="C335" s="164" t="s">
        <v>278</v>
      </c>
      <c r="D335" s="164" t="s">
        <v>96</v>
      </c>
      <c r="E335" s="79">
        <v>44378</v>
      </c>
      <c r="F335" s="6" t="s">
        <v>16</v>
      </c>
      <c r="G335" s="6" t="s">
        <v>82</v>
      </c>
      <c r="H335" s="170">
        <v>18000</v>
      </c>
      <c r="I335" s="172">
        <f t="shared" si="15"/>
        <v>206.13834173156206</v>
      </c>
      <c r="J335" s="162">
        <v>44401</v>
      </c>
      <c r="K335" s="6" t="s">
        <v>253</v>
      </c>
      <c r="L335" s="162">
        <v>44401</v>
      </c>
      <c r="M335" s="175" t="s">
        <v>5547</v>
      </c>
      <c r="N335" s="6" t="s">
        <v>1278</v>
      </c>
      <c r="O335" s="6" t="s">
        <v>1458</v>
      </c>
      <c r="P335" s="6" t="str">
        <f t="shared" si="16"/>
        <v>Category</v>
      </c>
      <c r="Q335" t="str">
        <f t="shared" si="17"/>
        <v>2021</v>
      </c>
    </row>
    <row r="336" spans="1:17">
      <c r="A336" s="162">
        <v>44403</v>
      </c>
      <c r="B336" s="164" t="s">
        <v>1463</v>
      </c>
      <c r="C336" s="164" t="s">
        <v>278</v>
      </c>
      <c r="D336" s="164" t="s">
        <v>1465</v>
      </c>
      <c r="E336" s="79">
        <v>44378</v>
      </c>
      <c r="F336" s="6" t="s">
        <v>16</v>
      </c>
      <c r="G336" s="6" t="s">
        <v>21</v>
      </c>
      <c r="H336" s="170">
        <v>36000</v>
      </c>
      <c r="I336" s="172">
        <f t="shared" si="15"/>
        <v>412.27668346312413</v>
      </c>
      <c r="J336" s="162">
        <v>44403</v>
      </c>
      <c r="K336" s="6" t="s">
        <v>253</v>
      </c>
      <c r="L336" s="162">
        <v>44405</v>
      </c>
      <c r="M336" s="175" t="s">
        <v>5548</v>
      </c>
      <c r="N336" s="6" t="s">
        <v>1278</v>
      </c>
      <c r="O336" s="6" t="s">
        <v>356</v>
      </c>
      <c r="P336" s="6" t="str">
        <f t="shared" si="16"/>
        <v>NonCategory</v>
      </c>
      <c r="Q336" t="str">
        <f t="shared" si="17"/>
        <v>2021</v>
      </c>
    </row>
    <row r="337" spans="1:17">
      <c r="A337" s="162">
        <v>44406</v>
      </c>
      <c r="B337" s="164" t="s">
        <v>1466</v>
      </c>
      <c r="C337" s="164" t="s">
        <v>495</v>
      </c>
      <c r="D337" s="164" t="s">
        <v>96</v>
      </c>
      <c r="E337" s="79">
        <v>44378</v>
      </c>
      <c r="F337" s="6" t="s">
        <v>16</v>
      </c>
      <c r="G337" s="6" t="s">
        <v>1428</v>
      </c>
      <c r="H337" s="170">
        <v>18500</v>
      </c>
      <c r="I337" s="172">
        <f t="shared" si="15"/>
        <v>211.86440677966101</v>
      </c>
      <c r="J337" s="162">
        <v>44406</v>
      </c>
      <c r="K337" s="6" t="s">
        <v>253</v>
      </c>
      <c r="L337" s="162">
        <v>44406</v>
      </c>
      <c r="M337" s="175" t="s">
        <v>5549</v>
      </c>
      <c r="O337" s="6" t="s">
        <v>1458</v>
      </c>
      <c r="P337" s="6" t="str">
        <f t="shared" si="16"/>
        <v>Category</v>
      </c>
      <c r="Q337" t="str">
        <f t="shared" si="17"/>
        <v>2021</v>
      </c>
    </row>
    <row r="338" spans="1:17">
      <c r="A338" s="162">
        <v>44406</v>
      </c>
      <c r="B338" s="164" t="s">
        <v>1285</v>
      </c>
      <c r="C338" s="164" t="s">
        <v>274</v>
      </c>
      <c r="D338" s="164" t="s">
        <v>5218</v>
      </c>
      <c r="E338" s="79">
        <v>44378</v>
      </c>
      <c r="F338" s="6" t="s">
        <v>16</v>
      </c>
      <c r="G338" s="6" t="s">
        <v>21</v>
      </c>
      <c r="H338" s="170">
        <v>20000</v>
      </c>
      <c r="I338" s="172">
        <f t="shared" si="15"/>
        <v>229.04260192395787</v>
      </c>
      <c r="J338" s="162">
        <v>44406</v>
      </c>
      <c r="K338" s="6" t="s">
        <v>253</v>
      </c>
      <c r="L338" s="162">
        <v>44406</v>
      </c>
      <c r="M338" s="175" t="s">
        <v>5550</v>
      </c>
      <c r="O338" s="6" t="s">
        <v>356</v>
      </c>
      <c r="P338" s="6" t="str">
        <f t="shared" si="16"/>
        <v>NonCategory</v>
      </c>
      <c r="Q338" t="str">
        <f t="shared" si="17"/>
        <v>2021</v>
      </c>
    </row>
    <row r="339" spans="1:17" ht="14.4">
      <c r="A339" s="162">
        <v>44407</v>
      </c>
      <c r="B339" s="164" t="s">
        <v>1469</v>
      </c>
      <c r="C339" s="164" t="s">
        <v>278</v>
      </c>
      <c r="D339" s="164" t="s">
        <v>25</v>
      </c>
      <c r="E339" s="79">
        <v>44378</v>
      </c>
      <c r="F339" s="6" t="s">
        <v>16</v>
      </c>
      <c r="G339" s="6" t="s">
        <v>38</v>
      </c>
      <c r="H339" s="170">
        <v>45000</v>
      </c>
      <c r="I339" s="172">
        <f t="shared" si="15"/>
        <v>515.34585432890515</v>
      </c>
      <c r="J339" s="162">
        <v>44407</v>
      </c>
      <c r="K339" s="6" t="s">
        <v>253</v>
      </c>
      <c r="L339" s="162">
        <v>44407</v>
      </c>
      <c r="M339" s="175" t="s">
        <v>5551</v>
      </c>
      <c r="N339" s="44" t="s">
        <v>1206</v>
      </c>
      <c r="O339" s="6" t="s">
        <v>356</v>
      </c>
      <c r="P339" s="6" t="str">
        <f t="shared" si="16"/>
        <v>SAFe que</v>
      </c>
      <c r="Q339" t="str">
        <f t="shared" si="17"/>
        <v>2021</v>
      </c>
    </row>
    <row r="340" spans="1:17">
      <c r="A340" s="162">
        <v>44407</v>
      </c>
      <c r="B340" s="164" t="s">
        <v>1471</v>
      </c>
      <c r="C340" s="164" t="s">
        <v>278</v>
      </c>
      <c r="D340" s="164" t="s">
        <v>150</v>
      </c>
      <c r="E340" s="79">
        <v>44378</v>
      </c>
      <c r="F340" s="6" t="s">
        <v>16</v>
      </c>
      <c r="G340" s="6" t="s">
        <v>120</v>
      </c>
      <c r="H340" s="170">
        <v>21000</v>
      </c>
      <c r="I340" s="172">
        <f t="shared" si="15"/>
        <v>240.49473202015577</v>
      </c>
      <c r="J340" s="162">
        <v>44407</v>
      </c>
      <c r="K340" s="6" t="s">
        <v>253</v>
      </c>
      <c r="L340" s="162">
        <v>44407</v>
      </c>
      <c r="M340" s="175" t="s">
        <v>5552</v>
      </c>
      <c r="N340" s="6" t="s">
        <v>1473</v>
      </c>
      <c r="O340" s="6" t="s">
        <v>356</v>
      </c>
      <c r="P340" s="6" t="str">
        <f t="shared" si="16"/>
        <v>SAFe que</v>
      </c>
      <c r="Q340" t="str">
        <f t="shared" si="17"/>
        <v>2021</v>
      </c>
    </row>
    <row r="341" spans="1:17">
      <c r="A341" s="162">
        <v>44408</v>
      </c>
      <c r="B341" s="164" t="s">
        <v>1193</v>
      </c>
      <c r="C341" s="164" t="s">
        <v>274</v>
      </c>
      <c r="D341" s="164" t="s">
        <v>97</v>
      </c>
      <c r="E341" s="79">
        <v>44378</v>
      </c>
      <c r="F341" s="6" t="s">
        <v>16</v>
      </c>
      <c r="G341" s="6" t="s">
        <v>1410</v>
      </c>
      <c r="H341" s="170">
        <v>18500</v>
      </c>
      <c r="I341" s="172">
        <f t="shared" si="15"/>
        <v>211.86440677966101</v>
      </c>
      <c r="J341" s="162">
        <v>44408</v>
      </c>
      <c r="K341" s="6" t="s">
        <v>253</v>
      </c>
      <c r="L341" s="162">
        <v>44408</v>
      </c>
      <c r="M341" s="175" t="s">
        <v>5553</v>
      </c>
      <c r="O341" s="6" t="s">
        <v>356</v>
      </c>
      <c r="P341" s="6" t="str">
        <f t="shared" si="16"/>
        <v>Category</v>
      </c>
      <c r="Q341" t="str">
        <f t="shared" si="17"/>
        <v>2021</v>
      </c>
    </row>
    <row r="342" spans="1:17">
      <c r="A342" s="162">
        <v>44408</v>
      </c>
      <c r="B342" s="164" t="s">
        <v>1196</v>
      </c>
      <c r="C342" s="164" t="s">
        <v>274</v>
      </c>
      <c r="D342" s="164" t="s">
        <v>97</v>
      </c>
      <c r="E342" s="79">
        <v>44378</v>
      </c>
      <c r="F342" s="6" t="s">
        <v>16</v>
      </c>
      <c r="G342" s="6" t="s">
        <v>1410</v>
      </c>
      <c r="H342" s="170">
        <v>18500</v>
      </c>
      <c r="I342" s="172">
        <f t="shared" si="15"/>
        <v>211.86440677966101</v>
      </c>
      <c r="J342" s="162">
        <v>44408</v>
      </c>
      <c r="K342" s="6" t="s">
        <v>253</v>
      </c>
      <c r="L342" s="162">
        <v>44408</v>
      </c>
      <c r="M342" s="175" t="s">
        <v>5554</v>
      </c>
      <c r="O342" s="6" t="s">
        <v>356</v>
      </c>
      <c r="P342" s="6" t="str">
        <f t="shared" si="16"/>
        <v>Category</v>
      </c>
      <c r="Q342" t="str">
        <f t="shared" si="17"/>
        <v>2021</v>
      </c>
    </row>
    <row r="343" spans="1:17">
      <c r="A343" s="162">
        <v>44408</v>
      </c>
      <c r="B343" s="164" t="s">
        <v>1474</v>
      </c>
      <c r="C343" s="164" t="s">
        <v>287</v>
      </c>
      <c r="D343" s="164" t="s">
        <v>151</v>
      </c>
      <c r="E343" s="79">
        <v>44378</v>
      </c>
      <c r="F343" s="6" t="s">
        <v>16</v>
      </c>
      <c r="G343" s="6" t="s">
        <v>1410</v>
      </c>
      <c r="H343" s="170">
        <v>21000</v>
      </c>
      <c r="I343" s="172">
        <f t="shared" si="15"/>
        <v>240.49473202015577</v>
      </c>
      <c r="J343" s="162">
        <v>44408</v>
      </c>
      <c r="K343" s="6" t="s">
        <v>253</v>
      </c>
      <c r="L343" s="162">
        <v>44408</v>
      </c>
      <c r="M343" s="175" t="s">
        <v>5555</v>
      </c>
      <c r="O343" s="6" t="s">
        <v>280</v>
      </c>
      <c r="P343" s="6" t="str">
        <f t="shared" si="16"/>
        <v>SAFe que</v>
      </c>
      <c r="Q343" t="str">
        <f t="shared" si="17"/>
        <v>2021</v>
      </c>
    </row>
    <row r="344" spans="1:17">
      <c r="A344" s="162">
        <v>44409</v>
      </c>
      <c r="B344" s="164" t="s">
        <v>1476</v>
      </c>
      <c r="C344" s="164" t="s">
        <v>278</v>
      </c>
      <c r="D344" s="164" t="s">
        <v>96</v>
      </c>
      <c r="E344" s="79">
        <v>44409</v>
      </c>
      <c r="F344" s="6" t="s">
        <v>16</v>
      </c>
      <c r="G344" s="6" t="s">
        <v>120</v>
      </c>
      <c r="H344" s="170">
        <v>18000</v>
      </c>
      <c r="I344" s="172">
        <f t="shared" si="15"/>
        <v>206.13834173156206</v>
      </c>
      <c r="J344" s="162">
        <v>44409</v>
      </c>
      <c r="K344" s="6" t="s">
        <v>251</v>
      </c>
      <c r="L344" s="162">
        <v>44409</v>
      </c>
      <c r="M344" s="175" t="s">
        <v>5556</v>
      </c>
      <c r="N344" s="6" t="s">
        <v>1478</v>
      </c>
      <c r="O344" s="6" t="s">
        <v>280</v>
      </c>
      <c r="P344" s="6" t="str">
        <f t="shared" si="16"/>
        <v>Category</v>
      </c>
      <c r="Q344" t="str">
        <f t="shared" si="17"/>
        <v>2021</v>
      </c>
    </row>
    <row r="345" spans="1:17">
      <c r="A345" s="162">
        <v>44409</v>
      </c>
      <c r="B345" s="164" t="s">
        <v>1479</v>
      </c>
      <c r="C345" s="164" t="s">
        <v>278</v>
      </c>
      <c r="D345" s="164" t="s">
        <v>96</v>
      </c>
      <c r="E345" s="79">
        <v>44409</v>
      </c>
      <c r="F345" s="6" t="s">
        <v>16</v>
      </c>
      <c r="G345" s="6" t="s">
        <v>120</v>
      </c>
      <c r="H345" s="170">
        <v>18000</v>
      </c>
      <c r="I345" s="172">
        <f t="shared" si="15"/>
        <v>206.13834173156206</v>
      </c>
      <c r="J345" s="162">
        <v>44409</v>
      </c>
      <c r="K345" s="6" t="s">
        <v>251</v>
      </c>
      <c r="L345" s="162">
        <v>44409</v>
      </c>
      <c r="M345" s="175" t="s">
        <v>5557</v>
      </c>
      <c r="N345" s="6" t="s">
        <v>1478</v>
      </c>
      <c r="O345" s="6" t="s">
        <v>280</v>
      </c>
      <c r="P345" s="6" t="str">
        <f t="shared" si="16"/>
        <v>Category</v>
      </c>
      <c r="Q345" t="str">
        <f t="shared" si="17"/>
        <v>2021</v>
      </c>
    </row>
    <row r="346" spans="1:17">
      <c r="A346" s="162">
        <v>44416</v>
      </c>
      <c r="B346" s="164" t="s">
        <v>1481</v>
      </c>
      <c r="C346" s="164" t="s">
        <v>303</v>
      </c>
      <c r="D346" s="164" t="s">
        <v>7</v>
      </c>
      <c r="E346" s="79">
        <v>44409</v>
      </c>
      <c r="F346" s="6" t="s">
        <v>16</v>
      </c>
      <c r="G346" s="6" t="s">
        <v>88</v>
      </c>
      <c r="H346" s="170">
        <v>46000</v>
      </c>
      <c r="I346" s="172">
        <f t="shared" si="15"/>
        <v>526.7979844251031</v>
      </c>
      <c r="J346" s="162">
        <v>44410</v>
      </c>
      <c r="K346" s="6" t="s">
        <v>251</v>
      </c>
      <c r="L346" s="162">
        <v>44410</v>
      </c>
      <c r="M346" s="175" t="s">
        <v>5558</v>
      </c>
      <c r="O346" s="6" t="s">
        <v>280</v>
      </c>
      <c r="P346" s="6" t="str">
        <f t="shared" si="16"/>
        <v>SAFe que</v>
      </c>
      <c r="Q346" t="str">
        <f t="shared" si="17"/>
        <v>2021</v>
      </c>
    </row>
    <row r="347" spans="1:17">
      <c r="A347" s="162">
        <v>44416</v>
      </c>
      <c r="B347" s="164" t="s">
        <v>1483</v>
      </c>
      <c r="C347" s="164" t="s">
        <v>319</v>
      </c>
      <c r="D347" s="164" t="s">
        <v>151</v>
      </c>
      <c r="E347" s="79">
        <v>44409</v>
      </c>
      <c r="F347" s="6" t="s">
        <v>16</v>
      </c>
      <c r="G347" s="6" t="s">
        <v>1410</v>
      </c>
      <c r="H347" s="170">
        <v>21000</v>
      </c>
      <c r="I347" s="172">
        <f t="shared" si="15"/>
        <v>240.49473202015577</v>
      </c>
      <c r="J347" s="162">
        <v>44410</v>
      </c>
      <c r="K347" s="6" t="s">
        <v>251</v>
      </c>
      <c r="L347" s="162">
        <v>44410</v>
      </c>
      <c r="M347" s="175" t="s">
        <v>5559</v>
      </c>
      <c r="O347" s="6" t="s">
        <v>280</v>
      </c>
      <c r="P347" s="6" t="str">
        <f t="shared" si="16"/>
        <v>SAFe que</v>
      </c>
      <c r="Q347" t="str">
        <f t="shared" si="17"/>
        <v>2021</v>
      </c>
    </row>
    <row r="348" spans="1:17">
      <c r="A348" s="162">
        <v>44411</v>
      </c>
      <c r="B348" s="164" t="s">
        <v>1485</v>
      </c>
      <c r="C348" s="164" t="s">
        <v>303</v>
      </c>
      <c r="D348" s="164" t="s">
        <v>150</v>
      </c>
      <c r="E348" s="79">
        <v>44409</v>
      </c>
      <c r="F348" s="6" t="s">
        <v>16</v>
      </c>
      <c r="G348" s="6" t="s">
        <v>1410</v>
      </c>
      <c r="H348" s="170">
        <v>21000</v>
      </c>
      <c r="I348" s="172">
        <f t="shared" si="15"/>
        <v>240.49473202015577</v>
      </c>
      <c r="J348" s="162">
        <v>44411</v>
      </c>
      <c r="K348" s="6" t="s">
        <v>251</v>
      </c>
      <c r="L348" s="162">
        <v>44412</v>
      </c>
      <c r="M348" s="175" t="s">
        <v>5560</v>
      </c>
      <c r="O348" s="6" t="s">
        <v>280</v>
      </c>
      <c r="P348" s="6" t="str">
        <f t="shared" si="16"/>
        <v>SAFe que</v>
      </c>
      <c r="Q348" t="str">
        <f t="shared" si="17"/>
        <v>2021</v>
      </c>
    </row>
    <row r="349" spans="1:17">
      <c r="A349" s="162">
        <v>44411</v>
      </c>
      <c r="B349" s="164" t="s">
        <v>1487</v>
      </c>
      <c r="C349" s="164" t="s">
        <v>306</v>
      </c>
      <c r="D349" s="164" t="s">
        <v>96</v>
      </c>
      <c r="E349" s="79">
        <v>44409</v>
      </c>
      <c r="F349" s="6" t="s">
        <v>16</v>
      </c>
      <c r="G349" s="6" t="s">
        <v>120</v>
      </c>
      <c r="H349" s="170">
        <v>19500</v>
      </c>
      <c r="I349" s="172">
        <f t="shared" si="15"/>
        <v>223.3165368758589</v>
      </c>
      <c r="J349" s="162">
        <v>44411</v>
      </c>
      <c r="K349" s="6" t="s">
        <v>252</v>
      </c>
      <c r="L349" s="162">
        <v>44420</v>
      </c>
      <c r="M349" s="175" t="s">
        <v>5561</v>
      </c>
      <c r="O349" s="6" t="s">
        <v>280</v>
      </c>
      <c r="P349" s="6" t="str">
        <f t="shared" si="16"/>
        <v>Category</v>
      </c>
      <c r="Q349" t="str">
        <f t="shared" si="17"/>
        <v>2021</v>
      </c>
    </row>
    <row r="350" spans="1:17" ht="14.4">
      <c r="A350" s="162">
        <v>44411</v>
      </c>
      <c r="B350" s="164" t="s">
        <v>1489</v>
      </c>
      <c r="C350" s="164" t="s">
        <v>278</v>
      </c>
      <c r="D350" s="164" t="s">
        <v>97</v>
      </c>
      <c r="E350" s="79">
        <v>44409</v>
      </c>
      <c r="F350" s="6" t="s">
        <v>16</v>
      </c>
      <c r="G350" s="6" t="s">
        <v>88</v>
      </c>
      <c r="H350" s="170">
        <v>19000</v>
      </c>
      <c r="I350" s="172">
        <f t="shared" si="15"/>
        <v>217.59047182775998</v>
      </c>
      <c r="J350" s="162">
        <v>44411</v>
      </c>
      <c r="K350" s="6" t="s">
        <v>251</v>
      </c>
      <c r="L350" s="162">
        <v>44411</v>
      </c>
      <c r="M350" s="175" t="s">
        <v>5562</v>
      </c>
      <c r="N350" s="44" t="s">
        <v>1444</v>
      </c>
      <c r="O350" s="6" t="s">
        <v>280</v>
      </c>
      <c r="P350" s="6" t="str">
        <f t="shared" si="16"/>
        <v>Category</v>
      </c>
      <c r="Q350" t="str">
        <f t="shared" si="17"/>
        <v>2021</v>
      </c>
    </row>
    <row r="351" spans="1:17">
      <c r="A351" s="162">
        <v>44411</v>
      </c>
      <c r="B351" s="164" t="s">
        <v>1217</v>
      </c>
      <c r="C351" s="164" t="s">
        <v>274</v>
      </c>
      <c r="D351" s="164" t="s">
        <v>97</v>
      </c>
      <c r="E351" s="79">
        <v>44409</v>
      </c>
      <c r="F351" s="6" t="s">
        <v>16</v>
      </c>
      <c r="G351" s="6" t="s">
        <v>1410</v>
      </c>
      <c r="H351" s="170">
        <v>19000</v>
      </c>
      <c r="I351" s="172">
        <f t="shared" si="15"/>
        <v>217.59047182775998</v>
      </c>
      <c r="J351" s="162">
        <v>44411</v>
      </c>
      <c r="K351" s="6" t="s">
        <v>251</v>
      </c>
      <c r="L351" s="162">
        <v>44411</v>
      </c>
      <c r="M351" s="175" t="s">
        <v>5563</v>
      </c>
      <c r="O351" s="6" t="s">
        <v>280</v>
      </c>
      <c r="P351" s="6" t="str">
        <f t="shared" si="16"/>
        <v>Category</v>
      </c>
      <c r="Q351" t="str">
        <f t="shared" si="17"/>
        <v>2021</v>
      </c>
    </row>
    <row r="352" spans="1:17">
      <c r="A352" s="162">
        <v>44412</v>
      </c>
      <c r="B352" s="164" t="s">
        <v>1209</v>
      </c>
      <c r="C352" s="164" t="s">
        <v>274</v>
      </c>
      <c r="D352" s="164" t="s">
        <v>5218</v>
      </c>
      <c r="E352" s="79">
        <v>44409</v>
      </c>
      <c r="F352" s="6" t="s">
        <v>16</v>
      </c>
      <c r="G352" s="6" t="s">
        <v>21</v>
      </c>
      <c r="H352" s="170">
        <v>25000</v>
      </c>
      <c r="I352" s="172">
        <f t="shared" si="15"/>
        <v>286.30325240494733</v>
      </c>
      <c r="J352" s="162">
        <v>44412</v>
      </c>
      <c r="K352" s="6" t="s">
        <v>251</v>
      </c>
      <c r="L352" s="162">
        <v>44412</v>
      </c>
      <c r="M352" s="175" t="s">
        <v>5564</v>
      </c>
      <c r="O352" s="6" t="s">
        <v>356</v>
      </c>
      <c r="P352" s="6" t="str">
        <f t="shared" si="16"/>
        <v>NonCategory</v>
      </c>
      <c r="Q352" t="str">
        <f t="shared" si="17"/>
        <v>2021</v>
      </c>
    </row>
    <row r="353" spans="1:17">
      <c r="A353" s="162">
        <v>44412</v>
      </c>
      <c r="B353" s="164" t="s">
        <v>1491</v>
      </c>
      <c r="C353" s="164" t="s">
        <v>306</v>
      </c>
      <c r="D353" s="164" t="s">
        <v>25</v>
      </c>
      <c r="E353" s="79">
        <v>44409</v>
      </c>
      <c r="F353" s="6" t="s">
        <v>16</v>
      </c>
      <c r="G353" s="6" t="s">
        <v>82</v>
      </c>
      <c r="H353" s="170">
        <v>48000</v>
      </c>
      <c r="I353" s="172">
        <f t="shared" si="15"/>
        <v>549.70224461749888</v>
      </c>
      <c r="J353" s="162">
        <v>44412</v>
      </c>
      <c r="K353" s="6" t="s">
        <v>251</v>
      </c>
      <c r="L353" s="162">
        <v>44412</v>
      </c>
      <c r="M353" s="175" t="s">
        <v>5565</v>
      </c>
      <c r="O353" s="6" t="s">
        <v>356</v>
      </c>
      <c r="P353" s="6" t="str">
        <f t="shared" si="16"/>
        <v>SAFe que</v>
      </c>
      <c r="Q353" t="str">
        <f t="shared" si="17"/>
        <v>2021</v>
      </c>
    </row>
    <row r="354" spans="1:17">
      <c r="A354" s="162">
        <v>44412</v>
      </c>
      <c r="B354" s="164" t="s">
        <v>1493</v>
      </c>
      <c r="C354" s="164" t="s">
        <v>278</v>
      </c>
      <c r="D354" s="164" t="s">
        <v>97</v>
      </c>
      <c r="E354" s="79">
        <v>44440</v>
      </c>
      <c r="F354" s="6" t="s">
        <v>16</v>
      </c>
      <c r="G354" s="6" t="s">
        <v>46</v>
      </c>
      <c r="H354" s="170">
        <v>19500</v>
      </c>
      <c r="I354" s="172">
        <f t="shared" si="15"/>
        <v>223.3165368758589</v>
      </c>
      <c r="J354" s="162">
        <v>44412</v>
      </c>
      <c r="K354" s="6" t="s">
        <v>251</v>
      </c>
      <c r="L354" s="162">
        <v>44440</v>
      </c>
      <c r="M354" s="175" t="s">
        <v>5566</v>
      </c>
      <c r="N354" s="6" t="s">
        <v>1478</v>
      </c>
      <c r="O354" s="6" t="s">
        <v>280</v>
      </c>
      <c r="P354" s="6" t="str">
        <f t="shared" si="16"/>
        <v>Category</v>
      </c>
      <c r="Q354" t="str">
        <f t="shared" si="17"/>
        <v>2021</v>
      </c>
    </row>
    <row r="355" spans="1:17">
      <c r="A355" s="162">
        <v>44413</v>
      </c>
      <c r="B355" s="164" t="s">
        <v>1495</v>
      </c>
      <c r="C355" s="164" t="s">
        <v>274</v>
      </c>
      <c r="D355" s="164" t="s">
        <v>1497</v>
      </c>
      <c r="E355" s="79">
        <v>44409</v>
      </c>
      <c r="F355" s="6" t="s">
        <v>16</v>
      </c>
      <c r="G355" s="6" t="s">
        <v>82</v>
      </c>
      <c r="H355" s="170">
        <v>24000</v>
      </c>
      <c r="I355" s="172">
        <f t="shared" si="15"/>
        <v>274.85112230874944</v>
      </c>
      <c r="J355" s="162">
        <v>44413</v>
      </c>
      <c r="K355" s="6" t="s">
        <v>251</v>
      </c>
      <c r="L355" s="162">
        <v>44413</v>
      </c>
      <c r="M355" s="175" t="s">
        <v>5567</v>
      </c>
      <c r="O355" s="6" t="s">
        <v>1458</v>
      </c>
      <c r="P355" s="6" t="str">
        <f t="shared" si="16"/>
        <v>SAFe que</v>
      </c>
      <c r="Q355" t="str">
        <f t="shared" si="17"/>
        <v>2021</v>
      </c>
    </row>
    <row r="356" spans="1:17">
      <c r="A356" s="162">
        <v>44414</v>
      </c>
      <c r="B356" s="164" t="s">
        <v>1498</v>
      </c>
      <c r="C356" s="164" t="s">
        <v>278</v>
      </c>
      <c r="D356" s="164" t="s">
        <v>150</v>
      </c>
      <c r="E356" s="79">
        <v>44409</v>
      </c>
      <c r="F356" s="6" t="s">
        <v>16</v>
      </c>
      <c r="G356" s="6" t="s">
        <v>1410</v>
      </c>
      <c r="H356" s="170">
        <v>21000</v>
      </c>
      <c r="I356" s="172">
        <f t="shared" si="15"/>
        <v>240.49473202015577</v>
      </c>
      <c r="J356" s="162">
        <v>44414</v>
      </c>
      <c r="K356" s="6" t="s">
        <v>251</v>
      </c>
      <c r="L356" s="162">
        <v>44414</v>
      </c>
      <c r="M356" s="175" t="s">
        <v>5568</v>
      </c>
      <c r="O356" s="6" t="s">
        <v>356</v>
      </c>
      <c r="P356" s="6" t="str">
        <f t="shared" si="16"/>
        <v>SAFe que</v>
      </c>
      <c r="Q356" t="str">
        <f t="shared" si="17"/>
        <v>2021</v>
      </c>
    </row>
    <row r="357" spans="1:17">
      <c r="A357" s="162">
        <v>44414</v>
      </c>
      <c r="B357" s="164" t="s">
        <v>1500</v>
      </c>
      <c r="C357" s="164" t="s">
        <v>278</v>
      </c>
      <c r="D357" s="164" t="s">
        <v>150</v>
      </c>
      <c r="E357" s="79">
        <v>44409</v>
      </c>
      <c r="F357" s="6" t="s">
        <v>16</v>
      </c>
      <c r="G357" s="6" t="s">
        <v>82</v>
      </c>
      <c r="H357" s="170">
        <v>21000</v>
      </c>
      <c r="I357" s="172">
        <f t="shared" si="15"/>
        <v>240.49473202015577</v>
      </c>
      <c r="J357" s="162">
        <v>44414</v>
      </c>
      <c r="K357" s="6" t="s">
        <v>251</v>
      </c>
      <c r="L357" s="162">
        <v>44414</v>
      </c>
      <c r="M357" s="175" t="s">
        <v>5569</v>
      </c>
      <c r="N357" s="6" t="s">
        <v>1278</v>
      </c>
      <c r="O357" s="6" t="s">
        <v>356</v>
      </c>
      <c r="P357" s="6" t="str">
        <f t="shared" si="16"/>
        <v>SAFe que</v>
      </c>
      <c r="Q357" t="str">
        <f t="shared" si="17"/>
        <v>2021</v>
      </c>
    </row>
    <row r="358" spans="1:17">
      <c r="A358" s="162">
        <v>44414</v>
      </c>
      <c r="B358" s="164" t="s">
        <v>1502</v>
      </c>
      <c r="C358" s="164" t="s">
        <v>303</v>
      </c>
      <c r="D358" s="164" t="s">
        <v>151</v>
      </c>
      <c r="E358" s="79">
        <v>44409</v>
      </c>
      <c r="F358" s="6" t="s">
        <v>16</v>
      </c>
      <c r="G358" s="6" t="s">
        <v>1410</v>
      </c>
      <c r="H358" s="170">
        <v>21000</v>
      </c>
      <c r="I358" s="172">
        <f t="shared" si="15"/>
        <v>240.49473202015577</v>
      </c>
      <c r="J358" s="162">
        <v>44414</v>
      </c>
      <c r="K358" s="6" t="s">
        <v>251</v>
      </c>
      <c r="L358" s="162">
        <v>44414</v>
      </c>
      <c r="M358" s="175" t="s">
        <v>5570</v>
      </c>
      <c r="O358" s="6" t="s">
        <v>280</v>
      </c>
      <c r="P358" s="6" t="str">
        <f t="shared" si="16"/>
        <v>SAFe que</v>
      </c>
      <c r="Q358" t="str">
        <f t="shared" si="17"/>
        <v>2021</v>
      </c>
    </row>
    <row r="359" spans="1:17">
      <c r="A359" s="162">
        <v>44415</v>
      </c>
      <c r="B359" s="164" t="s">
        <v>1504</v>
      </c>
      <c r="C359" s="164" t="s">
        <v>287</v>
      </c>
      <c r="D359" s="164" t="s">
        <v>25</v>
      </c>
      <c r="E359" s="79">
        <v>44409</v>
      </c>
      <c r="F359" s="6" t="s">
        <v>16</v>
      </c>
      <c r="G359" s="6" t="s">
        <v>1428</v>
      </c>
      <c r="H359" s="170">
        <v>46000</v>
      </c>
      <c r="I359" s="172">
        <f t="shared" si="15"/>
        <v>526.7979844251031</v>
      </c>
      <c r="J359" s="162">
        <v>44415</v>
      </c>
      <c r="K359" s="6" t="s">
        <v>251</v>
      </c>
      <c r="L359" s="162">
        <v>44415</v>
      </c>
      <c r="M359" s="175" t="s">
        <v>5571</v>
      </c>
      <c r="O359" s="6" t="s">
        <v>1458</v>
      </c>
      <c r="P359" s="6" t="str">
        <f t="shared" si="16"/>
        <v>SAFe que</v>
      </c>
      <c r="Q359" t="str">
        <f t="shared" si="17"/>
        <v>2021</v>
      </c>
    </row>
    <row r="360" spans="1:17">
      <c r="A360" s="162">
        <v>44417</v>
      </c>
      <c r="B360" s="164" t="s">
        <v>1506</v>
      </c>
      <c r="C360" s="164" t="s">
        <v>319</v>
      </c>
      <c r="D360" s="164" t="s">
        <v>25</v>
      </c>
      <c r="E360" s="79">
        <v>44409</v>
      </c>
      <c r="F360" s="6" t="s">
        <v>16</v>
      </c>
      <c r="G360" s="6" t="s">
        <v>82</v>
      </c>
      <c r="H360" s="170">
        <v>45000</v>
      </c>
      <c r="I360" s="172">
        <f t="shared" si="15"/>
        <v>515.34585432890515</v>
      </c>
      <c r="J360" s="162">
        <v>44417</v>
      </c>
      <c r="K360" s="6" t="s">
        <v>251</v>
      </c>
      <c r="L360" s="162">
        <v>44417</v>
      </c>
      <c r="M360" s="175" t="s">
        <v>5572</v>
      </c>
      <c r="O360" s="6" t="s">
        <v>356</v>
      </c>
      <c r="P360" s="6" t="str">
        <f t="shared" si="16"/>
        <v>SAFe que</v>
      </c>
      <c r="Q360" t="str">
        <f t="shared" si="17"/>
        <v>2021</v>
      </c>
    </row>
    <row r="361" spans="1:17">
      <c r="A361" s="162">
        <v>44418</v>
      </c>
      <c r="B361" s="164" t="s">
        <v>1507</v>
      </c>
      <c r="C361" s="164" t="s">
        <v>297</v>
      </c>
      <c r="D361" s="164" t="s">
        <v>150</v>
      </c>
      <c r="E361" s="79">
        <v>44409</v>
      </c>
      <c r="F361" s="6" t="s">
        <v>16</v>
      </c>
      <c r="G361" s="6" t="s">
        <v>1428</v>
      </c>
      <c r="H361" s="170">
        <v>21000</v>
      </c>
      <c r="I361" s="172">
        <f t="shared" si="15"/>
        <v>240.49473202015577</v>
      </c>
      <c r="J361" s="162">
        <v>44418</v>
      </c>
      <c r="K361" s="6" t="s">
        <v>251</v>
      </c>
      <c r="L361" s="162">
        <v>44418</v>
      </c>
      <c r="M361" s="175" t="s">
        <v>5573</v>
      </c>
      <c r="O361" s="6" t="s">
        <v>280</v>
      </c>
      <c r="P361" s="6" t="str">
        <f t="shared" si="16"/>
        <v>SAFe que</v>
      </c>
      <c r="Q361" t="str">
        <f t="shared" si="17"/>
        <v>2021</v>
      </c>
    </row>
    <row r="362" spans="1:17">
      <c r="A362" s="162">
        <v>44418</v>
      </c>
      <c r="B362" s="164" t="s">
        <v>1261</v>
      </c>
      <c r="C362" s="164" t="s">
        <v>274</v>
      </c>
      <c r="D362" s="164" t="s">
        <v>1218</v>
      </c>
      <c r="E362" s="79">
        <v>44409</v>
      </c>
      <c r="F362" s="6" t="s">
        <v>16</v>
      </c>
      <c r="G362" s="79">
        <v>44409</v>
      </c>
      <c r="H362" s="170">
        <v>15000</v>
      </c>
      <c r="I362" s="172">
        <f t="shared" si="15"/>
        <v>171.78195144296839</v>
      </c>
      <c r="J362" s="162">
        <v>44418</v>
      </c>
      <c r="K362" s="6" t="s">
        <v>251</v>
      </c>
      <c r="L362" s="162">
        <v>44417</v>
      </c>
      <c r="M362" s="175" t="s">
        <v>5574</v>
      </c>
      <c r="O362" s="6" t="s">
        <v>356</v>
      </c>
      <c r="P362" s="6" t="str">
        <f t="shared" si="16"/>
        <v>NonCategory</v>
      </c>
      <c r="Q362" t="str">
        <f t="shared" si="17"/>
        <v>2021</v>
      </c>
    </row>
    <row r="363" spans="1:17">
      <c r="A363" s="162">
        <v>44418</v>
      </c>
      <c r="B363" s="165" t="s">
        <v>1261</v>
      </c>
      <c r="C363" s="164" t="s">
        <v>274</v>
      </c>
      <c r="D363" s="164" t="s">
        <v>1218</v>
      </c>
      <c r="E363" s="79">
        <v>44409</v>
      </c>
      <c r="F363" s="6" t="s">
        <v>16</v>
      </c>
      <c r="G363" s="79">
        <v>44409</v>
      </c>
      <c r="H363" s="170">
        <v>145000</v>
      </c>
      <c r="I363" s="172">
        <f t="shared" si="15"/>
        <v>1660.5588639486946</v>
      </c>
      <c r="J363" s="162">
        <v>44418</v>
      </c>
      <c r="K363" s="6" t="s">
        <v>251</v>
      </c>
      <c r="L363" s="162">
        <v>44418</v>
      </c>
      <c r="M363" s="175" t="s">
        <v>5575</v>
      </c>
      <c r="O363" s="6" t="s">
        <v>356</v>
      </c>
      <c r="P363" s="6" t="str">
        <f t="shared" si="16"/>
        <v>NonCategory</v>
      </c>
      <c r="Q363" t="str">
        <f t="shared" si="17"/>
        <v>2021</v>
      </c>
    </row>
    <row r="364" spans="1:17">
      <c r="A364" s="162">
        <v>44419</v>
      </c>
      <c r="B364" s="164" t="s">
        <v>1509</v>
      </c>
      <c r="C364" s="164" t="s">
        <v>287</v>
      </c>
      <c r="D364" s="164" t="s">
        <v>150</v>
      </c>
      <c r="E364" s="79">
        <v>44409</v>
      </c>
      <c r="F364" s="6" t="s">
        <v>16</v>
      </c>
      <c r="G364" s="6" t="s">
        <v>82</v>
      </c>
      <c r="H364" s="170">
        <v>21000</v>
      </c>
      <c r="I364" s="172">
        <f t="shared" si="15"/>
        <v>240.49473202015577</v>
      </c>
      <c r="J364" s="162">
        <v>44419</v>
      </c>
      <c r="K364" s="6" t="s">
        <v>252</v>
      </c>
      <c r="L364" s="162">
        <v>44419</v>
      </c>
      <c r="M364" s="175" t="s">
        <v>5576</v>
      </c>
      <c r="O364" s="6" t="s">
        <v>1458</v>
      </c>
      <c r="P364" s="6" t="str">
        <f t="shared" si="16"/>
        <v>SAFe que</v>
      </c>
      <c r="Q364" t="str">
        <f t="shared" si="17"/>
        <v>2021</v>
      </c>
    </row>
    <row r="365" spans="1:17">
      <c r="A365" s="162">
        <v>44419</v>
      </c>
      <c r="B365" s="164" t="s">
        <v>1511</v>
      </c>
      <c r="C365" s="164" t="s">
        <v>278</v>
      </c>
      <c r="D365" s="164" t="s">
        <v>97</v>
      </c>
      <c r="E365" s="79">
        <v>44409</v>
      </c>
      <c r="F365" s="6" t="s">
        <v>16</v>
      </c>
      <c r="G365" s="6" t="s">
        <v>82</v>
      </c>
      <c r="H365" s="170">
        <v>19500</v>
      </c>
      <c r="I365" s="172">
        <f t="shared" si="15"/>
        <v>223.3165368758589</v>
      </c>
      <c r="J365" s="162">
        <v>44419</v>
      </c>
      <c r="K365" s="6" t="s">
        <v>252</v>
      </c>
      <c r="L365" s="162">
        <v>44419</v>
      </c>
      <c r="M365" s="175" t="s">
        <v>5577</v>
      </c>
      <c r="N365" s="6" t="s">
        <v>1278</v>
      </c>
      <c r="O365" s="6" t="s">
        <v>356</v>
      </c>
      <c r="P365" s="6" t="str">
        <f t="shared" si="16"/>
        <v>Category</v>
      </c>
      <c r="Q365" t="str">
        <f t="shared" si="17"/>
        <v>2021</v>
      </c>
    </row>
    <row r="366" spans="1:17">
      <c r="A366" s="162">
        <v>44420</v>
      </c>
      <c r="B366" s="164" t="s">
        <v>1513</v>
      </c>
      <c r="C366" s="164" t="s">
        <v>287</v>
      </c>
      <c r="D366" s="164" t="s">
        <v>14</v>
      </c>
      <c r="E366" s="79">
        <v>44409</v>
      </c>
      <c r="F366" s="6" t="s">
        <v>16</v>
      </c>
      <c r="G366" s="6" t="s">
        <v>1515</v>
      </c>
      <c r="H366" s="170">
        <v>31000</v>
      </c>
      <c r="I366" s="172">
        <f t="shared" si="15"/>
        <v>355.01603298213467</v>
      </c>
      <c r="J366" s="162">
        <v>44420</v>
      </c>
      <c r="K366" s="6" t="s">
        <v>252</v>
      </c>
      <c r="L366" s="162">
        <v>44420</v>
      </c>
      <c r="M366" s="175" t="s">
        <v>5578</v>
      </c>
      <c r="O366" s="6" t="s">
        <v>356</v>
      </c>
      <c r="P366" s="6" t="str">
        <f t="shared" si="16"/>
        <v>SAFe que</v>
      </c>
      <c r="Q366" t="str">
        <f t="shared" si="17"/>
        <v>2021</v>
      </c>
    </row>
    <row r="367" spans="1:17">
      <c r="A367" s="162">
        <v>44421</v>
      </c>
      <c r="B367" s="164" t="s">
        <v>1516</v>
      </c>
      <c r="C367" s="164" t="s">
        <v>297</v>
      </c>
      <c r="D367" s="164" t="s">
        <v>25</v>
      </c>
      <c r="E367" s="79">
        <v>44409</v>
      </c>
      <c r="F367" s="6" t="s">
        <v>16</v>
      </c>
      <c r="G367" s="6" t="s">
        <v>82</v>
      </c>
      <c r="H367" s="170">
        <v>45000</v>
      </c>
      <c r="I367" s="172">
        <f t="shared" si="15"/>
        <v>515.34585432890515</v>
      </c>
      <c r="J367" s="162">
        <v>44421</v>
      </c>
      <c r="K367" s="6" t="s">
        <v>252</v>
      </c>
      <c r="L367" s="162">
        <v>44421</v>
      </c>
      <c r="M367" s="175" t="s">
        <v>5579</v>
      </c>
      <c r="O367" s="6" t="s">
        <v>1458</v>
      </c>
      <c r="P367" s="6" t="str">
        <f t="shared" si="16"/>
        <v>SAFe que</v>
      </c>
      <c r="Q367" t="str">
        <f t="shared" si="17"/>
        <v>2021</v>
      </c>
    </row>
    <row r="368" spans="1:17">
      <c r="A368" s="162">
        <v>44421</v>
      </c>
      <c r="B368" s="164" t="s">
        <v>1518</v>
      </c>
      <c r="C368" s="164" t="s">
        <v>303</v>
      </c>
      <c r="D368" s="164" t="s">
        <v>25</v>
      </c>
      <c r="E368" s="79">
        <v>44409</v>
      </c>
      <c r="F368" s="6" t="s">
        <v>16</v>
      </c>
      <c r="G368" s="6" t="s">
        <v>82</v>
      </c>
      <c r="H368" s="170">
        <v>45000</v>
      </c>
      <c r="I368" s="172">
        <f t="shared" si="15"/>
        <v>515.34585432890515</v>
      </c>
      <c r="J368" s="162">
        <v>44421</v>
      </c>
      <c r="K368" s="6" t="s">
        <v>252</v>
      </c>
      <c r="L368" s="162">
        <v>44421</v>
      </c>
      <c r="M368" s="175" t="s">
        <v>5580</v>
      </c>
      <c r="O368" s="6" t="s">
        <v>356</v>
      </c>
      <c r="P368" s="6" t="str">
        <f t="shared" si="16"/>
        <v>SAFe que</v>
      </c>
      <c r="Q368" t="str">
        <f t="shared" si="17"/>
        <v>2021</v>
      </c>
    </row>
    <row r="369" spans="1:17" ht="14.4">
      <c r="A369" s="162">
        <v>44421</v>
      </c>
      <c r="B369" s="164" t="s">
        <v>1520</v>
      </c>
      <c r="C369" s="164" t="s">
        <v>278</v>
      </c>
      <c r="D369" s="164" t="s">
        <v>96</v>
      </c>
      <c r="E369" s="79">
        <v>44409</v>
      </c>
      <c r="F369" s="6" t="s">
        <v>16</v>
      </c>
      <c r="G369" s="6" t="s">
        <v>82</v>
      </c>
      <c r="H369" s="170">
        <v>19500</v>
      </c>
      <c r="I369" s="172">
        <f t="shared" si="15"/>
        <v>223.3165368758589</v>
      </c>
      <c r="J369" s="162">
        <v>44421</v>
      </c>
      <c r="K369" s="6" t="s">
        <v>252</v>
      </c>
      <c r="L369" s="162">
        <v>44421</v>
      </c>
      <c r="M369" s="175" t="s">
        <v>5581</v>
      </c>
      <c r="N369" s="44" t="s">
        <v>816</v>
      </c>
      <c r="O369" s="6" t="s">
        <v>1458</v>
      </c>
      <c r="P369" s="6" t="str">
        <f t="shared" si="16"/>
        <v>Category</v>
      </c>
      <c r="Q369" t="str">
        <f t="shared" si="17"/>
        <v>2021</v>
      </c>
    </row>
    <row r="370" spans="1:17">
      <c r="A370" s="162">
        <v>44422</v>
      </c>
      <c r="B370" s="164" t="s">
        <v>1522</v>
      </c>
      <c r="C370" s="164" t="s">
        <v>287</v>
      </c>
      <c r="D370" s="164" t="s">
        <v>1524</v>
      </c>
      <c r="E370" s="79">
        <v>44409</v>
      </c>
      <c r="F370" s="6" t="s">
        <v>16</v>
      </c>
      <c r="G370" s="6" t="s">
        <v>82</v>
      </c>
      <c r="H370" s="170">
        <v>24000</v>
      </c>
      <c r="I370" s="172">
        <f t="shared" si="15"/>
        <v>274.85112230874944</v>
      </c>
      <c r="J370" s="162">
        <v>44422</v>
      </c>
      <c r="K370" s="6" t="s">
        <v>252</v>
      </c>
      <c r="L370" s="162">
        <v>44422</v>
      </c>
      <c r="M370" s="175" t="s">
        <v>5582</v>
      </c>
      <c r="O370" s="6" t="s">
        <v>356</v>
      </c>
      <c r="P370" s="6" t="str">
        <f t="shared" si="16"/>
        <v>SAFe que</v>
      </c>
      <c r="Q370" t="str">
        <f t="shared" si="17"/>
        <v>2021</v>
      </c>
    </row>
    <row r="371" spans="1:17">
      <c r="A371" s="162">
        <v>44423</v>
      </c>
      <c r="B371" s="164" t="s">
        <v>1525</v>
      </c>
      <c r="C371" s="164" t="s">
        <v>278</v>
      </c>
      <c r="D371" s="164" t="s">
        <v>97</v>
      </c>
      <c r="E371" s="79">
        <v>44409</v>
      </c>
      <c r="F371" s="6" t="s">
        <v>16</v>
      </c>
      <c r="G371" s="6" t="s">
        <v>1428</v>
      </c>
      <c r="H371" s="170">
        <v>20000</v>
      </c>
      <c r="I371" s="172">
        <f t="shared" si="15"/>
        <v>229.04260192395787</v>
      </c>
      <c r="J371" s="162">
        <v>44423</v>
      </c>
      <c r="K371" s="6" t="s">
        <v>252</v>
      </c>
      <c r="L371" s="162">
        <v>44423</v>
      </c>
      <c r="M371" s="175" t="s">
        <v>5583</v>
      </c>
      <c r="N371" s="6" t="s">
        <v>1527</v>
      </c>
      <c r="O371" s="6" t="s">
        <v>280</v>
      </c>
      <c r="P371" s="6" t="str">
        <f t="shared" si="16"/>
        <v>Category</v>
      </c>
      <c r="Q371" t="str">
        <f t="shared" si="17"/>
        <v>2021</v>
      </c>
    </row>
    <row r="372" spans="1:17" ht="14.4">
      <c r="A372" s="162">
        <v>44424</v>
      </c>
      <c r="B372" s="164" t="s">
        <v>734</v>
      </c>
      <c r="C372" s="164" t="s">
        <v>278</v>
      </c>
      <c r="D372" s="164" t="s">
        <v>96</v>
      </c>
      <c r="E372" s="79">
        <v>44409</v>
      </c>
      <c r="F372" s="6" t="s">
        <v>16</v>
      </c>
      <c r="G372" s="6" t="s">
        <v>88</v>
      </c>
      <c r="H372" s="170">
        <v>18500</v>
      </c>
      <c r="I372" s="172">
        <f t="shared" si="15"/>
        <v>211.86440677966101</v>
      </c>
      <c r="J372" s="162">
        <v>44424</v>
      </c>
      <c r="K372" s="6" t="s">
        <v>252</v>
      </c>
      <c r="L372" s="162">
        <v>44424</v>
      </c>
      <c r="M372" s="175" t="s">
        <v>5584</v>
      </c>
      <c r="N372" s="44" t="s">
        <v>1529</v>
      </c>
      <c r="O372" s="6" t="s">
        <v>356</v>
      </c>
      <c r="P372" s="6" t="str">
        <f t="shared" si="16"/>
        <v>Category</v>
      </c>
      <c r="Q372" t="str">
        <f t="shared" si="17"/>
        <v>2021</v>
      </c>
    </row>
    <row r="373" spans="1:17">
      <c r="A373" s="162">
        <v>44424</v>
      </c>
      <c r="B373" s="164" t="s">
        <v>1530</v>
      </c>
      <c r="C373" s="164" t="s">
        <v>278</v>
      </c>
      <c r="D373" s="164" t="s">
        <v>96</v>
      </c>
      <c r="E373" s="79">
        <v>44409</v>
      </c>
      <c r="F373" s="6" t="s">
        <v>16</v>
      </c>
      <c r="G373" s="6" t="s">
        <v>59</v>
      </c>
      <c r="H373" s="170">
        <v>33470</v>
      </c>
      <c r="I373" s="172">
        <f t="shared" si="15"/>
        <v>383.3027943197435</v>
      </c>
      <c r="J373" s="162">
        <v>44424</v>
      </c>
      <c r="K373" s="6" t="s">
        <v>252</v>
      </c>
      <c r="L373" s="162">
        <v>44425</v>
      </c>
      <c r="M373" s="175" t="s">
        <v>5585</v>
      </c>
      <c r="N373" s="6" t="s">
        <v>1278</v>
      </c>
      <c r="O373" s="6" t="s">
        <v>356</v>
      </c>
      <c r="P373" s="6" t="str">
        <f t="shared" si="16"/>
        <v>Category</v>
      </c>
      <c r="Q373" t="str">
        <f t="shared" si="17"/>
        <v>2021</v>
      </c>
    </row>
    <row r="374" spans="1:17" ht="14.4">
      <c r="A374" s="162">
        <v>44425</v>
      </c>
      <c r="B374" s="164" t="s">
        <v>1532</v>
      </c>
      <c r="C374" s="164" t="s">
        <v>278</v>
      </c>
      <c r="D374" s="164" t="s">
        <v>96</v>
      </c>
      <c r="E374" s="79">
        <v>44409</v>
      </c>
      <c r="F374" s="6" t="s">
        <v>16</v>
      </c>
      <c r="G374" s="6" t="s">
        <v>38</v>
      </c>
      <c r="H374" s="170">
        <v>19000</v>
      </c>
      <c r="I374" s="172">
        <f t="shared" si="15"/>
        <v>217.59047182775998</v>
      </c>
      <c r="J374" s="162">
        <v>44425</v>
      </c>
      <c r="K374" s="6" t="s">
        <v>252</v>
      </c>
      <c r="L374" s="162">
        <v>44425</v>
      </c>
      <c r="M374" s="175" t="s">
        <v>5586</v>
      </c>
      <c r="N374" s="44" t="s">
        <v>692</v>
      </c>
      <c r="O374" s="6" t="s">
        <v>280</v>
      </c>
      <c r="P374" s="6" t="str">
        <f t="shared" si="16"/>
        <v>Category</v>
      </c>
      <c r="Q374" t="str">
        <f t="shared" si="17"/>
        <v>2021</v>
      </c>
    </row>
    <row r="375" spans="1:17">
      <c r="A375" s="162">
        <v>44426</v>
      </c>
      <c r="B375" s="164" t="s">
        <v>1534</v>
      </c>
      <c r="C375" s="164" t="s">
        <v>278</v>
      </c>
      <c r="D375" s="164" t="s">
        <v>96</v>
      </c>
      <c r="E375" s="79">
        <v>44409</v>
      </c>
      <c r="F375" s="6" t="s">
        <v>16</v>
      </c>
      <c r="G375" s="6" t="s">
        <v>56</v>
      </c>
      <c r="H375" s="170">
        <v>18000</v>
      </c>
      <c r="I375" s="172">
        <f t="shared" si="15"/>
        <v>206.13834173156206</v>
      </c>
      <c r="J375" s="162">
        <v>44426</v>
      </c>
      <c r="K375" s="6" t="s">
        <v>252</v>
      </c>
      <c r="L375" s="162">
        <v>44427</v>
      </c>
      <c r="M375" s="175" t="s">
        <v>5587</v>
      </c>
      <c r="N375" s="6" t="s">
        <v>1278</v>
      </c>
      <c r="O375" s="6" t="s">
        <v>280</v>
      </c>
      <c r="P375" s="6" t="str">
        <f t="shared" si="16"/>
        <v>Category</v>
      </c>
      <c r="Q375" t="str">
        <f t="shared" si="17"/>
        <v>2021</v>
      </c>
    </row>
    <row r="376" spans="1:17" ht="14.4">
      <c r="A376" s="162">
        <v>44426</v>
      </c>
      <c r="B376" s="164" t="s">
        <v>1536</v>
      </c>
      <c r="C376" s="164" t="s">
        <v>278</v>
      </c>
      <c r="D376" s="164" t="s">
        <v>14</v>
      </c>
      <c r="E376" s="79">
        <v>44409</v>
      </c>
      <c r="F376" s="6" t="s">
        <v>16</v>
      </c>
      <c r="G376" s="6" t="s">
        <v>1538</v>
      </c>
      <c r="H376" s="170">
        <v>31000</v>
      </c>
      <c r="I376" s="172">
        <f t="shared" si="15"/>
        <v>355.01603298213467</v>
      </c>
      <c r="J376" s="162">
        <v>44426</v>
      </c>
      <c r="K376" s="6" t="s">
        <v>252</v>
      </c>
      <c r="L376" s="162">
        <v>44426</v>
      </c>
      <c r="M376" s="175" t="s">
        <v>5588</v>
      </c>
      <c r="N376" s="44" t="s">
        <v>1113</v>
      </c>
      <c r="O376" s="6" t="s">
        <v>356</v>
      </c>
      <c r="P376" s="6" t="str">
        <f t="shared" si="16"/>
        <v>SAFe que</v>
      </c>
      <c r="Q376" t="str">
        <f t="shared" si="17"/>
        <v>2021</v>
      </c>
    </row>
    <row r="377" spans="1:17">
      <c r="A377" s="162">
        <v>44428</v>
      </c>
      <c r="B377" s="164" t="s">
        <v>1539</v>
      </c>
      <c r="C377" s="164" t="s">
        <v>291</v>
      </c>
      <c r="D377" s="164" t="s">
        <v>25</v>
      </c>
      <c r="E377" s="79">
        <v>44409</v>
      </c>
      <c r="F377" s="6" t="s">
        <v>16</v>
      </c>
      <c r="G377" s="6" t="s">
        <v>120</v>
      </c>
      <c r="H377" s="170">
        <v>45000</v>
      </c>
      <c r="I377" s="172">
        <f t="shared" si="15"/>
        <v>515.34585432890515</v>
      </c>
      <c r="J377" s="162">
        <v>44428</v>
      </c>
      <c r="K377" s="6" t="s">
        <v>252</v>
      </c>
      <c r="L377" s="162">
        <v>44428</v>
      </c>
      <c r="M377" s="175" t="s">
        <v>5589</v>
      </c>
      <c r="O377" s="6" t="s">
        <v>280</v>
      </c>
      <c r="P377" s="6" t="str">
        <f t="shared" si="16"/>
        <v>SAFe que</v>
      </c>
      <c r="Q377" t="str">
        <f t="shared" si="17"/>
        <v>2021</v>
      </c>
    </row>
    <row r="378" spans="1:17">
      <c r="A378" s="162">
        <v>44428</v>
      </c>
      <c r="B378" s="164" t="s">
        <v>1541</v>
      </c>
      <c r="C378" s="164" t="s">
        <v>495</v>
      </c>
      <c r="D378" s="164" t="s">
        <v>7</v>
      </c>
      <c r="E378" s="79">
        <v>44409</v>
      </c>
      <c r="F378" s="6" t="s">
        <v>16</v>
      </c>
      <c r="G378" s="6" t="s">
        <v>120</v>
      </c>
      <c r="H378" s="170">
        <v>45000</v>
      </c>
      <c r="I378" s="172">
        <f t="shared" si="15"/>
        <v>515.34585432890515</v>
      </c>
      <c r="J378" s="162">
        <v>44428</v>
      </c>
      <c r="K378" s="6" t="s">
        <v>252</v>
      </c>
      <c r="L378" s="162">
        <v>44428</v>
      </c>
      <c r="M378" s="175" t="s">
        <v>5590</v>
      </c>
      <c r="O378" s="6" t="s">
        <v>356</v>
      </c>
      <c r="P378" s="6" t="str">
        <f t="shared" si="16"/>
        <v>SAFe que</v>
      </c>
      <c r="Q378" t="str">
        <f t="shared" si="17"/>
        <v>2021</v>
      </c>
    </row>
    <row r="379" spans="1:17" ht="14.4">
      <c r="A379" s="162">
        <v>44431</v>
      </c>
      <c r="B379" s="164" t="s">
        <v>1543</v>
      </c>
      <c r="C379" s="164" t="s">
        <v>278</v>
      </c>
      <c r="D379" s="164" t="s">
        <v>96</v>
      </c>
      <c r="E379" s="79">
        <v>44409</v>
      </c>
      <c r="F379" s="6" t="s">
        <v>16</v>
      </c>
      <c r="G379" s="6" t="s">
        <v>88</v>
      </c>
      <c r="H379" s="170">
        <v>19000</v>
      </c>
      <c r="I379" s="172">
        <f t="shared" si="15"/>
        <v>217.59047182775998</v>
      </c>
      <c r="J379" s="162">
        <v>44431</v>
      </c>
      <c r="K379" s="6" t="s">
        <v>253</v>
      </c>
      <c r="L379" s="162">
        <v>44431</v>
      </c>
      <c r="M379" s="175" t="s">
        <v>5591</v>
      </c>
      <c r="N379" s="44" t="s">
        <v>1376</v>
      </c>
      <c r="O379" s="6" t="s">
        <v>280</v>
      </c>
      <c r="P379" s="6" t="str">
        <f t="shared" si="16"/>
        <v>Category</v>
      </c>
      <c r="Q379" t="str">
        <f t="shared" si="17"/>
        <v>2021</v>
      </c>
    </row>
    <row r="380" spans="1:17">
      <c r="A380" s="162">
        <v>44431</v>
      </c>
      <c r="B380" s="164" t="s">
        <v>1203</v>
      </c>
      <c r="C380" s="164" t="s">
        <v>274</v>
      </c>
      <c r="D380" s="164" t="s">
        <v>976</v>
      </c>
      <c r="E380" s="79">
        <v>44409</v>
      </c>
      <c r="F380" s="6" t="s">
        <v>16</v>
      </c>
      <c r="G380" s="79">
        <v>44440</v>
      </c>
      <c r="H380" s="170">
        <v>16000</v>
      </c>
      <c r="I380" s="172">
        <f t="shared" si="15"/>
        <v>183.23408153916631</v>
      </c>
      <c r="J380" s="162">
        <v>44431</v>
      </c>
      <c r="K380" s="6" t="s">
        <v>253</v>
      </c>
      <c r="L380" s="162">
        <v>44431</v>
      </c>
      <c r="M380" s="175" t="s">
        <v>5592</v>
      </c>
      <c r="O380" s="6" t="s">
        <v>356</v>
      </c>
      <c r="P380" s="6" t="str">
        <f t="shared" si="16"/>
        <v>NonCategory</v>
      </c>
      <c r="Q380" t="str">
        <f t="shared" si="17"/>
        <v>2021</v>
      </c>
    </row>
    <row r="381" spans="1:17">
      <c r="A381" s="162">
        <v>44431</v>
      </c>
      <c r="B381" s="164" t="s">
        <v>1546</v>
      </c>
      <c r="C381" s="164" t="s">
        <v>278</v>
      </c>
      <c r="D381" s="164" t="s">
        <v>96</v>
      </c>
      <c r="E381" s="79">
        <v>44409</v>
      </c>
      <c r="F381" s="6" t="s">
        <v>16</v>
      </c>
      <c r="G381" s="6" t="s">
        <v>1548</v>
      </c>
      <c r="H381" s="170">
        <v>20000</v>
      </c>
      <c r="I381" s="172">
        <f t="shared" si="15"/>
        <v>229.04260192395787</v>
      </c>
      <c r="J381" s="162">
        <v>44431</v>
      </c>
      <c r="K381" s="6" t="s">
        <v>253</v>
      </c>
      <c r="L381" s="162">
        <v>44432</v>
      </c>
      <c r="M381" s="175" t="s">
        <v>5593</v>
      </c>
      <c r="N381" s="6" t="s">
        <v>732</v>
      </c>
      <c r="O381" s="6" t="s">
        <v>356</v>
      </c>
      <c r="P381" s="6" t="str">
        <f t="shared" si="16"/>
        <v>Category</v>
      </c>
      <c r="Q381" t="str">
        <f t="shared" si="17"/>
        <v>2021</v>
      </c>
    </row>
    <row r="382" spans="1:17">
      <c r="A382" s="162">
        <v>44433</v>
      </c>
      <c r="B382" s="164" t="s">
        <v>1549</v>
      </c>
      <c r="C382" s="164" t="s">
        <v>319</v>
      </c>
      <c r="D382" s="164" t="s">
        <v>25</v>
      </c>
      <c r="E382" s="79">
        <v>44409</v>
      </c>
      <c r="F382" s="6" t="s">
        <v>16</v>
      </c>
      <c r="G382" s="6" t="s">
        <v>1428</v>
      </c>
      <c r="H382" s="170">
        <v>46000</v>
      </c>
      <c r="I382" s="172">
        <f t="shared" si="15"/>
        <v>526.7979844251031</v>
      </c>
      <c r="J382" s="162">
        <v>44433</v>
      </c>
      <c r="K382" s="6" t="s">
        <v>253</v>
      </c>
      <c r="L382" s="162">
        <v>44433</v>
      </c>
      <c r="M382" s="175" t="s">
        <v>5594</v>
      </c>
      <c r="O382" s="6" t="s">
        <v>280</v>
      </c>
      <c r="P382" s="6" t="str">
        <f t="shared" si="16"/>
        <v>SAFe que</v>
      </c>
      <c r="Q382" t="str">
        <f t="shared" si="17"/>
        <v>2021</v>
      </c>
    </row>
    <row r="383" spans="1:17">
      <c r="A383" s="162">
        <v>44434</v>
      </c>
      <c r="B383" s="164" t="s">
        <v>1551</v>
      </c>
      <c r="C383" s="164" t="s">
        <v>287</v>
      </c>
      <c r="D383" s="164" t="s">
        <v>150</v>
      </c>
      <c r="E383" s="79">
        <v>44409</v>
      </c>
      <c r="F383" s="6" t="s">
        <v>16</v>
      </c>
      <c r="G383" s="6" t="s">
        <v>88</v>
      </c>
      <c r="H383" s="170">
        <v>20500</v>
      </c>
      <c r="I383" s="172">
        <f t="shared" si="15"/>
        <v>234.76866697205682</v>
      </c>
      <c r="J383" s="162">
        <v>44434</v>
      </c>
      <c r="K383" s="6" t="s">
        <v>253</v>
      </c>
      <c r="L383" s="162">
        <v>44434</v>
      </c>
      <c r="M383" s="175" t="s">
        <v>5595</v>
      </c>
      <c r="O383" s="6" t="s">
        <v>1418</v>
      </c>
      <c r="P383" s="6" t="str">
        <f t="shared" si="16"/>
        <v>SAFe que</v>
      </c>
      <c r="Q383" t="str">
        <f t="shared" si="17"/>
        <v>2021</v>
      </c>
    </row>
    <row r="384" spans="1:17" ht="14.4">
      <c r="A384" s="162">
        <v>44434</v>
      </c>
      <c r="B384" s="164" t="s">
        <v>1553</v>
      </c>
      <c r="C384" s="164" t="s">
        <v>278</v>
      </c>
      <c r="D384" s="164" t="s">
        <v>150</v>
      </c>
      <c r="E384" s="79">
        <v>44409</v>
      </c>
      <c r="F384" s="6" t="s">
        <v>16</v>
      </c>
      <c r="G384" s="6" t="s">
        <v>88</v>
      </c>
      <c r="H384" s="170">
        <v>20500</v>
      </c>
      <c r="I384" s="172">
        <f t="shared" si="15"/>
        <v>234.76866697205682</v>
      </c>
      <c r="J384" s="162">
        <v>44434</v>
      </c>
      <c r="K384" s="6" t="s">
        <v>253</v>
      </c>
      <c r="L384" s="162">
        <v>44434</v>
      </c>
      <c r="M384" s="175" t="s">
        <v>5596</v>
      </c>
      <c r="N384" s="44" t="s">
        <v>1552</v>
      </c>
      <c r="O384" s="6" t="s">
        <v>1418</v>
      </c>
      <c r="P384" s="6" t="str">
        <f t="shared" si="16"/>
        <v>SAFe que</v>
      </c>
      <c r="Q384" t="str">
        <f t="shared" si="17"/>
        <v>2021</v>
      </c>
    </row>
    <row r="385" spans="1:17" ht="14.4">
      <c r="A385" s="162">
        <v>44434</v>
      </c>
      <c r="B385" s="164" t="s">
        <v>1555</v>
      </c>
      <c r="C385" s="164" t="s">
        <v>278</v>
      </c>
      <c r="D385" s="164" t="s">
        <v>150</v>
      </c>
      <c r="E385" s="79">
        <v>44409</v>
      </c>
      <c r="F385" s="6" t="s">
        <v>16</v>
      </c>
      <c r="G385" s="6" t="s">
        <v>88</v>
      </c>
      <c r="H385" s="170">
        <v>20500</v>
      </c>
      <c r="I385" s="172">
        <f t="shared" si="15"/>
        <v>234.76866697205682</v>
      </c>
      <c r="J385" s="162">
        <v>44434</v>
      </c>
      <c r="K385" s="6" t="s">
        <v>253</v>
      </c>
      <c r="L385" s="162">
        <v>44434</v>
      </c>
      <c r="M385" s="175" t="s">
        <v>5597</v>
      </c>
      <c r="N385" s="44" t="s">
        <v>1552</v>
      </c>
      <c r="O385" s="6" t="s">
        <v>1418</v>
      </c>
      <c r="P385" s="6" t="str">
        <f t="shared" si="16"/>
        <v>SAFe que</v>
      </c>
      <c r="Q385" t="str">
        <f t="shared" si="17"/>
        <v>2021</v>
      </c>
    </row>
    <row r="386" spans="1:17">
      <c r="A386" s="162">
        <v>44438</v>
      </c>
      <c r="B386" s="164" t="s">
        <v>1557</v>
      </c>
      <c r="C386" s="164" t="s">
        <v>319</v>
      </c>
      <c r="D386" s="164" t="s">
        <v>96</v>
      </c>
      <c r="E386" s="79">
        <v>44409</v>
      </c>
      <c r="F386" s="6" t="s">
        <v>16</v>
      </c>
      <c r="G386" s="6" t="s">
        <v>88</v>
      </c>
      <c r="H386" s="170">
        <v>19300</v>
      </c>
      <c r="I386" s="172">
        <f t="shared" ref="I386:I449" si="18">IFERROR((($H386/1.18))/74,"")</f>
        <v>221.02611085661934</v>
      </c>
      <c r="J386" s="162">
        <v>44438</v>
      </c>
      <c r="K386" s="6" t="s">
        <v>253</v>
      </c>
      <c r="L386" s="162">
        <v>44438</v>
      </c>
      <c r="M386" s="175" t="s">
        <v>5598</v>
      </c>
      <c r="O386" s="6" t="s">
        <v>1418</v>
      </c>
      <c r="P386" s="6" t="str">
        <f t="shared" ref="P386:P449" si="19">IFERROR(_xlfn.IFS($D386="CSM","Category",$D386="CSPO","Category", $D386="PSM","SAFe que",$D386="PSPO","SAFe que",$D386="SAFe Agile","SAFe que",$D386="SAFe SSM","SAFe que",$D386="SAFe POPM","SAFe que",$D386="SASM","SAFe que",$D386="PMI-ACP","Category",$D386="ICP-ACC","SAFe que",$D386="PSM 2","SAFe que",$D386="SAFe RTE","SAFe que",$D386="Implementing SAFe","SAFe que",$D386="SAFe for Government","SAFe que",$D386="PSPO 2","SAFe que",$D386="",""),"NonCategory")</f>
        <v>Category</v>
      </c>
      <c r="Q386" t="str">
        <f t="shared" ref="Q386:Q449" si="20">TEXT(E386, "yyyy")</f>
        <v>2021</v>
      </c>
    </row>
    <row r="387" spans="1:17">
      <c r="A387" s="162">
        <v>44439</v>
      </c>
      <c r="B387" s="164" t="s">
        <v>1559</v>
      </c>
      <c r="C387" s="164" t="s">
        <v>278</v>
      </c>
      <c r="D387" s="164" t="s">
        <v>72</v>
      </c>
      <c r="E387" s="79">
        <v>44409</v>
      </c>
      <c r="F387" s="6" t="s">
        <v>16</v>
      </c>
      <c r="G387" s="6" t="s">
        <v>1561</v>
      </c>
      <c r="H387" s="170">
        <v>59000</v>
      </c>
      <c r="I387" s="172">
        <f t="shared" si="18"/>
        <v>675.67567567567562</v>
      </c>
      <c r="J387" s="162">
        <v>44439</v>
      </c>
      <c r="K387" s="6" t="s">
        <v>253</v>
      </c>
      <c r="L387" s="162">
        <v>44439</v>
      </c>
      <c r="M387" s="175" t="s">
        <v>1562</v>
      </c>
      <c r="N387" s="6" t="s">
        <v>1478</v>
      </c>
      <c r="O387" s="6" t="s">
        <v>356</v>
      </c>
      <c r="P387" s="6" t="str">
        <f t="shared" si="19"/>
        <v>SAFe que</v>
      </c>
      <c r="Q387" t="str">
        <f t="shared" si="20"/>
        <v>2021</v>
      </c>
    </row>
    <row r="388" spans="1:17">
      <c r="A388" s="162">
        <v>44439</v>
      </c>
      <c r="B388" s="164" t="s">
        <v>1559</v>
      </c>
      <c r="C388" s="164" t="s">
        <v>278</v>
      </c>
      <c r="D388" s="164" t="s">
        <v>72</v>
      </c>
      <c r="E388" s="79">
        <v>44409</v>
      </c>
      <c r="F388" s="6" t="s">
        <v>16</v>
      </c>
      <c r="G388" s="6" t="s">
        <v>1561</v>
      </c>
      <c r="H388" s="170">
        <v>59000</v>
      </c>
      <c r="I388" s="172">
        <f t="shared" si="18"/>
        <v>675.67567567567562</v>
      </c>
      <c r="J388" s="162">
        <v>44439</v>
      </c>
      <c r="K388" s="6" t="s">
        <v>253</v>
      </c>
      <c r="L388" s="162">
        <v>44439</v>
      </c>
      <c r="M388" s="175" t="s">
        <v>1563</v>
      </c>
      <c r="N388" s="6" t="s">
        <v>1564</v>
      </c>
      <c r="O388" s="6" t="s">
        <v>356</v>
      </c>
      <c r="P388" s="6" t="str">
        <f t="shared" si="19"/>
        <v>SAFe que</v>
      </c>
      <c r="Q388" t="str">
        <f t="shared" si="20"/>
        <v>2021</v>
      </c>
    </row>
    <row r="389" spans="1:17">
      <c r="A389" s="163">
        <v>44439</v>
      </c>
      <c r="B389" s="165" t="s">
        <v>1559</v>
      </c>
      <c r="C389" s="165" t="s">
        <v>278</v>
      </c>
      <c r="D389" s="164" t="s">
        <v>72</v>
      </c>
      <c r="E389" s="123">
        <v>44440</v>
      </c>
      <c r="F389" s="2" t="s">
        <v>16</v>
      </c>
      <c r="G389" s="6" t="s">
        <v>1561</v>
      </c>
      <c r="H389" s="170">
        <v>12000</v>
      </c>
      <c r="I389" s="172">
        <f t="shared" si="18"/>
        <v>137.42556115437472</v>
      </c>
      <c r="J389" s="163">
        <v>44440</v>
      </c>
      <c r="K389" s="6" t="s">
        <v>251</v>
      </c>
      <c r="L389" s="162">
        <v>44440</v>
      </c>
      <c r="M389" s="175" t="s">
        <v>1565</v>
      </c>
      <c r="N389" s="6" t="s">
        <v>1564</v>
      </c>
      <c r="O389" s="6" t="s">
        <v>356</v>
      </c>
      <c r="P389" s="6" t="str">
        <f t="shared" si="19"/>
        <v>SAFe que</v>
      </c>
      <c r="Q389" t="str">
        <f t="shared" si="20"/>
        <v>2021</v>
      </c>
    </row>
    <row r="390" spans="1:17">
      <c r="A390" s="162">
        <v>44441</v>
      </c>
      <c r="B390" s="164" t="s">
        <v>1566</v>
      </c>
      <c r="C390" s="164" t="s">
        <v>319</v>
      </c>
      <c r="D390" s="164" t="s">
        <v>151</v>
      </c>
      <c r="E390" s="79">
        <v>44440</v>
      </c>
      <c r="F390" s="6" t="s">
        <v>16</v>
      </c>
      <c r="G390" s="6" t="s">
        <v>52</v>
      </c>
      <c r="H390" s="170">
        <v>21000</v>
      </c>
      <c r="I390" s="172">
        <f t="shared" si="18"/>
        <v>240.49473202015577</v>
      </c>
      <c r="J390" s="162">
        <v>44441</v>
      </c>
      <c r="K390" s="6" t="s">
        <v>251</v>
      </c>
      <c r="L390" s="162">
        <v>44441</v>
      </c>
      <c r="M390" s="175" t="s">
        <v>5599</v>
      </c>
      <c r="O390" s="6" t="s">
        <v>280</v>
      </c>
      <c r="P390" s="6" t="str">
        <f t="shared" si="19"/>
        <v>SAFe que</v>
      </c>
      <c r="Q390" t="str">
        <f t="shared" si="20"/>
        <v>2021</v>
      </c>
    </row>
    <row r="391" spans="1:17">
      <c r="A391" s="162">
        <v>44441</v>
      </c>
      <c r="B391" s="164" t="s">
        <v>1568</v>
      </c>
      <c r="C391" s="164" t="s">
        <v>274</v>
      </c>
      <c r="D391" s="164" t="s">
        <v>976</v>
      </c>
      <c r="E391" s="79">
        <v>44440</v>
      </c>
      <c r="F391" s="6" t="s">
        <v>16</v>
      </c>
      <c r="G391" s="97">
        <v>44457</v>
      </c>
      <c r="H391" s="170">
        <v>16000</v>
      </c>
      <c r="I391" s="172">
        <f t="shared" si="18"/>
        <v>183.23408153916631</v>
      </c>
      <c r="J391" s="162">
        <v>44441</v>
      </c>
      <c r="K391" s="6" t="s">
        <v>252</v>
      </c>
      <c r="L391" s="162">
        <v>44455</v>
      </c>
      <c r="M391" s="175" t="s">
        <v>5600</v>
      </c>
      <c r="O391" s="6" t="s">
        <v>356</v>
      </c>
      <c r="P391" s="6" t="str">
        <f t="shared" si="19"/>
        <v>NonCategory</v>
      </c>
      <c r="Q391" t="str">
        <f t="shared" si="20"/>
        <v>2021</v>
      </c>
    </row>
    <row r="392" spans="1:17">
      <c r="A392" s="162">
        <v>44441</v>
      </c>
      <c r="B392" s="164" t="s">
        <v>1487</v>
      </c>
      <c r="C392" s="164" t="s">
        <v>278</v>
      </c>
      <c r="D392" s="164" t="s">
        <v>538</v>
      </c>
      <c r="E392" s="79">
        <v>44440</v>
      </c>
      <c r="F392" s="6" t="s">
        <v>16</v>
      </c>
      <c r="G392" s="97">
        <v>44445</v>
      </c>
      <c r="H392" s="170">
        <v>12000</v>
      </c>
      <c r="I392" s="172">
        <f t="shared" si="18"/>
        <v>137.42556115437472</v>
      </c>
      <c r="J392" s="162">
        <v>44441</v>
      </c>
      <c r="K392" s="6" t="s">
        <v>251</v>
      </c>
      <c r="L392" s="162">
        <v>44441</v>
      </c>
      <c r="M392" s="175" t="s">
        <v>5601</v>
      </c>
      <c r="N392" s="6" t="s">
        <v>1278</v>
      </c>
      <c r="O392" s="6" t="s">
        <v>356</v>
      </c>
      <c r="P392" s="6" t="str">
        <f t="shared" si="19"/>
        <v>NonCategory</v>
      </c>
      <c r="Q392" t="str">
        <f t="shared" si="20"/>
        <v>2021</v>
      </c>
    </row>
    <row r="393" spans="1:17">
      <c r="A393" s="162">
        <v>44441</v>
      </c>
      <c r="B393" s="164" t="s">
        <v>1572</v>
      </c>
      <c r="C393" s="164" t="s">
        <v>278</v>
      </c>
      <c r="D393" s="164" t="s">
        <v>538</v>
      </c>
      <c r="E393" s="79">
        <v>44440</v>
      </c>
      <c r="F393" s="6" t="s">
        <v>16</v>
      </c>
      <c r="G393" s="97">
        <v>44445</v>
      </c>
      <c r="H393" s="170">
        <v>12000</v>
      </c>
      <c r="I393" s="172">
        <f t="shared" si="18"/>
        <v>137.42556115437472</v>
      </c>
      <c r="J393" s="162">
        <v>44441</v>
      </c>
      <c r="K393" s="6" t="s">
        <v>251</v>
      </c>
      <c r="L393" s="162">
        <v>44441</v>
      </c>
      <c r="M393" s="175" t="s">
        <v>5602</v>
      </c>
      <c r="N393" s="6" t="s">
        <v>1278</v>
      </c>
      <c r="O393" s="6" t="s">
        <v>356</v>
      </c>
      <c r="P393" s="6" t="str">
        <f t="shared" si="19"/>
        <v>NonCategory</v>
      </c>
      <c r="Q393" t="str">
        <f t="shared" si="20"/>
        <v>2021</v>
      </c>
    </row>
    <row r="394" spans="1:17">
      <c r="A394" s="162">
        <v>44442</v>
      </c>
      <c r="B394" s="164" t="s">
        <v>1574</v>
      </c>
      <c r="C394" s="164" t="s">
        <v>343</v>
      </c>
      <c r="D394" s="164" t="s">
        <v>96</v>
      </c>
      <c r="E394" s="79">
        <v>44440</v>
      </c>
      <c r="F394" s="6" t="s">
        <v>16</v>
      </c>
      <c r="G394" s="6" t="s">
        <v>88</v>
      </c>
      <c r="H394" s="170">
        <v>20000</v>
      </c>
      <c r="I394" s="172">
        <f t="shared" si="18"/>
        <v>229.04260192395787</v>
      </c>
      <c r="J394" s="162">
        <v>44442</v>
      </c>
      <c r="K394" s="6" t="s">
        <v>251</v>
      </c>
      <c r="L394" s="162">
        <v>44442</v>
      </c>
      <c r="M394" s="175" t="s">
        <v>5603</v>
      </c>
      <c r="O394" s="6" t="s">
        <v>280</v>
      </c>
      <c r="P394" s="6" t="str">
        <f t="shared" si="19"/>
        <v>Category</v>
      </c>
      <c r="Q394" t="str">
        <f t="shared" si="20"/>
        <v>2021</v>
      </c>
    </row>
    <row r="395" spans="1:17">
      <c r="A395" s="162">
        <v>44442</v>
      </c>
      <c r="B395" s="164" t="s">
        <v>1576</v>
      </c>
      <c r="C395" s="164" t="s">
        <v>303</v>
      </c>
      <c r="D395" s="164" t="s">
        <v>532</v>
      </c>
      <c r="E395" s="79">
        <v>44440</v>
      </c>
      <c r="F395" s="6" t="s">
        <v>16</v>
      </c>
      <c r="G395" s="6" t="s">
        <v>480</v>
      </c>
      <c r="H395" s="170">
        <v>12788</v>
      </c>
      <c r="I395" s="172">
        <f t="shared" si="18"/>
        <v>146.44983967017865</v>
      </c>
      <c r="J395" s="162">
        <v>44441</v>
      </c>
      <c r="K395" s="6" t="s">
        <v>251</v>
      </c>
      <c r="L395" s="162">
        <v>44441</v>
      </c>
      <c r="M395" s="175" t="s">
        <v>5604</v>
      </c>
      <c r="O395" s="6" t="s">
        <v>356</v>
      </c>
      <c r="P395" s="6" t="str">
        <f t="shared" si="19"/>
        <v>NonCategory</v>
      </c>
      <c r="Q395" t="str">
        <f t="shared" si="20"/>
        <v>2021</v>
      </c>
    </row>
    <row r="396" spans="1:17">
      <c r="A396" s="162">
        <v>44443</v>
      </c>
      <c r="B396" s="164" t="s">
        <v>1578</v>
      </c>
      <c r="C396" s="164" t="s">
        <v>274</v>
      </c>
      <c r="D396" s="164" t="s">
        <v>1698</v>
      </c>
      <c r="E396" s="79">
        <v>44440</v>
      </c>
      <c r="F396" s="6" t="s">
        <v>16</v>
      </c>
      <c r="G396" s="97">
        <v>44443</v>
      </c>
      <c r="H396" s="170">
        <v>38000</v>
      </c>
      <c r="I396" s="172">
        <f t="shared" si="18"/>
        <v>435.18094365551997</v>
      </c>
      <c r="J396" s="162">
        <v>44443</v>
      </c>
      <c r="K396" s="6" t="s">
        <v>251</v>
      </c>
      <c r="L396" s="162">
        <v>44443</v>
      </c>
      <c r="M396" s="175" t="s">
        <v>5605</v>
      </c>
      <c r="O396" s="6" t="s">
        <v>356</v>
      </c>
      <c r="P396" s="6" t="str">
        <f t="shared" si="19"/>
        <v>NonCategory</v>
      </c>
      <c r="Q396" t="str">
        <f t="shared" si="20"/>
        <v>2021</v>
      </c>
    </row>
    <row r="397" spans="1:17">
      <c r="A397" s="162">
        <v>44444</v>
      </c>
      <c r="B397" s="164" t="s">
        <v>1579</v>
      </c>
      <c r="C397" s="164" t="s">
        <v>278</v>
      </c>
      <c r="D397" s="164" t="s">
        <v>25</v>
      </c>
      <c r="E397" s="79">
        <v>44440</v>
      </c>
      <c r="F397" s="6" t="s">
        <v>16</v>
      </c>
      <c r="G397" s="6" t="s">
        <v>38</v>
      </c>
      <c r="H397" s="170">
        <v>45000</v>
      </c>
      <c r="I397" s="172">
        <f t="shared" si="18"/>
        <v>515.34585432890515</v>
      </c>
      <c r="J397" s="162">
        <v>44444</v>
      </c>
      <c r="K397" s="6" t="s">
        <v>251</v>
      </c>
      <c r="L397" s="162">
        <v>44444</v>
      </c>
      <c r="M397" s="175" t="s">
        <v>5606</v>
      </c>
      <c r="N397" s="6" t="s">
        <v>1478</v>
      </c>
      <c r="O397" s="6" t="s">
        <v>356</v>
      </c>
      <c r="P397" s="6" t="str">
        <f t="shared" si="19"/>
        <v>SAFe que</v>
      </c>
      <c r="Q397" t="str">
        <f t="shared" si="20"/>
        <v>2021</v>
      </c>
    </row>
    <row r="398" spans="1:17">
      <c r="A398" s="162">
        <v>44445</v>
      </c>
      <c r="B398" s="164" t="s">
        <v>1581</v>
      </c>
      <c r="C398" s="164" t="s">
        <v>274</v>
      </c>
      <c r="D398" s="164" t="s">
        <v>1582</v>
      </c>
      <c r="E398" s="79">
        <v>44440</v>
      </c>
      <c r="F398" s="6" t="s">
        <v>16</v>
      </c>
      <c r="G398" s="97">
        <v>44457</v>
      </c>
      <c r="H398" s="170">
        <v>17000</v>
      </c>
      <c r="I398" s="172">
        <f t="shared" si="18"/>
        <v>194.68621163536417</v>
      </c>
      <c r="J398" s="162">
        <v>44445</v>
      </c>
      <c r="K398" s="6" t="s">
        <v>251</v>
      </c>
      <c r="L398" s="162">
        <v>44445</v>
      </c>
      <c r="M398" s="175" t="s">
        <v>5607</v>
      </c>
      <c r="O398" s="6" t="s">
        <v>356</v>
      </c>
      <c r="P398" s="6" t="str">
        <f t="shared" si="19"/>
        <v>NonCategory</v>
      </c>
      <c r="Q398" t="str">
        <f t="shared" si="20"/>
        <v>2021</v>
      </c>
    </row>
    <row r="399" spans="1:17">
      <c r="A399" s="162">
        <v>44446</v>
      </c>
      <c r="B399" s="164" t="s">
        <v>1583</v>
      </c>
      <c r="C399" s="164" t="s">
        <v>319</v>
      </c>
      <c r="D399" s="164" t="s">
        <v>150</v>
      </c>
      <c r="E399" s="79">
        <v>44440</v>
      </c>
      <c r="F399" s="6" t="s">
        <v>16</v>
      </c>
      <c r="G399" s="6" t="s">
        <v>46</v>
      </c>
      <c r="H399" s="170">
        <v>21000</v>
      </c>
      <c r="I399" s="172">
        <f t="shared" si="18"/>
        <v>240.49473202015577</v>
      </c>
      <c r="J399" s="162">
        <v>44446</v>
      </c>
      <c r="K399" s="6" t="s">
        <v>251</v>
      </c>
      <c r="L399" s="162">
        <v>44446</v>
      </c>
      <c r="M399" s="175" t="s">
        <v>5608</v>
      </c>
      <c r="O399" s="6" t="s">
        <v>356</v>
      </c>
      <c r="P399" s="6" t="str">
        <f t="shared" si="19"/>
        <v>SAFe que</v>
      </c>
      <c r="Q399" t="str">
        <f t="shared" si="20"/>
        <v>2021</v>
      </c>
    </row>
    <row r="400" spans="1:17" ht="14.4">
      <c r="A400" s="162">
        <v>44446</v>
      </c>
      <c r="B400" s="164" t="s">
        <v>1587</v>
      </c>
      <c r="C400" s="164" t="s">
        <v>278</v>
      </c>
      <c r="D400" s="164" t="s">
        <v>97</v>
      </c>
      <c r="E400" s="79">
        <v>44440</v>
      </c>
      <c r="F400" s="6" t="s">
        <v>16</v>
      </c>
      <c r="G400" s="6" t="s">
        <v>170</v>
      </c>
      <c r="H400" s="170">
        <v>18000</v>
      </c>
      <c r="I400" s="172">
        <f t="shared" si="18"/>
        <v>206.13834173156206</v>
      </c>
      <c r="J400" s="162">
        <v>44446</v>
      </c>
      <c r="K400" s="6" t="s">
        <v>251</v>
      </c>
      <c r="L400" s="162">
        <v>44446</v>
      </c>
      <c r="M400" s="175" t="s">
        <v>5609</v>
      </c>
      <c r="N400" s="44" t="s">
        <v>1589</v>
      </c>
      <c r="O400" s="6" t="s">
        <v>356</v>
      </c>
      <c r="P400" s="6" t="str">
        <f t="shared" si="19"/>
        <v>Category</v>
      </c>
      <c r="Q400" t="str">
        <f t="shared" si="20"/>
        <v>2021</v>
      </c>
    </row>
    <row r="401" spans="1:17">
      <c r="A401" s="162">
        <v>44446</v>
      </c>
      <c r="B401" s="164" t="s">
        <v>1581</v>
      </c>
      <c r="C401" s="164" t="s">
        <v>274</v>
      </c>
      <c r="D401" s="164" t="s">
        <v>1582</v>
      </c>
      <c r="E401" s="79">
        <v>44440</v>
      </c>
      <c r="F401" s="6" t="s">
        <v>16</v>
      </c>
      <c r="G401" s="97">
        <v>44457</v>
      </c>
      <c r="H401" s="170">
        <v>101000</v>
      </c>
      <c r="I401" s="172">
        <f t="shared" si="18"/>
        <v>1156.6651397159872</v>
      </c>
      <c r="J401" s="162">
        <v>44446</v>
      </c>
      <c r="K401" s="6" t="s">
        <v>251</v>
      </c>
      <c r="L401" s="162">
        <v>44446</v>
      </c>
      <c r="M401" s="175" t="s">
        <v>5610</v>
      </c>
      <c r="O401" s="6" t="s">
        <v>356</v>
      </c>
      <c r="P401" s="6" t="str">
        <f t="shared" si="19"/>
        <v>NonCategory</v>
      </c>
      <c r="Q401" t="str">
        <f t="shared" si="20"/>
        <v>2021</v>
      </c>
    </row>
    <row r="402" spans="1:17" ht="14.4">
      <c r="A402" s="162">
        <v>44446</v>
      </c>
      <c r="B402" s="165" t="s">
        <v>1590</v>
      </c>
      <c r="C402" s="164" t="s">
        <v>278</v>
      </c>
      <c r="D402" s="164" t="s">
        <v>97</v>
      </c>
      <c r="E402" s="79">
        <v>44440</v>
      </c>
      <c r="F402" s="6" t="s">
        <v>16</v>
      </c>
      <c r="G402" s="6" t="s">
        <v>170</v>
      </c>
      <c r="H402" s="170">
        <v>18000</v>
      </c>
      <c r="I402" s="172">
        <f t="shared" si="18"/>
        <v>206.13834173156206</v>
      </c>
      <c r="J402" s="162">
        <v>44446</v>
      </c>
      <c r="K402" s="6" t="s">
        <v>251</v>
      </c>
      <c r="L402" s="162">
        <v>44446</v>
      </c>
      <c r="M402" s="175" t="s">
        <v>5611</v>
      </c>
      <c r="N402" s="44" t="s">
        <v>1589</v>
      </c>
      <c r="O402" s="6" t="s">
        <v>356</v>
      </c>
      <c r="P402" s="6" t="str">
        <f t="shared" si="19"/>
        <v>Category</v>
      </c>
      <c r="Q402" t="str">
        <f t="shared" si="20"/>
        <v>2021</v>
      </c>
    </row>
    <row r="403" spans="1:17" ht="14.4">
      <c r="A403" s="162">
        <v>44446</v>
      </c>
      <c r="B403" s="165" t="s">
        <v>1592</v>
      </c>
      <c r="C403" s="164" t="s">
        <v>278</v>
      </c>
      <c r="D403" s="164" t="s">
        <v>97</v>
      </c>
      <c r="E403" s="79">
        <v>44440</v>
      </c>
      <c r="F403" s="6" t="s">
        <v>16</v>
      </c>
      <c r="G403" s="6" t="s">
        <v>170</v>
      </c>
      <c r="H403" s="170">
        <v>18000</v>
      </c>
      <c r="I403" s="172">
        <f t="shared" si="18"/>
        <v>206.13834173156206</v>
      </c>
      <c r="J403" s="162">
        <v>44446</v>
      </c>
      <c r="K403" s="6" t="s">
        <v>251</v>
      </c>
      <c r="L403" s="162">
        <v>44446</v>
      </c>
      <c r="M403" s="175" t="s">
        <v>5612</v>
      </c>
      <c r="N403" s="44" t="s">
        <v>1589</v>
      </c>
      <c r="O403" s="6" t="s">
        <v>356</v>
      </c>
      <c r="P403" s="6" t="str">
        <f t="shared" si="19"/>
        <v>Category</v>
      </c>
      <c r="Q403" t="str">
        <f t="shared" si="20"/>
        <v>2021</v>
      </c>
    </row>
    <row r="404" spans="1:17" ht="14.4">
      <c r="A404" s="162">
        <v>44446</v>
      </c>
      <c r="B404" s="165" t="s">
        <v>1594</v>
      </c>
      <c r="C404" s="164" t="s">
        <v>278</v>
      </c>
      <c r="D404" s="164" t="s">
        <v>97</v>
      </c>
      <c r="E404" s="79">
        <v>44440</v>
      </c>
      <c r="F404" s="6" t="s">
        <v>16</v>
      </c>
      <c r="G404" s="6" t="s">
        <v>170</v>
      </c>
      <c r="H404" s="170">
        <v>18000</v>
      </c>
      <c r="I404" s="172">
        <f t="shared" si="18"/>
        <v>206.13834173156206</v>
      </c>
      <c r="J404" s="162">
        <v>44446</v>
      </c>
      <c r="K404" s="6" t="s">
        <v>251</v>
      </c>
      <c r="L404" s="162">
        <v>44446</v>
      </c>
      <c r="M404" s="175" t="s">
        <v>5613</v>
      </c>
      <c r="N404" s="44" t="s">
        <v>1589</v>
      </c>
      <c r="O404" s="6" t="s">
        <v>356</v>
      </c>
      <c r="P404" s="6" t="str">
        <f t="shared" si="19"/>
        <v>Category</v>
      </c>
      <c r="Q404" t="str">
        <f t="shared" si="20"/>
        <v>2021</v>
      </c>
    </row>
    <row r="405" spans="1:17" ht="14.4">
      <c r="A405" s="162">
        <v>44446</v>
      </c>
      <c r="B405" s="165" t="s">
        <v>1596</v>
      </c>
      <c r="C405" s="164" t="s">
        <v>278</v>
      </c>
      <c r="D405" s="164" t="s">
        <v>97</v>
      </c>
      <c r="E405" s="79">
        <v>44440</v>
      </c>
      <c r="F405" s="6" t="s">
        <v>16</v>
      </c>
      <c r="G405" s="6" t="s">
        <v>170</v>
      </c>
      <c r="H405" s="170">
        <v>18000</v>
      </c>
      <c r="I405" s="172">
        <f t="shared" si="18"/>
        <v>206.13834173156206</v>
      </c>
      <c r="J405" s="162">
        <v>44446</v>
      </c>
      <c r="K405" s="6" t="s">
        <v>251</v>
      </c>
      <c r="L405" s="162">
        <v>44446</v>
      </c>
      <c r="M405" s="175" t="s">
        <v>5614</v>
      </c>
      <c r="N405" s="44" t="s">
        <v>1589</v>
      </c>
      <c r="O405" s="6" t="s">
        <v>356</v>
      </c>
      <c r="P405" s="6" t="str">
        <f t="shared" si="19"/>
        <v>Category</v>
      </c>
      <c r="Q405" t="str">
        <f t="shared" si="20"/>
        <v>2021</v>
      </c>
    </row>
    <row r="406" spans="1:17" ht="14.4">
      <c r="A406" s="162">
        <v>44446</v>
      </c>
      <c r="B406" s="165" t="s">
        <v>1598</v>
      </c>
      <c r="C406" s="164" t="s">
        <v>278</v>
      </c>
      <c r="D406" s="164" t="s">
        <v>97</v>
      </c>
      <c r="E406" s="79">
        <v>44440</v>
      </c>
      <c r="F406" s="6" t="s">
        <v>16</v>
      </c>
      <c r="G406" s="6" t="s">
        <v>170</v>
      </c>
      <c r="H406" s="170">
        <v>18000</v>
      </c>
      <c r="I406" s="172">
        <f t="shared" si="18"/>
        <v>206.13834173156206</v>
      </c>
      <c r="J406" s="162">
        <v>44446</v>
      </c>
      <c r="K406" s="6" t="s">
        <v>251</v>
      </c>
      <c r="L406" s="162">
        <v>44446</v>
      </c>
      <c r="M406" s="175" t="s">
        <v>5615</v>
      </c>
      <c r="N406" s="44" t="s">
        <v>1589</v>
      </c>
      <c r="O406" s="6" t="s">
        <v>356</v>
      </c>
      <c r="P406" s="6" t="str">
        <f t="shared" si="19"/>
        <v>Category</v>
      </c>
      <c r="Q406" t="str">
        <f t="shared" si="20"/>
        <v>2021</v>
      </c>
    </row>
    <row r="407" spans="1:17" ht="14.4">
      <c r="A407" s="162">
        <v>44446</v>
      </c>
      <c r="B407" s="165" t="s">
        <v>1600</v>
      </c>
      <c r="C407" s="164" t="s">
        <v>278</v>
      </c>
      <c r="D407" s="164" t="s">
        <v>97</v>
      </c>
      <c r="E407" s="79">
        <v>44440</v>
      </c>
      <c r="F407" s="6" t="s">
        <v>16</v>
      </c>
      <c r="G407" s="6" t="s">
        <v>170</v>
      </c>
      <c r="H407" s="170">
        <v>18000</v>
      </c>
      <c r="I407" s="172">
        <f t="shared" si="18"/>
        <v>206.13834173156206</v>
      </c>
      <c r="J407" s="162">
        <v>44446</v>
      </c>
      <c r="K407" s="6" t="s">
        <v>251</v>
      </c>
      <c r="L407" s="162">
        <v>44446</v>
      </c>
      <c r="M407" s="175" t="s">
        <v>5616</v>
      </c>
      <c r="N407" s="44" t="s">
        <v>1589</v>
      </c>
      <c r="O407" s="6" t="s">
        <v>356</v>
      </c>
      <c r="P407" s="6" t="str">
        <f t="shared" si="19"/>
        <v>Category</v>
      </c>
      <c r="Q407" t="str">
        <f t="shared" si="20"/>
        <v>2021</v>
      </c>
    </row>
    <row r="408" spans="1:17" ht="14.4">
      <c r="A408" s="162">
        <v>44446</v>
      </c>
      <c r="B408" s="165" t="s">
        <v>1602</v>
      </c>
      <c r="C408" s="164" t="s">
        <v>278</v>
      </c>
      <c r="D408" s="164" t="s">
        <v>97</v>
      </c>
      <c r="E408" s="79">
        <v>44440</v>
      </c>
      <c r="F408" s="6" t="s">
        <v>16</v>
      </c>
      <c r="G408" s="6" t="s">
        <v>170</v>
      </c>
      <c r="H408" s="170">
        <v>18000</v>
      </c>
      <c r="I408" s="172">
        <f t="shared" si="18"/>
        <v>206.13834173156206</v>
      </c>
      <c r="J408" s="162">
        <v>44446</v>
      </c>
      <c r="K408" s="6" t="s">
        <v>251</v>
      </c>
      <c r="L408" s="162">
        <v>44446</v>
      </c>
      <c r="M408" s="175" t="s">
        <v>5617</v>
      </c>
      <c r="N408" s="44" t="s">
        <v>1589</v>
      </c>
      <c r="O408" s="6" t="s">
        <v>356</v>
      </c>
      <c r="P408" s="6" t="str">
        <f t="shared" si="19"/>
        <v>Category</v>
      </c>
      <c r="Q408" t="str">
        <f t="shared" si="20"/>
        <v>2021</v>
      </c>
    </row>
    <row r="409" spans="1:17" ht="14.4">
      <c r="A409" s="162">
        <v>44446</v>
      </c>
      <c r="B409" s="165" t="s">
        <v>1604</v>
      </c>
      <c r="C409" s="164" t="s">
        <v>278</v>
      </c>
      <c r="D409" s="164" t="s">
        <v>97</v>
      </c>
      <c r="E409" s="79">
        <v>44440</v>
      </c>
      <c r="F409" s="6" t="s">
        <v>16</v>
      </c>
      <c r="G409" s="6" t="s">
        <v>170</v>
      </c>
      <c r="H409" s="170">
        <v>18000</v>
      </c>
      <c r="I409" s="172">
        <f t="shared" si="18"/>
        <v>206.13834173156206</v>
      </c>
      <c r="J409" s="162">
        <v>44446</v>
      </c>
      <c r="K409" s="6" t="s">
        <v>251</v>
      </c>
      <c r="L409" s="162">
        <v>44446</v>
      </c>
      <c r="M409" s="175" t="s">
        <v>5618</v>
      </c>
      <c r="N409" s="44" t="s">
        <v>1589</v>
      </c>
      <c r="O409" s="6" t="s">
        <v>356</v>
      </c>
      <c r="P409" s="6" t="str">
        <f t="shared" si="19"/>
        <v>Category</v>
      </c>
      <c r="Q409" t="str">
        <f t="shared" si="20"/>
        <v>2021</v>
      </c>
    </row>
    <row r="410" spans="1:17" ht="14.4">
      <c r="A410" s="162">
        <v>44446</v>
      </c>
      <c r="B410" s="165" t="s">
        <v>1606</v>
      </c>
      <c r="C410" s="164" t="s">
        <v>278</v>
      </c>
      <c r="D410" s="164" t="s">
        <v>97</v>
      </c>
      <c r="E410" s="79">
        <v>44440</v>
      </c>
      <c r="F410" s="6" t="s">
        <v>16</v>
      </c>
      <c r="G410" s="6" t="s">
        <v>170</v>
      </c>
      <c r="H410" s="170">
        <v>18000</v>
      </c>
      <c r="I410" s="172">
        <f t="shared" si="18"/>
        <v>206.13834173156206</v>
      </c>
      <c r="J410" s="162">
        <v>44446</v>
      </c>
      <c r="K410" s="6" t="s">
        <v>251</v>
      </c>
      <c r="L410" s="162">
        <v>44446</v>
      </c>
      <c r="M410" s="175" t="s">
        <v>5619</v>
      </c>
      <c r="N410" s="44" t="s">
        <v>1589</v>
      </c>
      <c r="O410" s="6" t="s">
        <v>356</v>
      </c>
      <c r="P410" s="6" t="str">
        <f t="shared" si="19"/>
        <v>Category</v>
      </c>
      <c r="Q410" t="str">
        <f t="shared" si="20"/>
        <v>2021</v>
      </c>
    </row>
    <row r="411" spans="1:17" ht="14.4">
      <c r="A411" s="162">
        <v>44446</v>
      </c>
      <c r="B411" s="165" t="s">
        <v>15</v>
      </c>
      <c r="C411" s="164" t="s">
        <v>278</v>
      </c>
      <c r="D411" s="164" t="s">
        <v>97</v>
      </c>
      <c r="E411" s="79">
        <v>44440</v>
      </c>
      <c r="F411" s="6" t="s">
        <v>16</v>
      </c>
      <c r="G411" s="6" t="s">
        <v>170</v>
      </c>
      <c r="H411" s="170">
        <v>18000</v>
      </c>
      <c r="I411" s="172">
        <f t="shared" si="18"/>
        <v>206.13834173156206</v>
      </c>
      <c r="J411" s="162">
        <v>44446</v>
      </c>
      <c r="K411" s="6" t="s">
        <v>251</v>
      </c>
      <c r="L411" s="162">
        <v>44446</v>
      </c>
      <c r="M411" s="175" t="s">
        <v>5620</v>
      </c>
      <c r="N411" s="44" t="s">
        <v>1589</v>
      </c>
      <c r="O411" s="6" t="s">
        <v>356</v>
      </c>
      <c r="P411" s="6" t="str">
        <f t="shared" si="19"/>
        <v>Category</v>
      </c>
      <c r="Q411" t="str">
        <f t="shared" si="20"/>
        <v>2021</v>
      </c>
    </row>
    <row r="412" spans="1:17" ht="14.4">
      <c r="A412" s="162">
        <v>44446</v>
      </c>
      <c r="B412" s="165" t="s">
        <v>1609</v>
      </c>
      <c r="C412" s="164" t="s">
        <v>278</v>
      </c>
      <c r="D412" s="164" t="s">
        <v>97</v>
      </c>
      <c r="E412" s="79">
        <v>44440</v>
      </c>
      <c r="F412" s="6" t="s">
        <v>16</v>
      </c>
      <c r="G412" s="6" t="s">
        <v>170</v>
      </c>
      <c r="H412" s="170">
        <v>18000</v>
      </c>
      <c r="I412" s="172">
        <f t="shared" si="18"/>
        <v>206.13834173156206</v>
      </c>
      <c r="J412" s="162">
        <v>44446</v>
      </c>
      <c r="K412" s="6" t="s">
        <v>251</v>
      </c>
      <c r="L412" s="162">
        <v>44446</v>
      </c>
      <c r="M412" s="175" t="s">
        <v>5621</v>
      </c>
      <c r="N412" s="44" t="s">
        <v>1589</v>
      </c>
      <c r="O412" s="6" t="s">
        <v>356</v>
      </c>
      <c r="P412" s="6" t="str">
        <f t="shared" si="19"/>
        <v>Category</v>
      </c>
      <c r="Q412" t="str">
        <f t="shared" si="20"/>
        <v>2021</v>
      </c>
    </row>
    <row r="413" spans="1:17" ht="14.4">
      <c r="A413" s="162">
        <v>44446</v>
      </c>
      <c r="B413" s="165" t="s">
        <v>1611</v>
      </c>
      <c r="C413" s="164" t="s">
        <v>278</v>
      </c>
      <c r="D413" s="164" t="s">
        <v>97</v>
      </c>
      <c r="E413" s="79">
        <v>44440</v>
      </c>
      <c r="F413" s="6" t="s">
        <v>16</v>
      </c>
      <c r="G413" s="6" t="s">
        <v>170</v>
      </c>
      <c r="H413" s="170">
        <v>18000</v>
      </c>
      <c r="I413" s="172">
        <f t="shared" si="18"/>
        <v>206.13834173156206</v>
      </c>
      <c r="J413" s="162">
        <v>44446</v>
      </c>
      <c r="K413" s="6" t="s">
        <v>251</v>
      </c>
      <c r="L413" s="162">
        <v>44446</v>
      </c>
      <c r="M413" s="175" t="s">
        <v>5622</v>
      </c>
      <c r="N413" s="44" t="s">
        <v>1589</v>
      </c>
      <c r="O413" s="6" t="s">
        <v>356</v>
      </c>
      <c r="P413" s="6" t="str">
        <f t="shared" si="19"/>
        <v>Category</v>
      </c>
      <c r="Q413" t="str">
        <f t="shared" si="20"/>
        <v>2021</v>
      </c>
    </row>
    <row r="414" spans="1:17">
      <c r="A414" s="162">
        <v>44447</v>
      </c>
      <c r="B414" s="164" t="s">
        <v>1613</v>
      </c>
      <c r="C414" s="164" t="s">
        <v>303</v>
      </c>
      <c r="D414" s="164" t="s">
        <v>25</v>
      </c>
      <c r="E414" s="79">
        <v>44440</v>
      </c>
      <c r="F414" s="6" t="s">
        <v>16</v>
      </c>
      <c r="G414" s="6" t="s">
        <v>38</v>
      </c>
      <c r="H414" s="170">
        <v>47000</v>
      </c>
      <c r="I414" s="172">
        <f t="shared" si="18"/>
        <v>538.25011452130093</v>
      </c>
      <c r="J414" s="162">
        <v>44447</v>
      </c>
      <c r="K414" s="6" t="s">
        <v>251</v>
      </c>
      <c r="L414" s="162">
        <v>44447</v>
      </c>
      <c r="M414" s="175" t="s">
        <v>5623</v>
      </c>
      <c r="O414" s="6" t="s">
        <v>280</v>
      </c>
      <c r="P414" s="6" t="str">
        <f t="shared" si="19"/>
        <v>SAFe que</v>
      </c>
      <c r="Q414" t="str">
        <f t="shared" si="20"/>
        <v>2021</v>
      </c>
    </row>
    <row r="415" spans="1:17" ht="14.4">
      <c r="A415" s="162">
        <v>44447</v>
      </c>
      <c r="B415" s="164" t="s">
        <v>1615</v>
      </c>
      <c r="C415" s="164" t="s">
        <v>278</v>
      </c>
      <c r="D415" s="164" t="s">
        <v>150</v>
      </c>
      <c r="E415" s="79">
        <v>44440</v>
      </c>
      <c r="F415" s="6" t="s">
        <v>16</v>
      </c>
      <c r="G415" s="6" t="s">
        <v>46</v>
      </c>
      <c r="H415" s="170">
        <v>21000</v>
      </c>
      <c r="I415" s="172">
        <f t="shared" si="18"/>
        <v>240.49473202015577</v>
      </c>
      <c r="J415" s="162">
        <v>44447</v>
      </c>
      <c r="K415" s="6" t="s">
        <v>251</v>
      </c>
      <c r="L415" s="162">
        <v>44447</v>
      </c>
      <c r="M415" s="175" t="s">
        <v>5624</v>
      </c>
      <c r="N415" s="44" t="s">
        <v>1617</v>
      </c>
      <c r="O415" s="6" t="s">
        <v>280</v>
      </c>
      <c r="P415" s="6" t="str">
        <f t="shared" si="19"/>
        <v>SAFe que</v>
      </c>
      <c r="Q415" t="str">
        <f t="shared" si="20"/>
        <v>2021</v>
      </c>
    </row>
    <row r="416" spans="1:17" ht="14.4">
      <c r="A416" s="162">
        <v>44447</v>
      </c>
      <c r="B416" s="164" t="s">
        <v>1618</v>
      </c>
      <c r="C416" s="164" t="s">
        <v>278</v>
      </c>
      <c r="D416" s="164" t="s">
        <v>97</v>
      </c>
      <c r="E416" s="79">
        <v>44440</v>
      </c>
      <c r="F416" s="6" t="s">
        <v>16</v>
      </c>
      <c r="G416" s="6" t="s">
        <v>170</v>
      </c>
      <c r="H416" s="170">
        <v>18000</v>
      </c>
      <c r="I416" s="172">
        <f t="shared" si="18"/>
        <v>206.13834173156206</v>
      </c>
      <c r="J416" s="162">
        <v>44447</v>
      </c>
      <c r="K416" s="6" t="s">
        <v>251</v>
      </c>
      <c r="L416" s="162">
        <v>44447</v>
      </c>
      <c r="M416" s="175" t="s">
        <v>5625</v>
      </c>
      <c r="N416" s="44" t="s">
        <v>1589</v>
      </c>
      <c r="O416" s="6" t="s">
        <v>356</v>
      </c>
      <c r="P416" s="6" t="str">
        <f t="shared" si="19"/>
        <v>Category</v>
      </c>
      <c r="Q416" t="str">
        <f t="shared" si="20"/>
        <v>2021</v>
      </c>
    </row>
    <row r="417" spans="1:17" ht="14.4">
      <c r="A417" s="162">
        <v>44447</v>
      </c>
      <c r="B417" s="164" t="s">
        <v>1620</v>
      </c>
      <c r="C417" s="164" t="s">
        <v>278</v>
      </c>
      <c r="D417" s="164" t="s">
        <v>97</v>
      </c>
      <c r="E417" s="79">
        <v>44440</v>
      </c>
      <c r="F417" s="6" t="s">
        <v>16</v>
      </c>
      <c r="G417" s="6" t="s">
        <v>170</v>
      </c>
      <c r="H417" s="170">
        <v>18000</v>
      </c>
      <c r="I417" s="172">
        <f t="shared" si="18"/>
        <v>206.13834173156206</v>
      </c>
      <c r="J417" s="162">
        <v>44447</v>
      </c>
      <c r="K417" s="6" t="s">
        <v>251</v>
      </c>
      <c r="L417" s="162">
        <v>44447</v>
      </c>
      <c r="M417" s="175" t="s">
        <v>5626</v>
      </c>
      <c r="N417" s="44" t="s">
        <v>1589</v>
      </c>
      <c r="O417" s="6" t="s">
        <v>356</v>
      </c>
      <c r="P417" s="6" t="str">
        <f t="shared" si="19"/>
        <v>Category</v>
      </c>
      <c r="Q417" t="str">
        <f t="shared" si="20"/>
        <v>2021</v>
      </c>
    </row>
    <row r="418" spans="1:17">
      <c r="A418" s="162">
        <v>44448</v>
      </c>
      <c r="B418" s="164" t="s">
        <v>1622</v>
      </c>
      <c r="C418" s="164" t="s">
        <v>278</v>
      </c>
      <c r="D418" s="164" t="s">
        <v>96</v>
      </c>
      <c r="E418" s="79">
        <v>44440</v>
      </c>
      <c r="F418" s="6" t="s">
        <v>16</v>
      </c>
      <c r="G418" s="6" t="s">
        <v>1624</v>
      </c>
      <c r="H418" s="170">
        <v>20000</v>
      </c>
      <c r="I418" s="172">
        <f t="shared" si="18"/>
        <v>229.04260192395787</v>
      </c>
      <c r="J418" s="162">
        <v>44448</v>
      </c>
      <c r="K418" s="6" t="s">
        <v>251</v>
      </c>
      <c r="L418" s="162">
        <v>44448</v>
      </c>
      <c r="M418" s="175" t="s">
        <v>5627</v>
      </c>
      <c r="N418" s="6" t="s">
        <v>732</v>
      </c>
      <c r="O418" s="6" t="s">
        <v>356</v>
      </c>
      <c r="P418" s="6" t="str">
        <f t="shared" si="19"/>
        <v>Category</v>
      </c>
      <c r="Q418" t="str">
        <f t="shared" si="20"/>
        <v>2021</v>
      </c>
    </row>
    <row r="419" spans="1:17">
      <c r="A419" s="162">
        <v>44448</v>
      </c>
      <c r="B419" s="164" t="s">
        <v>1625</v>
      </c>
      <c r="C419" s="164" t="s">
        <v>287</v>
      </c>
      <c r="D419" s="164" t="s">
        <v>25</v>
      </c>
      <c r="E419" s="79">
        <v>44440</v>
      </c>
      <c r="F419" s="6" t="s">
        <v>16</v>
      </c>
      <c r="G419" s="6" t="s">
        <v>38</v>
      </c>
      <c r="H419" s="170">
        <v>45000</v>
      </c>
      <c r="I419" s="172">
        <f t="shared" si="18"/>
        <v>515.34585432890515</v>
      </c>
      <c r="J419" s="162">
        <v>44448</v>
      </c>
      <c r="K419" s="6" t="s">
        <v>251</v>
      </c>
      <c r="L419" s="162">
        <v>44448</v>
      </c>
      <c r="M419" s="175" t="s">
        <v>5628</v>
      </c>
      <c r="O419" s="6" t="s">
        <v>280</v>
      </c>
      <c r="P419" s="6" t="str">
        <f t="shared" si="19"/>
        <v>SAFe que</v>
      </c>
      <c r="Q419" t="str">
        <f t="shared" si="20"/>
        <v>2021</v>
      </c>
    </row>
    <row r="420" spans="1:17">
      <c r="A420" s="162">
        <v>44449</v>
      </c>
      <c r="B420" s="164" t="s">
        <v>1627</v>
      </c>
      <c r="C420" s="164" t="s">
        <v>297</v>
      </c>
      <c r="D420" s="164" t="s">
        <v>150</v>
      </c>
      <c r="E420" s="79">
        <v>44440</v>
      </c>
      <c r="F420" s="6" t="s">
        <v>16</v>
      </c>
      <c r="G420" s="6" t="s">
        <v>46</v>
      </c>
      <c r="H420" s="170">
        <v>21000</v>
      </c>
      <c r="I420" s="172">
        <f t="shared" si="18"/>
        <v>240.49473202015577</v>
      </c>
      <c r="J420" s="162">
        <v>44449</v>
      </c>
      <c r="K420" s="6" t="s">
        <v>251</v>
      </c>
      <c r="L420" s="162">
        <v>44449</v>
      </c>
      <c r="M420" s="175" t="s">
        <v>5629</v>
      </c>
      <c r="O420" s="6" t="s">
        <v>280</v>
      </c>
      <c r="P420" s="6" t="str">
        <f t="shared" si="19"/>
        <v>SAFe que</v>
      </c>
      <c r="Q420" t="str">
        <f t="shared" si="20"/>
        <v>2021</v>
      </c>
    </row>
    <row r="421" spans="1:17">
      <c r="A421" s="162">
        <v>44449</v>
      </c>
      <c r="B421" s="164" t="s">
        <v>1546</v>
      </c>
      <c r="C421" s="164" t="s">
        <v>274</v>
      </c>
      <c r="D421" s="164" t="s">
        <v>97</v>
      </c>
      <c r="E421" s="79">
        <v>44440</v>
      </c>
      <c r="F421" s="6" t="s">
        <v>16</v>
      </c>
      <c r="G421" s="6" t="s">
        <v>46</v>
      </c>
      <c r="H421" s="170">
        <v>20000</v>
      </c>
      <c r="I421" s="172">
        <f t="shared" si="18"/>
        <v>229.04260192395787</v>
      </c>
      <c r="J421" s="162">
        <v>44449</v>
      </c>
      <c r="K421" s="6" t="s">
        <v>251</v>
      </c>
      <c r="L421" s="162">
        <v>44449</v>
      </c>
      <c r="M421" s="175" t="s">
        <v>5630</v>
      </c>
      <c r="O421" s="6" t="s">
        <v>280</v>
      </c>
      <c r="P421" s="6" t="str">
        <f t="shared" si="19"/>
        <v>Category</v>
      </c>
      <c r="Q421" t="str">
        <f t="shared" si="20"/>
        <v>2021</v>
      </c>
    </row>
    <row r="422" spans="1:17" ht="14.4">
      <c r="A422" s="162">
        <v>44452</v>
      </c>
      <c r="B422" s="165" t="s">
        <v>1629</v>
      </c>
      <c r="C422" s="164" t="s">
        <v>278</v>
      </c>
      <c r="D422" s="164" t="s">
        <v>97</v>
      </c>
      <c r="E422" s="79">
        <v>44440</v>
      </c>
      <c r="F422" s="6" t="s">
        <v>16</v>
      </c>
      <c r="G422" s="6" t="s">
        <v>170</v>
      </c>
      <c r="H422" s="170">
        <v>18000</v>
      </c>
      <c r="I422" s="172">
        <f t="shared" si="18"/>
        <v>206.13834173156206</v>
      </c>
      <c r="J422" s="162">
        <v>44452</v>
      </c>
      <c r="K422" s="6" t="s">
        <v>252</v>
      </c>
      <c r="L422" s="162">
        <v>44452</v>
      </c>
      <c r="M422" s="175" t="s">
        <v>5631</v>
      </c>
      <c r="N422" s="44" t="s">
        <v>1589</v>
      </c>
      <c r="O422" s="6" t="s">
        <v>356</v>
      </c>
      <c r="P422" s="6" t="str">
        <f t="shared" si="19"/>
        <v>Category</v>
      </c>
      <c r="Q422" t="str">
        <f t="shared" si="20"/>
        <v>2021</v>
      </c>
    </row>
    <row r="423" spans="1:17" ht="14.4">
      <c r="A423" s="162">
        <v>44453</v>
      </c>
      <c r="B423" s="165" t="s">
        <v>1631</v>
      </c>
      <c r="C423" s="164" t="s">
        <v>278</v>
      </c>
      <c r="D423" s="164" t="s">
        <v>97</v>
      </c>
      <c r="E423" s="79">
        <v>44440</v>
      </c>
      <c r="F423" s="6" t="s">
        <v>16</v>
      </c>
      <c r="G423" s="6" t="s">
        <v>170</v>
      </c>
      <c r="H423" s="170">
        <v>18000</v>
      </c>
      <c r="I423" s="172">
        <f t="shared" si="18"/>
        <v>206.13834173156206</v>
      </c>
      <c r="J423" s="162">
        <v>44453</v>
      </c>
      <c r="K423" s="6" t="s">
        <v>252</v>
      </c>
      <c r="L423" s="162">
        <v>44453</v>
      </c>
      <c r="M423" s="175" t="s">
        <v>5632</v>
      </c>
      <c r="N423" s="44" t="s">
        <v>1589</v>
      </c>
      <c r="O423" s="6" t="s">
        <v>356</v>
      </c>
      <c r="P423" s="6" t="str">
        <f t="shared" si="19"/>
        <v>Category</v>
      </c>
      <c r="Q423" t="str">
        <f t="shared" si="20"/>
        <v>2021</v>
      </c>
    </row>
    <row r="424" spans="1:17">
      <c r="A424" s="162">
        <v>44453</v>
      </c>
      <c r="B424" s="164" t="s">
        <v>1633</v>
      </c>
      <c r="C424" s="164" t="s">
        <v>319</v>
      </c>
      <c r="D424" s="164" t="s">
        <v>6</v>
      </c>
      <c r="E424" s="79">
        <v>44440</v>
      </c>
      <c r="F424" s="6" t="s">
        <v>16</v>
      </c>
      <c r="G424" s="6" t="s">
        <v>48</v>
      </c>
      <c r="H424" s="170">
        <v>45000</v>
      </c>
      <c r="I424" s="172">
        <f t="shared" si="18"/>
        <v>515.34585432890515</v>
      </c>
      <c r="J424" s="162">
        <v>44454</v>
      </c>
      <c r="K424" s="6" t="s">
        <v>252</v>
      </c>
      <c r="L424" s="162">
        <v>44454</v>
      </c>
      <c r="M424" s="175" t="s">
        <v>5633</v>
      </c>
      <c r="O424" s="6" t="s">
        <v>280</v>
      </c>
      <c r="P424" s="6" t="str">
        <f t="shared" si="19"/>
        <v>SAFe que</v>
      </c>
      <c r="Q424" t="str">
        <f t="shared" si="20"/>
        <v>2021</v>
      </c>
    </row>
    <row r="425" spans="1:17" ht="14.4">
      <c r="A425" s="162">
        <v>44454</v>
      </c>
      <c r="B425" s="164" t="s">
        <v>1635</v>
      </c>
      <c r="C425" s="164" t="s">
        <v>278</v>
      </c>
      <c r="D425" s="164" t="s">
        <v>6</v>
      </c>
      <c r="E425" s="79">
        <v>44440</v>
      </c>
      <c r="F425" s="6" t="s">
        <v>16</v>
      </c>
      <c r="G425" s="6" t="s">
        <v>48</v>
      </c>
      <c r="H425" s="170">
        <v>45000</v>
      </c>
      <c r="I425" s="172">
        <f t="shared" si="18"/>
        <v>515.34585432890515</v>
      </c>
      <c r="J425" s="162">
        <v>44454</v>
      </c>
      <c r="K425" s="6" t="s">
        <v>252</v>
      </c>
      <c r="L425" s="162">
        <v>44454</v>
      </c>
      <c r="M425" s="175" t="s">
        <v>5634</v>
      </c>
      <c r="N425" s="44" t="s">
        <v>1589</v>
      </c>
      <c r="O425" s="6" t="s">
        <v>280</v>
      </c>
      <c r="P425" s="6" t="str">
        <f t="shared" si="19"/>
        <v>SAFe que</v>
      </c>
      <c r="Q425" t="str">
        <f t="shared" si="20"/>
        <v>2021</v>
      </c>
    </row>
    <row r="426" spans="1:17">
      <c r="A426" s="162">
        <v>44454</v>
      </c>
      <c r="B426" s="164" t="s">
        <v>1637</v>
      </c>
      <c r="C426" s="164" t="s">
        <v>303</v>
      </c>
      <c r="D426" s="164" t="s">
        <v>96</v>
      </c>
      <c r="E426" s="79">
        <v>44440</v>
      </c>
      <c r="F426" s="6" t="s">
        <v>16</v>
      </c>
      <c r="G426" s="6" t="s">
        <v>46</v>
      </c>
      <c r="H426" s="170">
        <v>20000</v>
      </c>
      <c r="I426" s="172">
        <f t="shared" si="18"/>
        <v>229.04260192395787</v>
      </c>
      <c r="J426" s="162">
        <v>44454</v>
      </c>
      <c r="K426" s="6" t="s">
        <v>252</v>
      </c>
      <c r="L426" s="162">
        <v>44454</v>
      </c>
      <c r="M426" s="175" t="s">
        <v>5635</v>
      </c>
      <c r="O426" s="6" t="s">
        <v>280</v>
      </c>
      <c r="P426" s="6" t="str">
        <f t="shared" si="19"/>
        <v>Category</v>
      </c>
      <c r="Q426" t="str">
        <f t="shared" si="20"/>
        <v>2021</v>
      </c>
    </row>
    <row r="427" spans="1:17">
      <c r="A427" s="162">
        <v>44455</v>
      </c>
      <c r="B427" s="164" t="s">
        <v>1639</v>
      </c>
      <c r="C427" s="164" t="s">
        <v>291</v>
      </c>
      <c r="D427" s="164" t="s">
        <v>96</v>
      </c>
      <c r="E427" s="79">
        <v>44440</v>
      </c>
      <c r="F427" s="6" t="s">
        <v>16</v>
      </c>
      <c r="G427" s="6" t="s">
        <v>52</v>
      </c>
      <c r="H427" s="170">
        <v>20000</v>
      </c>
      <c r="I427" s="172">
        <f t="shared" si="18"/>
        <v>229.04260192395787</v>
      </c>
      <c r="J427" s="162">
        <v>44455</v>
      </c>
      <c r="K427" s="6" t="s">
        <v>252</v>
      </c>
      <c r="L427" s="162">
        <v>44455</v>
      </c>
      <c r="M427" s="175" t="s">
        <v>5636</v>
      </c>
      <c r="O427" s="6" t="s">
        <v>280</v>
      </c>
      <c r="P427" s="6" t="str">
        <f t="shared" si="19"/>
        <v>Category</v>
      </c>
      <c r="Q427" t="str">
        <f t="shared" si="20"/>
        <v>2021</v>
      </c>
    </row>
    <row r="428" spans="1:17" ht="14.4">
      <c r="A428" s="162">
        <v>44455</v>
      </c>
      <c r="B428" s="165" t="s">
        <v>1641</v>
      </c>
      <c r="C428" s="164" t="s">
        <v>278</v>
      </c>
      <c r="D428" s="164" t="s">
        <v>97</v>
      </c>
      <c r="E428" s="79">
        <v>44440</v>
      </c>
      <c r="F428" s="6" t="s">
        <v>16</v>
      </c>
      <c r="G428" s="6" t="s">
        <v>170</v>
      </c>
      <c r="H428" s="170">
        <v>18000</v>
      </c>
      <c r="I428" s="172">
        <f t="shared" si="18"/>
        <v>206.13834173156206</v>
      </c>
      <c r="J428" s="162">
        <v>44455</v>
      </c>
      <c r="K428" s="6" t="s">
        <v>252</v>
      </c>
      <c r="L428" s="162">
        <v>44455</v>
      </c>
      <c r="M428" s="175" t="s">
        <v>5637</v>
      </c>
      <c r="N428" s="44" t="s">
        <v>1589</v>
      </c>
      <c r="O428" s="6" t="s">
        <v>356</v>
      </c>
      <c r="P428" s="6" t="str">
        <f t="shared" si="19"/>
        <v>Category</v>
      </c>
      <c r="Q428" t="str">
        <f t="shared" si="20"/>
        <v>2021</v>
      </c>
    </row>
    <row r="429" spans="1:17" ht="14.4">
      <c r="A429" s="162">
        <v>44455</v>
      </c>
      <c r="B429" s="165" t="s">
        <v>1643</v>
      </c>
      <c r="C429" s="164" t="s">
        <v>278</v>
      </c>
      <c r="D429" s="164" t="s">
        <v>97</v>
      </c>
      <c r="E429" s="79">
        <v>44440</v>
      </c>
      <c r="F429" s="6" t="s">
        <v>16</v>
      </c>
      <c r="G429" s="6" t="s">
        <v>170</v>
      </c>
      <c r="H429" s="170">
        <v>18000</v>
      </c>
      <c r="I429" s="172">
        <f t="shared" si="18"/>
        <v>206.13834173156206</v>
      </c>
      <c r="J429" s="162">
        <v>44455</v>
      </c>
      <c r="K429" s="6" t="s">
        <v>252</v>
      </c>
      <c r="L429" s="162">
        <v>44455</v>
      </c>
      <c r="M429" s="175" t="s">
        <v>5638</v>
      </c>
      <c r="N429" s="44" t="s">
        <v>1589</v>
      </c>
      <c r="O429" s="6" t="s">
        <v>356</v>
      </c>
      <c r="P429" s="6" t="str">
        <f t="shared" si="19"/>
        <v>Category</v>
      </c>
      <c r="Q429" t="str">
        <f t="shared" si="20"/>
        <v>2021</v>
      </c>
    </row>
    <row r="430" spans="1:17" ht="14.4">
      <c r="A430" s="162">
        <v>44455</v>
      </c>
      <c r="B430" s="165" t="s">
        <v>1645</v>
      </c>
      <c r="C430" s="164" t="s">
        <v>278</v>
      </c>
      <c r="D430" s="164" t="s">
        <v>97</v>
      </c>
      <c r="E430" s="79">
        <v>44440</v>
      </c>
      <c r="F430" s="6" t="s">
        <v>16</v>
      </c>
      <c r="G430" s="6" t="s">
        <v>170</v>
      </c>
      <c r="H430" s="170">
        <v>18000</v>
      </c>
      <c r="I430" s="172">
        <f t="shared" si="18"/>
        <v>206.13834173156206</v>
      </c>
      <c r="J430" s="162">
        <v>44455</v>
      </c>
      <c r="K430" s="6" t="s">
        <v>252</v>
      </c>
      <c r="L430" s="162">
        <v>44455</v>
      </c>
      <c r="M430" s="175" t="s">
        <v>5639</v>
      </c>
      <c r="N430" s="44" t="s">
        <v>1589</v>
      </c>
      <c r="O430" s="6" t="s">
        <v>356</v>
      </c>
      <c r="P430" s="6" t="str">
        <f t="shared" si="19"/>
        <v>Category</v>
      </c>
      <c r="Q430" t="str">
        <f t="shared" si="20"/>
        <v>2021</v>
      </c>
    </row>
    <row r="431" spans="1:17" ht="14.4">
      <c r="A431" s="162">
        <v>44455</v>
      </c>
      <c r="B431" s="165" t="s">
        <v>1647</v>
      </c>
      <c r="C431" s="164" t="s">
        <v>278</v>
      </c>
      <c r="D431" s="164" t="s">
        <v>97</v>
      </c>
      <c r="E431" s="79">
        <v>44440</v>
      </c>
      <c r="F431" s="6" t="s">
        <v>16</v>
      </c>
      <c r="G431" s="6" t="s">
        <v>170</v>
      </c>
      <c r="H431" s="170">
        <v>18000</v>
      </c>
      <c r="I431" s="172">
        <f t="shared" si="18"/>
        <v>206.13834173156206</v>
      </c>
      <c r="J431" s="162">
        <v>44455</v>
      </c>
      <c r="K431" s="6" t="s">
        <v>252</v>
      </c>
      <c r="L431" s="162">
        <v>44455</v>
      </c>
      <c r="M431" s="175" t="s">
        <v>5640</v>
      </c>
      <c r="N431" s="44" t="s">
        <v>1589</v>
      </c>
      <c r="O431" s="6" t="s">
        <v>356</v>
      </c>
      <c r="P431" s="6" t="str">
        <f t="shared" si="19"/>
        <v>Category</v>
      </c>
      <c r="Q431" t="str">
        <f t="shared" si="20"/>
        <v>2021</v>
      </c>
    </row>
    <row r="432" spans="1:17">
      <c r="A432" s="162">
        <v>44456</v>
      </c>
      <c r="B432" s="164" t="s">
        <v>1649</v>
      </c>
      <c r="C432" s="164" t="s">
        <v>287</v>
      </c>
      <c r="D432" s="164" t="s">
        <v>96</v>
      </c>
      <c r="E432" s="79">
        <v>44440</v>
      </c>
      <c r="F432" s="6" t="s">
        <v>16</v>
      </c>
      <c r="G432" s="6" t="s">
        <v>52</v>
      </c>
      <c r="H432" s="170">
        <v>18500</v>
      </c>
      <c r="I432" s="172">
        <f t="shared" si="18"/>
        <v>211.86440677966101</v>
      </c>
      <c r="J432" s="162">
        <v>44456</v>
      </c>
      <c r="K432" s="6" t="s">
        <v>252</v>
      </c>
      <c r="L432" s="162">
        <v>44456</v>
      </c>
      <c r="M432" s="175" t="s">
        <v>5641</v>
      </c>
      <c r="O432" s="6" t="s">
        <v>280</v>
      </c>
      <c r="P432" s="6" t="str">
        <f t="shared" si="19"/>
        <v>Category</v>
      </c>
      <c r="Q432" t="str">
        <f t="shared" si="20"/>
        <v>2021</v>
      </c>
    </row>
    <row r="433" spans="1:17">
      <c r="A433" s="162">
        <v>44456</v>
      </c>
      <c r="B433" s="164" t="s">
        <v>1309</v>
      </c>
      <c r="C433" s="164" t="s">
        <v>274</v>
      </c>
      <c r="D433" s="164" t="s">
        <v>538</v>
      </c>
      <c r="E433" s="79">
        <v>44440</v>
      </c>
      <c r="F433" s="6" t="s">
        <v>16</v>
      </c>
      <c r="G433" s="97">
        <v>44464</v>
      </c>
      <c r="H433" s="170">
        <v>11000</v>
      </c>
      <c r="I433" s="172">
        <f t="shared" si="18"/>
        <v>125.97343105817684</v>
      </c>
      <c r="J433" s="162">
        <v>44456</v>
      </c>
      <c r="K433" s="6" t="s">
        <v>252</v>
      </c>
      <c r="L433" s="162">
        <v>44456</v>
      </c>
      <c r="M433" s="175" t="s">
        <v>5642</v>
      </c>
      <c r="O433" s="6" t="s">
        <v>356</v>
      </c>
      <c r="P433" s="6" t="str">
        <f t="shared" si="19"/>
        <v>NonCategory</v>
      </c>
      <c r="Q433" t="str">
        <f t="shared" si="20"/>
        <v>2021</v>
      </c>
    </row>
    <row r="434" spans="1:17">
      <c r="A434" s="162">
        <v>44456</v>
      </c>
      <c r="B434" s="164" t="s">
        <v>1309</v>
      </c>
      <c r="C434" s="164" t="s">
        <v>274</v>
      </c>
      <c r="D434" s="164" t="s">
        <v>1651</v>
      </c>
      <c r="E434" s="79">
        <v>44440</v>
      </c>
      <c r="F434" s="6" t="s">
        <v>16</v>
      </c>
      <c r="G434" s="97">
        <v>44464</v>
      </c>
      <c r="H434" s="170">
        <v>37000</v>
      </c>
      <c r="I434" s="172">
        <f t="shared" si="18"/>
        <v>423.72881355932202</v>
      </c>
      <c r="J434" s="162">
        <v>44456</v>
      </c>
      <c r="K434" s="6" t="s">
        <v>252</v>
      </c>
      <c r="L434" s="162">
        <v>44456</v>
      </c>
      <c r="M434" s="175" t="s">
        <v>5643</v>
      </c>
      <c r="O434" s="6" t="s">
        <v>356</v>
      </c>
      <c r="P434" s="6" t="str">
        <f t="shared" si="19"/>
        <v>NonCategory</v>
      </c>
      <c r="Q434" t="str">
        <f t="shared" si="20"/>
        <v>2021</v>
      </c>
    </row>
    <row r="435" spans="1:17" ht="14.4">
      <c r="A435" s="162">
        <v>44456</v>
      </c>
      <c r="B435" s="165" t="s">
        <v>1652</v>
      </c>
      <c r="C435" s="164" t="s">
        <v>278</v>
      </c>
      <c r="D435" s="164" t="s">
        <v>97</v>
      </c>
      <c r="E435" s="79">
        <v>44440</v>
      </c>
      <c r="F435" s="6" t="s">
        <v>16</v>
      </c>
      <c r="G435" s="6" t="s">
        <v>170</v>
      </c>
      <c r="H435" s="170">
        <v>18000</v>
      </c>
      <c r="I435" s="172">
        <f t="shared" si="18"/>
        <v>206.13834173156206</v>
      </c>
      <c r="J435" s="162">
        <v>44456</v>
      </c>
      <c r="K435" s="6" t="s">
        <v>252</v>
      </c>
      <c r="L435" s="162">
        <v>44456</v>
      </c>
      <c r="M435" s="175" t="s">
        <v>5644</v>
      </c>
      <c r="N435" s="44" t="s">
        <v>1589</v>
      </c>
      <c r="O435" s="6" t="s">
        <v>356</v>
      </c>
      <c r="P435" s="6" t="str">
        <f t="shared" si="19"/>
        <v>Category</v>
      </c>
      <c r="Q435" t="str">
        <f t="shared" si="20"/>
        <v>2021</v>
      </c>
    </row>
    <row r="436" spans="1:17" ht="14.4">
      <c r="A436" s="162">
        <v>44456</v>
      </c>
      <c r="B436" s="165" t="s">
        <v>1654</v>
      </c>
      <c r="C436" s="164" t="s">
        <v>278</v>
      </c>
      <c r="D436" s="164" t="s">
        <v>97</v>
      </c>
      <c r="E436" s="79">
        <v>44440</v>
      </c>
      <c r="F436" s="6" t="s">
        <v>16</v>
      </c>
      <c r="G436" s="6" t="s">
        <v>170</v>
      </c>
      <c r="H436" s="170">
        <v>18000</v>
      </c>
      <c r="I436" s="172">
        <f t="shared" si="18"/>
        <v>206.13834173156206</v>
      </c>
      <c r="J436" s="162">
        <v>44457</v>
      </c>
      <c r="K436" s="6" t="s">
        <v>252</v>
      </c>
      <c r="L436" s="162">
        <v>44457</v>
      </c>
      <c r="M436" s="175" t="s">
        <v>5645</v>
      </c>
      <c r="N436" s="44" t="s">
        <v>1589</v>
      </c>
      <c r="O436" s="6" t="s">
        <v>356</v>
      </c>
      <c r="P436" s="6" t="str">
        <f t="shared" si="19"/>
        <v>Category</v>
      </c>
      <c r="Q436" t="str">
        <f t="shared" si="20"/>
        <v>2021</v>
      </c>
    </row>
    <row r="437" spans="1:17" ht="14.4">
      <c r="A437" s="162">
        <v>44457</v>
      </c>
      <c r="B437" s="165" t="s">
        <v>1658</v>
      </c>
      <c r="C437" s="164" t="s">
        <v>278</v>
      </c>
      <c r="D437" s="164" t="s">
        <v>97</v>
      </c>
      <c r="E437" s="79">
        <v>44440</v>
      </c>
      <c r="F437" s="6" t="s">
        <v>16</v>
      </c>
      <c r="G437" s="6" t="s">
        <v>170</v>
      </c>
      <c r="H437" s="170">
        <v>18000</v>
      </c>
      <c r="I437" s="172">
        <f t="shared" si="18"/>
        <v>206.13834173156206</v>
      </c>
      <c r="J437" s="162">
        <v>44457</v>
      </c>
      <c r="K437" s="6" t="s">
        <v>252</v>
      </c>
      <c r="L437" s="162">
        <v>44457</v>
      </c>
      <c r="M437" s="175" t="s">
        <v>5646</v>
      </c>
      <c r="N437" s="44" t="s">
        <v>1589</v>
      </c>
      <c r="O437" s="6" t="s">
        <v>356</v>
      </c>
      <c r="P437" s="6" t="str">
        <f t="shared" si="19"/>
        <v>Category</v>
      </c>
      <c r="Q437" t="str">
        <f t="shared" si="20"/>
        <v>2021</v>
      </c>
    </row>
    <row r="438" spans="1:17">
      <c r="A438" s="162">
        <v>44457</v>
      </c>
      <c r="B438" s="164" t="s">
        <v>1660</v>
      </c>
      <c r="C438" s="164" t="s">
        <v>297</v>
      </c>
      <c r="D438" s="164" t="s">
        <v>151</v>
      </c>
      <c r="E438" s="79">
        <v>44440</v>
      </c>
      <c r="F438" s="6" t="s">
        <v>16</v>
      </c>
      <c r="G438" s="6" t="s">
        <v>52</v>
      </c>
      <c r="H438" s="170">
        <v>21000</v>
      </c>
      <c r="I438" s="172">
        <f t="shared" si="18"/>
        <v>240.49473202015577</v>
      </c>
      <c r="J438" s="162">
        <v>44457</v>
      </c>
      <c r="K438" s="6" t="s">
        <v>252</v>
      </c>
      <c r="L438" s="162">
        <v>44457</v>
      </c>
      <c r="M438" s="175" t="s">
        <v>5647</v>
      </c>
      <c r="O438" s="6" t="s">
        <v>280</v>
      </c>
      <c r="P438" s="6" t="str">
        <f t="shared" si="19"/>
        <v>SAFe que</v>
      </c>
      <c r="Q438" t="str">
        <f t="shared" si="20"/>
        <v>2021</v>
      </c>
    </row>
    <row r="439" spans="1:17" ht="14.4">
      <c r="A439" s="162">
        <v>44457</v>
      </c>
      <c r="B439" s="165" t="s">
        <v>1662</v>
      </c>
      <c r="C439" s="164" t="s">
        <v>278</v>
      </c>
      <c r="D439" s="164" t="s">
        <v>97</v>
      </c>
      <c r="E439" s="79">
        <v>44440</v>
      </c>
      <c r="F439" s="6" t="s">
        <v>16</v>
      </c>
      <c r="G439" s="6" t="s">
        <v>63</v>
      </c>
      <c r="H439" s="170">
        <v>18000</v>
      </c>
      <c r="I439" s="172">
        <f t="shared" si="18"/>
        <v>206.13834173156206</v>
      </c>
      <c r="J439" s="162">
        <v>44457</v>
      </c>
      <c r="K439" s="6" t="s">
        <v>252</v>
      </c>
      <c r="L439" s="162">
        <v>44457</v>
      </c>
      <c r="M439" s="175" t="s">
        <v>5648</v>
      </c>
      <c r="N439" s="44" t="s">
        <v>1589</v>
      </c>
      <c r="O439" s="6" t="s">
        <v>280</v>
      </c>
      <c r="P439" s="6" t="str">
        <f t="shared" si="19"/>
        <v>Category</v>
      </c>
      <c r="Q439" t="str">
        <f t="shared" si="20"/>
        <v>2021</v>
      </c>
    </row>
    <row r="440" spans="1:17" ht="14.4">
      <c r="A440" s="162">
        <v>44457</v>
      </c>
      <c r="B440" s="165" t="s">
        <v>1664</v>
      </c>
      <c r="C440" s="164" t="s">
        <v>278</v>
      </c>
      <c r="D440" s="164" t="s">
        <v>97</v>
      </c>
      <c r="E440" s="79">
        <v>44440</v>
      </c>
      <c r="F440" s="6" t="s">
        <v>16</v>
      </c>
      <c r="G440" s="6" t="s">
        <v>170</v>
      </c>
      <c r="H440" s="170">
        <v>18000</v>
      </c>
      <c r="I440" s="172">
        <f t="shared" si="18"/>
        <v>206.13834173156206</v>
      </c>
      <c r="J440" s="162">
        <v>44457</v>
      </c>
      <c r="K440" s="6" t="s">
        <v>252</v>
      </c>
      <c r="L440" s="162">
        <v>44457</v>
      </c>
      <c r="M440" s="175" t="s">
        <v>5649</v>
      </c>
      <c r="N440" s="44" t="s">
        <v>1589</v>
      </c>
      <c r="O440" s="6" t="s">
        <v>356</v>
      </c>
      <c r="P440" s="6" t="str">
        <f t="shared" si="19"/>
        <v>Category</v>
      </c>
      <c r="Q440" t="str">
        <f t="shared" si="20"/>
        <v>2021</v>
      </c>
    </row>
    <row r="441" spans="1:17" ht="14.4">
      <c r="A441" s="162">
        <v>44457</v>
      </c>
      <c r="B441" s="165" t="s">
        <v>1666</v>
      </c>
      <c r="C441" s="164" t="s">
        <v>278</v>
      </c>
      <c r="D441" s="164" t="s">
        <v>97</v>
      </c>
      <c r="E441" s="79">
        <v>44440</v>
      </c>
      <c r="F441" s="6" t="s">
        <v>16</v>
      </c>
      <c r="G441" s="6" t="s">
        <v>170</v>
      </c>
      <c r="H441" s="170">
        <v>18000</v>
      </c>
      <c r="I441" s="172">
        <f t="shared" si="18"/>
        <v>206.13834173156206</v>
      </c>
      <c r="J441" s="162">
        <v>44457</v>
      </c>
      <c r="K441" s="6" t="s">
        <v>252</v>
      </c>
      <c r="L441" s="162">
        <v>44457</v>
      </c>
      <c r="M441" s="175" t="s">
        <v>5650</v>
      </c>
      <c r="N441" s="44" t="s">
        <v>1589</v>
      </c>
      <c r="O441" s="6" t="s">
        <v>356</v>
      </c>
      <c r="P441" s="6" t="str">
        <f t="shared" si="19"/>
        <v>Category</v>
      </c>
      <c r="Q441" t="str">
        <f t="shared" si="20"/>
        <v>2021</v>
      </c>
    </row>
    <row r="442" spans="1:17" ht="14.4">
      <c r="A442" s="162">
        <v>44457</v>
      </c>
      <c r="B442" s="165" t="s">
        <v>1668</v>
      </c>
      <c r="C442" s="164" t="s">
        <v>278</v>
      </c>
      <c r="D442" s="164" t="s">
        <v>97</v>
      </c>
      <c r="E442" s="79">
        <v>44440</v>
      </c>
      <c r="F442" s="6" t="s">
        <v>16</v>
      </c>
      <c r="G442" s="6" t="s">
        <v>170</v>
      </c>
      <c r="H442" s="170">
        <v>18000</v>
      </c>
      <c r="I442" s="172">
        <f t="shared" si="18"/>
        <v>206.13834173156206</v>
      </c>
      <c r="J442" s="162">
        <v>44457</v>
      </c>
      <c r="K442" s="6" t="s">
        <v>252</v>
      </c>
      <c r="L442" s="162">
        <v>44457</v>
      </c>
      <c r="M442" s="175" t="s">
        <v>5651</v>
      </c>
      <c r="N442" s="44" t="s">
        <v>1589</v>
      </c>
      <c r="O442" s="6" t="s">
        <v>356</v>
      </c>
      <c r="P442" s="6" t="str">
        <f t="shared" si="19"/>
        <v>Category</v>
      </c>
      <c r="Q442" t="str">
        <f t="shared" si="20"/>
        <v>2021</v>
      </c>
    </row>
    <row r="443" spans="1:17" ht="14.4">
      <c r="A443" s="162">
        <v>44457</v>
      </c>
      <c r="B443" s="165" t="s">
        <v>1670</v>
      </c>
      <c r="C443" s="164" t="s">
        <v>278</v>
      </c>
      <c r="D443" s="164" t="s">
        <v>97</v>
      </c>
      <c r="E443" s="79">
        <v>44440</v>
      </c>
      <c r="F443" s="6" t="s">
        <v>16</v>
      </c>
      <c r="G443" s="6" t="s">
        <v>170</v>
      </c>
      <c r="H443" s="170">
        <v>18000</v>
      </c>
      <c r="I443" s="172">
        <f t="shared" si="18"/>
        <v>206.13834173156206</v>
      </c>
      <c r="J443" s="162">
        <v>44457</v>
      </c>
      <c r="K443" s="6" t="s">
        <v>252</v>
      </c>
      <c r="L443" s="162">
        <v>44457</v>
      </c>
      <c r="M443" s="175" t="s">
        <v>5652</v>
      </c>
      <c r="N443" s="44" t="s">
        <v>1589</v>
      </c>
      <c r="O443" s="6" t="s">
        <v>356</v>
      </c>
      <c r="P443" s="6" t="str">
        <f t="shared" si="19"/>
        <v>Category</v>
      </c>
      <c r="Q443" t="str">
        <f t="shared" si="20"/>
        <v>2021</v>
      </c>
    </row>
    <row r="444" spans="1:17">
      <c r="A444" s="162">
        <v>44458</v>
      </c>
      <c r="B444" s="165" t="s">
        <v>1672</v>
      </c>
      <c r="C444" s="165" t="s">
        <v>303</v>
      </c>
      <c r="D444" s="164" t="s">
        <v>25</v>
      </c>
      <c r="E444" s="79">
        <v>44440</v>
      </c>
      <c r="F444" s="6" t="s">
        <v>16</v>
      </c>
      <c r="G444" s="6" t="s">
        <v>48</v>
      </c>
      <c r="H444" s="170">
        <v>45000</v>
      </c>
      <c r="I444" s="172">
        <f t="shared" si="18"/>
        <v>515.34585432890515</v>
      </c>
      <c r="J444" s="162">
        <v>44458</v>
      </c>
      <c r="K444" s="6" t="s">
        <v>252</v>
      </c>
      <c r="L444" s="162">
        <v>44458</v>
      </c>
      <c r="M444" s="175" t="s">
        <v>5653</v>
      </c>
      <c r="O444" s="6" t="s">
        <v>356</v>
      </c>
      <c r="P444" s="6" t="str">
        <f t="shared" si="19"/>
        <v>SAFe que</v>
      </c>
      <c r="Q444" t="str">
        <f t="shared" si="20"/>
        <v>2021</v>
      </c>
    </row>
    <row r="445" spans="1:17" ht="14.4">
      <c r="A445" s="162">
        <v>44458</v>
      </c>
      <c r="B445" s="165" t="s">
        <v>1674</v>
      </c>
      <c r="C445" s="164" t="s">
        <v>278</v>
      </c>
      <c r="D445" s="164" t="s">
        <v>97</v>
      </c>
      <c r="E445" s="79">
        <v>44440</v>
      </c>
      <c r="F445" s="6" t="s">
        <v>16</v>
      </c>
      <c r="G445" s="6" t="s">
        <v>170</v>
      </c>
      <c r="H445" s="170">
        <v>18000</v>
      </c>
      <c r="I445" s="172">
        <f t="shared" si="18"/>
        <v>206.13834173156206</v>
      </c>
      <c r="J445" s="162">
        <v>44458</v>
      </c>
      <c r="K445" s="6" t="s">
        <v>252</v>
      </c>
      <c r="L445" s="162">
        <v>44458</v>
      </c>
      <c r="M445" s="175" t="s">
        <v>5654</v>
      </c>
      <c r="N445" s="44" t="s">
        <v>1589</v>
      </c>
      <c r="O445" s="6" t="s">
        <v>356</v>
      </c>
      <c r="P445" s="6" t="str">
        <f t="shared" si="19"/>
        <v>Category</v>
      </c>
      <c r="Q445" t="str">
        <f t="shared" si="20"/>
        <v>2021</v>
      </c>
    </row>
    <row r="446" spans="1:17" ht="14.4">
      <c r="A446" s="162">
        <v>44458</v>
      </c>
      <c r="B446" s="165" t="s">
        <v>1676</v>
      </c>
      <c r="C446" s="164" t="s">
        <v>278</v>
      </c>
      <c r="D446" s="164" t="s">
        <v>97</v>
      </c>
      <c r="E446" s="79">
        <v>44440</v>
      </c>
      <c r="F446" s="6" t="s">
        <v>16</v>
      </c>
      <c r="G446" s="6" t="s">
        <v>170</v>
      </c>
      <c r="H446" s="170">
        <v>18000</v>
      </c>
      <c r="I446" s="172">
        <f t="shared" si="18"/>
        <v>206.13834173156206</v>
      </c>
      <c r="J446" s="162">
        <v>44458</v>
      </c>
      <c r="K446" s="6" t="s">
        <v>252</v>
      </c>
      <c r="L446" s="162">
        <v>44458</v>
      </c>
      <c r="M446" s="175" t="s">
        <v>5655</v>
      </c>
      <c r="N446" s="44" t="s">
        <v>1589</v>
      </c>
      <c r="O446" s="6" t="s">
        <v>356</v>
      </c>
      <c r="P446" s="6" t="str">
        <f t="shared" si="19"/>
        <v>Category</v>
      </c>
      <c r="Q446" t="str">
        <f t="shared" si="20"/>
        <v>2021</v>
      </c>
    </row>
    <row r="447" spans="1:17" ht="14.4">
      <c r="A447" s="162">
        <v>44460</v>
      </c>
      <c r="B447" s="164" t="s">
        <v>1678</v>
      </c>
      <c r="C447" s="164" t="s">
        <v>278</v>
      </c>
      <c r="D447" s="164" t="s">
        <v>96</v>
      </c>
      <c r="E447" s="79">
        <v>44440</v>
      </c>
      <c r="F447" s="6" t="s">
        <v>16</v>
      </c>
      <c r="G447" s="6" t="s">
        <v>48</v>
      </c>
      <c r="H447" s="170">
        <v>19500</v>
      </c>
      <c r="I447" s="172">
        <f t="shared" si="18"/>
        <v>223.3165368758589</v>
      </c>
      <c r="J447" s="162">
        <v>44460</v>
      </c>
      <c r="K447" s="6" t="s">
        <v>253</v>
      </c>
      <c r="L447" s="162">
        <v>44460</v>
      </c>
      <c r="M447" s="175" t="s">
        <v>5656</v>
      </c>
      <c r="N447" s="44" t="s">
        <v>1650</v>
      </c>
      <c r="O447" s="6" t="s">
        <v>356</v>
      </c>
      <c r="P447" s="6" t="str">
        <f t="shared" si="19"/>
        <v>Category</v>
      </c>
      <c r="Q447" t="str">
        <f t="shared" si="20"/>
        <v>2021</v>
      </c>
    </row>
    <row r="448" spans="1:17">
      <c r="A448" s="162">
        <v>44460</v>
      </c>
      <c r="B448" s="164" t="s">
        <v>1680</v>
      </c>
      <c r="C448" s="164" t="s">
        <v>274</v>
      </c>
      <c r="D448" s="164" t="s">
        <v>97</v>
      </c>
      <c r="E448" s="79">
        <v>44440</v>
      </c>
      <c r="F448" s="6" t="s">
        <v>16</v>
      </c>
      <c r="G448" s="6" t="s">
        <v>52</v>
      </c>
      <c r="H448" s="170">
        <v>19000</v>
      </c>
      <c r="I448" s="172">
        <f t="shared" si="18"/>
        <v>217.59047182775998</v>
      </c>
      <c r="J448" s="162">
        <v>44460</v>
      </c>
      <c r="K448" s="6" t="s">
        <v>253</v>
      </c>
      <c r="L448" s="162">
        <v>44461</v>
      </c>
      <c r="M448" s="175" t="s">
        <v>5657</v>
      </c>
      <c r="O448" s="6" t="s">
        <v>280</v>
      </c>
      <c r="P448" s="6" t="str">
        <f t="shared" si="19"/>
        <v>Category</v>
      </c>
      <c r="Q448" t="str">
        <f t="shared" si="20"/>
        <v>2021</v>
      </c>
    </row>
    <row r="449" spans="1:17">
      <c r="A449" s="162">
        <v>44461</v>
      </c>
      <c r="B449" s="164" t="s">
        <v>1682</v>
      </c>
      <c r="C449" s="164" t="s">
        <v>306</v>
      </c>
      <c r="D449" s="164" t="s">
        <v>96</v>
      </c>
      <c r="E449" s="79">
        <v>44440</v>
      </c>
      <c r="F449" s="6" t="s">
        <v>16</v>
      </c>
      <c r="G449" s="6" t="s">
        <v>48</v>
      </c>
      <c r="H449" s="170">
        <v>20000</v>
      </c>
      <c r="I449" s="172">
        <f t="shared" si="18"/>
        <v>229.04260192395787</v>
      </c>
      <c r="J449" s="162">
        <v>44461</v>
      </c>
      <c r="K449" s="6" t="s">
        <v>253</v>
      </c>
      <c r="L449" s="162">
        <v>44461</v>
      </c>
      <c r="M449" s="175" t="s">
        <v>5658</v>
      </c>
      <c r="O449" s="6" t="s">
        <v>280</v>
      </c>
      <c r="P449" s="6" t="str">
        <f t="shared" si="19"/>
        <v>Category</v>
      </c>
      <c r="Q449" t="str">
        <f t="shared" si="20"/>
        <v>2021</v>
      </c>
    </row>
    <row r="450" spans="1:17" ht="14.4">
      <c r="A450" s="162">
        <v>44462</v>
      </c>
      <c r="B450" s="165" t="s">
        <v>1656</v>
      </c>
      <c r="C450" s="164" t="s">
        <v>278</v>
      </c>
      <c r="D450" s="164" t="s">
        <v>97</v>
      </c>
      <c r="E450" s="79">
        <v>44440</v>
      </c>
      <c r="F450" s="6" t="s">
        <v>16</v>
      </c>
      <c r="G450" s="6" t="s">
        <v>170</v>
      </c>
      <c r="H450" s="170">
        <v>18000</v>
      </c>
      <c r="I450" s="172">
        <f t="shared" ref="I450:I513" si="21">IFERROR((($H450/1.18))/74,"")</f>
        <v>206.13834173156206</v>
      </c>
      <c r="J450" s="162">
        <v>44462</v>
      </c>
      <c r="K450" s="6" t="s">
        <v>253</v>
      </c>
      <c r="L450" s="162">
        <v>44462</v>
      </c>
      <c r="M450" s="175" t="s">
        <v>5659</v>
      </c>
      <c r="N450" s="44" t="s">
        <v>1589</v>
      </c>
      <c r="O450" s="6" t="s">
        <v>356</v>
      </c>
      <c r="P450" s="6" t="str">
        <f t="shared" ref="P450:P513" si="22">IFERROR(_xlfn.IFS($D450="CSM","Category",$D450="CSPO","Category", $D450="PSM","SAFe que",$D450="PSPO","SAFe que",$D450="SAFe Agile","SAFe que",$D450="SAFe SSM","SAFe que",$D450="SAFe POPM","SAFe que",$D450="SASM","SAFe que",$D450="PMI-ACP","Category",$D450="ICP-ACC","SAFe que",$D450="PSM 2","SAFe que",$D450="SAFe RTE","SAFe que",$D450="Implementing SAFe","SAFe que",$D450="SAFe for Government","SAFe que",$D450="PSPO 2","SAFe que",$D450="",""),"NonCategory")</f>
        <v>Category</v>
      </c>
      <c r="Q450" t="str">
        <f t="shared" ref="Q450:Q513" si="23">TEXT(E450, "yyyy")</f>
        <v>2021</v>
      </c>
    </row>
    <row r="451" spans="1:17">
      <c r="A451" s="162">
        <v>44463</v>
      </c>
      <c r="B451" s="164" t="s">
        <v>1684</v>
      </c>
      <c r="C451" s="164" t="s">
        <v>343</v>
      </c>
      <c r="D451" s="164" t="s">
        <v>97</v>
      </c>
      <c r="E451" s="79">
        <v>44440</v>
      </c>
      <c r="F451" s="6" t="s">
        <v>16</v>
      </c>
      <c r="G451" s="6" t="s">
        <v>52</v>
      </c>
      <c r="H451" s="170">
        <v>20000</v>
      </c>
      <c r="I451" s="172">
        <f t="shared" si="21"/>
        <v>229.04260192395787</v>
      </c>
      <c r="J451" s="162">
        <v>44463</v>
      </c>
      <c r="K451" s="6" t="s">
        <v>253</v>
      </c>
      <c r="L451" s="162">
        <v>44463</v>
      </c>
      <c r="M451" s="175" t="s">
        <v>5660</v>
      </c>
      <c r="O451" s="6" t="s">
        <v>356</v>
      </c>
      <c r="P451" s="6" t="str">
        <f t="shared" si="22"/>
        <v>Category</v>
      </c>
      <c r="Q451" t="str">
        <f t="shared" si="23"/>
        <v>2021</v>
      </c>
    </row>
    <row r="452" spans="1:17">
      <c r="A452" s="162">
        <v>44463</v>
      </c>
      <c r="B452" s="164" t="s">
        <v>1686</v>
      </c>
      <c r="C452" s="164" t="s">
        <v>319</v>
      </c>
      <c r="D452" s="164" t="s">
        <v>25</v>
      </c>
      <c r="E452" s="79">
        <v>44440</v>
      </c>
      <c r="F452" s="6" t="s">
        <v>16</v>
      </c>
      <c r="G452" s="6" t="s">
        <v>63</v>
      </c>
      <c r="H452" s="170">
        <v>41000</v>
      </c>
      <c r="I452" s="172">
        <f t="shared" si="21"/>
        <v>469.53733394411364</v>
      </c>
      <c r="J452" s="162">
        <v>44463</v>
      </c>
      <c r="K452" s="6" t="s">
        <v>253</v>
      </c>
      <c r="L452" s="162">
        <v>44463</v>
      </c>
      <c r="M452" s="175" t="s">
        <v>5661</v>
      </c>
      <c r="O452" s="6" t="s">
        <v>280</v>
      </c>
      <c r="P452" s="6" t="str">
        <f t="shared" si="22"/>
        <v>SAFe que</v>
      </c>
      <c r="Q452" t="str">
        <f t="shared" si="23"/>
        <v>2021</v>
      </c>
    </row>
    <row r="453" spans="1:17">
      <c r="A453" s="162">
        <v>44463</v>
      </c>
      <c r="B453" s="164" t="s">
        <v>1688</v>
      </c>
      <c r="C453" s="164" t="s">
        <v>278</v>
      </c>
      <c r="D453" s="164" t="s">
        <v>25</v>
      </c>
      <c r="E453" s="79">
        <v>44440</v>
      </c>
      <c r="F453" s="6" t="s">
        <v>16</v>
      </c>
      <c r="G453" s="6" t="s">
        <v>63</v>
      </c>
      <c r="H453" s="170">
        <v>41000</v>
      </c>
      <c r="I453" s="172">
        <f t="shared" si="21"/>
        <v>469.53733394411364</v>
      </c>
      <c r="J453" s="162">
        <v>44463</v>
      </c>
      <c r="K453" s="6" t="s">
        <v>253</v>
      </c>
      <c r="L453" s="162">
        <v>44463</v>
      </c>
      <c r="M453" s="175" t="s">
        <v>5662</v>
      </c>
      <c r="N453" s="6" t="s">
        <v>1690</v>
      </c>
      <c r="O453" s="6" t="s">
        <v>280</v>
      </c>
      <c r="P453" s="6" t="str">
        <f t="shared" si="22"/>
        <v>SAFe que</v>
      </c>
      <c r="Q453" t="str">
        <f t="shared" si="23"/>
        <v>2021</v>
      </c>
    </row>
    <row r="454" spans="1:17">
      <c r="A454" s="162">
        <v>44463</v>
      </c>
      <c r="B454" s="164" t="s">
        <v>1691</v>
      </c>
      <c r="C454" s="164" t="s">
        <v>278</v>
      </c>
      <c r="D454" s="164" t="s">
        <v>25</v>
      </c>
      <c r="E454" s="79">
        <v>44440</v>
      </c>
      <c r="F454" s="6" t="s">
        <v>16</v>
      </c>
      <c r="G454" s="6" t="s">
        <v>63</v>
      </c>
      <c r="H454" s="170">
        <v>41000</v>
      </c>
      <c r="I454" s="172">
        <f t="shared" si="21"/>
        <v>469.53733394411364</v>
      </c>
      <c r="J454" s="162">
        <v>44463</v>
      </c>
      <c r="K454" s="6" t="s">
        <v>253</v>
      </c>
      <c r="L454" s="162">
        <v>44463</v>
      </c>
      <c r="M454" s="175" t="s">
        <v>5663</v>
      </c>
      <c r="N454" s="6" t="s">
        <v>1690</v>
      </c>
      <c r="O454" s="6" t="s">
        <v>280</v>
      </c>
      <c r="P454" s="6" t="str">
        <f t="shared" si="22"/>
        <v>SAFe que</v>
      </c>
      <c r="Q454" t="str">
        <f t="shared" si="23"/>
        <v>2021</v>
      </c>
    </row>
    <row r="455" spans="1:17">
      <c r="A455" s="162">
        <v>44463</v>
      </c>
      <c r="B455" s="164" t="s">
        <v>1693</v>
      </c>
      <c r="C455" s="164" t="s">
        <v>303</v>
      </c>
      <c r="D455" s="164" t="s">
        <v>97</v>
      </c>
      <c r="E455" s="79">
        <v>44440</v>
      </c>
      <c r="F455" s="6" t="s">
        <v>16</v>
      </c>
      <c r="G455" s="6" t="s">
        <v>1695</v>
      </c>
      <c r="H455" s="170">
        <v>20000</v>
      </c>
      <c r="I455" s="172">
        <f t="shared" si="21"/>
        <v>229.04260192395787</v>
      </c>
      <c r="J455" s="162">
        <v>44463</v>
      </c>
      <c r="K455" s="6" t="s">
        <v>253</v>
      </c>
      <c r="L455" s="162">
        <v>44464</v>
      </c>
      <c r="M455" s="175" t="s">
        <v>5664</v>
      </c>
      <c r="O455" s="6" t="s">
        <v>356</v>
      </c>
      <c r="P455" s="6" t="str">
        <f t="shared" si="22"/>
        <v>Category</v>
      </c>
      <c r="Q455" t="str">
        <f t="shared" si="23"/>
        <v>2021</v>
      </c>
    </row>
    <row r="456" spans="1:17" ht="14.4">
      <c r="A456" s="162">
        <v>44466</v>
      </c>
      <c r="B456" s="164" t="s">
        <v>1696</v>
      </c>
      <c r="C456" s="164" t="s">
        <v>278</v>
      </c>
      <c r="D456" s="164" t="s">
        <v>1698</v>
      </c>
      <c r="E456" s="79">
        <v>44440</v>
      </c>
      <c r="F456" s="6" t="s">
        <v>16</v>
      </c>
      <c r="G456" s="79">
        <v>44470</v>
      </c>
      <c r="H456" s="170">
        <v>38000</v>
      </c>
      <c r="I456" s="172">
        <f t="shared" si="21"/>
        <v>435.18094365551997</v>
      </c>
      <c r="J456" s="162">
        <v>44466</v>
      </c>
      <c r="K456" s="6" t="s">
        <v>253</v>
      </c>
      <c r="L456" s="162">
        <v>44466</v>
      </c>
      <c r="M456" s="175" t="s">
        <v>5665</v>
      </c>
      <c r="N456" s="44" t="s">
        <v>1210</v>
      </c>
      <c r="O456" s="6" t="s">
        <v>356</v>
      </c>
      <c r="P456" s="6" t="str">
        <f t="shared" si="22"/>
        <v>NonCategory</v>
      </c>
      <c r="Q456" t="str">
        <f t="shared" si="23"/>
        <v>2021</v>
      </c>
    </row>
    <row r="457" spans="1:17">
      <c r="A457" s="162">
        <v>44467</v>
      </c>
      <c r="B457" s="164" t="s">
        <v>1699</v>
      </c>
      <c r="C457" s="164" t="s">
        <v>278</v>
      </c>
      <c r="D457" s="164" t="s">
        <v>6</v>
      </c>
      <c r="E457" s="79">
        <v>44440</v>
      </c>
      <c r="F457" s="6" t="s">
        <v>16</v>
      </c>
      <c r="G457" s="6" t="s">
        <v>48</v>
      </c>
      <c r="H457" s="170">
        <v>45000</v>
      </c>
      <c r="I457" s="172">
        <f t="shared" si="21"/>
        <v>515.34585432890515</v>
      </c>
      <c r="J457" s="162">
        <v>44467</v>
      </c>
      <c r="K457" s="6" t="s">
        <v>253</v>
      </c>
      <c r="L457" s="162">
        <v>44467</v>
      </c>
      <c r="M457" s="175" t="s">
        <v>5666</v>
      </c>
      <c r="N457" s="6" t="s">
        <v>1478</v>
      </c>
      <c r="O457" s="6" t="s">
        <v>280</v>
      </c>
      <c r="P457" s="6" t="str">
        <f t="shared" si="22"/>
        <v>SAFe que</v>
      </c>
      <c r="Q457" t="str">
        <f t="shared" si="23"/>
        <v>2021</v>
      </c>
    </row>
    <row r="458" spans="1:17">
      <c r="A458" s="162">
        <v>44468</v>
      </c>
      <c r="B458" s="164" t="s">
        <v>1579</v>
      </c>
      <c r="C458" s="164" t="s">
        <v>274</v>
      </c>
      <c r="D458" s="164" t="s">
        <v>25</v>
      </c>
      <c r="E458" s="79">
        <v>44440</v>
      </c>
      <c r="F458" s="6" t="s">
        <v>16</v>
      </c>
      <c r="G458" s="6" t="s">
        <v>1698</v>
      </c>
      <c r="H458" s="170">
        <v>38000</v>
      </c>
      <c r="I458" s="172">
        <f t="shared" si="21"/>
        <v>435.18094365551997</v>
      </c>
      <c r="J458" s="162">
        <v>44468</v>
      </c>
      <c r="K458" s="6" t="s">
        <v>253</v>
      </c>
      <c r="L458" s="162">
        <v>44467</v>
      </c>
      <c r="M458" s="175" t="s">
        <v>5667</v>
      </c>
      <c r="O458" s="6" t="s">
        <v>356</v>
      </c>
      <c r="P458" s="6" t="str">
        <f t="shared" si="22"/>
        <v>SAFe que</v>
      </c>
      <c r="Q458" t="str">
        <f t="shared" si="23"/>
        <v>2021</v>
      </c>
    </row>
    <row r="459" spans="1:17">
      <c r="A459" s="162">
        <v>44470</v>
      </c>
      <c r="B459" s="164" t="s">
        <v>1702</v>
      </c>
      <c r="C459" s="164" t="s">
        <v>319</v>
      </c>
      <c r="D459" s="164" t="s">
        <v>6</v>
      </c>
      <c r="E459" s="79">
        <v>44470</v>
      </c>
      <c r="F459" s="6" t="s">
        <v>16</v>
      </c>
      <c r="G459" s="6" t="s">
        <v>48</v>
      </c>
      <c r="H459" s="170">
        <v>45000</v>
      </c>
      <c r="I459" s="172">
        <f t="shared" si="21"/>
        <v>515.34585432890515</v>
      </c>
      <c r="J459" s="162">
        <v>44470</v>
      </c>
      <c r="K459" s="6" t="s">
        <v>251</v>
      </c>
      <c r="L459" s="162">
        <v>44470</v>
      </c>
      <c r="M459" s="175" t="s">
        <v>5668</v>
      </c>
      <c r="O459" s="6" t="s">
        <v>356</v>
      </c>
      <c r="P459" s="6" t="str">
        <f t="shared" si="22"/>
        <v>SAFe que</v>
      </c>
      <c r="Q459" t="str">
        <f t="shared" si="23"/>
        <v>2021</v>
      </c>
    </row>
    <row r="460" spans="1:17" ht="14.4">
      <c r="A460" s="162">
        <v>44470</v>
      </c>
      <c r="B460" s="164" t="s">
        <v>1704</v>
      </c>
      <c r="C460" s="164" t="s">
        <v>278</v>
      </c>
      <c r="D460" s="164" t="s">
        <v>150</v>
      </c>
      <c r="E460" s="79">
        <v>44470</v>
      </c>
      <c r="F460" s="6" t="s">
        <v>16</v>
      </c>
      <c r="G460" s="6" t="s">
        <v>48</v>
      </c>
      <c r="H460" s="170">
        <v>21000</v>
      </c>
      <c r="I460" s="172">
        <f t="shared" si="21"/>
        <v>240.49473202015577</v>
      </c>
      <c r="J460" s="162">
        <v>44470</v>
      </c>
      <c r="K460" s="6" t="s">
        <v>251</v>
      </c>
      <c r="L460" s="162">
        <v>44470</v>
      </c>
      <c r="M460" s="175" t="s">
        <v>5669</v>
      </c>
      <c r="N460" s="44" t="s">
        <v>1127</v>
      </c>
      <c r="O460" s="6" t="s">
        <v>280</v>
      </c>
      <c r="P460" s="6" t="str">
        <f t="shared" si="22"/>
        <v>SAFe que</v>
      </c>
      <c r="Q460" t="str">
        <f t="shared" si="23"/>
        <v>2021</v>
      </c>
    </row>
    <row r="461" spans="1:17">
      <c r="A461" s="162">
        <v>44470</v>
      </c>
      <c r="B461" s="164" t="s">
        <v>1706</v>
      </c>
      <c r="C461" s="164" t="s">
        <v>306</v>
      </c>
      <c r="D461" s="164" t="s">
        <v>6</v>
      </c>
      <c r="E461" s="79">
        <v>44470</v>
      </c>
      <c r="F461" s="6" t="s">
        <v>16</v>
      </c>
      <c r="G461" s="6" t="s">
        <v>48</v>
      </c>
      <c r="H461" s="170">
        <v>45000</v>
      </c>
      <c r="I461" s="172">
        <f t="shared" si="21"/>
        <v>515.34585432890515</v>
      </c>
      <c r="J461" s="162">
        <v>44470</v>
      </c>
      <c r="K461" s="6" t="s">
        <v>251</v>
      </c>
      <c r="L461" s="162">
        <v>44470</v>
      </c>
      <c r="M461" s="175" t="s">
        <v>5670</v>
      </c>
      <c r="O461" s="6" t="s">
        <v>356</v>
      </c>
      <c r="P461" s="6" t="str">
        <f t="shared" si="22"/>
        <v>SAFe que</v>
      </c>
      <c r="Q461" t="str">
        <f t="shared" si="23"/>
        <v>2021</v>
      </c>
    </row>
    <row r="462" spans="1:17">
      <c r="A462" s="162">
        <v>44470</v>
      </c>
      <c r="B462" s="164" t="s">
        <v>1708</v>
      </c>
      <c r="C462" s="164" t="s">
        <v>306</v>
      </c>
      <c r="D462" s="164" t="s">
        <v>25</v>
      </c>
      <c r="E462" s="79">
        <v>44470</v>
      </c>
      <c r="F462" s="6" t="s">
        <v>16</v>
      </c>
      <c r="G462" s="6" t="s">
        <v>48</v>
      </c>
      <c r="H462" s="170">
        <v>45000</v>
      </c>
      <c r="I462" s="172">
        <f t="shared" si="21"/>
        <v>515.34585432890515</v>
      </c>
      <c r="J462" s="162">
        <v>44470</v>
      </c>
      <c r="K462" s="6" t="s">
        <v>251</v>
      </c>
      <c r="L462" s="162">
        <v>44470</v>
      </c>
      <c r="M462" s="175" t="s">
        <v>5671</v>
      </c>
      <c r="O462" s="6" t="s">
        <v>356</v>
      </c>
      <c r="P462" s="6" t="str">
        <f t="shared" si="22"/>
        <v>SAFe que</v>
      </c>
      <c r="Q462" t="str">
        <f t="shared" si="23"/>
        <v>2021</v>
      </c>
    </row>
    <row r="463" spans="1:17">
      <c r="A463" s="162">
        <v>44471</v>
      </c>
      <c r="B463" s="164" t="s">
        <v>1710</v>
      </c>
      <c r="C463" s="164" t="s">
        <v>291</v>
      </c>
      <c r="D463" s="164" t="s">
        <v>1712</v>
      </c>
      <c r="E463" s="79">
        <v>44470</v>
      </c>
      <c r="F463" s="6" t="s">
        <v>16</v>
      </c>
      <c r="G463" s="97">
        <v>44471</v>
      </c>
      <c r="H463" s="170">
        <v>41000</v>
      </c>
      <c r="I463" s="172">
        <f t="shared" si="21"/>
        <v>469.53733394411364</v>
      </c>
      <c r="J463" s="162">
        <v>44471</v>
      </c>
      <c r="K463" s="6" t="s">
        <v>251</v>
      </c>
      <c r="L463" s="162">
        <v>44471</v>
      </c>
      <c r="M463" s="175" t="s">
        <v>5672</v>
      </c>
      <c r="O463" s="6" t="s">
        <v>356</v>
      </c>
      <c r="P463" s="6" t="str">
        <f t="shared" si="22"/>
        <v>NonCategory</v>
      </c>
      <c r="Q463" t="str">
        <f t="shared" si="23"/>
        <v>2021</v>
      </c>
    </row>
    <row r="464" spans="1:17">
      <c r="A464" s="162">
        <v>44471</v>
      </c>
      <c r="B464" s="164" t="s">
        <v>1713</v>
      </c>
      <c r="C464" s="164" t="s">
        <v>278</v>
      </c>
      <c r="D464" s="164" t="s">
        <v>976</v>
      </c>
      <c r="E464" s="79">
        <v>44470</v>
      </c>
      <c r="F464" s="6" t="s">
        <v>16</v>
      </c>
      <c r="G464" s="97">
        <v>44471</v>
      </c>
      <c r="H464" s="170">
        <v>16000</v>
      </c>
      <c r="I464" s="172">
        <f t="shared" si="21"/>
        <v>183.23408153916631</v>
      </c>
      <c r="J464" s="162">
        <v>44471</v>
      </c>
      <c r="K464" s="6" t="s">
        <v>251</v>
      </c>
      <c r="L464" s="162">
        <v>44471</v>
      </c>
      <c r="M464" s="175" t="s">
        <v>5673</v>
      </c>
      <c r="N464" s="6" t="s">
        <v>1278</v>
      </c>
      <c r="O464" s="6" t="s">
        <v>356</v>
      </c>
      <c r="P464" s="6" t="str">
        <f t="shared" si="22"/>
        <v>NonCategory</v>
      </c>
      <c r="Q464" t="str">
        <f t="shared" si="23"/>
        <v>2021</v>
      </c>
    </row>
    <row r="465" spans="1:17">
      <c r="A465" s="162">
        <v>44471</v>
      </c>
      <c r="B465" s="164" t="s">
        <v>1713</v>
      </c>
      <c r="C465" s="164" t="s">
        <v>274</v>
      </c>
      <c r="D465" s="164" t="s">
        <v>1716</v>
      </c>
      <c r="E465" s="79">
        <v>44470</v>
      </c>
      <c r="F465" s="6" t="s">
        <v>16</v>
      </c>
      <c r="G465" s="97">
        <v>44471</v>
      </c>
      <c r="H465" s="170">
        <v>20000</v>
      </c>
      <c r="I465" s="172">
        <f t="shared" si="21"/>
        <v>229.04260192395787</v>
      </c>
      <c r="J465" s="162">
        <v>44471</v>
      </c>
      <c r="K465" s="6" t="s">
        <v>251</v>
      </c>
      <c r="L465" s="162">
        <v>44471</v>
      </c>
      <c r="M465" s="175" t="s">
        <v>5674</v>
      </c>
      <c r="O465" s="6" t="s">
        <v>356</v>
      </c>
      <c r="P465" s="6" t="str">
        <f t="shared" si="22"/>
        <v>NonCategory</v>
      </c>
      <c r="Q465" t="str">
        <f t="shared" si="23"/>
        <v>2021</v>
      </c>
    </row>
    <row r="466" spans="1:17" ht="14.4">
      <c r="A466" s="162">
        <v>44473</v>
      </c>
      <c r="B466" s="164" t="s">
        <v>1717</v>
      </c>
      <c r="C466" s="164" t="s">
        <v>278</v>
      </c>
      <c r="D466" s="164" t="s">
        <v>96</v>
      </c>
      <c r="E466" s="79">
        <v>44470</v>
      </c>
      <c r="F466" s="6" t="s">
        <v>16</v>
      </c>
      <c r="G466" s="6" t="s">
        <v>1695</v>
      </c>
      <c r="H466" s="170">
        <v>20000</v>
      </c>
      <c r="I466" s="172">
        <f t="shared" si="21"/>
        <v>229.04260192395787</v>
      </c>
      <c r="J466" s="162">
        <v>44473</v>
      </c>
      <c r="K466" s="6" t="s">
        <v>251</v>
      </c>
      <c r="L466" s="162">
        <v>44473</v>
      </c>
      <c r="M466" s="175" t="s">
        <v>5675</v>
      </c>
      <c r="N466" s="44" t="s">
        <v>1127</v>
      </c>
      <c r="O466" s="6" t="s">
        <v>356</v>
      </c>
      <c r="P466" s="6" t="str">
        <f t="shared" si="22"/>
        <v>Category</v>
      </c>
      <c r="Q466" t="str">
        <f t="shared" si="23"/>
        <v>2021</v>
      </c>
    </row>
    <row r="467" spans="1:17" ht="14.4">
      <c r="A467" s="162">
        <v>44473</v>
      </c>
      <c r="B467" s="164" t="s">
        <v>1719</v>
      </c>
      <c r="C467" s="164" t="s">
        <v>278</v>
      </c>
      <c r="D467" s="164" t="s">
        <v>97</v>
      </c>
      <c r="E467" s="79">
        <v>44470</v>
      </c>
      <c r="F467" s="6" t="s">
        <v>16</v>
      </c>
      <c r="G467" s="6" t="s">
        <v>63</v>
      </c>
      <c r="H467" s="170">
        <v>19000</v>
      </c>
      <c r="I467" s="172">
        <f t="shared" si="21"/>
        <v>217.59047182775998</v>
      </c>
      <c r="J467" s="162">
        <v>44473</v>
      </c>
      <c r="K467" s="6" t="s">
        <v>251</v>
      </c>
      <c r="L467" s="162">
        <v>44473</v>
      </c>
      <c r="M467" s="175" t="s">
        <v>5676</v>
      </c>
      <c r="N467" s="44" t="s">
        <v>1721</v>
      </c>
      <c r="O467" s="6" t="s">
        <v>356</v>
      </c>
      <c r="P467" s="6" t="str">
        <f t="shared" si="22"/>
        <v>Category</v>
      </c>
      <c r="Q467" t="str">
        <f t="shared" si="23"/>
        <v>2021</v>
      </c>
    </row>
    <row r="468" spans="1:17">
      <c r="A468" s="162">
        <v>44473</v>
      </c>
      <c r="B468" s="164" t="s">
        <v>1722</v>
      </c>
      <c r="C468" s="164" t="s">
        <v>319</v>
      </c>
      <c r="D468" s="164" t="s">
        <v>25</v>
      </c>
      <c r="E468" s="79">
        <v>44470</v>
      </c>
      <c r="F468" s="6" t="s">
        <v>16</v>
      </c>
      <c r="G468" s="6" t="s">
        <v>56</v>
      </c>
      <c r="H468" s="170">
        <v>45000</v>
      </c>
      <c r="I468" s="172">
        <f t="shared" si="21"/>
        <v>515.34585432890515</v>
      </c>
      <c r="J468" s="162">
        <v>44473</v>
      </c>
      <c r="K468" s="6" t="s">
        <v>251</v>
      </c>
      <c r="L468" s="162">
        <v>44473</v>
      </c>
      <c r="M468" s="175" t="s">
        <v>5677</v>
      </c>
      <c r="O468" s="6" t="s">
        <v>280</v>
      </c>
      <c r="P468" s="6" t="str">
        <f t="shared" si="22"/>
        <v>SAFe que</v>
      </c>
      <c r="Q468" t="str">
        <f t="shared" si="23"/>
        <v>2021</v>
      </c>
    </row>
    <row r="469" spans="1:17">
      <c r="A469" s="162">
        <v>44473</v>
      </c>
      <c r="B469" s="164" t="s">
        <v>1724</v>
      </c>
      <c r="C469" s="164" t="s">
        <v>319</v>
      </c>
      <c r="D469" s="164" t="s">
        <v>7</v>
      </c>
      <c r="E469" s="79">
        <v>44470</v>
      </c>
      <c r="F469" s="6" t="s">
        <v>16</v>
      </c>
      <c r="G469" s="6" t="s">
        <v>56</v>
      </c>
      <c r="H469" s="170">
        <v>45000</v>
      </c>
      <c r="I469" s="172">
        <f t="shared" si="21"/>
        <v>515.34585432890515</v>
      </c>
      <c r="J469" s="162">
        <v>44473</v>
      </c>
      <c r="K469" s="6" t="s">
        <v>251</v>
      </c>
      <c r="L469" s="162">
        <v>44473</v>
      </c>
      <c r="M469" s="175" t="s">
        <v>5678</v>
      </c>
      <c r="O469" s="6" t="s">
        <v>356</v>
      </c>
      <c r="P469" s="6" t="str">
        <f t="shared" si="22"/>
        <v>SAFe que</v>
      </c>
      <c r="Q469" t="str">
        <f t="shared" si="23"/>
        <v>2021</v>
      </c>
    </row>
    <row r="470" spans="1:17">
      <c r="A470" s="162">
        <v>44473</v>
      </c>
      <c r="B470" s="164" t="s">
        <v>1726</v>
      </c>
      <c r="C470" s="164" t="s">
        <v>319</v>
      </c>
      <c r="D470" s="164" t="s">
        <v>6</v>
      </c>
      <c r="E470" s="79">
        <v>44470</v>
      </c>
      <c r="F470" s="6" t="s">
        <v>16</v>
      </c>
      <c r="G470" s="6" t="s">
        <v>1728</v>
      </c>
      <c r="H470" s="170">
        <v>45000</v>
      </c>
      <c r="I470" s="172">
        <f t="shared" si="21"/>
        <v>515.34585432890515</v>
      </c>
      <c r="J470" s="162">
        <v>44473</v>
      </c>
      <c r="K470" s="6" t="s">
        <v>251</v>
      </c>
      <c r="L470" s="162">
        <v>44473</v>
      </c>
      <c r="M470" s="175" t="s">
        <v>5679</v>
      </c>
      <c r="O470" s="6" t="s">
        <v>280</v>
      </c>
      <c r="P470" s="6" t="str">
        <f t="shared" si="22"/>
        <v>SAFe que</v>
      </c>
      <c r="Q470" t="str">
        <f t="shared" si="23"/>
        <v>2021</v>
      </c>
    </row>
    <row r="471" spans="1:17">
      <c r="A471" s="162">
        <v>44474</v>
      </c>
      <c r="B471" s="164" t="s">
        <v>1729</v>
      </c>
      <c r="C471" s="164" t="s">
        <v>1731</v>
      </c>
      <c r="D471" s="164" t="s">
        <v>96</v>
      </c>
      <c r="E471" s="79">
        <v>44470</v>
      </c>
      <c r="F471" s="6" t="s">
        <v>16</v>
      </c>
      <c r="G471" s="6" t="s">
        <v>1732</v>
      </c>
      <c r="H471" s="170">
        <v>19000</v>
      </c>
      <c r="I471" s="172">
        <f t="shared" si="21"/>
        <v>217.59047182775998</v>
      </c>
      <c r="J471" s="162">
        <v>44474</v>
      </c>
      <c r="K471" s="6" t="s">
        <v>251</v>
      </c>
      <c r="L471" s="162">
        <v>44474</v>
      </c>
      <c r="M471" s="175" t="s">
        <v>5680</v>
      </c>
      <c r="O471" s="6" t="s">
        <v>356</v>
      </c>
      <c r="P471" s="6" t="str">
        <f t="shared" si="22"/>
        <v>Category</v>
      </c>
      <c r="Q471" t="str">
        <f t="shared" si="23"/>
        <v>2021</v>
      </c>
    </row>
    <row r="472" spans="1:17">
      <c r="A472" s="162">
        <v>44474</v>
      </c>
      <c r="B472" s="164" t="s">
        <v>1733</v>
      </c>
      <c r="C472" s="164" t="s">
        <v>278</v>
      </c>
      <c r="D472" s="164" t="s">
        <v>96</v>
      </c>
      <c r="E472" s="79">
        <v>44470</v>
      </c>
      <c r="F472" s="6" t="s">
        <v>16</v>
      </c>
      <c r="G472" s="6" t="s">
        <v>1732</v>
      </c>
      <c r="H472" s="170">
        <v>19000</v>
      </c>
      <c r="I472" s="172">
        <f t="shared" si="21"/>
        <v>217.59047182775998</v>
      </c>
      <c r="J472" s="162">
        <v>44474</v>
      </c>
      <c r="K472" s="6" t="s">
        <v>251</v>
      </c>
      <c r="L472" s="162">
        <v>44474</v>
      </c>
      <c r="M472" s="175" t="s">
        <v>5681</v>
      </c>
      <c r="O472" s="6" t="s">
        <v>356</v>
      </c>
      <c r="P472" s="6" t="str">
        <f t="shared" si="22"/>
        <v>Category</v>
      </c>
      <c r="Q472" t="str">
        <f t="shared" si="23"/>
        <v>2021</v>
      </c>
    </row>
    <row r="473" spans="1:17">
      <c r="A473" s="162">
        <v>44475</v>
      </c>
      <c r="B473" s="164" t="s">
        <v>1735</v>
      </c>
      <c r="C473" s="164" t="s">
        <v>319</v>
      </c>
      <c r="D473" s="164" t="s">
        <v>150</v>
      </c>
      <c r="E473" s="79">
        <v>44470</v>
      </c>
      <c r="F473" s="6" t="s">
        <v>16</v>
      </c>
      <c r="G473" s="6" t="s">
        <v>56</v>
      </c>
      <c r="H473" s="170">
        <v>21000</v>
      </c>
      <c r="I473" s="172">
        <f t="shared" si="21"/>
        <v>240.49473202015577</v>
      </c>
      <c r="J473" s="162">
        <v>44475</v>
      </c>
      <c r="K473" s="6" t="s">
        <v>251</v>
      </c>
      <c r="L473" s="162">
        <v>44475</v>
      </c>
      <c r="M473" s="175" t="s">
        <v>5682</v>
      </c>
      <c r="O473" s="6" t="s">
        <v>280</v>
      </c>
      <c r="P473" s="6" t="str">
        <f t="shared" si="22"/>
        <v>SAFe que</v>
      </c>
      <c r="Q473" t="str">
        <f t="shared" si="23"/>
        <v>2021</v>
      </c>
    </row>
    <row r="474" spans="1:17">
      <c r="A474" s="162">
        <v>44476</v>
      </c>
      <c r="B474" s="164" t="s">
        <v>1737</v>
      </c>
      <c r="C474" s="164" t="s">
        <v>319</v>
      </c>
      <c r="D474" s="164" t="s">
        <v>150</v>
      </c>
      <c r="E474" s="79">
        <v>44470</v>
      </c>
      <c r="F474" s="6" t="s">
        <v>16</v>
      </c>
      <c r="G474" s="6" t="s">
        <v>56</v>
      </c>
      <c r="H474" s="170">
        <v>21000</v>
      </c>
      <c r="I474" s="172">
        <f t="shared" si="21"/>
        <v>240.49473202015577</v>
      </c>
      <c r="J474" s="162">
        <v>44476</v>
      </c>
      <c r="K474" s="6" t="s">
        <v>251</v>
      </c>
      <c r="L474" s="162">
        <v>44476</v>
      </c>
      <c r="M474" s="175" t="s">
        <v>5683</v>
      </c>
      <c r="O474" s="6" t="s">
        <v>356</v>
      </c>
      <c r="P474" s="6" t="str">
        <f t="shared" si="22"/>
        <v>SAFe que</v>
      </c>
      <c r="Q474" t="str">
        <f t="shared" si="23"/>
        <v>2021</v>
      </c>
    </row>
    <row r="475" spans="1:17" ht="14.4">
      <c r="A475" s="162">
        <v>44477</v>
      </c>
      <c r="B475" s="164" t="s">
        <v>1739</v>
      </c>
      <c r="C475" s="164" t="s">
        <v>278</v>
      </c>
      <c r="D475" s="164" t="s">
        <v>5218</v>
      </c>
      <c r="E475" s="79">
        <v>44470</v>
      </c>
      <c r="F475" s="6" t="s">
        <v>16</v>
      </c>
      <c r="G475" s="97">
        <v>44477</v>
      </c>
      <c r="H475" s="170">
        <v>25000</v>
      </c>
      <c r="I475" s="172">
        <f t="shared" si="21"/>
        <v>286.30325240494733</v>
      </c>
      <c r="J475" s="162">
        <v>44477</v>
      </c>
      <c r="K475" s="6" t="s">
        <v>251</v>
      </c>
      <c r="L475" s="162">
        <v>44477</v>
      </c>
      <c r="M475" s="175" t="s">
        <v>5684</v>
      </c>
      <c r="N475" s="44" t="s">
        <v>1210</v>
      </c>
      <c r="O475" s="6" t="s">
        <v>356</v>
      </c>
      <c r="P475" s="6" t="str">
        <f t="shared" si="22"/>
        <v>NonCategory</v>
      </c>
      <c r="Q475" t="str">
        <f t="shared" si="23"/>
        <v>2021</v>
      </c>
    </row>
    <row r="476" spans="1:17">
      <c r="A476" s="162">
        <v>44477</v>
      </c>
      <c r="B476" s="164" t="s">
        <v>1742</v>
      </c>
      <c r="C476" s="164" t="s">
        <v>306</v>
      </c>
      <c r="D476" s="164" t="s">
        <v>151</v>
      </c>
      <c r="E476" s="79">
        <v>44470</v>
      </c>
      <c r="F476" s="6" t="s">
        <v>16</v>
      </c>
      <c r="G476" s="6" t="s">
        <v>1744</v>
      </c>
      <c r="H476" s="170">
        <v>21000</v>
      </c>
      <c r="I476" s="172">
        <f t="shared" si="21"/>
        <v>240.49473202015577</v>
      </c>
      <c r="J476" s="162">
        <v>44477</v>
      </c>
      <c r="K476" s="6" t="s">
        <v>251</v>
      </c>
      <c r="L476" s="162">
        <v>44477</v>
      </c>
      <c r="M476" s="175" t="s">
        <v>5685</v>
      </c>
      <c r="O476" s="6" t="s">
        <v>280</v>
      </c>
      <c r="P476" s="6" t="str">
        <f t="shared" si="22"/>
        <v>SAFe que</v>
      </c>
      <c r="Q476" t="str">
        <f t="shared" si="23"/>
        <v>2021</v>
      </c>
    </row>
    <row r="477" spans="1:17">
      <c r="A477" s="162">
        <v>44478</v>
      </c>
      <c r="B477" s="164" t="s">
        <v>584</v>
      </c>
      <c r="C477" s="164" t="s">
        <v>319</v>
      </c>
      <c r="D477" s="164" t="s">
        <v>96</v>
      </c>
      <c r="E477" s="79">
        <v>44470</v>
      </c>
      <c r="F477" s="6" t="s">
        <v>16</v>
      </c>
      <c r="G477" s="6" t="s">
        <v>63</v>
      </c>
      <c r="H477" s="170">
        <v>21000</v>
      </c>
      <c r="I477" s="172">
        <f t="shared" si="21"/>
        <v>240.49473202015577</v>
      </c>
      <c r="J477" s="162">
        <v>44478</v>
      </c>
      <c r="K477" s="6" t="s">
        <v>251</v>
      </c>
      <c r="L477" s="162">
        <v>44478</v>
      </c>
      <c r="M477" s="175" t="s">
        <v>5686</v>
      </c>
      <c r="N477" s="20"/>
      <c r="O477" s="6" t="s">
        <v>280</v>
      </c>
      <c r="P477" s="6" t="str">
        <f t="shared" si="22"/>
        <v>Category</v>
      </c>
      <c r="Q477" t="str">
        <f t="shared" si="23"/>
        <v>2021</v>
      </c>
    </row>
    <row r="478" spans="1:17" ht="14.4">
      <c r="A478" s="162">
        <v>44481</v>
      </c>
      <c r="B478" s="164" t="s">
        <v>1746</v>
      </c>
      <c r="C478" s="164" t="s">
        <v>278</v>
      </c>
      <c r="D478" s="164" t="s">
        <v>25</v>
      </c>
      <c r="E478" s="79">
        <v>44470</v>
      </c>
      <c r="F478" s="6" t="s">
        <v>16</v>
      </c>
      <c r="G478" s="6" t="s">
        <v>59</v>
      </c>
      <c r="H478" s="170">
        <v>45000</v>
      </c>
      <c r="I478" s="172">
        <f t="shared" si="21"/>
        <v>515.34585432890515</v>
      </c>
      <c r="J478" s="162">
        <v>44481</v>
      </c>
      <c r="K478" s="6" t="s">
        <v>252</v>
      </c>
      <c r="L478" s="162">
        <v>44481</v>
      </c>
      <c r="M478" s="175" t="s">
        <v>5687</v>
      </c>
      <c r="N478" s="44" t="s">
        <v>1748</v>
      </c>
      <c r="O478" s="6" t="s">
        <v>280</v>
      </c>
      <c r="P478" s="6" t="str">
        <f t="shared" si="22"/>
        <v>SAFe que</v>
      </c>
      <c r="Q478" t="str">
        <f t="shared" si="23"/>
        <v>2021</v>
      </c>
    </row>
    <row r="479" spans="1:17">
      <c r="A479" s="162">
        <v>44481</v>
      </c>
      <c r="B479" s="164" t="s">
        <v>1749</v>
      </c>
      <c r="C479" s="164" t="s">
        <v>287</v>
      </c>
      <c r="D479" s="164" t="s">
        <v>151</v>
      </c>
      <c r="E479" s="79">
        <v>44470</v>
      </c>
      <c r="F479" s="6" t="s">
        <v>16</v>
      </c>
      <c r="G479" s="6" t="s">
        <v>59</v>
      </c>
      <c r="H479" s="170">
        <v>21000</v>
      </c>
      <c r="I479" s="172">
        <f t="shared" si="21"/>
        <v>240.49473202015577</v>
      </c>
      <c r="J479" s="162">
        <v>44481</v>
      </c>
      <c r="K479" s="6" t="s">
        <v>252</v>
      </c>
      <c r="L479" s="162">
        <v>44481</v>
      </c>
      <c r="M479" s="175" t="s">
        <v>5688</v>
      </c>
      <c r="O479" s="6" t="s">
        <v>280</v>
      </c>
      <c r="P479" s="6" t="str">
        <f t="shared" si="22"/>
        <v>SAFe que</v>
      </c>
      <c r="Q479" t="str">
        <f t="shared" si="23"/>
        <v>2021</v>
      </c>
    </row>
    <row r="480" spans="1:17">
      <c r="A480" s="162">
        <v>44482</v>
      </c>
      <c r="B480" s="164" t="s">
        <v>1751</v>
      </c>
      <c r="C480" s="164" t="s">
        <v>291</v>
      </c>
      <c r="D480" s="164" t="s">
        <v>25</v>
      </c>
      <c r="E480" s="79">
        <v>44470</v>
      </c>
      <c r="F480" s="6" t="s">
        <v>16</v>
      </c>
      <c r="G480" s="6" t="s">
        <v>59</v>
      </c>
      <c r="H480" s="170">
        <v>45000</v>
      </c>
      <c r="I480" s="172">
        <f t="shared" si="21"/>
        <v>515.34585432890515</v>
      </c>
      <c r="J480" s="162">
        <v>44482</v>
      </c>
      <c r="K480" s="6" t="s">
        <v>252</v>
      </c>
      <c r="L480" s="162">
        <v>44482</v>
      </c>
      <c r="M480" s="175" t="s">
        <v>5689</v>
      </c>
      <c r="O480" s="6" t="s">
        <v>280</v>
      </c>
      <c r="P480" s="6" t="str">
        <f t="shared" si="22"/>
        <v>SAFe que</v>
      </c>
      <c r="Q480" t="str">
        <f t="shared" si="23"/>
        <v>2021</v>
      </c>
    </row>
    <row r="481" spans="1:17">
      <c r="A481" s="162">
        <v>44482</v>
      </c>
      <c r="B481" s="164" t="s">
        <v>1753</v>
      </c>
      <c r="C481" s="164" t="s">
        <v>319</v>
      </c>
      <c r="D481" s="164" t="s">
        <v>97</v>
      </c>
      <c r="E481" s="79">
        <v>44470</v>
      </c>
      <c r="F481" s="6" t="s">
        <v>16</v>
      </c>
      <c r="G481" s="6" t="s">
        <v>63</v>
      </c>
      <c r="H481" s="170">
        <v>20000</v>
      </c>
      <c r="I481" s="172">
        <f t="shared" si="21"/>
        <v>229.04260192395787</v>
      </c>
      <c r="J481" s="162">
        <v>44482</v>
      </c>
      <c r="K481" s="6" t="s">
        <v>252</v>
      </c>
      <c r="L481" s="162">
        <v>44482</v>
      </c>
      <c r="M481" s="175" t="s">
        <v>5690</v>
      </c>
      <c r="O481" s="6" t="s">
        <v>280</v>
      </c>
      <c r="P481" s="6" t="str">
        <f t="shared" si="22"/>
        <v>Category</v>
      </c>
      <c r="Q481" t="str">
        <f t="shared" si="23"/>
        <v>2021</v>
      </c>
    </row>
    <row r="482" spans="1:17">
      <c r="A482" s="162">
        <v>44482</v>
      </c>
      <c r="B482" s="164" t="s">
        <v>1755</v>
      </c>
      <c r="C482" s="164" t="s">
        <v>287</v>
      </c>
      <c r="D482" s="164" t="s">
        <v>1757</v>
      </c>
      <c r="E482" s="79">
        <v>44470</v>
      </c>
      <c r="F482" s="6" t="s">
        <v>16</v>
      </c>
      <c r="G482" s="6" t="s">
        <v>1758</v>
      </c>
      <c r="H482" s="170">
        <v>297000</v>
      </c>
      <c r="I482" s="172">
        <f t="shared" si="21"/>
        <v>3401.2826385707745</v>
      </c>
      <c r="J482" s="162">
        <v>44482</v>
      </c>
      <c r="K482" s="6" t="s">
        <v>252</v>
      </c>
      <c r="L482" s="162">
        <v>44482</v>
      </c>
      <c r="M482" s="175" t="s">
        <v>1759</v>
      </c>
      <c r="O482" s="6" t="s">
        <v>356</v>
      </c>
      <c r="P482" s="6" t="str">
        <f t="shared" si="22"/>
        <v>SAFe que</v>
      </c>
      <c r="Q482" t="str">
        <f t="shared" si="23"/>
        <v>2021</v>
      </c>
    </row>
    <row r="483" spans="1:17">
      <c r="A483" s="162">
        <v>44483</v>
      </c>
      <c r="B483" s="164" t="s">
        <v>1760</v>
      </c>
      <c r="C483" s="164" t="s">
        <v>278</v>
      </c>
      <c r="D483" s="164" t="s">
        <v>150</v>
      </c>
      <c r="E483" s="79">
        <v>44470</v>
      </c>
      <c r="F483" s="6" t="s">
        <v>16</v>
      </c>
      <c r="G483" s="6" t="s">
        <v>1744</v>
      </c>
      <c r="H483" s="170">
        <v>21000</v>
      </c>
      <c r="I483" s="172">
        <f t="shared" si="21"/>
        <v>240.49473202015577</v>
      </c>
      <c r="J483" s="162">
        <v>44483</v>
      </c>
      <c r="K483" s="6" t="s">
        <v>252</v>
      </c>
      <c r="L483" s="162">
        <v>44483</v>
      </c>
      <c r="M483" s="175" t="s">
        <v>5691</v>
      </c>
      <c r="N483" s="6" t="s">
        <v>1478</v>
      </c>
      <c r="O483" s="6" t="s">
        <v>356</v>
      </c>
      <c r="P483" s="6" t="str">
        <f t="shared" si="22"/>
        <v>SAFe que</v>
      </c>
      <c r="Q483" t="str">
        <f t="shared" si="23"/>
        <v>2021</v>
      </c>
    </row>
    <row r="484" spans="1:17">
      <c r="A484" s="162">
        <v>44483</v>
      </c>
      <c r="B484" s="164" t="s">
        <v>1110</v>
      </c>
      <c r="C484" s="164" t="s">
        <v>274</v>
      </c>
      <c r="D484" s="164" t="s">
        <v>849</v>
      </c>
      <c r="E484" s="79">
        <v>44470</v>
      </c>
      <c r="F484" s="6" t="s">
        <v>16</v>
      </c>
      <c r="G484" s="97">
        <v>44485</v>
      </c>
      <c r="H484" s="170">
        <v>15000</v>
      </c>
      <c r="I484" s="172">
        <f t="shared" si="21"/>
        <v>171.78195144296839</v>
      </c>
      <c r="J484" s="162">
        <v>44483</v>
      </c>
      <c r="K484" s="6" t="s">
        <v>252</v>
      </c>
      <c r="L484" s="162">
        <v>44483</v>
      </c>
      <c r="M484" s="175" t="s">
        <v>5692</v>
      </c>
      <c r="O484" s="6" t="s">
        <v>356</v>
      </c>
      <c r="P484" s="6" t="str">
        <f t="shared" si="22"/>
        <v>NonCategory</v>
      </c>
      <c r="Q484" t="str">
        <f t="shared" si="23"/>
        <v>2021</v>
      </c>
    </row>
    <row r="485" spans="1:17">
      <c r="A485" s="162">
        <v>44483</v>
      </c>
      <c r="B485" s="164" t="s">
        <v>293</v>
      </c>
      <c r="C485" s="164" t="s">
        <v>274</v>
      </c>
      <c r="D485" s="164" t="s">
        <v>1762</v>
      </c>
      <c r="E485" s="79">
        <v>44470</v>
      </c>
      <c r="F485" s="6" t="s">
        <v>16</v>
      </c>
      <c r="G485" s="6" t="s">
        <v>63</v>
      </c>
      <c r="H485" s="170">
        <v>41000</v>
      </c>
      <c r="I485" s="172">
        <f t="shared" si="21"/>
        <v>469.53733394411364</v>
      </c>
      <c r="J485" s="162">
        <v>44483</v>
      </c>
      <c r="K485" s="6" t="s">
        <v>252</v>
      </c>
      <c r="L485" s="162">
        <v>44483</v>
      </c>
      <c r="M485" s="175" t="s">
        <v>5693</v>
      </c>
      <c r="O485" s="6" t="s">
        <v>280</v>
      </c>
      <c r="P485" s="6" t="str">
        <f t="shared" si="22"/>
        <v>NonCategory</v>
      </c>
      <c r="Q485" t="str">
        <f t="shared" si="23"/>
        <v>2021</v>
      </c>
    </row>
    <row r="486" spans="1:17">
      <c r="A486" s="162">
        <v>44483</v>
      </c>
      <c r="B486" s="164" t="s">
        <v>1763</v>
      </c>
      <c r="C486" s="164" t="s">
        <v>291</v>
      </c>
      <c r="D486" s="164" t="s">
        <v>96</v>
      </c>
      <c r="E486" s="79">
        <v>44470</v>
      </c>
      <c r="F486" s="6" t="s">
        <v>16</v>
      </c>
      <c r="G486" s="6" t="s">
        <v>63</v>
      </c>
      <c r="H486" s="170">
        <v>20000</v>
      </c>
      <c r="I486" s="172">
        <f t="shared" si="21"/>
        <v>229.04260192395787</v>
      </c>
      <c r="J486" s="162">
        <v>44483</v>
      </c>
      <c r="K486" s="6" t="s">
        <v>252</v>
      </c>
      <c r="L486" s="162">
        <v>44483</v>
      </c>
      <c r="M486" s="175" t="s">
        <v>5694</v>
      </c>
      <c r="O486" s="6" t="s">
        <v>280</v>
      </c>
      <c r="P486" s="6" t="str">
        <f t="shared" si="22"/>
        <v>Category</v>
      </c>
      <c r="Q486" t="str">
        <f t="shared" si="23"/>
        <v>2021</v>
      </c>
    </row>
    <row r="487" spans="1:17" ht="14.4">
      <c r="A487" s="162">
        <v>44483</v>
      </c>
      <c r="B487" s="164" t="s">
        <v>1765</v>
      </c>
      <c r="C487" s="164" t="s">
        <v>278</v>
      </c>
      <c r="D487" s="164" t="s">
        <v>96</v>
      </c>
      <c r="E487" s="79">
        <v>44470</v>
      </c>
      <c r="F487" s="6" t="s">
        <v>16</v>
      </c>
      <c r="G487" s="6" t="s">
        <v>63</v>
      </c>
      <c r="H487" s="170">
        <v>20000</v>
      </c>
      <c r="I487" s="172">
        <f t="shared" si="21"/>
        <v>229.04260192395787</v>
      </c>
      <c r="J487" s="162">
        <v>44483</v>
      </c>
      <c r="K487" s="6" t="s">
        <v>252</v>
      </c>
      <c r="L487" s="162">
        <v>44485</v>
      </c>
      <c r="M487" s="175" t="s">
        <v>5695</v>
      </c>
      <c r="N487" s="44" t="s">
        <v>1764</v>
      </c>
      <c r="O487" s="6" t="s">
        <v>280</v>
      </c>
      <c r="P487" s="6" t="str">
        <f t="shared" si="22"/>
        <v>Category</v>
      </c>
      <c r="Q487" t="str">
        <f t="shared" si="23"/>
        <v>2021</v>
      </c>
    </row>
    <row r="488" spans="1:17">
      <c r="A488" s="162">
        <v>44483</v>
      </c>
      <c r="B488" s="164" t="s">
        <v>1767</v>
      </c>
      <c r="C488" s="164" t="s">
        <v>303</v>
      </c>
      <c r="D488" s="164" t="s">
        <v>150</v>
      </c>
      <c r="E488" s="79">
        <v>44470</v>
      </c>
      <c r="F488" s="6" t="s">
        <v>16</v>
      </c>
      <c r="G488" s="6" t="s">
        <v>63</v>
      </c>
      <c r="H488" s="170">
        <v>21000</v>
      </c>
      <c r="I488" s="172">
        <f t="shared" si="21"/>
        <v>240.49473202015577</v>
      </c>
      <c r="J488" s="162">
        <v>44484</v>
      </c>
      <c r="K488" s="6" t="s">
        <v>252</v>
      </c>
      <c r="L488" s="162">
        <v>44484</v>
      </c>
      <c r="M488" s="175" t="s">
        <v>5696</v>
      </c>
      <c r="O488" s="6" t="s">
        <v>280</v>
      </c>
      <c r="P488" s="6" t="str">
        <f t="shared" si="22"/>
        <v>SAFe que</v>
      </c>
      <c r="Q488" t="str">
        <f t="shared" si="23"/>
        <v>2021</v>
      </c>
    </row>
    <row r="489" spans="1:17">
      <c r="A489" s="162">
        <v>44487</v>
      </c>
      <c r="B489" s="164" t="s">
        <v>1769</v>
      </c>
      <c r="C489" s="164" t="s">
        <v>278</v>
      </c>
      <c r="D489" s="164" t="s">
        <v>1698</v>
      </c>
      <c r="E489" s="79">
        <v>44470</v>
      </c>
      <c r="F489" s="6" t="s">
        <v>16</v>
      </c>
      <c r="G489" s="97">
        <v>44487</v>
      </c>
      <c r="H489" s="170">
        <v>38000</v>
      </c>
      <c r="I489" s="172">
        <f t="shared" si="21"/>
        <v>435.18094365551997</v>
      </c>
      <c r="J489" s="162">
        <v>44487</v>
      </c>
      <c r="K489" s="6" t="s">
        <v>252</v>
      </c>
      <c r="L489" s="162">
        <v>44487</v>
      </c>
      <c r="M489" s="175" t="s">
        <v>5697</v>
      </c>
      <c r="N489" s="6" t="s">
        <v>1478</v>
      </c>
      <c r="O489" s="6" t="s">
        <v>356</v>
      </c>
      <c r="P489" s="6" t="str">
        <f t="shared" si="22"/>
        <v>NonCategory</v>
      </c>
      <c r="Q489" t="str">
        <f t="shared" si="23"/>
        <v>2021</v>
      </c>
    </row>
    <row r="490" spans="1:17">
      <c r="A490" s="162">
        <v>44487</v>
      </c>
      <c r="B490" s="164" t="s">
        <v>1771</v>
      </c>
      <c r="C490" s="164" t="s">
        <v>303</v>
      </c>
      <c r="D490" s="164" t="s">
        <v>150</v>
      </c>
      <c r="E490" s="79">
        <v>44470</v>
      </c>
      <c r="F490" s="6" t="s">
        <v>16</v>
      </c>
      <c r="G490" s="6" t="s">
        <v>63</v>
      </c>
      <c r="H490" s="170">
        <v>21000</v>
      </c>
      <c r="I490" s="172">
        <f t="shared" si="21"/>
        <v>240.49473202015577</v>
      </c>
      <c r="J490" s="162">
        <v>44487</v>
      </c>
      <c r="K490" s="6" t="s">
        <v>252</v>
      </c>
      <c r="L490" s="162">
        <v>44487</v>
      </c>
      <c r="M490" s="175" t="s">
        <v>5698</v>
      </c>
      <c r="O490" s="6" t="s">
        <v>280</v>
      </c>
      <c r="P490" s="6" t="str">
        <f t="shared" si="22"/>
        <v>SAFe que</v>
      </c>
      <c r="Q490" t="str">
        <f t="shared" si="23"/>
        <v>2021</v>
      </c>
    </row>
    <row r="491" spans="1:17">
      <c r="A491" s="162">
        <v>44487</v>
      </c>
      <c r="B491" s="164" t="s">
        <v>1773</v>
      </c>
      <c r="C491" s="164" t="s">
        <v>343</v>
      </c>
      <c r="D491" s="164" t="s">
        <v>151</v>
      </c>
      <c r="E491" s="79">
        <v>44470</v>
      </c>
      <c r="F491" s="6" t="s">
        <v>16</v>
      </c>
      <c r="G491" s="6" t="s">
        <v>1775</v>
      </c>
      <c r="H491" s="170">
        <v>21000</v>
      </c>
      <c r="I491" s="172">
        <f t="shared" si="21"/>
        <v>240.49473202015577</v>
      </c>
      <c r="J491" s="162">
        <v>44487</v>
      </c>
      <c r="K491" s="6" t="s">
        <v>252</v>
      </c>
      <c r="L491" s="162">
        <v>44487</v>
      </c>
      <c r="M491" s="175" t="s">
        <v>5699</v>
      </c>
      <c r="O491" s="6" t="s">
        <v>280</v>
      </c>
      <c r="P491" s="6" t="str">
        <f t="shared" si="22"/>
        <v>SAFe que</v>
      </c>
      <c r="Q491" t="str">
        <f t="shared" si="23"/>
        <v>2021</v>
      </c>
    </row>
    <row r="492" spans="1:17">
      <c r="A492" s="162">
        <v>44488</v>
      </c>
      <c r="B492" s="164" t="s">
        <v>1776</v>
      </c>
      <c r="C492" s="164" t="s">
        <v>278</v>
      </c>
      <c r="D492" s="164" t="s">
        <v>150</v>
      </c>
      <c r="E492" s="79">
        <v>44470</v>
      </c>
      <c r="F492" s="6" t="s">
        <v>16</v>
      </c>
      <c r="G492" s="6" t="s">
        <v>63</v>
      </c>
      <c r="H492" s="170">
        <v>21000</v>
      </c>
      <c r="I492" s="172">
        <f t="shared" si="21"/>
        <v>240.49473202015577</v>
      </c>
      <c r="J492" s="162">
        <v>44488</v>
      </c>
      <c r="K492" s="6" t="s">
        <v>252</v>
      </c>
      <c r="L492" s="162">
        <v>44488</v>
      </c>
      <c r="M492" s="175" t="s">
        <v>5700</v>
      </c>
      <c r="N492" s="6" t="s">
        <v>1778</v>
      </c>
      <c r="O492" s="6" t="s">
        <v>280</v>
      </c>
      <c r="P492" s="6" t="str">
        <f t="shared" si="22"/>
        <v>SAFe que</v>
      </c>
      <c r="Q492" t="str">
        <f t="shared" si="23"/>
        <v>2021</v>
      </c>
    </row>
    <row r="493" spans="1:17">
      <c r="A493" s="162">
        <v>44488</v>
      </c>
      <c r="B493" s="164" t="s">
        <v>1779</v>
      </c>
      <c r="C493" s="164" t="s">
        <v>319</v>
      </c>
      <c r="D493" s="164" t="s">
        <v>25</v>
      </c>
      <c r="E493" s="79">
        <v>44470</v>
      </c>
      <c r="F493" s="6" t="s">
        <v>16</v>
      </c>
      <c r="G493" s="6" t="s">
        <v>1781</v>
      </c>
      <c r="H493" s="170">
        <v>45000</v>
      </c>
      <c r="I493" s="172">
        <f t="shared" si="21"/>
        <v>515.34585432890515</v>
      </c>
      <c r="J493" s="162">
        <v>44488</v>
      </c>
      <c r="K493" s="6" t="s">
        <v>253</v>
      </c>
      <c r="L493" s="162">
        <v>44490</v>
      </c>
      <c r="M493" s="175" t="s">
        <v>5701</v>
      </c>
      <c r="O493" s="6" t="s">
        <v>280</v>
      </c>
      <c r="P493" s="6" t="str">
        <f t="shared" si="22"/>
        <v>SAFe que</v>
      </c>
      <c r="Q493" t="str">
        <f t="shared" si="23"/>
        <v>2021</v>
      </c>
    </row>
    <row r="494" spans="1:17">
      <c r="A494" s="162">
        <v>44490</v>
      </c>
      <c r="B494" s="164" t="s">
        <v>1782</v>
      </c>
      <c r="C494" s="164" t="s">
        <v>287</v>
      </c>
      <c r="D494" s="164" t="s">
        <v>150</v>
      </c>
      <c r="E494" s="79">
        <v>44470</v>
      </c>
      <c r="F494" s="6" t="s">
        <v>16</v>
      </c>
      <c r="G494" s="6" t="s">
        <v>1775</v>
      </c>
      <c r="H494" s="170">
        <v>21000</v>
      </c>
      <c r="I494" s="172">
        <f t="shared" si="21"/>
        <v>240.49473202015577</v>
      </c>
      <c r="J494" s="162">
        <v>44490</v>
      </c>
      <c r="K494" s="6" t="s">
        <v>253</v>
      </c>
      <c r="L494" s="162">
        <v>44490</v>
      </c>
      <c r="M494" s="175" t="s">
        <v>5702</v>
      </c>
      <c r="O494" s="6" t="s">
        <v>356</v>
      </c>
      <c r="P494" s="6" t="str">
        <f t="shared" si="22"/>
        <v>SAFe que</v>
      </c>
      <c r="Q494" t="str">
        <f t="shared" si="23"/>
        <v>2021</v>
      </c>
    </row>
    <row r="495" spans="1:17">
      <c r="A495" s="162">
        <v>44490</v>
      </c>
      <c r="B495" s="164" t="s">
        <v>1784</v>
      </c>
      <c r="C495" s="164" t="s">
        <v>278</v>
      </c>
      <c r="D495" s="164" t="s">
        <v>150</v>
      </c>
      <c r="E495" s="79">
        <v>44470</v>
      </c>
      <c r="F495" s="6" t="s">
        <v>16</v>
      </c>
      <c r="G495" s="6" t="s">
        <v>63</v>
      </c>
      <c r="H495" s="170">
        <v>21000</v>
      </c>
      <c r="I495" s="172">
        <f t="shared" si="21"/>
        <v>240.49473202015577</v>
      </c>
      <c r="J495" s="162">
        <v>44490</v>
      </c>
      <c r="K495" s="6" t="s">
        <v>253</v>
      </c>
      <c r="L495" s="162">
        <v>44490</v>
      </c>
      <c r="M495" s="175" t="s">
        <v>5703</v>
      </c>
      <c r="N495" s="6" t="s">
        <v>1786</v>
      </c>
      <c r="O495" s="6" t="s">
        <v>280</v>
      </c>
      <c r="P495" s="6" t="str">
        <f t="shared" si="22"/>
        <v>SAFe que</v>
      </c>
      <c r="Q495" t="str">
        <f t="shared" si="23"/>
        <v>2021</v>
      </c>
    </row>
    <row r="496" spans="1:17">
      <c r="A496" s="162">
        <v>44490</v>
      </c>
      <c r="B496" s="164" t="s">
        <v>1441</v>
      </c>
      <c r="C496" s="164" t="s">
        <v>303</v>
      </c>
      <c r="D496" s="164" t="s">
        <v>96</v>
      </c>
      <c r="E496" s="79">
        <v>44470</v>
      </c>
      <c r="F496" s="6" t="s">
        <v>16</v>
      </c>
      <c r="G496" s="6" t="s">
        <v>1788</v>
      </c>
      <c r="H496" s="170">
        <v>19000</v>
      </c>
      <c r="I496" s="172">
        <f t="shared" si="21"/>
        <v>217.59047182775998</v>
      </c>
      <c r="J496" s="162">
        <v>44490</v>
      </c>
      <c r="K496" s="6" t="s">
        <v>253</v>
      </c>
      <c r="L496" s="162">
        <v>44490</v>
      </c>
      <c r="M496" s="175" t="s">
        <v>5704</v>
      </c>
      <c r="O496" s="6" t="s">
        <v>356</v>
      </c>
      <c r="P496" s="6" t="str">
        <f t="shared" si="22"/>
        <v>Category</v>
      </c>
      <c r="Q496" t="str">
        <f t="shared" si="23"/>
        <v>2021</v>
      </c>
    </row>
    <row r="497" spans="1:17">
      <c r="A497" s="162">
        <v>44491</v>
      </c>
      <c r="B497" s="164" t="s">
        <v>1789</v>
      </c>
      <c r="C497" s="164" t="s">
        <v>291</v>
      </c>
      <c r="D497" s="164" t="s">
        <v>150</v>
      </c>
      <c r="E497" s="79">
        <v>44470</v>
      </c>
      <c r="F497" s="6" t="s">
        <v>16</v>
      </c>
      <c r="G497" s="6" t="s">
        <v>1791</v>
      </c>
      <c r="H497" s="170">
        <v>113280</v>
      </c>
      <c r="I497" s="172">
        <f t="shared" si="21"/>
        <v>1297.2972972972973</v>
      </c>
      <c r="J497" s="162">
        <v>44491</v>
      </c>
      <c r="K497" s="6" t="s">
        <v>253</v>
      </c>
      <c r="L497" s="162">
        <v>44491</v>
      </c>
      <c r="M497" s="175" t="s">
        <v>1792</v>
      </c>
      <c r="O497" s="6" t="s">
        <v>356</v>
      </c>
      <c r="P497" s="6" t="str">
        <f t="shared" si="22"/>
        <v>SAFe que</v>
      </c>
      <c r="Q497" t="str">
        <f t="shared" si="23"/>
        <v>2021</v>
      </c>
    </row>
    <row r="498" spans="1:17">
      <c r="A498" s="162">
        <v>44494</v>
      </c>
      <c r="B498" s="164" t="s">
        <v>1078</v>
      </c>
      <c r="C498" s="164" t="s">
        <v>274</v>
      </c>
      <c r="D498" s="164" t="s">
        <v>97</v>
      </c>
      <c r="E498" s="79">
        <v>44470</v>
      </c>
      <c r="F498" s="6" t="s">
        <v>16</v>
      </c>
      <c r="G498" s="6" t="s">
        <v>1793</v>
      </c>
      <c r="H498" s="170">
        <v>20000</v>
      </c>
      <c r="I498" s="172">
        <f t="shared" si="21"/>
        <v>229.04260192395787</v>
      </c>
      <c r="J498" s="162">
        <v>44494</v>
      </c>
      <c r="K498" s="6" t="s">
        <v>253</v>
      </c>
      <c r="L498" s="162">
        <v>44494</v>
      </c>
      <c r="M498" s="175" t="s">
        <v>5705</v>
      </c>
      <c r="O498" s="6" t="s">
        <v>356</v>
      </c>
      <c r="P498" s="6" t="str">
        <f t="shared" si="22"/>
        <v>Category</v>
      </c>
      <c r="Q498" t="str">
        <f t="shared" si="23"/>
        <v>2021</v>
      </c>
    </row>
    <row r="499" spans="1:17">
      <c r="A499" s="162">
        <v>44494</v>
      </c>
      <c r="B499" s="164" t="s">
        <v>1794</v>
      </c>
      <c r="C499" s="164" t="s">
        <v>291</v>
      </c>
      <c r="D499" s="164" t="s">
        <v>150</v>
      </c>
      <c r="E499" s="79">
        <v>44470</v>
      </c>
      <c r="F499" s="6" t="s">
        <v>16</v>
      </c>
      <c r="G499" s="6" t="s">
        <v>1775</v>
      </c>
      <c r="H499" s="170">
        <v>21000</v>
      </c>
      <c r="I499" s="172">
        <f t="shared" si="21"/>
        <v>240.49473202015577</v>
      </c>
      <c r="J499" s="162">
        <v>44494</v>
      </c>
      <c r="K499" s="6" t="s">
        <v>253</v>
      </c>
      <c r="L499" s="162">
        <v>44494</v>
      </c>
      <c r="M499" s="175" t="s">
        <v>5706</v>
      </c>
      <c r="O499" s="6" t="s">
        <v>280</v>
      </c>
      <c r="P499" s="6" t="str">
        <f t="shared" si="22"/>
        <v>SAFe que</v>
      </c>
      <c r="Q499" t="str">
        <f t="shared" si="23"/>
        <v>2021</v>
      </c>
    </row>
    <row r="500" spans="1:17">
      <c r="A500" s="162">
        <v>44494</v>
      </c>
      <c r="B500" s="164" t="s">
        <v>1796</v>
      </c>
      <c r="C500" s="164" t="s">
        <v>278</v>
      </c>
      <c r="D500" s="164" t="s">
        <v>150</v>
      </c>
      <c r="E500" s="79">
        <v>44470</v>
      </c>
      <c r="F500" s="6" t="s">
        <v>16</v>
      </c>
      <c r="G500" s="6" t="s">
        <v>1775</v>
      </c>
      <c r="H500" s="170">
        <v>21000</v>
      </c>
      <c r="I500" s="172">
        <f t="shared" si="21"/>
        <v>240.49473202015577</v>
      </c>
      <c r="J500" s="162">
        <v>44494</v>
      </c>
      <c r="K500" s="6" t="s">
        <v>253</v>
      </c>
      <c r="L500" s="162">
        <v>44494</v>
      </c>
      <c r="M500" s="175" t="s">
        <v>5707</v>
      </c>
      <c r="N500" s="6" t="s">
        <v>1798</v>
      </c>
      <c r="O500" s="6" t="s">
        <v>280</v>
      </c>
      <c r="P500" s="6" t="str">
        <f t="shared" si="22"/>
        <v>SAFe que</v>
      </c>
      <c r="Q500" t="str">
        <f t="shared" si="23"/>
        <v>2021</v>
      </c>
    </row>
    <row r="501" spans="1:17">
      <c r="A501" s="162">
        <v>44495</v>
      </c>
      <c r="B501" s="164" t="s">
        <v>1680</v>
      </c>
      <c r="C501" s="164" t="s">
        <v>274</v>
      </c>
      <c r="D501" s="164" t="s">
        <v>150</v>
      </c>
      <c r="E501" s="79">
        <v>44470</v>
      </c>
      <c r="F501" s="6" t="s">
        <v>16</v>
      </c>
      <c r="G501" s="6" t="s">
        <v>1775</v>
      </c>
      <c r="H501" s="170">
        <v>20500</v>
      </c>
      <c r="I501" s="172">
        <f t="shared" si="21"/>
        <v>234.76866697205682</v>
      </c>
      <c r="J501" s="162">
        <v>44495</v>
      </c>
      <c r="K501" s="6" t="s">
        <v>253</v>
      </c>
      <c r="L501" s="162">
        <v>44495</v>
      </c>
      <c r="M501" s="175" t="s">
        <v>5708</v>
      </c>
      <c r="O501" s="6" t="s">
        <v>280</v>
      </c>
      <c r="P501" s="6" t="str">
        <f t="shared" si="22"/>
        <v>SAFe que</v>
      </c>
      <c r="Q501" t="str">
        <f t="shared" si="23"/>
        <v>2021</v>
      </c>
    </row>
    <row r="502" spans="1:17" ht="14.4">
      <c r="A502" s="162">
        <v>44495</v>
      </c>
      <c r="B502" s="164" t="s">
        <v>1799</v>
      </c>
      <c r="C502" s="164" t="s">
        <v>278</v>
      </c>
      <c r="D502" s="164" t="s">
        <v>97</v>
      </c>
      <c r="E502" s="79">
        <v>44470</v>
      </c>
      <c r="F502" s="6" t="s">
        <v>16</v>
      </c>
      <c r="G502" s="6" t="s">
        <v>1801</v>
      </c>
      <c r="H502" s="170">
        <v>22000</v>
      </c>
      <c r="I502" s="172">
        <f t="shared" si="21"/>
        <v>251.94686211635369</v>
      </c>
      <c r="J502" s="162">
        <v>44495</v>
      </c>
      <c r="K502" s="6" t="s">
        <v>253</v>
      </c>
      <c r="L502" s="162">
        <v>44495</v>
      </c>
      <c r="M502" s="175" t="s">
        <v>5709</v>
      </c>
      <c r="N502" s="44" t="s">
        <v>1802</v>
      </c>
      <c r="O502" s="6" t="s">
        <v>356</v>
      </c>
      <c r="P502" s="6" t="str">
        <f t="shared" si="22"/>
        <v>Category</v>
      </c>
      <c r="Q502" t="str">
        <f t="shared" si="23"/>
        <v>2021</v>
      </c>
    </row>
    <row r="503" spans="1:17" ht="14.4">
      <c r="A503" s="162">
        <v>44495</v>
      </c>
      <c r="B503" s="164" t="s">
        <v>1803</v>
      </c>
      <c r="C503" s="164" t="s">
        <v>278</v>
      </c>
      <c r="D503" s="164" t="s">
        <v>97</v>
      </c>
      <c r="E503" s="79">
        <v>44470</v>
      </c>
      <c r="F503" s="6" t="s">
        <v>16</v>
      </c>
      <c r="G503" s="6" t="s">
        <v>1801</v>
      </c>
      <c r="H503" s="170">
        <v>22000</v>
      </c>
      <c r="I503" s="172">
        <f t="shared" si="21"/>
        <v>251.94686211635369</v>
      </c>
      <c r="J503" s="162">
        <v>44495</v>
      </c>
      <c r="K503" s="6" t="s">
        <v>253</v>
      </c>
      <c r="L503" s="162">
        <v>44495</v>
      </c>
      <c r="M503" s="175" t="s">
        <v>5710</v>
      </c>
      <c r="N503" s="44" t="s">
        <v>1802</v>
      </c>
      <c r="O503" s="6" t="s">
        <v>356</v>
      </c>
      <c r="P503" s="6" t="str">
        <f t="shared" si="22"/>
        <v>Category</v>
      </c>
      <c r="Q503" t="str">
        <f t="shared" si="23"/>
        <v>2021</v>
      </c>
    </row>
    <row r="504" spans="1:17" ht="14.4">
      <c r="A504" s="162">
        <v>44495</v>
      </c>
      <c r="B504" s="164" t="s">
        <v>1805</v>
      </c>
      <c r="C504" s="164" t="s">
        <v>278</v>
      </c>
      <c r="D504" s="164" t="s">
        <v>97</v>
      </c>
      <c r="E504" s="79">
        <v>44470</v>
      </c>
      <c r="F504" s="6" t="s">
        <v>16</v>
      </c>
      <c r="G504" s="6" t="s">
        <v>1801</v>
      </c>
      <c r="H504" s="170">
        <v>22000</v>
      </c>
      <c r="I504" s="172">
        <f t="shared" si="21"/>
        <v>251.94686211635369</v>
      </c>
      <c r="J504" s="162">
        <v>44495</v>
      </c>
      <c r="K504" s="6" t="s">
        <v>253</v>
      </c>
      <c r="L504" s="162">
        <v>44495</v>
      </c>
      <c r="M504" s="175" t="s">
        <v>5711</v>
      </c>
      <c r="N504" s="44" t="s">
        <v>1802</v>
      </c>
      <c r="O504" s="6" t="s">
        <v>356</v>
      </c>
      <c r="P504" s="6" t="str">
        <f t="shared" si="22"/>
        <v>Category</v>
      </c>
      <c r="Q504" t="str">
        <f t="shared" si="23"/>
        <v>2021</v>
      </c>
    </row>
    <row r="505" spans="1:17">
      <c r="A505" s="162">
        <v>44495</v>
      </c>
      <c r="B505" s="164" t="s">
        <v>1807</v>
      </c>
      <c r="C505" s="164" t="s">
        <v>291</v>
      </c>
      <c r="D505" s="164" t="s">
        <v>25</v>
      </c>
      <c r="E505" s="79">
        <v>44470</v>
      </c>
      <c r="F505" s="6" t="s">
        <v>16</v>
      </c>
      <c r="G505" s="6" t="s">
        <v>1781</v>
      </c>
      <c r="H505" s="170">
        <v>45000</v>
      </c>
      <c r="I505" s="172">
        <f t="shared" si="21"/>
        <v>515.34585432890515</v>
      </c>
      <c r="J505" s="162">
        <v>44495</v>
      </c>
      <c r="K505" s="6" t="s">
        <v>253</v>
      </c>
      <c r="L505" s="162">
        <v>44495</v>
      </c>
      <c r="M505" s="175" t="s">
        <v>5712</v>
      </c>
      <c r="O505" s="6" t="s">
        <v>280</v>
      </c>
      <c r="P505" s="6" t="str">
        <f t="shared" si="22"/>
        <v>SAFe que</v>
      </c>
      <c r="Q505" t="str">
        <f t="shared" si="23"/>
        <v>2021</v>
      </c>
    </row>
    <row r="506" spans="1:17">
      <c r="A506" s="162">
        <v>44496</v>
      </c>
      <c r="B506" s="164" t="s">
        <v>1809</v>
      </c>
      <c r="C506" s="164" t="s">
        <v>287</v>
      </c>
      <c r="D506" s="164" t="s">
        <v>96</v>
      </c>
      <c r="E506" s="79">
        <v>44470</v>
      </c>
      <c r="F506" s="6" t="s">
        <v>16</v>
      </c>
      <c r="G506" s="6" t="s">
        <v>1811</v>
      </c>
      <c r="H506" s="170">
        <v>19000</v>
      </c>
      <c r="I506" s="172">
        <f t="shared" si="21"/>
        <v>217.59047182775998</v>
      </c>
      <c r="J506" s="162">
        <v>44496</v>
      </c>
      <c r="K506" s="6" t="s">
        <v>253</v>
      </c>
      <c r="L506" s="162">
        <v>44496</v>
      </c>
      <c r="M506" s="175" t="s">
        <v>5713</v>
      </c>
      <c r="O506" s="6" t="s">
        <v>356</v>
      </c>
      <c r="P506" s="6" t="str">
        <f t="shared" si="22"/>
        <v>Category</v>
      </c>
      <c r="Q506" t="str">
        <f t="shared" si="23"/>
        <v>2021</v>
      </c>
    </row>
    <row r="507" spans="1:17">
      <c r="A507" s="162">
        <v>44499</v>
      </c>
      <c r="B507" s="164" t="s">
        <v>1812</v>
      </c>
      <c r="C507" s="164" t="s">
        <v>297</v>
      </c>
      <c r="D507" s="164" t="s">
        <v>25</v>
      </c>
      <c r="E507" s="79">
        <v>44470</v>
      </c>
      <c r="F507" s="6" t="s">
        <v>16</v>
      </c>
      <c r="G507" s="6" t="s">
        <v>1744</v>
      </c>
      <c r="H507" s="170">
        <v>45000</v>
      </c>
      <c r="I507" s="172">
        <f t="shared" si="21"/>
        <v>515.34585432890515</v>
      </c>
      <c r="J507" s="162">
        <v>44499</v>
      </c>
      <c r="K507" s="6" t="s">
        <v>253</v>
      </c>
      <c r="L507" s="162">
        <v>44499</v>
      </c>
      <c r="M507" s="175" t="s">
        <v>5714</v>
      </c>
      <c r="O507" s="6" t="s">
        <v>280</v>
      </c>
      <c r="P507" s="6" t="str">
        <f t="shared" si="22"/>
        <v>SAFe que</v>
      </c>
      <c r="Q507" t="str">
        <f t="shared" si="23"/>
        <v>2021</v>
      </c>
    </row>
    <row r="508" spans="1:17">
      <c r="A508" s="162">
        <v>44502</v>
      </c>
      <c r="B508" s="164" t="s">
        <v>1814</v>
      </c>
      <c r="C508" s="164" t="s">
        <v>287</v>
      </c>
      <c r="D508" s="164" t="s">
        <v>150</v>
      </c>
      <c r="E508" s="79">
        <v>44501</v>
      </c>
      <c r="F508" s="6" t="s">
        <v>16</v>
      </c>
      <c r="G508" s="6" t="s">
        <v>1816</v>
      </c>
      <c r="H508" s="170">
        <v>21000</v>
      </c>
      <c r="I508" s="172">
        <f t="shared" si="21"/>
        <v>240.49473202015577</v>
      </c>
      <c r="J508" s="162">
        <v>44502</v>
      </c>
      <c r="K508" s="6" t="s">
        <v>251</v>
      </c>
      <c r="L508" s="162">
        <v>44502</v>
      </c>
      <c r="M508" s="175" t="s">
        <v>5715</v>
      </c>
      <c r="O508" s="6" t="s">
        <v>356</v>
      </c>
      <c r="P508" s="6" t="str">
        <f t="shared" si="22"/>
        <v>SAFe que</v>
      </c>
      <c r="Q508" t="str">
        <f t="shared" si="23"/>
        <v>2021</v>
      </c>
    </row>
    <row r="509" spans="1:17">
      <c r="A509" s="162">
        <v>44502</v>
      </c>
      <c r="B509" s="164" t="s">
        <v>1817</v>
      </c>
      <c r="C509" s="164" t="s">
        <v>306</v>
      </c>
      <c r="D509" s="164" t="s">
        <v>1698</v>
      </c>
      <c r="E509" s="79">
        <v>44501</v>
      </c>
      <c r="F509" s="6" t="s">
        <v>16</v>
      </c>
      <c r="G509" s="97">
        <v>44502</v>
      </c>
      <c r="H509" s="170">
        <v>37000</v>
      </c>
      <c r="I509" s="172">
        <f t="shared" si="21"/>
        <v>423.72881355932202</v>
      </c>
      <c r="J509" s="162">
        <v>44502</v>
      </c>
      <c r="K509" s="6" t="s">
        <v>251</v>
      </c>
      <c r="L509" s="162">
        <v>44502</v>
      </c>
      <c r="M509" s="175" t="s">
        <v>5716</v>
      </c>
      <c r="O509" s="6" t="s">
        <v>356</v>
      </c>
      <c r="P509" s="6" t="str">
        <f t="shared" si="22"/>
        <v>NonCategory</v>
      </c>
      <c r="Q509" t="str">
        <f t="shared" si="23"/>
        <v>2021</v>
      </c>
    </row>
    <row r="510" spans="1:17">
      <c r="A510" s="162">
        <v>44502</v>
      </c>
      <c r="B510" s="164" t="s">
        <v>1819</v>
      </c>
      <c r="C510" s="164" t="s">
        <v>278</v>
      </c>
      <c r="D510" s="164" t="s">
        <v>25</v>
      </c>
      <c r="E510" s="79">
        <v>44501</v>
      </c>
      <c r="F510" s="6" t="s">
        <v>16</v>
      </c>
      <c r="G510" s="6" t="s">
        <v>1781</v>
      </c>
      <c r="H510" s="170">
        <v>41000</v>
      </c>
      <c r="I510" s="172">
        <f t="shared" si="21"/>
        <v>469.53733394411364</v>
      </c>
      <c r="J510" s="162">
        <v>44502</v>
      </c>
      <c r="K510" s="6" t="s">
        <v>251</v>
      </c>
      <c r="L510" s="162">
        <v>44502</v>
      </c>
      <c r="M510" s="175" t="s">
        <v>5717</v>
      </c>
      <c r="N510" s="6" t="s">
        <v>1278</v>
      </c>
      <c r="O510" s="6" t="s">
        <v>280</v>
      </c>
      <c r="P510" s="6" t="str">
        <f t="shared" si="22"/>
        <v>SAFe que</v>
      </c>
      <c r="Q510" t="str">
        <f t="shared" si="23"/>
        <v>2021</v>
      </c>
    </row>
    <row r="511" spans="1:17">
      <c r="A511" s="162">
        <v>44502</v>
      </c>
      <c r="B511" s="164" t="s">
        <v>1821</v>
      </c>
      <c r="C511" s="164" t="s">
        <v>278</v>
      </c>
      <c r="D511" s="164" t="s">
        <v>25</v>
      </c>
      <c r="E511" s="79">
        <v>44501</v>
      </c>
      <c r="F511" s="6" t="s">
        <v>16</v>
      </c>
      <c r="G511" s="6" t="s">
        <v>1781</v>
      </c>
      <c r="H511" s="170">
        <v>41000</v>
      </c>
      <c r="I511" s="172">
        <f t="shared" si="21"/>
        <v>469.53733394411364</v>
      </c>
      <c r="J511" s="162">
        <v>44502</v>
      </c>
      <c r="K511" s="6" t="s">
        <v>251</v>
      </c>
      <c r="L511" s="162">
        <v>44502</v>
      </c>
      <c r="M511" s="175" t="s">
        <v>5718</v>
      </c>
      <c r="N511" s="6" t="s">
        <v>1778</v>
      </c>
      <c r="O511" s="6" t="s">
        <v>280</v>
      </c>
      <c r="P511" s="6" t="str">
        <f t="shared" si="22"/>
        <v>SAFe que</v>
      </c>
      <c r="Q511" t="str">
        <f t="shared" si="23"/>
        <v>2021</v>
      </c>
    </row>
    <row r="512" spans="1:17">
      <c r="A512" s="162">
        <v>44502</v>
      </c>
      <c r="B512" s="164" t="s">
        <v>1823</v>
      </c>
      <c r="C512" s="164" t="s">
        <v>278</v>
      </c>
      <c r="D512" s="164" t="s">
        <v>25</v>
      </c>
      <c r="E512" s="79">
        <v>44501</v>
      </c>
      <c r="F512" s="6" t="s">
        <v>16</v>
      </c>
      <c r="G512" s="6" t="s">
        <v>1781</v>
      </c>
      <c r="H512" s="170">
        <v>41000</v>
      </c>
      <c r="I512" s="172">
        <f t="shared" si="21"/>
        <v>469.53733394411364</v>
      </c>
      <c r="J512" s="162">
        <v>44502</v>
      </c>
      <c r="K512" s="6" t="s">
        <v>251</v>
      </c>
      <c r="L512" s="162">
        <v>44505</v>
      </c>
      <c r="M512" s="175" t="s">
        <v>5719</v>
      </c>
      <c r="N512" s="6" t="s">
        <v>1778</v>
      </c>
      <c r="O512" s="6" t="s">
        <v>280</v>
      </c>
      <c r="P512" s="6" t="str">
        <f t="shared" si="22"/>
        <v>SAFe que</v>
      </c>
      <c r="Q512" t="str">
        <f t="shared" si="23"/>
        <v>2021</v>
      </c>
    </row>
    <row r="513" spans="1:17">
      <c r="A513" s="162">
        <v>44502</v>
      </c>
      <c r="B513" s="164" t="s">
        <v>1825</v>
      </c>
      <c r="C513" s="164" t="s">
        <v>278</v>
      </c>
      <c r="D513" s="164" t="s">
        <v>25</v>
      </c>
      <c r="E513" s="79">
        <v>44501</v>
      </c>
      <c r="F513" s="6" t="s">
        <v>16</v>
      </c>
      <c r="G513" s="6" t="s">
        <v>1781</v>
      </c>
      <c r="H513" s="170">
        <v>41000</v>
      </c>
      <c r="I513" s="172">
        <f t="shared" si="21"/>
        <v>469.53733394411364</v>
      </c>
      <c r="J513" s="162">
        <v>44502</v>
      </c>
      <c r="K513" s="6" t="s">
        <v>251</v>
      </c>
      <c r="L513" s="162">
        <v>44502</v>
      </c>
      <c r="M513" s="175" t="s">
        <v>5720</v>
      </c>
      <c r="N513" s="6" t="s">
        <v>1778</v>
      </c>
      <c r="O513" s="6" t="s">
        <v>280</v>
      </c>
      <c r="P513" s="6" t="str">
        <f t="shared" si="22"/>
        <v>SAFe que</v>
      </c>
      <c r="Q513" t="str">
        <f t="shared" si="23"/>
        <v>2021</v>
      </c>
    </row>
    <row r="514" spans="1:17">
      <c r="A514" s="162">
        <v>44503</v>
      </c>
      <c r="B514" s="164" t="s">
        <v>1827</v>
      </c>
      <c r="C514" s="164" t="s">
        <v>297</v>
      </c>
      <c r="D514" s="164" t="s">
        <v>25</v>
      </c>
      <c r="E514" s="79">
        <v>44501</v>
      </c>
      <c r="F514" s="6" t="s">
        <v>16</v>
      </c>
      <c r="G514" s="6" t="s">
        <v>1781</v>
      </c>
      <c r="H514" s="170">
        <v>45000</v>
      </c>
      <c r="I514" s="172">
        <f t="shared" ref="I514:I577" si="24">IFERROR((($H514/1.18))/74,"")</f>
        <v>515.34585432890515</v>
      </c>
      <c r="J514" s="162">
        <v>44503</v>
      </c>
      <c r="K514" s="6" t="s">
        <v>251</v>
      </c>
      <c r="L514" s="162">
        <v>44503</v>
      </c>
      <c r="M514" s="175" t="s">
        <v>5721</v>
      </c>
      <c r="O514" s="6" t="s">
        <v>280</v>
      </c>
      <c r="P514" s="6" t="str">
        <f t="shared" ref="P514:P577" si="25">IFERROR(_xlfn.IFS($D514="CSM","Category",$D514="CSPO","Category", $D514="PSM","SAFe que",$D514="PSPO","SAFe que",$D514="SAFe Agile","SAFe que",$D514="SAFe SSM","SAFe que",$D514="SAFe POPM","SAFe que",$D514="SASM","SAFe que",$D514="PMI-ACP","Category",$D514="ICP-ACC","SAFe que",$D514="PSM 2","SAFe que",$D514="SAFe RTE","SAFe que",$D514="Implementing SAFe","SAFe que",$D514="SAFe for Government","SAFe que",$D514="PSPO 2","SAFe que",$D514="",""),"NonCategory")</f>
        <v>SAFe que</v>
      </c>
      <c r="Q514" t="str">
        <f t="shared" ref="Q514:Q577" si="26">TEXT(E514, "yyyy")</f>
        <v>2021</v>
      </c>
    </row>
    <row r="515" spans="1:17">
      <c r="A515" s="162">
        <v>44506</v>
      </c>
      <c r="B515" s="164" t="s">
        <v>1729</v>
      </c>
      <c r="C515" s="164" t="s">
        <v>274</v>
      </c>
      <c r="D515" s="164" t="s">
        <v>538</v>
      </c>
      <c r="E515" s="79">
        <v>44501</v>
      </c>
      <c r="F515" s="6" t="s">
        <v>16</v>
      </c>
      <c r="G515" s="97">
        <v>44506</v>
      </c>
      <c r="H515" s="170">
        <v>11000</v>
      </c>
      <c r="I515" s="172">
        <f t="shared" si="24"/>
        <v>125.97343105817684</v>
      </c>
      <c r="J515" s="162">
        <v>44506</v>
      </c>
      <c r="K515" s="6" t="s">
        <v>251</v>
      </c>
      <c r="L515" s="162">
        <v>44506</v>
      </c>
      <c r="M515" s="175" t="s">
        <v>5722</v>
      </c>
      <c r="O515" s="6" t="s">
        <v>356</v>
      </c>
      <c r="P515" s="6" t="str">
        <f t="shared" si="25"/>
        <v>NonCategory</v>
      </c>
      <c r="Q515" t="str">
        <f t="shared" si="26"/>
        <v>2021</v>
      </c>
    </row>
    <row r="516" spans="1:17">
      <c r="A516" s="162">
        <v>44508</v>
      </c>
      <c r="B516" s="164" t="s">
        <v>1829</v>
      </c>
      <c r="C516" s="164" t="s">
        <v>319</v>
      </c>
      <c r="D516" s="164" t="s">
        <v>96</v>
      </c>
      <c r="E516" s="79">
        <v>44501</v>
      </c>
      <c r="F516" s="6" t="s">
        <v>16</v>
      </c>
      <c r="G516" s="6" t="s">
        <v>1831</v>
      </c>
      <c r="H516" s="170">
        <v>20000</v>
      </c>
      <c r="I516" s="172">
        <f t="shared" si="24"/>
        <v>229.04260192395787</v>
      </c>
      <c r="J516" s="162">
        <v>44508</v>
      </c>
      <c r="K516" s="6" t="s">
        <v>251</v>
      </c>
      <c r="L516" s="162">
        <v>44508</v>
      </c>
      <c r="M516" s="175" t="s">
        <v>5723</v>
      </c>
      <c r="N516" s="20"/>
      <c r="O516" s="6" t="s">
        <v>356</v>
      </c>
      <c r="P516" s="6" t="str">
        <f t="shared" si="25"/>
        <v>Category</v>
      </c>
      <c r="Q516" t="str">
        <f t="shared" si="26"/>
        <v>2021</v>
      </c>
    </row>
    <row r="517" spans="1:17">
      <c r="A517" s="162">
        <v>44508</v>
      </c>
      <c r="B517" s="164" t="s">
        <v>1832</v>
      </c>
      <c r="C517" s="164" t="s">
        <v>278</v>
      </c>
      <c r="D517" s="164" t="s">
        <v>150</v>
      </c>
      <c r="E517" s="79">
        <v>44501</v>
      </c>
      <c r="F517" s="6" t="s">
        <v>16</v>
      </c>
      <c r="G517" s="6" t="s">
        <v>1744</v>
      </c>
      <c r="H517" s="170">
        <v>21000</v>
      </c>
      <c r="I517" s="172">
        <f t="shared" si="24"/>
        <v>240.49473202015577</v>
      </c>
      <c r="J517" s="162">
        <v>44508</v>
      </c>
      <c r="K517" s="6" t="s">
        <v>251</v>
      </c>
      <c r="L517" s="162">
        <v>44508</v>
      </c>
      <c r="M517" s="175" t="s">
        <v>5724</v>
      </c>
      <c r="N517" s="6" t="s">
        <v>1834</v>
      </c>
      <c r="O517" s="6" t="s">
        <v>280</v>
      </c>
      <c r="P517" s="6" t="str">
        <f t="shared" si="25"/>
        <v>SAFe que</v>
      </c>
      <c r="Q517" t="str">
        <f t="shared" si="26"/>
        <v>2021</v>
      </c>
    </row>
    <row r="518" spans="1:17">
      <c r="A518" s="162">
        <v>44508</v>
      </c>
      <c r="B518" s="164" t="s">
        <v>1835</v>
      </c>
      <c r="C518" s="164" t="s">
        <v>278</v>
      </c>
      <c r="D518" s="164" t="s">
        <v>151</v>
      </c>
      <c r="E518" s="79">
        <v>44501</v>
      </c>
      <c r="F518" s="6" t="s">
        <v>16</v>
      </c>
      <c r="G518" s="6" t="s">
        <v>1744</v>
      </c>
      <c r="H518" s="170">
        <v>21000</v>
      </c>
      <c r="I518" s="172">
        <f t="shared" si="24"/>
        <v>240.49473202015577</v>
      </c>
      <c r="J518" s="162">
        <v>44508</v>
      </c>
      <c r="K518" s="6" t="s">
        <v>251</v>
      </c>
      <c r="L518" s="162">
        <v>44508</v>
      </c>
      <c r="M518" s="175" t="s">
        <v>5725</v>
      </c>
      <c r="N518" s="6" t="s">
        <v>1834</v>
      </c>
      <c r="O518" s="6" t="s">
        <v>280</v>
      </c>
      <c r="P518" s="6" t="str">
        <f t="shared" si="25"/>
        <v>SAFe que</v>
      </c>
      <c r="Q518" t="str">
        <f t="shared" si="26"/>
        <v>2021</v>
      </c>
    </row>
    <row r="519" spans="1:17">
      <c r="A519" s="162">
        <v>44509</v>
      </c>
      <c r="B519" s="164" t="s">
        <v>1717</v>
      </c>
      <c r="C519" s="164" t="s">
        <v>274</v>
      </c>
      <c r="D519" s="164" t="s">
        <v>6</v>
      </c>
      <c r="E519" s="79">
        <v>44501</v>
      </c>
      <c r="F519" s="6" t="s">
        <v>16</v>
      </c>
      <c r="G519" s="6" t="s">
        <v>1744</v>
      </c>
      <c r="H519" s="170">
        <v>45000</v>
      </c>
      <c r="I519" s="172">
        <f t="shared" si="24"/>
        <v>515.34585432890515</v>
      </c>
      <c r="J519" s="162">
        <v>44509</v>
      </c>
      <c r="K519" s="6" t="s">
        <v>251</v>
      </c>
      <c r="L519" s="162">
        <v>44509</v>
      </c>
      <c r="M519" s="175" t="s">
        <v>5726</v>
      </c>
      <c r="O519" s="6" t="s">
        <v>280</v>
      </c>
      <c r="P519" s="6" t="str">
        <f t="shared" si="25"/>
        <v>SAFe que</v>
      </c>
      <c r="Q519" t="str">
        <f t="shared" si="26"/>
        <v>2021</v>
      </c>
    </row>
    <row r="520" spans="1:17">
      <c r="A520" s="162">
        <v>44509</v>
      </c>
      <c r="B520" s="164" t="s">
        <v>1837</v>
      </c>
      <c r="C520" s="164" t="s">
        <v>278</v>
      </c>
      <c r="D520" s="164" t="s">
        <v>6</v>
      </c>
      <c r="E520" s="79">
        <v>44501</v>
      </c>
      <c r="F520" s="6" t="s">
        <v>16</v>
      </c>
      <c r="G520" s="6" t="s">
        <v>1744</v>
      </c>
      <c r="H520" s="170">
        <v>45000</v>
      </c>
      <c r="I520" s="172">
        <f t="shared" si="24"/>
        <v>515.34585432890515</v>
      </c>
      <c r="J520" s="162">
        <v>44509</v>
      </c>
      <c r="K520" s="6" t="s">
        <v>251</v>
      </c>
      <c r="L520" s="162">
        <v>44509</v>
      </c>
      <c r="M520" s="175" t="s">
        <v>5727</v>
      </c>
      <c r="N520" s="6" t="s">
        <v>1839</v>
      </c>
      <c r="O520" s="6" t="s">
        <v>280</v>
      </c>
      <c r="P520" s="6" t="str">
        <f t="shared" si="25"/>
        <v>SAFe que</v>
      </c>
      <c r="Q520" t="str">
        <f t="shared" si="26"/>
        <v>2021</v>
      </c>
    </row>
    <row r="521" spans="1:17">
      <c r="A521" s="162">
        <v>44509</v>
      </c>
      <c r="B521" s="164" t="s">
        <v>1840</v>
      </c>
      <c r="C521" s="164" t="s">
        <v>1842</v>
      </c>
      <c r="D521" s="164" t="s">
        <v>150</v>
      </c>
      <c r="E521" s="79">
        <v>44501</v>
      </c>
      <c r="F521" s="6" t="s">
        <v>16</v>
      </c>
      <c r="G521" s="6" t="s">
        <v>1744</v>
      </c>
      <c r="H521" s="170">
        <v>21000</v>
      </c>
      <c r="I521" s="172">
        <f t="shared" si="24"/>
        <v>240.49473202015577</v>
      </c>
      <c r="J521" s="162">
        <v>44509</v>
      </c>
      <c r="K521" s="6" t="s">
        <v>251</v>
      </c>
      <c r="L521" s="162">
        <v>44509</v>
      </c>
      <c r="M521" s="175" t="s">
        <v>5728</v>
      </c>
      <c r="O521" s="6" t="s">
        <v>280</v>
      </c>
      <c r="P521" s="6" t="str">
        <f t="shared" si="25"/>
        <v>SAFe que</v>
      </c>
      <c r="Q521" t="str">
        <f t="shared" si="26"/>
        <v>2021</v>
      </c>
    </row>
    <row r="522" spans="1:17">
      <c r="A522" s="162">
        <v>44509</v>
      </c>
      <c r="B522" s="164" t="s">
        <v>1843</v>
      </c>
      <c r="C522" s="164" t="s">
        <v>291</v>
      </c>
      <c r="D522" s="164" t="s">
        <v>150</v>
      </c>
      <c r="E522" s="79">
        <v>44501</v>
      </c>
      <c r="F522" s="6" t="s">
        <v>16</v>
      </c>
      <c r="G522" s="6" t="s">
        <v>1744</v>
      </c>
      <c r="H522" s="170">
        <v>20500</v>
      </c>
      <c r="I522" s="172">
        <f t="shared" si="24"/>
        <v>234.76866697205682</v>
      </c>
      <c r="J522" s="162">
        <v>44509</v>
      </c>
      <c r="K522" s="6" t="s">
        <v>251</v>
      </c>
      <c r="L522" s="162">
        <v>44509</v>
      </c>
      <c r="M522" s="175" t="s">
        <v>5729</v>
      </c>
      <c r="O522" s="6" t="s">
        <v>280</v>
      </c>
      <c r="P522" s="6" t="str">
        <f t="shared" si="25"/>
        <v>SAFe que</v>
      </c>
      <c r="Q522" t="str">
        <f t="shared" si="26"/>
        <v>2021</v>
      </c>
    </row>
    <row r="523" spans="1:17">
      <c r="A523" s="162">
        <v>44510</v>
      </c>
      <c r="B523" s="164" t="s">
        <v>1845</v>
      </c>
      <c r="C523" s="164" t="s">
        <v>287</v>
      </c>
      <c r="D523" s="164" t="s">
        <v>150</v>
      </c>
      <c r="E523" s="79">
        <v>44501</v>
      </c>
      <c r="F523" s="6" t="s">
        <v>16</v>
      </c>
      <c r="G523" s="6" t="s">
        <v>1847</v>
      </c>
      <c r="H523" s="170">
        <v>21000</v>
      </c>
      <c r="I523" s="172">
        <f t="shared" si="24"/>
        <v>240.49473202015577</v>
      </c>
      <c r="J523" s="162">
        <v>44510</v>
      </c>
      <c r="K523" s="6" t="s">
        <v>251</v>
      </c>
      <c r="L523" s="162">
        <v>44510</v>
      </c>
      <c r="M523" s="175" t="s">
        <v>5730</v>
      </c>
      <c r="O523" s="6" t="s">
        <v>280</v>
      </c>
      <c r="P523" s="6" t="str">
        <f t="shared" si="25"/>
        <v>SAFe que</v>
      </c>
      <c r="Q523" t="str">
        <f t="shared" si="26"/>
        <v>2021</v>
      </c>
    </row>
    <row r="524" spans="1:17">
      <c r="A524" s="162">
        <v>44510</v>
      </c>
      <c r="B524" s="164" t="s">
        <v>1848</v>
      </c>
      <c r="C524" s="164" t="s">
        <v>287</v>
      </c>
      <c r="D524" s="164" t="s">
        <v>151</v>
      </c>
      <c r="E524" s="79">
        <v>44501</v>
      </c>
      <c r="F524" s="6" t="s">
        <v>16</v>
      </c>
      <c r="G524" s="6" t="s">
        <v>1744</v>
      </c>
      <c r="H524" s="170">
        <v>21000</v>
      </c>
      <c r="I524" s="172">
        <f t="shared" si="24"/>
        <v>240.49473202015577</v>
      </c>
      <c r="J524" s="162">
        <v>44510</v>
      </c>
      <c r="K524" s="6" t="s">
        <v>252</v>
      </c>
      <c r="L524" s="162">
        <v>44511</v>
      </c>
      <c r="M524" s="175" t="s">
        <v>5731</v>
      </c>
      <c r="O524" s="6" t="s">
        <v>356</v>
      </c>
      <c r="P524" s="6" t="str">
        <f t="shared" si="25"/>
        <v>SAFe que</v>
      </c>
      <c r="Q524" t="str">
        <f t="shared" si="26"/>
        <v>2021</v>
      </c>
    </row>
    <row r="525" spans="1:17" ht="14.4">
      <c r="A525" s="162">
        <v>44510</v>
      </c>
      <c r="B525" s="164" t="s">
        <v>1850</v>
      </c>
      <c r="C525" s="164" t="s">
        <v>1291</v>
      </c>
      <c r="D525" s="164" t="s">
        <v>96</v>
      </c>
      <c r="E525" s="79">
        <v>44501</v>
      </c>
      <c r="F525" s="6" t="s">
        <v>16</v>
      </c>
      <c r="G525" s="6" t="s">
        <v>1852</v>
      </c>
      <c r="H525" s="170">
        <v>19000</v>
      </c>
      <c r="I525" s="172">
        <f t="shared" si="24"/>
        <v>217.59047182775998</v>
      </c>
      <c r="J525" s="162">
        <v>44510</v>
      </c>
      <c r="K525" s="6" t="s">
        <v>251</v>
      </c>
      <c r="L525" s="162">
        <v>44510</v>
      </c>
      <c r="M525" s="175" t="s">
        <v>5732</v>
      </c>
      <c r="N525" s="44" t="s">
        <v>1853</v>
      </c>
      <c r="O525" s="6" t="s">
        <v>280</v>
      </c>
      <c r="P525" s="6" t="str">
        <f t="shared" si="25"/>
        <v>Category</v>
      </c>
      <c r="Q525" t="str">
        <f t="shared" si="26"/>
        <v>2021</v>
      </c>
    </row>
    <row r="526" spans="1:17">
      <c r="A526" s="162">
        <v>44510</v>
      </c>
      <c r="B526" s="164" t="s">
        <v>1854</v>
      </c>
      <c r="C526" s="164" t="s">
        <v>319</v>
      </c>
      <c r="D526" s="164" t="s">
        <v>7</v>
      </c>
      <c r="E526" s="79">
        <v>44501</v>
      </c>
      <c r="F526" s="6" t="s">
        <v>16</v>
      </c>
      <c r="G526" s="6" t="s">
        <v>1744</v>
      </c>
      <c r="H526" s="170">
        <v>45000</v>
      </c>
      <c r="I526" s="172">
        <f t="shared" si="24"/>
        <v>515.34585432890515</v>
      </c>
      <c r="J526" s="162">
        <v>44510</v>
      </c>
      <c r="K526" s="6" t="s">
        <v>251</v>
      </c>
      <c r="L526" s="162">
        <v>44510</v>
      </c>
      <c r="M526" s="175" t="s">
        <v>5733</v>
      </c>
      <c r="O526" s="6" t="s">
        <v>356</v>
      </c>
      <c r="P526" s="6" t="str">
        <f t="shared" si="25"/>
        <v>SAFe que</v>
      </c>
      <c r="Q526" t="str">
        <f t="shared" si="26"/>
        <v>2021</v>
      </c>
    </row>
    <row r="527" spans="1:17" ht="14.4">
      <c r="A527" s="162">
        <v>44511</v>
      </c>
      <c r="B527" s="164" t="s">
        <v>1796</v>
      </c>
      <c r="C527" s="164" t="s">
        <v>278</v>
      </c>
      <c r="D527" s="164" t="s">
        <v>151</v>
      </c>
      <c r="E527" s="79">
        <v>44501</v>
      </c>
      <c r="F527" s="6" t="s">
        <v>16</v>
      </c>
      <c r="G527" s="6" t="s">
        <v>1744</v>
      </c>
      <c r="H527" s="170">
        <v>21000</v>
      </c>
      <c r="I527" s="172">
        <f t="shared" si="24"/>
        <v>240.49473202015577</v>
      </c>
      <c r="J527" s="162">
        <v>44511</v>
      </c>
      <c r="K527" s="6" t="s">
        <v>252</v>
      </c>
      <c r="L527" s="162">
        <v>44511</v>
      </c>
      <c r="M527" s="175" t="s">
        <v>5734</v>
      </c>
      <c r="N527" s="44" t="s">
        <v>1857</v>
      </c>
      <c r="O527" s="6" t="s">
        <v>280</v>
      </c>
      <c r="P527" s="6" t="str">
        <f t="shared" si="25"/>
        <v>SAFe que</v>
      </c>
      <c r="Q527" t="str">
        <f t="shared" si="26"/>
        <v>2021</v>
      </c>
    </row>
    <row r="528" spans="1:17">
      <c r="A528" s="162">
        <v>44511</v>
      </c>
      <c r="B528" s="164" t="s">
        <v>1858</v>
      </c>
      <c r="C528" s="164" t="s">
        <v>495</v>
      </c>
      <c r="D528" s="164" t="s">
        <v>151</v>
      </c>
      <c r="E528" s="79">
        <v>44501</v>
      </c>
      <c r="F528" s="6" t="s">
        <v>16</v>
      </c>
      <c r="G528" s="6" t="s">
        <v>1744</v>
      </c>
      <c r="H528" s="170">
        <v>21000</v>
      </c>
      <c r="I528" s="172">
        <f t="shared" si="24"/>
        <v>240.49473202015577</v>
      </c>
      <c r="J528" s="162">
        <v>44511</v>
      </c>
      <c r="K528" s="6" t="s">
        <v>252</v>
      </c>
      <c r="L528" s="162">
        <v>44511</v>
      </c>
      <c r="M528" s="175" t="s">
        <v>5735</v>
      </c>
      <c r="O528" s="6" t="s">
        <v>280</v>
      </c>
      <c r="P528" s="6" t="str">
        <f t="shared" si="25"/>
        <v>SAFe que</v>
      </c>
      <c r="Q528" t="str">
        <f t="shared" si="26"/>
        <v>2021</v>
      </c>
    </row>
    <row r="529" spans="1:17">
      <c r="A529" s="162">
        <v>44512</v>
      </c>
      <c r="B529" s="164" t="s">
        <v>1860</v>
      </c>
      <c r="C529" s="164" t="s">
        <v>278</v>
      </c>
      <c r="D529" s="164" t="s">
        <v>151</v>
      </c>
      <c r="E529" s="79">
        <v>44501</v>
      </c>
      <c r="F529" s="6" t="s">
        <v>16</v>
      </c>
      <c r="G529" s="6" t="s">
        <v>1744</v>
      </c>
      <c r="H529" s="170">
        <v>21000</v>
      </c>
      <c r="I529" s="172">
        <f t="shared" si="24"/>
        <v>240.49473202015577</v>
      </c>
      <c r="J529" s="162">
        <v>44512</v>
      </c>
      <c r="K529" s="6" t="s">
        <v>252</v>
      </c>
      <c r="L529" s="162">
        <v>44512</v>
      </c>
      <c r="M529" s="175" t="s">
        <v>5736</v>
      </c>
      <c r="N529" s="6" t="s">
        <v>1862</v>
      </c>
      <c r="O529" s="6" t="s">
        <v>280</v>
      </c>
      <c r="P529" s="6" t="str">
        <f t="shared" si="25"/>
        <v>SAFe que</v>
      </c>
      <c r="Q529" t="str">
        <f t="shared" si="26"/>
        <v>2021</v>
      </c>
    </row>
    <row r="530" spans="1:17">
      <c r="A530" s="162">
        <v>44512</v>
      </c>
      <c r="B530" s="164" t="s">
        <v>1863</v>
      </c>
      <c r="C530" s="164" t="s">
        <v>287</v>
      </c>
      <c r="D530" s="164" t="s">
        <v>6</v>
      </c>
      <c r="E530" s="79">
        <v>44501</v>
      </c>
      <c r="F530" s="6" t="s">
        <v>16</v>
      </c>
      <c r="G530" s="6" t="s">
        <v>1744</v>
      </c>
      <c r="H530" s="170">
        <v>45000</v>
      </c>
      <c r="I530" s="172">
        <f t="shared" si="24"/>
        <v>515.34585432890515</v>
      </c>
      <c r="J530" s="162">
        <v>44512</v>
      </c>
      <c r="K530" s="6" t="s">
        <v>252</v>
      </c>
      <c r="L530" s="162">
        <v>44512</v>
      </c>
      <c r="M530" s="175" t="s">
        <v>5737</v>
      </c>
      <c r="O530" s="6" t="s">
        <v>280</v>
      </c>
      <c r="P530" s="6" t="str">
        <f t="shared" si="25"/>
        <v>SAFe que</v>
      </c>
      <c r="Q530" t="str">
        <f t="shared" si="26"/>
        <v>2021</v>
      </c>
    </row>
    <row r="531" spans="1:17">
      <c r="A531" s="162">
        <v>44512</v>
      </c>
      <c r="B531" s="164" t="s">
        <v>1865</v>
      </c>
      <c r="C531" s="164" t="s">
        <v>278</v>
      </c>
      <c r="D531" s="164" t="s">
        <v>97</v>
      </c>
      <c r="E531" s="79">
        <v>44501</v>
      </c>
      <c r="F531" s="6" t="s">
        <v>16</v>
      </c>
      <c r="G531" s="6" t="s">
        <v>1744</v>
      </c>
      <c r="H531" s="170">
        <v>20000</v>
      </c>
      <c r="I531" s="172">
        <f t="shared" si="24"/>
        <v>229.04260192395787</v>
      </c>
      <c r="J531" s="162">
        <v>44512</v>
      </c>
      <c r="K531" s="6" t="s">
        <v>252</v>
      </c>
      <c r="L531" s="162">
        <v>44512</v>
      </c>
      <c r="M531" s="175" t="s">
        <v>5738</v>
      </c>
      <c r="N531" s="6" t="s">
        <v>1867</v>
      </c>
      <c r="O531" s="6" t="s">
        <v>280</v>
      </c>
      <c r="P531" s="6" t="str">
        <f t="shared" si="25"/>
        <v>Category</v>
      </c>
      <c r="Q531" t="str">
        <f t="shared" si="26"/>
        <v>2021</v>
      </c>
    </row>
    <row r="532" spans="1:17">
      <c r="A532" s="162">
        <v>44516</v>
      </c>
      <c r="B532" s="164" t="s">
        <v>1868</v>
      </c>
      <c r="C532" s="164" t="s">
        <v>1731</v>
      </c>
      <c r="D532" s="164" t="s">
        <v>151</v>
      </c>
      <c r="E532" s="79">
        <v>44501</v>
      </c>
      <c r="F532" s="6" t="s">
        <v>16</v>
      </c>
      <c r="G532" s="6" t="s">
        <v>1852</v>
      </c>
      <c r="H532" s="170">
        <v>21000</v>
      </c>
      <c r="I532" s="172">
        <f t="shared" si="24"/>
        <v>240.49473202015577</v>
      </c>
      <c r="J532" s="162">
        <v>44516</v>
      </c>
      <c r="K532" s="6" t="s">
        <v>252</v>
      </c>
      <c r="L532" s="162">
        <v>44516</v>
      </c>
      <c r="M532" s="175" t="s">
        <v>5739</v>
      </c>
      <c r="O532" s="6" t="s">
        <v>356</v>
      </c>
      <c r="P532" s="6" t="str">
        <f t="shared" si="25"/>
        <v>SAFe que</v>
      </c>
      <c r="Q532" t="str">
        <f t="shared" si="26"/>
        <v>2021</v>
      </c>
    </row>
    <row r="533" spans="1:17">
      <c r="A533" s="162">
        <v>44516</v>
      </c>
      <c r="B533" s="164" t="s">
        <v>1870</v>
      </c>
      <c r="C533" s="164" t="s">
        <v>495</v>
      </c>
      <c r="D533" s="164" t="s">
        <v>14</v>
      </c>
      <c r="E533" s="79">
        <v>44501</v>
      </c>
      <c r="F533" s="6" t="s">
        <v>16</v>
      </c>
      <c r="G533" s="6" t="s">
        <v>1872</v>
      </c>
      <c r="H533" s="170">
        <v>31000</v>
      </c>
      <c r="I533" s="172">
        <f t="shared" si="24"/>
        <v>355.01603298213467</v>
      </c>
      <c r="J533" s="162">
        <v>44516</v>
      </c>
      <c r="K533" s="6" t="s">
        <v>252</v>
      </c>
      <c r="L533" s="162">
        <v>44516</v>
      </c>
      <c r="M533" s="175" t="s">
        <v>5740</v>
      </c>
      <c r="O533" s="6" t="s">
        <v>356</v>
      </c>
      <c r="P533" s="6" t="str">
        <f t="shared" si="25"/>
        <v>SAFe que</v>
      </c>
      <c r="Q533" t="str">
        <f t="shared" si="26"/>
        <v>2021</v>
      </c>
    </row>
    <row r="534" spans="1:17">
      <c r="A534" s="162">
        <v>44518</v>
      </c>
      <c r="B534" s="164" t="s">
        <v>1873</v>
      </c>
      <c r="C534" s="164" t="s">
        <v>287</v>
      </c>
      <c r="D534" s="164" t="s">
        <v>96</v>
      </c>
      <c r="E534" s="79">
        <v>44501</v>
      </c>
      <c r="F534" s="6" t="s">
        <v>16</v>
      </c>
      <c r="G534" s="6" t="s">
        <v>1728</v>
      </c>
      <c r="H534" s="170">
        <v>20000</v>
      </c>
      <c r="I534" s="172">
        <f t="shared" si="24"/>
        <v>229.04260192395787</v>
      </c>
      <c r="J534" s="162">
        <v>44518</v>
      </c>
      <c r="K534" s="6" t="s">
        <v>252</v>
      </c>
      <c r="L534" s="162">
        <v>44518</v>
      </c>
      <c r="M534" s="175" t="s">
        <v>5741</v>
      </c>
      <c r="O534" s="6" t="s">
        <v>280</v>
      </c>
      <c r="P534" s="6" t="str">
        <f t="shared" si="25"/>
        <v>Category</v>
      </c>
      <c r="Q534" t="str">
        <f t="shared" si="26"/>
        <v>2021</v>
      </c>
    </row>
    <row r="535" spans="1:17">
      <c r="A535" s="162">
        <v>44520</v>
      </c>
      <c r="B535" s="164" t="s">
        <v>1875</v>
      </c>
      <c r="C535" s="164" t="s">
        <v>1842</v>
      </c>
      <c r="D535" s="164" t="s">
        <v>150</v>
      </c>
      <c r="E535" s="79">
        <v>44501</v>
      </c>
      <c r="F535" s="6" t="s">
        <v>16</v>
      </c>
      <c r="G535" s="6" t="s">
        <v>1852</v>
      </c>
      <c r="H535" s="170">
        <v>21000</v>
      </c>
      <c r="I535" s="172">
        <f t="shared" si="24"/>
        <v>240.49473202015577</v>
      </c>
      <c r="J535" s="162">
        <v>44520</v>
      </c>
      <c r="K535" s="6" t="s">
        <v>252</v>
      </c>
      <c r="L535" s="162">
        <v>44520</v>
      </c>
      <c r="M535" s="175" t="s">
        <v>5742</v>
      </c>
      <c r="O535" s="6" t="s">
        <v>356</v>
      </c>
      <c r="P535" s="6" t="str">
        <f t="shared" si="25"/>
        <v>SAFe que</v>
      </c>
      <c r="Q535" t="str">
        <f t="shared" si="26"/>
        <v>2021</v>
      </c>
    </row>
    <row r="536" spans="1:17">
      <c r="A536" s="162">
        <v>44521</v>
      </c>
      <c r="B536" s="164" t="s">
        <v>1722</v>
      </c>
      <c r="C536" s="164" t="s">
        <v>274</v>
      </c>
      <c r="D536" s="164" t="s">
        <v>1698</v>
      </c>
      <c r="E536" s="79">
        <v>44501</v>
      </c>
      <c r="F536" s="6" t="s">
        <v>16</v>
      </c>
      <c r="G536" s="97">
        <v>44527</v>
      </c>
      <c r="H536" s="170">
        <v>38000</v>
      </c>
      <c r="I536" s="172">
        <f t="shared" si="24"/>
        <v>435.18094365551997</v>
      </c>
      <c r="J536" s="162">
        <v>44521</v>
      </c>
      <c r="K536" s="6" t="s">
        <v>253</v>
      </c>
      <c r="L536" s="162">
        <v>44521</v>
      </c>
      <c r="M536" s="175" t="s">
        <v>5743</v>
      </c>
      <c r="O536" s="6" t="s">
        <v>356</v>
      </c>
      <c r="P536" s="6" t="str">
        <f t="shared" si="25"/>
        <v>NonCategory</v>
      </c>
      <c r="Q536" t="str">
        <f t="shared" si="26"/>
        <v>2021</v>
      </c>
    </row>
    <row r="537" spans="1:17" ht="14.4">
      <c r="A537" s="162">
        <v>44523</v>
      </c>
      <c r="B537" s="164" t="s">
        <v>1877</v>
      </c>
      <c r="C537" s="164" t="s">
        <v>278</v>
      </c>
      <c r="D537" s="164" t="s">
        <v>97</v>
      </c>
      <c r="E537" s="79">
        <v>44501</v>
      </c>
      <c r="F537" s="6" t="s">
        <v>16</v>
      </c>
      <c r="G537" s="6" t="s">
        <v>1728</v>
      </c>
      <c r="H537" s="170">
        <v>22000</v>
      </c>
      <c r="I537" s="172">
        <f t="shared" si="24"/>
        <v>251.94686211635369</v>
      </c>
      <c r="J537" s="162">
        <v>44523</v>
      </c>
      <c r="K537" s="6" t="s">
        <v>253</v>
      </c>
      <c r="L537" s="162">
        <v>44523</v>
      </c>
      <c r="M537" s="175" t="s">
        <v>5744</v>
      </c>
      <c r="N537" s="44" t="s">
        <v>1802</v>
      </c>
      <c r="O537" s="6" t="s">
        <v>280</v>
      </c>
      <c r="P537" s="6" t="str">
        <f t="shared" si="25"/>
        <v>Category</v>
      </c>
      <c r="Q537" t="str">
        <f t="shared" si="26"/>
        <v>2021</v>
      </c>
    </row>
    <row r="538" spans="1:17">
      <c r="A538" s="162">
        <v>44523</v>
      </c>
      <c r="B538" s="164" t="s">
        <v>1879</v>
      </c>
      <c r="C538" s="164" t="s">
        <v>319</v>
      </c>
      <c r="D538" s="164" t="s">
        <v>151</v>
      </c>
      <c r="E538" s="79">
        <v>44501</v>
      </c>
      <c r="F538" s="6" t="s">
        <v>16</v>
      </c>
      <c r="G538" s="6" t="s">
        <v>1881</v>
      </c>
      <c r="H538" s="170">
        <v>21000</v>
      </c>
      <c r="I538" s="172">
        <f t="shared" si="24"/>
        <v>240.49473202015577</v>
      </c>
      <c r="J538" s="162">
        <v>44523</v>
      </c>
      <c r="K538" s="6" t="s">
        <v>253</v>
      </c>
      <c r="L538" s="162">
        <v>44523</v>
      </c>
      <c r="M538" s="175" t="s">
        <v>5745</v>
      </c>
      <c r="O538" s="6" t="s">
        <v>356</v>
      </c>
      <c r="P538" s="6" t="str">
        <f t="shared" si="25"/>
        <v>SAFe que</v>
      </c>
      <c r="Q538" t="str">
        <f t="shared" si="26"/>
        <v>2021</v>
      </c>
    </row>
    <row r="539" spans="1:17" ht="14.4">
      <c r="A539" s="162">
        <v>44523</v>
      </c>
      <c r="B539" s="164" t="s">
        <v>1882</v>
      </c>
      <c r="C539" s="164" t="s">
        <v>278</v>
      </c>
      <c r="D539" s="164" t="s">
        <v>1884</v>
      </c>
      <c r="E539" s="79">
        <v>44501</v>
      </c>
      <c r="F539" s="6" t="s">
        <v>16</v>
      </c>
      <c r="G539" s="97">
        <v>44523</v>
      </c>
      <c r="H539" s="170">
        <v>43000</v>
      </c>
      <c r="I539" s="172">
        <f t="shared" si="24"/>
        <v>492.44159413650942</v>
      </c>
      <c r="J539" s="162">
        <v>44523</v>
      </c>
      <c r="K539" s="6" t="s">
        <v>253</v>
      </c>
      <c r="L539" s="162">
        <v>44523</v>
      </c>
      <c r="M539" s="175" t="s">
        <v>5746</v>
      </c>
      <c r="N539" s="44" t="s">
        <v>1204</v>
      </c>
      <c r="O539" s="6" t="s">
        <v>356</v>
      </c>
      <c r="P539" s="6" t="str">
        <f t="shared" si="25"/>
        <v>NonCategory</v>
      </c>
      <c r="Q539" t="str">
        <f t="shared" si="26"/>
        <v>2021</v>
      </c>
    </row>
    <row r="540" spans="1:17" ht="14.4">
      <c r="A540" s="162">
        <v>44524</v>
      </c>
      <c r="B540" s="164" t="s">
        <v>1885</v>
      </c>
      <c r="C540" s="164" t="s">
        <v>278</v>
      </c>
      <c r="D540" s="164" t="s">
        <v>97</v>
      </c>
      <c r="E540" s="79">
        <v>44501</v>
      </c>
      <c r="F540" s="6" t="s">
        <v>16</v>
      </c>
      <c r="G540" s="6" t="s">
        <v>1728</v>
      </c>
      <c r="H540" s="170">
        <v>19000</v>
      </c>
      <c r="I540" s="172">
        <f t="shared" si="24"/>
        <v>217.59047182775998</v>
      </c>
      <c r="J540" s="162">
        <v>44524</v>
      </c>
      <c r="K540" s="6" t="s">
        <v>253</v>
      </c>
      <c r="L540" s="162">
        <v>44524</v>
      </c>
      <c r="M540" s="175" t="s">
        <v>5747</v>
      </c>
      <c r="N540" s="44" t="s">
        <v>1887</v>
      </c>
      <c r="O540" s="6" t="s">
        <v>280</v>
      </c>
      <c r="P540" s="6" t="str">
        <f t="shared" si="25"/>
        <v>Category</v>
      </c>
      <c r="Q540" t="str">
        <f t="shared" si="26"/>
        <v>2021</v>
      </c>
    </row>
    <row r="541" spans="1:17">
      <c r="A541" s="162">
        <v>44524</v>
      </c>
      <c r="B541" s="164" t="s">
        <v>1888</v>
      </c>
      <c r="C541" s="164" t="s">
        <v>319</v>
      </c>
      <c r="D541" s="164" t="s">
        <v>151</v>
      </c>
      <c r="E541" s="79">
        <v>44531</v>
      </c>
      <c r="F541" s="6" t="s">
        <v>16</v>
      </c>
      <c r="G541" s="6" t="s">
        <v>1847</v>
      </c>
      <c r="H541" s="170">
        <v>21000</v>
      </c>
      <c r="I541" s="172">
        <f t="shared" si="24"/>
        <v>240.49473202015577</v>
      </c>
      <c r="J541" s="162">
        <v>44524</v>
      </c>
      <c r="K541" s="6" t="s">
        <v>251</v>
      </c>
      <c r="L541" s="162">
        <v>44531</v>
      </c>
      <c r="M541" s="175" t="s">
        <v>5748</v>
      </c>
      <c r="N541" s="20"/>
      <c r="O541" s="6" t="s">
        <v>280</v>
      </c>
      <c r="P541" s="6" t="str">
        <f t="shared" si="25"/>
        <v>SAFe que</v>
      </c>
      <c r="Q541" t="str">
        <f t="shared" si="26"/>
        <v>2021</v>
      </c>
    </row>
    <row r="542" spans="1:17">
      <c r="A542" s="162">
        <v>44526</v>
      </c>
      <c r="B542" s="164" t="s">
        <v>1890</v>
      </c>
      <c r="C542" s="164" t="s">
        <v>319</v>
      </c>
      <c r="D542" s="164" t="s">
        <v>97</v>
      </c>
      <c r="E542" s="79">
        <v>44501</v>
      </c>
      <c r="F542" s="6" t="s">
        <v>16</v>
      </c>
      <c r="G542" s="6" t="s">
        <v>1881</v>
      </c>
      <c r="H542" s="170">
        <v>20000</v>
      </c>
      <c r="I542" s="172">
        <f t="shared" si="24"/>
        <v>229.04260192395787</v>
      </c>
      <c r="J542" s="162">
        <v>44526</v>
      </c>
      <c r="K542" s="6" t="s">
        <v>253</v>
      </c>
      <c r="L542" s="162">
        <v>44526</v>
      </c>
      <c r="M542" s="175" t="s">
        <v>5749</v>
      </c>
      <c r="O542" s="6" t="s">
        <v>280</v>
      </c>
      <c r="P542" s="6" t="str">
        <f t="shared" si="25"/>
        <v>Category</v>
      </c>
      <c r="Q542" t="str">
        <f t="shared" si="26"/>
        <v>2021</v>
      </c>
    </row>
    <row r="543" spans="1:17">
      <c r="A543" s="162">
        <v>44526</v>
      </c>
      <c r="B543" s="164" t="s">
        <v>1892</v>
      </c>
      <c r="C543" s="164" t="s">
        <v>319</v>
      </c>
      <c r="D543" s="164" t="s">
        <v>151</v>
      </c>
      <c r="E543" s="79">
        <v>44501</v>
      </c>
      <c r="F543" s="6" t="s">
        <v>16</v>
      </c>
      <c r="G543" s="6" t="s">
        <v>1881</v>
      </c>
      <c r="H543" s="170">
        <v>21000</v>
      </c>
      <c r="I543" s="172">
        <f t="shared" si="24"/>
        <v>240.49473202015577</v>
      </c>
      <c r="J543" s="162">
        <v>44526</v>
      </c>
      <c r="K543" s="6" t="s">
        <v>253</v>
      </c>
      <c r="L543" s="162">
        <v>44526</v>
      </c>
      <c r="M543" s="175" t="s">
        <v>5750</v>
      </c>
      <c r="O543" s="6" t="s">
        <v>280</v>
      </c>
      <c r="P543" s="6" t="str">
        <f t="shared" si="25"/>
        <v>SAFe que</v>
      </c>
      <c r="Q543" t="str">
        <f t="shared" si="26"/>
        <v>2021</v>
      </c>
    </row>
    <row r="544" spans="1:17">
      <c r="A544" s="162">
        <v>44527</v>
      </c>
      <c r="B544" s="164" t="s">
        <v>1894</v>
      </c>
      <c r="C544" s="164" t="s">
        <v>274</v>
      </c>
      <c r="D544" s="164" t="s">
        <v>150</v>
      </c>
      <c r="E544" s="79">
        <v>44501</v>
      </c>
      <c r="F544" s="6" t="s">
        <v>16</v>
      </c>
      <c r="G544" s="6" t="s">
        <v>1896</v>
      </c>
      <c r="H544" s="170">
        <v>141600</v>
      </c>
      <c r="I544" s="172">
        <f t="shared" si="24"/>
        <v>1621.6216216216217</v>
      </c>
      <c r="J544" s="162">
        <v>44525</v>
      </c>
      <c r="K544" s="6" t="s">
        <v>253</v>
      </c>
      <c r="L544" s="162">
        <v>44525</v>
      </c>
      <c r="M544" s="175" t="s">
        <v>1897</v>
      </c>
      <c r="O544" s="6" t="s">
        <v>356</v>
      </c>
      <c r="P544" s="6" t="str">
        <f t="shared" si="25"/>
        <v>SAFe que</v>
      </c>
      <c r="Q544" t="str">
        <f t="shared" si="26"/>
        <v>2021</v>
      </c>
    </row>
    <row r="545" spans="1:17">
      <c r="A545" s="162">
        <v>44528</v>
      </c>
      <c r="B545" s="164" t="s">
        <v>1898</v>
      </c>
      <c r="C545" s="164" t="s">
        <v>303</v>
      </c>
      <c r="D545" s="164" t="s">
        <v>96</v>
      </c>
      <c r="E545" s="79">
        <v>44501</v>
      </c>
      <c r="F545" s="6" t="s">
        <v>16</v>
      </c>
      <c r="G545" s="6" t="s">
        <v>1881</v>
      </c>
      <c r="H545" s="170">
        <v>20000</v>
      </c>
      <c r="I545" s="172">
        <f t="shared" si="24"/>
        <v>229.04260192395787</v>
      </c>
      <c r="J545" s="162">
        <v>44528</v>
      </c>
      <c r="K545" s="6" t="s">
        <v>253</v>
      </c>
      <c r="L545" s="162">
        <v>44528</v>
      </c>
      <c r="M545" s="175" t="s">
        <v>5751</v>
      </c>
      <c r="O545" s="6" t="s">
        <v>280</v>
      </c>
      <c r="P545" s="6" t="str">
        <f t="shared" si="25"/>
        <v>Category</v>
      </c>
      <c r="Q545" t="str">
        <f t="shared" si="26"/>
        <v>2021</v>
      </c>
    </row>
    <row r="546" spans="1:17">
      <c r="A546" s="162">
        <v>44529</v>
      </c>
      <c r="B546" s="164" t="s">
        <v>1900</v>
      </c>
      <c r="C546" s="164" t="s">
        <v>303</v>
      </c>
      <c r="D546" s="164" t="s">
        <v>151</v>
      </c>
      <c r="E546" s="79">
        <v>44501</v>
      </c>
      <c r="F546" s="6" t="s">
        <v>16</v>
      </c>
      <c r="G546" s="6" t="s">
        <v>1881</v>
      </c>
      <c r="H546" s="170">
        <v>21000</v>
      </c>
      <c r="I546" s="172">
        <f t="shared" si="24"/>
        <v>240.49473202015577</v>
      </c>
      <c r="J546" s="162">
        <v>44529</v>
      </c>
      <c r="K546" s="6" t="s">
        <v>253</v>
      </c>
      <c r="L546" s="162">
        <v>44529</v>
      </c>
      <c r="M546" s="175" t="s">
        <v>5752</v>
      </c>
      <c r="O546" s="6" t="s">
        <v>280</v>
      </c>
      <c r="P546" s="6" t="str">
        <f t="shared" si="25"/>
        <v>SAFe que</v>
      </c>
      <c r="Q546" t="str">
        <f t="shared" si="26"/>
        <v>2021</v>
      </c>
    </row>
    <row r="547" spans="1:17">
      <c r="A547" s="162">
        <v>44529</v>
      </c>
      <c r="B547" s="164" t="s">
        <v>1902</v>
      </c>
      <c r="C547" s="164" t="s">
        <v>303</v>
      </c>
      <c r="D547" s="164" t="s">
        <v>151</v>
      </c>
      <c r="E547" s="79">
        <v>44501</v>
      </c>
      <c r="F547" s="6" t="s">
        <v>16</v>
      </c>
      <c r="G547" s="6" t="s">
        <v>1847</v>
      </c>
      <c r="H547" s="170">
        <v>21000</v>
      </c>
      <c r="I547" s="172">
        <f t="shared" si="24"/>
        <v>240.49473202015577</v>
      </c>
      <c r="J547" s="162">
        <v>44529</v>
      </c>
      <c r="K547" s="6" t="s">
        <v>253</v>
      </c>
      <c r="L547" s="162">
        <v>44529</v>
      </c>
      <c r="M547" s="175" t="s">
        <v>5753</v>
      </c>
      <c r="O547" s="6" t="s">
        <v>356</v>
      </c>
      <c r="P547" s="6" t="str">
        <f t="shared" si="25"/>
        <v>SAFe que</v>
      </c>
      <c r="Q547" t="str">
        <f t="shared" si="26"/>
        <v>2021</v>
      </c>
    </row>
    <row r="548" spans="1:17">
      <c r="A548" s="162">
        <v>44530</v>
      </c>
      <c r="B548" s="164" t="s">
        <v>1904</v>
      </c>
      <c r="C548" s="164" t="s">
        <v>287</v>
      </c>
      <c r="D548" s="164" t="s">
        <v>151</v>
      </c>
      <c r="E548" s="79">
        <v>44501</v>
      </c>
      <c r="F548" s="6" t="s">
        <v>16</v>
      </c>
      <c r="G548" s="6" t="s">
        <v>1881</v>
      </c>
      <c r="H548" s="170">
        <v>21000</v>
      </c>
      <c r="I548" s="172">
        <f t="shared" si="24"/>
        <v>240.49473202015577</v>
      </c>
      <c r="J548" s="162">
        <v>44530</v>
      </c>
      <c r="K548" s="6" t="s">
        <v>253</v>
      </c>
      <c r="L548" s="162">
        <v>44530</v>
      </c>
      <c r="M548" s="175" t="s">
        <v>5754</v>
      </c>
      <c r="O548" s="6" t="s">
        <v>280</v>
      </c>
      <c r="P548" s="6" t="str">
        <f t="shared" si="25"/>
        <v>SAFe que</v>
      </c>
      <c r="Q548" t="str">
        <f t="shared" si="26"/>
        <v>2021</v>
      </c>
    </row>
    <row r="549" spans="1:17">
      <c r="A549" s="162">
        <v>44530</v>
      </c>
      <c r="B549" s="164" t="s">
        <v>1906</v>
      </c>
      <c r="C549" s="164" t="s">
        <v>319</v>
      </c>
      <c r="D549" s="164" t="s">
        <v>976</v>
      </c>
      <c r="E549" s="79">
        <v>44501</v>
      </c>
      <c r="F549" s="6" t="s">
        <v>16</v>
      </c>
      <c r="G549" s="97">
        <v>44530</v>
      </c>
      <c r="H549" s="170">
        <v>15500</v>
      </c>
      <c r="I549" s="172">
        <f t="shared" si="24"/>
        <v>177.50801649106734</v>
      </c>
      <c r="J549" s="162">
        <v>44530</v>
      </c>
      <c r="K549" s="6" t="s">
        <v>253</v>
      </c>
      <c r="L549" s="162">
        <v>44530</v>
      </c>
      <c r="M549" s="175" t="s">
        <v>5755</v>
      </c>
      <c r="O549" s="6" t="s">
        <v>356</v>
      </c>
      <c r="P549" s="6" t="str">
        <f t="shared" si="25"/>
        <v>NonCategory</v>
      </c>
      <c r="Q549" t="str">
        <f t="shared" si="26"/>
        <v>2021</v>
      </c>
    </row>
    <row r="550" spans="1:17">
      <c r="A550" s="162">
        <v>44530</v>
      </c>
      <c r="B550" s="164" t="s">
        <v>1908</v>
      </c>
      <c r="C550" s="164" t="s">
        <v>278</v>
      </c>
      <c r="D550" s="164" t="s">
        <v>150</v>
      </c>
      <c r="E550" s="79">
        <v>44501</v>
      </c>
      <c r="F550" s="6" t="s">
        <v>16</v>
      </c>
      <c r="G550" s="6" t="s">
        <v>1728</v>
      </c>
      <c r="H550" s="170">
        <v>21000</v>
      </c>
      <c r="I550" s="172">
        <f t="shared" si="24"/>
        <v>240.49473202015577</v>
      </c>
      <c r="J550" s="162">
        <v>44530</v>
      </c>
      <c r="K550" s="6" t="s">
        <v>253</v>
      </c>
      <c r="L550" s="162">
        <v>44530</v>
      </c>
      <c r="M550" s="175" t="s">
        <v>5756</v>
      </c>
      <c r="N550" s="6" t="s">
        <v>1478</v>
      </c>
      <c r="O550" s="6" t="s">
        <v>280</v>
      </c>
      <c r="P550" s="6" t="str">
        <f t="shared" si="25"/>
        <v>SAFe que</v>
      </c>
      <c r="Q550" t="str">
        <f t="shared" si="26"/>
        <v>2021</v>
      </c>
    </row>
    <row r="551" spans="1:17">
      <c r="A551" s="162">
        <v>44530</v>
      </c>
      <c r="B551" s="164" t="s">
        <v>1910</v>
      </c>
      <c r="C551" s="164" t="s">
        <v>274</v>
      </c>
      <c r="D551" s="164" t="s">
        <v>150</v>
      </c>
      <c r="E551" s="79">
        <v>44501</v>
      </c>
      <c r="F551" s="6" t="s">
        <v>16</v>
      </c>
      <c r="G551" s="6" t="s">
        <v>1728</v>
      </c>
      <c r="H551" s="170">
        <v>21000</v>
      </c>
      <c r="I551" s="172">
        <f t="shared" si="24"/>
        <v>240.49473202015577</v>
      </c>
      <c r="J551" s="162">
        <v>44530</v>
      </c>
      <c r="K551" s="6" t="s">
        <v>253</v>
      </c>
      <c r="L551" s="162">
        <v>44530</v>
      </c>
      <c r="M551" s="175" t="s">
        <v>5757</v>
      </c>
      <c r="O551" s="6" t="s">
        <v>280</v>
      </c>
      <c r="P551" s="6" t="str">
        <f t="shared" si="25"/>
        <v>SAFe que</v>
      </c>
      <c r="Q551" t="str">
        <f t="shared" si="26"/>
        <v>2021</v>
      </c>
    </row>
    <row r="552" spans="1:17">
      <c r="A552" s="162">
        <v>44530</v>
      </c>
      <c r="B552" s="164" t="s">
        <v>1912</v>
      </c>
      <c r="C552" s="164" t="s">
        <v>278</v>
      </c>
      <c r="D552" s="164" t="s">
        <v>150</v>
      </c>
      <c r="E552" s="79">
        <v>44501</v>
      </c>
      <c r="F552" s="6" t="s">
        <v>16</v>
      </c>
      <c r="G552" s="6" t="s">
        <v>1847</v>
      </c>
      <c r="H552" s="170">
        <v>21000</v>
      </c>
      <c r="I552" s="172">
        <f t="shared" si="24"/>
        <v>240.49473202015577</v>
      </c>
      <c r="J552" s="162">
        <v>44530</v>
      </c>
      <c r="K552" s="6" t="s">
        <v>253</v>
      </c>
      <c r="L552" s="162">
        <v>44530</v>
      </c>
      <c r="M552" s="175" t="s">
        <v>5758</v>
      </c>
      <c r="N552" s="6" t="s">
        <v>1914</v>
      </c>
      <c r="O552" s="6" t="s">
        <v>280</v>
      </c>
      <c r="P552" s="6" t="str">
        <f t="shared" si="25"/>
        <v>SAFe que</v>
      </c>
      <c r="Q552" t="str">
        <f t="shared" si="26"/>
        <v>2021</v>
      </c>
    </row>
    <row r="553" spans="1:17">
      <c r="A553" s="162">
        <v>44530</v>
      </c>
      <c r="B553" s="164" t="s">
        <v>1915</v>
      </c>
      <c r="C553" s="164" t="s">
        <v>278</v>
      </c>
      <c r="D553" s="164" t="s">
        <v>150</v>
      </c>
      <c r="E553" s="79">
        <v>44501</v>
      </c>
      <c r="F553" s="6" t="s">
        <v>16</v>
      </c>
      <c r="G553" s="6" t="s">
        <v>1847</v>
      </c>
      <c r="H553" s="170">
        <v>21000</v>
      </c>
      <c r="I553" s="172">
        <f t="shared" si="24"/>
        <v>240.49473202015577</v>
      </c>
      <c r="J553" s="162">
        <v>44530</v>
      </c>
      <c r="K553" s="6" t="s">
        <v>253</v>
      </c>
      <c r="L553" s="162">
        <v>44530</v>
      </c>
      <c r="M553" s="175" t="s">
        <v>5759</v>
      </c>
      <c r="N553" s="6" t="s">
        <v>1917</v>
      </c>
      <c r="O553" s="6" t="s">
        <v>280</v>
      </c>
      <c r="P553" s="6" t="str">
        <f t="shared" si="25"/>
        <v>SAFe que</v>
      </c>
      <c r="Q553" t="str">
        <f t="shared" si="26"/>
        <v>2021</v>
      </c>
    </row>
    <row r="554" spans="1:17">
      <c r="A554" s="162">
        <v>44531</v>
      </c>
      <c r="B554" s="164" t="s">
        <v>1918</v>
      </c>
      <c r="C554" s="164" t="s">
        <v>303</v>
      </c>
      <c r="D554" s="164" t="s">
        <v>25</v>
      </c>
      <c r="E554" s="79">
        <v>44531</v>
      </c>
      <c r="F554" s="6" t="s">
        <v>16</v>
      </c>
      <c r="G554" s="6" t="s">
        <v>1847</v>
      </c>
      <c r="H554" s="170">
        <v>45000</v>
      </c>
      <c r="I554" s="172">
        <f t="shared" si="24"/>
        <v>515.34585432890515</v>
      </c>
      <c r="J554" s="162">
        <v>44531</v>
      </c>
      <c r="K554" s="6" t="s">
        <v>251</v>
      </c>
      <c r="L554" s="162">
        <v>44531</v>
      </c>
      <c r="M554" s="175" t="s">
        <v>5760</v>
      </c>
      <c r="O554" s="6" t="s">
        <v>356</v>
      </c>
      <c r="P554" s="6" t="str">
        <f t="shared" si="25"/>
        <v>SAFe que</v>
      </c>
      <c r="Q554" t="str">
        <f t="shared" si="26"/>
        <v>2021</v>
      </c>
    </row>
    <row r="555" spans="1:17" ht="14.4">
      <c r="A555" s="162">
        <v>44532</v>
      </c>
      <c r="B555" s="164" t="s">
        <v>1920</v>
      </c>
      <c r="C555" s="164" t="s">
        <v>278</v>
      </c>
      <c r="D555" s="164" t="s">
        <v>96</v>
      </c>
      <c r="E555" s="79">
        <v>44531</v>
      </c>
      <c r="F555" s="6" t="s">
        <v>16</v>
      </c>
      <c r="G555" s="6" t="s">
        <v>1922</v>
      </c>
      <c r="H555" s="170">
        <v>20000</v>
      </c>
      <c r="I555" s="172">
        <f t="shared" si="24"/>
        <v>229.04260192395787</v>
      </c>
      <c r="J555" s="162">
        <v>44532</v>
      </c>
      <c r="K555" s="6" t="s">
        <v>251</v>
      </c>
      <c r="L555" s="162">
        <v>44532</v>
      </c>
      <c r="M555" s="175" t="s">
        <v>5761</v>
      </c>
      <c r="N555" s="44" t="s">
        <v>1830</v>
      </c>
      <c r="O555" s="6" t="s">
        <v>356</v>
      </c>
      <c r="P555" s="6" t="str">
        <f t="shared" si="25"/>
        <v>Category</v>
      </c>
      <c r="Q555" t="str">
        <f t="shared" si="26"/>
        <v>2021</v>
      </c>
    </row>
    <row r="556" spans="1:17">
      <c r="A556" s="162">
        <v>44532</v>
      </c>
      <c r="B556" s="164" t="s">
        <v>1923</v>
      </c>
      <c r="C556" s="164" t="s">
        <v>287</v>
      </c>
      <c r="D556" s="164" t="s">
        <v>151</v>
      </c>
      <c r="E556" s="79">
        <v>44531</v>
      </c>
      <c r="F556" s="6" t="s">
        <v>16</v>
      </c>
      <c r="G556" s="6" t="s">
        <v>1728</v>
      </c>
      <c r="H556" s="170">
        <v>21000</v>
      </c>
      <c r="I556" s="172">
        <f t="shared" si="24"/>
        <v>240.49473202015577</v>
      </c>
      <c r="J556" s="162">
        <v>44532</v>
      </c>
      <c r="K556" s="6" t="s">
        <v>251</v>
      </c>
      <c r="L556" s="162">
        <v>44532</v>
      </c>
      <c r="M556" s="175" t="s">
        <v>5762</v>
      </c>
      <c r="O556" s="6" t="s">
        <v>280</v>
      </c>
      <c r="P556" s="6" t="str">
        <f t="shared" si="25"/>
        <v>SAFe que</v>
      </c>
      <c r="Q556" t="str">
        <f t="shared" si="26"/>
        <v>2021</v>
      </c>
    </row>
    <row r="557" spans="1:17">
      <c r="A557" s="162">
        <v>44532</v>
      </c>
      <c r="B557" s="164" t="s">
        <v>1925</v>
      </c>
      <c r="C557" s="164" t="s">
        <v>278</v>
      </c>
      <c r="D557" s="164" t="s">
        <v>97</v>
      </c>
      <c r="E557" s="79">
        <v>44531</v>
      </c>
      <c r="F557" s="6" t="s">
        <v>16</v>
      </c>
      <c r="G557" s="6" t="s">
        <v>1728</v>
      </c>
      <c r="H557" s="170">
        <v>22000</v>
      </c>
      <c r="I557" s="172">
        <f t="shared" si="24"/>
        <v>251.94686211635369</v>
      </c>
      <c r="J557" s="162">
        <v>44532</v>
      </c>
      <c r="K557" s="6" t="s">
        <v>251</v>
      </c>
      <c r="L557" s="162">
        <v>44532</v>
      </c>
      <c r="M557" s="175" t="s">
        <v>5763</v>
      </c>
      <c r="N557" s="6" t="s">
        <v>1927</v>
      </c>
      <c r="O557" s="6" t="s">
        <v>280</v>
      </c>
      <c r="P557" s="6" t="str">
        <f t="shared" si="25"/>
        <v>Category</v>
      </c>
      <c r="Q557" t="str">
        <f t="shared" si="26"/>
        <v>2021</v>
      </c>
    </row>
    <row r="558" spans="1:17">
      <c r="A558" s="162">
        <v>44532</v>
      </c>
      <c r="B558" s="164" t="s">
        <v>1928</v>
      </c>
      <c r="C558" s="164" t="s">
        <v>1842</v>
      </c>
      <c r="D558" s="164" t="s">
        <v>976</v>
      </c>
      <c r="E558" s="79">
        <v>44531</v>
      </c>
      <c r="F558" s="6" t="s">
        <v>16</v>
      </c>
      <c r="G558" s="97">
        <v>44534</v>
      </c>
      <c r="H558" s="170">
        <v>16000</v>
      </c>
      <c r="I558" s="172">
        <f t="shared" si="24"/>
        <v>183.23408153916631</v>
      </c>
      <c r="J558" s="162">
        <v>44532</v>
      </c>
      <c r="K558" s="6" t="s">
        <v>251</v>
      </c>
      <c r="L558" s="162">
        <v>44532</v>
      </c>
      <c r="M558" s="175" t="s">
        <v>5764</v>
      </c>
      <c r="O558" s="6" t="s">
        <v>356</v>
      </c>
      <c r="P558" s="6" t="str">
        <f t="shared" si="25"/>
        <v>NonCategory</v>
      </c>
      <c r="Q558" t="str">
        <f t="shared" si="26"/>
        <v>2021</v>
      </c>
    </row>
    <row r="559" spans="1:17">
      <c r="A559" s="162">
        <v>44533</v>
      </c>
      <c r="B559" s="164" t="s">
        <v>1930</v>
      </c>
      <c r="C559" s="164" t="s">
        <v>291</v>
      </c>
      <c r="D559" s="164" t="s">
        <v>96</v>
      </c>
      <c r="E559" s="79">
        <v>44531</v>
      </c>
      <c r="F559" s="6" t="s">
        <v>16</v>
      </c>
      <c r="G559" s="6" t="s">
        <v>1932</v>
      </c>
      <c r="H559" s="170">
        <v>20000</v>
      </c>
      <c r="I559" s="172">
        <f t="shared" si="24"/>
        <v>229.04260192395787</v>
      </c>
      <c r="J559" s="162">
        <v>44533</v>
      </c>
      <c r="K559" s="6" t="s">
        <v>251</v>
      </c>
      <c r="L559" s="162">
        <v>44533</v>
      </c>
      <c r="M559" s="175" t="s">
        <v>5765</v>
      </c>
      <c r="O559" s="6" t="s">
        <v>356</v>
      </c>
      <c r="P559" s="6" t="str">
        <f t="shared" si="25"/>
        <v>Category</v>
      </c>
      <c r="Q559" t="str">
        <f t="shared" si="26"/>
        <v>2021</v>
      </c>
    </row>
    <row r="560" spans="1:17">
      <c r="A560" s="162">
        <v>44533</v>
      </c>
      <c r="B560" s="164" t="s">
        <v>1933</v>
      </c>
      <c r="C560" s="164" t="s">
        <v>274</v>
      </c>
      <c r="D560" s="164" t="s">
        <v>151</v>
      </c>
      <c r="E560" s="79">
        <v>44531</v>
      </c>
      <c r="F560" s="6" t="s">
        <v>16</v>
      </c>
      <c r="G560" s="6" t="s">
        <v>1881</v>
      </c>
      <c r="H560" s="170">
        <v>21000</v>
      </c>
      <c r="I560" s="172">
        <f t="shared" si="24"/>
        <v>240.49473202015577</v>
      </c>
      <c r="J560" s="162">
        <v>44533</v>
      </c>
      <c r="K560" s="6" t="s">
        <v>251</v>
      </c>
      <c r="L560" s="162">
        <v>44533</v>
      </c>
      <c r="M560" s="175" t="s">
        <v>5766</v>
      </c>
      <c r="O560" s="6" t="s">
        <v>280</v>
      </c>
      <c r="P560" s="6" t="str">
        <f t="shared" si="25"/>
        <v>SAFe que</v>
      </c>
      <c r="Q560" t="str">
        <f t="shared" si="26"/>
        <v>2021</v>
      </c>
    </row>
    <row r="561" spans="1:17">
      <c r="A561" s="162">
        <v>44534</v>
      </c>
      <c r="B561" s="164" t="s">
        <v>1935</v>
      </c>
      <c r="C561" s="164" t="s">
        <v>303</v>
      </c>
      <c r="D561" s="164" t="s">
        <v>150</v>
      </c>
      <c r="E561" s="79">
        <v>44531</v>
      </c>
      <c r="F561" s="6" t="s">
        <v>16</v>
      </c>
      <c r="G561" s="6" t="s">
        <v>1847</v>
      </c>
      <c r="H561" s="170">
        <v>21000</v>
      </c>
      <c r="I561" s="172">
        <f t="shared" si="24"/>
        <v>240.49473202015577</v>
      </c>
      <c r="J561" s="162">
        <v>44534</v>
      </c>
      <c r="K561" s="6" t="s">
        <v>251</v>
      </c>
      <c r="L561" s="162">
        <v>44534</v>
      </c>
      <c r="M561" s="175" t="s">
        <v>5767</v>
      </c>
      <c r="O561" s="6" t="s">
        <v>280</v>
      </c>
      <c r="P561" s="6" t="str">
        <f t="shared" si="25"/>
        <v>SAFe que</v>
      </c>
      <c r="Q561" t="str">
        <f t="shared" si="26"/>
        <v>2021</v>
      </c>
    </row>
    <row r="562" spans="1:17">
      <c r="A562" s="162">
        <v>44534</v>
      </c>
      <c r="B562" s="164" t="s">
        <v>1937</v>
      </c>
      <c r="C562" s="164" t="s">
        <v>278</v>
      </c>
      <c r="D562" s="164" t="s">
        <v>25</v>
      </c>
      <c r="E562" s="79">
        <v>44531</v>
      </c>
      <c r="F562" s="6" t="s">
        <v>16</v>
      </c>
      <c r="G562" s="6" t="s">
        <v>1881</v>
      </c>
      <c r="H562" s="170">
        <v>45000</v>
      </c>
      <c r="I562" s="172">
        <f t="shared" si="24"/>
        <v>515.34585432890515</v>
      </c>
      <c r="J562" s="162">
        <v>44534</v>
      </c>
      <c r="K562" s="6" t="s">
        <v>251</v>
      </c>
      <c r="L562" s="162">
        <v>44534</v>
      </c>
      <c r="M562" s="175" t="s">
        <v>5768</v>
      </c>
      <c r="N562" s="6" t="s">
        <v>1939</v>
      </c>
      <c r="O562" s="6" t="s">
        <v>280</v>
      </c>
      <c r="P562" s="6" t="str">
        <f t="shared" si="25"/>
        <v>SAFe que</v>
      </c>
      <c r="Q562" t="str">
        <f t="shared" si="26"/>
        <v>2021</v>
      </c>
    </row>
    <row r="563" spans="1:17">
      <c r="A563" s="162">
        <v>44536</v>
      </c>
      <c r="B563" s="164" t="s">
        <v>1940</v>
      </c>
      <c r="C563" s="164" t="s">
        <v>287</v>
      </c>
      <c r="D563" s="164" t="s">
        <v>7</v>
      </c>
      <c r="E563" s="79">
        <v>44531</v>
      </c>
      <c r="F563" s="6" t="s">
        <v>16</v>
      </c>
      <c r="G563" s="6" t="s">
        <v>1881</v>
      </c>
      <c r="H563" s="170">
        <v>45000</v>
      </c>
      <c r="I563" s="172">
        <f t="shared" si="24"/>
        <v>515.34585432890515</v>
      </c>
      <c r="J563" s="162">
        <v>44536</v>
      </c>
      <c r="K563" s="6" t="s">
        <v>251</v>
      </c>
      <c r="L563" s="162">
        <v>44536</v>
      </c>
      <c r="M563" s="175" t="s">
        <v>5769</v>
      </c>
      <c r="O563" s="6" t="s">
        <v>280</v>
      </c>
      <c r="P563" s="6" t="str">
        <f t="shared" si="25"/>
        <v>SAFe que</v>
      </c>
      <c r="Q563" t="str">
        <f t="shared" si="26"/>
        <v>2021</v>
      </c>
    </row>
    <row r="564" spans="1:17">
      <c r="A564" s="162">
        <v>44537</v>
      </c>
      <c r="B564" s="164" t="s">
        <v>1942</v>
      </c>
      <c r="C564" s="164" t="s">
        <v>1842</v>
      </c>
      <c r="D564" s="164" t="s">
        <v>96</v>
      </c>
      <c r="E564" s="79">
        <v>44531</v>
      </c>
      <c r="F564" s="6" t="s">
        <v>16</v>
      </c>
      <c r="G564" s="6" t="s">
        <v>1944</v>
      </c>
      <c r="H564" s="170">
        <v>19000</v>
      </c>
      <c r="I564" s="172">
        <f t="shared" si="24"/>
        <v>217.59047182775998</v>
      </c>
      <c r="J564" s="162">
        <v>44537</v>
      </c>
      <c r="K564" s="6" t="s">
        <v>251</v>
      </c>
      <c r="L564" s="162">
        <v>44537</v>
      </c>
      <c r="M564" s="175" t="s">
        <v>5770</v>
      </c>
      <c r="O564" s="6" t="s">
        <v>280</v>
      </c>
      <c r="P564" s="6" t="str">
        <f t="shared" si="25"/>
        <v>Category</v>
      </c>
      <c r="Q564" t="str">
        <f t="shared" si="26"/>
        <v>2021</v>
      </c>
    </row>
    <row r="565" spans="1:17">
      <c r="A565" s="162">
        <v>44537</v>
      </c>
      <c r="B565" s="164" t="s">
        <v>1945</v>
      </c>
      <c r="C565" s="164" t="s">
        <v>278</v>
      </c>
      <c r="D565" s="164" t="s">
        <v>96</v>
      </c>
      <c r="E565" s="79">
        <v>44531</v>
      </c>
      <c r="F565" s="6" t="s">
        <v>16</v>
      </c>
      <c r="G565" s="6" t="s">
        <v>1944</v>
      </c>
      <c r="H565" s="170">
        <v>19000</v>
      </c>
      <c r="I565" s="172">
        <f t="shared" si="24"/>
        <v>217.59047182775998</v>
      </c>
      <c r="J565" s="162">
        <v>44537</v>
      </c>
      <c r="K565" s="6" t="s">
        <v>251</v>
      </c>
      <c r="L565" s="162">
        <v>44537</v>
      </c>
      <c r="M565" s="175" t="s">
        <v>5771</v>
      </c>
      <c r="N565" s="6" t="s">
        <v>1947</v>
      </c>
      <c r="O565" s="6" t="s">
        <v>280</v>
      </c>
      <c r="P565" s="6" t="str">
        <f t="shared" si="25"/>
        <v>Category</v>
      </c>
      <c r="Q565" t="str">
        <f t="shared" si="26"/>
        <v>2021</v>
      </c>
    </row>
    <row r="566" spans="1:17">
      <c r="A566" s="162">
        <v>44538</v>
      </c>
      <c r="B566" s="164" t="s">
        <v>1948</v>
      </c>
      <c r="C566" s="164" t="s">
        <v>303</v>
      </c>
      <c r="D566" s="164" t="s">
        <v>150</v>
      </c>
      <c r="E566" s="79">
        <v>44531</v>
      </c>
      <c r="F566" s="6" t="s">
        <v>16</v>
      </c>
      <c r="G566" s="6" t="s">
        <v>1847</v>
      </c>
      <c r="H566" s="170">
        <v>21000</v>
      </c>
      <c r="I566" s="172">
        <f t="shared" si="24"/>
        <v>240.49473202015577</v>
      </c>
      <c r="J566" s="162">
        <v>44538</v>
      </c>
      <c r="K566" s="6" t="s">
        <v>251</v>
      </c>
      <c r="L566" s="162">
        <v>44538</v>
      </c>
      <c r="M566" s="175" t="s">
        <v>5772</v>
      </c>
      <c r="O566" s="6" t="s">
        <v>280</v>
      </c>
      <c r="P566" s="6" t="str">
        <f t="shared" si="25"/>
        <v>SAFe que</v>
      </c>
      <c r="Q566" t="str">
        <f t="shared" si="26"/>
        <v>2021</v>
      </c>
    </row>
    <row r="567" spans="1:17">
      <c r="A567" s="162">
        <v>44539</v>
      </c>
      <c r="B567" s="165" t="s">
        <v>1950</v>
      </c>
      <c r="C567" s="164" t="s">
        <v>287</v>
      </c>
      <c r="D567" s="164" t="s">
        <v>22</v>
      </c>
      <c r="E567" s="79">
        <v>44531</v>
      </c>
      <c r="F567" s="6" t="s">
        <v>16</v>
      </c>
      <c r="G567" s="97">
        <v>44539</v>
      </c>
      <c r="H567" s="170">
        <v>11000</v>
      </c>
      <c r="I567" s="172">
        <f t="shared" si="24"/>
        <v>125.97343105817684</v>
      </c>
      <c r="J567" s="162">
        <v>44539</v>
      </c>
      <c r="K567" s="6" t="s">
        <v>251</v>
      </c>
      <c r="L567" s="162">
        <v>44540</v>
      </c>
      <c r="M567" s="175" t="s">
        <v>5773</v>
      </c>
      <c r="O567" s="6" t="s">
        <v>356</v>
      </c>
      <c r="P567" s="6" t="str">
        <f t="shared" si="25"/>
        <v>Category</v>
      </c>
      <c r="Q567" t="str">
        <f t="shared" si="26"/>
        <v>2021</v>
      </c>
    </row>
    <row r="568" spans="1:17">
      <c r="A568" s="162">
        <v>44539</v>
      </c>
      <c r="B568" s="164" t="s">
        <v>1952</v>
      </c>
      <c r="C568" s="164" t="s">
        <v>287</v>
      </c>
      <c r="D568" s="164" t="s">
        <v>25</v>
      </c>
      <c r="E568" s="79">
        <v>44531</v>
      </c>
      <c r="F568" s="6" t="s">
        <v>16</v>
      </c>
      <c r="G568" s="6" t="s">
        <v>1881</v>
      </c>
      <c r="H568" s="170">
        <v>45000</v>
      </c>
      <c r="I568" s="172">
        <f t="shared" si="24"/>
        <v>515.34585432890515</v>
      </c>
      <c r="J568" s="162">
        <v>44539</v>
      </c>
      <c r="K568" s="6" t="s">
        <v>251</v>
      </c>
      <c r="L568" s="162">
        <v>44539</v>
      </c>
      <c r="M568" s="175" t="s">
        <v>5774</v>
      </c>
      <c r="O568" s="6" t="s">
        <v>280</v>
      </c>
      <c r="P568" s="6" t="str">
        <f t="shared" si="25"/>
        <v>SAFe que</v>
      </c>
      <c r="Q568" t="str">
        <f t="shared" si="26"/>
        <v>2021</v>
      </c>
    </row>
    <row r="569" spans="1:17" ht="14.4">
      <c r="A569" s="162">
        <v>44540</v>
      </c>
      <c r="B569" s="164" t="s">
        <v>1954</v>
      </c>
      <c r="C569" s="164" t="s">
        <v>1291</v>
      </c>
      <c r="D569" s="164" t="s">
        <v>25</v>
      </c>
      <c r="E569" s="79">
        <v>44531</v>
      </c>
      <c r="F569" s="6" t="s">
        <v>16</v>
      </c>
      <c r="G569" s="6" t="s">
        <v>1881</v>
      </c>
      <c r="H569" s="170">
        <v>42000</v>
      </c>
      <c r="I569" s="172">
        <f t="shared" si="24"/>
        <v>480.98946404031153</v>
      </c>
      <c r="J569" s="162">
        <v>44540</v>
      </c>
      <c r="K569" s="6" t="s">
        <v>251</v>
      </c>
      <c r="L569" s="162">
        <v>44540</v>
      </c>
      <c r="M569" s="175" t="s">
        <v>5775</v>
      </c>
      <c r="N569" s="44" t="s">
        <v>1723</v>
      </c>
      <c r="O569" s="6" t="s">
        <v>356</v>
      </c>
      <c r="P569" s="6" t="str">
        <f t="shared" si="25"/>
        <v>SAFe que</v>
      </c>
      <c r="Q569" t="str">
        <f t="shared" si="26"/>
        <v>2021</v>
      </c>
    </row>
    <row r="570" spans="1:17">
      <c r="A570" s="162">
        <v>44542</v>
      </c>
      <c r="B570" s="164" t="s">
        <v>1958</v>
      </c>
      <c r="C570" s="164" t="s">
        <v>287</v>
      </c>
      <c r="D570" s="164" t="s">
        <v>151</v>
      </c>
      <c r="E570" s="79">
        <v>44531</v>
      </c>
      <c r="F570" s="6" t="s">
        <v>16</v>
      </c>
      <c r="G570" s="6" t="s">
        <v>1944</v>
      </c>
      <c r="H570" s="170">
        <v>20500</v>
      </c>
      <c r="I570" s="172">
        <f t="shared" si="24"/>
        <v>234.76866697205682</v>
      </c>
      <c r="J570" s="162">
        <v>44542</v>
      </c>
      <c r="K570" s="6" t="s">
        <v>252</v>
      </c>
      <c r="L570" s="162">
        <v>44542</v>
      </c>
      <c r="M570" s="175" t="s">
        <v>5776</v>
      </c>
      <c r="O570" s="6" t="s">
        <v>280</v>
      </c>
      <c r="P570" s="6" t="str">
        <f t="shared" si="25"/>
        <v>SAFe que</v>
      </c>
      <c r="Q570" t="str">
        <f t="shared" si="26"/>
        <v>2021</v>
      </c>
    </row>
    <row r="571" spans="1:17" ht="14.4">
      <c r="A571" s="162">
        <v>44542</v>
      </c>
      <c r="B571" s="164" t="s">
        <v>1960</v>
      </c>
      <c r="C571" s="164" t="s">
        <v>278</v>
      </c>
      <c r="D571" s="164" t="s">
        <v>151</v>
      </c>
      <c r="E571" s="79">
        <v>44531</v>
      </c>
      <c r="F571" s="6" t="s">
        <v>16</v>
      </c>
      <c r="G571" s="6" t="s">
        <v>1944</v>
      </c>
      <c r="H571" s="170">
        <v>20500</v>
      </c>
      <c r="I571" s="172">
        <f t="shared" si="24"/>
        <v>234.76866697205682</v>
      </c>
      <c r="J571" s="162">
        <v>44542</v>
      </c>
      <c r="K571" s="6" t="s">
        <v>252</v>
      </c>
      <c r="L571" s="162">
        <v>44542</v>
      </c>
      <c r="M571" s="175" t="s">
        <v>5777</v>
      </c>
      <c r="N571" s="44" t="s">
        <v>1959</v>
      </c>
      <c r="O571" s="6" t="s">
        <v>280</v>
      </c>
      <c r="P571" s="6" t="str">
        <f t="shared" si="25"/>
        <v>SAFe que</v>
      </c>
      <c r="Q571" t="str">
        <f t="shared" si="26"/>
        <v>2021</v>
      </c>
    </row>
    <row r="572" spans="1:17" ht="14.4">
      <c r="A572" s="162">
        <v>44542</v>
      </c>
      <c r="B572" s="164" t="s">
        <v>1962</v>
      </c>
      <c r="C572" s="164" t="s">
        <v>278</v>
      </c>
      <c r="D572" s="164" t="s">
        <v>151</v>
      </c>
      <c r="E572" s="79">
        <v>44531</v>
      </c>
      <c r="F572" s="6" t="s">
        <v>16</v>
      </c>
      <c r="G572" s="6" t="s">
        <v>1944</v>
      </c>
      <c r="H572" s="170">
        <v>20500</v>
      </c>
      <c r="I572" s="172">
        <f t="shared" si="24"/>
        <v>234.76866697205682</v>
      </c>
      <c r="J572" s="162">
        <v>44542</v>
      </c>
      <c r="K572" s="6" t="s">
        <v>252</v>
      </c>
      <c r="L572" s="162">
        <v>44542</v>
      </c>
      <c r="M572" s="175" t="s">
        <v>5778</v>
      </c>
      <c r="N572" s="44" t="s">
        <v>1959</v>
      </c>
      <c r="O572" s="6" t="s">
        <v>280</v>
      </c>
      <c r="P572" s="6" t="str">
        <f t="shared" si="25"/>
        <v>SAFe que</v>
      </c>
      <c r="Q572" t="str">
        <f t="shared" si="26"/>
        <v>2021</v>
      </c>
    </row>
    <row r="573" spans="1:17" ht="14.4">
      <c r="A573" s="162">
        <v>44542</v>
      </c>
      <c r="B573" s="164" t="s">
        <v>1964</v>
      </c>
      <c r="C573" s="164" t="s">
        <v>278</v>
      </c>
      <c r="D573" s="164" t="s">
        <v>151</v>
      </c>
      <c r="E573" s="79">
        <v>44531</v>
      </c>
      <c r="F573" s="6" t="s">
        <v>16</v>
      </c>
      <c r="G573" s="6" t="s">
        <v>1944</v>
      </c>
      <c r="H573" s="170">
        <v>20500</v>
      </c>
      <c r="I573" s="172">
        <f t="shared" si="24"/>
        <v>234.76866697205682</v>
      </c>
      <c r="J573" s="162">
        <v>44542</v>
      </c>
      <c r="K573" s="6" t="s">
        <v>252</v>
      </c>
      <c r="L573" s="162">
        <v>44542</v>
      </c>
      <c r="M573" s="175" t="s">
        <v>5779</v>
      </c>
      <c r="N573" s="44" t="s">
        <v>1959</v>
      </c>
      <c r="O573" s="6" t="s">
        <v>280</v>
      </c>
      <c r="P573" s="6" t="str">
        <f t="shared" si="25"/>
        <v>SAFe que</v>
      </c>
      <c r="Q573" t="str">
        <f t="shared" si="26"/>
        <v>2021</v>
      </c>
    </row>
    <row r="574" spans="1:17" ht="14.4">
      <c r="A574" s="162">
        <v>44542</v>
      </c>
      <c r="B574" s="164" t="s">
        <v>1966</v>
      </c>
      <c r="C574" s="164" t="s">
        <v>278</v>
      </c>
      <c r="D574" s="164" t="s">
        <v>151</v>
      </c>
      <c r="E574" s="79">
        <v>44531</v>
      </c>
      <c r="F574" s="6" t="s">
        <v>16</v>
      </c>
      <c r="G574" s="6" t="s">
        <v>1944</v>
      </c>
      <c r="H574" s="170">
        <v>20500</v>
      </c>
      <c r="I574" s="172">
        <f t="shared" si="24"/>
        <v>234.76866697205682</v>
      </c>
      <c r="J574" s="162">
        <v>44542</v>
      </c>
      <c r="K574" s="6" t="s">
        <v>252</v>
      </c>
      <c r="L574" s="162">
        <v>44542</v>
      </c>
      <c r="M574" s="175" t="s">
        <v>5780</v>
      </c>
      <c r="N574" s="44" t="s">
        <v>1959</v>
      </c>
      <c r="O574" s="6" t="s">
        <v>280</v>
      </c>
      <c r="P574" s="6" t="str">
        <f t="shared" si="25"/>
        <v>SAFe que</v>
      </c>
      <c r="Q574" t="str">
        <f t="shared" si="26"/>
        <v>2021</v>
      </c>
    </row>
    <row r="575" spans="1:17" ht="14.4">
      <c r="A575" s="162">
        <v>44542</v>
      </c>
      <c r="B575" s="164" t="s">
        <v>1968</v>
      </c>
      <c r="C575" s="164" t="s">
        <v>278</v>
      </c>
      <c r="D575" s="164" t="s">
        <v>151</v>
      </c>
      <c r="E575" s="79">
        <v>44531</v>
      </c>
      <c r="F575" s="6" t="s">
        <v>16</v>
      </c>
      <c r="G575" s="6" t="s">
        <v>1944</v>
      </c>
      <c r="H575" s="170">
        <v>20500</v>
      </c>
      <c r="I575" s="172">
        <f t="shared" si="24"/>
        <v>234.76866697205682</v>
      </c>
      <c r="J575" s="162">
        <v>44542</v>
      </c>
      <c r="K575" s="6" t="s">
        <v>252</v>
      </c>
      <c r="L575" s="162">
        <v>44542</v>
      </c>
      <c r="M575" s="175" t="s">
        <v>5781</v>
      </c>
      <c r="N575" s="44" t="s">
        <v>1959</v>
      </c>
      <c r="O575" s="6" t="s">
        <v>356</v>
      </c>
      <c r="P575" s="6" t="str">
        <f t="shared" si="25"/>
        <v>SAFe que</v>
      </c>
      <c r="Q575" t="str">
        <f t="shared" si="26"/>
        <v>2021</v>
      </c>
    </row>
    <row r="576" spans="1:17">
      <c r="A576" s="162">
        <v>44543</v>
      </c>
      <c r="B576" s="164" t="s">
        <v>1970</v>
      </c>
      <c r="C576" s="164" t="s">
        <v>1842</v>
      </c>
      <c r="D576" s="164" t="s">
        <v>96</v>
      </c>
      <c r="E576" s="79">
        <v>44531</v>
      </c>
      <c r="F576" s="6" t="s">
        <v>16</v>
      </c>
      <c r="G576" s="6" t="s">
        <v>1972</v>
      </c>
      <c r="H576" s="170">
        <v>20000</v>
      </c>
      <c r="I576" s="172">
        <f t="shared" si="24"/>
        <v>229.04260192395787</v>
      </c>
      <c r="J576" s="162">
        <v>44543</v>
      </c>
      <c r="K576" s="6" t="s">
        <v>252</v>
      </c>
      <c r="L576" s="162">
        <v>44543</v>
      </c>
      <c r="M576" s="175" t="s">
        <v>5782</v>
      </c>
      <c r="O576" s="6" t="s">
        <v>280</v>
      </c>
      <c r="P576" s="6" t="str">
        <f t="shared" si="25"/>
        <v>Category</v>
      </c>
      <c r="Q576" t="str">
        <f t="shared" si="26"/>
        <v>2021</v>
      </c>
    </row>
    <row r="577" spans="1:17" ht="14.4">
      <c r="A577" s="162">
        <v>44544</v>
      </c>
      <c r="B577" s="164" t="s">
        <v>1973</v>
      </c>
      <c r="C577" s="164" t="s">
        <v>1291</v>
      </c>
      <c r="D577" s="164" t="s">
        <v>96</v>
      </c>
      <c r="E577" s="79">
        <v>44531</v>
      </c>
      <c r="F577" s="6" t="s">
        <v>16</v>
      </c>
      <c r="G577" s="6" t="s">
        <v>1944</v>
      </c>
      <c r="H577" s="170">
        <v>19000</v>
      </c>
      <c r="I577" s="172">
        <f t="shared" si="24"/>
        <v>217.59047182775998</v>
      </c>
      <c r="J577" s="162">
        <v>44544</v>
      </c>
      <c r="K577" s="6" t="s">
        <v>252</v>
      </c>
      <c r="L577" s="162">
        <v>44544</v>
      </c>
      <c r="M577" s="175" t="s">
        <v>5783</v>
      </c>
      <c r="N577" s="44" t="s">
        <v>1975</v>
      </c>
      <c r="O577" s="6" t="s">
        <v>280</v>
      </c>
      <c r="P577" s="6" t="str">
        <f t="shared" si="25"/>
        <v>Category</v>
      </c>
      <c r="Q577" t="str">
        <f t="shared" si="26"/>
        <v>2021</v>
      </c>
    </row>
    <row r="578" spans="1:17">
      <c r="A578" s="162">
        <v>44544</v>
      </c>
      <c r="B578" s="164" t="s">
        <v>1976</v>
      </c>
      <c r="C578" s="164" t="s">
        <v>319</v>
      </c>
      <c r="D578" s="164" t="s">
        <v>25</v>
      </c>
      <c r="E578" s="79">
        <v>44531</v>
      </c>
      <c r="F578" s="6" t="s">
        <v>16</v>
      </c>
      <c r="G578" s="6" t="s">
        <v>1847</v>
      </c>
      <c r="H578" s="170">
        <v>41000</v>
      </c>
      <c r="I578" s="172">
        <f t="shared" ref="I578:I641" si="27">IFERROR((($H578/1.18))/74,"")</f>
        <v>469.53733394411364</v>
      </c>
      <c r="J578" s="162">
        <v>44544</v>
      </c>
      <c r="K578" s="6" t="s">
        <v>252</v>
      </c>
      <c r="L578" s="162">
        <v>44544</v>
      </c>
      <c r="M578" s="175" t="s">
        <v>5784</v>
      </c>
      <c r="O578" s="6" t="s">
        <v>280</v>
      </c>
      <c r="P578" s="6" t="str">
        <f t="shared" ref="P578:P641" si="28">IFERROR(_xlfn.IFS($D578="CSM","Category",$D578="CSPO","Category", $D578="PSM","SAFe que",$D578="PSPO","SAFe que",$D578="SAFe Agile","SAFe que",$D578="SAFe SSM","SAFe que",$D578="SAFe POPM","SAFe que",$D578="SASM","SAFe que",$D578="PMI-ACP","Category",$D578="ICP-ACC","SAFe que",$D578="PSM 2","SAFe que",$D578="SAFe RTE","SAFe que",$D578="Implementing SAFe","SAFe que",$D578="SAFe for Government","SAFe que",$D578="PSPO 2","SAFe que",$D578="",""),"NonCategory")</f>
        <v>SAFe que</v>
      </c>
      <c r="Q578" t="str">
        <f t="shared" ref="Q578:Q641" si="29">TEXT(E578, "yyyy")</f>
        <v>2021</v>
      </c>
    </row>
    <row r="579" spans="1:17">
      <c r="A579" s="162">
        <v>44545</v>
      </c>
      <c r="B579" s="164" t="s">
        <v>1978</v>
      </c>
      <c r="C579" s="164" t="s">
        <v>287</v>
      </c>
      <c r="D579" s="164" t="s">
        <v>25</v>
      </c>
      <c r="E579" s="79">
        <v>44531</v>
      </c>
      <c r="F579" s="6" t="s">
        <v>16</v>
      </c>
      <c r="G579" s="6" t="s">
        <v>1847</v>
      </c>
      <c r="H579" s="170">
        <v>45000</v>
      </c>
      <c r="I579" s="172">
        <f t="shared" si="27"/>
        <v>515.34585432890515</v>
      </c>
      <c r="J579" s="162">
        <v>44545</v>
      </c>
      <c r="K579" s="6" t="s">
        <v>252</v>
      </c>
      <c r="L579" s="162">
        <v>44545</v>
      </c>
      <c r="M579" s="175" t="s">
        <v>5785</v>
      </c>
      <c r="O579" s="6" t="s">
        <v>280</v>
      </c>
      <c r="P579" s="6" t="str">
        <f t="shared" si="28"/>
        <v>SAFe que</v>
      </c>
      <c r="Q579" t="str">
        <f t="shared" si="29"/>
        <v>2021</v>
      </c>
    </row>
    <row r="580" spans="1:17">
      <c r="A580" s="162">
        <v>44546</v>
      </c>
      <c r="B580" s="164" t="s">
        <v>1980</v>
      </c>
      <c r="C580" s="164" t="s">
        <v>319</v>
      </c>
      <c r="D580" s="164" t="s">
        <v>25</v>
      </c>
      <c r="E580" s="79">
        <v>44531</v>
      </c>
      <c r="F580" s="6" t="s">
        <v>16</v>
      </c>
      <c r="G580" s="6" t="s">
        <v>1944</v>
      </c>
      <c r="H580" s="170">
        <v>42000</v>
      </c>
      <c r="I580" s="172">
        <f t="shared" si="27"/>
        <v>480.98946404031153</v>
      </c>
      <c r="J580" s="162">
        <v>44546</v>
      </c>
      <c r="K580" s="6" t="s">
        <v>252</v>
      </c>
      <c r="L580" s="162">
        <v>44546</v>
      </c>
      <c r="M580" s="175" t="s">
        <v>5786</v>
      </c>
      <c r="O580" s="6" t="s">
        <v>356</v>
      </c>
      <c r="P580" s="6" t="str">
        <f t="shared" si="28"/>
        <v>SAFe que</v>
      </c>
      <c r="Q580" t="str">
        <f t="shared" si="29"/>
        <v>2021</v>
      </c>
    </row>
    <row r="581" spans="1:17">
      <c r="A581" s="162">
        <v>44547</v>
      </c>
      <c r="B581" s="164" t="s">
        <v>1375</v>
      </c>
      <c r="C581" s="164" t="s">
        <v>278</v>
      </c>
      <c r="D581" s="164" t="s">
        <v>97</v>
      </c>
      <c r="E581" s="79">
        <v>44531</v>
      </c>
      <c r="F581" s="6" t="s">
        <v>16</v>
      </c>
      <c r="G581" s="6" t="s">
        <v>1985</v>
      </c>
      <c r="H581" s="170">
        <v>20000</v>
      </c>
      <c r="I581" s="172">
        <f t="shared" si="27"/>
        <v>229.04260192395787</v>
      </c>
      <c r="J581" s="162">
        <v>44547</v>
      </c>
      <c r="K581" s="6" t="s">
        <v>252</v>
      </c>
      <c r="L581" s="162">
        <v>44547</v>
      </c>
      <c r="M581" s="175" t="s">
        <v>5787</v>
      </c>
      <c r="N581" s="6" t="s">
        <v>1939</v>
      </c>
      <c r="O581" s="6" t="s">
        <v>280</v>
      </c>
      <c r="P581" s="6" t="str">
        <f t="shared" si="28"/>
        <v>Category</v>
      </c>
      <c r="Q581" t="str">
        <f t="shared" si="29"/>
        <v>2021</v>
      </c>
    </row>
    <row r="582" spans="1:17">
      <c r="A582" s="162">
        <v>44548</v>
      </c>
      <c r="B582" s="164" t="s">
        <v>1986</v>
      </c>
      <c r="C582" s="164" t="s">
        <v>278</v>
      </c>
      <c r="D582" s="164" t="s">
        <v>150</v>
      </c>
      <c r="E582" s="79">
        <v>44531</v>
      </c>
      <c r="F582" s="6" t="s">
        <v>16</v>
      </c>
      <c r="G582" s="6" t="s">
        <v>1972</v>
      </c>
      <c r="H582" s="170">
        <v>21000</v>
      </c>
      <c r="I582" s="172">
        <f t="shared" si="27"/>
        <v>240.49473202015577</v>
      </c>
      <c r="J582" s="162">
        <v>44548</v>
      </c>
      <c r="K582" s="6" t="s">
        <v>252</v>
      </c>
      <c r="L582" s="162">
        <v>44548</v>
      </c>
      <c r="M582" s="175" t="s">
        <v>5788</v>
      </c>
      <c r="N582" s="6" t="s">
        <v>1988</v>
      </c>
      <c r="O582" s="6" t="s">
        <v>356</v>
      </c>
      <c r="P582" s="6" t="str">
        <f t="shared" si="28"/>
        <v>SAFe que</v>
      </c>
      <c r="Q582" t="str">
        <f t="shared" si="29"/>
        <v>2021</v>
      </c>
    </row>
    <row r="583" spans="1:17">
      <c r="A583" s="162">
        <v>44547</v>
      </c>
      <c r="B583" s="164" t="s">
        <v>1989</v>
      </c>
      <c r="C583" s="164" t="s">
        <v>278</v>
      </c>
      <c r="D583" s="164" t="s">
        <v>1991</v>
      </c>
      <c r="E583" s="79">
        <v>44531</v>
      </c>
      <c r="F583" s="6" t="s">
        <v>16</v>
      </c>
      <c r="G583" s="97">
        <v>44547</v>
      </c>
      <c r="H583" s="170">
        <v>5000</v>
      </c>
      <c r="I583" s="172">
        <f t="shared" si="27"/>
        <v>57.260650480989469</v>
      </c>
      <c r="J583" s="162">
        <v>44547</v>
      </c>
      <c r="K583" s="6" t="s">
        <v>252</v>
      </c>
      <c r="L583" s="162">
        <v>44546</v>
      </c>
      <c r="M583" s="175" t="s">
        <v>5789</v>
      </c>
      <c r="N583" s="6" t="s">
        <v>1992</v>
      </c>
      <c r="O583" s="6" t="s">
        <v>356</v>
      </c>
      <c r="P583" s="6" t="str">
        <f t="shared" si="28"/>
        <v>NonCategory</v>
      </c>
      <c r="Q583" t="str">
        <f t="shared" si="29"/>
        <v>2021</v>
      </c>
    </row>
    <row r="584" spans="1:17">
      <c r="A584" s="162">
        <v>44547</v>
      </c>
      <c r="B584" s="164" t="s">
        <v>1989</v>
      </c>
      <c r="C584" s="164" t="s">
        <v>278</v>
      </c>
      <c r="D584" s="164" t="s">
        <v>1991</v>
      </c>
      <c r="E584" s="79">
        <v>44531</v>
      </c>
      <c r="F584" s="6" t="s">
        <v>16</v>
      </c>
      <c r="G584" s="97">
        <v>44547</v>
      </c>
      <c r="H584" s="170">
        <v>30000</v>
      </c>
      <c r="I584" s="172">
        <f t="shared" si="27"/>
        <v>343.56390288593678</v>
      </c>
      <c r="J584" s="162">
        <v>44547</v>
      </c>
      <c r="K584" s="6" t="s">
        <v>252</v>
      </c>
      <c r="L584" s="162">
        <v>44547</v>
      </c>
      <c r="M584" s="175" t="s">
        <v>5790</v>
      </c>
      <c r="N584" s="6" t="s">
        <v>1992</v>
      </c>
      <c r="O584" s="6" t="s">
        <v>356</v>
      </c>
      <c r="P584" s="6" t="str">
        <f t="shared" si="28"/>
        <v>NonCategory</v>
      </c>
      <c r="Q584" t="str">
        <f t="shared" si="29"/>
        <v>2021</v>
      </c>
    </row>
    <row r="585" spans="1:17">
      <c r="A585" s="162">
        <v>44548</v>
      </c>
      <c r="B585" s="164" t="s">
        <v>1993</v>
      </c>
      <c r="C585" s="164" t="s">
        <v>287</v>
      </c>
      <c r="D585" s="164" t="s">
        <v>25</v>
      </c>
      <c r="E585" s="79">
        <v>44531</v>
      </c>
      <c r="F585" s="6" t="s">
        <v>16</v>
      </c>
      <c r="G585" s="6" t="s">
        <v>1944</v>
      </c>
      <c r="H585" s="170">
        <v>42000</v>
      </c>
      <c r="I585" s="172">
        <f t="shared" si="27"/>
        <v>480.98946404031153</v>
      </c>
      <c r="J585" s="162">
        <v>44548</v>
      </c>
      <c r="K585" s="6" t="s">
        <v>252</v>
      </c>
      <c r="L585" s="162">
        <v>44548</v>
      </c>
      <c r="M585" s="175" t="s">
        <v>5791</v>
      </c>
      <c r="O585" s="6" t="s">
        <v>280</v>
      </c>
      <c r="P585" s="6" t="str">
        <f t="shared" si="28"/>
        <v>SAFe que</v>
      </c>
      <c r="Q585" t="str">
        <f t="shared" si="29"/>
        <v>2021</v>
      </c>
    </row>
    <row r="586" spans="1:17">
      <c r="A586" s="162">
        <v>44549</v>
      </c>
      <c r="B586" s="164" t="s">
        <v>1995</v>
      </c>
      <c r="C586" s="164" t="s">
        <v>287</v>
      </c>
      <c r="D586" s="164" t="s">
        <v>150</v>
      </c>
      <c r="E586" s="79">
        <v>44531</v>
      </c>
      <c r="F586" s="6" t="s">
        <v>16</v>
      </c>
      <c r="G586" s="6" t="s">
        <v>1944</v>
      </c>
      <c r="H586" s="170">
        <v>21000</v>
      </c>
      <c r="I586" s="172">
        <f t="shared" si="27"/>
        <v>240.49473202015577</v>
      </c>
      <c r="J586" s="162">
        <v>44549</v>
      </c>
      <c r="K586" s="6" t="s">
        <v>252</v>
      </c>
      <c r="L586" s="162">
        <v>44549</v>
      </c>
      <c r="M586" s="175" t="s">
        <v>5792</v>
      </c>
      <c r="O586" s="6" t="s">
        <v>280</v>
      </c>
      <c r="P586" s="6" t="str">
        <f t="shared" si="28"/>
        <v>SAFe que</v>
      </c>
      <c r="Q586" t="str">
        <f t="shared" si="29"/>
        <v>2021</v>
      </c>
    </row>
    <row r="587" spans="1:17">
      <c r="A587" s="162">
        <v>44549</v>
      </c>
      <c r="B587" s="164" t="s">
        <v>1997</v>
      </c>
      <c r="C587" s="164" t="s">
        <v>319</v>
      </c>
      <c r="D587" s="164" t="s">
        <v>151</v>
      </c>
      <c r="E587" s="79">
        <v>44531</v>
      </c>
      <c r="F587" s="6" t="s">
        <v>16</v>
      </c>
      <c r="G587" s="6" t="s">
        <v>1944</v>
      </c>
      <c r="H587" s="170">
        <v>21000</v>
      </c>
      <c r="I587" s="172">
        <f t="shared" si="27"/>
        <v>240.49473202015577</v>
      </c>
      <c r="J587" s="162">
        <v>44549</v>
      </c>
      <c r="K587" s="6" t="s">
        <v>252</v>
      </c>
      <c r="L587" s="162">
        <v>44550</v>
      </c>
      <c r="M587" s="175" t="s">
        <v>5793</v>
      </c>
      <c r="O587" s="6" t="s">
        <v>356</v>
      </c>
      <c r="P587" s="6" t="str">
        <f t="shared" si="28"/>
        <v>SAFe que</v>
      </c>
      <c r="Q587" t="str">
        <f t="shared" si="29"/>
        <v>2021</v>
      </c>
    </row>
    <row r="588" spans="1:17" ht="14.4">
      <c r="A588" s="162">
        <v>44550</v>
      </c>
      <c r="B588" s="164" t="s">
        <v>1375</v>
      </c>
      <c r="C588" s="164" t="s">
        <v>278</v>
      </c>
      <c r="D588" s="164" t="s">
        <v>25</v>
      </c>
      <c r="E588" s="79">
        <v>44531</v>
      </c>
      <c r="F588" s="6" t="s">
        <v>16</v>
      </c>
      <c r="G588" s="6" t="s">
        <v>1944</v>
      </c>
      <c r="H588" s="170">
        <v>40000</v>
      </c>
      <c r="I588" s="172">
        <f t="shared" si="27"/>
        <v>458.08520384791575</v>
      </c>
      <c r="J588" s="162">
        <v>44550</v>
      </c>
      <c r="K588" s="6" t="s">
        <v>253</v>
      </c>
      <c r="L588" s="162">
        <v>44551</v>
      </c>
      <c r="M588" s="175" t="s">
        <v>5794</v>
      </c>
      <c r="N588" s="44" t="s">
        <v>2000</v>
      </c>
      <c r="O588" s="6" t="s">
        <v>280</v>
      </c>
      <c r="P588" s="6" t="str">
        <f t="shared" si="28"/>
        <v>SAFe que</v>
      </c>
      <c r="Q588" t="str">
        <f t="shared" si="29"/>
        <v>2021</v>
      </c>
    </row>
    <row r="589" spans="1:17">
      <c r="A589" s="162">
        <v>44550</v>
      </c>
      <c r="B589" s="164" t="s">
        <v>2001</v>
      </c>
      <c r="C589" s="164" t="s">
        <v>287</v>
      </c>
      <c r="D589" s="164" t="s">
        <v>151</v>
      </c>
      <c r="E589" s="79">
        <v>44531</v>
      </c>
      <c r="F589" s="6" t="s">
        <v>16</v>
      </c>
      <c r="G589" s="6" t="s">
        <v>1944</v>
      </c>
      <c r="H589" s="170">
        <v>21000</v>
      </c>
      <c r="I589" s="172">
        <f t="shared" si="27"/>
        <v>240.49473202015577</v>
      </c>
      <c r="J589" s="162">
        <v>44550</v>
      </c>
      <c r="K589" s="6" t="s">
        <v>253</v>
      </c>
      <c r="L589" s="162">
        <v>44551</v>
      </c>
      <c r="M589" s="175" t="s">
        <v>5795</v>
      </c>
      <c r="O589" s="6" t="s">
        <v>280</v>
      </c>
      <c r="P589" s="6" t="str">
        <f t="shared" si="28"/>
        <v>SAFe que</v>
      </c>
      <c r="Q589" t="str">
        <f t="shared" si="29"/>
        <v>2021</v>
      </c>
    </row>
    <row r="590" spans="1:17">
      <c r="A590" s="162">
        <v>44551</v>
      </c>
      <c r="B590" s="164" t="s">
        <v>2003</v>
      </c>
      <c r="C590" s="164" t="s">
        <v>291</v>
      </c>
      <c r="D590" s="164" t="s">
        <v>150</v>
      </c>
      <c r="E590" s="79">
        <v>44531</v>
      </c>
      <c r="F590" s="6" t="s">
        <v>16</v>
      </c>
      <c r="G590" s="6" t="s">
        <v>1944</v>
      </c>
      <c r="H590" s="170">
        <v>21000</v>
      </c>
      <c r="I590" s="172">
        <f t="shared" si="27"/>
        <v>240.49473202015577</v>
      </c>
      <c r="J590" s="162">
        <v>44551</v>
      </c>
      <c r="K590" s="6" t="s">
        <v>253</v>
      </c>
      <c r="L590" s="162">
        <v>44551</v>
      </c>
      <c r="M590" s="175" t="s">
        <v>5796</v>
      </c>
      <c r="O590" s="6" t="s">
        <v>280</v>
      </c>
      <c r="P590" s="6" t="str">
        <f t="shared" si="28"/>
        <v>SAFe que</v>
      </c>
      <c r="Q590" t="str">
        <f t="shared" si="29"/>
        <v>2021</v>
      </c>
    </row>
    <row r="591" spans="1:17">
      <c r="A591" s="162">
        <v>44551</v>
      </c>
      <c r="B591" s="164" t="s">
        <v>2005</v>
      </c>
      <c r="C591" s="164" t="s">
        <v>287</v>
      </c>
      <c r="D591" s="164" t="s">
        <v>151</v>
      </c>
      <c r="E591" s="79">
        <v>44531</v>
      </c>
      <c r="F591" s="6" t="s">
        <v>16</v>
      </c>
      <c r="G591" s="6" t="s">
        <v>1944</v>
      </c>
      <c r="H591" s="170">
        <v>21000</v>
      </c>
      <c r="I591" s="172">
        <f t="shared" si="27"/>
        <v>240.49473202015577</v>
      </c>
      <c r="J591" s="162">
        <v>44551</v>
      </c>
      <c r="K591" s="6" t="s">
        <v>253</v>
      </c>
      <c r="L591" s="162">
        <v>44551</v>
      </c>
      <c r="M591" s="175" t="s">
        <v>5797</v>
      </c>
      <c r="O591" s="6" t="s">
        <v>280</v>
      </c>
      <c r="P591" s="6" t="str">
        <f t="shared" si="28"/>
        <v>SAFe que</v>
      </c>
      <c r="Q591" t="str">
        <f t="shared" si="29"/>
        <v>2021</v>
      </c>
    </row>
    <row r="592" spans="1:17">
      <c r="A592" s="162">
        <v>44551</v>
      </c>
      <c r="B592" s="164" t="s">
        <v>2007</v>
      </c>
      <c r="C592" s="164" t="s">
        <v>278</v>
      </c>
      <c r="D592" s="164" t="s">
        <v>96</v>
      </c>
      <c r="E592" s="79">
        <v>44531</v>
      </c>
      <c r="F592" s="6" t="s">
        <v>16</v>
      </c>
      <c r="G592" s="6" t="s">
        <v>2009</v>
      </c>
      <c r="H592" s="170">
        <v>20000</v>
      </c>
      <c r="I592" s="172">
        <f t="shared" si="27"/>
        <v>229.04260192395787</v>
      </c>
      <c r="J592" s="162">
        <v>44551</v>
      </c>
      <c r="K592" s="6" t="s">
        <v>253</v>
      </c>
      <c r="L592" s="162">
        <v>44551</v>
      </c>
      <c r="M592" s="175" t="s">
        <v>5798</v>
      </c>
      <c r="N592" s="6" t="s">
        <v>1939</v>
      </c>
      <c r="O592" s="6" t="s">
        <v>356</v>
      </c>
      <c r="P592" s="6" t="str">
        <f t="shared" si="28"/>
        <v>Category</v>
      </c>
      <c r="Q592" t="str">
        <f t="shared" si="29"/>
        <v>2021</v>
      </c>
    </row>
    <row r="593" spans="1:17">
      <c r="A593" s="162">
        <v>44551</v>
      </c>
      <c r="B593" s="164" t="s">
        <v>2010</v>
      </c>
      <c r="C593" s="164" t="s">
        <v>287</v>
      </c>
      <c r="D593" s="164" t="s">
        <v>150</v>
      </c>
      <c r="E593" s="79">
        <v>44531</v>
      </c>
      <c r="F593" s="6" t="s">
        <v>16</v>
      </c>
      <c r="G593" s="6" t="s">
        <v>2012</v>
      </c>
      <c r="H593" s="170">
        <v>21000</v>
      </c>
      <c r="I593" s="172">
        <f t="shared" si="27"/>
        <v>240.49473202015577</v>
      </c>
      <c r="J593" s="162">
        <v>44551</v>
      </c>
      <c r="K593" s="6" t="s">
        <v>253</v>
      </c>
      <c r="L593" s="162">
        <v>44551</v>
      </c>
      <c r="M593" s="175" t="s">
        <v>5799</v>
      </c>
      <c r="O593" s="6" t="s">
        <v>356</v>
      </c>
      <c r="P593" s="6" t="str">
        <f t="shared" si="28"/>
        <v>SAFe que</v>
      </c>
      <c r="Q593" t="str">
        <f t="shared" si="29"/>
        <v>2021</v>
      </c>
    </row>
    <row r="594" spans="1:17" ht="14.4">
      <c r="A594" s="162">
        <v>44552</v>
      </c>
      <c r="B594" s="164" t="s">
        <v>2013</v>
      </c>
      <c r="C594" s="164" t="s">
        <v>278</v>
      </c>
      <c r="D594" s="164" t="s">
        <v>25</v>
      </c>
      <c r="E594" s="79">
        <v>44531</v>
      </c>
      <c r="F594" s="6" t="s">
        <v>16</v>
      </c>
      <c r="G594" s="6" t="s">
        <v>1944</v>
      </c>
      <c r="H594" s="170">
        <v>41000</v>
      </c>
      <c r="I594" s="172">
        <f t="shared" si="27"/>
        <v>469.53733394411364</v>
      </c>
      <c r="J594" s="162">
        <v>44552</v>
      </c>
      <c r="K594" s="6" t="s">
        <v>253</v>
      </c>
      <c r="L594" s="162">
        <v>44552</v>
      </c>
      <c r="M594" s="175" t="s">
        <v>5800</v>
      </c>
      <c r="N594" s="44" t="s">
        <v>1687</v>
      </c>
      <c r="O594" s="6" t="s">
        <v>280</v>
      </c>
      <c r="P594" s="6" t="str">
        <f t="shared" si="28"/>
        <v>SAFe que</v>
      </c>
      <c r="Q594" t="str">
        <f t="shared" si="29"/>
        <v>2021</v>
      </c>
    </row>
    <row r="595" spans="1:17">
      <c r="A595" s="162">
        <v>44552</v>
      </c>
      <c r="B595" s="164" t="s">
        <v>1108</v>
      </c>
      <c r="C595" s="164" t="s">
        <v>274</v>
      </c>
      <c r="D595" s="164" t="s">
        <v>97</v>
      </c>
      <c r="E595" s="79">
        <v>44531</v>
      </c>
      <c r="F595" s="6" t="s">
        <v>16</v>
      </c>
      <c r="G595" s="6" t="s">
        <v>2015</v>
      </c>
      <c r="H595" s="170">
        <v>20000</v>
      </c>
      <c r="I595" s="172">
        <f t="shared" si="27"/>
        <v>229.04260192395787</v>
      </c>
      <c r="J595" s="162">
        <v>44552</v>
      </c>
      <c r="K595" s="6" t="s">
        <v>253</v>
      </c>
      <c r="L595" s="162">
        <v>44552</v>
      </c>
      <c r="M595" s="175" t="s">
        <v>5801</v>
      </c>
      <c r="O595" s="6" t="s">
        <v>356</v>
      </c>
      <c r="P595" s="6" t="str">
        <f t="shared" si="28"/>
        <v>Category</v>
      </c>
      <c r="Q595" t="str">
        <f t="shared" si="29"/>
        <v>2021</v>
      </c>
    </row>
    <row r="596" spans="1:17">
      <c r="A596" s="162">
        <v>44552</v>
      </c>
      <c r="B596" s="164" t="s">
        <v>1615</v>
      </c>
      <c r="C596" s="164" t="s">
        <v>303</v>
      </c>
      <c r="D596" s="164" t="s">
        <v>151</v>
      </c>
      <c r="E596" s="79">
        <v>44531</v>
      </c>
      <c r="F596" s="6" t="s">
        <v>16</v>
      </c>
      <c r="G596" s="6" t="s">
        <v>1944</v>
      </c>
      <c r="H596" s="170">
        <v>21000</v>
      </c>
      <c r="I596" s="172">
        <f t="shared" si="27"/>
        <v>240.49473202015577</v>
      </c>
      <c r="J596" s="162">
        <v>44552</v>
      </c>
      <c r="K596" s="6" t="s">
        <v>253</v>
      </c>
      <c r="L596" s="162">
        <v>44552</v>
      </c>
      <c r="M596" s="175" t="s">
        <v>5802</v>
      </c>
      <c r="O596" s="6" t="s">
        <v>280</v>
      </c>
      <c r="P596" s="6" t="str">
        <f t="shared" si="28"/>
        <v>SAFe que</v>
      </c>
      <c r="Q596" t="str">
        <f t="shared" si="29"/>
        <v>2021</v>
      </c>
    </row>
    <row r="597" spans="1:17" ht="14.4">
      <c r="A597" s="162">
        <v>44553</v>
      </c>
      <c r="B597" s="164" t="s">
        <v>2017</v>
      </c>
      <c r="C597" s="164" t="s">
        <v>278</v>
      </c>
      <c r="D597" s="164" t="s">
        <v>25</v>
      </c>
      <c r="E597" s="79">
        <v>44531</v>
      </c>
      <c r="F597" s="6" t="s">
        <v>16</v>
      </c>
      <c r="G597" s="6" t="s">
        <v>1944</v>
      </c>
      <c r="H597" s="170">
        <v>45000</v>
      </c>
      <c r="I597" s="172">
        <f t="shared" si="27"/>
        <v>515.34585432890515</v>
      </c>
      <c r="J597" s="162">
        <v>44553</v>
      </c>
      <c r="K597" s="6" t="s">
        <v>253</v>
      </c>
      <c r="L597" s="162">
        <v>44553</v>
      </c>
      <c r="M597" s="175" t="s">
        <v>5803</v>
      </c>
      <c r="N597" s="44" t="s">
        <v>1953</v>
      </c>
      <c r="O597" s="6" t="s">
        <v>280</v>
      </c>
      <c r="P597" s="6" t="str">
        <f t="shared" si="28"/>
        <v>SAFe que</v>
      </c>
      <c r="Q597" t="str">
        <f t="shared" si="29"/>
        <v>2021</v>
      </c>
    </row>
    <row r="598" spans="1:17">
      <c r="A598" s="162">
        <v>44553</v>
      </c>
      <c r="B598" s="164" t="s">
        <v>2019</v>
      </c>
      <c r="C598" s="164" t="s">
        <v>278</v>
      </c>
      <c r="D598" s="164" t="s">
        <v>96</v>
      </c>
      <c r="E598" s="79">
        <v>44531</v>
      </c>
      <c r="F598" s="6" t="s">
        <v>16</v>
      </c>
      <c r="G598" s="6" t="s">
        <v>2009</v>
      </c>
      <c r="H598" s="170">
        <v>20000</v>
      </c>
      <c r="I598" s="172">
        <f t="shared" si="27"/>
        <v>229.04260192395787</v>
      </c>
      <c r="J598" s="162">
        <v>44553</v>
      </c>
      <c r="K598" s="6" t="s">
        <v>253</v>
      </c>
      <c r="L598" s="162">
        <v>44553</v>
      </c>
      <c r="M598" s="175" t="s">
        <v>5804</v>
      </c>
      <c r="N598" s="6" t="s">
        <v>2021</v>
      </c>
      <c r="O598" s="6" t="s">
        <v>356</v>
      </c>
      <c r="P598" s="6" t="str">
        <f t="shared" si="28"/>
        <v>Category</v>
      </c>
      <c r="Q598" t="str">
        <f t="shared" si="29"/>
        <v>2021</v>
      </c>
    </row>
    <row r="599" spans="1:17">
      <c r="A599" s="162">
        <v>44554</v>
      </c>
      <c r="B599" s="164" t="s">
        <v>2022</v>
      </c>
      <c r="C599" s="164" t="s">
        <v>306</v>
      </c>
      <c r="D599" s="164" t="s">
        <v>150</v>
      </c>
      <c r="E599" s="79">
        <v>44531</v>
      </c>
      <c r="F599" s="6" t="s">
        <v>16</v>
      </c>
      <c r="G599" s="6" t="s">
        <v>1944</v>
      </c>
      <c r="H599" s="170">
        <v>20500</v>
      </c>
      <c r="I599" s="172">
        <f t="shared" si="27"/>
        <v>234.76866697205682</v>
      </c>
      <c r="J599" s="162">
        <v>44554</v>
      </c>
      <c r="K599" s="6" t="s">
        <v>253</v>
      </c>
      <c r="L599" s="162">
        <v>44554</v>
      </c>
      <c r="M599" s="175" t="s">
        <v>5805</v>
      </c>
      <c r="O599" s="6" t="s">
        <v>280</v>
      </c>
      <c r="P599" s="6" t="str">
        <f t="shared" si="28"/>
        <v>SAFe que</v>
      </c>
      <c r="Q599" t="str">
        <f t="shared" si="29"/>
        <v>2021</v>
      </c>
    </row>
    <row r="600" spans="1:17">
      <c r="A600" s="162">
        <v>44554</v>
      </c>
      <c r="B600" s="164" t="s">
        <v>2024</v>
      </c>
      <c r="C600" s="164" t="s">
        <v>278</v>
      </c>
      <c r="D600" s="164" t="s">
        <v>96</v>
      </c>
      <c r="E600" s="79">
        <v>44531</v>
      </c>
      <c r="F600" s="6" t="s">
        <v>16</v>
      </c>
      <c r="G600" s="6" t="s">
        <v>2009</v>
      </c>
      <c r="H600" s="170">
        <v>20000</v>
      </c>
      <c r="I600" s="172">
        <f t="shared" si="27"/>
        <v>229.04260192395787</v>
      </c>
      <c r="J600" s="162">
        <v>44554</v>
      </c>
      <c r="K600" s="6" t="s">
        <v>253</v>
      </c>
      <c r="L600" s="162">
        <v>44554</v>
      </c>
      <c r="M600" s="175" t="s">
        <v>5806</v>
      </c>
      <c r="N600" s="6" t="s">
        <v>2026</v>
      </c>
      <c r="O600" s="6" t="s">
        <v>356</v>
      </c>
      <c r="P600" s="6" t="str">
        <f t="shared" si="28"/>
        <v>Category</v>
      </c>
      <c r="Q600" t="str">
        <f t="shared" si="29"/>
        <v>2021</v>
      </c>
    </row>
    <row r="601" spans="1:17">
      <c r="A601" s="162">
        <v>44556</v>
      </c>
      <c r="B601" s="164" t="s">
        <v>2027</v>
      </c>
      <c r="C601" s="164" t="s">
        <v>495</v>
      </c>
      <c r="D601" s="164" t="s">
        <v>7</v>
      </c>
      <c r="E601" s="79">
        <v>44531</v>
      </c>
      <c r="F601" s="6" t="s">
        <v>16</v>
      </c>
      <c r="G601" s="6" t="s">
        <v>1972</v>
      </c>
      <c r="H601" s="170">
        <v>41000</v>
      </c>
      <c r="I601" s="172">
        <f t="shared" si="27"/>
        <v>469.53733394411364</v>
      </c>
      <c r="J601" s="162">
        <v>44556</v>
      </c>
      <c r="K601" s="6" t="s">
        <v>253</v>
      </c>
      <c r="L601" s="162">
        <v>44556</v>
      </c>
      <c r="M601" s="175" t="s">
        <v>5807</v>
      </c>
      <c r="O601" s="6" t="s">
        <v>356</v>
      </c>
      <c r="P601" s="6" t="str">
        <f t="shared" si="28"/>
        <v>SAFe que</v>
      </c>
      <c r="Q601" t="str">
        <f t="shared" si="29"/>
        <v>2021</v>
      </c>
    </row>
    <row r="602" spans="1:17">
      <c r="A602" s="162">
        <v>44558</v>
      </c>
      <c r="B602" s="164" t="s">
        <v>2031</v>
      </c>
      <c r="C602" s="164" t="s">
        <v>1842</v>
      </c>
      <c r="D602" s="164" t="s">
        <v>96</v>
      </c>
      <c r="E602" s="79">
        <v>44531</v>
      </c>
      <c r="F602" s="6" t="s">
        <v>16</v>
      </c>
      <c r="G602" s="6" t="s">
        <v>1972</v>
      </c>
      <c r="H602" s="170">
        <v>20000</v>
      </c>
      <c r="I602" s="172">
        <f t="shared" si="27"/>
        <v>229.04260192395787</v>
      </c>
      <c r="J602" s="162">
        <v>44558</v>
      </c>
      <c r="K602" s="6" t="s">
        <v>253</v>
      </c>
      <c r="L602" s="162">
        <v>44558</v>
      </c>
      <c r="M602" s="175" t="s">
        <v>5808</v>
      </c>
      <c r="O602" s="6" t="s">
        <v>356</v>
      </c>
      <c r="P602" s="6" t="str">
        <f t="shared" si="28"/>
        <v>Category</v>
      </c>
      <c r="Q602" t="str">
        <f t="shared" si="29"/>
        <v>2021</v>
      </c>
    </row>
    <row r="603" spans="1:17" ht="14.4">
      <c r="A603" s="162">
        <v>44558</v>
      </c>
      <c r="B603" s="164" t="s">
        <v>2033</v>
      </c>
      <c r="C603" s="164" t="s">
        <v>278</v>
      </c>
      <c r="D603" s="164" t="s">
        <v>96</v>
      </c>
      <c r="E603" s="79">
        <v>44531</v>
      </c>
      <c r="F603" s="6" t="s">
        <v>16</v>
      </c>
      <c r="G603" s="6" t="s">
        <v>1985</v>
      </c>
      <c r="H603" s="170">
        <v>20000</v>
      </c>
      <c r="I603" s="172">
        <f t="shared" si="27"/>
        <v>229.04260192395787</v>
      </c>
      <c r="J603" s="162">
        <v>44558</v>
      </c>
      <c r="K603" s="6" t="s">
        <v>253</v>
      </c>
      <c r="L603" s="162">
        <v>44558</v>
      </c>
      <c r="M603" s="175" t="s">
        <v>5809</v>
      </c>
      <c r="N603" s="17" t="s">
        <v>1921</v>
      </c>
      <c r="O603" s="6" t="s">
        <v>356</v>
      </c>
      <c r="P603" s="6" t="str">
        <f t="shared" si="28"/>
        <v>Category</v>
      </c>
      <c r="Q603" t="str">
        <f t="shared" si="29"/>
        <v>2021</v>
      </c>
    </row>
    <row r="604" spans="1:17">
      <c r="A604" s="162">
        <v>44558</v>
      </c>
      <c r="B604" s="164" t="s">
        <v>2035</v>
      </c>
      <c r="C604" s="164" t="s">
        <v>303</v>
      </c>
      <c r="D604" s="164" t="s">
        <v>25</v>
      </c>
      <c r="E604" s="79">
        <v>44531</v>
      </c>
      <c r="F604" s="6" t="s">
        <v>16</v>
      </c>
      <c r="G604" s="6" t="s">
        <v>2012</v>
      </c>
      <c r="H604" s="170">
        <v>40000</v>
      </c>
      <c r="I604" s="172">
        <f t="shared" si="27"/>
        <v>458.08520384791575</v>
      </c>
      <c r="J604" s="162">
        <v>44558</v>
      </c>
      <c r="K604" s="6" t="s">
        <v>253</v>
      </c>
      <c r="L604" s="162">
        <v>44558</v>
      </c>
      <c r="M604" s="175" t="s">
        <v>5810</v>
      </c>
      <c r="O604" s="6" t="s">
        <v>356</v>
      </c>
      <c r="P604" s="6" t="str">
        <f t="shared" si="28"/>
        <v>SAFe que</v>
      </c>
      <c r="Q604" t="str">
        <f t="shared" si="29"/>
        <v>2021</v>
      </c>
    </row>
    <row r="605" spans="1:17">
      <c r="A605" s="162">
        <v>44559</v>
      </c>
      <c r="B605" s="164" t="s">
        <v>729</v>
      </c>
      <c r="C605" s="164" t="s">
        <v>274</v>
      </c>
      <c r="D605" s="164" t="s">
        <v>1698</v>
      </c>
      <c r="E605" s="79">
        <v>44531</v>
      </c>
      <c r="F605" s="6" t="s">
        <v>16</v>
      </c>
      <c r="G605" s="97">
        <v>44559</v>
      </c>
      <c r="H605" s="170">
        <v>38000</v>
      </c>
      <c r="I605" s="172">
        <f t="shared" si="27"/>
        <v>435.18094365551997</v>
      </c>
      <c r="J605" s="162">
        <v>44559</v>
      </c>
      <c r="K605" s="6" t="s">
        <v>253</v>
      </c>
      <c r="L605" s="162">
        <v>44560</v>
      </c>
      <c r="M605" s="175" t="s">
        <v>5811</v>
      </c>
      <c r="O605" s="6" t="s">
        <v>356</v>
      </c>
      <c r="P605" s="6" t="str">
        <f t="shared" si="28"/>
        <v>NonCategory</v>
      </c>
      <c r="Q605" t="str">
        <f t="shared" si="29"/>
        <v>2021</v>
      </c>
    </row>
    <row r="606" spans="1:17">
      <c r="A606" s="162">
        <v>44560</v>
      </c>
      <c r="B606" s="164" t="s">
        <v>2037</v>
      </c>
      <c r="C606" s="164" t="s">
        <v>278</v>
      </c>
      <c r="D606" s="164" t="s">
        <v>150</v>
      </c>
      <c r="E606" s="79">
        <v>44531</v>
      </c>
      <c r="F606" s="6" t="s">
        <v>16</v>
      </c>
      <c r="G606" s="6" t="s">
        <v>2039</v>
      </c>
      <c r="H606" s="170">
        <v>21000</v>
      </c>
      <c r="I606" s="172">
        <f t="shared" si="27"/>
        <v>240.49473202015577</v>
      </c>
      <c r="J606" s="162">
        <v>44560</v>
      </c>
      <c r="K606" s="6" t="s">
        <v>253</v>
      </c>
      <c r="L606" s="162">
        <v>44560</v>
      </c>
      <c r="M606" s="175" t="s">
        <v>5812</v>
      </c>
      <c r="N606" s="6" t="s">
        <v>1939</v>
      </c>
      <c r="O606" s="6" t="s">
        <v>356</v>
      </c>
      <c r="P606" s="6" t="str">
        <f t="shared" si="28"/>
        <v>SAFe que</v>
      </c>
      <c r="Q606" t="str">
        <f t="shared" si="29"/>
        <v>2021</v>
      </c>
    </row>
    <row r="607" spans="1:17">
      <c r="A607" s="162">
        <v>44562</v>
      </c>
      <c r="B607" s="164" t="s">
        <v>2040</v>
      </c>
      <c r="C607" s="164" t="s">
        <v>319</v>
      </c>
      <c r="D607" s="164" t="s">
        <v>1524</v>
      </c>
      <c r="E607" s="79">
        <v>44562</v>
      </c>
      <c r="F607" s="6" t="s">
        <v>16</v>
      </c>
      <c r="G607" s="6" t="s">
        <v>2009</v>
      </c>
      <c r="H607" s="170">
        <v>24000</v>
      </c>
      <c r="I607" s="172">
        <f t="shared" si="27"/>
        <v>274.85112230874944</v>
      </c>
      <c r="J607" s="162">
        <v>44562</v>
      </c>
      <c r="K607" s="6" t="s">
        <v>251</v>
      </c>
      <c r="L607" s="162">
        <v>44562</v>
      </c>
      <c r="M607" s="175" t="s">
        <v>5813</v>
      </c>
      <c r="O607" s="6" t="s">
        <v>356</v>
      </c>
      <c r="P607" s="6" t="str">
        <f t="shared" si="28"/>
        <v>SAFe que</v>
      </c>
      <c r="Q607" t="str">
        <f t="shared" si="29"/>
        <v>2022</v>
      </c>
    </row>
    <row r="608" spans="1:17">
      <c r="A608" s="162">
        <v>44562</v>
      </c>
      <c r="B608" s="164" t="s">
        <v>468</v>
      </c>
      <c r="C608" s="164" t="s">
        <v>470</v>
      </c>
      <c r="D608" s="164" t="s">
        <v>2043</v>
      </c>
      <c r="E608" s="79">
        <v>44562</v>
      </c>
      <c r="F608" s="6" t="s">
        <v>16</v>
      </c>
      <c r="G608" s="97">
        <v>44562</v>
      </c>
      <c r="H608" s="170">
        <v>12000</v>
      </c>
      <c r="I608" s="172">
        <f t="shared" si="27"/>
        <v>137.42556115437472</v>
      </c>
      <c r="J608" s="162">
        <v>44562</v>
      </c>
      <c r="K608" s="6" t="s">
        <v>251</v>
      </c>
      <c r="L608" s="162">
        <v>44562</v>
      </c>
      <c r="M608" s="175" t="s">
        <v>5814</v>
      </c>
      <c r="O608" s="6" t="s">
        <v>356</v>
      </c>
      <c r="P608" s="6" t="str">
        <f t="shared" si="28"/>
        <v>NonCategory</v>
      </c>
      <c r="Q608" t="str">
        <f t="shared" si="29"/>
        <v>2022</v>
      </c>
    </row>
    <row r="609" spans="1:17">
      <c r="A609" s="162">
        <v>44564</v>
      </c>
      <c r="B609" s="164" t="s">
        <v>2044</v>
      </c>
      <c r="C609" s="164" t="s">
        <v>1731</v>
      </c>
      <c r="D609" s="164" t="s">
        <v>96</v>
      </c>
      <c r="E609" s="79">
        <v>44562</v>
      </c>
      <c r="F609" s="6" t="s">
        <v>16</v>
      </c>
      <c r="G609" s="6" t="s">
        <v>2009</v>
      </c>
      <c r="H609" s="170">
        <v>20000</v>
      </c>
      <c r="I609" s="172">
        <f t="shared" si="27"/>
        <v>229.04260192395787</v>
      </c>
      <c r="J609" s="162">
        <v>44564</v>
      </c>
      <c r="K609" s="6" t="s">
        <v>251</v>
      </c>
      <c r="L609" s="162">
        <v>44564</v>
      </c>
      <c r="M609" s="175" t="s">
        <v>5815</v>
      </c>
      <c r="O609" s="6" t="s">
        <v>356</v>
      </c>
      <c r="P609" s="6" t="str">
        <f t="shared" si="28"/>
        <v>Category</v>
      </c>
      <c r="Q609" t="str">
        <f t="shared" si="29"/>
        <v>2022</v>
      </c>
    </row>
    <row r="610" spans="1:17">
      <c r="A610" s="162">
        <v>44564</v>
      </c>
      <c r="B610" s="164" t="s">
        <v>2046</v>
      </c>
      <c r="C610" s="164" t="s">
        <v>319</v>
      </c>
      <c r="D610" s="164" t="s">
        <v>150</v>
      </c>
      <c r="E610" s="79">
        <v>44562</v>
      </c>
      <c r="F610" s="6" t="s">
        <v>16</v>
      </c>
      <c r="G610" s="6" t="s">
        <v>2009</v>
      </c>
      <c r="H610" s="170">
        <v>20500</v>
      </c>
      <c r="I610" s="172">
        <f t="shared" si="27"/>
        <v>234.76866697205682</v>
      </c>
      <c r="J610" s="162">
        <v>44564</v>
      </c>
      <c r="K610" s="6" t="s">
        <v>251</v>
      </c>
      <c r="L610" s="162">
        <v>44564</v>
      </c>
      <c r="M610" s="175" t="s">
        <v>5816</v>
      </c>
      <c r="O610" s="6" t="s">
        <v>356</v>
      </c>
      <c r="P610" s="6" t="str">
        <f t="shared" si="28"/>
        <v>SAFe que</v>
      </c>
      <c r="Q610" t="str">
        <f t="shared" si="29"/>
        <v>2022</v>
      </c>
    </row>
    <row r="611" spans="1:17">
      <c r="A611" s="162">
        <v>44565</v>
      </c>
      <c r="B611" s="164" t="s">
        <v>2048</v>
      </c>
      <c r="C611" s="164" t="s">
        <v>291</v>
      </c>
      <c r="D611" s="164" t="s">
        <v>96</v>
      </c>
      <c r="E611" s="79">
        <v>44562</v>
      </c>
      <c r="F611" s="6" t="s">
        <v>16</v>
      </c>
      <c r="G611" s="6" t="s">
        <v>1972</v>
      </c>
      <c r="H611" s="170">
        <v>21000</v>
      </c>
      <c r="I611" s="172">
        <f t="shared" si="27"/>
        <v>240.49473202015577</v>
      </c>
      <c r="J611" s="162">
        <v>44565</v>
      </c>
      <c r="K611" s="6" t="s">
        <v>251</v>
      </c>
      <c r="L611" s="162">
        <v>44565</v>
      </c>
      <c r="M611" s="175" t="s">
        <v>5817</v>
      </c>
      <c r="O611" s="6" t="s">
        <v>2050</v>
      </c>
      <c r="P611" s="6" t="str">
        <f t="shared" si="28"/>
        <v>Category</v>
      </c>
      <c r="Q611" t="str">
        <f t="shared" si="29"/>
        <v>2022</v>
      </c>
    </row>
    <row r="612" spans="1:17">
      <c r="A612" s="162">
        <v>44565</v>
      </c>
      <c r="B612" s="164" t="s">
        <v>2051</v>
      </c>
      <c r="C612" s="164" t="s">
        <v>287</v>
      </c>
      <c r="D612" s="164" t="s">
        <v>96</v>
      </c>
      <c r="E612" s="79">
        <v>44562</v>
      </c>
      <c r="F612" s="6" t="s">
        <v>16</v>
      </c>
      <c r="G612" s="6" t="s">
        <v>2053</v>
      </c>
      <c r="H612" s="170">
        <v>20000</v>
      </c>
      <c r="I612" s="172">
        <f t="shared" si="27"/>
        <v>229.04260192395787</v>
      </c>
      <c r="J612" s="162">
        <v>44565</v>
      </c>
      <c r="K612" s="6" t="s">
        <v>251</v>
      </c>
      <c r="L612" s="162">
        <v>44565</v>
      </c>
      <c r="M612" s="175" t="s">
        <v>5818</v>
      </c>
      <c r="O612" s="6" t="s">
        <v>356</v>
      </c>
      <c r="P612" s="6" t="str">
        <f t="shared" si="28"/>
        <v>Category</v>
      </c>
      <c r="Q612" t="str">
        <f t="shared" si="29"/>
        <v>2022</v>
      </c>
    </row>
    <row r="613" spans="1:17" ht="14.4">
      <c r="A613" s="162">
        <v>44566</v>
      </c>
      <c r="B613" s="164" t="s">
        <v>2054</v>
      </c>
      <c r="C613" s="164" t="s">
        <v>278</v>
      </c>
      <c r="D613" s="164" t="s">
        <v>96</v>
      </c>
      <c r="E613" s="79">
        <v>44562</v>
      </c>
      <c r="F613" s="6" t="s">
        <v>16</v>
      </c>
      <c r="G613" s="6" t="s">
        <v>2012</v>
      </c>
      <c r="H613" s="170">
        <v>19000</v>
      </c>
      <c r="I613" s="172">
        <f t="shared" si="27"/>
        <v>217.59047182775998</v>
      </c>
      <c r="J613" s="162">
        <v>44566</v>
      </c>
      <c r="K613" s="6" t="s">
        <v>251</v>
      </c>
      <c r="L613" s="162">
        <v>44566</v>
      </c>
      <c r="M613" s="175" t="s">
        <v>5819</v>
      </c>
      <c r="N613" s="44" t="s">
        <v>1943</v>
      </c>
      <c r="O613" s="6" t="s">
        <v>356</v>
      </c>
      <c r="P613" s="6" t="str">
        <f t="shared" si="28"/>
        <v>Category</v>
      </c>
      <c r="Q613" t="str">
        <f t="shared" si="29"/>
        <v>2022</v>
      </c>
    </row>
    <row r="614" spans="1:17">
      <c r="A614" s="162">
        <v>44566</v>
      </c>
      <c r="B614" s="164" t="s">
        <v>2056</v>
      </c>
      <c r="C614" s="164" t="s">
        <v>278</v>
      </c>
      <c r="D614" s="164" t="s">
        <v>25</v>
      </c>
      <c r="E614" s="79">
        <v>44562</v>
      </c>
      <c r="F614" s="6" t="s">
        <v>16</v>
      </c>
      <c r="G614" s="6" t="s">
        <v>1972</v>
      </c>
      <c r="H614" s="170">
        <v>40000</v>
      </c>
      <c r="I614" s="172">
        <f t="shared" si="27"/>
        <v>458.08520384791575</v>
      </c>
      <c r="J614" s="162">
        <v>44566</v>
      </c>
      <c r="K614" s="6" t="s">
        <v>251</v>
      </c>
      <c r="L614" s="162">
        <v>44567</v>
      </c>
      <c r="M614" s="175" t="s">
        <v>5820</v>
      </c>
      <c r="N614" s="6" t="s">
        <v>2058</v>
      </c>
      <c r="O614" s="6" t="s">
        <v>356</v>
      </c>
      <c r="P614" s="6" t="str">
        <f t="shared" si="28"/>
        <v>SAFe que</v>
      </c>
      <c r="Q614" t="str">
        <f t="shared" si="29"/>
        <v>2022</v>
      </c>
    </row>
    <row r="615" spans="1:17">
      <c r="A615" s="162">
        <v>44566</v>
      </c>
      <c r="B615" s="164" t="s">
        <v>2059</v>
      </c>
      <c r="C615" s="164" t="s">
        <v>278</v>
      </c>
      <c r="D615" s="164" t="s">
        <v>25</v>
      </c>
      <c r="E615" s="79">
        <v>44562</v>
      </c>
      <c r="F615" s="6" t="s">
        <v>16</v>
      </c>
      <c r="G615" s="6" t="s">
        <v>1972</v>
      </c>
      <c r="H615" s="170">
        <v>40000</v>
      </c>
      <c r="I615" s="172">
        <f t="shared" si="27"/>
        <v>458.08520384791575</v>
      </c>
      <c r="J615" s="162">
        <v>44566</v>
      </c>
      <c r="K615" s="6" t="s">
        <v>251</v>
      </c>
      <c r="L615" s="162">
        <v>44567</v>
      </c>
      <c r="M615" s="175" t="s">
        <v>5821</v>
      </c>
      <c r="N615" s="6" t="s">
        <v>2058</v>
      </c>
      <c r="O615" s="6" t="s">
        <v>356</v>
      </c>
      <c r="P615" s="6" t="str">
        <f t="shared" si="28"/>
        <v>SAFe que</v>
      </c>
      <c r="Q615" t="str">
        <f t="shared" si="29"/>
        <v>2022</v>
      </c>
    </row>
    <row r="616" spans="1:17">
      <c r="A616" s="162">
        <v>44567</v>
      </c>
      <c r="B616" s="164" t="s">
        <v>2061</v>
      </c>
      <c r="C616" s="164" t="s">
        <v>470</v>
      </c>
      <c r="D616" s="164" t="s">
        <v>998</v>
      </c>
      <c r="E616" s="79">
        <v>44562</v>
      </c>
      <c r="F616" s="6" t="s">
        <v>16</v>
      </c>
      <c r="G616" s="97">
        <v>44567</v>
      </c>
      <c r="H616" s="170">
        <v>17000</v>
      </c>
      <c r="I616" s="172">
        <f t="shared" si="27"/>
        <v>194.68621163536417</v>
      </c>
      <c r="J616" s="162">
        <v>44567</v>
      </c>
      <c r="K616" s="6" t="s">
        <v>251</v>
      </c>
      <c r="L616" s="162">
        <v>44567</v>
      </c>
      <c r="M616" s="175" t="s">
        <v>5822</v>
      </c>
      <c r="O616" s="6" t="s">
        <v>356</v>
      </c>
      <c r="P616" s="6" t="str">
        <f t="shared" si="28"/>
        <v>NonCategory</v>
      </c>
      <c r="Q616" t="str">
        <f t="shared" si="29"/>
        <v>2022</v>
      </c>
    </row>
    <row r="617" spans="1:17">
      <c r="A617" s="162">
        <v>44568</v>
      </c>
      <c r="B617" s="164" t="s">
        <v>2062</v>
      </c>
      <c r="C617" s="164" t="s">
        <v>278</v>
      </c>
      <c r="D617" s="164" t="s">
        <v>96</v>
      </c>
      <c r="E617" s="79">
        <v>44562</v>
      </c>
      <c r="F617" s="6" t="s">
        <v>16</v>
      </c>
      <c r="G617" s="6" t="s">
        <v>2039</v>
      </c>
      <c r="H617" s="170">
        <v>20000</v>
      </c>
      <c r="I617" s="172">
        <f t="shared" si="27"/>
        <v>229.04260192395787</v>
      </c>
      <c r="J617" s="162">
        <v>44568</v>
      </c>
      <c r="K617" s="6" t="s">
        <v>251</v>
      </c>
      <c r="L617" s="162">
        <v>44568</v>
      </c>
      <c r="M617" s="175" t="s">
        <v>5823</v>
      </c>
      <c r="N617" s="6" t="s">
        <v>2064</v>
      </c>
      <c r="O617" s="6" t="s">
        <v>356</v>
      </c>
      <c r="P617" s="6" t="str">
        <f t="shared" si="28"/>
        <v>Category</v>
      </c>
      <c r="Q617" t="str">
        <f t="shared" si="29"/>
        <v>2022</v>
      </c>
    </row>
    <row r="618" spans="1:17">
      <c r="A618" s="162">
        <v>44568</v>
      </c>
      <c r="B618" s="164" t="s">
        <v>2065</v>
      </c>
      <c r="C618" s="164" t="s">
        <v>291</v>
      </c>
      <c r="D618" s="164" t="s">
        <v>96</v>
      </c>
      <c r="E618" s="79">
        <v>44562</v>
      </c>
      <c r="F618" s="6" t="s">
        <v>16</v>
      </c>
      <c r="G618" s="6" t="s">
        <v>2012</v>
      </c>
      <c r="H618" s="170">
        <v>20000</v>
      </c>
      <c r="I618" s="172">
        <f t="shared" si="27"/>
        <v>229.04260192395787</v>
      </c>
      <c r="J618" s="162">
        <v>44568</v>
      </c>
      <c r="K618" s="6" t="s">
        <v>251</v>
      </c>
      <c r="L618" s="162">
        <v>44568</v>
      </c>
      <c r="M618" s="175" t="s">
        <v>5824</v>
      </c>
      <c r="O618" s="6" t="s">
        <v>356</v>
      </c>
      <c r="P618" s="6" t="str">
        <f t="shared" si="28"/>
        <v>Category</v>
      </c>
      <c r="Q618" t="str">
        <f t="shared" si="29"/>
        <v>2022</v>
      </c>
    </row>
    <row r="619" spans="1:17">
      <c r="A619" s="162">
        <v>44568</v>
      </c>
      <c r="B619" s="164" t="s">
        <v>357</v>
      </c>
      <c r="C619" s="164" t="s">
        <v>303</v>
      </c>
      <c r="D619" s="164" t="s">
        <v>150</v>
      </c>
      <c r="E619" s="79">
        <v>44562</v>
      </c>
      <c r="F619" s="6" t="s">
        <v>16</v>
      </c>
      <c r="G619" s="6" t="s">
        <v>2012</v>
      </c>
      <c r="H619" s="170">
        <v>21000</v>
      </c>
      <c r="I619" s="172">
        <f t="shared" si="27"/>
        <v>240.49473202015577</v>
      </c>
      <c r="J619" s="162">
        <v>44568</v>
      </c>
      <c r="K619" s="6" t="s">
        <v>251</v>
      </c>
      <c r="L619" s="162">
        <v>44568</v>
      </c>
      <c r="M619" s="175" t="s">
        <v>5825</v>
      </c>
      <c r="O619" s="6" t="s">
        <v>356</v>
      </c>
      <c r="P619" s="6" t="str">
        <f t="shared" si="28"/>
        <v>SAFe que</v>
      </c>
      <c r="Q619" t="str">
        <f t="shared" si="29"/>
        <v>2022</v>
      </c>
    </row>
    <row r="620" spans="1:17" ht="14.4">
      <c r="A620" s="162">
        <v>44569</v>
      </c>
      <c r="B620" s="164" t="s">
        <v>2068</v>
      </c>
      <c r="C620" s="164" t="s">
        <v>278</v>
      </c>
      <c r="D620" s="164" t="s">
        <v>151</v>
      </c>
      <c r="E620" s="79">
        <v>44562</v>
      </c>
      <c r="F620" s="6" t="s">
        <v>16</v>
      </c>
      <c r="G620" s="6" t="s">
        <v>2009</v>
      </c>
      <c r="H620" s="170">
        <v>21000</v>
      </c>
      <c r="I620" s="172">
        <f t="shared" si="27"/>
        <v>240.49473202015577</v>
      </c>
      <c r="J620" s="162">
        <v>44569</v>
      </c>
      <c r="K620" s="6" t="s">
        <v>251</v>
      </c>
      <c r="L620" s="162">
        <v>44569</v>
      </c>
      <c r="M620" s="175" t="s">
        <v>5826</v>
      </c>
      <c r="N620" s="44" t="s">
        <v>2016</v>
      </c>
      <c r="O620" s="6" t="s">
        <v>356</v>
      </c>
      <c r="P620" s="6" t="str">
        <f t="shared" si="28"/>
        <v>SAFe que</v>
      </c>
      <c r="Q620" t="str">
        <f t="shared" si="29"/>
        <v>2022</v>
      </c>
    </row>
    <row r="621" spans="1:17">
      <c r="A621" s="162">
        <v>44569</v>
      </c>
      <c r="B621" s="164" t="s">
        <v>2070</v>
      </c>
      <c r="C621" s="164" t="s">
        <v>343</v>
      </c>
      <c r="D621" s="164" t="s">
        <v>150</v>
      </c>
      <c r="E621" s="79">
        <v>44562</v>
      </c>
      <c r="F621" s="6" t="s">
        <v>16</v>
      </c>
      <c r="G621" s="6" t="s">
        <v>2012</v>
      </c>
      <c r="H621" s="170">
        <v>21000</v>
      </c>
      <c r="I621" s="172">
        <f t="shared" si="27"/>
        <v>240.49473202015577</v>
      </c>
      <c r="J621" s="162">
        <v>44569</v>
      </c>
      <c r="K621" s="6" t="s">
        <v>251</v>
      </c>
      <c r="L621" s="162">
        <v>44569</v>
      </c>
      <c r="M621" s="175" t="s">
        <v>5827</v>
      </c>
      <c r="O621" s="6" t="s">
        <v>356</v>
      </c>
      <c r="P621" s="6" t="str">
        <f t="shared" si="28"/>
        <v>SAFe que</v>
      </c>
      <c r="Q621" t="str">
        <f t="shared" si="29"/>
        <v>2022</v>
      </c>
    </row>
    <row r="622" spans="1:17">
      <c r="A622" s="162">
        <v>44570</v>
      </c>
      <c r="B622" s="164" t="s">
        <v>2072</v>
      </c>
      <c r="C622" s="164" t="s">
        <v>278</v>
      </c>
      <c r="D622" s="164" t="s">
        <v>96</v>
      </c>
      <c r="E622" s="79">
        <v>44562</v>
      </c>
      <c r="F622" s="6" t="s">
        <v>16</v>
      </c>
      <c r="G622" s="6" t="s">
        <v>2012</v>
      </c>
      <c r="H622" s="170">
        <v>20000</v>
      </c>
      <c r="I622" s="172">
        <f t="shared" si="27"/>
        <v>229.04260192395787</v>
      </c>
      <c r="J622" s="162">
        <v>44570</v>
      </c>
      <c r="K622" s="6" t="s">
        <v>251</v>
      </c>
      <c r="L622" s="162">
        <v>44570</v>
      </c>
      <c r="M622" s="175" t="s">
        <v>5828</v>
      </c>
      <c r="N622" s="6" t="s">
        <v>2074</v>
      </c>
      <c r="O622" s="6" t="s">
        <v>356</v>
      </c>
      <c r="P622" s="6" t="str">
        <f t="shared" si="28"/>
        <v>Category</v>
      </c>
      <c r="Q622" t="str">
        <f t="shared" si="29"/>
        <v>2022</v>
      </c>
    </row>
    <row r="623" spans="1:17">
      <c r="A623" s="162">
        <v>44570</v>
      </c>
      <c r="B623" s="164" t="s">
        <v>2075</v>
      </c>
      <c r="C623" s="164" t="s">
        <v>319</v>
      </c>
      <c r="D623" s="164" t="s">
        <v>151</v>
      </c>
      <c r="E623" s="79">
        <v>44562</v>
      </c>
      <c r="F623" s="6" t="s">
        <v>16</v>
      </c>
      <c r="G623" s="6" t="s">
        <v>1985</v>
      </c>
      <c r="H623" s="170">
        <v>21000</v>
      </c>
      <c r="I623" s="172">
        <f t="shared" si="27"/>
        <v>240.49473202015577</v>
      </c>
      <c r="J623" s="162">
        <v>44570</v>
      </c>
      <c r="K623" s="6" t="s">
        <v>251</v>
      </c>
      <c r="L623" s="162">
        <v>44571</v>
      </c>
      <c r="M623" s="175" t="s">
        <v>5829</v>
      </c>
      <c r="O623" s="6" t="s">
        <v>356</v>
      </c>
      <c r="P623" s="6" t="str">
        <f t="shared" si="28"/>
        <v>SAFe que</v>
      </c>
      <c r="Q623" t="str">
        <f t="shared" si="29"/>
        <v>2022</v>
      </c>
    </row>
    <row r="624" spans="1:17">
      <c r="A624" s="162">
        <v>44571</v>
      </c>
      <c r="B624" s="164" t="s">
        <v>2077</v>
      </c>
      <c r="C624" s="164" t="s">
        <v>495</v>
      </c>
      <c r="D624" s="164" t="s">
        <v>96</v>
      </c>
      <c r="E624" s="79">
        <v>44562</v>
      </c>
      <c r="F624" s="6" t="s">
        <v>16</v>
      </c>
      <c r="G624" s="6" t="s">
        <v>2079</v>
      </c>
      <c r="H624" s="170">
        <v>20000</v>
      </c>
      <c r="I624" s="172">
        <f t="shared" si="27"/>
        <v>229.04260192395787</v>
      </c>
      <c r="J624" s="162">
        <v>44571</v>
      </c>
      <c r="K624" s="6" t="s">
        <v>251</v>
      </c>
      <c r="L624" s="162">
        <v>44571</v>
      </c>
      <c r="M624" s="175" t="s">
        <v>5830</v>
      </c>
      <c r="O624" s="6" t="s">
        <v>356</v>
      </c>
      <c r="P624" s="6" t="str">
        <f t="shared" si="28"/>
        <v>Category</v>
      </c>
      <c r="Q624" t="str">
        <f t="shared" si="29"/>
        <v>2022</v>
      </c>
    </row>
    <row r="625" spans="1:17">
      <c r="A625" s="162">
        <v>44571</v>
      </c>
      <c r="B625" s="164" t="s">
        <v>2080</v>
      </c>
      <c r="C625" s="164" t="s">
        <v>303</v>
      </c>
      <c r="D625" s="164" t="s">
        <v>150</v>
      </c>
      <c r="E625" s="79">
        <v>44562</v>
      </c>
      <c r="F625" s="6" t="s">
        <v>16</v>
      </c>
      <c r="G625" s="6" t="s">
        <v>1985</v>
      </c>
      <c r="H625" s="170">
        <v>21000</v>
      </c>
      <c r="I625" s="172">
        <f t="shared" si="27"/>
        <v>240.49473202015577</v>
      </c>
      <c r="J625" s="162">
        <v>44571</v>
      </c>
      <c r="K625" s="6" t="s">
        <v>251</v>
      </c>
      <c r="L625" s="162">
        <v>44571</v>
      </c>
      <c r="M625" s="175" t="s">
        <v>5831</v>
      </c>
      <c r="O625" s="6" t="s">
        <v>356</v>
      </c>
      <c r="P625" s="6" t="str">
        <f t="shared" si="28"/>
        <v>SAFe que</v>
      </c>
      <c r="Q625" t="str">
        <f t="shared" si="29"/>
        <v>2022</v>
      </c>
    </row>
    <row r="626" spans="1:17">
      <c r="A626" s="162">
        <v>44571</v>
      </c>
      <c r="B626" s="164" t="s">
        <v>2029</v>
      </c>
      <c r="C626" s="164" t="s">
        <v>303</v>
      </c>
      <c r="D626" s="164" t="s">
        <v>150</v>
      </c>
      <c r="E626" s="79">
        <v>44562</v>
      </c>
      <c r="F626" s="6" t="s">
        <v>16</v>
      </c>
      <c r="G626" s="6" t="s">
        <v>1985</v>
      </c>
      <c r="H626" s="170">
        <v>21000</v>
      </c>
      <c r="I626" s="172">
        <f t="shared" si="27"/>
        <v>240.49473202015577</v>
      </c>
      <c r="J626" s="162">
        <v>44571</v>
      </c>
      <c r="K626" s="6" t="s">
        <v>251</v>
      </c>
      <c r="L626" s="162">
        <v>44571</v>
      </c>
      <c r="M626" s="175" t="s">
        <v>5832</v>
      </c>
      <c r="O626" s="6" t="s">
        <v>356</v>
      </c>
      <c r="P626" s="6" t="str">
        <f t="shared" si="28"/>
        <v>SAFe que</v>
      </c>
      <c r="Q626" t="str">
        <f t="shared" si="29"/>
        <v>2022</v>
      </c>
    </row>
    <row r="627" spans="1:17">
      <c r="A627" s="162">
        <v>44572</v>
      </c>
      <c r="B627" s="164" t="s">
        <v>2082</v>
      </c>
      <c r="C627" s="164" t="s">
        <v>303</v>
      </c>
      <c r="D627" s="164" t="s">
        <v>150</v>
      </c>
      <c r="E627" s="79">
        <v>44562</v>
      </c>
      <c r="F627" s="6" t="s">
        <v>16</v>
      </c>
      <c r="G627" s="6" t="s">
        <v>1985</v>
      </c>
      <c r="H627" s="170">
        <v>21000</v>
      </c>
      <c r="I627" s="172">
        <f t="shared" si="27"/>
        <v>240.49473202015577</v>
      </c>
      <c r="J627" s="162">
        <v>44572</v>
      </c>
      <c r="K627" s="6" t="s">
        <v>252</v>
      </c>
      <c r="L627" s="162">
        <v>44572</v>
      </c>
      <c r="M627" s="175" t="s">
        <v>5833</v>
      </c>
      <c r="O627" s="6" t="s">
        <v>356</v>
      </c>
      <c r="P627" s="6" t="str">
        <f t="shared" si="28"/>
        <v>SAFe que</v>
      </c>
      <c r="Q627" t="str">
        <f t="shared" si="29"/>
        <v>2022</v>
      </c>
    </row>
    <row r="628" spans="1:17">
      <c r="A628" s="162">
        <v>44572</v>
      </c>
      <c r="B628" s="164" t="s">
        <v>2084</v>
      </c>
      <c r="C628" s="164" t="s">
        <v>319</v>
      </c>
      <c r="D628" s="164" t="s">
        <v>96</v>
      </c>
      <c r="E628" s="79">
        <v>44562</v>
      </c>
      <c r="F628" s="6" t="s">
        <v>16</v>
      </c>
      <c r="G628" s="6" t="s">
        <v>2012</v>
      </c>
      <c r="H628" s="170">
        <v>20000</v>
      </c>
      <c r="I628" s="172">
        <f t="shared" si="27"/>
        <v>229.04260192395787</v>
      </c>
      <c r="J628" s="162">
        <v>44572</v>
      </c>
      <c r="K628" s="6" t="s">
        <v>252</v>
      </c>
      <c r="L628" s="162">
        <v>44573</v>
      </c>
      <c r="M628" s="175" t="s">
        <v>5834</v>
      </c>
      <c r="O628" s="6" t="s">
        <v>356</v>
      </c>
      <c r="P628" s="6" t="str">
        <f t="shared" si="28"/>
        <v>Category</v>
      </c>
      <c r="Q628" t="str">
        <f t="shared" si="29"/>
        <v>2022</v>
      </c>
    </row>
    <row r="629" spans="1:17">
      <c r="A629" s="162">
        <v>44573</v>
      </c>
      <c r="B629" s="164" t="s">
        <v>1217</v>
      </c>
      <c r="C629" s="164" t="s">
        <v>470</v>
      </c>
      <c r="D629" s="164" t="s">
        <v>96</v>
      </c>
      <c r="E629" s="79">
        <v>44562</v>
      </c>
      <c r="F629" s="6" t="s">
        <v>16</v>
      </c>
      <c r="G629" s="6" t="s">
        <v>2079</v>
      </c>
      <c r="H629" s="170">
        <v>20000</v>
      </c>
      <c r="I629" s="172">
        <f t="shared" si="27"/>
        <v>229.04260192395787</v>
      </c>
      <c r="J629" s="162">
        <v>44573</v>
      </c>
      <c r="K629" s="6" t="s">
        <v>252</v>
      </c>
      <c r="L629" s="162">
        <v>44573</v>
      </c>
      <c r="M629" s="175" t="s">
        <v>5835</v>
      </c>
      <c r="O629" s="6" t="s">
        <v>356</v>
      </c>
      <c r="P629" s="6" t="str">
        <f t="shared" si="28"/>
        <v>Category</v>
      </c>
      <c r="Q629" t="str">
        <f t="shared" si="29"/>
        <v>2022</v>
      </c>
    </row>
    <row r="630" spans="1:17">
      <c r="A630" s="162">
        <v>44574</v>
      </c>
      <c r="B630" s="164" t="s">
        <v>2086</v>
      </c>
      <c r="C630" s="164" t="s">
        <v>495</v>
      </c>
      <c r="D630" s="164" t="s">
        <v>97</v>
      </c>
      <c r="E630" s="79">
        <v>44562</v>
      </c>
      <c r="F630" s="6" t="s">
        <v>16</v>
      </c>
      <c r="G630" s="6" t="s">
        <v>2088</v>
      </c>
      <c r="H630" s="170">
        <v>20000</v>
      </c>
      <c r="I630" s="172">
        <f t="shared" si="27"/>
        <v>229.04260192395787</v>
      </c>
      <c r="J630" s="162">
        <v>44574</v>
      </c>
      <c r="K630" s="6" t="s">
        <v>252</v>
      </c>
      <c r="L630" s="162">
        <v>44574</v>
      </c>
      <c r="M630" s="175" t="s">
        <v>5836</v>
      </c>
      <c r="O630" s="6" t="s">
        <v>356</v>
      </c>
      <c r="P630" s="6" t="str">
        <f t="shared" si="28"/>
        <v>Category</v>
      </c>
      <c r="Q630" t="str">
        <f t="shared" si="29"/>
        <v>2022</v>
      </c>
    </row>
    <row r="631" spans="1:17">
      <c r="A631" s="162">
        <v>44575</v>
      </c>
      <c r="B631" s="164" t="s">
        <v>2089</v>
      </c>
      <c r="C631" s="164" t="s">
        <v>278</v>
      </c>
      <c r="D631" s="164" t="s">
        <v>96</v>
      </c>
      <c r="E631" s="79">
        <v>44562</v>
      </c>
      <c r="F631" s="6" t="s">
        <v>16</v>
      </c>
      <c r="G631" s="6" t="s">
        <v>2012</v>
      </c>
      <c r="H631" s="170">
        <v>20000</v>
      </c>
      <c r="I631" s="172">
        <f t="shared" si="27"/>
        <v>229.04260192395787</v>
      </c>
      <c r="J631" s="162">
        <v>44575</v>
      </c>
      <c r="K631" s="6" t="s">
        <v>252</v>
      </c>
      <c r="L631" s="162">
        <v>44575</v>
      </c>
      <c r="M631" s="175" t="s">
        <v>5837</v>
      </c>
      <c r="N631" s="6" t="s">
        <v>2091</v>
      </c>
      <c r="O631" s="6" t="s">
        <v>356</v>
      </c>
      <c r="P631" s="6" t="str">
        <f t="shared" si="28"/>
        <v>Category</v>
      </c>
      <c r="Q631" t="str">
        <f t="shared" si="29"/>
        <v>2022</v>
      </c>
    </row>
    <row r="632" spans="1:17">
      <c r="A632" s="162">
        <v>44575</v>
      </c>
      <c r="B632" s="164" t="s">
        <v>709</v>
      </c>
      <c r="C632" s="164" t="s">
        <v>278</v>
      </c>
      <c r="D632" s="164" t="s">
        <v>96</v>
      </c>
      <c r="E632" s="79">
        <v>44562</v>
      </c>
      <c r="F632" s="6" t="s">
        <v>16</v>
      </c>
      <c r="G632" s="6" t="s">
        <v>2012</v>
      </c>
      <c r="H632" s="170">
        <v>20000</v>
      </c>
      <c r="I632" s="172">
        <f t="shared" si="27"/>
        <v>229.04260192395787</v>
      </c>
      <c r="J632" s="162">
        <v>44575</v>
      </c>
      <c r="K632" s="6" t="s">
        <v>252</v>
      </c>
      <c r="L632" s="162">
        <v>44575</v>
      </c>
      <c r="M632" s="175" t="s">
        <v>5838</v>
      </c>
      <c r="N632" s="6" t="s">
        <v>2091</v>
      </c>
      <c r="O632" s="6" t="s">
        <v>356</v>
      </c>
      <c r="P632" s="6" t="str">
        <f t="shared" si="28"/>
        <v>Category</v>
      </c>
      <c r="Q632" t="str">
        <f t="shared" si="29"/>
        <v>2022</v>
      </c>
    </row>
    <row r="633" spans="1:17">
      <c r="A633" s="162">
        <v>44575</v>
      </c>
      <c r="B633" s="164" t="s">
        <v>2093</v>
      </c>
      <c r="C633" s="164" t="s">
        <v>319</v>
      </c>
      <c r="D633" s="164" t="s">
        <v>25</v>
      </c>
      <c r="E633" s="79">
        <v>44562</v>
      </c>
      <c r="F633" s="6" t="s">
        <v>16</v>
      </c>
      <c r="G633" s="6" t="s">
        <v>2012</v>
      </c>
      <c r="H633" s="170">
        <v>42000</v>
      </c>
      <c r="I633" s="172">
        <f t="shared" si="27"/>
        <v>480.98946404031153</v>
      </c>
      <c r="J633" s="162">
        <v>44576</v>
      </c>
      <c r="K633" s="6" t="s">
        <v>252</v>
      </c>
      <c r="L633" s="162">
        <v>44576</v>
      </c>
      <c r="M633" s="175" t="s">
        <v>5839</v>
      </c>
      <c r="O633" s="6" t="s">
        <v>356</v>
      </c>
      <c r="P633" s="6" t="str">
        <f t="shared" si="28"/>
        <v>SAFe que</v>
      </c>
      <c r="Q633" t="str">
        <f t="shared" si="29"/>
        <v>2022</v>
      </c>
    </row>
    <row r="634" spans="1:17">
      <c r="A634" s="162">
        <v>44576</v>
      </c>
      <c r="B634" s="164" t="s">
        <v>2095</v>
      </c>
      <c r="C634" s="164" t="s">
        <v>278</v>
      </c>
      <c r="D634" s="164" t="s">
        <v>96</v>
      </c>
      <c r="E634" s="79">
        <v>44562</v>
      </c>
      <c r="F634" s="6" t="s">
        <v>16</v>
      </c>
      <c r="G634" s="6" t="s">
        <v>2097</v>
      </c>
      <c r="H634" s="170">
        <v>19000</v>
      </c>
      <c r="I634" s="172">
        <f t="shared" si="27"/>
        <v>217.59047182775998</v>
      </c>
      <c r="J634" s="162">
        <v>44576</v>
      </c>
      <c r="K634" s="6" t="s">
        <v>252</v>
      </c>
      <c r="L634" s="162">
        <v>44576</v>
      </c>
      <c r="M634" s="175" t="s">
        <v>5840</v>
      </c>
      <c r="N634" s="6" t="s">
        <v>2098</v>
      </c>
      <c r="O634" s="6" t="s">
        <v>356</v>
      </c>
      <c r="P634" s="6" t="str">
        <f t="shared" si="28"/>
        <v>Category</v>
      </c>
      <c r="Q634" t="str">
        <f t="shared" si="29"/>
        <v>2022</v>
      </c>
    </row>
    <row r="635" spans="1:17">
      <c r="A635" s="162">
        <v>44580</v>
      </c>
      <c r="B635" s="164" t="s">
        <v>2099</v>
      </c>
      <c r="C635" s="164" t="s">
        <v>278</v>
      </c>
      <c r="D635" s="164" t="s">
        <v>25</v>
      </c>
      <c r="E635" s="79">
        <v>44562</v>
      </c>
      <c r="F635" s="6" t="s">
        <v>16</v>
      </c>
      <c r="G635" s="6" t="s">
        <v>2012</v>
      </c>
      <c r="H635" s="170">
        <v>40000</v>
      </c>
      <c r="I635" s="172">
        <f t="shared" si="27"/>
        <v>458.08520384791575</v>
      </c>
      <c r="J635" s="162">
        <v>44580</v>
      </c>
      <c r="K635" s="6" t="s">
        <v>252</v>
      </c>
      <c r="L635" s="162">
        <v>44580</v>
      </c>
      <c r="M635" s="175" t="s">
        <v>5841</v>
      </c>
      <c r="N635" s="6" t="s">
        <v>2101</v>
      </c>
      <c r="O635" s="6" t="s">
        <v>356</v>
      </c>
      <c r="P635" s="6" t="str">
        <f t="shared" si="28"/>
        <v>SAFe que</v>
      </c>
      <c r="Q635" t="str">
        <f t="shared" si="29"/>
        <v>2022</v>
      </c>
    </row>
    <row r="636" spans="1:17">
      <c r="A636" s="162">
        <v>44580</v>
      </c>
      <c r="B636" s="164" t="s">
        <v>2102</v>
      </c>
      <c r="C636" s="164" t="s">
        <v>287</v>
      </c>
      <c r="D636" s="164" t="s">
        <v>96</v>
      </c>
      <c r="E636" s="79">
        <v>44562</v>
      </c>
      <c r="F636" s="6" t="s">
        <v>16</v>
      </c>
      <c r="G636" s="6" t="s">
        <v>2104</v>
      </c>
      <c r="H636" s="170">
        <v>20000</v>
      </c>
      <c r="I636" s="172">
        <f t="shared" si="27"/>
        <v>229.04260192395787</v>
      </c>
      <c r="J636" s="162">
        <v>44580</v>
      </c>
      <c r="K636" s="6" t="s">
        <v>252</v>
      </c>
      <c r="L636" s="162">
        <v>44580</v>
      </c>
      <c r="M636" s="175" t="s">
        <v>5842</v>
      </c>
      <c r="O636" s="6" t="s">
        <v>2050</v>
      </c>
      <c r="P636" s="6" t="str">
        <f t="shared" si="28"/>
        <v>Category</v>
      </c>
      <c r="Q636" t="str">
        <f t="shared" si="29"/>
        <v>2022</v>
      </c>
    </row>
    <row r="637" spans="1:17">
      <c r="A637" s="162">
        <v>44582</v>
      </c>
      <c r="B637" s="164" t="s">
        <v>2107</v>
      </c>
      <c r="C637" s="164" t="s">
        <v>319</v>
      </c>
      <c r="D637" s="164" t="s">
        <v>14</v>
      </c>
      <c r="E637" s="79">
        <v>44562</v>
      </c>
      <c r="F637" s="6" t="s">
        <v>16</v>
      </c>
      <c r="G637" s="6" t="s">
        <v>2109</v>
      </c>
      <c r="H637" s="170">
        <v>31000</v>
      </c>
      <c r="I637" s="172">
        <f t="shared" si="27"/>
        <v>355.01603298213467</v>
      </c>
      <c r="J637" s="162">
        <v>44582</v>
      </c>
      <c r="K637" s="6" t="s">
        <v>253</v>
      </c>
      <c r="L637" s="162">
        <v>44582</v>
      </c>
      <c r="M637" s="175" t="s">
        <v>5843</v>
      </c>
      <c r="O637" s="6" t="s">
        <v>356</v>
      </c>
      <c r="P637" s="6" t="str">
        <f t="shared" si="28"/>
        <v>SAFe que</v>
      </c>
      <c r="Q637" t="str">
        <f t="shared" si="29"/>
        <v>2022</v>
      </c>
    </row>
    <row r="638" spans="1:17">
      <c r="A638" s="162">
        <v>44583</v>
      </c>
      <c r="B638" s="164" t="s">
        <v>2110</v>
      </c>
      <c r="C638" s="164" t="s">
        <v>287</v>
      </c>
      <c r="D638" s="164" t="s">
        <v>151</v>
      </c>
      <c r="E638" s="79">
        <v>44562</v>
      </c>
      <c r="F638" s="6" t="s">
        <v>16</v>
      </c>
      <c r="G638" s="6" t="s">
        <v>2112</v>
      </c>
      <c r="H638" s="170">
        <v>21000</v>
      </c>
      <c r="I638" s="172">
        <f t="shared" si="27"/>
        <v>240.49473202015577</v>
      </c>
      <c r="J638" s="162">
        <v>44583</v>
      </c>
      <c r="K638" s="6" t="s">
        <v>253</v>
      </c>
      <c r="L638" s="162">
        <v>44583</v>
      </c>
      <c r="M638" s="175" t="s">
        <v>5844</v>
      </c>
      <c r="O638" s="6" t="s">
        <v>356</v>
      </c>
      <c r="P638" s="6" t="str">
        <f t="shared" si="28"/>
        <v>SAFe que</v>
      </c>
      <c r="Q638" t="str">
        <f t="shared" si="29"/>
        <v>2022</v>
      </c>
    </row>
    <row r="639" spans="1:17">
      <c r="A639" s="162">
        <v>44583</v>
      </c>
      <c r="B639" s="164" t="s">
        <v>2113</v>
      </c>
      <c r="C639" s="164" t="s">
        <v>278</v>
      </c>
      <c r="D639" s="164" t="s">
        <v>151</v>
      </c>
      <c r="E639" s="79">
        <v>44562</v>
      </c>
      <c r="F639" s="6" t="s">
        <v>16</v>
      </c>
      <c r="G639" s="6" t="s">
        <v>2112</v>
      </c>
      <c r="H639" s="170">
        <v>21000</v>
      </c>
      <c r="I639" s="172">
        <f t="shared" si="27"/>
        <v>240.49473202015577</v>
      </c>
      <c r="J639" s="162">
        <v>44583</v>
      </c>
      <c r="K639" s="6" t="s">
        <v>253</v>
      </c>
      <c r="L639" s="162">
        <v>44583</v>
      </c>
      <c r="M639" s="175" t="s">
        <v>5845</v>
      </c>
      <c r="N639" s="6" t="s">
        <v>2115</v>
      </c>
      <c r="O639" s="6" t="s">
        <v>356</v>
      </c>
      <c r="P639" s="6" t="str">
        <f t="shared" si="28"/>
        <v>SAFe que</v>
      </c>
      <c r="Q639" t="str">
        <f t="shared" si="29"/>
        <v>2022</v>
      </c>
    </row>
    <row r="640" spans="1:17">
      <c r="A640" s="162">
        <v>44585</v>
      </c>
      <c r="B640" s="164" t="s">
        <v>2118</v>
      </c>
      <c r="C640" s="164" t="s">
        <v>319</v>
      </c>
      <c r="D640" s="164" t="s">
        <v>150</v>
      </c>
      <c r="E640" s="79">
        <v>44562</v>
      </c>
      <c r="F640" s="6" t="s">
        <v>16</v>
      </c>
      <c r="G640" s="6" t="s">
        <v>2012</v>
      </c>
      <c r="H640" s="170">
        <v>21000</v>
      </c>
      <c r="I640" s="172">
        <f t="shared" si="27"/>
        <v>240.49473202015577</v>
      </c>
      <c r="J640" s="162">
        <v>44585</v>
      </c>
      <c r="K640" s="6" t="s">
        <v>253</v>
      </c>
      <c r="L640" s="162">
        <v>44585</v>
      </c>
      <c r="M640" s="175" t="s">
        <v>5846</v>
      </c>
      <c r="O640" s="6" t="s">
        <v>356</v>
      </c>
      <c r="P640" s="6" t="str">
        <f t="shared" si="28"/>
        <v>SAFe que</v>
      </c>
      <c r="Q640" t="str">
        <f t="shared" si="29"/>
        <v>2022</v>
      </c>
    </row>
    <row r="641" spans="1:17">
      <c r="A641" s="162">
        <v>44585</v>
      </c>
      <c r="B641" s="164" t="s">
        <v>2120</v>
      </c>
      <c r="C641" s="164" t="s">
        <v>278</v>
      </c>
      <c r="D641" s="164" t="s">
        <v>150</v>
      </c>
      <c r="E641" s="79">
        <v>44562</v>
      </c>
      <c r="F641" s="6" t="s">
        <v>16</v>
      </c>
      <c r="G641" s="6" t="s">
        <v>2012</v>
      </c>
      <c r="H641" s="170">
        <v>21000</v>
      </c>
      <c r="I641" s="172">
        <f t="shared" si="27"/>
        <v>240.49473202015577</v>
      </c>
      <c r="J641" s="162">
        <v>44585</v>
      </c>
      <c r="K641" s="6" t="s">
        <v>253</v>
      </c>
      <c r="L641" s="162">
        <v>44585</v>
      </c>
      <c r="M641" s="175" t="s">
        <v>5847</v>
      </c>
      <c r="N641" s="6" t="s">
        <v>2122</v>
      </c>
      <c r="O641" s="6" t="s">
        <v>356</v>
      </c>
      <c r="P641" s="6" t="str">
        <f t="shared" si="28"/>
        <v>SAFe que</v>
      </c>
      <c r="Q641" t="str">
        <f t="shared" si="29"/>
        <v>2022</v>
      </c>
    </row>
    <row r="642" spans="1:17">
      <c r="A642" s="162">
        <v>44586</v>
      </c>
      <c r="B642" s="164" t="s">
        <v>2123</v>
      </c>
      <c r="C642" s="164" t="s">
        <v>287</v>
      </c>
      <c r="D642" s="164" t="s">
        <v>150</v>
      </c>
      <c r="E642" s="79">
        <v>44562</v>
      </c>
      <c r="F642" s="6" t="s">
        <v>16</v>
      </c>
      <c r="G642" s="6" t="s">
        <v>2012</v>
      </c>
      <c r="H642" s="170">
        <v>21000</v>
      </c>
      <c r="I642" s="172">
        <f t="shared" ref="I642:I664" si="30">IFERROR((($H642/1.18))/74,"")</f>
        <v>240.49473202015577</v>
      </c>
      <c r="J642" s="162">
        <v>44586</v>
      </c>
      <c r="K642" s="6" t="s">
        <v>253</v>
      </c>
      <c r="L642" s="162">
        <v>44586</v>
      </c>
      <c r="M642" s="175" t="s">
        <v>5848</v>
      </c>
      <c r="O642" s="6" t="s">
        <v>356</v>
      </c>
      <c r="P642" s="6" t="str">
        <f t="shared" ref="P642:P705" si="31">IFERROR(_xlfn.IFS($D642="CSM","Category",$D642="CSPO","Category", $D642="PSM","SAFe que",$D642="PSPO","SAFe que",$D642="SAFe Agile","SAFe que",$D642="SAFe SSM","SAFe que",$D642="SAFe POPM","SAFe que",$D642="SASM","SAFe que",$D642="PMI-ACP","Category",$D642="ICP-ACC","SAFe que",$D642="PSM 2","SAFe que",$D642="SAFe RTE","SAFe que",$D642="Implementing SAFe","SAFe que",$D642="SAFe for Government","SAFe que",$D642="PSPO 2","SAFe que",$D642="",""),"NonCategory")</f>
        <v>SAFe que</v>
      </c>
      <c r="Q642" t="str">
        <f t="shared" ref="Q642:Q705" si="32">TEXT(E642, "yyyy")</f>
        <v>2022</v>
      </c>
    </row>
    <row r="643" spans="1:17">
      <c r="A643" s="162">
        <v>44586</v>
      </c>
      <c r="B643" s="164" t="s">
        <v>2125</v>
      </c>
      <c r="C643" s="164" t="s">
        <v>278</v>
      </c>
      <c r="D643" s="164" t="s">
        <v>97</v>
      </c>
      <c r="E643" s="79">
        <v>44562</v>
      </c>
      <c r="F643" s="6" t="s">
        <v>16</v>
      </c>
      <c r="G643" s="6" t="s">
        <v>2088</v>
      </c>
      <c r="H643" s="170">
        <v>20000</v>
      </c>
      <c r="I643" s="172">
        <f t="shared" si="30"/>
        <v>229.04260192395787</v>
      </c>
      <c r="J643" s="162">
        <v>44586</v>
      </c>
      <c r="K643" s="6" t="s">
        <v>253</v>
      </c>
      <c r="L643" s="162">
        <v>44586</v>
      </c>
      <c r="M643" s="175" t="s">
        <v>5849</v>
      </c>
      <c r="N643" s="6" t="s">
        <v>2127</v>
      </c>
      <c r="O643" s="6" t="s">
        <v>356</v>
      </c>
      <c r="P643" s="6" t="str">
        <f t="shared" si="31"/>
        <v>Category</v>
      </c>
      <c r="Q643" t="str">
        <f t="shared" si="32"/>
        <v>2022</v>
      </c>
    </row>
    <row r="644" spans="1:17">
      <c r="A644" s="162">
        <v>44586</v>
      </c>
      <c r="B644" s="164" t="s">
        <v>2128</v>
      </c>
      <c r="C644" s="164" t="s">
        <v>303</v>
      </c>
      <c r="D644" s="164" t="s">
        <v>150</v>
      </c>
      <c r="E644" s="79">
        <v>44562</v>
      </c>
      <c r="F644" s="6" t="s">
        <v>16</v>
      </c>
      <c r="G644" s="6" t="s">
        <v>2053</v>
      </c>
      <c r="H644" s="170">
        <v>21000</v>
      </c>
      <c r="I644" s="172">
        <f t="shared" si="30"/>
        <v>240.49473202015577</v>
      </c>
      <c r="J644" s="162">
        <v>44586</v>
      </c>
      <c r="K644" s="6" t="s">
        <v>253</v>
      </c>
      <c r="L644" s="162">
        <v>44589</v>
      </c>
      <c r="M644" s="175" t="s">
        <v>5850</v>
      </c>
      <c r="O644" s="6" t="s">
        <v>356</v>
      </c>
      <c r="P644" s="6" t="str">
        <f t="shared" si="31"/>
        <v>SAFe que</v>
      </c>
      <c r="Q644" t="str">
        <f t="shared" si="32"/>
        <v>2022</v>
      </c>
    </row>
    <row r="645" spans="1:17">
      <c r="A645" s="162">
        <v>44588</v>
      </c>
      <c r="B645" s="164" t="s">
        <v>2130</v>
      </c>
      <c r="C645" s="164" t="s">
        <v>303</v>
      </c>
      <c r="D645" s="164" t="s">
        <v>7</v>
      </c>
      <c r="E645" s="79">
        <v>44562</v>
      </c>
      <c r="F645" s="6" t="s">
        <v>16</v>
      </c>
      <c r="G645" s="6" t="s">
        <v>2012</v>
      </c>
      <c r="H645" s="170">
        <v>40000</v>
      </c>
      <c r="I645" s="172">
        <f t="shared" si="30"/>
        <v>458.08520384791575</v>
      </c>
      <c r="J645" s="162">
        <v>44588</v>
      </c>
      <c r="K645" s="6" t="s">
        <v>253</v>
      </c>
      <c r="L645" s="162">
        <v>44588</v>
      </c>
      <c r="M645" s="175" t="s">
        <v>5851</v>
      </c>
      <c r="O645" s="6" t="s">
        <v>356</v>
      </c>
      <c r="P645" s="6" t="str">
        <f t="shared" si="31"/>
        <v>SAFe que</v>
      </c>
      <c r="Q645" t="str">
        <f t="shared" si="32"/>
        <v>2022</v>
      </c>
    </row>
    <row r="646" spans="1:17">
      <c r="A646" s="162">
        <v>44588</v>
      </c>
      <c r="B646" s="164" t="s">
        <v>2132</v>
      </c>
      <c r="C646" s="164" t="s">
        <v>287</v>
      </c>
      <c r="D646" s="164" t="s">
        <v>25</v>
      </c>
      <c r="E646" s="79">
        <v>44562</v>
      </c>
      <c r="F646" s="6" t="s">
        <v>16</v>
      </c>
      <c r="G646" s="6" t="s">
        <v>2012</v>
      </c>
      <c r="H646" s="170">
        <v>40000</v>
      </c>
      <c r="I646" s="172">
        <f t="shared" si="30"/>
        <v>458.08520384791575</v>
      </c>
      <c r="J646" s="162">
        <v>44588</v>
      </c>
      <c r="K646" s="6" t="s">
        <v>253</v>
      </c>
      <c r="L646" s="162">
        <v>44588</v>
      </c>
      <c r="M646" s="175" t="s">
        <v>5852</v>
      </c>
      <c r="O646" s="6" t="s">
        <v>356</v>
      </c>
      <c r="P646" s="6" t="str">
        <f t="shared" si="31"/>
        <v>SAFe que</v>
      </c>
      <c r="Q646" t="str">
        <f t="shared" si="32"/>
        <v>2022</v>
      </c>
    </row>
    <row r="647" spans="1:17">
      <c r="A647" s="162">
        <v>44582</v>
      </c>
      <c r="B647" s="164" t="s">
        <v>2134</v>
      </c>
      <c r="C647" s="164" t="s">
        <v>319</v>
      </c>
      <c r="D647" s="164" t="s">
        <v>25</v>
      </c>
      <c r="E647" s="79">
        <v>44562</v>
      </c>
      <c r="F647" s="6" t="s">
        <v>16</v>
      </c>
      <c r="G647" s="6" t="s">
        <v>2053</v>
      </c>
      <c r="H647" s="170">
        <v>53100</v>
      </c>
      <c r="I647" s="172">
        <f t="shared" si="30"/>
        <v>608.10810810810813</v>
      </c>
      <c r="J647" s="162">
        <v>44582</v>
      </c>
      <c r="K647" s="6" t="s">
        <v>253</v>
      </c>
      <c r="L647" s="162">
        <v>44582</v>
      </c>
      <c r="M647" s="175" t="s">
        <v>2136</v>
      </c>
      <c r="O647" s="6" t="s">
        <v>356</v>
      </c>
      <c r="P647" s="6" t="str">
        <f t="shared" si="31"/>
        <v>SAFe que</v>
      </c>
      <c r="Q647" t="str">
        <f t="shared" si="32"/>
        <v>2022</v>
      </c>
    </row>
    <row r="648" spans="1:17">
      <c r="A648" s="162">
        <v>44589</v>
      </c>
      <c r="B648" s="164" t="s">
        <v>2137</v>
      </c>
      <c r="C648" s="164" t="s">
        <v>306</v>
      </c>
      <c r="D648" s="164" t="s">
        <v>25</v>
      </c>
      <c r="E648" s="79">
        <v>44562</v>
      </c>
      <c r="F648" s="6" t="s">
        <v>16</v>
      </c>
      <c r="G648" s="6" t="s">
        <v>2053</v>
      </c>
      <c r="H648" s="170">
        <v>42000</v>
      </c>
      <c r="I648" s="172">
        <f t="shared" si="30"/>
        <v>480.98946404031153</v>
      </c>
      <c r="J648" s="162">
        <v>44589</v>
      </c>
      <c r="K648" s="6" t="s">
        <v>253</v>
      </c>
      <c r="L648" s="162">
        <v>44589</v>
      </c>
      <c r="M648" s="175" t="s">
        <v>5853</v>
      </c>
      <c r="O648" s="6" t="s">
        <v>356</v>
      </c>
      <c r="P648" s="6" t="str">
        <f t="shared" si="31"/>
        <v>SAFe que</v>
      </c>
      <c r="Q648" t="str">
        <f t="shared" si="32"/>
        <v>2022</v>
      </c>
    </row>
    <row r="649" spans="1:17">
      <c r="A649" s="162">
        <v>44589</v>
      </c>
      <c r="B649" s="164" t="s">
        <v>2139</v>
      </c>
      <c r="C649" s="164" t="s">
        <v>306</v>
      </c>
      <c r="D649" s="164" t="s">
        <v>7</v>
      </c>
      <c r="E649" s="79">
        <v>44562</v>
      </c>
      <c r="F649" s="6" t="s">
        <v>16</v>
      </c>
      <c r="G649" s="6" t="s">
        <v>2012</v>
      </c>
      <c r="H649" s="170">
        <v>42000</v>
      </c>
      <c r="I649" s="172">
        <f t="shared" si="30"/>
        <v>480.98946404031153</v>
      </c>
      <c r="J649" s="162">
        <v>44589</v>
      </c>
      <c r="K649" s="6" t="s">
        <v>253</v>
      </c>
      <c r="L649" s="162">
        <v>44589</v>
      </c>
      <c r="M649" s="175" t="s">
        <v>5854</v>
      </c>
      <c r="O649" s="6" t="s">
        <v>356</v>
      </c>
      <c r="P649" s="6" t="str">
        <f t="shared" si="31"/>
        <v>SAFe que</v>
      </c>
      <c r="Q649" t="str">
        <f t="shared" si="32"/>
        <v>2022</v>
      </c>
    </row>
    <row r="650" spans="1:17">
      <c r="A650" s="162">
        <v>44589</v>
      </c>
      <c r="B650" s="164" t="s">
        <v>2141</v>
      </c>
      <c r="C650" s="164" t="s">
        <v>303</v>
      </c>
      <c r="D650" s="164" t="s">
        <v>25</v>
      </c>
      <c r="E650" s="79">
        <v>44562</v>
      </c>
      <c r="F650" s="6" t="s">
        <v>16</v>
      </c>
      <c r="G650" s="6" t="s">
        <v>2012</v>
      </c>
      <c r="H650" s="170">
        <v>40000</v>
      </c>
      <c r="I650" s="172">
        <f t="shared" si="30"/>
        <v>458.08520384791575</v>
      </c>
      <c r="J650" s="162">
        <v>44589</v>
      </c>
      <c r="K650" s="6" t="s">
        <v>253</v>
      </c>
      <c r="L650" s="162">
        <v>44589</v>
      </c>
      <c r="M650" s="175" t="s">
        <v>5855</v>
      </c>
      <c r="O650" s="6" t="s">
        <v>356</v>
      </c>
      <c r="P650" s="6" t="str">
        <f t="shared" si="31"/>
        <v>SAFe que</v>
      </c>
      <c r="Q650" t="str">
        <f t="shared" si="32"/>
        <v>2022</v>
      </c>
    </row>
    <row r="651" spans="1:17">
      <c r="A651" s="162">
        <v>44589</v>
      </c>
      <c r="B651" s="164" t="s">
        <v>2143</v>
      </c>
      <c r="C651" s="164" t="s">
        <v>287</v>
      </c>
      <c r="D651" s="164" t="s">
        <v>25</v>
      </c>
      <c r="E651" s="79">
        <v>44562</v>
      </c>
      <c r="F651" s="6" t="s">
        <v>16</v>
      </c>
      <c r="G651" s="6" t="s">
        <v>2012</v>
      </c>
      <c r="H651" s="170">
        <v>42000</v>
      </c>
      <c r="I651" s="172">
        <f t="shared" si="30"/>
        <v>480.98946404031153</v>
      </c>
      <c r="J651" s="162">
        <v>44589</v>
      </c>
      <c r="K651" s="6" t="s">
        <v>253</v>
      </c>
      <c r="L651" s="162">
        <v>44589</v>
      </c>
      <c r="M651" s="175" t="s">
        <v>5856</v>
      </c>
      <c r="O651" s="6" t="s">
        <v>356</v>
      </c>
      <c r="P651" s="6" t="str">
        <f t="shared" si="31"/>
        <v>SAFe que</v>
      </c>
      <c r="Q651" t="str">
        <f t="shared" si="32"/>
        <v>2022</v>
      </c>
    </row>
    <row r="652" spans="1:17">
      <c r="A652" s="162">
        <v>44590</v>
      </c>
      <c r="B652" s="164" t="s">
        <v>2145</v>
      </c>
      <c r="C652" s="164" t="s">
        <v>1731</v>
      </c>
      <c r="D652" s="164" t="s">
        <v>96</v>
      </c>
      <c r="E652" s="79">
        <v>44562</v>
      </c>
      <c r="F652" s="6" t="s">
        <v>16</v>
      </c>
      <c r="G652" s="6" t="s">
        <v>2097</v>
      </c>
      <c r="H652" s="170">
        <v>20000</v>
      </c>
      <c r="I652" s="172">
        <f t="shared" si="30"/>
        <v>229.04260192395787</v>
      </c>
      <c r="J652" s="162">
        <v>44590</v>
      </c>
      <c r="K652" s="6" t="s">
        <v>253</v>
      </c>
      <c r="L652" s="162">
        <v>44590</v>
      </c>
      <c r="M652" s="175" t="s">
        <v>5857</v>
      </c>
      <c r="O652" s="6" t="s">
        <v>356</v>
      </c>
      <c r="P652" s="6" t="str">
        <f t="shared" si="31"/>
        <v>Category</v>
      </c>
      <c r="Q652" t="str">
        <f t="shared" si="32"/>
        <v>2022</v>
      </c>
    </row>
    <row r="653" spans="1:17">
      <c r="A653" s="162">
        <v>44592</v>
      </c>
      <c r="B653" s="164" t="s">
        <v>2147</v>
      </c>
      <c r="C653" s="164" t="s">
        <v>278</v>
      </c>
      <c r="D653" s="164" t="s">
        <v>96</v>
      </c>
      <c r="E653" s="79">
        <v>44562</v>
      </c>
      <c r="F653" s="6" t="s">
        <v>16</v>
      </c>
      <c r="G653" s="6" t="s">
        <v>2149</v>
      </c>
      <c r="H653" s="170">
        <v>19000</v>
      </c>
      <c r="I653" s="172">
        <f t="shared" si="30"/>
        <v>217.59047182775998</v>
      </c>
      <c r="J653" s="162">
        <v>44592</v>
      </c>
      <c r="K653" s="6" t="s">
        <v>253</v>
      </c>
      <c r="L653" s="162">
        <v>44592</v>
      </c>
      <c r="M653" s="175" t="s">
        <v>5858</v>
      </c>
      <c r="N653" s="6" t="s">
        <v>2150</v>
      </c>
      <c r="O653" s="6" t="s">
        <v>356</v>
      </c>
      <c r="P653" s="6" t="str">
        <f t="shared" si="31"/>
        <v>Category</v>
      </c>
      <c r="Q653" t="str">
        <f t="shared" si="32"/>
        <v>2022</v>
      </c>
    </row>
    <row r="654" spans="1:17">
      <c r="A654" s="162">
        <v>44592</v>
      </c>
      <c r="B654" s="164" t="s">
        <v>2151</v>
      </c>
      <c r="C654" s="164" t="s">
        <v>291</v>
      </c>
      <c r="D654" s="164" t="s">
        <v>150</v>
      </c>
      <c r="E654" s="79">
        <v>44562</v>
      </c>
      <c r="F654" s="6" t="s">
        <v>16</v>
      </c>
      <c r="G654" s="6" t="s">
        <v>2053</v>
      </c>
      <c r="H654" s="170">
        <v>21000</v>
      </c>
      <c r="I654" s="172">
        <f t="shared" si="30"/>
        <v>240.49473202015577</v>
      </c>
      <c r="J654" s="162">
        <v>44592</v>
      </c>
      <c r="K654" s="6" t="s">
        <v>253</v>
      </c>
      <c r="L654" s="162">
        <v>44592</v>
      </c>
      <c r="M654" s="175" t="s">
        <v>5859</v>
      </c>
      <c r="O654" s="6" t="s">
        <v>356</v>
      </c>
      <c r="P654" s="6" t="str">
        <f t="shared" si="31"/>
        <v>SAFe que</v>
      </c>
      <c r="Q654" t="str">
        <f t="shared" si="32"/>
        <v>2022</v>
      </c>
    </row>
    <row r="655" spans="1:17">
      <c r="A655" s="162">
        <v>44593</v>
      </c>
      <c r="B655" s="164" t="s">
        <v>2153</v>
      </c>
      <c r="C655" s="164" t="s">
        <v>278</v>
      </c>
      <c r="D655" s="164" t="s">
        <v>96</v>
      </c>
      <c r="E655" s="79">
        <v>44593</v>
      </c>
      <c r="F655" s="6" t="s">
        <v>16</v>
      </c>
      <c r="G655" s="6" t="s">
        <v>2155</v>
      </c>
      <c r="H655" s="170">
        <v>19000</v>
      </c>
      <c r="I655" s="172">
        <f t="shared" si="30"/>
        <v>217.59047182775998</v>
      </c>
      <c r="J655" s="162">
        <v>44593</v>
      </c>
      <c r="K655" s="6" t="s">
        <v>251</v>
      </c>
      <c r="L655" s="162">
        <v>44593</v>
      </c>
      <c r="M655" s="175" t="s">
        <v>5860</v>
      </c>
      <c r="N655" s="6" t="s">
        <v>2156</v>
      </c>
      <c r="O655" s="6" t="s">
        <v>356</v>
      </c>
      <c r="P655" s="6" t="str">
        <f t="shared" si="31"/>
        <v>Category</v>
      </c>
      <c r="Q655" t="str">
        <f t="shared" si="32"/>
        <v>2022</v>
      </c>
    </row>
    <row r="656" spans="1:17">
      <c r="A656" s="162">
        <v>44593</v>
      </c>
      <c r="B656" s="164" t="s">
        <v>2157</v>
      </c>
      <c r="C656" s="164" t="s">
        <v>303</v>
      </c>
      <c r="D656" s="164" t="s">
        <v>150</v>
      </c>
      <c r="E656" s="79">
        <v>44593</v>
      </c>
      <c r="F656" s="6" t="s">
        <v>16</v>
      </c>
      <c r="G656" s="6" t="s">
        <v>2053</v>
      </c>
      <c r="H656" s="170">
        <v>21000</v>
      </c>
      <c r="I656" s="172">
        <f t="shared" si="30"/>
        <v>240.49473202015577</v>
      </c>
      <c r="J656" s="162">
        <v>44593</v>
      </c>
      <c r="K656" s="6" t="s">
        <v>251</v>
      </c>
      <c r="L656" s="162">
        <v>44593</v>
      </c>
      <c r="M656" s="175" t="s">
        <v>5861</v>
      </c>
      <c r="O656" s="6" t="s">
        <v>356</v>
      </c>
      <c r="P656" s="6" t="str">
        <f t="shared" si="31"/>
        <v>SAFe que</v>
      </c>
      <c r="Q656" t="str">
        <f t="shared" si="32"/>
        <v>2022</v>
      </c>
    </row>
    <row r="657" spans="1:17">
      <c r="A657" s="162">
        <v>44594</v>
      </c>
      <c r="B657" s="164" t="s">
        <v>2159</v>
      </c>
      <c r="C657" s="164" t="s">
        <v>278</v>
      </c>
      <c r="D657" s="164" t="s">
        <v>96</v>
      </c>
      <c r="E657" s="79">
        <v>44593</v>
      </c>
      <c r="F657" s="6" t="s">
        <v>16</v>
      </c>
      <c r="G657" s="6" t="s">
        <v>2161</v>
      </c>
      <c r="H657" s="170">
        <v>20000</v>
      </c>
      <c r="I657" s="172">
        <f t="shared" si="30"/>
        <v>229.04260192395787</v>
      </c>
      <c r="J657" s="162">
        <v>44594</v>
      </c>
      <c r="K657" s="6" t="s">
        <v>251</v>
      </c>
      <c r="L657" s="162">
        <v>44594</v>
      </c>
      <c r="M657" s="175" t="s">
        <v>5862</v>
      </c>
      <c r="N657" s="6" t="s">
        <v>2162</v>
      </c>
      <c r="O657" s="6" t="s">
        <v>356</v>
      </c>
      <c r="P657" s="6" t="str">
        <f t="shared" si="31"/>
        <v>Category</v>
      </c>
      <c r="Q657" t="str">
        <f t="shared" si="32"/>
        <v>2022</v>
      </c>
    </row>
    <row r="658" spans="1:17">
      <c r="A658" s="162">
        <v>44594</v>
      </c>
      <c r="B658" s="164" t="s">
        <v>2163</v>
      </c>
      <c r="C658" s="164" t="s">
        <v>278</v>
      </c>
      <c r="D658" s="164" t="s">
        <v>96</v>
      </c>
      <c r="E658" s="79">
        <v>44593</v>
      </c>
      <c r="F658" s="6" t="s">
        <v>16</v>
      </c>
      <c r="G658" s="6" t="s">
        <v>2161</v>
      </c>
      <c r="H658" s="170">
        <v>20000</v>
      </c>
      <c r="I658" s="172">
        <f t="shared" si="30"/>
        <v>229.04260192395787</v>
      </c>
      <c r="J658" s="162">
        <v>44594</v>
      </c>
      <c r="K658" s="6" t="s">
        <v>251</v>
      </c>
      <c r="L658" s="162">
        <v>44594</v>
      </c>
      <c r="M658" s="175" t="s">
        <v>5863</v>
      </c>
      <c r="N658" s="6" t="s">
        <v>2162</v>
      </c>
      <c r="O658" s="6" t="s">
        <v>356</v>
      </c>
      <c r="P658" s="6" t="str">
        <f t="shared" si="31"/>
        <v>Category</v>
      </c>
      <c r="Q658" t="str">
        <f t="shared" si="32"/>
        <v>2022</v>
      </c>
    </row>
    <row r="659" spans="1:17">
      <c r="A659" s="162">
        <v>44595</v>
      </c>
      <c r="B659" s="164" t="s">
        <v>2010</v>
      </c>
      <c r="C659" s="164" t="s">
        <v>278</v>
      </c>
      <c r="D659" s="164" t="s">
        <v>150</v>
      </c>
      <c r="E659" s="79">
        <v>44593</v>
      </c>
      <c r="F659" s="6" t="s">
        <v>16</v>
      </c>
      <c r="G659" s="6" t="s">
        <v>2053</v>
      </c>
      <c r="H659" s="170">
        <v>21000</v>
      </c>
      <c r="I659" s="172">
        <f t="shared" si="30"/>
        <v>240.49473202015577</v>
      </c>
      <c r="J659" s="162">
        <v>44595</v>
      </c>
      <c r="K659" s="6" t="s">
        <v>251</v>
      </c>
      <c r="L659" s="162">
        <v>44595</v>
      </c>
      <c r="M659" s="175" t="s">
        <v>5864</v>
      </c>
      <c r="N659" s="6" t="s">
        <v>2166</v>
      </c>
      <c r="O659" s="6" t="s">
        <v>356</v>
      </c>
      <c r="P659" s="6" t="str">
        <f t="shared" si="31"/>
        <v>SAFe que</v>
      </c>
      <c r="Q659" t="str">
        <f t="shared" si="32"/>
        <v>2022</v>
      </c>
    </row>
    <row r="660" spans="1:17">
      <c r="A660" s="162">
        <v>44595</v>
      </c>
      <c r="B660" s="164" t="s">
        <v>2167</v>
      </c>
      <c r="C660" s="164" t="s">
        <v>303</v>
      </c>
      <c r="D660" s="164" t="s">
        <v>25</v>
      </c>
      <c r="E660" s="79">
        <v>44593</v>
      </c>
      <c r="F660" s="6" t="s">
        <v>16</v>
      </c>
      <c r="G660" s="6" t="s">
        <v>2053</v>
      </c>
      <c r="H660" s="170">
        <v>42000</v>
      </c>
      <c r="I660" s="172">
        <f t="shared" si="30"/>
        <v>480.98946404031153</v>
      </c>
      <c r="J660" s="162">
        <v>44595</v>
      </c>
      <c r="K660" s="6" t="s">
        <v>251</v>
      </c>
      <c r="L660" s="162">
        <v>44595</v>
      </c>
      <c r="M660" s="175" t="s">
        <v>5865</v>
      </c>
      <c r="O660" s="6" t="s">
        <v>356</v>
      </c>
      <c r="P660" s="6" t="str">
        <f t="shared" si="31"/>
        <v>SAFe que</v>
      </c>
      <c r="Q660" t="str">
        <f t="shared" si="32"/>
        <v>2022</v>
      </c>
    </row>
    <row r="661" spans="1:17">
      <c r="A661" s="162">
        <v>44595</v>
      </c>
      <c r="B661" s="164" t="s">
        <v>2171</v>
      </c>
      <c r="C661" s="164" t="s">
        <v>278</v>
      </c>
      <c r="D661" s="164" t="s">
        <v>150</v>
      </c>
      <c r="E661" s="79">
        <v>44593</v>
      </c>
      <c r="F661" s="6" t="s">
        <v>16</v>
      </c>
      <c r="G661" s="6" t="s">
        <v>2173</v>
      </c>
      <c r="H661" s="170">
        <v>21000</v>
      </c>
      <c r="I661" s="172">
        <f t="shared" si="30"/>
        <v>240.49473202015577</v>
      </c>
      <c r="J661" s="162">
        <v>44595</v>
      </c>
      <c r="K661" s="6" t="s">
        <v>251</v>
      </c>
      <c r="L661" s="162">
        <v>44596</v>
      </c>
      <c r="M661" s="175" t="s">
        <v>5866</v>
      </c>
      <c r="N661" s="6" t="s">
        <v>2174</v>
      </c>
      <c r="O661" s="6" t="s">
        <v>356</v>
      </c>
      <c r="P661" s="6" t="str">
        <f t="shared" si="31"/>
        <v>SAFe que</v>
      </c>
      <c r="Q661" t="str">
        <f t="shared" si="32"/>
        <v>2022</v>
      </c>
    </row>
    <row r="662" spans="1:17">
      <c r="A662" s="162">
        <v>44596</v>
      </c>
      <c r="B662" s="164" t="s">
        <v>2175</v>
      </c>
      <c r="C662" s="164" t="s">
        <v>319</v>
      </c>
      <c r="D662" s="164" t="s">
        <v>6</v>
      </c>
      <c r="E662" s="79">
        <v>44593</v>
      </c>
      <c r="F662" s="6" t="s">
        <v>16</v>
      </c>
      <c r="G662" s="6" t="s">
        <v>2053</v>
      </c>
      <c r="H662" s="170">
        <v>42000</v>
      </c>
      <c r="I662" s="172">
        <f t="shared" si="30"/>
        <v>480.98946404031153</v>
      </c>
      <c r="J662" s="162">
        <v>44596</v>
      </c>
      <c r="K662" s="6" t="s">
        <v>251</v>
      </c>
      <c r="L662" s="162">
        <v>44596</v>
      </c>
      <c r="M662" s="175" t="s">
        <v>5867</v>
      </c>
      <c r="O662" s="6" t="s">
        <v>356</v>
      </c>
      <c r="P662" s="6" t="str">
        <f t="shared" si="31"/>
        <v>SAFe que</v>
      </c>
      <c r="Q662" t="str">
        <f t="shared" si="32"/>
        <v>2022</v>
      </c>
    </row>
    <row r="663" spans="1:17">
      <c r="A663" s="162">
        <v>44596</v>
      </c>
      <c r="B663" s="164" t="s">
        <v>1331</v>
      </c>
      <c r="C663" s="164" t="s">
        <v>306</v>
      </c>
      <c r="D663" s="164" t="s">
        <v>1524</v>
      </c>
      <c r="E663" s="79">
        <v>44593</v>
      </c>
      <c r="F663" s="6" t="s">
        <v>16</v>
      </c>
      <c r="G663" s="6" t="s">
        <v>2178</v>
      </c>
      <c r="H663" s="170">
        <v>24000</v>
      </c>
      <c r="I663" s="172">
        <f t="shared" si="30"/>
        <v>274.85112230874944</v>
      </c>
      <c r="J663" s="162">
        <v>44596</v>
      </c>
      <c r="K663" s="6" t="s">
        <v>251</v>
      </c>
      <c r="L663" s="162">
        <v>44596</v>
      </c>
      <c r="M663" s="175" t="s">
        <v>5868</v>
      </c>
      <c r="O663" s="6" t="s">
        <v>356</v>
      </c>
      <c r="P663" s="6" t="str">
        <f t="shared" si="31"/>
        <v>SAFe que</v>
      </c>
      <c r="Q663" t="str">
        <f t="shared" si="32"/>
        <v>2022</v>
      </c>
    </row>
    <row r="664" spans="1:17">
      <c r="A664" s="162">
        <v>44597</v>
      </c>
      <c r="B664" s="164" t="s">
        <v>1471</v>
      </c>
      <c r="C664" s="164" t="s">
        <v>278</v>
      </c>
      <c r="D664" s="164" t="s">
        <v>1524</v>
      </c>
      <c r="E664" s="79">
        <v>44593</v>
      </c>
      <c r="F664" s="6" t="s">
        <v>16</v>
      </c>
      <c r="G664" s="6" t="s">
        <v>2180</v>
      </c>
      <c r="H664" s="170">
        <v>24000</v>
      </c>
      <c r="I664" s="172">
        <f t="shared" si="30"/>
        <v>274.85112230874944</v>
      </c>
      <c r="J664" s="162">
        <v>44597</v>
      </c>
      <c r="K664" s="6" t="s">
        <v>251</v>
      </c>
      <c r="L664" s="162">
        <v>44597</v>
      </c>
      <c r="M664" s="175" t="s">
        <v>5869</v>
      </c>
      <c r="N664" s="6" t="s">
        <v>2181</v>
      </c>
      <c r="O664" s="6" t="s">
        <v>356</v>
      </c>
      <c r="P664" s="6" t="str">
        <f t="shared" si="31"/>
        <v>SAFe que</v>
      </c>
      <c r="Q664" t="str">
        <f t="shared" si="32"/>
        <v>2022</v>
      </c>
    </row>
    <row r="665" spans="1:17">
      <c r="A665" s="162">
        <v>44599</v>
      </c>
      <c r="B665" s="164" t="s">
        <v>2182</v>
      </c>
      <c r="C665" s="164" t="s">
        <v>319</v>
      </c>
      <c r="D665" s="164" t="s">
        <v>2184</v>
      </c>
      <c r="E665" s="79">
        <v>44593</v>
      </c>
      <c r="F665" s="6" t="s">
        <v>16</v>
      </c>
      <c r="G665" s="97">
        <v>44599</v>
      </c>
      <c r="H665" s="170">
        <v>0</v>
      </c>
      <c r="I665" s="172">
        <v>0</v>
      </c>
      <c r="J665" s="162">
        <v>44599</v>
      </c>
      <c r="K665" s="6" t="s">
        <v>251</v>
      </c>
      <c r="L665" s="162">
        <v>44599</v>
      </c>
      <c r="M665" s="175" t="s">
        <v>5870</v>
      </c>
      <c r="O665" s="6" t="s">
        <v>356</v>
      </c>
      <c r="P665" s="6" t="str">
        <f t="shared" si="31"/>
        <v>NonCategory</v>
      </c>
      <c r="Q665" t="str">
        <f t="shared" si="32"/>
        <v>2022</v>
      </c>
    </row>
    <row r="666" spans="1:17">
      <c r="A666" s="162">
        <v>44599</v>
      </c>
      <c r="B666" s="164" t="s">
        <v>2185</v>
      </c>
      <c r="C666" s="164" t="s">
        <v>470</v>
      </c>
      <c r="D666" s="164" t="s">
        <v>25</v>
      </c>
      <c r="E666" s="79">
        <v>44593</v>
      </c>
      <c r="F666" s="6" t="s">
        <v>16</v>
      </c>
      <c r="G666" s="6" t="s">
        <v>2104</v>
      </c>
      <c r="H666" s="170">
        <v>42000</v>
      </c>
      <c r="I666" s="172">
        <v>481</v>
      </c>
      <c r="J666" s="162">
        <v>44599</v>
      </c>
      <c r="K666" s="6" t="s">
        <v>251</v>
      </c>
      <c r="L666" s="162">
        <v>44599</v>
      </c>
      <c r="M666" s="175" t="s">
        <v>5871</v>
      </c>
      <c r="O666" s="6" t="s">
        <v>356</v>
      </c>
      <c r="P666" s="6" t="str">
        <f t="shared" si="31"/>
        <v>SAFe que</v>
      </c>
      <c r="Q666" t="str">
        <f t="shared" si="32"/>
        <v>2022</v>
      </c>
    </row>
    <row r="667" spans="1:17">
      <c r="A667" s="162">
        <v>44599</v>
      </c>
      <c r="B667" s="164" t="s">
        <v>2187</v>
      </c>
      <c r="C667" s="164" t="s">
        <v>278</v>
      </c>
      <c r="D667" s="164" t="s">
        <v>150</v>
      </c>
      <c r="E667" s="79">
        <v>44593</v>
      </c>
      <c r="F667" s="6" t="s">
        <v>16</v>
      </c>
      <c r="G667" s="6" t="s">
        <v>2097</v>
      </c>
      <c r="H667" s="170">
        <v>21000</v>
      </c>
      <c r="I667" s="172">
        <v>250</v>
      </c>
      <c r="J667" s="162">
        <v>44599</v>
      </c>
      <c r="K667" s="6" t="s">
        <v>251</v>
      </c>
      <c r="L667" s="162">
        <v>44599</v>
      </c>
      <c r="M667" s="175" t="s">
        <v>5872</v>
      </c>
      <c r="N667" s="6" t="s">
        <v>2189</v>
      </c>
      <c r="O667" s="6" t="s">
        <v>356</v>
      </c>
      <c r="P667" s="6" t="str">
        <f t="shared" si="31"/>
        <v>SAFe que</v>
      </c>
      <c r="Q667" t="str">
        <f t="shared" si="32"/>
        <v>2022</v>
      </c>
    </row>
    <row r="668" spans="1:17">
      <c r="A668" s="162">
        <v>44600</v>
      </c>
      <c r="B668" s="164" t="s">
        <v>2190</v>
      </c>
      <c r="C668" s="164" t="s">
        <v>1731</v>
      </c>
      <c r="D668" s="164" t="s">
        <v>150</v>
      </c>
      <c r="E668" s="79">
        <v>44593</v>
      </c>
      <c r="F668" s="6" t="s">
        <v>16</v>
      </c>
      <c r="G668" s="6" t="s">
        <v>2097</v>
      </c>
      <c r="H668" s="170">
        <v>21000</v>
      </c>
      <c r="I668" s="172">
        <f t="shared" ref="I668:I699" si="33">IFERROR((($H668/1.18))/74,"")</f>
        <v>240.49473202015577</v>
      </c>
      <c r="J668" s="162">
        <v>44600</v>
      </c>
      <c r="K668" s="6" t="s">
        <v>251</v>
      </c>
      <c r="L668" s="162">
        <v>44600</v>
      </c>
      <c r="M668" s="175" t="s">
        <v>5873</v>
      </c>
      <c r="O668" s="6" t="s">
        <v>356</v>
      </c>
      <c r="P668" s="6" t="str">
        <f t="shared" si="31"/>
        <v>SAFe que</v>
      </c>
      <c r="Q668" t="str">
        <f t="shared" si="32"/>
        <v>2022</v>
      </c>
    </row>
    <row r="669" spans="1:17">
      <c r="A669" s="162">
        <v>44601</v>
      </c>
      <c r="B669" s="164" t="s">
        <v>2192</v>
      </c>
      <c r="C669" s="164" t="s">
        <v>278</v>
      </c>
      <c r="D669" s="164" t="s">
        <v>96</v>
      </c>
      <c r="E669" s="79">
        <v>44593</v>
      </c>
      <c r="F669" s="6" t="s">
        <v>16</v>
      </c>
      <c r="G669" s="6" t="s">
        <v>2194</v>
      </c>
      <c r="H669" s="170">
        <v>20000</v>
      </c>
      <c r="I669" s="172">
        <f t="shared" si="33"/>
        <v>229.04260192395787</v>
      </c>
      <c r="J669" s="162">
        <v>44601</v>
      </c>
      <c r="K669" s="6" t="s">
        <v>251</v>
      </c>
      <c r="L669" s="162">
        <v>44602</v>
      </c>
      <c r="M669" s="175" t="s">
        <v>5874</v>
      </c>
      <c r="N669" s="6" t="s">
        <v>2127</v>
      </c>
      <c r="O669" s="6" t="s">
        <v>356</v>
      </c>
      <c r="P669" s="6" t="str">
        <f t="shared" si="31"/>
        <v>Category</v>
      </c>
      <c r="Q669" t="str">
        <f t="shared" si="32"/>
        <v>2022</v>
      </c>
    </row>
    <row r="670" spans="1:17">
      <c r="A670" s="162">
        <v>44602</v>
      </c>
      <c r="B670" s="164" t="s">
        <v>2195</v>
      </c>
      <c r="C670" s="164" t="s">
        <v>287</v>
      </c>
      <c r="D670" s="164" t="s">
        <v>96</v>
      </c>
      <c r="E670" s="79">
        <v>44593</v>
      </c>
      <c r="F670" s="6" t="s">
        <v>16</v>
      </c>
      <c r="G670" s="6" t="s">
        <v>2180</v>
      </c>
      <c r="H670" s="170">
        <v>20000</v>
      </c>
      <c r="I670" s="172">
        <f t="shared" si="33"/>
        <v>229.04260192395787</v>
      </c>
      <c r="J670" s="162">
        <v>44602</v>
      </c>
      <c r="K670" s="6" t="s">
        <v>251</v>
      </c>
      <c r="L670" s="162">
        <v>44602</v>
      </c>
      <c r="M670" s="175" t="s">
        <v>5875</v>
      </c>
      <c r="O670" s="6" t="s">
        <v>356</v>
      </c>
      <c r="P670" s="6" t="str">
        <f t="shared" si="31"/>
        <v>Category</v>
      </c>
      <c r="Q670" t="str">
        <f t="shared" si="32"/>
        <v>2022</v>
      </c>
    </row>
    <row r="671" spans="1:17">
      <c r="A671" s="162">
        <v>44602</v>
      </c>
      <c r="B671" s="164" t="s">
        <v>2197</v>
      </c>
      <c r="C671" s="164" t="s">
        <v>278</v>
      </c>
      <c r="D671" s="164" t="s">
        <v>25</v>
      </c>
      <c r="E671" s="79">
        <v>44593</v>
      </c>
      <c r="F671" s="6" t="s">
        <v>16</v>
      </c>
      <c r="G671" s="6" t="s">
        <v>2097</v>
      </c>
      <c r="H671" s="170">
        <v>44364</v>
      </c>
      <c r="I671" s="172">
        <f t="shared" si="33"/>
        <v>508.06229958772332</v>
      </c>
      <c r="J671" s="162">
        <v>44602</v>
      </c>
      <c r="K671" s="6" t="s">
        <v>251</v>
      </c>
      <c r="L671" s="162">
        <v>44602</v>
      </c>
      <c r="M671" s="175" t="s">
        <v>5876</v>
      </c>
      <c r="N671" s="6" t="s">
        <v>2199</v>
      </c>
      <c r="O671" s="6" t="s">
        <v>356</v>
      </c>
      <c r="P671" s="6" t="str">
        <f t="shared" si="31"/>
        <v>SAFe que</v>
      </c>
      <c r="Q671" t="str">
        <f t="shared" si="32"/>
        <v>2022</v>
      </c>
    </row>
    <row r="672" spans="1:17">
      <c r="A672" s="162">
        <v>44603</v>
      </c>
      <c r="B672" s="164" t="s">
        <v>2200</v>
      </c>
      <c r="C672" s="164" t="s">
        <v>303</v>
      </c>
      <c r="D672" s="164" t="s">
        <v>150</v>
      </c>
      <c r="E672" s="79">
        <v>44593</v>
      </c>
      <c r="F672" s="6" t="s">
        <v>16</v>
      </c>
      <c r="G672" s="6" t="s">
        <v>2104</v>
      </c>
      <c r="H672" s="170">
        <v>21000</v>
      </c>
      <c r="I672" s="172">
        <f t="shared" si="33"/>
        <v>240.49473202015577</v>
      </c>
      <c r="J672" s="162">
        <v>44603</v>
      </c>
      <c r="K672" s="6" t="s">
        <v>252</v>
      </c>
      <c r="L672" s="162">
        <v>44606</v>
      </c>
      <c r="M672" s="175" t="s">
        <v>5877</v>
      </c>
      <c r="O672" s="6" t="s">
        <v>356</v>
      </c>
      <c r="P672" s="6" t="str">
        <f t="shared" si="31"/>
        <v>SAFe que</v>
      </c>
      <c r="Q672" t="str">
        <f t="shared" si="32"/>
        <v>2022</v>
      </c>
    </row>
    <row r="673" spans="1:17">
      <c r="A673" s="162">
        <v>44603</v>
      </c>
      <c r="B673" s="165" t="s">
        <v>2202</v>
      </c>
      <c r="C673" s="165" t="s">
        <v>306</v>
      </c>
      <c r="D673" s="164" t="s">
        <v>25</v>
      </c>
      <c r="E673" s="79">
        <v>44593</v>
      </c>
      <c r="F673" s="6" t="s">
        <v>16</v>
      </c>
      <c r="G673" s="6" t="s">
        <v>2097</v>
      </c>
      <c r="H673" s="170">
        <v>42000</v>
      </c>
      <c r="I673" s="172">
        <f t="shared" si="33"/>
        <v>480.98946404031153</v>
      </c>
      <c r="J673" s="162">
        <v>44603</v>
      </c>
      <c r="K673" s="6" t="s">
        <v>252</v>
      </c>
      <c r="L673" s="162">
        <v>44603</v>
      </c>
      <c r="M673" s="175" t="s">
        <v>5878</v>
      </c>
      <c r="O673" s="6" t="s">
        <v>356</v>
      </c>
      <c r="P673" s="6" t="str">
        <f t="shared" si="31"/>
        <v>SAFe que</v>
      </c>
      <c r="Q673" t="str">
        <f t="shared" si="32"/>
        <v>2022</v>
      </c>
    </row>
    <row r="674" spans="1:17">
      <c r="A674" s="162">
        <v>44603</v>
      </c>
      <c r="B674" s="164" t="s">
        <v>2204</v>
      </c>
      <c r="C674" s="164" t="s">
        <v>303</v>
      </c>
      <c r="D674" s="164" t="s">
        <v>150</v>
      </c>
      <c r="E674" s="79">
        <v>44593</v>
      </c>
      <c r="F674" s="6" t="s">
        <v>16</v>
      </c>
      <c r="G674" s="6" t="s">
        <v>2155</v>
      </c>
      <c r="H674" s="170">
        <v>21000</v>
      </c>
      <c r="I674" s="172">
        <f t="shared" si="33"/>
        <v>240.49473202015577</v>
      </c>
      <c r="J674" s="162">
        <v>44603</v>
      </c>
      <c r="K674" s="6" t="s">
        <v>252</v>
      </c>
      <c r="L674" s="162">
        <v>44603</v>
      </c>
      <c r="M674" s="175" t="s">
        <v>5879</v>
      </c>
      <c r="O674" s="6" t="s">
        <v>356</v>
      </c>
      <c r="P674" s="6" t="str">
        <f t="shared" si="31"/>
        <v>SAFe que</v>
      </c>
      <c r="Q674" t="str">
        <f t="shared" si="32"/>
        <v>2022</v>
      </c>
    </row>
    <row r="675" spans="1:17">
      <c r="A675" s="162">
        <v>44604</v>
      </c>
      <c r="B675" s="164" t="s">
        <v>2206</v>
      </c>
      <c r="C675" s="164" t="s">
        <v>303</v>
      </c>
      <c r="D675" s="164" t="s">
        <v>976</v>
      </c>
      <c r="E675" s="79">
        <v>44593</v>
      </c>
      <c r="F675" s="6" t="s">
        <v>16</v>
      </c>
      <c r="G675" s="97">
        <v>44606</v>
      </c>
      <c r="H675" s="170">
        <v>16000</v>
      </c>
      <c r="I675" s="172">
        <f t="shared" si="33"/>
        <v>183.23408153916631</v>
      </c>
      <c r="J675" s="162">
        <v>44604</v>
      </c>
      <c r="K675" s="6" t="s">
        <v>252</v>
      </c>
      <c r="L675" s="162">
        <v>44604</v>
      </c>
      <c r="M675" s="175" t="s">
        <v>5880</v>
      </c>
      <c r="O675" s="6" t="s">
        <v>356</v>
      </c>
      <c r="P675" s="6" t="str">
        <f t="shared" si="31"/>
        <v>NonCategory</v>
      </c>
      <c r="Q675" t="str">
        <f t="shared" si="32"/>
        <v>2022</v>
      </c>
    </row>
    <row r="676" spans="1:17">
      <c r="A676" s="162">
        <v>44604</v>
      </c>
      <c r="B676" s="164" t="s">
        <v>2208</v>
      </c>
      <c r="C676" s="164" t="s">
        <v>278</v>
      </c>
      <c r="D676" s="164" t="s">
        <v>150</v>
      </c>
      <c r="E676" s="79">
        <v>44593</v>
      </c>
      <c r="F676" s="6" t="s">
        <v>16</v>
      </c>
      <c r="G676" s="6" t="s">
        <v>2104</v>
      </c>
      <c r="H676" s="170">
        <v>21000</v>
      </c>
      <c r="I676" s="172">
        <f t="shared" si="33"/>
        <v>240.49473202015577</v>
      </c>
      <c r="J676" s="162">
        <v>44604</v>
      </c>
      <c r="K676" s="6" t="s">
        <v>252</v>
      </c>
      <c r="L676" s="162">
        <v>44604</v>
      </c>
      <c r="M676" s="175" t="s">
        <v>5881</v>
      </c>
      <c r="N676" s="6" t="s">
        <v>2210</v>
      </c>
      <c r="O676" s="6" t="s">
        <v>356</v>
      </c>
      <c r="P676" s="6" t="str">
        <f t="shared" si="31"/>
        <v>SAFe que</v>
      </c>
      <c r="Q676" t="str">
        <f t="shared" si="32"/>
        <v>2022</v>
      </c>
    </row>
    <row r="677" spans="1:17">
      <c r="A677" s="162">
        <v>44606</v>
      </c>
      <c r="B677" s="164" t="s">
        <v>2065</v>
      </c>
      <c r="C677" s="164" t="s">
        <v>470</v>
      </c>
      <c r="D677" s="164" t="s">
        <v>538</v>
      </c>
      <c r="E677" s="79">
        <v>44593</v>
      </c>
      <c r="F677" s="6" t="s">
        <v>16</v>
      </c>
      <c r="G677" s="97">
        <v>44613</v>
      </c>
      <c r="H677" s="170">
        <v>13500</v>
      </c>
      <c r="I677" s="172">
        <f t="shared" si="33"/>
        <v>154.60375629867156</v>
      </c>
      <c r="J677" s="162">
        <v>44606</v>
      </c>
      <c r="K677" s="6" t="s">
        <v>252</v>
      </c>
      <c r="L677" s="162">
        <v>44606</v>
      </c>
      <c r="M677" s="175" t="s">
        <v>5882</v>
      </c>
      <c r="O677" s="6" t="s">
        <v>356</v>
      </c>
      <c r="P677" s="6" t="str">
        <f t="shared" si="31"/>
        <v>NonCategory</v>
      </c>
      <c r="Q677" t="str">
        <f t="shared" si="32"/>
        <v>2022</v>
      </c>
    </row>
    <row r="678" spans="1:17">
      <c r="A678" s="162">
        <v>44606</v>
      </c>
      <c r="B678" s="164" t="s">
        <v>2211</v>
      </c>
      <c r="C678" s="164" t="s">
        <v>278</v>
      </c>
      <c r="D678" s="164" t="s">
        <v>96</v>
      </c>
      <c r="E678" s="79">
        <v>44593</v>
      </c>
      <c r="F678" s="6" t="s">
        <v>16</v>
      </c>
      <c r="G678" s="6" t="s">
        <v>2194</v>
      </c>
      <c r="H678" s="170">
        <v>20000</v>
      </c>
      <c r="I678" s="172">
        <f t="shared" si="33"/>
        <v>229.04260192395787</v>
      </c>
      <c r="J678" s="162">
        <v>44606</v>
      </c>
      <c r="K678" s="6" t="s">
        <v>252</v>
      </c>
      <c r="L678" s="162">
        <v>44606</v>
      </c>
      <c r="M678" s="175" t="s">
        <v>5883</v>
      </c>
      <c r="N678" s="6" t="s">
        <v>2213</v>
      </c>
      <c r="O678" s="6" t="s">
        <v>356</v>
      </c>
      <c r="P678" s="6" t="str">
        <f t="shared" si="31"/>
        <v>Category</v>
      </c>
      <c r="Q678" t="str">
        <f t="shared" si="32"/>
        <v>2022</v>
      </c>
    </row>
    <row r="679" spans="1:17">
      <c r="A679" s="162">
        <v>44606</v>
      </c>
      <c r="B679" s="164" t="s">
        <v>2214</v>
      </c>
      <c r="C679" s="164" t="s">
        <v>278</v>
      </c>
      <c r="D679" s="164" t="s">
        <v>96</v>
      </c>
      <c r="E679" s="79">
        <v>44593</v>
      </c>
      <c r="F679" s="6" t="s">
        <v>16</v>
      </c>
      <c r="G679" s="6" t="s">
        <v>2149</v>
      </c>
      <c r="H679" s="170">
        <v>20000</v>
      </c>
      <c r="I679" s="172">
        <f t="shared" si="33"/>
        <v>229.04260192395787</v>
      </c>
      <c r="J679" s="162">
        <v>44606</v>
      </c>
      <c r="K679" s="6" t="s">
        <v>252</v>
      </c>
      <c r="L679" s="162">
        <v>44606</v>
      </c>
      <c r="M679" s="175" t="s">
        <v>5884</v>
      </c>
      <c r="N679" s="6" t="s">
        <v>2091</v>
      </c>
      <c r="O679" s="6" t="s">
        <v>356</v>
      </c>
      <c r="P679" s="6" t="str">
        <f t="shared" si="31"/>
        <v>Category</v>
      </c>
      <c r="Q679" t="str">
        <f t="shared" si="32"/>
        <v>2022</v>
      </c>
    </row>
    <row r="680" spans="1:17">
      <c r="A680" s="162">
        <v>44606</v>
      </c>
      <c r="B680" s="164" t="s">
        <v>2216</v>
      </c>
      <c r="C680" s="164" t="s">
        <v>291</v>
      </c>
      <c r="D680" s="164" t="s">
        <v>96</v>
      </c>
      <c r="E680" s="79">
        <v>44593</v>
      </c>
      <c r="F680" s="6" t="s">
        <v>16</v>
      </c>
      <c r="G680" s="6" t="s">
        <v>2218</v>
      </c>
      <c r="H680" s="170">
        <v>20000</v>
      </c>
      <c r="I680" s="172">
        <f t="shared" si="33"/>
        <v>229.04260192395787</v>
      </c>
      <c r="J680" s="162">
        <v>44606</v>
      </c>
      <c r="K680" s="6" t="s">
        <v>252</v>
      </c>
      <c r="L680" s="162">
        <v>44606</v>
      </c>
      <c r="M680" s="175" t="s">
        <v>5885</v>
      </c>
      <c r="O680" s="6" t="s">
        <v>356</v>
      </c>
      <c r="P680" s="6" t="str">
        <f t="shared" si="31"/>
        <v>Category</v>
      </c>
      <c r="Q680" t="str">
        <f t="shared" si="32"/>
        <v>2022</v>
      </c>
    </row>
    <row r="681" spans="1:17">
      <c r="A681" s="162">
        <v>44607</v>
      </c>
      <c r="B681" s="164" t="s">
        <v>2219</v>
      </c>
      <c r="C681" s="164" t="s">
        <v>303</v>
      </c>
      <c r="D681" s="164" t="s">
        <v>97</v>
      </c>
      <c r="E681" s="79">
        <v>44593</v>
      </c>
      <c r="F681" s="6" t="s">
        <v>16</v>
      </c>
      <c r="G681" s="6" t="s">
        <v>2218</v>
      </c>
      <c r="H681" s="170">
        <v>19000</v>
      </c>
      <c r="I681" s="172">
        <f t="shared" si="33"/>
        <v>217.59047182775998</v>
      </c>
      <c r="J681" s="162">
        <v>44607</v>
      </c>
      <c r="K681" s="6" t="s">
        <v>252</v>
      </c>
      <c r="L681" s="162">
        <v>44607</v>
      </c>
      <c r="M681" s="175" t="s">
        <v>5886</v>
      </c>
      <c r="O681" s="6" t="s">
        <v>356</v>
      </c>
      <c r="P681" s="6" t="str">
        <f t="shared" si="31"/>
        <v>Category</v>
      </c>
      <c r="Q681" t="str">
        <f t="shared" si="32"/>
        <v>2022</v>
      </c>
    </row>
    <row r="682" spans="1:17">
      <c r="A682" s="162">
        <v>44608</v>
      </c>
      <c r="B682" s="164" t="s">
        <v>2221</v>
      </c>
      <c r="C682" s="164" t="s">
        <v>291</v>
      </c>
      <c r="D682" s="164" t="s">
        <v>96</v>
      </c>
      <c r="E682" s="79">
        <v>44593</v>
      </c>
      <c r="F682" s="6" t="s">
        <v>16</v>
      </c>
      <c r="G682" s="6" t="s">
        <v>2223</v>
      </c>
      <c r="H682" s="170">
        <v>20000</v>
      </c>
      <c r="I682" s="172">
        <f t="shared" si="33"/>
        <v>229.04260192395787</v>
      </c>
      <c r="J682" s="162">
        <v>44608</v>
      </c>
      <c r="K682" s="6" t="s">
        <v>252</v>
      </c>
      <c r="L682" s="162">
        <v>44610</v>
      </c>
      <c r="M682" s="175" t="s">
        <v>5887</v>
      </c>
      <c r="O682" s="6" t="s">
        <v>356</v>
      </c>
      <c r="P682" s="6" t="str">
        <f t="shared" si="31"/>
        <v>Category</v>
      </c>
      <c r="Q682" t="str">
        <f t="shared" si="32"/>
        <v>2022</v>
      </c>
    </row>
    <row r="683" spans="1:17">
      <c r="A683" s="162">
        <v>44608</v>
      </c>
      <c r="B683" s="164" t="s">
        <v>2224</v>
      </c>
      <c r="C683" s="164" t="s">
        <v>278</v>
      </c>
      <c r="D683" s="164" t="s">
        <v>96</v>
      </c>
      <c r="E683" s="79">
        <v>44593</v>
      </c>
      <c r="F683" s="6" t="s">
        <v>16</v>
      </c>
      <c r="G683" s="6" t="s">
        <v>2226</v>
      </c>
      <c r="H683" s="170">
        <v>19000</v>
      </c>
      <c r="I683" s="172">
        <f t="shared" si="33"/>
        <v>217.59047182775998</v>
      </c>
      <c r="J683" s="162">
        <v>44608</v>
      </c>
      <c r="K683" s="6" t="s">
        <v>252</v>
      </c>
      <c r="L683" s="162">
        <v>44608</v>
      </c>
      <c r="M683" s="175" t="s">
        <v>5888</v>
      </c>
      <c r="N683" s="6" t="s">
        <v>2227</v>
      </c>
      <c r="O683" s="6" t="s">
        <v>356</v>
      </c>
      <c r="P683" s="6" t="str">
        <f t="shared" si="31"/>
        <v>Category</v>
      </c>
      <c r="Q683" t="str">
        <f t="shared" si="32"/>
        <v>2022</v>
      </c>
    </row>
    <row r="684" spans="1:17">
      <c r="A684" s="162">
        <v>44608</v>
      </c>
      <c r="B684" s="164" t="s">
        <v>2228</v>
      </c>
      <c r="C684" s="164" t="s">
        <v>319</v>
      </c>
      <c r="D684" s="164" t="s">
        <v>25</v>
      </c>
      <c r="E684" s="79">
        <v>44593</v>
      </c>
      <c r="F684" s="6" t="s">
        <v>16</v>
      </c>
      <c r="G684" s="6" t="s">
        <v>2104</v>
      </c>
      <c r="H684" s="170">
        <v>40000</v>
      </c>
      <c r="I684" s="172">
        <f t="shared" si="33"/>
        <v>458.08520384791575</v>
      </c>
      <c r="J684" s="162">
        <v>44608</v>
      </c>
      <c r="K684" s="6" t="s">
        <v>252</v>
      </c>
      <c r="L684" s="162">
        <v>44609</v>
      </c>
      <c r="M684" s="175" t="s">
        <v>5889</v>
      </c>
      <c r="O684" s="6" t="s">
        <v>356</v>
      </c>
      <c r="P684" s="6" t="str">
        <f t="shared" si="31"/>
        <v>SAFe que</v>
      </c>
      <c r="Q684" t="str">
        <f t="shared" si="32"/>
        <v>2022</v>
      </c>
    </row>
    <row r="685" spans="1:17">
      <c r="A685" s="162">
        <v>44609</v>
      </c>
      <c r="B685" s="164" t="s">
        <v>2230</v>
      </c>
      <c r="C685" s="164" t="s">
        <v>287</v>
      </c>
      <c r="D685" s="164" t="s">
        <v>150</v>
      </c>
      <c r="E685" s="79">
        <v>44593</v>
      </c>
      <c r="F685" s="6" t="s">
        <v>16</v>
      </c>
      <c r="G685" s="6" t="s">
        <v>2180</v>
      </c>
      <c r="H685" s="170">
        <v>21000</v>
      </c>
      <c r="I685" s="172">
        <f t="shared" si="33"/>
        <v>240.49473202015577</v>
      </c>
      <c r="J685" s="162">
        <v>44609</v>
      </c>
      <c r="K685" s="6" t="s">
        <v>252</v>
      </c>
      <c r="L685" s="162">
        <v>44609</v>
      </c>
      <c r="M685" s="175" t="s">
        <v>5890</v>
      </c>
      <c r="O685" s="6" t="s">
        <v>356</v>
      </c>
      <c r="P685" s="6" t="str">
        <f t="shared" si="31"/>
        <v>SAFe que</v>
      </c>
      <c r="Q685" t="str">
        <f t="shared" si="32"/>
        <v>2022</v>
      </c>
    </row>
    <row r="686" spans="1:17">
      <c r="A686" s="162">
        <v>44609</v>
      </c>
      <c r="B686" s="164" t="s">
        <v>2232</v>
      </c>
      <c r="C686" s="164" t="s">
        <v>278</v>
      </c>
      <c r="D686" s="164" t="s">
        <v>96</v>
      </c>
      <c r="E686" s="79">
        <v>44593</v>
      </c>
      <c r="F686" s="6" t="s">
        <v>16</v>
      </c>
      <c r="G686" s="6" t="s">
        <v>2218</v>
      </c>
      <c r="H686" s="170">
        <v>20000</v>
      </c>
      <c r="I686" s="172">
        <f t="shared" si="33"/>
        <v>229.04260192395787</v>
      </c>
      <c r="J686" s="162">
        <v>44609</v>
      </c>
      <c r="K686" s="6" t="s">
        <v>252</v>
      </c>
      <c r="L686" s="162">
        <v>44609</v>
      </c>
      <c r="M686" s="175" t="s">
        <v>5891</v>
      </c>
      <c r="N686" s="6" t="s">
        <v>2234</v>
      </c>
      <c r="O686" s="6" t="s">
        <v>356</v>
      </c>
      <c r="P686" s="6" t="str">
        <f t="shared" si="31"/>
        <v>Category</v>
      </c>
      <c r="Q686" t="str">
        <f t="shared" si="32"/>
        <v>2022</v>
      </c>
    </row>
    <row r="687" spans="1:17">
      <c r="A687" s="162">
        <v>44609</v>
      </c>
      <c r="B687" s="164" t="s">
        <v>2235</v>
      </c>
      <c r="C687" s="164" t="s">
        <v>303</v>
      </c>
      <c r="D687" s="164" t="s">
        <v>538</v>
      </c>
      <c r="E687" s="79">
        <v>44593</v>
      </c>
      <c r="F687" s="6" t="s">
        <v>16</v>
      </c>
      <c r="G687" s="97">
        <v>44609</v>
      </c>
      <c r="H687" s="170">
        <v>29000</v>
      </c>
      <c r="I687" s="172">
        <f t="shared" si="33"/>
        <v>332.11177278973895</v>
      </c>
      <c r="J687" s="162">
        <v>44609</v>
      </c>
      <c r="K687" s="6" t="s">
        <v>252</v>
      </c>
      <c r="L687" s="162">
        <v>44611</v>
      </c>
      <c r="M687" s="175" t="s">
        <v>5892</v>
      </c>
      <c r="O687" s="6" t="s">
        <v>356</v>
      </c>
      <c r="P687" s="6" t="str">
        <f t="shared" si="31"/>
        <v>NonCategory</v>
      </c>
      <c r="Q687" t="str">
        <f t="shared" si="32"/>
        <v>2022</v>
      </c>
    </row>
    <row r="688" spans="1:17">
      <c r="A688" s="162">
        <v>44610</v>
      </c>
      <c r="B688" s="164" t="s">
        <v>2237</v>
      </c>
      <c r="C688" s="164" t="s">
        <v>278</v>
      </c>
      <c r="D688" s="164" t="s">
        <v>1524</v>
      </c>
      <c r="E688" s="79">
        <v>44593</v>
      </c>
      <c r="F688" s="6" t="s">
        <v>16</v>
      </c>
      <c r="G688" s="6" t="s">
        <v>2180</v>
      </c>
      <c r="H688" s="170">
        <v>24000</v>
      </c>
      <c r="I688" s="172">
        <f t="shared" si="33"/>
        <v>274.85112230874944</v>
      </c>
      <c r="J688" s="162">
        <v>44610</v>
      </c>
      <c r="K688" s="6" t="s">
        <v>252</v>
      </c>
      <c r="L688" s="162">
        <v>44610</v>
      </c>
      <c r="M688" s="175" t="s">
        <v>5893</v>
      </c>
      <c r="N688" s="6" t="s">
        <v>2156</v>
      </c>
      <c r="O688" s="6" t="s">
        <v>356</v>
      </c>
      <c r="P688" s="6" t="str">
        <f t="shared" si="31"/>
        <v>SAFe que</v>
      </c>
      <c r="Q688" t="str">
        <f t="shared" si="32"/>
        <v>2022</v>
      </c>
    </row>
    <row r="689" spans="1:17">
      <c r="A689" s="162">
        <v>44610</v>
      </c>
      <c r="B689" s="164" t="s">
        <v>2239</v>
      </c>
      <c r="C689" s="164" t="s">
        <v>278</v>
      </c>
      <c r="D689" s="164" t="s">
        <v>150</v>
      </c>
      <c r="E689" s="79">
        <v>44593</v>
      </c>
      <c r="F689" s="6" t="s">
        <v>16</v>
      </c>
      <c r="G689" s="6" t="s">
        <v>2180</v>
      </c>
      <c r="H689" s="170">
        <v>21000</v>
      </c>
      <c r="I689" s="172">
        <f t="shared" si="33"/>
        <v>240.49473202015577</v>
      </c>
      <c r="J689" s="162">
        <v>44610</v>
      </c>
      <c r="K689" s="6" t="s">
        <v>252</v>
      </c>
      <c r="L689" s="162">
        <v>44610</v>
      </c>
      <c r="M689" s="175" t="s">
        <v>5894</v>
      </c>
      <c r="N689" s="6" t="s">
        <v>2241</v>
      </c>
      <c r="O689" s="6" t="s">
        <v>356</v>
      </c>
      <c r="P689" s="6" t="str">
        <f t="shared" si="31"/>
        <v>SAFe que</v>
      </c>
      <c r="Q689" t="str">
        <f t="shared" si="32"/>
        <v>2022</v>
      </c>
    </row>
    <row r="690" spans="1:17">
      <c r="A690" s="162">
        <v>44610</v>
      </c>
      <c r="B690" s="164" t="s">
        <v>2242</v>
      </c>
      <c r="C690" s="164" t="s">
        <v>278</v>
      </c>
      <c r="D690" s="164" t="s">
        <v>1524</v>
      </c>
      <c r="E690" s="79">
        <v>44593</v>
      </c>
      <c r="F690" s="6" t="s">
        <v>16</v>
      </c>
      <c r="G690" s="6" t="s">
        <v>2180</v>
      </c>
      <c r="H690" s="170">
        <v>24000</v>
      </c>
      <c r="I690" s="172">
        <f t="shared" si="33"/>
        <v>274.85112230874944</v>
      </c>
      <c r="J690" s="162">
        <v>44610</v>
      </c>
      <c r="K690" s="6" t="s">
        <v>252</v>
      </c>
      <c r="L690" s="162">
        <v>44610</v>
      </c>
      <c r="M690" s="175" t="s">
        <v>5895</v>
      </c>
      <c r="N690" s="6" t="s">
        <v>2244</v>
      </c>
      <c r="O690" s="6" t="s">
        <v>356</v>
      </c>
      <c r="P690" s="6" t="str">
        <f t="shared" si="31"/>
        <v>SAFe que</v>
      </c>
      <c r="Q690" t="str">
        <f t="shared" si="32"/>
        <v>2022</v>
      </c>
    </row>
    <row r="691" spans="1:17">
      <c r="A691" s="162">
        <v>44611</v>
      </c>
      <c r="B691" s="164" t="s">
        <v>2245</v>
      </c>
      <c r="C691" s="164" t="s">
        <v>343</v>
      </c>
      <c r="D691" s="164" t="s">
        <v>96</v>
      </c>
      <c r="E691" s="79">
        <v>44593</v>
      </c>
      <c r="F691" s="6" t="s">
        <v>16</v>
      </c>
      <c r="G691" s="97">
        <v>44611</v>
      </c>
      <c r="H691" s="170">
        <v>24000</v>
      </c>
      <c r="I691" s="172">
        <f t="shared" si="33"/>
        <v>274.85112230874944</v>
      </c>
      <c r="J691" s="162">
        <v>44611</v>
      </c>
      <c r="K691" s="6" t="s">
        <v>252</v>
      </c>
      <c r="L691" s="162">
        <v>44611</v>
      </c>
      <c r="M691" s="175" t="s">
        <v>5896</v>
      </c>
      <c r="O691" s="6" t="s">
        <v>356</v>
      </c>
      <c r="P691" s="6" t="str">
        <f t="shared" si="31"/>
        <v>Category</v>
      </c>
      <c r="Q691" t="str">
        <f t="shared" si="32"/>
        <v>2022</v>
      </c>
    </row>
    <row r="692" spans="1:17">
      <c r="A692" s="162">
        <v>44611</v>
      </c>
      <c r="B692" s="164" t="s">
        <v>2247</v>
      </c>
      <c r="C692" s="164" t="s">
        <v>278</v>
      </c>
      <c r="D692" s="164" t="s">
        <v>7</v>
      </c>
      <c r="E692" s="79">
        <v>44593</v>
      </c>
      <c r="F692" s="6" t="s">
        <v>16</v>
      </c>
      <c r="G692" s="6" t="s">
        <v>2180</v>
      </c>
      <c r="H692" s="170">
        <v>40000</v>
      </c>
      <c r="I692" s="172">
        <f t="shared" si="33"/>
        <v>458.08520384791575</v>
      </c>
      <c r="J692" s="162">
        <v>44611</v>
      </c>
      <c r="K692" s="6" t="s">
        <v>252</v>
      </c>
      <c r="L692" s="162">
        <v>44611</v>
      </c>
      <c r="M692" s="175" t="s">
        <v>5897</v>
      </c>
      <c r="N692" s="6" t="s">
        <v>2249</v>
      </c>
      <c r="O692" s="6" t="s">
        <v>356</v>
      </c>
      <c r="P692" s="6" t="str">
        <f t="shared" si="31"/>
        <v>SAFe que</v>
      </c>
      <c r="Q692" t="str">
        <f t="shared" si="32"/>
        <v>2022</v>
      </c>
    </row>
    <row r="693" spans="1:17">
      <c r="A693" s="162">
        <v>44613</v>
      </c>
      <c r="B693" s="164" t="s">
        <v>2250</v>
      </c>
      <c r="C693" s="164" t="s">
        <v>297</v>
      </c>
      <c r="D693" s="164" t="s">
        <v>1524</v>
      </c>
      <c r="E693" s="79">
        <v>44593</v>
      </c>
      <c r="F693" s="6" t="s">
        <v>16</v>
      </c>
      <c r="G693" s="6" t="s">
        <v>2180</v>
      </c>
      <c r="H693" s="170">
        <v>24000</v>
      </c>
      <c r="I693" s="172">
        <f t="shared" si="33"/>
        <v>274.85112230874944</v>
      </c>
      <c r="J693" s="162">
        <v>44613</v>
      </c>
      <c r="K693" s="6" t="s">
        <v>253</v>
      </c>
      <c r="L693" s="162">
        <v>44613</v>
      </c>
      <c r="M693" s="175" t="s">
        <v>5898</v>
      </c>
      <c r="O693" s="6" t="s">
        <v>356</v>
      </c>
      <c r="P693" s="6" t="str">
        <f t="shared" si="31"/>
        <v>SAFe que</v>
      </c>
      <c r="Q693" t="str">
        <f t="shared" si="32"/>
        <v>2022</v>
      </c>
    </row>
    <row r="694" spans="1:17">
      <c r="A694" s="162">
        <v>44614</v>
      </c>
      <c r="B694" s="164" t="s">
        <v>2252</v>
      </c>
      <c r="C694" s="164" t="s">
        <v>287</v>
      </c>
      <c r="D694" s="164" t="s">
        <v>96</v>
      </c>
      <c r="E694" s="79">
        <v>44593</v>
      </c>
      <c r="F694" s="6" t="s">
        <v>16</v>
      </c>
      <c r="G694" s="6" t="s">
        <v>2254</v>
      </c>
      <c r="H694" s="170">
        <v>20000</v>
      </c>
      <c r="I694" s="172">
        <f t="shared" si="33"/>
        <v>229.04260192395787</v>
      </c>
      <c r="J694" s="162">
        <v>44614</v>
      </c>
      <c r="K694" s="6" t="s">
        <v>253</v>
      </c>
      <c r="L694" s="162">
        <v>44614</v>
      </c>
      <c r="M694" s="175" t="s">
        <v>5899</v>
      </c>
      <c r="O694" s="6" t="s">
        <v>356</v>
      </c>
      <c r="P694" s="6" t="str">
        <f t="shared" si="31"/>
        <v>Category</v>
      </c>
      <c r="Q694" t="str">
        <f t="shared" si="32"/>
        <v>2022</v>
      </c>
    </row>
    <row r="695" spans="1:17">
      <c r="A695" s="162">
        <v>44614</v>
      </c>
      <c r="B695" s="164" t="s">
        <v>2255</v>
      </c>
      <c r="C695" s="164" t="s">
        <v>303</v>
      </c>
      <c r="D695" s="164" t="s">
        <v>6</v>
      </c>
      <c r="E695" s="79">
        <v>44593</v>
      </c>
      <c r="F695" s="6" t="s">
        <v>16</v>
      </c>
      <c r="G695" s="6" t="s">
        <v>2155</v>
      </c>
      <c r="H695" s="170">
        <v>42000</v>
      </c>
      <c r="I695" s="172">
        <f t="shared" si="33"/>
        <v>480.98946404031153</v>
      </c>
      <c r="J695" s="162">
        <v>44614</v>
      </c>
      <c r="K695" s="6" t="s">
        <v>253</v>
      </c>
      <c r="L695" s="162">
        <v>44614</v>
      </c>
      <c r="M695" s="175" t="s">
        <v>5900</v>
      </c>
      <c r="O695" s="6" t="s">
        <v>356</v>
      </c>
      <c r="P695" s="6" t="str">
        <f t="shared" si="31"/>
        <v>SAFe que</v>
      </c>
      <c r="Q695" t="str">
        <f t="shared" si="32"/>
        <v>2022</v>
      </c>
    </row>
    <row r="696" spans="1:17">
      <c r="A696" s="162">
        <v>44615</v>
      </c>
      <c r="B696" s="164" t="s">
        <v>2257</v>
      </c>
      <c r="C696" s="164" t="s">
        <v>1291</v>
      </c>
      <c r="D696" s="164" t="s">
        <v>96</v>
      </c>
      <c r="E696" s="79">
        <v>44593</v>
      </c>
      <c r="F696" s="6" t="s">
        <v>16</v>
      </c>
      <c r="G696" s="6" t="s">
        <v>2149</v>
      </c>
      <c r="H696" s="170">
        <v>19000</v>
      </c>
      <c r="I696" s="172">
        <f t="shared" si="33"/>
        <v>217.59047182775998</v>
      </c>
      <c r="J696" s="162">
        <v>44615</v>
      </c>
      <c r="K696" s="6" t="s">
        <v>253</v>
      </c>
      <c r="L696" s="162">
        <v>44615</v>
      </c>
      <c r="M696" s="175" t="s">
        <v>5901</v>
      </c>
      <c r="O696" s="6" t="s">
        <v>356</v>
      </c>
      <c r="P696" s="6" t="str">
        <f t="shared" si="31"/>
        <v>Category</v>
      </c>
      <c r="Q696" t="str">
        <f t="shared" si="32"/>
        <v>2022</v>
      </c>
    </row>
    <row r="697" spans="1:17">
      <c r="A697" s="162">
        <v>44615</v>
      </c>
      <c r="B697" s="164" t="s">
        <v>2259</v>
      </c>
      <c r="C697" s="164" t="s">
        <v>287</v>
      </c>
      <c r="D697" s="164" t="s">
        <v>1524</v>
      </c>
      <c r="E697" s="79">
        <v>44593</v>
      </c>
      <c r="F697" s="6" t="s">
        <v>16</v>
      </c>
      <c r="G697" s="6" t="s">
        <v>2180</v>
      </c>
      <c r="H697" s="170">
        <v>24000</v>
      </c>
      <c r="I697" s="172">
        <f t="shared" si="33"/>
        <v>274.85112230874944</v>
      </c>
      <c r="J697" s="162">
        <v>44615</v>
      </c>
      <c r="K697" s="6" t="s">
        <v>253</v>
      </c>
      <c r="L697" s="162">
        <v>44615</v>
      </c>
      <c r="M697" s="175" t="s">
        <v>5902</v>
      </c>
      <c r="O697" s="6" t="s">
        <v>356</v>
      </c>
      <c r="P697" s="6" t="str">
        <f t="shared" si="31"/>
        <v>SAFe que</v>
      </c>
      <c r="Q697" t="str">
        <f t="shared" si="32"/>
        <v>2022</v>
      </c>
    </row>
    <row r="698" spans="1:17">
      <c r="A698" s="162">
        <v>44615</v>
      </c>
      <c r="B698" s="164" t="s">
        <v>2261</v>
      </c>
      <c r="C698" s="164" t="s">
        <v>278</v>
      </c>
      <c r="D698" s="164" t="s">
        <v>538</v>
      </c>
      <c r="E698" s="79">
        <v>44593</v>
      </c>
      <c r="F698" s="6" t="s">
        <v>16</v>
      </c>
      <c r="G698" s="97">
        <v>44618</v>
      </c>
      <c r="H698" s="170">
        <v>13500</v>
      </c>
      <c r="I698" s="172">
        <f t="shared" si="33"/>
        <v>154.60375629867156</v>
      </c>
      <c r="J698" s="162">
        <v>44615</v>
      </c>
      <c r="K698" s="6" t="s">
        <v>253</v>
      </c>
      <c r="L698" s="162">
        <v>44615</v>
      </c>
      <c r="M698" s="175" t="s">
        <v>5903</v>
      </c>
      <c r="N698" s="6" t="s">
        <v>2210</v>
      </c>
      <c r="O698" s="6" t="s">
        <v>356</v>
      </c>
      <c r="P698" s="6" t="str">
        <f t="shared" si="31"/>
        <v>NonCategory</v>
      </c>
      <c r="Q698" t="str">
        <f t="shared" si="32"/>
        <v>2022</v>
      </c>
    </row>
    <row r="699" spans="1:17">
      <c r="A699" s="162">
        <v>44616</v>
      </c>
      <c r="B699" s="164" t="s">
        <v>2263</v>
      </c>
      <c r="C699" s="164" t="s">
        <v>470</v>
      </c>
      <c r="D699" s="164" t="s">
        <v>1524</v>
      </c>
      <c r="E699" s="79">
        <v>44621</v>
      </c>
      <c r="F699" s="6" t="s">
        <v>16</v>
      </c>
      <c r="G699" s="6" t="s">
        <v>2218</v>
      </c>
      <c r="H699" s="170">
        <v>24000</v>
      </c>
      <c r="I699" s="172">
        <f t="shared" si="33"/>
        <v>274.85112230874944</v>
      </c>
      <c r="J699" s="162">
        <v>44616</v>
      </c>
      <c r="K699" s="6" t="s">
        <v>251</v>
      </c>
      <c r="L699" s="162">
        <v>44627</v>
      </c>
      <c r="M699" s="175" t="s">
        <v>5904</v>
      </c>
      <c r="O699" s="6" t="s">
        <v>356</v>
      </c>
      <c r="P699" s="6" t="str">
        <f t="shared" si="31"/>
        <v>SAFe que</v>
      </c>
      <c r="Q699" t="str">
        <f t="shared" si="32"/>
        <v>2022</v>
      </c>
    </row>
    <row r="700" spans="1:17">
      <c r="A700" s="162">
        <v>44616</v>
      </c>
      <c r="B700" s="164" t="s">
        <v>2265</v>
      </c>
      <c r="C700" s="164" t="s">
        <v>495</v>
      </c>
      <c r="D700" s="164" t="s">
        <v>1524</v>
      </c>
      <c r="E700" s="79">
        <v>44593</v>
      </c>
      <c r="F700" s="6" t="s">
        <v>16</v>
      </c>
      <c r="G700" s="6" t="s">
        <v>2218</v>
      </c>
      <c r="H700" s="170">
        <v>24000</v>
      </c>
      <c r="I700" s="172">
        <f t="shared" ref="I700:I731" si="34">IFERROR((($H700/1.18))/74,"")</f>
        <v>274.85112230874944</v>
      </c>
      <c r="J700" s="162">
        <v>44616</v>
      </c>
      <c r="K700" s="6" t="s">
        <v>253</v>
      </c>
      <c r="L700" s="162">
        <v>44616</v>
      </c>
      <c r="M700" s="175" t="s">
        <v>5905</v>
      </c>
      <c r="O700" s="6" t="s">
        <v>356</v>
      </c>
      <c r="P700" s="6" t="str">
        <f t="shared" si="31"/>
        <v>SAFe que</v>
      </c>
      <c r="Q700" t="str">
        <f t="shared" si="32"/>
        <v>2022</v>
      </c>
    </row>
    <row r="701" spans="1:17">
      <c r="A701" s="162">
        <v>44616</v>
      </c>
      <c r="B701" s="164" t="s">
        <v>723</v>
      </c>
      <c r="C701" s="164" t="s">
        <v>303</v>
      </c>
      <c r="D701" s="164" t="s">
        <v>151</v>
      </c>
      <c r="E701" s="79">
        <v>44593</v>
      </c>
      <c r="F701" s="6" t="s">
        <v>16</v>
      </c>
      <c r="G701" s="6" t="s">
        <v>2180</v>
      </c>
      <c r="H701" s="170">
        <v>21000</v>
      </c>
      <c r="I701" s="172">
        <f t="shared" si="34"/>
        <v>240.49473202015577</v>
      </c>
      <c r="J701" s="162">
        <v>44616</v>
      </c>
      <c r="K701" s="6" t="s">
        <v>253</v>
      </c>
      <c r="L701" s="162">
        <v>44616</v>
      </c>
      <c r="M701" s="175" t="s">
        <v>5906</v>
      </c>
      <c r="O701" s="6" t="s">
        <v>356</v>
      </c>
      <c r="P701" s="6" t="str">
        <f t="shared" si="31"/>
        <v>SAFe que</v>
      </c>
      <c r="Q701" t="str">
        <f t="shared" si="32"/>
        <v>2022</v>
      </c>
    </row>
    <row r="702" spans="1:17">
      <c r="A702" s="162">
        <v>44616</v>
      </c>
      <c r="B702" s="164" t="s">
        <v>2268</v>
      </c>
      <c r="C702" s="164" t="s">
        <v>278</v>
      </c>
      <c r="D702" s="164" t="s">
        <v>151</v>
      </c>
      <c r="E702" s="79">
        <v>44593</v>
      </c>
      <c r="F702" s="6" t="s">
        <v>16</v>
      </c>
      <c r="G702" s="6" t="s">
        <v>2180</v>
      </c>
      <c r="H702" s="170">
        <v>21000</v>
      </c>
      <c r="I702" s="172">
        <f t="shared" si="34"/>
        <v>240.49473202015577</v>
      </c>
      <c r="J702" s="162">
        <v>44616</v>
      </c>
      <c r="K702" s="6" t="s">
        <v>253</v>
      </c>
      <c r="L702" s="162">
        <v>44616</v>
      </c>
      <c r="M702" s="175" t="s">
        <v>5907</v>
      </c>
      <c r="N702" s="6" t="s">
        <v>2270</v>
      </c>
      <c r="O702" s="6" t="s">
        <v>356</v>
      </c>
      <c r="P702" s="6" t="str">
        <f t="shared" si="31"/>
        <v>SAFe que</v>
      </c>
      <c r="Q702" t="str">
        <f t="shared" si="32"/>
        <v>2022</v>
      </c>
    </row>
    <row r="703" spans="1:17">
      <c r="A703" s="162">
        <v>44616</v>
      </c>
      <c r="B703" s="164" t="s">
        <v>2153</v>
      </c>
      <c r="C703" s="164" t="s">
        <v>287</v>
      </c>
      <c r="D703" s="164" t="s">
        <v>7</v>
      </c>
      <c r="E703" s="79">
        <v>44593</v>
      </c>
      <c r="F703" s="6" t="s">
        <v>16</v>
      </c>
      <c r="G703" s="6" t="s">
        <v>2180</v>
      </c>
      <c r="H703" s="170">
        <v>42000</v>
      </c>
      <c r="I703" s="172">
        <f t="shared" si="34"/>
        <v>480.98946404031153</v>
      </c>
      <c r="J703" s="162">
        <v>44616</v>
      </c>
      <c r="K703" s="6" t="s">
        <v>253</v>
      </c>
      <c r="L703" s="162">
        <v>44616</v>
      </c>
      <c r="M703" s="175" t="s">
        <v>5908</v>
      </c>
      <c r="O703" s="6" t="s">
        <v>356</v>
      </c>
      <c r="P703" s="6" t="str">
        <f t="shared" si="31"/>
        <v>SAFe que</v>
      </c>
      <c r="Q703" t="str">
        <f t="shared" si="32"/>
        <v>2022</v>
      </c>
    </row>
    <row r="704" spans="1:17">
      <c r="A704" s="162">
        <v>44617</v>
      </c>
      <c r="B704" s="164" t="s">
        <v>2272</v>
      </c>
      <c r="C704" s="164" t="s">
        <v>291</v>
      </c>
      <c r="D704" s="164" t="s">
        <v>150</v>
      </c>
      <c r="E704" s="79">
        <v>44593</v>
      </c>
      <c r="F704" s="6" t="s">
        <v>16</v>
      </c>
      <c r="G704" s="6" t="s">
        <v>2180</v>
      </c>
      <c r="H704" s="170">
        <v>21000</v>
      </c>
      <c r="I704" s="172">
        <f t="shared" si="34"/>
        <v>240.49473202015577</v>
      </c>
      <c r="J704" s="162">
        <v>44617</v>
      </c>
      <c r="K704" s="6" t="s">
        <v>253</v>
      </c>
      <c r="L704" s="162">
        <v>44617</v>
      </c>
      <c r="M704" s="175" t="s">
        <v>5909</v>
      </c>
      <c r="O704" s="6" t="s">
        <v>356</v>
      </c>
      <c r="P704" s="6" t="str">
        <f t="shared" si="31"/>
        <v>SAFe que</v>
      </c>
      <c r="Q704" t="str">
        <f t="shared" si="32"/>
        <v>2022</v>
      </c>
    </row>
    <row r="705" spans="1:17">
      <c r="A705" s="162">
        <v>44617</v>
      </c>
      <c r="B705" s="164" t="s">
        <v>1414</v>
      </c>
      <c r="C705" s="164" t="s">
        <v>303</v>
      </c>
      <c r="D705" s="164" t="s">
        <v>25</v>
      </c>
      <c r="E705" s="79">
        <v>44593</v>
      </c>
      <c r="F705" s="6" t="s">
        <v>16</v>
      </c>
      <c r="G705" s="6" t="s">
        <v>2180</v>
      </c>
      <c r="H705" s="170">
        <v>42000</v>
      </c>
      <c r="I705" s="172">
        <f t="shared" si="34"/>
        <v>480.98946404031153</v>
      </c>
      <c r="J705" s="162">
        <v>44617</v>
      </c>
      <c r="K705" s="6" t="s">
        <v>253</v>
      </c>
      <c r="L705" s="162">
        <v>44617</v>
      </c>
      <c r="M705" s="175" t="s">
        <v>5910</v>
      </c>
      <c r="O705" s="6" t="s">
        <v>356</v>
      </c>
      <c r="P705" s="6" t="str">
        <f t="shared" si="31"/>
        <v>SAFe que</v>
      </c>
      <c r="Q705" t="str">
        <f t="shared" si="32"/>
        <v>2022</v>
      </c>
    </row>
    <row r="706" spans="1:17">
      <c r="A706" s="162">
        <v>44617</v>
      </c>
      <c r="B706" s="164" t="s">
        <v>2275</v>
      </c>
      <c r="C706" s="164" t="s">
        <v>470</v>
      </c>
      <c r="D706" s="164" t="s">
        <v>96</v>
      </c>
      <c r="E706" s="79">
        <v>44593</v>
      </c>
      <c r="F706" s="6" t="s">
        <v>16</v>
      </c>
      <c r="G706" s="6" t="s">
        <v>2149</v>
      </c>
      <c r="H706" s="170">
        <v>19000</v>
      </c>
      <c r="I706" s="172">
        <f t="shared" si="34"/>
        <v>217.59047182775998</v>
      </c>
      <c r="J706" s="162">
        <v>44617</v>
      </c>
      <c r="K706" s="6" t="s">
        <v>253</v>
      </c>
      <c r="L706" s="162">
        <v>44617</v>
      </c>
      <c r="M706" s="175" t="s">
        <v>5911</v>
      </c>
      <c r="O706" s="6" t="s">
        <v>356</v>
      </c>
      <c r="P706" s="6" t="str">
        <f t="shared" ref="P706:P769" si="35">IFERROR(_xlfn.IFS($D706="CSM","Category",$D706="CSPO","Category", $D706="PSM","SAFe que",$D706="PSPO","SAFe que",$D706="SAFe Agile","SAFe que",$D706="SAFe SSM","SAFe que",$D706="SAFe POPM","SAFe que",$D706="SASM","SAFe que",$D706="PMI-ACP","Category",$D706="ICP-ACC","SAFe que",$D706="PSM 2","SAFe que",$D706="SAFe RTE","SAFe que",$D706="Implementing SAFe","SAFe que",$D706="SAFe for Government","SAFe que",$D706="PSPO 2","SAFe que",$D706="",""),"NonCategory")</f>
        <v>Category</v>
      </c>
      <c r="Q706" t="str">
        <f t="shared" ref="Q706:Q769" si="36">TEXT(E706, "yyyy")</f>
        <v>2022</v>
      </c>
    </row>
    <row r="707" spans="1:17">
      <c r="A707" s="162">
        <v>44617</v>
      </c>
      <c r="B707" s="164" t="s">
        <v>2277</v>
      </c>
      <c r="C707" s="164" t="s">
        <v>291</v>
      </c>
      <c r="D707" s="164" t="s">
        <v>96</v>
      </c>
      <c r="E707" s="79">
        <v>44593</v>
      </c>
      <c r="F707" s="6" t="s">
        <v>16</v>
      </c>
      <c r="G707" s="6" t="s">
        <v>2149</v>
      </c>
      <c r="H707" s="170">
        <v>19000</v>
      </c>
      <c r="I707" s="172">
        <f t="shared" si="34"/>
        <v>217.59047182775998</v>
      </c>
      <c r="J707" s="162">
        <v>44617</v>
      </c>
      <c r="K707" s="6" t="s">
        <v>253</v>
      </c>
      <c r="L707" s="162">
        <v>44617</v>
      </c>
      <c r="M707" s="175" t="s">
        <v>5912</v>
      </c>
      <c r="O707" s="6" t="s">
        <v>356</v>
      </c>
      <c r="P707" s="6" t="str">
        <f t="shared" si="35"/>
        <v>Category</v>
      </c>
      <c r="Q707" t="str">
        <f t="shared" si="36"/>
        <v>2022</v>
      </c>
    </row>
    <row r="708" spans="1:17">
      <c r="A708" s="162">
        <v>44617</v>
      </c>
      <c r="B708" s="164" t="s">
        <v>2279</v>
      </c>
      <c r="C708" s="164" t="s">
        <v>278</v>
      </c>
      <c r="D708" s="164" t="s">
        <v>96</v>
      </c>
      <c r="E708" s="79">
        <v>44593</v>
      </c>
      <c r="F708" s="6" t="s">
        <v>16</v>
      </c>
      <c r="G708" s="6" t="s">
        <v>2149</v>
      </c>
      <c r="H708" s="170">
        <v>19000</v>
      </c>
      <c r="I708" s="172">
        <f t="shared" si="34"/>
        <v>217.59047182775998</v>
      </c>
      <c r="J708" s="162">
        <v>44617</v>
      </c>
      <c r="K708" s="6" t="s">
        <v>253</v>
      </c>
      <c r="L708" s="162">
        <v>44617</v>
      </c>
      <c r="M708" s="175" t="s">
        <v>5913</v>
      </c>
      <c r="N708" s="6" t="s">
        <v>2281</v>
      </c>
      <c r="O708" s="6" t="s">
        <v>356</v>
      </c>
      <c r="P708" s="6" t="str">
        <f t="shared" si="35"/>
        <v>Category</v>
      </c>
      <c r="Q708" t="str">
        <f t="shared" si="36"/>
        <v>2022</v>
      </c>
    </row>
    <row r="709" spans="1:17">
      <c r="A709" s="162">
        <v>44619</v>
      </c>
      <c r="B709" s="164" t="s">
        <v>2282</v>
      </c>
      <c r="C709" s="164" t="s">
        <v>303</v>
      </c>
      <c r="D709" s="164" t="s">
        <v>97</v>
      </c>
      <c r="E709" s="79">
        <v>44593</v>
      </c>
      <c r="F709" s="6" t="s">
        <v>16</v>
      </c>
      <c r="G709" s="6" t="s">
        <v>2155</v>
      </c>
      <c r="H709" s="170">
        <v>19000</v>
      </c>
      <c r="I709" s="172">
        <f t="shared" si="34"/>
        <v>217.59047182775998</v>
      </c>
      <c r="J709" s="162">
        <v>44619</v>
      </c>
      <c r="K709" s="6" t="s">
        <v>253</v>
      </c>
      <c r="L709" s="162">
        <v>44619</v>
      </c>
      <c r="M709" s="175" t="s">
        <v>5914</v>
      </c>
      <c r="O709" s="6" t="s">
        <v>356</v>
      </c>
      <c r="P709" s="6" t="str">
        <f t="shared" si="35"/>
        <v>Category</v>
      </c>
      <c r="Q709" t="str">
        <f t="shared" si="36"/>
        <v>2022</v>
      </c>
    </row>
    <row r="710" spans="1:17">
      <c r="A710" s="162">
        <v>44619</v>
      </c>
      <c r="B710" s="164" t="s">
        <v>2284</v>
      </c>
      <c r="C710" s="164" t="s">
        <v>303</v>
      </c>
      <c r="D710" s="164" t="s">
        <v>150</v>
      </c>
      <c r="E710" s="79">
        <v>44593</v>
      </c>
      <c r="F710" s="6" t="s">
        <v>16</v>
      </c>
      <c r="G710" s="6" t="s">
        <v>2149</v>
      </c>
      <c r="H710" s="170">
        <v>21000</v>
      </c>
      <c r="I710" s="172">
        <f t="shared" si="34"/>
        <v>240.49473202015577</v>
      </c>
      <c r="J710" s="162">
        <v>44619</v>
      </c>
      <c r="K710" s="6" t="s">
        <v>253</v>
      </c>
      <c r="L710" s="162">
        <v>44619</v>
      </c>
      <c r="M710" s="175" t="s">
        <v>5915</v>
      </c>
      <c r="O710" s="6" t="s">
        <v>356</v>
      </c>
      <c r="P710" s="6" t="str">
        <f t="shared" si="35"/>
        <v>SAFe que</v>
      </c>
      <c r="Q710" t="str">
        <f t="shared" si="36"/>
        <v>2022</v>
      </c>
    </row>
    <row r="711" spans="1:17">
      <c r="A711" s="162">
        <v>44620</v>
      </c>
      <c r="B711" s="164" t="s">
        <v>2289</v>
      </c>
      <c r="C711" s="164" t="s">
        <v>278</v>
      </c>
      <c r="D711" s="164" t="s">
        <v>25</v>
      </c>
      <c r="E711" s="79">
        <v>44621</v>
      </c>
      <c r="F711" s="6" t="s">
        <v>16</v>
      </c>
      <c r="G711" s="6" t="s">
        <v>2218</v>
      </c>
      <c r="H711" s="170">
        <v>40000</v>
      </c>
      <c r="I711" s="172">
        <f t="shared" si="34"/>
        <v>458.08520384791575</v>
      </c>
      <c r="J711" s="162">
        <v>44620</v>
      </c>
      <c r="K711" s="6" t="s">
        <v>251</v>
      </c>
      <c r="L711" s="162">
        <v>44621</v>
      </c>
      <c r="M711" s="175" t="s">
        <v>5916</v>
      </c>
      <c r="N711" s="6" t="s">
        <v>2291</v>
      </c>
      <c r="O711" s="6" t="s">
        <v>356</v>
      </c>
      <c r="P711" s="6" t="str">
        <f t="shared" si="35"/>
        <v>SAFe que</v>
      </c>
      <c r="Q711" t="str">
        <f t="shared" si="36"/>
        <v>2022</v>
      </c>
    </row>
    <row r="712" spans="1:17">
      <c r="A712" s="162">
        <v>44621</v>
      </c>
      <c r="B712" s="164" t="s">
        <v>2295</v>
      </c>
      <c r="C712" s="164" t="s">
        <v>1291</v>
      </c>
      <c r="D712" s="164" t="s">
        <v>96</v>
      </c>
      <c r="E712" s="79">
        <v>44621</v>
      </c>
      <c r="F712" s="6" t="s">
        <v>16</v>
      </c>
      <c r="G712" s="6" t="s">
        <v>2149</v>
      </c>
      <c r="H712" s="170">
        <v>19000</v>
      </c>
      <c r="I712" s="172">
        <f t="shared" si="34"/>
        <v>217.59047182775998</v>
      </c>
      <c r="J712" s="162">
        <v>44621</v>
      </c>
      <c r="K712" s="6" t="s">
        <v>251</v>
      </c>
      <c r="L712" s="162">
        <v>44621</v>
      </c>
      <c r="M712" s="175" t="s">
        <v>5917</v>
      </c>
      <c r="O712" s="6" t="s">
        <v>356</v>
      </c>
      <c r="P712" s="6" t="str">
        <f t="shared" si="35"/>
        <v>Category</v>
      </c>
      <c r="Q712" t="str">
        <f t="shared" si="36"/>
        <v>2022</v>
      </c>
    </row>
    <row r="713" spans="1:17">
      <c r="A713" s="162">
        <v>44622</v>
      </c>
      <c r="B713" s="164" t="s">
        <v>2297</v>
      </c>
      <c r="C713" s="164" t="s">
        <v>287</v>
      </c>
      <c r="D713" s="164" t="s">
        <v>150</v>
      </c>
      <c r="E713" s="79">
        <v>44621</v>
      </c>
      <c r="F713" s="6" t="s">
        <v>16</v>
      </c>
      <c r="G713" s="6" t="s">
        <v>2155</v>
      </c>
      <c r="H713" s="170">
        <v>21000</v>
      </c>
      <c r="I713" s="172">
        <f t="shared" si="34"/>
        <v>240.49473202015577</v>
      </c>
      <c r="J713" s="162">
        <v>44622</v>
      </c>
      <c r="K713" s="6" t="s">
        <v>251</v>
      </c>
      <c r="L713" s="162">
        <v>44623</v>
      </c>
      <c r="M713" s="175" t="s">
        <v>5918</v>
      </c>
      <c r="O713" s="6" t="s">
        <v>356</v>
      </c>
      <c r="P713" s="6" t="str">
        <f t="shared" si="35"/>
        <v>SAFe que</v>
      </c>
      <c r="Q713" t="str">
        <f t="shared" si="36"/>
        <v>2022</v>
      </c>
    </row>
    <row r="714" spans="1:17">
      <c r="A714" s="162">
        <v>44623</v>
      </c>
      <c r="B714" s="164" t="s">
        <v>2299</v>
      </c>
      <c r="C714" s="164" t="s">
        <v>470</v>
      </c>
      <c r="D714" s="164" t="s">
        <v>96</v>
      </c>
      <c r="E714" s="79">
        <v>44621</v>
      </c>
      <c r="F714" s="6" t="s">
        <v>16</v>
      </c>
      <c r="G714" s="6" t="s">
        <v>2112</v>
      </c>
      <c r="H714" s="170">
        <v>20000</v>
      </c>
      <c r="I714" s="172">
        <f t="shared" si="34"/>
        <v>229.04260192395787</v>
      </c>
      <c r="J714" s="162">
        <v>44623</v>
      </c>
      <c r="K714" s="6" t="s">
        <v>251</v>
      </c>
      <c r="L714" s="162">
        <v>44624</v>
      </c>
      <c r="M714" s="175" t="s">
        <v>5919</v>
      </c>
      <c r="O714" s="6" t="s">
        <v>356</v>
      </c>
      <c r="P714" s="6" t="str">
        <f t="shared" si="35"/>
        <v>Category</v>
      </c>
      <c r="Q714" t="str">
        <f t="shared" si="36"/>
        <v>2022</v>
      </c>
    </row>
    <row r="715" spans="1:17">
      <c r="A715" s="162">
        <v>44623</v>
      </c>
      <c r="B715" s="164" t="s">
        <v>2301</v>
      </c>
      <c r="C715" s="164" t="s">
        <v>291</v>
      </c>
      <c r="D715" s="164" t="s">
        <v>150</v>
      </c>
      <c r="E715" s="79">
        <v>44621</v>
      </c>
      <c r="F715" s="6" t="s">
        <v>16</v>
      </c>
      <c r="G715" s="6" t="s">
        <v>2155</v>
      </c>
      <c r="H715" s="170">
        <v>21000</v>
      </c>
      <c r="I715" s="172">
        <f t="shared" si="34"/>
        <v>240.49473202015577</v>
      </c>
      <c r="J715" s="162">
        <v>44623</v>
      </c>
      <c r="K715" s="6" t="s">
        <v>251</v>
      </c>
      <c r="L715" s="162">
        <v>44623</v>
      </c>
      <c r="M715" s="175" t="s">
        <v>5920</v>
      </c>
      <c r="O715" s="6" t="s">
        <v>356</v>
      </c>
      <c r="P715" s="6" t="str">
        <f t="shared" si="35"/>
        <v>SAFe que</v>
      </c>
      <c r="Q715" t="str">
        <f t="shared" si="36"/>
        <v>2022</v>
      </c>
    </row>
    <row r="716" spans="1:17">
      <c r="A716" s="162">
        <v>44623</v>
      </c>
      <c r="B716" s="164" t="s">
        <v>2303</v>
      </c>
      <c r="C716" s="164" t="s">
        <v>306</v>
      </c>
      <c r="D716" s="164" t="s">
        <v>96</v>
      </c>
      <c r="E716" s="79">
        <v>44621</v>
      </c>
      <c r="F716" s="6" t="s">
        <v>16</v>
      </c>
      <c r="G716" s="6" t="s">
        <v>2218</v>
      </c>
      <c r="H716" s="170">
        <v>20000</v>
      </c>
      <c r="I716" s="172">
        <f t="shared" si="34"/>
        <v>229.04260192395787</v>
      </c>
      <c r="J716" s="162">
        <v>44623</v>
      </c>
      <c r="K716" s="6" t="s">
        <v>251</v>
      </c>
      <c r="L716" s="162">
        <v>44623</v>
      </c>
      <c r="M716" s="175" t="s">
        <v>5921</v>
      </c>
      <c r="O716" s="6" t="s">
        <v>356</v>
      </c>
      <c r="P716" s="6" t="str">
        <f t="shared" si="35"/>
        <v>Category</v>
      </c>
      <c r="Q716" t="str">
        <f t="shared" si="36"/>
        <v>2022</v>
      </c>
    </row>
    <row r="717" spans="1:17">
      <c r="A717" s="162">
        <v>44623</v>
      </c>
      <c r="B717" s="164" t="s">
        <v>2305</v>
      </c>
      <c r="C717" s="164" t="s">
        <v>303</v>
      </c>
      <c r="D717" s="164" t="s">
        <v>151</v>
      </c>
      <c r="E717" s="79">
        <v>44621</v>
      </c>
      <c r="F717" s="6" t="s">
        <v>16</v>
      </c>
      <c r="G717" s="6" t="s">
        <v>2112</v>
      </c>
      <c r="H717" s="170">
        <v>21000</v>
      </c>
      <c r="I717" s="172">
        <f t="shared" si="34"/>
        <v>240.49473202015577</v>
      </c>
      <c r="J717" s="162">
        <v>44623</v>
      </c>
      <c r="K717" s="6" t="s">
        <v>251</v>
      </c>
      <c r="L717" s="162">
        <v>44623</v>
      </c>
      <c r="M717" s="175" t="s">
        <v>5922</v>
      </c>
      <c r="O717" s="6" t="s">
        <v>280</v>
      </c>
      <c r="P717" s="6" t="str">
        <f t="shared" si="35"/>
        <v>SAFe que</v>
      </c>
      <c r="Q717" t="str">
        <f t="shared" si="36"/>
        <v>2022</v>
      </c>
    </row>
    <row r="718" spans="1:17">
      <c r="A718" s="162">
        <v>44623</v>
      </c>
      <c r="B718" s="164" t="s">
        <v>2307</v>
      </c>
      <c r="C718" s="164" t="s">
        <v>291</v>
      </c>
      <c r="D718" s="164" t="s">
        <v>25</v>
      </c>
      <c r="E718" s="79">
        <v>44621</v>
      </c>
      <c r="F718" s="6" t="s">
        <v>16</v>
      </c>
      <c r="G718" s="6" t="s">
        <v>2155</v>
      </c>
      <c r="H718" s="170">
        <v>40000</v>
      </c>
      <c r="I718" s="172">
        <f t="shared" si="34"/>
        <v>458.08520384791575</v>
      </c>
      <c r="J718" s="162">
        <v>44623</v>
      </c>
      <c r="K718" s="6" t="s">
        <v>251</v>
      </c>
      <c r="L718" s="162">
        <v>44623</v>
      </c>
      <c r="M718" s="175" t="s">
        <v>5923</v>
      </c>
      <c r="O718" s="6" t="s">
        <v>356</v>
      </c>
      <c r="P718" s="6" t="str">
        <f t="shared" si="35"/>
        <v>SAFe que</v>
      </c>
      <c r="Q718" t="str">
        <f t="shared" si="36"/>
        <v>2022</v>
      </c>
    </row>
    <row r="719" spans="1:17">
      <c r="A719" s="162">
        <v>44624</v>
      </c>
      <c r="B719" s="164" t="s">
        <v>2312</v>
      </c>
      <c r="C719" s="164" t="s">
        <v>303</v>
      </c>
      <c r="D719" s="164" t="s">
        <v>6</v>
      </c>
      <c r="E719" s="79">
        <v>44621</v>
      </c>
      <c r="F719" s="6" t="s">
        <v>16</v>
      </c>
      <c r="G719" s="6" t="s">
        <v>2155</v>
      </c>
      <c r="H719" s="170">
        <v>42000</v>
      </c>
      <c r="I719" s="172">
        <f t="shared" si="34"/>
        <v>480.98946404031153</v>
      </c>
      <c r="J719" s="162">
        <v>44624</v>
      </c>
      <c r="K719" s="6" t="s">
        <v>251</v>
      </c>
      <c r="L719" s="162">
        <v>44624</v>
      </c>
      <c r="M719" s="175" t="s">
        <v>5924</v>
      </c>
      <c r="O719" s="6" t="s">
        <v>356</v>
      </c>
      <c r="P719" s="6" t="str">
        <f t="shared" si="35"/>
        <v>SAFe que</v>
      </c>
      <c r="Q719" t="str">
        <f t="shared" si="36"/>
        <v>2022</v>
      </c>
    </row>
    <row r="720" spans="1:17">
      <c r="A720" s="162">
        <v>44624</v>
      </c>
      <c r="B720" s="164" t="s">
        <v>2314</v>
      </c>
      <c r="C720" s="164" t="s">
        <v>287</v>
      </c>
      <c r="D720" s="164" t="s">
        <v>151</v>
      </c>
      <c r="E720" s="79">
        <v>44621</v>
      </c>
      <c r="F720" s="6" t="s">
        <v>16</v>
      </c>
      <c r="G720" s="6" t="s">
        <v>2218</v>
      </c>
      <c r="H720" s="170">
        <v>21000</v>
      </c>
      <c r="I720" s="172">
        <f t="shared" si="34"/>
        <v>240.49473202015577</v>
      </c>
      <c r="J720" s="162">
        <v>44624</v>
      </c>
      <c r="K720" s="6" t="s">
        <v>251</v>
      </c>
      <c r="L720" s="162">
        <v>44624</v>
      </c>
      <c r="M720" s="175" t="s">
        <v>5925</v>
      </c>
      <c r="O720" s="6" t="s">
        <v>356</v>
      </c>
      <c r="P720" s="6" t="str">
        <f t="shared" si="35"/>
        <v>SAFe que</v>
      </c>
      <c r="Q720" t="str">
        <f t="shared" si="36"/>
        <v>2022</v>
      </c>
    </row>
    <row r="721" spans="1:17">
      <c r="A721" s="162">
        <v>44624</v>
      </c>
      <c r="B721" s="164" t="s">
        <v>2316</v>
      </c>
      <c r="C721" s="164" t="s">
        <v>303</v>
      </c>
      <c r="D721" s="164" t="s">
        <v>25</v>
      </c>
      <c r="E721" s="79">
        <v>44621</v>
      </c>
      <c r="F721" s="6" t="s">
        <v>16</v>
      </c>
      <c r="G721" s="6" t="s">
        <v>2218</v>
      </c>
      <c r="H721" s="170">
        <v>40000</v>
      </c>
      <c r="I721" s="172">
        <f t="shared" si="34"/>
        <v>458.08520384791575</v>
      </c>
      <c r="J721" s="162">
        <v>44624</v>
      </c>
      <c r="K721" s="6" t="s">
        <v>251</v>
      </c>
      <c r="L721" s="162">
        <v>44625</v>
      </c>
      <c r="M721" s="175" t="s">
        <v>5926</v>
      </c>
      <c r="O721" s="6" t="s">
        <v>356</v>
      </c>
      <c r="P721" s="6" t="str">
        <f t="shared" si="35"/>
        <v>SAFe que</v>
      </c>
      <c r="Q721" t="str">
        <f t="shared" si="36"/>
        <v>2022</v>
      </c>
    </row>
    <row r="722" spans="1:17">
      <c r="A722" s="162">
        <v>44625</v>
      </c>
      <c r="B722" s="164" t="s">
        <v>2318</v>
      </c>
      <c r="C722" s="164" t="s">
        <v>287</v>
      </c>
      <c r="D722" s="164" t="s">
        <v>150</v>
      </c>
      <c r="E722" s="79">
        <v>44621</v>
      </c>
      <c r="F722" s="6" t="s">
        <v>16</v>
      </c>
      <c r="G722" s="6" t="s">
        <v>2155</v>
      </c>
      <c r="H722" s="170">
        <v>21000</v>
      </c>
      <c r="I722" s="172">
        <f t="shared" si="34"/>
        <v>240.49473202015577</v>
      </c>
      <c r="J722" s="162">
        <v>44625</v>
      </c>
      <c r="K722" s="6" t="s">
        <v>251</v>
      </c>
      <c r="L722" s="162">
        <v>44625</v>
      </c>
      <c r="M722" s="175" t="s">
        <v>5927</v>
      </c>
      <c r="O722" s="6" t="s">
        <v>356</v>
      </c>
      <c r="P722" s="6" t="str">
        <f t="shared" si="35"/>
        <v>SAFe que</v>
      </c>
      <c r="Q722" t="str">
        <f t="shared" si="36"/>
        <v>2022</v>
      </c>
    </row>
    <row r="723" spans="1:17">
      <c r="A723" s="162">
        <v>44625</v>
      </c>
      <c r="B723" s="164" t="s">
        <v>2320</v>
      </c>
      <c r="C723" s="164" t="s">
        <v>303</v>
      </c>
      <c r="D723" s="164" t="s">
        <v>25</v>
      </c>
      <c r="E723" s="79">
        <v>44621</v>
      </c>
      <c r="F723" s="6" t="s">
        <v>16</v>
      </c>
      <c r="G723" s="6" t="s">
        <v>2218</v>
      </c>
      <c r="H723" s="170">
        <v>42000</v>
      </c>
      <c r="I723" s="172">
        <f t="shared" si="34"/>
        <v>480.98946404031153</v>
      </c>
      <c r="J723" s="162">
        <v>44625</v>
      </c>
      <c r="K723" s="6" t="s">
        <v>251</v>
      </c>
      <c r="L723" s="162">
        <v>44625</v>
      </c>
      <c r="M723" s="175" t="s">
        <v>5928</v>
      </c>
      <c r="O723" s="6" t="s">
        <v>356</v>
      </c>
      <c r="P723" s="6" t="str">
        <f t="shared" si="35"/>
        <v>SAFe que</v>
      </c>
      <c r="Q723" t="str">
        <f t="shared" si="36"/>
        <v>2022</v>
      </c>
    </row>
    <row r="724" spans="1:17">
      <c r="A724" s="162">
        <v>44625</v>
      </c>
      <c r="B724" s="164" t="s">
        <v>2322</v>
      </c>
      <c r="C724" s="164" t="s">
        <v>319</v>
      </c>
      <c r="D724" s="164" t="s">
        <v>150</v>
      </c>
      <c r="E724" s="79">
        <v>44621</v>
      </c>
      <c r="F724" s="6" t="s">
        <v>16</v>
      </c>
      <c r="G724" s="6" t="s">
        <v>2149</v>
      </c>
      <c r="H724" s="170">
        <v>21000</v>
      </c>
      <c r="I724" s="172">
        <f t="shared" si="34"/>
        <v>240.49473202015577</v>
      </c>
      <c r="J724" s="162">
        <v>44625</v>
      </c>
      <c r="K724" s="6" t="s">
        <v>251</v>
      </c>
      <c r="L724" s="162">
        <v>44625</v>
      </c>
      <c r="M724" s="175" t="s">
        <v>5929</v>
      </c>
      <c r="O724" s="6" t="s">
        <v>356</v>
      </c>
      <c r="P724" s="6" t="str">
        <f t="shared" si="35"/>
        <v>SAFe que</v>
      </c>
      <c r="Q724" t="str">
        <f t="shared" si="36"/>
        <v>2022</v>
      </c>
    </row>
    <row r="725" spans="1:17">
      <c r="A725" s="162">
        <v>44627</v>
      </c>
      <c r="B725" s="164" t="s">
        <v>2324</v>
      </c>
      <c r="C725" s="164" t="s">
        <v>278</v>
      </c>
      <c r="D725" s="164" t="s">
        <v>538</v>
      </c>
      <c r="E725" s="79">
        <v>44621</v>
      </c>
      <c r="F725" s="6" t="s">
        <v>16</v>
      </c>
      <c r="G725" s="96">
        <v>44632</v>
      </c>
      <c r="H725" s="170">
        <v>11000</v>
      </c>
      <c r="I725" s="172">
        <f t="shared" si="34"/>
        <v>125.97343105817684</v>
      </c>
      <c r="J725" s="162">
        <v>44627</v>
      </c>
      <c r="K725" s="6" t="s">
        <v>251</v>
      </c>
      <c r="L725" s="162">
        <v>44627</v>
      </c>
      <c r="M725" s="175" t="s">
        <v>5930</v>
      </c>
      <c r="N725" s="6" t="s">
        <v>2326</v>
      </c>
      <c r="O725" s="6" t="s">
        <v>356</v>
      </c>
      <c r="P725" s="6" t="str">
        <f t="shared" si="35"/>
        <v>NonCategory</v>
      </c>
      <c r="Q725" t="str">
        <f t="shared" si="36"/>
        <v>2022</v>
      </c>
    </row>
    <row r="726" spans="1:17">
      <c r="A726" s="162">
        <v>44627</v>
      </c>
      <c r="B726" s="164" t="s">
        <v>2327</v>
      </c>
      <c r="C726" s="164" t="s">
        <v>278</v>
      </c>
      <c r="D726" s="164" t="s">
        <v>97</v>
      </c>
      <c r="E726" s="79">
        <v>44621</v>
      </c>
      <c r="F726" s="6" t="s">
        <v>16</v>
      </c>
      <c r="G726" s="6" t="s">
        <v>2329</v>
      </c>
      <c r="H726" s="170">
        <v>20000</v>
      </c>
      <c r="I726" s="172">
        <f t="shared" si="34"/>
        <v>229.04260192395787</v>
      </c>
      <c r="J726" s="162">
        <v>44627</v>
      </c>
      <c r="K726" s="6" t="s">
        <v>251</v>
      </c>
      <c r="L726" s="162">
        <v>44627</v>
      </c>
      <c r="M726" s="175" t="s">
        <v>5931</v>
      </c>
      <c r="N726" s="6" t="s">
        <v>2181</v>
      </c>
      <c r="O726" s="6" t="s">
        <v>356</v>
      </c>
      <c r="P726" s="6" t="str">
        <f t="shared" si="35"/>
        <v>Category</v>
      </c>
      <c r="Q726" t="str">
        <f t="shared" si="36"/>
        <v>2022</v>
      </c>
    </row>
    <row r="727" spans="1:17">
      <c r="A727" s="162">
        <v>44629</v>
      </c>
      <c r="B727" s="164" t="s">
        <v>2330</v>
      </c>
      <c r="C727" s="164" t="s">
        <v>278</v>
      </c>
      <c r="D727" s="164" t="s">
        <v>150</v>
      </c>
      <c r="E727" s="79">
        <v>44621</v>
      </c>
      <c r="F727" s="6" t="s">
        <v>16</v>
      </c>
      <c r="G727" s="6" t="s">
        <v>2218</v>
      </c>
      <c r="H727" s="170">
        <v>21000</v>
      </c>
      <c r="I727" s="172">
        <f t="shared" si="34"/>
        <v>240.49473202015577</v>
      </c>
      <c r="J727" s="162">
        <v>44629</v>
      </c>
      <c r="K727" s="6" t="s">
        <v>251</v>
      </c>
      <c r="L727" s="162">
        <v>44629</v>
      </c>
      <c r="M727" s="175" t="s">
        <v>5932</v>
      </c>
      <c r="N727" s="6" t="s">
        <v>2332</v>
      </c>
      <c r="O727" s="6" t="s">
        <v>356</v>
      </c>
      <c r="P727" s="6" t="str">
        <f t="shared" si="35"/>
        <v>SAFe que</v>
      </c>
      <c r="Q727" t="str">
        <f t="shared" si="36"/>
        <v>2022</v>
      </c>
    </row>
    <row r="728" spans="1:17">
      <c r="A728" s="162">
        <v>44630</v>
      </c>
      <c r="B728" s="164" t="s">
        <v>1037</v>
      </c>
      <c r="C728" s="164" t="s">
        <v>470</v>
      </c>
      <c r="D728" s="164" t="s">
        <v>97</v>
      </c>
      <c r="E728" s="79">
        <v>44621</v>
      </c>
      <c r="F728" s="6" t="s">
        <v>16</v>
      </c>
      <c r="G728" s="6" t="s">
        <v>2218</v>
      </c>
      <c r="H728" s="170">
        <v>20000</v>
      </c>
      <c r="I728" s="172">
        <f t="shared" si="34"/>
        <v>229.04260192395787</v>
      </c>
      <c r="J728" s="162">
        <v>44630</v>
      </c>
      <c r="K728" s="6" t="s">
        <v>251</v>
      </c>
      <c r="L728" s="162">
        <v>44630</v>
      </c>
      <c r="M728" s="175" t="s">
        <v>5933</v>
      </c>
      <c r="O728" s="6" t="s">
        <v>356</v>
      </c>
      <c r="P728" s="6" t="str">
        <f t="shared" si="35"/>
        <v>Category</v>
      </c>
      <c r="Q728" t="str">
        <f t="shared" si="36"/>
        <v>2022</v>
      </c>
    </row>
    <row r="729" spans="1:17">
      <c r="A729" s="162">
        <v>44631</v>
      </c>
      <c r="B729" s="164" t="s">
        <v>2333</v>
      </c>
      <c r="C729" s="164" t="s">
        <v>303</v>
      </c>
      <c r="D729" s="164" t="s">
        <v>150</v>
      </c>
      <c r="E729" s="79">
        <v>44621</v>
      </c>
      <c r="F729" s="6" t="s">
        <v>16</v>
      </c>
      <c r="G729" s="6" t="s">
        <v>2218</v>
      </c>
      <c r="H729" s="170">
        <v>20500</v>
      </c>
      <c r="I729" s="172">
        <f t="shared" si="34"/>
        <v>234.76866697205682</v>
      </c>
      <c r="J729" s="162">
        <v>44631</v>
      </c>
      <c r="K729" s="6" t="s">
        <v>252</v>
      </c>
      <c r="L729" s="162">
        <v>44631</v>
      </c>
      <c r="M729" s="175" t="s">
        <v>5934</v>
      </c>
      <c r="O729" s="6" t="s">
        <v>356</v>
      </c>
      <c r="P729" s="6" t="str">
        <f t="shared" si="35"/>
        <v>SAFe que</v>
      </c>
      <c r="Q729" t="str">
        <f t="shared" si="36"/>
        <v>2022</v>
      </c>
    </row>
    <row r="730" spans="1:17">
      <c r="A730" s="162">
        <v>44632</v>
      </c>
      <c r="B730" s="164" t="s">
        <v>2335</v>
      </c>
      <c r="C730" s="164" t="s">
        <v>306</v>
      </c>
      <c r="D730" s="164" t="s">
        <v>150</v>
      </c>
      <c r="E730" s="79">
        <v>44621</v>
      </c>
      <c r="F730" s="6" t="s">
        <v>16</v>
      </c>
      <c r="G730" s="6" t="s">
        <v>2112</v>
      </c>
      <c r="H730" s="170">
        <v>21000</v>
      </c>
      <c r="I730" s="172">
        <f t="shared" si="34"/>
        <v>240.49473202015577</v>
      </c>
      <c r="J730" s="162">
        <v>44632</v>
      </c>
      <c r="K730" s="6" t="s">
        <v>252</v>
      </c>
      <c r="L730" s="162">
        <v>44632</v>
      </c>
      <c r="M730" s="175" t="s">
        <v>5935</v>
      </c>
      <c r="O730" s="6" t="s">
        <v>280</v>
      </c>
      <c r="P730" s="6" t="str">
        <f t="shared" si="35"/>
        <v>SAFe que</v>
      </c>
      <c r="Q730" t="str">
        <f t="shared" si="36"/>
        <v>2022</v>
      </c>
    </row>
    <row r="731" spans="1:17">
      <c r="A731" s="162">
        <v>44632</v>
      </c>
      <c r="B731" s="164" t="s">
        <v>2337</v>
      </c>
      <c r="C731" s="164" t="s">
        <v>297</v>
      </c>
      <c r="D731" s="164" t="s">
        <v>96</v>
      </c>
      <c r="E731" s="79">
        <v>44621</v>
      </c>
      <c r="F731" s="6" t="s">
        <v>16</v>
      </c>
      <c r="G731" s="6" t="s">
        <v>2339</v>
      </c>
      <c r="H731" s="170">
        <v>20000</v>
      </c>
      <c r="I731" s="172">
        <f t="shared" si="34"/>
        <v>229.04260192395787</v>
      </c>
      <c r="J731" s="162">
        <v>44632</v>
      </c>
      <c r="K731" s="6" t="s">
        <v>252</v>
      </c>
      <c r="L731" s="162">
        <v>44632</v>
      </c>
      <c r="M731" s="175" t="s">
        <v>5936</v>
      </c>
      <c r="O731" s="6" t="s">
        <v>356</v>
      </c>
      <c r="P731" s="6" t="str">
        <f t="shared" si="35"/>
        <v>Category</v>
      </c>
      <c r="Q731" t="str">
        <f t="shared" si="36"/>
        <v>2022</v>
      </c>
    </row>
    <row r="732" spans="1:17">
      <c r="A732" s="162">
        <v>44634</v>
      </c>
      <c r="B732" s="164" t="s">
        <v>2340</v>
      </c>
      <c r="C732" s="164" t="s">
        <v>319</v>
      </c>
      <c r="D732" s="164" t="s">
        <v>25</v>
      </c>
      <c r="E732" s="79">
        <v>44621</v>
      </c>
      <c r="F732" s="6" t="s">
        <v>16</v>
      </c>
      <c r="G732" s="6" t="s">
        <v>2149</v>
      </c>
      <c r="H732" s="170">
        <v>42000</v>
      </c>
      <c r="I732" s="172">
        <f t="shared" ref="I732:I767" si="37">IFERROR((($H732/1.18))/74,"")</f>
        <v>480.98946404031153</v>
      </c>
      <c r="J732" s="162">
        <v>44634</v>
      </c>
      <c r="K732" s="6" t="s">
        <v>252</v>
      </c>
      <c r="L732" s="162">
        <v>44634</v>
      </c>
      <c r="M732" s="175" t="s">
        <v>5937</v>
      </c>
      <c r="O732" s="6" t="s">
        <v>356</v>
      </c>
      <c r="P732" s="6" t="str">
        <f t="shared" si="35"/>
        <v>SAFe que</v>
      </c>
      <c r="Q732" t="str">
        <f t="shared" si="36"/>
        <v>2022</v>
      </c>
    </row>
    <row r="733" spans="1:17">
      <c r="A733" s="162">
        <v>44634</v>
      </c>
      <c r="B733" s="164" t="s">
        <v>76</v>
      </c>
      <c r="C733" s="164" t="s">
        <v>319</v>
      </c>
      <c r="D733" s="164" t="s">
        <v>150</v>
      </c>
      <c r="E733" s="79">
        <v>44621</v>
      </c>
      <c r="F733" s="6" t="s">
        <v>16</v>
      </c>
      <c r="G733" s="6" t="s">
        <v>2112</v>
      </c>
      <c r="H733" s="170">
        <v>21000</v>
      </c>
      <c r="I733" s="172">
        <f t="shared" si="37"/>
        <v>240.49473202015577</v>
      </c>
      <c r="J733" s="162">
        <v>44634</v>
      </c>
      <c r="K733" s="6" t="s">
        <v>252</v>
      </c>
      <c r="L733" s="162">
        <v>44634</v>
      </c>
      <c r="M733" s="175" t="s">
        <v>5938</v>
      </c>
      <c r="O733" s="6" t="s">
        <v>280</v>
      </c>
      <c r="P733" s="6" t="str">
        <f t="shared" si="35"/>
        <v>SAFe que</v>
      </c>
      <c r="Q733" t="str">
        <f t="shared" si="36"/>
        <v>2022</v>
      </c>
    </row>
    <row r="734" spans="1:17">
      <c r="A734" s="162">
        <v>44635</v>
      </c>
      <c r="B734" s="164" t="s">
        <v>2342</v>
      </c>
      <c r="C734" s="164" t="s">
        <v>319</v>
      </c>
      <c r="D734" s="164" t="s">
        <v>151</v>
      </c>
      <c r="E734" s="79">
        <v>44621</v>
      </c>
      <c r="F734" s="6" t="s">
        <v>16</v>
      </c>
      <c r="G734" s="6" t="s">
        <v>2344</v>
      </c>
      <c r="H734" s="170">
        <v>21000</v>
      </c>
      <c r="I734" s="172">
        <f t="shared" si="37"/>
        <v>240.49473202015577</v>
      </c>
      <c r="J734" s="162">
        <v>44635</v>
      </c>
      <c r="K734" s="6" t="s">
        <v>252</v>
      </c>
      <c r="L734" s="162">
        <v>44636</v>
      </c>
      <c r="M734" s="175" t="s">
        <v>5939</v>
      </c>
      <c r="O734" s="6" t="s">
        <v>356</v>
      </c>
      <c r="P734" s="6" t="str">
        <f t="shared" si="35"/>
        <v>SAFe que</v>
      </c>
      <c r="Q734" t="str">
        <f t="shared" si="36"/>
        <v>2022</v>
      </c>
    </row>
    <row r="735" spans="1:17">
      <c r="A735" s="162">
        <v>44635</v>
      </c>
      <c r="B735" s="164" t="s">
        <v>2345</v>
      </c>
      <c r="C735" s="164" t="s">
        <v>303</v>
      </c>
      <c r="D735" s="164" t="s">
        <v>150</v>
      </c>
      <c r="E735" s="79">
        <v>44621</v>
      </c>
      <c r="F735" s="6" t="s">
        <v>16</v>
      </c>
      <c r="G735" s="6" t="s">
        <v>2112</v>
      </c>
      <c r="H735" s="170">
        <v>21000</v>
      </c>
      <c r="I735" s="172">
        <f t="shared" si="37"/>
        <v>240.49473202015577</v>
      </c>
      <c r="J735" s="162">
        <v>44635</v>
      </c>
      <c r="K735" s="6" t="s">
        <v>252</v>
      </c>
      <c r="L735" s="162">
        <v>44635</v>
      </c>
      <c r="M735" s="175" t="s">
        <v>5940</v>
      </c>
      <c r="O735" s="6" t="s">
        <v>356</v>
      </c>
      <c r="P735" s="6" t="str">
        <f t="shared" si="35"/>
        <v>SAFe que</v>
      </c>
      <c r="Q735" t="str">
        <f t="shared" si="36"/>
        <v>2022</v>
      </c>
    </row>
    <row r="736" spans="1:17">
      <c r="A736" s="162">
        <v>44636</v>
      </c>
      <c r="B736" s="164" t="s">
        <v>2347</v>
      </c>
      <c r="C736" s="164" t="s">
        <v>303</v>
      </c>
      <c r="D736" s="164" t="s">
        <v>7</v>
      </c>
      <c r="E736" s="79">
        <v>44621</v>
      </c>
      <c r="F736" s="6" t="s">
        <v>16</v>
      </c>
      <c r="G736" s="6" t="s">
        <v>2349</v>
      </c>
      <c r="H736" s="170">
        <v>42000</v>
      </c>
      <c r="I736" s="172">
        <f t="shared" si="37"/>
        <v>480.98946404031153</v>
      </c>
      <c r="J736" s="162">
        <v>44636</v>
      </c>
      <c r="K736" s="6" t="s">
        <v>252</v>
      </c>
      <c r="L736" s="162">
        <v>44636</v>
      </c>
      <c r="M736" s="175" t="s">
        <v>5941</v>
      </c>
      <c r="O736" s="6" t="s">
        <v>356</v>
      </c>
      <c r="P736" s="6" t="str">
        <f t="shared" si="35"/>
        <v>SAFe que</v>
      </c>
      <c r="Q736" t="str">
        <f t="shared" si="36"/>
        <v>2022</v>
      </c>
    </row>
    <row r="737" spans="1:17">
      <c r="A737" s="162">
        <v>44636</v>
      </c>
      <c r="B737" s="164" t="s">
        <v>2350</v>
      </c>
      <c r="C737" s="164" t="s">
        <v>287</v>
      </c>
      <c r="D737" s="164" t="s">
        <v>25</v>
      </c>
      <c r="E737" s="79">
        <v>44621</v>
      </c>
      <c r="F737" s="6" t="s">
        <v>16</v>
      </c>
      <c r="G737" s="6" t="s">
        <v>2344</v>
      </c>
      <c r="H737" s="170">
        <v>42000</v>
      </c>
      <c r="I737" s="172">
        <f t="shared" si="37"/>
        <v>480.98946404031153</v>
      </c>
      <c r="J737" s="162">
        <v>44636</v>
      </c>
      <c r="K737" s="6" t="s">
        <v>252</v>
      </c>
      <c r="L737" s="162">
        <v>44636</v>
      </c>
      <c r="M737" s="175" t="s">
        <v>5942</v>
      </c>
      <c r="O737" s="6" t="s">
        <v>356</v>
      </c>
      <c r="P737" s="6" t="str">
        <f t="shared" si="35"/>
        <v>SAFe que</v>
      </c>
      <c r="Q737" t="str">
        <f t="shared" si="36"/>
        <v>2022</v>
      </c>
    </row>
    <row r="738" spans="1:17">
      <c r="A738" s="162">
        <v>44636</v>
      </c>
      <c r="B738" s="164" t="s">
        <v>2352</v>
      </c>
      <c r="C738" s="164" t="s">
        <v>291</v>
      </c>
      <c r="D738" s="164" t="s">
        <v>150</v>
      </c>
      <c r="E738" s="79">
        <v>44621</v>
      </c>
      <c r="F738" s="6" t="s">
        <v>16</v>
      </c>
      <c r="G738" s="6" t="s">
        <v>2149</v>
      </c>
      <c r="H738" s="170">
        <v>21000</v>
      </c>
      <c r="I738" s="172">
        <f t="shared" si="37"/>
        <v>240.49473202015577</v>
      </c>
      <c r="J738" s="162">
        <v>44636</v>
      </c>
      <c r="K738" s="6" t="s">
        <v>252</v>
      </c>
      <c r="L738" s="162">
        <v>44636</v>
      </c>
      <c r="M738" s="175" t="s">
        <v>5943</v>
      </c>
      <c r="O738" s="6" t="s">
        <v>356</v>
      </c>
      <c r="P738" s="6" t="str">
        <f t="shared" si="35"/>
        <v>SAFe que</v>
      </c>
      <c r="Q738" t="str">
        <f t="shared" si="36"/>
        <v>2022</v>
      </c>
    </row>
    <row r="739" spans="1:17">
      <c r="A739" s="162">
        <v>44637</v>
      </c>
      <c r="B739" s="164" t="s">
        <v>2354</v>
      </c>
      <c r="C739" s="164" t="s">
        <v>278</v>
      </c>
      <c r="D739" s="164" t="s">
        <v>150</v>
      </c>
      <c r="E739" s="79">
        <v>44621</v>
      </c>
      <c r="F739" s="6" t="s">
        <v>16</v>
      </c>
      <c r="G739" s="6" t="s">
        <v>2149</v>
      </c>
      <c r="H739" s="170">
        <v>20000</v>
      </c>
      <c r="I739" s="172">
        <f t="shared" si="37"/>
        <v>229.04260192395787</v>
      </c>
      <c r="J739" s="162">
        <v>44637</v>
      </c>
      <c r="K739" s="6" t="s">
        <v>252</v>
      </c>
      <c r="L739" s="162">
        <v>44637</v>
      </c>
      <c r="M739" s="175" t="s">
        <v>5944</v>
      </c>
      <c r="N739" s="6" t="s">
        <v>2356</v>
      </c>
      <c r="O739" s="6" t="s">
        <v>356</v>
      </c>
      <c r="P739" s="6" t="str">
        <f t="shared" si="35"/>
        <v>SAFe que</v>
      </c>
      <c r="Q739" t="str">
        <f t="shared" si="36"/>
        <v>2022</v>
      </c>
    </row>
    <row r="740" spans="1:17">
      <c r="A740" s="162">
        <v>44637</v>
      </c>
      <c r="B740" s="164" t="s">
        <v>2357</v>
      </c>
      <c r="C740" s="164" t="s">
        <v>287</v>
      </c>
      <c r="D740" s="164" t="s">
        <v>150</v>
      </c>
      <c r="E740" s="79">
        <v>44621</v>
      </c>
      <c r="F740" s="6" t="s">
        <v>16</v>
      </c>
      <c r="G740" s="6" t="s">
        <v>2112</v>
      </c>
      <c r="H740" s="170">
        <v>21000</v>
      </c>
      <c r="I740" s="172">
        <f t="shared" si="37"/>
        <v>240.49473202015577</v>
      </c>
      <c r="J740" s="162">
        <v>44637</v>
      </c>
      <c r="K740" s="6" t="s">
        <v>252</v>
      </c>
      <c r="L740" s="162">
        <v>44637</v>
      </c>
      <c r="M740" s="175" t="s">
        <v>5945</v>
      </c>
      <c r="O740" s="6" t="s">
        <v>280</v>
      </c>
      <c r="P740" s="6" t="str">
        <f t="shared" si="35"/>
        <v>SAFe que</v>
      </c>
      <c r="Q740" t="str">
        <f t="shared" si="36"/>
        <v>2022</v>
      </c>
    </row>
    <row r="741" spans="1:17">
      <c r="A741" s="162">
        <v>44638</v>
      </c>
      <c r="B741" s="164" t="s">
        <v>2359</v>
      </c>
      <c r="C741" s="164" t="s">
        <v>278</v>
      </c>
      <c r="D741" s="164" t="s">
        <v>6</v>
      </c>
      <c r="E741" s="79">
        <v>44621</v>
      </c>
      <c r="F741" s="6" t="s">
        <v>16</v>
      </c>
      <c r="G741" s="6" t="s">
        <v>2344</v>
      </c>
      <c r="H741" s="170">
        <v>40000</v>
      </c>
      <c r="I741" s="172">
        <f t="shared" si="37"/>
        <v>458.08520384791575</v>
      </c>
      <c r="J741" s="162">
        <v>44638</v>
      </c>
      <c r="K741" s="6" t="s">
        <v>252</v>
      </c>
      <c r="L741" s="162">
        <v>44638</v>
      </c>
      <c r="M741" s="175" t="s">
        <v>5946</v>
      </c>
      <c r="N741" s="6" t="s">
        <v>2361</v>
      </c>
      <c r="O741" s="6" t="s">
        <v>356</v>
      </c>
      <c r="P741" s="6" t="str">
        <f t="shared" si="35"/>
        <v>SAFe que</v>
      </c>
      <c r="Q741" t="str">
        <f t="shared" si="36"/>
        <v>2022</v>
      </c>
    </row>
    <row r="742" spans="1:17">
      <c r="A742" s="162">
        <v>44638</v>
      </c>
      <c r="B742" s="164" t="s">
        <v>2362</v>
      </c>
      <c r="C742" s="164" t="s">
        <v>287</v>
      </c>
      <c r="D742" s="164" t="s">
        <v>2364</v>
      </c>
      <c r="E742" s="79">
        <v>44621</v>
      </c>
      <c r="F742" s="6" t="s">
        <v>16</v>
      </c>
      <c r="G742" s="96">
        <v>44639</v>
      </c>
      <c r="H742" s="170">
        <v>14000</v>
      </c>
      <c r="I742" s="172">
        <f t="shared" si="37"/>
        <v>160.3298213467705</v>
      </c>
      <c r="J742" s="162">
        <v>44638</v>
      </c>
      <c r="K742" s="6" t="s">
        <v>252</v>
      </c>
      <c r="L742" s="162">
        <v>44638</v>
      </c>
      <c r="M742" s="175" t="s">
        <v>5947</v>
      </c>
      <c r="O742" s="6" t="s">
        <v>356</v>
      </c>
      <c r="P742" s="6" t="str">
        <f t="shared" si="35"/>
        <v>NonCategory</v>
      </c>
      <c r="Q742" t="str">
        <f t="shared" si="36"/>
        <v>2022</v>
      </c>
    </row>
    <row r="743" spans="1:17">
      <c r="A743" s="162">
        <v>44642</v>
      </c>
      <c r="B743" s="164" t="s">
        <v>2365</v>
      </c>
      <c r="C743" s="164" t="s">
        <v>297</v>
      </c>
      <c r="D743" s="164" t="s">
        <v>150</v>
      </c>
      <c r="E743" s="79">
        <v>44621</v>
      </c>
      <c r="F743" s="6" t="s">
        <v>16</v>
      </c>
      <c r="G743" s="6" t="s">
        <v>2344</v>
      </c>
      <c r="H743" s="170">
        <v>21000</v>
      </c>
      <c r="I743" s="172">
        <f t="shared" si="37"/>
        <v>240.49473202015577</v>
      </c>
      <c r="J743" s="162">
        <v>44642</v>
      </c>
      <c r="K743" s="6" t="s">
        <v>253</v>
      </c>
      <c r="L743" s="162">
        <v>44642</v>
      </c>
      <c r="M743" s="175" t="s">
        <v>5948</v>
      </c>
      <c r="O743" s="6" t="s">
        <v>356</v>
      </c>
      <c r="P743" s="6" t="str">
        <f t="shared" si="35"/>
        <v>SAFe que</v>
      </c>
      <c r="Q743" t="str">
        <f t="shared" si="36"/>
        <v>2022</v>
      </c>
    </row>
    <row r="744" spans="1:17">
      <c r="A744" s="162">
        <v>44643</v>
      </c>
      <c r="B744" s="164" t="s">
        <v>1375</v>
      </c>
      <c r="C744" s="164" t="s">
        <v>287</v>
      </c>
      <c r="D744" s="164" t="s">
        <v>96</v>
      </c>
      <c r="E744" s="79">
        <v>44621</v>
      </c>
      <c r="F744" s="6" t="s">
        <v>16</v>
      </c>
      <c r="G744" s="6" t="s">
        <v>2344</v>
      </c>
      <c r="H744" s="170">
        <v>20000</v>
      </c>
      <c r="I744" s="172">
        <f t="shared" si="37"/>
        <v>229.04260192395787</v>
      </c>
      <c r="J744" s="162">
        <v>44643</v>
      </c>
      <c r="K744" s="6" t="s">
        <v>253</v>
      </c>
      <c r="L744" s="162">
        <v>44643</v>
      </c>
      <c r="M744" s="175" t="s">
        <v>5949</v>
      </c>
      <c r="O744" s="6" t="s">
        <v>356</v>
      </c>
      <c r="P744" s="6" t="str">
        <f t="shared" si="35"/>
        <v>Category</v>
      </c>
      <c r="Q744" t="str">
        <f t="shared" si="36"/>
        <v>2022</v>
      </c>
    </row>
    <row r="745" spans="1:17">
      <c r="A745" s="162">
        <v>44643</v>
      </c>
      <c r="B745" s="164" t="s">
        <v>2235</v>
      </c>
      <c r="C745" s="164" t="s">
        <v>278</v>
      </c>
      <c r="D745" s="164" t="s">
        <v>150</v>
      </c>
      <c r="E745" s="79">
        <v>44621</v>
      </c>
      <c r="F745" s="6" t="s">
        <v>16</v>
      </c>
      <c r="G745" s="6" t="s">
        <v>2178</v>
      </c>
      <c r="H745" s="170">
        <v>21000</v>
      </c>
      <c r="I745" s="172">
        <f t="shared" si="37"/>
        <v>240.49473202015577</v>
      </c>
      <c r="J745" s="162">
        <v>44643</v>
      </c>
      <c r="K745" s="6" t="s">
        <v>253</v>
      </c>
      <c r="L745" s="162">
        <v>44643</v>
      </c>
      <c r="M745" s="175" t="s">
        <v>5950</v>
      </c>
      <c r="N745" s="6" t="s">
        <v>2369</v>
      </c>
      <c r="O745" s="6" t="s">
        <v>356</v>
      </c>
      <c r="P745" s="6" t="str">
        <f t="shared" si="35"/>
        <v>SAFe que</v>
      </c>
      <c r="Q745" t="str">
        <f t="shared" si="36"/>
        <v>2022</v>
      </c>
    </row>
    <row r="746" spans="1:17">
      <c r="A746" s="162">
        <v>44644</v>
      </c>
      <c r="B746" s="164" t="s">
        <v>2373</v>
      </c>
      <c r="C746" s="164" t="s">
        <v>278</v>
      </c>
      <c r="D746" s="164" t="s">
        <v>2375</v>
      </c>
      <c r="E746" s="79">
        <v>44621</v>
      </c>
      <c r="F746" s="6" t="s">
        <v>16</v>
      </c>
      <c r="G746" s="96">
        <v>44644</v>
      </c>
      <c r="H746" s="170">
        <v>89250</v>
      </c>
      <c r="I746" s="172">
        <f t="shared" si="37"/>
        <v>1022.1026110856619</v>
      </c>
      <c r="J746" s="162">
        <v>44644</v>
      </c>
      <c r="K746" s="6" t="s">
        <v>253</v>
      </c>
      <c r="L746" s="162">
        <v>44644</v>
      </c>
      <c r="M746" s="175" t="s">
        <v>5951</v>
      </c>
      <c r="N746" s="6" t="s">
        <v>2376</v>
      </c>
      <c r="O746" s="6" t="s">
        <v>356</v>
      </c>
      <c r="P746" s="6" t="str">
        <f t="shared" si="35"/>
        <v>NonCategory</v>
      </c>
      <c r="Q746" t="str">
        <f t="shared" si="36"/>
        <v>2022</v>
      </c>
    </row>
    <row r="747" spans="1:17">
      <c r="A747" s="162">
        <v>44645</v>
      </c>
      <c r="B747" s="164" t="s">
        <v>2377</v>
      </c>
      <c r="C747" s="164" t="s">
        <v>291</v>
      </c>
      <c r="D747" s="164" t="s">
        <v>25</v>
      </c>
      <c r="E747" s="79">
        <v>44652</v>
      </c>
      <c r="F747" s="6" t="s">
        <v>16</v>
      </c>
      <c r="G747" s="6" t="s">
        <v>2178</v>
      </c>
      <c r="H747" s="170">
        <v>42000</v>
      </c>
      <c r="I747" s="172">
        <f t="shared" si="37"/>
        <v>480.98946404031153</v>
      </c>
      <c r="J747" s="162">
        <v>44645</v>
      </c>
      <c r="K747" s="6" t="s">
        <v>251</v>
      </c>
      <c r="L747" s="162">
        <v>44658</v>
      </c>
      <c r="M747" s="175" t="s">
        <v>5952</v>
      </c>
      <c r="O747" s="6" t="s">
        <v>356</v>
      </c>
      <c r="P747" s="6" t="str">
        <f t="shared" si="35"/>
        <v>SAFe que</v>
      </c>
      <c r="Q747" t="str">
        <f t="shared" si="36"/>
        <v>2022</v>
      </c>
    </row>
    <row r="748" spans="1:17">
      <c r="A748" s="162">
        <v>44647</v>
      </c>
      <c r="B748" s="164" t="s">
        <v>2379</v>
      </c>
      <c r="C748" s="164" t="s">
        <v>470</v>
      </c>
      <c r="D748" s="164" t="s">
        <v>538</v>
      </c>
      <c r="E748" s="79">
        <v>44621</v>
      </c>
      <c r="F748" s="6" t="s">
        <v>16</v>
      </c>
      <c r="G748" s="96">
        <v>44648</v>
      </c>
      <c r="H748" s="170">
        <v>10000</v>
      </c>
      <c r="I748" s="172">
        <f t="shared" si="37"/>
        <v>114.52130096197894</v>
      </c>
      <c r="J748" s="162">
        <v>44647</v>
      </c>
      <c r="K748" s="6" t="s">
        <v>253</v>
      </c>
      <c r="L748" s="162">
        <v>44647</v>
      </c>
      <c r="M748" s="175" t="s">
        <v>5953</v>
      </c>
      <c r="O748" s="6" t="s">
        <v>356</v>
      </c>
      <c r="P748" s="6" t="str">
        <f t="shared" si="35"/>
        <v>NonCategory</v>
      </c>
      <c r="Q748" t="str">
        <f t="shared" si="36"/>
        <v>2022</v>
      </c>
    </row>
    <row r="749" spans="1:17">
      <c r="A749" s="162">
        <v>44648</v>
      </c>
      <c r="B749" s="164" t="s">
        <v>2381</v>
      </c>
      <c r="C749" s="164" t="s">
        <v>306</v>
      </c>
      <c r="D749" s="164" t="s">
        <v>151</v>
      </c>
      <c r="E749" s="79">
        <v>44621</v>
      </c>
      <c r="F749" s="6" t="s">
        <v>16</v>
      </c>
      <c r="G749" s="6" t="s">
        <v>2344</v>
      </c>
      <c r="H749" s="170">
        <v>21000</v>
      </c>
      <c r="I749" s="172">
        <f t="shared" si="37"/>
        <v>240.49473202015577</v>
      </c>
      <c r="J749" s="162">
        <v>44648</v>
      </c>
      <c r="K749" s="6" t="s">
        <v>253</v>
      </c>
      <c r="L749" s="162">
        <v>44648</v>
      </c>
      <c r="M749" s="175" t="s">
        <v>5954</v>
      </c>
      <c r="O749" s="6" t="s">
        <v>356</v>
      </c>
      <c r="P749" s="6" t="str">
        <f t="shared" si="35"/>
        <v>SAFe que</v>
      </c>
      <c r="Q749" t="str">
        <f t="shared" si="36"/>
        <v>2022</v>
      </c>
    </row>
    <row r="750" spans="1:17">
      <c r="A750" s="162">
        <v>44649</v>
      </c>
      <c r="B750" s="164" t="s">
        <v>2382</v>
      </c>
      <c r="C750" s="164" t="s">
        <v>278</v>
      </c>
      <c r="D750" s="164" t="s">
        <v>1023</v>
      </c>
      <c r="E750" s="79">
        <v>44621</v>
      </c>
      <c r="F750" s="7" t="s">
        <v>16</v>
      </c>
      <c r="G750" s="96">
        <v>44649</v>
      </c>
      <c r="H750" s="170">
        <v>32000</v>
      </c>
      <c r="I750" s="172">
        <f t="shared" si="37"/>
        <v>366.46816307833262</v>
      </c>
      <c r="J750" s="162">
        <v>44649</v>
      </c>
      <c r="K750" s="6" t="s">
        <v>253</v>
      </c>
      <c r="L750" s="162">
        <v>44649</v>
      </c>
      <c r="M750" s="175" t="s">
        <v>5955</v>
      </c>
      <c r="N750" s="6" t="s">
        <v>2376</v>
      </c>
      <c r="O750" s="6" t="s">
        <v>356</v>
      </c>
      <c r="P750" s="6" t="str">
        <f t="shared" si="35"/>
        <v>NonCategory</v>
      </c>
      <c r="Q750" t="str">
        <f t="shared" si="36"/>
        <v>2022</v>
      </c>
    </row>
    <row r="751" spans="1:17">
      <c r="A751" s="162">
        <v>44649</v>
      </c>
      <c r="B751" s="164" t="s">
        <v>2386</v>
      </c>
      <c r="C751" s="164" t="s">
        <v>278</v>
      </c>
      <c r="D751" s="164" t="s">
        <v>96</v>
      </c>
      <c r="E751" s="79">
        <v>44621</v>
      </c>
      <c r="F751" s="6" t="s">
        <v>16</v>
      </c>
      <c r="G751" s="6" t="s">
        <v>2344</v>
      </c>
      <c r="H751" s="170">
        <v>19500</v>
      </c>
      <c r="I751" s="172">
        <f t="shared" si="37"/>
        <v>223.3165368758589</v>
      </c>
      <c r="J751" s="162">
        <v>44649</v>
      </c>
      <c r="K751" s="6" t="s">
        <v>253</v>
      </c>
      <c r="L751" s="162">
        <v>44650</v>
      </c>
      <c r="M751" s="175" t="s">
        <v>5956</v>
      </c>
      <c r="N751" s="6" t="s">
        <v>2388</v>
      </c>
      <c r="O751" s="6" t="s">
        <v>356</v>
      </c>
      <c r="P751" s="6" t="str">
        <f t="shared" si="35"/>
        <v>Category</v>
      </c>
      <c r="Q751" t="str">
        <f t="shared" si="36"/>
        <v>2022</v>
      </c>
    </row>
    <row r="752" spans="1:17">
      <c r="A752" s="162">
        <v>44650</v>
      </c>
      <c r="B752" s="164" t="s">
        <v>2391</v>
      </c>
      <c r="C752" s="164" t="s">
        <v>303</v>
      </c>
      <c r="D752" s="164" t="s">
        <v>150</v>
      </c>
      <c r="E752" s="79">
        <v>44621</v>
      </c>
      <c r="F752" s="6" t="s">
        <v>16</v>
      </c>
      <c r="G752" s="6" t="s">
        <v>2344</v>
      </c>
      <c r="H752" s="170">
        <v>21000</v>
      </c>
      <c r="I752" s="172">
        <f t="shared" si="37"/>
        <v>240.49473202015577</v>
      </c>
      <c r="J752" s="162">
        <v>44650</v>
      </c>
      <c r="K752" s="6" t="s">
        <v>253</v>
      </c>
      <c r="L752" s="162">
        <v>44650</v>
      </c>
      <c r="M752" s="175" t="s">
        <v>5957</v>
      </c>
      <c r="O752" s="6" t="s">
        <v>356</v>
      </c>
      <c r="P752" s="6" t="str">
        <f t="shared" si="35"/>
        <v>SAFe que</v>
      </c>
      <c r="Q752" t="str">
        <f t="shared" si="36"/>
        <v>2022</v>
      </c>
    </row>
    <row r="753" spans="1:17">
      <c r="A753" s="162">
        <v>44650</v>
      </c>
      <c r="B753" s="164" t="s">
        <v>2105</v>
      </c>
      <c r="C753" s="164" t="s">
        <v>303</v>
      </c>
      <c r="D753" s="164" t="s">
        <v>25</v>
      </c>
      <c r="E753" s="79">
        <v>44621</v>
      </c>
      <c r="F753" s="6" t="s">
        <v>16</v>
      </c>
      <c r="G753" s="6" t="s">
        <v>2349</v>
      </c>
      <c r="H753" s="170">
        <v>42000</v>
      </c>
      <c r="I753" s="172">
        <f t="shared" si="37"/>
        <v>480.98946404031153</v>
      </c>
      <c r="J753" s="162">
        <v>44650</v>
      </c>
      <c r="K753" s="6" t="s">
        <v>253</v>
      </c>
      <c r="L753" s="162">
        <v>44650</v>
      </c>
      <c r="M753" s="175" t="s">
        <v>5958</v>
      </c>
      <c r="O753" s="6" t="s">
        <v>280</v>
      </c>
      <c r="P753" s="6" t="str">
        <f t="shared" si="35"/>
        <v>SAFe que</v>
      </c>
      <c r="Q753" t="str">
        <f t="shared" si="36"/>
        <v>2022</v>
      </c>
    </row>
    <row r="754" spans="1:17">
      <c r="A754" s="162">
        <v>44650</v>
      </c>
      <c r="B754" s="164" t="s">
        <v>2394</v>
      </c>
      <c r="C754" s="164" t="s">
        <v>278</v>
      </c>
      <c r="D754" s="164" t="s">
        <v>96</v>
      </c>
      <c r="E754" s="79">
        <v>44621</v>
      </c>
      <c r="F754" s="6" t="s">
        <v>16</v>
      </c>
      <c r="G754" s="6" t="s">
        <v>2178</v>
      </c>
      <c r="H754" s="170">
        <v>20000</v>
      </c>
      <c r="I754" s="172">
        <f t="shared" si="37"/>
        <v>229.04260192395787</v>
      </c>
      <c r="J754" s="162">
        <v>44650</v>
      </c>
      <c r="K754" s="6" t="s">
        <v>253</v>
      </c>
      <c r="L754" s="162">
        <v>44650</v>
      </c>
      <c r="M754" s="175" t="s">
        <v>5959</v>
      </c>
      <c r="N754" s="6" t="s">
        <v>2396</v>
      </c>
      <c r="O754" s="6" t="s">
        <v>356</v>
      </c>
      <c r="P754" s="6" t="str">
        <f t="shared" si="35"/>
        <v>Category</v>
      </c>
      <c r="Q754" t="str">
        <f t="shared" si="36"/>
        <v>2022</v>
      </c>
    </row>
    <row r="755" spans="1:17">
      <c r="A755" s="162">
        <v>44651</v>
      </c>
      <c r="B755" s="164" t="s">
        <v>2397</v>
      </c>
      <c r="C755" s="164" t="s">
        <v>303</v>
      </c>
      <c r="D755" s="164" t="s">
        <v>150</v>
      </c>
      <c r="E755" s="79">
        <v>44621</v>
      </c>
      <c r="F755" s="6" t="s">
        <v>16</v>
      </c>
      <c r="G755" s="6" t="s">
        <v>2399</v>
      </c>
      <c r="H755" s="170">
        <v>21000</v>
      </c>
      <c r="I755" s="172">
        <f t="shared" si="37"/>
        <v>240.49473202015577</v>
      </c>
      <c r="J755" s="162">
        <v>44651</v>
      </c>
      <c r="K755" s="6" t="s">
        <v>253</v>
      </c>
      <c r="L755" s="162">
        <v>44651</v>
      </c>
      <c r="M755" s="175" t="s">
        <v>5960</v>
      </c>
      <c r="O755" s="6" t="s">
        <v>356</v>
      </c>
      <c r="P755" s="6" t="str">
        <f t="shared" si="35"/>
        <v>SAFe que</v>
      </c>
      <c r="Q755" t="str">
        <f t="shared" si="36"/>
        <v>2022</v>
      </c>
    </row>
    <row r="756" spans="1:17">
      <c r="A756" s="162">
        <v>44651</v>
      </c>
      <c r="B756" s="164" t="s">
        <v>2400</v>
      </c>
      <c r="C756" s="164" t="s">
        <v>303</v>
      </c>
      <c r="D756" s="164" t="s">
        <v>150</v>
      </c>
      <c r="E756" s="79">
        <v>44621</v>
      </c>
      <c r="F756" s="6" t="s">
        <v>16</v>
      </c>
      <c r="G756" s="6" t="s">
        <v>2349</v>
      </c>
      <c r="H756" s="170">
        <v>21000</v>
      </c>
      <c r="I756" s="172">
        <f t="shared" si="37"/>
        <v>240.49473202015577</v>
      </c>
      <c r="J756" s="162">
        <v>44651</v>
      </c>
      <c r="K756" s="6" t="s">
        <v>253</v>
      </c>
      <c r="L756" s="162">
        <v>44651</v>
      </c>
      <c r="M756" s="175" t="s">
        <v>5961</v>
      </c>
      <c r="O756" s="6" t="s">
        <v>280</v>
      </c>
      <c r="P756" s="6" t="str">
        <f t="shared" si="35"/>
        <v>SAFe que</v>
      </c>
      <c r="Q756" t="str">
        <f t="shared" si="36"/>
        <v>2022</v>
      </c>
    </row>
    <row r="757" spans="1:17">
      <c r="A757" s="162">
        <v>44651</v>
      </c>
      <c r="B757" s="164" t="s">
        <v>2404</v>
      </c>
      <c r="C757" s="164" t="s">
        <v>291</v>
      </c>
      <c r="D757" s="164" t="s">
        <v>25</v>
      </c>
      <c r="E757" s="79">
        <v>44621</v>
      </c>
      <c r="F757" s="6" t="s">
        <v>16</v>
      </c>
      <c r="G757" s="6" t="s">
        <v>2349</v>
      </c>
      <c r="H757" s="170">
        <v>42000</v>
      </c>
      <c r="I757" s="172">
        <f t="shared" si="37"/>
        <v>480.98946404031153</v>
      </c>
      <c r="J757" s="162">
        <v>44651</v>
      </c>
      <c r="K757" s="6" t="s">
        <v>253</v>
      </c>
      <c r="L757" s="162">
        <v>44651</v>
      </c>
      <c r="M757" s="175" t="s">
        <v>5962</v>
      </c>
      <c r="O757" s="6" t="s">
        <v>280</v>
      </c>
      <c r="P757" s="6" t="str">
        <f t="shared" si="35"/>
        <v>SAFe que</v>
      </c>
      <c r="Q757" t="str">
        <f t="shared" si="36"/>
        <v>2022</v>
      </c>
    </row>
    <row r="758" spans="1:17">
      <c r="A758" s="162">
        <v>44651</v>
      </c>
      <c r="B758" s="164" t="s">
        <v>2406</v>
      </c>
      <c r="C758" s="164" t="s">
        <v>303</v>
      </c>
      <c r="D758" s="164" t="s">
        <v>97</v>
      </c>
      <c r="E758" s="79">
        <v>44621</v>
      </c>
      <c r="F758" s="6" t="s">
        <v>16</v>
      </c>
      <c r="G758" s="6" t="s">
        <v>2408</v>
      </c>
      <c r="H758" s="170">
        <v>20000</v>
      </c>
      <c r="I758" s="172">
        <f t="shared" si="37"/>
        <v>229.04260192395787</v>
      </c>
      <c r="J758" s="162">
        <v>44651</v>
      </c>
      <c r="K758" s="6" t="s">
        <v>253</v>
      </c>
      <c r="L758" s="162">
        <v>44651</v>
      </c>
      <c r="M758" s="175" t="s">
        <v>5963</v>
      </c>
      <c r="O758" s="6" t="s">
        <v>356</v>
      </c>
      <c r="P758" s="6" t="str">
        <f t="shared" si="35"/>
        <v>Category</v>
      </c>
      <c r="Q758" t="str">
        <f t="shared" si="36"/>
        <v>2022</v>
      </c>
    </row>
    <row r="759" spans="1:17">
      <c r="A759" s="162">
        <v>44653</v>
      </c>
      <c r="B759" s="164" t="s">
        <v>2409</v>
      </c>
      <c r="C759" s="164" t="s">
        <v>303</v>
      </c>
      <c r="D759" s="164" t="s">
        <v>25</v>
      </c>
      <c r="E759" s="79">
        <v>44652</v>
      </c>
      <c r="F759" s="6" t="s">
        <v>16</v>
      </c>
      <c r="G759" s="6" t="s">
        <v>2178</v>
      </c>
      <c r="H759" s="170">
        <v>40000</v>
      </c>
      <c r="I759" s="172">
        <f t="shared" si="37"/>
        <v>458.08520384791575</v>
      </c>
      <c r="J759" s="162">
        <v>44653</v>
      </c>
      <c r="K759" s="6" t="s">
        <v>251</v>
      </c>
      <c r="L759" s="162">
        <v>44653</v>
      </c>
      <c r="M759" s="175" t="s">
        <v>5964</v>
      </c>
      <c r="O759" s="6" t="s">
        <v>356</v>
      </c>
      <c r="P759" s="6" t="str">
        <f t="shared" si="35"/>
        <v>SAFe que</v>
      </c>
      <c r="Q759" t="str">
        <f t="shared" si="36"/>
        <v>2022</v>
      </c>
    </row>
    <row r="760" spans="1:17">
      <c r="A760" s="162">
        <v>44655</v>
      </c>
      <c r="B760" s="164" t="s">
        <v>2411</v>
      </c>
      <c r="C760" s="164" t="s">
        <v>319</v>
      </c>
      <c r="D760" s="164" t="s">
        <v>96</v>
      </c>
      <c r="E760" s="79">
        <v>44652</v>
      </c>
      <c r="F760" s="6" t="s">
        <v>16</v>
      </c>
      <c r="G760" s="6" t="s">
        <v>2413</v>
      </c>
      <c r="H760" s="170">
        <v>20000</v>
      </c>
      <c r="I760" s="172">
        <f t="shared" si="37"/>
        <v>229.04260192395787</v>
      </c>
      <c r="J760" s="162">
        <v>44655</v>
      </c>
      <c r="K760" s="6" t="s">
        <v>251</v>
      </c>
      <c r="L760" s="162">
        <v>44655</v>
      </c>
      <c r="M760" s="175" t="s">
        <v>5965</v>
      </c>
      <c r="O760" s="6" t="s">
        <v>280</v>
      </c>
      <c r="P760" s="6" t="str">
        <f t="shared" si="35"/>
        <v>Category</v>
      </c>
      <c r="Q760" t="str">
        <f t="shared" si="36"/>
        <v>2022</v>
      </c>
    </row>
    <row r="761" spans="1:17">
      <c r="A761" s="162">
        <v>44655</v>
      </c>
      <c r="B761" s="164" t="s">
        <v>2414</v>
      </c>
      <c r="C761" s="164" t="s">
        <v>319</v>
      </c>
      <c r="D761" s="164" t="s">
        <v>150</v>
      </c>
      <c r="E761" s="79">
        <v>44652</v>
      </c>
      <c r="F761" s="6" t="s">
        <v>16</v>
      </c>
      <c r="G761" s="6" t="s">
        <v>2349</v>
      </c>
      <c r="H761" s="170">
        <v>21000</v>
      </c>
      <c r="I761" s="172">
        <f t="shared" si="37"/>
        <v>240.49473202015577</v>
      </c>
      <c r="J761" s="162">
        <v>44655</v>
      </c>
      <c r="K761" s="6" t="s">
        <v>251</v>
      </c>
      <c r="L761" s="162">
        <v>44655</v>
      </c>
      <c r="M761" s="175" t="s">
        <v>5966</v>
      </c>
      <c r="O761" s="6" t="s">
        <v>356</v>
      </c>
      <c r="P761" s="6" t="str">
        <f t="shared" si="35"/>
        <v>SAFe que</v>
      </c>
      <c r="Q761" t="str">
        <f t="shared" si="36"/>
        <v>2022</v>
      </c>
    </row>
    <row r="762" spans="1:17">
      <c r="A762" s="162">
        <v>44656</v>
      </c>
      <c r="B762" s="164" t="s">
        <v>2416</v>
      </c>
      <c r="C762" s="164" t="s">
        <v>303</v>
      </c>
      <c r="D762" s="164" t="s">
        <v>96</v>
      </c>
      <c r="E762" s="79">
        <v>44652</v>
      </c>
      <c r="F762" s="6" t="s">
        <v>16</v>
      </c>
      <c r="G762" s="6" t="s">
        <v>2418</v>
      </c>
      <c r="H762" s="170">
        <v>20000</v>
      </c>
      <c r="I762" s="172">
        <f t="shared" si="37"/>
        <v>229.04260192395787</v>
      </c>
      <c r="J762" s="162">
        <v>44656</v>
      </c>
      <c r="K762" s="6" t="s">
        <v>251</v>
      </c>
      <c r="L762" s="162">
        <v>44656</v>
      </c>
      <c r="M762" s="175" t="s">
        <v>5967</v>
      </c>
      <c r="O762" s="6" t="s">
        <v>356</v>
      </c>
      <c r="P762" s="6" t="str">
        <f t="shared" si="35"/>
        <v>Category</v>
      </c>
      <c r="Q762" t="str">
        <f t="shared" si="36"/>
        <v>2022</v>
      </c>
    </row>
    <row r="763" spans="1:17">
      <c r="A763" s="162">
        <v>44656</v>
      </c>
      <c r="B763" s="164" t="s">
        <v>2419</v>
      </c>
      <c r="C763" s="164" t="s">
        <v>319</v>
      </c>
      <c r="D763" s="164" t="s">
        <v>150</v>
      </c>
      <c r="E763" s="79">
        <v>44652</v>
      </c>
      <c r="F763" s="6" t="s">
        <v>16</v>
      </c>
      <c r="G763" s="6" t="s">
        <v>2413</v>
      </c>
      <c r="H763" s="170">
        <v>21000</v>
      </c>
      <c r="I763" s="172">
        <f t="shared" si="37"/>
        <v>240.49473202015577</v>
      </c>
      <c r="J763" s="162">
        <v>44656</v>
      </c>
      <c r="K763" s="6" t="s">
        <v>251</v>
      </c>
      <c r="L763" s="162">
        <v>44656</v>
      </c>
      <c r="M763" s="175" t="s">
        <v>5968</v>
      </c>
      <c r="O763" s="6" t="s">
        <v>280</v>
      </c>
      <c r="P763" s="6" t="str">
        <f t="shared" si="35"/>
        <v>SAFe que</v>
      </c>
      <c r="Q763" t="str">
        <f t="shared" si="36"/>
        <v>2022</v>
      </c>
    </row>
    <row r="764" spans="1:17">
      <c r="A764" s="162">
        <v>44658</v>
      </c>
      <c r="B764" s="164" t="s">
        <v>2421</v>
      </c>
      <c r="C764" s="164" t="s">
        <v>470</v>
      </c>
      <c r="D764" s="164" t="s">
        <v>1524</v>
      </c>
      <c r="E764" s="79">
        <v>44652</v>
      </c>
      <c r="F764" s="6" t="s">
        <v>16</v>
      </c>
      <c r="G764" s="6" t="s">
        <v>2178</v>
      </c>
      <c r="H764" s="170">
        <v>24000</v>
      </c>
      <c r="I764" s="172">
        <f t="shared" si="37"/>
        <v>274.85112230874944</v>
      </c>
      <c r="J764" s="162">
        <v>44658</v>
      </c>
      <c r="K764" s="6" t="s">
        <v>251</v>
      </c>
      <c r="L764" s="162">
        <v>44658</v>
      </c>
      <c r="M764" s="175" t="s">
        <v>5969</v>
      </c>
      <c r="O764" s="6" t="s">
        <v>356</v>
      </c>
      <c r="P764" s="6" t="str">
        <f t="shared" si="35"/>
        <v>SAFe que</v>
      </c>
      <c r="Q764" t="str">
        <f t="shared" si="36"/>
        <v>2022</v>
      </c>
    </row>
    <row r="765" spans="1:17">
      <c r="A765" s="162">
        <v>44658</v>
      </c>
      <c r="B765" s="164" t="s">
        <v>2422</v>
      </c>
      <c r="C765" s="164" t="s">
        <v>319</v>
      </c>
      <c r="D765" s="164" t="s">
        <v>150</v>
      </c>
      <c r="E765" s="79">
        <v>44652</v>
      </c>
      <c r="F765" s="6" t="s">
        <v>16</v>
      </c>
      <c r="G765" s="6" t="s">
        <v>2413</v>
      </c>
      <c r="H765" s="170">
        <v>21000</v>
      </c>
      <c r="I765" s="172">
        <f t="shared" si="37"/>
        <v>240.49473202015577</v>
      </c>
      <c r="J765" s="162">
        <v>44658</v>
      </c>
      <c r="K765" s="6" t="s">
        <v>251</v>
      </c>
      <c r="L765" s="162">
        <v>44658</v>
      </c>
      <c r="M765" s="175" t="s">
        <v>5970</v>
      </c>
      <c r="O765" s="6" t="s">
        <v>280</v>
      </c>
      <c r="P765" s="6" t="str">
        <f t="shared" si="35"/>
        <v>SAFe que</v>
      </c>
      <c r="Q765" t="str">
        <f t="shared" si="36"/>
        <v>2022</v>
      </c>
    </row>
    <row r="766" spans="1:17">
      <c r="A766" s="162">
        <v>44658</v>
      </c>
      <c r="B766" s="164" t="s">
        <v>2424</v>
      </c>
      <c r="C766" s="164" t="s">
        <v>278</v>
      </c>
      <c r="D766" s="164" t="s">
        <v>96</v>
      </c>
      <c r="E766" s="79">
        <v>44652</v>
      </c>
      <c r="F766" s="6" t="s">
        <v>16</v>
      </c>
      <c r="G766" s="6" t="s">
        <v>2413</v>
      </c>
      <c r="H766" s="170">
        <v>20000</v>
      </c>
      <c r="I766" s="172">
        <f t="shared" si="37"/>
        <v>229.04260192395787</v>
      </c>
      <c r="J766" s="162">
        <v>44658</v>
      </c>
      <c r="K766" s="6" t="s">
        <v>251</v>
      </c>
      <c r="L766" s="162">
        <v>44658</v>
      </c>
      <c r="M766" s="175" t="s">
        <v>5971</v>
      </c>
      <c r="N766" s="6" t="s">
        <v>2426</v>
      </c>
      <c r="O766" s="6" t="s">
        <v>280</v>
      </c>
      <c r="P766" s="6" t="str">
        <f t="shared" si="35"/>
        <v>Category</v>
      </c>
      <c r="Q766" t="str">
        <f t="shared" si="36"/>
        <v>2022</v>
      </c>
    </row>
    <row r="767" spans="1:17">
      <c r="A767" s="162">
        <v>44659</v>
      </c>
      <c r="B767" s="164" t="s">
        <v>2427</v>
      </c>
      <c r="C767" s="164" t="s">
        <v>287</v>
      </c>
      <c r="D767" s="164" t="s">
        <v>97</v>
      </c>
      <c r="E767" s="79">
        <v>44652</v>
      </c>
      <c r="F767" s="6" t="s">
        <v>16</v>
      </c>
      <c r="G767" s="6" t="s">
        <v>2429</v>
      </c>
      <c r="H767" s="170">
        <v>20000</v>
      </c>
      <c r="I767" s="172">
        <f t="shared" si="37"/>
        <v>229.04260192395787</v>
      </c>
      <c r="J767" s="162">
        <v>44659</v>
      </c>
      <c r="K767" s="6" t="s">
        <v>251</v>
      </c>
      <c r="L767" s="162">
        <v>44659</v>
      </c>
      <c r="M767" s="175" t="s">
        <v>5972</v>
      </c>
      <c r="O767" s="6" t="s">
        <v>356</v>
      </c>
      <c r="P767" s="6" t="str">
        <f t="shared" si="35"/>
        <v>Category</v>
      </c>
      <c r="Q767" t="str">
        <f t="shared" si="36"/>
        <v>2022</v>
      </c>
    </row>
    <row r="768" spans="1:17">
      <c r="A768" s="162">
        <v>44659</v>
      </c>
      <c r="B768" s="164" t="s">
        <v>2430</v>
      </c>
      <c r="C768" s="164" t="s">
        <v>287</v>
      </c>
      <c r="D768" s="164" t="s">
        <v>150</v>
      </c>
      <c r="E768" s="79">
        <v>44652</v>
      </c>
      <c r="F768" s="169" t="s">
        <v>16</v>
      </c>
      <c r="G768" s="6" t="s">
        <v>2413</v>
      </c>
      <c r="H768" s="170">
        <v>21000</v>
      </c>
      <c r="I768" s="172">
        <v>250</v>
      </c>
      <c r="J768" s="162">
        <v>44659</v>
      </c>
      <c r="K768" s="6" t="s">
        <v>251</v>
      </c>
      <c r="L768" s="162">
        <v>44659</v>
      </c>
      <c r="M768" s="175" t="s">
        <v>5973</v>
      </c>
      <c r="O768" s="6" t="s">
        <v>356</v>
      </c>
      <c r="P768" s="6" t="str">
        <f t="shared" si="35"/>
        <v>SAFe que</v>
      </c>
      <c r="Q768" t="str">
        <f t="shared" si="36"/>
        <v>2022</v>
      </c>
    </row>
    <row r="769" spans="1:17">
      <c r="A769" s="162">
        <v>44662</v>
      </c>
      <c r="B769" s="164" t="s">
        <v>1311</v>
      </c>
      <c r="C769" s="164" t="s">
        <v>319</v>
      </c>
      <c r="D769" s="164" t="s">
        <v>150</v>
      </c>
      <c r="E769" s="79">
        <v>44652</v>
      </c>
      <c r="F769" s="6" t="s">
        <v>16</v>
      </c>
      <c r="G769" s="6" t="s">
        <v>2433</v>
      </c>
      <c r="H769" s="170">
        <v>21000</v>
      </c>
      <c r="I769" s="172">
        <f t="shared" ref="I769:I832" si="38">IFERROR((($H769/1.18))/74,"")</f>
        <v>240.49473202015577</v>
      </c>
      <c r="J769" s="162">
        <v>44662</v>
      </c>
      <c r="K769" s="6" t="s">
        <v>252</v>
      </c>
      <c r="L769" s="162">
        <v>44662</v>
      </c>
      <c r="M769" s="175" t="s">
        <v>5974</v>
      </c>
      <c r="O769" s="6" t="s">
        <v>280</v>
      </c>
      <c r="P769" s="6" t="str">
        <f t="shared" si="35"/>
        <v>SAFe que</v>
      </c>
      <c r="Q769" t="str">
        <f t="shared" si="36"/>
        <v>2022</v>
      </c>
    </row>
    <row r="770" spans="1:17">
      <c r="A770" s="162">
        <v>44663</v>
      </c>
      <c r="B770" s="164" t="s">
        <v>2434</v>
      </c>
      <c r="C770" s="164" t="s">
        <v>1291</v>
      </c>
      <c r="D770" s="164" t="s">
        <v>97</v>
      </c>
      <c r="E770" s="79">
        <v>44652</v>
      </c>
      <c r="F770" s="6" t="s">
        <v>16</v>
      </c>
      <c r="G770" s="6" t="s">
        <v>2408</v>
      </c>
      <c r="H770" s="170">
        <v>20000</v>
      </c>
      <c r="I770" s="172">
        <f t="shared" si="38"/>
        <v>229.04260192395787</v>
      </c>
      <c r="J770" s="162">
        <v>44663</v>
      </c>
      <c r="K770" s="6" t="s">
        <v>252</v>
      </c>
      <c r="L770" s="162">
        <v>44663</v>
      </c>
      <c r="M770" s="175" t="s">
        <v>5975</v>
      </c>
      <c r="O770" s="6" t="s">
        <v>356</v>
      </c>
      <c r="P770" s="6" t="str">
        <f t="shared" ref="P770:P833" si="39">IFERROR(_xlfn.IFS($D770="CSM","Category",$D770="CSPO","Category", $D770="PSM","SAFe que",$D770="PSPO","SAFe que",$D770="SAFe Agile","SAFe que",$D770="SAFe SSM","SAFe que",$D770="SAFe POPM","SAFe que",$D770="SASM","SAFe que",$D770="PMI-ACP","Category",$D770="ICP-ACC","SAFe que",$D770="PSM 2","SAFe que",$D770="SAFe RTE","SAFe que",$D770="Implementing SAFe","SAFe que",$D770="SAFe for Government","SAFe que",$D770="PSPO 2","SAFe que",$D770="",""),"NonCategory")</f>
        <v>Category</v>
      </c>
      <c r="Q770" t="str">
        <f t="shared" ref="Q770:Q833" si="40">TEXT(E770, "yyyy")</f>
        <v>2022</v>
      </c>
    </row>
    <row r="771" spans="1:17">
      <c r="A771" s="162">
        <v>44664</v>
      </c>
      <c r="B771" s="164" t="s">
        <v>2436</v>
      </c>
      <c r="C771" s="164" t="s">
        <v>306</v>
      </c>
      <c r="D771" s="164" t="s">
        <v>151</v>
      </c>
      <c r="E771" s="79">
        <v>44652</v>
      </c>
      <c r="F771" s="6" t="s">
        <v>16</v>
      </c>
      <c r="G771" s="6" t="s">
        <v>2413</v>
      </c>
      <c r="H771" s="170">
        <v>21000</v>
      </c>
      <c r="I771" s="172">
        <f t="shared" si="38"/>
        <v>240.49473202015577</v>
      </c>
      <c r="J771" s="162">
        <v>44664</v>
      </c>
      <c r="K771" s="6" t="s">
        <v>252</v>
      </c>
      <c r="L771" s="162">
        <v>44664</v>
      </c>
      <c r="M771" s="175" t="s">
        <v>5976</v>
      </c>
      <c r="O771" s="6" t="s">
        <v>280</v>
      </c>
      <c r="P771" s="6" t="str">
        <f t="shared" si="39"/>
        <v>SAFe que</v>
      </c>
      <c r="Q771" t="str">
        <f t="shared" si="40"/>
        <v>2022</v>
      </c>
    </row>
    <row r="772" spans="1:17">
      <c r="A772" s="162">
        <v>44664</v>
      </c>
      <c r="B772" s="164" t="s">
        <v>2438</v>
      </c>
      <c r="C772" s="164" t="s">
        <v>287</v>
      </c>
      <c r="D772" s="164" t="s">
        <v>14</v>
      </c>
      <c r="E772" s="79">
        <v>44652</v>
      </c>
      <c r="F772" s="6" t="s">
        <v>16</v>
      </c>
      <c r="G772" s="6" t="s">
        <v>2440</v>
      </c>
      <c r="H772" s="170">
        <v>30500</v>
      </c>
      <c r="I772" s="172">
        <f t="shared" si="38"/>
        <v>349.28996793403576</v>
      </c>
      <c r="J772" s="162">
        <v>44664</v>
      </c>
      <c r="K772" s="6" t="s">
        <v>252</v>
      </c>
      <c r="L772" s="162">
        <v>44664</v>
      </c>
      <c r="M772" s="175" t="s">
        <v>5977</v>
      </c>
      <c r="O772" s="6" t="s">
        <v>356</v>
      </c>
      <c r="P772" s="6" t="str">
        <f t="shared" si="39"/>
        <v>SAFe que</v>
      </c>
      <c r="Q772" t="str">
        <f t="shared" si="40"/>
        <v>2022</v>
      </c>
    </row>
    <row r="773" spans="1:17">
      <c r="A773" s="162">
        <v>44664</v>
      </c>
      <c r="B773" s="164" t="s">
        <v>422</v>
      </c>
      <c r="C773" s="164" t="s">
        <v>470</v>
      </c>
      <c r="D773" s="164" t="s">
        <v>2441</v>
      </c>
      <c r="E773" s="79">
        <v>44652</v>
      </c>
      <c r="F773" s="6" t="s">
        <v>16</v>
      </c>
      <c r="G773" s="96">
        <v>44667</v>
      </c>
      <c r="H773" s="170">
        <v>24750</v>
      </c>
      <c r="I773" s="172">
        <f t="shared" si="38"/>
        <v>283.44021988089787</v>
      </c>
      <c r="J773" s="162">
        <v>44664</v>
      </c>
      <c r="K773" s="6" t="s">
        <v>252</v>
      </c>
      <c r="L773" s="162">
        <v>44664</v>
      </c>
      <c r="M773" s="175" t="s">
        <v>5978</v>
      </c>
      <c r="O773" s="6" t="s">
        <v>356</v>
      </c>
      <c r="P773" s="6" t="str">
        <f t="shared" si="39"/>
        <v>NonCategory</v>
      </c>
      <c r="Q773" t="str">
        <f t="shared" si="40"/>
        <v>2022</v>
      </c>
    </row>
    <row r="774" spans="1:17">
      <c r="A774" s="162">
        <v>44665</v>
      </c>
      <c r="B774" s="164" t="s">
        <v>2442</v>
      </c>
      <c r="C774" s="164" t="s">
        <v>278</v>
      </c>
      <c r="D774" s="164" t="s">
        <v>97</v>
      </c>
      <c r="E774" s="79">
        <v>44652</v>
      </c>
      <c r="F774" s="6" t="s">
        <v>16</v>
      </c>
      <c r="G774" s="6" t="s">
        <v>2444</v>
      </c>
      <c r="H774" s="170">
        <v>20000</v>
      </c>
      <c r="I774" s="172">
        <f t="shared" si="38"/>
        <v>229.04260192395787</v>
      </c>
      <c r="J774" s="162">
        <v>44665</v>
      </c>
      <c r="K774" s="6" t="s">
        <v>252</v>
      </c>
      <c r="L774" s="162">
        <v>44665</v>
      </c>
      <c r="M774" s="175" t="s">
        <v>5979</v>
      </c>
      <c r="N774" s="6" t="s">
        <v>2156</v>
      </c>
      <c r="O774" s="6" t="s">
        <v>356</v>
      </c>
      <c r="P774" s="6" t="str">
        <f t="shared" si="39"/>
        <v>Category</v>
      </c>
      <c r="Q774" t="str">
        <f t="shared" si="40"/>
        <v>2022</v>
      </c>
    </row>
    <row r="775" spans="1:17">
      <c r="A775" s="162">
        <v>44665</v>
      </c>
      <c r="B775" s="164" t="s">
        <v>683</v>
      </c>
      <c r="C775" s="164" t="s">
        <v>470</v>
      </c>
      <c r="D775" s="164" t="s">
        <v>25</v>
      </c>
      <c r="E775" s="79">
        <v>44652</v>
      </c>
      <c r="F775" s="6" t="s">
        <v>16</v>
      </c>
      <c r="G775" s="6" t="s">
        <v>2178</v>
      </c>
      <c r="H775" s="170">
        <v>42000</v>
      </c>
      <c r="I775" s="172">
        <f t="shared" si="38"/>
        <v>480.98946404031153</v>
      </c>
      <c r="J775" s="162">
        <v>44665</v>
      </c>
      <c r="K775" s="6" t="s">
        <v>252</v>
      </c>
      <c r="L775" s="162">
        <v>44665</v>
      </c>
      <c r="M775" s="175" t="s">
        <v>5980</v>
      </c>
      <c r="O775" s="6" t="s">
        <v>356</v>
      </c>
      <c r="P775" s="6" t="str">
        <f t="shared" si="39"/>
        <v>SAFe que</v>
      </c>
      <c r="Q775" t="str">
        <f t="shared" si="40"/>
        <v>2022</v>
      </c>
    </row>
    <row r="776" spans="1:17">
      <c r="A776" s="162">
        <v>44665</v>
      </c>
      <c r="B776" s="164" t="s">
        <v>2445</v>
      </c>
      <c r="C776" s="164" t="s">
        <v>287</v>
      </c>
      <c r="D776" s="164" t="s">
        <v>150</v>
      </c>
      <c r="E776" s="79">
        <v>44652</v>
      </c>
      <c r="F776" s="6" t="s">
        <v>16</v>
      </c>
      <c r="G776" s="6" t="s">
        <v>2413</v>
      </c>
      <c r="H776" s="170">
        <v>20500</v>
      </c>
      <c r="I776" s="172">
        <f t="shared" si="38"/>
        <v>234.76866697205682</v>
      </c>
      <c r="J776" s="162">
        <v>44665</v>
      </c>
      <c r="K776" s="6" t="s">
        <v>252</v>
      </c>
      <c r="L776" s="162">
        <v>44665</v>
      </c>
      <c r="M776" s="175" t="s">
        <v>5981</v>
      </c>
      <c r="O776" s="6" t="s">
        <v>356</v>
      </c>
      <c r="P776" s="6" t="str">
        <f t="shared" si="39"/>
        <v>SAFe que</v>
      </c>
      <c r="Q776" t="str">
        <f t="shared" si="40"/>
        <v>2022</v>
      </c>
    </row>
    <row r="777" spans="1:17">
      <c r="A777" s="162">
        <v>44665</v>
      </c>
      <c r="B777" s="164" t="s">
        <v>2447</v>
      </c>
      <c r="C777" s="164" t="s">
        <v>278</v>
      </c>
      <c r="D777" s="164" t="s">
        <v>150</v>
      </c>
      <c r="E777" s="79">
        <v>44652</v>
      </c>
      <c r="F777" s="6" t="s">
        <v>16</v>
      </c>
      <c r="G777" s="6" t="s">
        <v>2413</v>
      </c>
      <c r="H777" s="170">
        <v>21000</v>
      </c>
      <c r="I777" s="172">
        <f t="shared" si="38"/>
        <v>240.49473202015577</v>
      </c>
      <c r="J777" s="162">
        <v>44665</v>
      </c>
      <c r="K777" s="6" t="s">
        <v>252</v>
      </c>
      <c r="L777" s="162">
        <v>44665</v>
      </c>
      <c r="M777" s="175" t="s">
        <v>5982</v>
      </c>
      <c r="N777" s="6" t="s">
        <v>2449</v>
      </c>
      <c r="O777" s="6" t="s">
        <v>356</v>
      </c>
      <c r="P777" s="6" t="str">
        <f t="shared" si="39"/>
        <v>SAFe que</v>
      </c>
      <c r="Q777" t="str">
        <f t="shared" si="40"/>
        <v>2022</v>
      </c>
    </row>
    <row r="778" spans="1:17">
      <c r="A778" s="162">
        <v>44665</v>
      </c>
      <c r="B778" s="164" t="s">
        <v>2450</v>
      </c>
      <c r="C778" s="164" t="s">
        <v>278</v>
      </c>
      <c r="D778" s="164" t="s">
        <v>150</v>
      </c>
      <c r="E778" s="79">
        <v>44652</v>
      </c>
      <c r="F778" s="6" t="s">
        <v>16</v>
      </c>
      <c r="G778" s="6" t="s">
        <v>2452</v>
      </c>
      <c r="H778" s="170">
        <v>21000</v>
      </c>
      <c r="I778" s="172">
        <f t="shared" si="38"/>
        <v>240.49473202015577</v>
      </c>
      <c r="J778" s="162">
        <v>44665</v>
      </c>
      <c r="K778" s="6" t="s">
        <v>252</v>
      </c>
      <c r="L778" s="162">
        <v>44665</v>
      </c>
      <c r="M778" s="175" t="s">
        <v>5983</v>
      </c>
      <c r="N778" s="20" t="s">
        <v>2210</v>
      </c>
      <c r="O778" s="6" t="s">
        <v>356</v>
      </c>
      <c r="P778" s="6" t="str">
        <f t="shared" si="39"/>
        <v>SAFe que</v>
      </c>
      <c r="Q778" t="str">
        <f t="shared" si="40"/>
        <v>2022</v>
      </c>
    </row>
    <row r="779" spans="1:17">
      <c r="A779" s="162">
        <v>44669</v>
      </c>
      <c r="B779" s="164" t="s">
        <v>2453</v>
      </c>
      <c r="C779" s="164" t="s">
        <v>2455</v>
      </c>
      <c r="D779" s="164" t="s">
        <v>2456</v>
      </c>
      <c r="E779" s="79">
        <v>44652</v>
      </c>
      <c r="F779" s="6" t="s">
        <v>16</v>
      </c>
      <c r="G779" s="96">
        <v>44677</v>
      </c>
      <c r="H779" s="170">
        <v>12600</v>
      </c>
      <c r="I779" s="172">
        <f t="shared" si="38"/>
        <v>144.29683921209346</v>
      </c>
      <c r="J779" s="162">
        <v>44669</v>
      </c>
      <c r="K779" s="6" t="s">
        <v>252</v>
      </c>
      <c r="L779" s="162">
        <v>44669</v>
      </c>
      <c r="M779" s="175" t="s">
        <v>5984</v>
      </c>
      <c r="O779" s="6" t="s">
        <v>356</v>
      </c>
      <c r="P779" s="6" t="str">
        <f t="shared" si="39"/>
        <v>NonCategory</v>
      </c>
      <c r="Q779" t="str">
        <f t="shared" si="40"/>
        <v>2022</v>
      </c>
    </row>
    <row r="780" spans="1:17">
      <c r="A780" s="162">
        <v>44669</v>
      </c>
      <c r="B780" s="164" t="s">
        <v>2453</v>
      </c>
      <c r="C780" s="164" t="s">
        <v>2455</v>
      </c>
      <c r="D780" s="164" t="s">
        <v>2456</v>
      </c>
      <c r="E780" s="79">
        <v>44652</v>
      </c>
      <c r="F780" s="6" t="s">
        <v>16</v>
      </c>
      <c r="G780" s="96">
        <v>44677</v>
      </c>
      <c r="H780" s="170">
        <v>71400</v>
      </c>
      <c r="I780" s="172">
        <f t="shared" si="38"/>
        <v>817.6820888685296</v>
      </c>
      <c r="J780" s="162">
        <v>44669</v>
      </c>
      <c r="K780" s="6" t="s">
        <v>252</v>
      </c>
      <c r="L780" s="162">
        <v>44669</v>
      </c>
      <c r="M780" s="175" t="s">
        <v>5985</v>
      </c>
      <c r="O780" s="6" t="s">
        <v>356</v>
      </c>
      <c r="P780" s="6" t="str">
        <f t="shared" si="39"/>
        <v>NonCategory</v>
      </c>
      <c r="Q780" t="str">
        <f t="shared" si="40"/>
        <v>2022</v>
      </c>
    </row>
    <row r="781" spans="1:17">
      <c r="A781" s="162">
        <v>44669</v>
      </c>
      <c r="B781" s="164" t="s">
        <v>2457</v>
      </c>
      <c r="C781" s="164" t="s">
        <v>1291</v>
      </c>
      <c r="D781" s="164" t="s">
        <v>96</v>
      </c>
      <c r="E781" s="79">
        <v>44652</v>
      </c>
      <c r="F781" s="6" t="s">
        <v>16</v>
      </c>
      <c r="G781" s="6" t="s">
        <v>2459</v>
      </c>
      <c r="H781" s="170">
        <v>20000</v>
      </c>
      <c r="I781" s="172">
        <f t="shared" si="38"/>
        <v>229.04260192395787</v>
      </c>
      <c r="J781" s="162">
        <v>44669</v>
      </c>
      <c r="K781" s="6" t="s">
        <v>252</v>
      </c>
      <c r="L781" s="162">
        <v>44669</v>
      </c>
      <c r="M781" s="175" t="s">
        <v>5986</v>
      </c>
      <c r="O781" s="6" t="s">
        <v>356</v>
      </c>
      <c r="P781" s="6" t="str">
        <f t="shared" si="39"/>
        <v>Category</v>
      </c>
      <c r="Q781" t="str">
        <f t="shared" si="40"/>
        <v>2022</v>
      </c>
    </row>
    <row r="782" spans="1:17">
      <c r="A782" s="162">
        <v>44669</v>
      </c>
      <c r="B782" s="164" t="s">
        <v>2460</v>
      </c>
      <c r="C782" s="164" t="s">
        <v>287</v>
      </c>
      <c r="D782" s="164" t="s">
        <v>25</v>
      </c>
      <c r="E782" s="79">
        <v>44652</v>
      </c>
      <c r="F782" s="6" t="s">
        <v>16</v>
      </c>
      <c r="G782" s="6" t="s">
        <v>2178</v>
      </c>
      <c r="H782" s="170">
        <v>40000</v>
      </c>
      <c r="I782" s="172">
        <f t="shared" si="38"/>
        <v>458.08520384791575</v>
      </c>
      <c r="J782" s="162">
        <v>44669</v>
      </c>
      <c r="K782" s="6" t="s">
        <v>252</v>
      </c>
      <c r="L782" s="162">
        <v>44669</v>
      </c>
      <c r="M782" s="175" t="s">
        <v>5987</v>
      </c>
      <c r="O782" s="6" t="s">
        <v>356</v>
      </c>
      <c r="P782" s="6" t="str">
        <f t="shared" si="39"/>
        <v>SAFe que</v>
      </c>
      <c r="Q782" t="str">
        <f t="shared" si="40"/>
        <v>2022</v>
      </c>
    </row>
    <row r="783" spans="1:17">
      <c r="A783" s="162">
        <v>44669</v>
      </c>
      <c r="B783" s="164" t="s">
        <v>2462</v>
      </c>
      <c r="C783" s="164" t="s">
        <v>306</v>
      </c>
      <c r="D783" s="164" t="s">
        <v>150</v>
      </c>
      <c r="E783" s="79">
        <v>44652</v>
      </c>
      <c r="F783" s="6" t="s">
        <v>16</v>
      </c>
      <c r="G783" s="6" t="s">
        <v>2452</v>
      </c>
      <c r="H783" s="170">
        <v>20500</v>
      </c>
      <c r="I783" s="172">
        <f t="shared" si="38"/>
        <v>234.76866697205682</v>
      </c>
      <c r="J783" s="162">
        <v>44669</v>
      </c>
      <c r="K783" s="6" t="s">
        <v>252</v>
      </c>
      <c r="L783" s="162">
        <v>44669</v>
      </c>
      <c r="M783" s="175" t="s">
        <v>5988</v>
      </c>
      <c r="O783" s="6" t="s">
        <v>356</v>
      </c>
      <c r="P783" s="6" t="str">
        <f t="shared" si="39"/>
        <v>SAFe que</v>
      </c>
      <c r="Q783" t="str">
        <f t="shared" si="40"/>
        <v>2022</v>
      </c>
    </row>
    <row r="784" spans="1:17">
      <c r="A784" s="162">
        <v>44669</v>
      </c>
      <c r="B784" s="164" t="s">
        <v>2464</v>
      </c>
      <c r="C784" s="164" t="s">
        <v>291</v>
      </c>
      <c r="D784" s="164" t="s">
        <v>150</v>
      </c>
      <c r="E784" s="79">
        <v>44652</v>
      </c>
      <c r="F784" s="6" t="s">
        <v>16</v>
      </c>
      <c r="G784" s="6" t="s">
        <v>2178</v>
      </c>
      <c r="H784" s="170">
        <v>21000</v>
      </c>
      <c r="I784" s="172">
        <f t="shared" si="38"/>
        <v>240.49473202015577</v>
      </c>
      <c r="J784" s="162">
        <v>44669</v>
      </c>
      <c r="K784" s="6" t="s">
        <v>252</v>
      </c>
      <c r="L784" s="162">
        <v>44669</v>
      </c>
      <c r="M784" s="175" t="s">
        <v>5989</v>
      </c>
      <c r="O784" s="6" t="s">
        <v>356</v>
      </c>
      <c r="P784" s="6" t="str">
        <f t="shared" si="39"/>
        <v>SAFe que</v>
      </c>
      <c r="Q784" t="str">
        <f t="shared" si="40"/>
        <v>2022</v>
      </c>
    </row>
    <row r="785" spans="1:17">
      <c r="A785" s="162">
        <v>44670</v>
      </c>
      <c r="B785" s="164" t="s">
        <v>2466</v>
      </c>
      <c r="C785" s="165" t="s">
        <v>287</v>
      </c>
      <c r="D785" s="165" t="s">
        <v>151</v>
      </c>
      <c r="E785" s="79">
        <v>44652</v>
      </c>
      <c r="F785" s="6" t="s">
        <v>16</v>
      </c>
      <c r="G785" s="6" t="s">
        <v>2178</v>
      </c>
      <c r="H785" s="170">
        <v>21000</v>
      </c>
      <c r="I785" s="172">
        <f t="shared" si="38"/>
        <v>240.49473202015577</v>
      </c>
      <c r="J785" s="162">
        <v>44670</v>
      </c>
      <c r="K785" s="6" t="s">
        <v>252</v>
      </c>
      <c r="L785" s="162">
        <v>44670</v>
      </c>
      <c r="M785" s="175" t="s">
        <v>5990</v>
      </c>
      <c r="O785" s="6" t="s">
        <v>356</v>
      </c>
      <c r="P785" s="6" t="str">
        <f t="shared" si="39"/>
        <v>SAFe que</v>
      </c>
      <c r="Q785" t="str">
        <f t="shared" si="40"/>
        <v>2022</v>
      </c>
    </row>
    <row r="786" spans="1:17">
      <c r="A786" s="162">
        <v>44671</v>
      </c>
      <c r="B786" s="164" t="s">
        <v>2468</v>
      </c>
      <c r="C786" s="164" t="s">
        <v>278</v>
      </c>
      <c r="D786" s="164" t="s">
        <v>150</v>
      </c>
      <c r="E786" s="79">
        <v>44652</v>
      </c>
      <c r="F786" s="6" t="s">
        <v>16</v>
      </c>
      <c r="G786" s="6" t="s">
        <v>2178</v>
      </c>
      <c r="H786" s="170">
        <v>21000</v>
      </c>
      <c r="I786" s="172">
        <f t="shared" si="38"/>
        <v>240.49473202015577</v>
      </c>
      <c r="J786" s="162">
        <v>44671</v>
      </c>
      <c r="K786" s="6" t="s">
        <v>252</v>
      </c>
      <c r="L786" s="162">
        <v>44671</v>
      </c>
      <c r="M786" s="175" t="s">
        <v>5991</v>
      </c>
      <c r="N786" s="6" t="s">
        <v>2470</v>
      </c>
      <c r="O786" s="6" t="s">
        <v>356</v>
      </c>
      <c r="P786" s="6" t="str">
        <f t="shared" si="39"/>
        <v>SAFe que</v>
      </c>
      <c r="Q786" t="str">
        <f t="shared" si="40"/>
        <v>2022</v>
      </c>
    </row>
    <row r="787" spans="1:17">
      <c r="A787" s="162">
        <v>44671</v>
      </c>
      <c r="B787" s="164" t="s">
        <v>2471</v>
      </c>
      <c r="C787" s="164" t="s">
        <v>319</v>
      </c>
      <c r="D787" s="164" t="s">
        <v>96</v>
      </c>
      <c r="E787" s="79">
        <v>44652</v>
      </c>
      <c r="F787" s="6" t="s">
        <v>16</v>
      </c>
      <c r="G787" s="6" t="s">
        <v>2399</v>
      </c>
      <c r="H787" s="170">
        <v>20000</v>
      </c>
      <c r="I787" s="172">
        <f t="shared" si="38"/>
        <v>229.04260192395787</v>
      </c>
      <c r="J787" s="162">
        <v>44671</v>
      </c>
      <c r="K787" s="6" t="s">
        <v>252</v>
      </c>
      <c r="L787" s="162">
        <v>44671</v>
      </c>
      <c r="M787" s="175" t="s">
        <v>5992</v>
      </c>
      <c r="O787" s="6" t="s">
        <v>356</v>
      </c>
      <c r="P787" s="6" t="str">
        <f t="shared" si="39"/>
        <v>Category</v>
      </c>
      <c r="Q787" t="str">
        <f t="shared" si="40"/>
        <v>2022</v>
      </c>
    </row>
    <row r="788" spans="1:17">
      <c r="A788" s="162">
        <v>44672</v>
      </c>
      <c r="B788" s="164" t="s">
        <v>18</v>
      </c>
      <c r="C788" s="164" t="s">
        <v>287</v>
      </c>
      <c r="D788" s="164" t="s">
        <v>150</v>
      </c>
      <c r="E788" s="79">
        <v>44652</v>
      </c>
      <c r="F788" s="6" t="s">
        <v>16</v>
      </c>
      <c r="G788" s="6" t="s">
        <v>2178</v>
      </c>
      <c r="H788" s="170">
        <v>21000</v>
      </c>
      <c r="I788" s="172">
        <f t="shared" si="38"/>
        <v>240.49473202015577</v>
      </c>
      <c r="J788" s="162">
        <v>44672</v>
      </c>
      <c r="K788" s="6" t="s">
        <v>253</v>
      </c>
      <c r="L788" s="162">
        <v>44672</v>
      </c>
      <c r="M788" s="175" t="s">
        <v>5993</v>
      </c>
      <c r="O788" s="6" t="s">
        <v>356</v>
      </c>
      <c r="P788" s="6" t="str">
        <f t="shared" si="39"/>
        <v>SAFe que</v>
      </c>
      <c r="Q788" t="str">
        <f t="shared" si="40"/>
        <v>2022</v>
      </c>
    </row>
    <row r="789" spans="1:17">
      <c r="A789" s="162">
        <v>44672</v>
      </c>
      <c r="B789" s="164" t="s">
        <v>2430</v>
      </c>
      <c r="C789" s="164" t="s">
        <v>470</v>
      </c>
      <c r="D789" s="164" t="s">
        <v>151</v>
      </c>
      <c r="E789" s="79">
        <v>44652</v>
      </c>
      <c r="F789" s="6" t="s">
        <v>16</v>
      </c>
      <c r="G789" s="6" t="s">
        <v>2178</v>
      </c>
      <c r="H789" s="170">
        <v>21000</v>
      </c>
      <c r="I789" s="172">
        <f t="shared" si="38"/>
        <v>240.49473202015577</v>
      </c>
      <c r="J789" s="162">
        <v>44672</v>
      </c>
      <c r="K789" s="6" t="s">
        <v>253</v>
      </c>
      <c r="L789" s="162">
        <v>44672</v>
      </c>
      <c r="M789" s="175" t="s">
        <v>5994</v>
      </c>
      <c r="O789" s="6" t="s">
        <v>356</v>
      </c>
      <c r="P789" s="6" t="str">
        <f t="shared" si="39"/>
        <v>SAFe que</v>
      </c>
      <c r="Q789" t="str">
        <f t="shared" si="40"/>
        <v>2022</v>
      </c>
    </row>
    <row r="790" spans="1:17">
      <c r="A790" s="162">
        <v>44673</v>
      </c>
      <c r="B790" s="164" t="s">
        <v>2474</v>
      </c>
      <c r="C790" s="164" t="s">
        <v>287</v>
      </c>
      <c r="D790" s="164" t="s">
        <v>151</v>
      </c>
      <c r="E790" s="79">
        <v>44652</v>
      </c>
      <c r="F790" s="6" t="s">
        <v>16</v>
      </c>
      <c r="G790" s="6" t="s">
        <v>2178</v>
      </c>
      <c r="H790" s="170">
        <v>21000</v>
      </c>
      <c r="I790" s="172">
        <f t="shared" si="38"/>
        <v>240.49473202015577</v>
      </c>
      <c r="J790" s="162">
        <v>44673</v>
      </c>
      <c r="K790" s="6" t="s">
        <v>253</v>
      </c>
      <c r="L790" s="162">
        <v>44673</v>
      </c>
      <c r="M790" s="175" t="s">
        <v>5995</v>
      </c>
      <c r="O790" s="6" t="s">
        <v>356</v>
      </c>
      <c r="P790" s="6" t="str">
        <f t="shared" si="39"/>
        <v>SAFe que</v>
      </c>
      <c r="Q790" t="str">
        <f t="shared" si="40"/>
        <v>2022</v>
      </c>
    </row>
    <row r="791" spans="1:17">
      <c r="A791" s="162">
        <v>44673</v>
      </c>
      <c r="B791" s="164" t="s">
        <v>2476</v>
      </c>
      <c r="C791" s="164" t="s">
        <v>287</v>
      </c>
      <c r="D791" s="164" t="s">
        <v>150</v>
      </c>
      <c r="E791" s="79">
        <v>44652</v>
      </c>
      <c r="F791" s="6" t="s">
        <v>16</v>
      </c>
      <c r="G791" s="6" t="s">
        <v>2178</v>
      </c>
      <c r="H791" s="170">
        <v>21000</v>
      </c>
      <c r="I791" s="172">
        <f t="shared" si="38"/>
        <v>240.49473202015577</v>
      </c>
      <c r="J791" s="162">
        <v>44673</v>
      </c>
      <c r="K791" s="6" t="s">
        <v>253</v>
      </c>
      <c r="L791" s="162">
        <v>44673</v>
      </c>
      <c r="M791" s="175" t="s">
        <v>5996</v>
      </c>
      <c r="O791" s="6" t="s">
        <v>356</v>
      </c>
      <c r="P791" s="6" t="str">
        <f t="shared" si="39"/>
        <v>SAFe que</v>
      </c>
      <c r="Q791" t="str">
        <f t="shared" si="40"/>
        <v>2022</v>
      </c>
    </row>
    <row r="792" spans="1:17">
      <c r="A792" s="162">
        <v>44673</v>
      </c>
      <c r="B792" s="165" t="s">
        <v>2478</v>
      </c>
      <c r="C792" s="165" t="s">
        <v>306</v>
      </c>
      <c r="D792" s="164" t="s">
        <v>25</v>
      </c>
      <c r="E792" s="79">
        <v>44652</v>
      </c>
      <c r="F792" s="6" t="s">
        <v>16</v>
      </c>
      <c r="G792" s="6" t="s">
        <v>2178</v>
      </c>
      <c r="H792" s="170">
        <v>42000</v>
      </c>
      <c r="I792" s="172">
        <f t="shared" si="38"/>
        <v>480.98946404031153</v>
      </c>
      <c r="J792" s="162">
        <v>44673</v>
      </c>
      <c r="K792" s="6" t="s">
        <v>253</v>
      </c>
      <c r="L792" s="162">
        <v>44673</v>
      </c>
      <c r="M792" s="175" t="s">
        <v>5997</v>
      </c>
      <c r="O792" s="6" t="s">
        <v>356</v>
      </c>
      <c r="P792" s="6" t="str">
        <f t="shared" si="39"/>
        <v>SAFe que</v>
      </c>
      <c r="Q792" t="str">
        <f t="shared" si="40"/>
        <v>2022</v>
      </c>
    </row>
    <row r="793" spans="1:17">
      <c r="A793" s="162">
        <v>44673</v>
      </c>
      <c r="B793" s="165" t="s">
        <v>2480</v>
      </c>
      <c r="C793" s="165" t="s">
        <v>319</v>
      </c>
      <c r="D793" s="164" t="s">
        <v>25</v>
      </c>
      <c r="E793" s="79">
        <v>44652</v>
      </c>
      <c r="F793" s="6" t="s">
        <v>16</v>
      </c>
      <c r="G793" s="6" t="s">
        <v>2178</v>
      </c>
      <c r="H793" s="170">
        <v>42000</v>
      </c>
      <c r="I793" s="172">
        <f t="shared" si="38"/>
        <v>480.98946404031153</v>
      </c>
      <c r="J793" s="162">
        <v>44673</v>
      </c>
      <c r="K793" s="6" t="s">
        <v>253</v>
      </c>
      <c r="L793" s="162">
        <v>44673</v>
      </c>
      <c r="M793" s="175" t="s">
        <v>5998</v>
      </c>
      <c r="O793" s="6" t="s">
        <v>356</v>
      </c>
      <c r="P793" s="6" t="str">
        <f t="shared" si="39"/>
        <v>SAFe que</v>
      </c>
      <c r="Q793" t="str">
        <f t="shared" si="40"/>
        <v>2022</v>
      </c>
    </row>
    <row r="794" spans="1:17">
      <c r="A794" s="162">
        <v>44674</v>
      </c>
      <c r="B794" s="164" t="s">
        <v>2482</v>
      </c>
      <c r="C794" s="164" t="s">
        <v>287</v>
      </c>
      <c r="D794" s="164" t="s">
        <v>151</v>
      </c>
      <c r="E794" s="79">
        <v>44652</v>
      </c>
      <c r="F794" s="6" t="s">
        <v>16</v>
      </c>
      <c r="G794" s="6" t="s">
        <v>2399</v>
      </c>
      <c r="H794" s="170">
        <v>21000</v>
      </c>
      <c r="I794" s="172">
        <f t="shared" si="38"/>
        <v>240.49473202015577</v>
      </c>
      <c r="J794" s="162">
        <v>44674</v>
      </c>
      <c r="K794" s="6" t="s">
        <v>253</v>
      </c>
      <c r="L794" s="162">
        <v>44674</v>
      </c>
      <c r="M794" s="175" t="s">
        <v>5999</v>
      </c>
      <c r="O794" s="6" t="s">
        <v>356</v>
      </c>
      <c r="P794" s="6" t="str">
        <f t="shared" si="39"/>
        <v>SAFe que</v>
      </c>
      <c r="Q794" t="str">
        <f t="shared" si="40"/>
        <v>2022</v>
      </c>
    </row>
    <row r="795" spans="1:17">
      <c r="A795" s="162">
        <v>44677</v>
      </c>
      <c r="B795" s="164" t="s">
        <v>2484</v>
      </c>
      <c r="C795" s="164" t="s">
        <v>319</v>
      </c>
      <c r="D795" s="164" t="s">
        <v>150</v>
      </c>
      <c r="E795" s="79">
        <v>44652</v>
      </c>
      <c r="F795" s="6" t="s">
        <v>16</v>
      </c>
      <c r="G795" s="6" t="s">
        <v>2452</v>
      </c>
      <c r="H795" s="170">
        <v>21000</v>
      </c>
      <c r="I795" s="172">
        <f t="shared" si="38"/>
        <v>240.49473202015577</v>
      </c>
      <c r="J795" s="162">
        <v>44677</v>
      </c>
      <c r="K795" s="6" t="s">
        <v>253</v>
      </c>
      <c r="L795" s="162">
        <v>44677</v>
      </c>
      <c r="M795" s="175" t="s">
        <v>6000</v>
      </c>
      <c r="O795" s="6" t="s">
        <v>356</v>
      </c>
      <c r="P795" s="6" t="str">
        <f t="shared" si="39"/>
        <v>SAFe que</v>
      </c>
      <c r="Q795" t="str">
        <f t="shared" si="40"/>
        <v>2022</v>
      </c>
    </row>
    <row r="796" spans="1:17">
      <c r="A796" s="162">
        <v>44677</v>
      </c>
      <c r="B796" s="164" t="s">
        <v>2486</v>
      </c>
      <c r="C796" s="164" t="s">
        <v>278</v>
      </c>
      <c r="D796" s="164" t="s">
        <v>150</v>
      </c>
      <c r="E796" s="79">
        <v>44652</v>
      </c>
      <c r="F796" s="6" t="s">
        <v>16</v>
      </c>
      <c r="G796" s="6" t="s">
        <v>2452</v>
      </c>
      <c r="H796" s="170">
        <v>21000</v>
      </c>
      <c r="I796" s="172">
        <f t="shared" si="38"/>
        <v>240.49473202015577</v>
      </c>
      <c r="J796" s="162">
        <v>44677</v>
      </c>
      <c r="K796" s="6" t="s">
        <v>253</v>
      </c>
      <c r="L796" s="162">
        <v>44677</v>
      </c>
      <c r="M796" s="175" t="s">
        <v>6001</v>
      </c>
      <c r="N796" s="6" t="s">
        <v>2332</v>
      </c>
      <c r="O796" s="6" t="s">
        <v>356</v>
      </c>
      <c r="P796" s="6" t="str">
        <f t="shared" si="39"/>
        <v>SAFe que</v>
      </c>
      <c r="Q796" t="str">
        <f t="shared" si="40"/>
        <v>2022</v>
      </c>
    </row>
    <row r="797" spans="1:17">
      <c r="A797" s="162">
        <v>44677</v>
      </c>
      <c r="B797" s="164" t="s">
        <v>2488</v>
      </c>
      <c r="C797" s="164" t="s">
        <v>291</v>
      </c>
      <c r="D797" s="164" t="s">
        <v>151</v>
      </c>
      <c r="E797" s="79">
        <v>44652</v>
      </c>
      <c r="F797" s="6" t="s">
        <v>16</v>
      </c>
      <c r="G797" s="6" t="s">
        <v>2399</v>
      </c>
      <c r="H797" s="170">
        <v>21000</v>
      </c>
      <c r="I797" s="172">
        <f t="shared" si="38"/>
        <v>240.49473202015577</v>
      </c>
      <c r="J797" s="162">
        <v>44677</v>
      </c>
      <c r="K797" s="6" t="s">
        <v>253</v>
      </c>
      <c r="L797" s="162">
        <v>44677</v>
      </c>
      <c r="M797" s="175" t="s">
        <v>6002</v>
      </c>
      <c r="O797" s="6" t="s">
        <v>356</v>
      </c>
      <c r="P797" s="6" t="str">
        <f t="shared" si="39"/>
        <v>SAFe que</v>
      </c>
      <c r="Q797" t="str">
        <f t="shared" si="40"/>
        <v>2022</v>
      </c>
    </row>
    <row r="798" spans="1:17">
      <c r="A798" s="162">
        <v>44677</v>
      </c>
      <c r="B798" s="164" t="s">
        <v>2490</v>
      </c>
      <c r="C798" s="164" t="s">
        <v>319</v>
      </c>
      <c r="D798" s="164" t="s">
        <v>25</v>
      </c>
      <c r="E798" s="79">
        <v>44652</v>
      </c>
      <c r="F798" s="6" t="s">
        <v>16</v>
      </c>
      <c r="G798" s="6" t="s">
        <v>2452</v>
      </c>
      <c r="H798" s="170">
        <v>42000</v>
      </c>
      <c r="I798" s="172">
        <f t="shared" si="38"/>
        <v>480.98946404031153</v>
      </c>
      <c r="J798" s="162">
        <v>44677</v>
      </c>
      <c r="K798" s="6" t="s">
        <v>253</v>
      </c>
      <c r="L798" s="162">
        <v>44678</v>
      </c>
      <c r="M798" s="175" t="s">
        <v>6003</v>
      </c>
      <c r="O798" s="6" t="s">
        <v>356</v>
      </c>
      <c r="P798" s="6" t="str">
        <f t="shared" si="39"/>
        <v>SAFe que</v>
      </c>
      <c r="Q798" t="str">
        <f t="shared" si="40"/>
        <v>2022</v>
      </c>
    </row>
    <row r="799" spans="1:17">
      <c r="A799" s="162">
        <v>44677</v>
      </c>
      <c r="B799" s="164" t="s">
        <v>2492</v>
      </c>
      <c r="C799" s="164" t="s">
        <v>278</v>
      </c>
      <c r="D799" s="164" t="s">
        <v>6</v>
      </c>
      <c r="E799" s="79">
        <v>44652</v>
      </c>
      <c r="F799" s="6" t="s">
        <v>16</v>
      </c>
      <c r="G799" s="6" t="s">
        <v>2399</v>
      </c>
      <c r="H799" s="170">
        <v>40061</v>
      </c>
      <c r="I799" s="172">
        <f t="shared" si="38"/>
        <v>458.7837837837838</v>
      </c>
      <c r="J799" s="162">
        <v>44677</v>
      </c>
      <c r="K799" s="6" t="s">
        <v>253</v>
      </c>
      <c r="L799" s="162">
        <v>44677</v>
      </c>
      <c r="M799" s="175" t="s">
        <v>6004</v>
      </c>
      <c r="N799" s="6" t="s">
        <v>2494</v>
      </c>
      <c r="O799" s="6" t="s">
        <v>356</v>
      </c>
      <c r="P799" s="6" t="str">
        <f t="shared" si="39"/>
        <v>SAFe que</v>
      </c>
      <c r="Q799" t="str">
        <f t="shared" si="40"/>
        <v>2022</v>
      </c>
    </row>
    <row r="800" spans="1:17">
      <c r="A800" s="162">
        <v>44677</v>
      </c>
      <c r="B800" s="164" t="s">
        <v>2495</v>
      </c>
      <c r="C800" s="164" t="s">
        <v>319</v>
      </c>
      <c r="D800" s="164" t="s">
        <v>150</v>
      </c>
      <c r="E800" s="79">
        <v>44652</v>
      </c>
      <c r="F800" s="6" t="s">
        <v>16</v>
      </c>
      <c r="G800" s="6" t="s">
        <v>2497</v>
      </c>
      <c r="H800" s="170">
        <v>21000</v>
      </c>
      <c r="I800" s="172">
        <f t="shared" si="38"/>
        <v>240.49473202015577</v>
      </c>
      <c r="J800" s="162">
        <v>44677</v>
      </c>
      <c r="K800" s="6" t="s">
        <v>253</v>
      </c>
      <c r="L800" s="162">
        <v>44677</v>
      </c>
      <c r="M800" s="175" t="s">
        <v>6005</v>
      </c>
      <c r="O800" s="6" t="s">
        <v>356</v>
      </c>
      <c r="P800" s="6" t="str">
        <f t="shared" si="39"/>
        <v>SAFe que</v>
      </c>
      <c r="Q800" t="str">
        <f t="shared" si="40"/>
        <v>2022</v>
      </c>
    </row>
    <row r="801" spans="1:17">
      <c r="A801" s="162">
        <v>44678</v>
      </c>
      <c r="B801" s="164" t="s">
        <v>2498</v>
      </c>
      <c r="C801" s="164" t="s">
        <v>278</v>
      </c>
      <c r="D801" s="164" t="s">
        <v>150</v>
      </c>
      <c r="E801" s="79">
        <v>44652</v>
      </c>
      <c r="F801" s="6" t="s">
        <v>16</v>
      </c>
      <c r="G801" s="6" t="s">
        <v>2452</v>
      </c>
      <c r="H801" s="170">
        <v>21000</v>
      </c>
      <c r="I801" s="172">
        <f t="shared" si="38"/>
        <v>240.49473202015577</v>
      </c>
      <c r="J801" s="162">
        <v>44678</v>
      </c>
      <c r="K801" s="6" t="s">
        <v>253</v>
      </c>
      <c r="L801" s="162">
        <v>44678</v>
      </c>
      <c r="M801" s="175" t="s">
        <v>6006</v>
      </c>
      <c r="N801" s="6" t="s">
        <v>2500</v>
      </c>
      <c r="O801" s="6" t="s">
        <v>356</v>
      </c>
      <c r="P801" s="6" t="str">
        <f t="shared" si="39"/>
        <v>SAFe que</v>
      </c>
      <c r="Q801" t="str">
        <f t="shared" si="40"/>
        <v>2022</v>
      </c>
    </row>
    <row r="802" spans="1:17">
      <c r="A802" s="162">
        <v>44678</v>
      </c>
      <c r="B802" s="164" t="s">
        <v>460</v>
      </c>
      <c r="C802" s="164" t="s">
        <v>470</v>
      </c>
      <c r="D802" s="164" t="s">
        <v>25</v>
      </c>
      <c r="E802" s="79">
        <v>44652</v>
      </c>
      <c r="F802" s="6" t="s">
        <v>16</v>
      </c>
      <c r="G802" s="6" t="s">
        <v>2452</v>
      </c>
      <c r="H802" s="170">
        <v>42000</v>
      </c>
      <c r="I802" s="172">
        <f t="shared" si="38"/>
        <v>480.98946404031153</v>
      </c>
      <c r="J802" s="162">
        <v>44678</v>
      </c>
      <c r="K802" s="6" t="s">
        <v>253</v>
      </c>
      <c r="L802" s="162">
        <v>44678</v>
      </c>
      <c r="M802" s="175" t="s">
        <v>6007</v>
      </c>
      <c r="N802" s="6" t="s">
        <v>1006</v>
      </c>
      <c r="O802" s="6" t="s">
        <v>356</v>
      </c>
      <c r="P802" s="6" t="str">
        <f t="shared" si="39"/>
        <v>SAFe que</v>
      </c>
      <c r="Q802" t="str">
        <f t="shared" si="40"/>
        <v>2022</v>
      </c>
    </row>
    <row r="803" spans="1:17">
      <c r="A803" s="162">
        <v>44679</v>
      </c>
      <c r="B803" s="164" t="s">
        <v>2501</v>
      </c>
      <c r="C803" s="164" t="s">
        <v>287</v>
      </c>
      <c r="D803" s="164" t="s">
        <v>150</v>
      </c>
      <c r="E803" s="79">
        <v>44652</v>
      </c>
      <c r="F803" s="6" t="s">
        <v>16</v>
      </c>
      <c r="G803" s="6" t="s">
        <v>2399</v>
      </c>
      <c r="H803" s="170">
        <v>21000</v>
      </c>
      <c r="I803" s="172">
        <f t="shared" si="38"/>
        <v>240.49473202015577</v>
      </c>
      <c r="J803" s="162">
        <v>44679</v>
      </c>
      <c r="K803" s="6" t="s">
        <v>253</v>
      </c>
      <c r="L803" s="162">
        <v>44679</v>
      </c>
      <c r="M803" s="175" t="s">
        <v>6008</v>
      </c>
      <c r="O803" s="6" t="s">
        <v>356</v>
      </c>
      <c r="P803" s="6" t="str">
        <f t="shared" si="39"/>
        <v>SAFe que</v>
      </c>
      <c r="Q803" t="str">
        <f t="shared" si="40"/>
        <v>2022</v>
      </c>
    </row>
    <row r="804" spans="1:17">
      <c r="A804" s="162">
        <v>44679</v>
      </c>
      <c r="B804" s="164" t="s">
        <v>2503</v>
      </c>
      <c r="C804" s="164" t="s">
        <v>495</v>
      </c>
      <c r="D804" s="164" t="s">
        <v>150</v>
      </c>
      <c r="E804" s="79">
        <v>44652</v>
      </c>
      <c r="F804" s="6" t="s">
        <v>16</v>
      </c>
      <c r="G804" s="6" t="s">
        <v>2452</v>
      </c>
      <c r="H804" s="170">
        <v>21000</v>
      </c>
      <c r="I804" s="172">
        <f t="shared" si="38"/>
        <v>240.49473202015577</v>
      </c>
      <c r="J804" s="162">
        <v>44679</v>
      </c>
      <c r="K804" s="6" t="s">
        <v>253</v>
      </c>
      <c r="L804" s="162">
        <v>44679</v>
      </c>
      <c r="M804" s="175" t="s">
        <v>6009</v>
      </c>
      <c r="O804" s="6" t="s">
        <v>356</v>
      </c>
      <c r="P804" s="6" t="str">
        <f t="shared" si="39"/>
        <v>SAFe que</v>
      </c>
      <c r="Q804" t="str">
        <f t="shared" si="40"/>
        <v>2022</v>
      </c>
    </row>
    <row r="805" spans="1:17">
      <c r="A805" s="162">
        <v>44679</v>
      </c>
      <c r="B805" s="164" t="s">
        <v>2505</v>
      </c>
      <c r="C805" s="164" t="s">
        <v>319</v>
      </c>
      <c r="D805" s="164" t="s">
        <v>97</v>
      </c>
      <c r="E805" s="79">
        <v>44652</v>
      </c>
      <c r="F805" s="6" t="s">
        <v>16</v>
      </c>
      <c r="G805" s="6" t="s">
        <v>2452</v>
      </c>
      <c r="H805" s="170">
        <v>20000</v>
      </c>
      <c r="I805" s="172">
        <f t="shared" si="38"/>
        <v>229.04260192395787</v>
      </c>
      <c r="J805" s="162">
        <v>44679</v>
      </c>
      <c r="K805" s="6" t="s">
        <v>253</v>
      </c>
      <c r="L805" s="162">
        <v>44680</v>
      </c>
      <c r="M805" s="175" t="s">
        <v>6010</v>
      </c>
      <c r="N805" s="6" t="s">
        <v>1019</v>
      </c>
      <c r="O805" s="6" t="s">
        <v>356</v>
      </c>
      <c r="P805" s="6" t="str">
        <f t="shared" si="39"/>
        <v>Category</v>
      </c>
      <c r="Q805" t="str">
        <f t="shared" si="40"/>
        <v>2022</v>
      </c>
    </row>
    <row r="806" spans="1:17">
      <c r="A806" s="162">
        <v>44680</v>
      </c>
      <c r="B806" s="164" t="s">
        <v>2507</v>
      </c>
      <c r="C806" s="164" t="s">
        <v>287</v>
      </c>
      <c r="D806" s="164" t="s">
        <v>25</v>
      </c>
      <c r="E806" s="79">
        <v>44652</v>
      </c>
      <c r="F806" s="6" t="s">
        <v>16</v>
      </c>
      <c r="G806" s="6" t="s">
        <v>2452</v>
      </c>
      <c r="H806" s="170">
        <v>40000</v>
      </c>
      <c r="I806" s="172">
        <f t="shared" si="38"/>
        <v>458.08520384791575</v>
      </c>
      <c r="J806" s="162">
        <v>44680</v>
      </c>
      <c r="K806" s="6" t="s">
        <v>253</v>
      </c>
      <c r="L806" s="162">
        <v>44680</v>
      </c>
      <c r="M806" s="175" t="s">
        <v>6011</v>
      </c>
      <c r="O806" s="6" t="s">
        <v>356</v>
      </c>
      <c r="P806" s="6" t="str">
        <f t="shared" si="39"/>
        <v>SAFe que</v>
      </c>
      <c r="Q806" t="str">
        <f t="shared" si="40"/>
        <v>2022</v>
      </c>
    </row>
    <row r="807" spans="1:17">
      <c r="A807" s="162">
        <v>44681</v>
      </c>
      <c r="B807" s="164" t="s">
        <v>1414</v>
      </c>
      <c r="C807" s="164" t="s">
        <v>291</v>
      </c>
      <c r="D807" s="164" t="s">
        <v>96</v>
      </c>
      <c r="E807" s="79">
        <v>44652</v>
      </c>
      <c r="F807" s="6" t="s">
        <v>16</v>
      </c>
      <c r="G807" s="6" t="s">
        <v>2433</v>
      </c>
      <c r="H807" s="170">
        <v>20000</v>
      </c>
      <c r="I807" s="172">
        <f t="shared" si="38"/>
        <v>229.04260192395787</v>
      </c>
      <c r="J807" s="162">
        <v>44681</v>
      </c>
      <c r="K807" s="6" t="s">
        <v>253</v>
      </c>
      <c r="L807" s="162">
        <v>44681</v>
      </c>
      <c r="M807" s="175" t="s">
        <v>6012</v>
      </c>
      <c r="O807" s="6" t="s">
        <v>280</v>
      </c>
      <c r="P807" s="6" t="str">
        <f t="shared" si="39"/>
        <v>Category</v>
      </c>
      <c r="Q807" t="str">
        <f t="shared" si="40"/>
        <v>2022</v>
      </c>
    </row>
    <row r="808" spans="1:17">
      <c r="A808" s="162">
        <v>44683</v>
      </c>
      <c r="B808" s="164" t="s">
        <v>2510</v>
      </c>
      <c r="C808" s="164" t="s">
        <v>319</v>
      </c>
      <c r="D808" s="164" t="s">
        <v>6</v>
      </c>
      <c r="E808" s="79">
        <v>44682</v>
      </c>
      <c r="F808" s="6" t="s">
        <v>16</v>
      </c>
      <c r="G808" s="6" t="s">
        <v>2399</v>
      </c>
      <c r="H808" s="170">
        <v>40061</v>
      </c>
      <c r="I808" s="172">
        <f t="shared" si="38"/>
        <v>458.7837837837838</v>
      </c>
      <c r="J808" s="162">
        <v>44683</v>
      </c>
      <c r="K808" s="6" t="s">
        <v>251</v>
      </c>
      <c r="L808" s="162">
        <v>44683</v>
      </c>
      <c r="M808" s="175" t="s">
        <v>6013</v>
      </c>
      <c r="O808" s="6" t="s">
        <v>356</v>
      </c>
      <c r="P808" s="6" t="str">
        <f t="shared" si="39"/>
        <v>SAFe que</v>
      </c>
      <c r="Q808" t="str">
        <f t="shared" si="40"/>
        <v>2022</v>
      </c>
    </row>
    <row r="809" spans="1:17">
      <c r="A809" s="162">
        <v>44684</v>
      </c>
      <c r="B809" s="164" t="s">
        <v>2512</v>
      </c>
      <c r="C809" s="164" t="s">
        <v>278</v>
      </c>
      <c r="D809" s="164" t="s">
        <v>150</v>
      </c>
      <c r="E809" s="79">
        <v>44682</v>
      </c>
      <c r="F809" s="6" t="s">
        <v>16</v>
      </c>
      <c r="G809" s="6" t="s">
        <v>2514</v>
      </c>
      <c r="H809" s="170">
        <v>21000</v>
      </c>
      <c r="I809" s="172">
        <f t="shared" si="38"/>
        <v>240.49473202015577</v>
      </c>
      <c r="J809" s="162">
        <v>44684</v>
      </c>
      <c r="K809" s="6" t="s">
        <v>251</v>
      </c>
      <c r="L809" s="162">
        <v>44684</v>
      </c>
      <c r="M809" s="175" t="s">
        <v>6014</v>
      </c>
      <c r="N809" s="20" t="s">
        <v>2210</v>
      </c>
      <c r="O809" s="6" t="s">
        <v>356</v>
      </c>
      <c r="P809" s="6" t="str">
        <f t="shared" si="39"/>
        <v>SAFe que</v>
      </c>
      <c r="Q809" t="str">
        <f t="shared" si="40"/>
        <v>2022</v>
      </c>
    </row>
    <row r="810" spans="1:17">
      <c r="A810" s="162">
        <v>44685</v>
      </c>
      <c r="B810" s="164" t="s">
        <v>2515</v>
      </c>
      <c r="C810" s="164" t="s">
        <v>470</v>
      </c>
      <c r="D810" s="164" t="s">
        <v>96</v>
      </c>
      <c r="E810" s="79">
        <v>44682</v>
      </c>
      <c r="F810" s="6" t="s">
        <v>16</v>
      </c>
      <c r="G810" s="6" t="s">
        <v>2514</v>
      </c>
      <c r="H810" s="170">
        <v>20000</v>
      </c>
      <c r="I810" s="172">
        <f t="shared" si="38"/>
        <v>229.04260192395787</v>
      </c>
      <c r="J810" s="162">
        <v>44685</v>
      </c>
      <c r="K810" s="6" t="s">
        <v>251</v>
      </c>
      <c r="L810" s="162">
        <v>44685</v>
      </c>
      <c r="M810" s="175" t="s">
        <v>6015</v>
      </c>
      <c r="O810" s="6" t="s">
        <v>356</v>
      </c>
      <c r="P810" s="6" t="str">
        <f t="shared" si="39"/>
        <v>Category</v>
      </c>
      <c r="Q810" t="str">
        <f t="shared" si="40"/>
        <v>2022</v>
      </c>
    </row>
    <row r="811" spans="1:17">
      <c r="A811" s="162">
        <v>44685</v>
      </c>
      <c r="B811" s="164" t="s">
        <v>2517</v>
      </c>
      <c r="C811" s="164" t="s">
        <v>303</v>
      </c>
      <c r="D811" s="164" t="s">
        <v>150</v>
      </c>
      <c r="E811" s="79">
        <v>44682</v>
      </c>
      <c r="F811" s="6" t="s">
        <v>16</v>
      </c>
      <c r="G811" s="6" t="s">
        <v>2399</v>
      </c>
      <c r="H811" s="170">
        <v>21000</v>
      </c>
      <c r="I811" s="172">
        <f t="shared" si="38"/>
        <v>240.49473202015577</v>
      </c>
      <c r="J811" s="162">
        <v>44685</v>
      </c>
      <c r="K811" s="6" t="s">
        <v>251</v>
      </c>
      <c r="L811" s="162">
        <v>44685</v>
      </c>
      <c r="M811" s="175" t="s">
        <v>6016</v>
      </c>
      <c r="O811" s="6" t="s">
        <v>356</v>
      </c>
      <c r="P811" s="6" t="str">
        <f t="shared" si="39"/>
        <v>SAFe que</v>
      </c>
      <c r="Q811" t="str">
        <f t="shared" si="40"/>
        <v>2022</v>
      </c>
    </row>
    <row r="812" spans="1:17">
      <c r="A812" s="162">
        <v>44685</v>
      </c>
      <c r="B812" s="164" t="s">
        <v>2519</v>
      </c>
      <c r="C812" s="164" t="s">
        <v>278</v>
      </c>
      <c r="D812" s="164" t="s">
        <v>96</v>
      </c>
      <c r="E812" s="79">
        <v>44682</v>
      </c>
      <c r="F812" s="6" t="s">
        <v>16</v>
      </c>
      <c r="G812" s="6" t="s">
        <v>2514</v>
      </c>
      <c r="H812" s="170">
        <v>20000</v>
      </c>
      <c r="I812" s="172">
        <f t="shared" si="38"/>
        <v>229.04260192395787</v>
      </c>
      <c r="J812" s="162">
        <v>44685</v>
      </c>
      <c r="K812" s="6" t="s">
        <v>251</v>
      </c>
      <c r="L812" s="162">
        <v>44685</v>
      </c>
      <c r="M812" s="175" t="s">
        <v>6017</v>
      </c>
      <c r="N812" s="6" t="s">
        <v>2521</v>
      </c>
      <c r="O812" s="6" t="s">
        <v>356</v>
      </c>
      <c r="P812" s="6" t="str">
        <f t="shared" si="39"/>
        <v>Category</v>
      </c>
      <c r="Q812" t="str">
        <f t="shared" si="40"/>
        <v>2022</v>
      </c>
    </row>
    <row r="813" spans="1:17">
      <c r="A813" s="162">
        <v>44686</v>
      </c>
      <c r="B813" s="164" t="s">
        <v>2522</v>
      </c>
      <c r="C813" s="164" t="s">
        <v>303</v>
      </c>
      <c r="D813" s="164" t="s">
        <v>6</v>
      </c>
      <c r="E813" s="79">
        <v>44682</v>
      </c>
      <c r="F813" s="6" t="s">
        <v>16</v>
      </c>
      <c r="G813" s="6" t="s">
        <v>2399</v>
      </c>
      <c r="H813" s="170">
        <v>40061</v>
      </c>
      <c r="I813" s="172">
        <f t="shared" si="38"/>
        <v>458.7837837837838</v>
      </c>
      <c r="J813" s="162">
        <v>44686</v>
      </c>
      <c r="K813" s="6" t="s">
        <v>251</v>
      </c>
      <c r="L813" s="162">
        <v>44686</v>
      </c>
      <c r="M813" s="175" t="s">
        <v>6018</v>
      </c>
      <c r="O813" s="6" t="s">
        <v>356</v>
      </c>
      <c r="P813" s="6" t="str">
        <f t="shared" si="39"/>
        <v>SAFe que</v>
      </c>
      <c r="Q813" t="str">
        <f t="shared" si="40"/>
        <v>2022</v>
      </c>
    </row>
    <row r="814" spans="1:17">
      <c r="A814" s="162">
        <v>44686</v>
      </c>
      <c r="B814" s="164" t="s">
        <v>2524</v>
      </c>
      <c r="C814" s="164" t="s">
        <v>278</v>
      </c>
      <c r="D814" s="164" t="s">
        <v>97</v>
      </c>
      <c r="E814" s="79">
        <v>44682</v>
      </c>
      <c r="F814" s="6" t="s">
        <v>16</v>
      </c>
      <c r="G814" s="6" t="s">
        <v>2497</v>
      </c>
      <c r="H814" s="170">
        <v>20000</v>
      </c>
      <c r="I814" s="172">
        <f t="shared" si="38"/>
        <v>229.04260192395787</v>
      </c>
      <c r="J814" s="162">
        <v>44686</v>
      </c>
      <c r="K814" s="6" t="s">
        <v>251</v>
      </c>
      <c r="L814" s="162">
        <v>44686</v>
      </c>
      <c r="M814" s="175" t="s">
        <v>6019</v>
      </c>
      <c r="N814" s="6" t="s">
        <v>2526</v>
      </c>
      <c r="O814" s="6" t="s">
        <v>280</v>
      </c>
      <c r="P814" s="6" t="str">
        <f t="shared" si="39"/>
        <v>Category</v>
      </c>
      <c r="Q814" t="str">
        <f t="shared" si="40"/>
        <v>2022</v>
      </c>
    </row>
    <row r="815" spans="1:17">
      <c r="A815" s="162">
        <v>44686</v>
      </c>
      <c r="B815" s="164" t="s">
        <v>2527</v>
      </c>
      <c r="C815" s="164" t="s">
        <v>1731</v>
      </c>
      <c r="D815" s="164" t="s">
        <v>150</v>
      </c>
      <c r="E815" s="79">
        <v>44682</v>
      </c>
      <c r="F815" s="6" t="s">
        <v>16</v>
      </c>
      <c r="G815" s="6" t="s">
        <v>2433</v>
      </c>
      <c r="H815" s="170">
        <v>20500</v>
      </c>
      <c r="I815" s="172">
        <f t="shared" si="38"/>
        <v>234.76866697205682</v>
      </c>
      <c r="J815" s="162">
        <v>44686</v>
      </c>
      <c r="K815" s="6" t="s">
        <v>251</v>
      </c>
      <c r="L815" s="162">
        <v>44686</v>
      </c>
      <c r="M815" s="175" t="s">
        <v>6020</v>
      </c>
      <c r="O815" s="6" t="s">
        <v>280</v>
      </c>
      <c r="P815" s="6" t="str">
        <f t="shared" si="39"/>
        <v>SAFe que</v>
      </c>
      <c r="Q815" t="str">
        <f t="shared" si="40"/>
        <v>2022</v>
      </c>
    </row>
    <row r="816" spans="1:17">
      <c r="A816" s="162">
        <v>44686</v>
      </c>
      <c r="B816" s="164" t="s">
        <v>2529</v>
      </c>
      <c r="C816" s="164" t="s">
        <v>278</v>
      </c>
      <c r="D816" s="164" t="s">
        <v>150</v>
      </c>
      <c r="E816" s="79">
        <v>44682</v>
      </c>
      <c r="F816" s="6" t="s">
        <v>16</v>
      </c>
      <c r="G816" s="6" t="s">
        <v>2433</v>
      </c>
      <c r="H816" s="170">
        <v>20500</v>
      </c>
      <c r="I816" s="172">
        <f t="shared" si="38"/>
        <v>234.76866697205682</v>
      </c>
      <c r="J816" s="162">
        <v>44686</v>
      </c>
      <c r="K816" s="6" t="s">
        <v>251</v>
      </c>
      <c r="L816" s="162">
        <v>44686</v>
      </c>
      <c r="M816" s="175" t="s">
        <v>6021</v>
      </c>
      <c r="N816" s="6" t="s">
        <v>2531</v>
      </c>
      <c r="O816" s="6" t="s">
        <v>280</v>
      </c>
      <c r="P816" s="6" t="str">
        <f t="shared" si="39"/>
        <v>SAFe que</v>
      </c>
      <c r="Q816" t="str">
        <f t="shared" si="40"/>
        <v>2022</v>
      </c>
    </row>
    <row r="817" spans="1:17">
      <c r="A817" s="162">
        <v>44687</v>
      </c>
      <c r="B817" s="164" t="s">
        <v>2534</v>
      </c>
      <c r="C817" s="164" t="s">
        <v>303</v>
      </c>
      <c r="D817" s="164" t="s">
        <v>97</v>
      </c>
      <c r="E817" s="79">
        <v>44682</v>
      </c>
      <c r="F817" s="6" t="s">
        <v>16</v>
      </c>
      <c r="G817" s="6" t="s">
        <v>2536</v>
      </c>
      <c r="H817" s="170">
        <v>20000</v>
      </c>
      <c r="I817" s="172">
        <f t="shared" si="38"/>
        <v>229.04260192395787</v>
      </c>
      <c r="J817" s="162">
        <v>44687</v>
      </c>
      <c r="K817" s="6" t="s">
        <v>251</v>
      </c>
      <c r="L817" s="162">
        <v>44687</v>
      </c>
      <c r="M817" s="175" t="s">
        <v>6022</v>
      </c>
      <c r="O817" s="6" t="s">
        <v>356</v>
      </c>
      <c r="P817" s="6" t="str">
        <f t="shared" si="39"/>
        <v>Category</v>
      </c>
      <c r="Q817" t="str">
        <f t="shared" si="40"/>
        <v>2022</v>
      </c>
    </row>
    <row r="818" spans="1:17">
      <c r="A818" s="162">
        <v>44687</v>
      </c>
      <c r="B818" s="164" t="s">
        <v>2537</v>
      </c>
      <c r="C818" s="164" t="s">
        <v>303</v>
      </c>
      <c r="D818" s="164" t="s">
        <v>14</v>
      </c>
      <c r="E818" s="79">
        <v>44682</v>
      </c>
      <c r="F818" s="6" t="s">
        <v>16</v>
      </c>
      <c r="G818" s="6" t="s">
        <v>2539</v>
      </c>
      <c r="H818" s="170">
        <v>30500</v>
      </c>
      <c r="I818" s="172">
        <f t="shared" si="38"/>
        <v>349.28996793403576</v>
      </c>
      <c r="J818" s="162">
        <v>44687</v>
      </c>
      <c r="K818" s="6" t="s">
        <v>251</v>
      </c>
      <c r="L818" s="162">
        <v>44687</v>
      </c>
      <c r="M818" s="175" t="s">
        <v>6023</v>
      </c>
      <c r="O818" s="6" t="s">
        <v>356</v>
      </c>
      <c r="P818" s="6" t="str">
        <f t="shared" si="39"/>
        <v>SAFe que</v>
      </c>
      <c r="Q818" t="str">
        <f t="shared" si="40"/>
        <v>2022</v>
      </c>
    </row>
    <row r="819" spans="1:17">
      <c r="A819" s="162">
        <v>44687</v>
      </c>
      <c r="B819" s="164" t="s">
        <v>2120</v>
      </c>
      <c r="C819" s="164" t="s">
        <v>470</v>
      </c>
      <c r="D819" s="164" t="s">
        <v>1698</v>
      </c>
      <c r="E819" s="79">
        <v>44682</v>
      </c>
      <c r="F819" s="6" t="s">
        <v>16</v>
      </c>
      <c r="G819" s="96">
        <v>44688</v>
      </c>
      <c r="H819" s="170">
        <v>45000</v>
      </c>
      <c r="I819" s="172">
        <f t="shared" si="38"/>
        <v>515.34585432890515</v>
      </c>
      <c r="J819" s="162">
        <v>44687</v>
      </c>
      <c r="K819" s="6" t="s">
        <v>251</v>
      </c>
      <c r="L819" s="162">
        <v>44687</v>
      </c>
      <c r="M819" s="175" t="s">
        <v>6024</v>
      </c>
      <c r="O819" s="6" t="s">
        <v>356</v>
      </c>
      <c r="P819" s="6" t="str">
        <f t="shared" si="39"/>
        <v>NonCategory</v>
      </c>
      <c r="Q819" t="str">
        <f t="shared" si="40"/>
        <v>2022</v>
      </c>
    </row>
    <row r="820" spans="1:17">
      <c r="A820" s="162">
        <v>44688</v>
      </c>
      <c r="B820" s="164" t="s">
        <v>2540</v>
      </c>
      <c r="C820" s="164" t="s">
        <v>291</v>
      </c>
      <c r="D820" s="164" t="s">
        <v>150</v>
      </c>
      <c r="E820" s="79">
        <v>44682</v>
      </c>
      <c r="F820" s="6" t="s">
        <v>16</v>
      </c>
      <c r="G820" s="6" t="s">
        <v>2497</v>
      </c>
      <c r="H820" s="170">
        <v>21000</v>
      </c>
      <c r="I820" s="172">
        <f t="shared" si="38"/>
        <v>240.49473202015577</v>
      </c>
      <c r="J820" s="162">
        <v>44688</v>
      </c>
      <c r="K820" s="6" t="s">
        <v>251</v>
      </c>
      <c r="L820" s="162">
        <v>44688</v>
      </c>
      <c r="M820" s="175" t="s">
        <v>6025</v>
      </c>
      <c r="O820" s="6" t="s">
        <v>280</v>
      </c>
      <c r="P820" s="6" t="str">
        <f t="shared" si="39"/>
        <v>SAFe que</v>
      </c>
      <c r="Q820" t="str">
        <f t="shared" si="40"/>
        <v>2022</v>
      </c>
    </row>
    <row r="821" spans="1:17">
      <c r="A821" s="162">
        <v>44691</v>
      </c>
      <c r="B821" s="164" t="s">
        <v>2544</v>
      </c>
      <c r="C821" s="164" t="s">
        <v>319</v>
      </c>
      <c r="D821" s="164" t="s">
        <v>96</v>
      </c>
      <c r="E821" s="79">
        <v>44682</v>
      </c>
      <c r="F821" s="6" t="s">
        <v>16</v>
      </c>
      <c r="G821" s="6" t="s">
        <v>2497</v>
      </c>
      <c r="H821" s="170">
        <v>21000</v>
      </c>
      <c r="I821" s="172">
        <f t="shared" si="38"/>
        <v>240.49473202015577</v>
      </c>
      <c r="J821" s="162">
        <v>44691</v>
      </c>
      <c r="K821" s="6" t="s">
        <v>251</v>
      </c>
      <c r="L821" s="162">
        <v>44691</v>
      </c>
      <c r="M821" s="175" t="s">
        <v>6026</v>
      </c>
      <c r="O821" s="6" t="s">
        <v>280</v>
      </c>
      <c r="P821" s="6" t="str">
        <f t="shared" si="39"/>
        <v>Category</v>
      </c>
      <c r="Q821" t="str">
        <f t="shared" si="40"/>
        <v>2022</v>
      </c>
    </row>
    <row r="822" spans="1:17">
      <c r="A822" s="162">
        <v>44691</v>
      </c>
      <c r="B822" s="164" t="s">
        <v>803</v>
      </c>
      <c r="C822" s="164" t="s">
        <v>319</v>
      </c>
      <c r="D822" s="164" t="s">
        <v>1524</v>
      </c>
      <c r="E822" s="79">
        <v>44682</v>
      </c>
      <c r="F822" s="6" t="s">
        <v>16</v>
      </c>
      <c r="G822" s="6" t="s">
        <v>2514</v>
      </c>
      <c r="H822" s="170">
        <v>24000</v>
      </c>
      <c r="I822" s="172">
        <f t="shared" si="38"/>
        <v>274.85112230874944</v>
      </c>
      <c r="J822" s="162">
        <v>44691</v>
      </c>
      <c r="K822" s="6" t="s">
        <v>251</v>
      </c>
      <c r="L822" s="162">
        <v>44691</v>
      </c>
      <c r="M822" s="175" t="s">
        <v>6027</v>
      </c>
      <c r="O822" s="6" t="s">
        <v>356</v>
      </c>
      <c r="P822" s="6" t="str">
        <f t="shared" si="39"/>
        <v>SAFe que</v>
      </c>
      <c r="Q822" t="str">
        <f t="shared" si="40"/>
        <v>2022</v>
      </c>
    </row>
    <row r="823" spans="1:17">
      <c r="A823" s="162">
        <v>44691</v>
      </c>
      <c r="B823" s="164" t="s">
        <v>2547</v>
      </c>
      <c r="C823" s="164" t="s">
        <v>287</v>
      </c>
      <c r="D823" s="164" t="s">
        <v>151</v>
      </c>
      <c r="E823" s="79">
        <v>44682</v>
      </c>
      <c r="F823" s="6" t="s">
        <v>16</v>
      </c>
      <c r="G823" s="6" t="s">
        <v>2433</v>
      </c>
      <c r="H823" s="170">
        <v>21000</v>
      </c>
      <c r="I823" s="172">
        <f t="shared" si="38"/>
        <v>240.49473202015577</v>
      </c>
      <c r="J823" s="162">
        <v>44691</v>
      </c>
      <c r="K823" s="6" t="s">
        <v>251</v>
      </c>
      <c r="L823" s="162">
        <v>44691</v>
      </c>
      <c r="M823" s="175" t="s">
        <v>6028</v>
      </c>
      <c r="O823" s="6" t="s">
        <v>356</v>
      </c>
      <c r="P823" s="6" t="str">
        <f t="shared" si="39"/>
        <v>SAFe que</v>
      </c>
      <c r="Q823" t="str">
        <f t="shared" si="40"/>
        <v>2022</v>
      </c>
    </row>
    <row r="824" spans="1:17">
      <c r="A824" s="162">
        <v>44691</v>
      </c>
      <c r="B824" s="164" t="s">
        <v>2239</v>
      </c>
      <c r="C824" s="164" t="s">
        <v>278</v>
      </c>
      <c r="D824" s="164" t="s">
        <v>1524</v>
      </c>
      <c r="E824" s="79">
        <v>44682</v>
      </c>
      <c r="F824" s="6" t="s">
        <v>16</v>
      </c>
      <c r="G824" s="6" t="s">
        <v>2433</v>
      </c>
      <c r="H824" s="170">
        <v>24000</v>
      </c>
      <c r="I824" s="172">
        <f t="shared" si="38"/>
        <v>274.85112230874944</v>
      </c>
      <c r="J824" s="162">
        <v>44691</v>
      </c>
      <c r="K824" s="6" t="s">
        <v>251</v>
      </c>
      <c r="L824" s="162">
        <v>44691</v>
      </c>
      <c r="M824" s="175" t="s">
        <v>6029</v>
      </c>
      <c r="N824" s="6" t="s">
        <v>2241</v>
      </c>
      <c r="O824" s="6" t="s">
        <v>280</v>
      </c>
      <c r="P824" s="6" t="str">
        <f t="shared" si="39"/>
        <v>SAFe que</v>
      </c>
      <c r="Q824" t="str">
        <f t="shared" si="40"/>
        <v>2022</v>
      </c>
    </row>
    <row r="825" spans="1:17">
      <c r="A825" s="162">
        <v>44691</v>
      </c>
      <c r="B825" s="164" t="s">
        <v>2552</v>
      </c>
      <c r="C825" s="164" t="s">
        <v>278</v>
      </c>
      <c r="D825" s="164" t="s">
        <v>96</v>
      </c>
      <c r="E825" s="79">
        <v>44682</v>
      </c>
      <c r="F825" s="6" t="s">
        <v>16</v>
      </c>
      <c r="G825" s="6" t="s">
        <v>2497</v>
      </c>
      <c r="H825" s="170">
        <v>20000</v>
      </c>
      <c r="I825" s="172">
        <f t="shared" si="38"/>
        <v>229.04260192395787</v>
      </c>
      <c r="J825" s="162">
        <v>44691</v>
      </c>
      <c r="K825" s="6" t="s">
        <v>251</v>
      </c>
      <c r="L825" s="162">
        <v>44691</v>
      </c>
      <c r="M825" s="175" t="s">
        <v>6030</v>
      </c>
      <c r="N825" s="20" t="s">
        <v>2210</v>
      </c>
      <c r="O825" s="6" t="s">
        <v>280</v>
      </c>
      <c r="P825" s="6" t="str">
        <f t="shared" si="39"/>
        <v>Category</v>
      </c>
      <c r="Q825" t="str">
        <f t="shared" si="40"/>
        <v>2022</v>
      </c>
    </row>
    <row r="826" spans="1:17">
      <c r="A826" s="162">
        <v>44692</v>
      </c>
      <c r="B826" s="164" t="s">
        <v>2554</v>
      </c>
      <c r="C826" s="164" t="s">
        <v>291</v>
      </c>
      <c r="D826" s="164" t="s">
        <v>151</v>
      </c>
      <c r="E826" s="79">
        <v>44682</v>
      </c>
      <c r="F826" s="6" t="s">
        <v>16</v>
      </c>
      <c r="G826" s="6" t="s">
        <v>2433</v>
      </c>
      <c r="H826" s="170">
        <v>21000</v>
      </c>
      <c r="I826" s="172">
        <f t="shared" si="38"/>
        <v>240.49473202015577</v>
      </c>
      <c r="J826" s="162">
        <v>44692</v>
      </c>
      <c r="K826" s="6" t="s">
        <v>252</v>
      </c>
      <c r="L826" s="162">
        <v>44692</v>
      </c>
      <c r="M826" s="175" t="s">
        <v>6031</v>
      </c>
      <c r="O826" s="6" t="s">
        <v>280</v>
      </c>
      <c r="P826" s="6" t="str">
        <f t="shared" si="39"/>
        <v>SAFe que</v>
      </c>
      <c r="Q826" t="str">
        <f t="shared" si="40"/>
        <v>2022</v>
      </c>
    </row>
    <row r="827" spans="1:17">
      <c r="A827" s="162">
        <v>44692</v>
      </c>
      <c r="B827" s="164" t="s">
        <v>2556</v>
      </c>
      <c r="C827" s="164" t="s">
        <v>278</v>
      </c>
      <c r="D827" s="164" t="s">
        <v>150</v>
      </c>
      <c r="E827" s="79">
        <v>44682</v>
      </c>
      <c r="F827" s="6" t="s">
        <v>16</v>
      </c>
      <c r="G827" s="6" t="s">
        <v>2497</v>
      </c>
      <c r="H827" s="170">
        <v>20500</v>
      </c>
      <c r="I827" s="172">
        <f t="shared" si="38"/>
        <v>234.76866697205682</v>
      </c>
      <c r="J827" s="162">
        <v>44692</v>
      </c>
      <c r="K827" s="6" t="s">
        <v>252</v>
      </c>
      <c r="L827" s="162">
        <v>44692</v>
      </c>
      <c r="M827" s="175" t="s">
        <v>6032</v>
      </c>
      <c r="N827" s="6" t="s">
        <v>2558</v>
      </c>
      <c r="O827" s="6" t="s">
        <v>280</v>
      </c>
      <c r="P827" s="6" t="str">
        <f t="shared" si="39"/>
        <v>SAFe que</v>
      </c>
      <c r="Q827" t="str">
        <f t="shared" si="40"/>
        <v>2022</v>
      </c>
    </row>
    <row r="828" spans="1:17">
      <c r="A828" s="162">
        <v>44692</v>
      </c>
      <c r="B828" s="164" t="s">
        <v>2559</v>
      </c>
      <c r="C828" s="164" t="s">
        <v>291</v>
      </c>
      <c r="D828" s="164" t="s">
        <v>150</v>
      </c>
      <c r="E828" s="79">
        <v>44682</v>
      </c>
      <c r="F828" s="6" t="s">
        <v>16</v>
      </c>
      <c r="G828" s="6" t="s">
        <v>2433</v>
      </c>
      <c r="H828" s="170">
        <v>20500</v>
      </c>
      <c r="I828" s="172">
        <f t="shared" si="38"/>
        <v>234.76866697205682</v>
      </c>
      <c r="J828" s="162">
        <v>44692</v>
      </c>
      <c r="K828" s="6" t="s">
        <v>252</v>
      </c>
      <c r="L828" s="162">
        <v>44692</v>
      </c>
      <c r="M828" s="175" t="s">
        <v>6033</v>
      </c>
      <c r="O828" s="6" t="s">
        <v>280</v>
      </c>
      <c r="P828" s="6" t="str">
        <f t="shared" si="39"/>
        <v>SAFe que</v>
      </c>
      <c r="Q828" t="str">
        <f t="shared" si="40"/>
        <v>2022</v>
      </c>
    </row>
    <row r="829" spans="1:17">
      <c r="A829" s="162">
        <v>44692</v>
      </c>
      <c r="B829" s="164" t="s">
        <v>2561</v>
      </c>
      <c r="C829" s="164" t="s">
        <v>470</v>
      </c>
      <c r="D829" s="164" t="s">
        <v>96</v>
      </c>
      <c r="E829" s="79">
        <v>44682</v>
      </c>
      <c r="F829" s="6" t="s">
        <v>16</v>
      </c>
      <c r="G829" s="6" t="s">
        <v>2563</v>
      </c>
      <c r="H829" s="170">
        <v>20000</v>
      </c>
      <c r="I829" s="172">
        <f t="shared" si="38"/>
        <v>229.04260192395787</v>
      </c>
      <c r="J829" s="162">
        <v>44692</v>
      </c>
      <c r="K829" s="6" t="s">
        <v>252</v>
      </c>
      <c r="L829" s="162">
        <v>44692</v>
      </c>
      <c r="M829" s="175" t="s">
        <v>6034</v>
      </c>
      <c r="O829" s="6" t="s">
        <v>356</v>
      </c>
      <c r="P829" s="6" t="str">
        <f t="shared" si="39"/>
        <v>Category</v>
      </c>
      <c r="Q829" t="str">
        <f t="shared" si="40"/>
        <v>2022</v>
      </c>
    </row>
    <row r="830" spans="1:17">
      <c r="A830" s="162">
        <v>44693</v>
      </c>
      <c r="B830" s="164" t="s">
        <v>2564</v>
      </c>
      <c r="C830" s="164" t="s">
        <v>303</v>
      </c>
      <c r="D830" s="164" t="s">
        <v>151</v>
      </c>
      <c r="E830" s="79">
        <v>44682</v>
      </c>
      <c r="F830" s="6" t="s">
        <v>16</v>
      </c>
      <c r="G830" s="6" t="s">
        <v>2433</v>
      </c>
      <c r="H830" s="170">
        <v>21000</v>
      </c>
      <c r="I830" s="172">
        <f t="shared" si="38"/>
        <v>240.49473202015577</v>
      </c>
      <c r="J830" s="162">
        <v>44693</v>
      </c>
      <c r="K830" s="6" t="s">
        <v>252</v>
      </c>
      <c r="L830" s="162">
        <v>44693</v>
      </c>
      <c r="M830" s="175" t="s">
        <v>6035</v>
      </c>
      <c r="O830" s="6" t="s">
        <v>280</v>
      </c>
      <c r="P830" s="6" t="str">
        <f t="shared" si="39"/>
        <v>SAFe que</v>
      </c>
      <c r="Q830" t="str">
        <f t="shared" si="40"/>
        <v>2022</v>
      </c>
    </row>
    <row r="831" spans="1:17">
      <c r="A831" s="162">
        <v>44694</v>
      </c>
      <c r="B831" s="164" t="s">
        <v>2566</v>
      </c>
      <c r="C831" s="164" t="s">
        <v>319</v>
      </c>
      <c r="D831" s="164" t="s">
        <v>1524</v>
      </c>
      <c r="E831" s="79">
        <v>44682</v>
      </c>
      <c r="F831" s="6" t="s">
        <v>16</v>
      </c>
      <c r="G831" s="6" t="s">
        <v>2433</v>
      </c>
      <c r="H831" s="170">
        <v>24000</v>
      </c>
      <c r="I831" s="172">
        <f t="shared" si="38"/>
        <v>274.85112230874944</v>
      </c>
      <c r="J831" s="162">
        <v>44694</v>
      </c>
      <c r="K831" s="6" t="s">
        <v>252</v>
      </c>
      <c r="L831" s="162">
        <v>44694</v>
      </c>
      <c r="M831" s="175" t="s">
        <v>6036</v>
      </c>
      <c r="O831" s="6" t="s">
        <v>280</v>
      </c>
      <c r="P831" s="6" t="str">
        <f t="shared" si="39"/>
        <v>SAFe que</v>
      </c>
      <c r="Q831" t="str">
        <f t="shared" si="40"/>
        <v>2022</v>
      </c>
    </row>
    <row r="832" spans="1:17">
      <c r="A832" s="162">
        <v>44694</v>
      </c>
      <c r="B832" s="164" t="s">
        <v>2568</v>
      </c>
      <c r="C832" s="164" t="s">
        <v>319</v>
      </c>
      <c r="D832" s="164" t="s">
        <v>1524</v>
      </c>
      <c r="E832" s="79">
        <v>44682</v>
      </c>
      <c r="F832" s="6" t="s">
        <v>16</v>
      </c>
      <c r="G832" s="6" t="s">
        <v>2433</v>
      </c>
      <c r="H832" s="170">
        <v>24000</v>
      </c>
      <c r="I832" s="172">
        <f t="shared" si="38"/>
        <v>274.85112230874944</v>
      </c>
      <c r="J832" s="162">
        <v>44694</v>
      </c>
      <c r="K832" s="6" t="s">
        <v>252</v>
      </c>
      <c r="L832" s="162">
        <v>44694</v>
      </c>
      <c r="M832" s="175" t="s">
        <v>6037</v>
      </c>
      <c r="O832" s="6" t="s">
        <v>280</v>
      </c>
      <c r="P832" s="6" t="str">
        <f t="shared" si="39"/>
        <v>SAFe que</v>
      </c>
      <c r="Q832" t="str">
        <f t="shared" si="40"/>
        <v>2022</v>
      </c>
    </row>
    <row r="833" spans="1:17">
      <c r="A833" s="162">
        <v>44694</v>
      </c>
      <c r="B833" s="164" t="s">
        <v>2570</v>
      </c>
      <c r="C833" s="164" t="s">
        <v>278</v>
      </c>
      <c r="D833" s="164" t="s">
        <v>96</v>
      </c>
      <c r="E833" s="79">
        <v>44682</v>
      </c>
      <c r="F833" s="6" t="s">
        <v>16</v>
      </c>
      <c r="G833" s="6" t="s">
        <v>2514</v>
      </c>
      <c r="H833" s="170">
        <v>20000</v>
      </c>
      <c r="I833" s="172">
        <f t="shared" ref="I833:I896" si="41">IFERROR((($H833/1.18))/74,"")</f>
        <v>229.04260192395787</v>
      </c>
      <c r="J833" s="162">
        <v>44694</v>
      </c>
      <c r="K833" s="6" t="s">
        <v>252</v>
      </c>
      <c r="L833" s="162">
        <v>44694</v>
      </c>
      <c r="M833" s="175" t="s">
        <v>6038</v>
      </c>
      <c r="N833" s="6" t="s">
        <v>2156</v>
      </c>
      <c r="O833" s="6" t="s">
        <v>356</v>
      </c>
      <c r="P833" s="6" t="str">
        <f t="shared" si="39"/>
        <v>Category</v>
      </c>
      <c r="Q833" t="str">
        <f t="shared" si="40"/>
        <v>2022</v>
      </c>
    </row>
    <row r="834" spans="1:17">
      <c r="A834" s="162">
        <v>44694</v>
      </c>
      <c r="B834" s="164" t="s">
        <v>422</v>
      </c>
      <c r="C834" s="164" t="s">
        <v>470</v>
      </c>
      <c r="D834" s="164" t="s">
        <v>2572</v>
      </c>
      <c r="E834" s="79">
        <v>44682</v>
      </c>
      <c r="F834" s="6" t="s">
        <v>16</v>
      </c>
      <c r="G834" s="96">
        <v>44688</v>
      </c>
      <c r="H834" s="170">
        <v>24750</v>
      </c>
      <c r="I834" s="172">
        <f t="shared" si="41"/>
        <v>283.44021988089787</v>
      </c>
      <c r="J834" s="162">
        <v>44694</v>
      </c>
      <c r="K834" s="6" t="s">
        <v>252</v>
      </c>
      <c r="L834" s="162">
        <v>44694</v>
      </c>
      <c r="M834" s="175" t="s">
        <v>6039</v>
      </c>
      <c r="O834" s="6" t="s">
        <v>356</v>
      </c>
      <c r="P834" s="6" t="str">
        <f t="shared" ref="P834:P897" si="42">IFERROR(_xlfn.IFS($D834="CSM","Category",$D834="CSPO","Category", $D834="PSM","SAFe que",$D834="PSPO","SAFe que",$D834="SAFe Agile","SAFe que",$D834="SAFe SSM","SAFe que",$D834="SAFe POPM","SAFe que",$D834="SASM","SAFe que",$D834="PMI-ACP","Category",$D834="ICP-ACC","SAFe que",$D834="PSM 2","SAFe que",$D834="SAFe RTE","SAFe que",$D834="Implementing SAFe","SAFe que",$D834="SAFe for Government","SAFe que",$D834="PSPO 2","SAFe que",$D834="",""),"NonCategory")</f>
        <v>NonCategory</v>
      </c>
      <c r="Q834" t="str">
        <f t="shared" ref="Q834:Q897" si="43">TEXT(E834, "yyyy")</f>
        <v>2022</v>
      </c>
    </row>
    <row r="835" spans="1:17">
      <c r="A835" s="162">
        <v>44697</v>
      </c>
      <c r="B835" s="164" t="s">
        <v>2573</v>
      </c>
      <c r="C835" s="164" t="s">
        <v>470</v>
      </c>
      <c r="D835" s="164" t="s">
        <v>25</v>
      </c>
      <c r="E835" s="79">
        <v>44682</v>
      </c>
      <c r="F835" s="6" t="s">
        <v>16</v>
      </c>
      <c r="G835" s="6" t="s">
        <v>2575</v>
      </c>
      <c r="H835" s="170">
        <v>42000</v>
      </c>
      <c r="I835" s="172">
        <f t="shared" si="41"/>
        <v>480.98946404031153</v>
      </c>
      <c r="J835" s="162">
        <v>44697</v>
      </c>
      <c r="K835" s="6" t="s">
        <v>252</v>
      </c>
      <c r="L835" s="162">
        <v>44697</v>
      </c>
      <c r="M835" s="175" t="s">
        <v>6040</v>
      </c>
      <c r="O835" s="6" t="s">
        <v>280</v>
      </c>
      <c r="P835" s="6" t="str">
        <f t="shared" si="42"/>
        <v>SAFe que</v>
      </c>
      <c r="Q835" t="str">
        <f t="shared" si="43"/>
        <v>2022</v>
      </c>
    </row>
    <row r="836" spans="1:17">
      <c r="A836" s="162">
        <v>44697</v>
      </c>
      <c r="B836" s="164" t="s">
        <v>2576</v>
      </c>
      <c r="C836" s="164" t="s">
        <v>306</v>
      </c>
      <c r="D836" s="164" t="s">
        <v>150</v>
      </c>
      <c r="E836" s="79">
        <v>44682</v>
      </c>
      <c r="F836" s="6" t="s">
        <v>16</v>
      </c>
      <c r="G836" s="6" t="s">
        <v>2514</v>
      </c>
      <c r="H836" s="170">
        <v>21000</v>
      </c>
      <c r="I836" s="172">
        <f t="shared" si="41"/>
        <v>240.49473202015577</v>
      </c>
      <c r="J836" s="162">
        <v>44704</v>
      </c>
      <c r="K836" s="6" t="s">
        <v>253</v>
      </c>
      <c r="L836" s="162">
        <v>44703</v>
      </c>
      <c r="M836" s="175" t="s">
        <v>6041</v>
      </c>
      <c r="O836" s="6" t="s">
        <v>356</v>
      </c>
      <c r="P836" s="6" t="str">
        <f t="shared" si="42"/>
        <v>SAFe que</v>
      </c>
      <c r="Q836" t="str">
        <f t="shared" si="43"/>
        <v>2022</v>
      </c>
    </row>
    <row r="837" spans="1:17">
      <c r="A837" s="162">
        <v>44697</v>
      </c>
      <c r="B837" s="164" t="s">
        <v>2578</v>
      </c>
      <c r="C837" s="164" t="s">
        <v>287</v>
      </c>
      <c r="D837" s="164" t="s">
        <v>151</v>
      </c>
      <c r="E837" s="79">
        <v>44682</v>
      </c>
      <c r="F837" s="6" t="s">
        <v>16</v>
      </c>
      <c r="G837" s="6" t="s">
        <v>2580</v>
      </c>
      <c r="H837" s="170">
        <v>21000</v>
      </c>
      <c r="I837" s="172">
        <f t="shared" si="41"/>
        <v>240.49473202015577</v>
      </c>
      <c r="J837" s="162">
        <v>44697</v>
      </c>
      <c r="K837" s="6" t="s">
        <v>252</v>
      </c>
      <c r="L837" s="162">
        <v>44698</v>
      </c>
      <c r="M837" s="175" t="s">
        <v>6042</v>
      </c>
      <c r="O837" s="6" t="s">
        <v>356</v>
      </c>
      <c r="P837" s="6" t="str">
        <f t="shared" si="42"/>
        <v>SAFe que</v>
      </c>
      <c r="Q837" t="str">
        <f t="shared" si="43"/>
        <v>2022</v>
      </c>
    </row>
    <row r="838" spans="1:17">
      <c r="A838" s="162">
        <v>44697</v>
      </c>
      <c r="B838" s="164" t="s">
        <v>2581</v>
      </c>
      <c r="C838" s="164" t="s">
        <v>303</v>
      </c>
      <c r="D838" s="164" t="s">
        <v>96</v>
      </c>
      <c r="E838" s="79">
        <v>44682</v>
      </c>
      <c r="F838" s="6" t="s">
        <v>16</v>
      </c>
      <c r="G838" s="6" t="s">
        <v>2514</v>
      </c>
      <c r="H838" s="170">
        <v>20000</v>
      </c>
      <c r="I838" s="172">
        <f t="shared" si="41"/>
        <v>229.04260192395787</v>
      </c>
      <c r="J838" s="162">
        <v>44697</v>
      </c>
      <c r="K838" s="6" t="s">
        <v>252</v>
      </c>
      <c r="L838" s="162">
        <v>44697</v>
      </c>
      <c r="M838" s="175" t="s">
        <v>6043</v>
      </c>
      <c r="O838" s="6" t="s">
        <v>356</v>
      </c>
      <c r="P838" s="6" t="str">
        <f t="shared" si="42"/>
        <v>Category</v>
      </c>
      <c r="Q838" t="str">
        <f t="shared" si="43"/>
        <v>2022</v>
      </c>
    </row>
    <row r="839" spans="1:17">
      <c r="A839" s="162">
        <v>44699</v>
      </c>
      <c r="B839" s="164" t="s">
        <v>2585</v>
      </c>
      <c r="C839" s="164" t="s">
        <v>306</v>
      </c>
      <c r="D839" s="164" t="s">
        <v>150</v>
      </c>
      <c r="E839" s="79">
        <v>44682</v>
      </c>
      <c r="F839" s="6" t="s">
        <v>16</v>
      </c>
      <c r="G839" s="6" t="s">
        <v>2497</v>
      </c>
      <c r="H839" s="170">
        <v>21000</v>
      </c>
      <c r="I839" s="172">
        <f t="shared" si="41"/>
        <v>240.49473202015577</v>
      </c>
      <c r="J839" s="162">
        <v>44699</v>
      </c>
      <c r="K839" s="6" t="s">
        <v>252</v>
      </c>
      <c r="L839" s="162">
        <v>44699</v>
      </c>
      <c r="M839" s="175" t="s">
        <v>6044</v>
      </c>
      <c r="O839" s="6" t="s">
        <v>356</v>
      </c>
      <c r="P839" s="6" t="str">
        <f t="shared" si="42"/>
        <v>SAFe que</v>
      </c>
      <c r="Q839" t="str">
        <f t="shared" si="43"/>
        <v>2022</v>
      </c>
    </row>
    <row r="840" spans="1:17">
      <c r="A840" s="162">
        <v>44699</v>
      </c>
      <c r="B840" s="164" t="s">
        <v>2132</v>
      </c>
      <c r="C840" s="164" t="s">
        <v>303</v>
      </c>
      <c r="D840" s="164" t="s">
        <v>150</v>
      </c>
      <c r="E840" s="79">
        <v>44682</v>
      </c>
      <c r="F840" s="6" t="s">
        <v>16</v>
      </c>
      <c r="G840" s="6" t="s">
        <v>2497</v>
      </c>
      <c r="H840" s="170">
        <v>21000</v>
      </c>
      <c r="I840" s="172">
        <f t="shared" si="41"/>
        <v>240.49473202015577</v>
      </c>
      <c r="J840" s="162">
        <v>44699</v>
      </c>
      <c r="K840" s="6" t="s">
        <v>252</v>
      </c>
      <c r="L840" s="162">
        <v>44699</v>
      </c>
      <c r="M840" s="175" t="s">
        <v>6045</v>
      </c>
      <c r="O840" s="6" t="s">
        <v>280</v>
      </c>
      <c r="P840" s="6" t="str">
        <f t="shared" si="42"/>
        <v>SAFe que</v>
      </c>
      <c r="Q840" t="str">
        <f t="shared" si="43"/>
        <v>2022</v>
      </c>
    </row>
    <row r="841" spans="1:17">
      <c r="A841" s="162">
        <v>44700</v>
      </c>
      <c r="B841" s="164" t="s">
        <v>2588</v>
      </c>
      <c r="C841" s="164" t="s">
        <v>291</v>
      </c>
      <c r="D841" s="164" t="s">
        <v>150</v>
      </c>
      <c r="E841" s="79">
        <v>44682</v>
      </c>
      <c r="F841" s="6" t="s">
        <v>16</v>
      </c>
      <c r="G841" s="6" t="s">
        <v>2497</v>
      </c>
      <c r="H841" s="170">
        <v>20500</v>
      </c>
      <c r="I841" s="172">
        <f t="shared" si="41"/>
        <v>234.76866697205682</v>
      </c>
      <c r="J841" s="162">
        <v>44700</v>
      </c>
      <c r="K841" s="6" t="s">
        <v>252</v>
      </c>
      <c r="L841" s="162">
        <v>44700</v>
      </c>
      <c r="M841" s="175" t="s">
        <v>6046</v>
      </c>
      <c r="O841" s="6" t="s">
        <v>280</v>
      </c>
      <c r="P841" s="6" t="str">
        <f t="shared" si="42"/>
        <v>SAFe que</v>
      </c>
      <c r="Q841" t="str">
        <f t="shared" si="43"/>
        <v>2022</v>
      </c>
    </row>
    <row r="842" spans="1:17">
      <c r="A842" s="162">
        <v>44700</v>
      </c>
      <c r="B842" s="164" t="s">
        <v>2590</v>
      </c>
      <c r="C842" s="164" t="s">
        <v>278</v>
      </c>
      <c r="D842" s="164" t="s">
        <v>150</v>
      </c>
      <c r="E842" s="79">
        <v>44682</v>
      </c>
      <c r="F842" s="6" t="s">
        <v>16</v>
      </c>
      <c r="G842" s="6" t="s">
        <v>2497</v>
      </c>
      <c r="H842" s="170">
        <v>20500</v>
      </c>
      <c r="I842" s="172">
        <f t="shared" si="41"/>
        <v>234.76866697205682</v>
      </c>
      <c r="J842" s="162">
        <v>44700</v>
      </c>
      <c r="K842" s="6" t="s">
        <v>252</v>
      </c>
      <c r="L842" s="162">
        <v>44700</v>
      </c>
      <c r="M842" s="175" t="s">
        <v>6047</v>
      </c>
      <c r="N842" s="6" t="s">
        <v>2592</v>
      </c>
      <c r="O842" s="6" t="s">
        <v>356</v>
      </c>
      <c r="P842" s="6" t="str">
        <f t="shared" si="42"/>
        <v>SAFe que</v>
      </c>
      <c r="Q842" t="str">
        <f t="shared" si="43"/>
        <v>2022</v>
      </c>
    </row>
    <row r="843" spans="1:17">
      <c r="A843" s="162">
        <v>44700</v>
      </c>
      <c r="B843" s="164" t="s">
        <v>2593</v>
      </c>
      <c r="C843" s="164" t="s">
        <v>470</v>
      </c>
      <c r="D843" s="164" t="s">
        <v>150</v>
      </c>
      <c r="E843" s="79">
        <v>44682</v>
      </c>
      <c r="F843" s="6" t="s">
        <v>16</v>
      </c>
      <c r="G843" s="6" t="s">
        <v>2497</v>
      </c>
      <c r="H843" s="170">
        <v>21000</v>
      </c>
      <c r="I843" s="172">
        <f t="shared" si="41"/>
        <v>240.49473202015577</v>
      </c>
      <c r="J843" s="162">
        <v>44700</v>
      </c>
      <c r="K843" s="6" t="s">
        <v>252</v>
      </c>
      <c r="L843" s="162">
        <v>44700</v>
      </c>
      <c r="M843" s="175" t="s">
        <v>6048</v>
      </c>
      <c r="O843" s="6" t="s">
        <v>356</v>
      </c>
      <c r="P843" s="6" t="str">
        <f t="shared" si="42"/>
        <v>SAFe que</v>
      </c>
      <c r="Q843" t="str">
        <f t="shared" si="43"/>
        <v>2022</v>
      </c>
    </row>
    <row r="844" spans="1:17">
      <c r="A844" s="162">
        <v>44700</v>
      </c>
      <c r="B844" s="164" t="s">
        <v>2594</v>
      </c>
      <c r="C844" s="164" t="s">
        <v>278</v>
      </c>
      <c r="D844" s="164" t="s">
        <v>96</v>
      </c>
      <c r="E844" s="79">
        <v>44682</v>
      </c>
      <c r="F844" s="6" t="s">
        <v>16</v>
      </c>
      <c r="G844" s="6" t="s">
        <v>2575</v>
      </c>
      <c r="H844" s="170">
        <v>20000</v>
      </c>
      <c r="I844" s="172">
        <f t="shared" si="41"/>
        <v>229.04260192395787</v>
      </c>
      <c r="J844" s="162">
        <v>44700</v>
      </c>
      <c r="K844" s="6" t="s">
        <v>252</v>
      </c>
      <c r="L844" s="162">
        <v>44700</v>
      </c>
      <c r="M844" s="175" t="s">
        <v>6049</v>
      </c>
      <c r="N844" s="6" t="s">
        <v>2596</v>
      </c>
      <c r="O844" s="6" t="s">
        <v>280</v>
      </c>
      <c r="P844" s="6" t="str">
        <f t="shared" si="42"/>
        <v>Category</v>
      </c>
      <c r="Q844" t="str">
        <f t="shared" si="43"/>
        <v>2022</v>
      </c>
    </row>
    <row r="845" spans="1:17">
      <c r="A845" s="162">
        <v>44701</v>
      </c>
      <c r="B845" s="164" t="s">
        <v>2597</v>
      </c>
      <c r="C845" s="164" t="s">
        <v>278</v>
      </c>
      <c r="D845" s="164" t="s">
        <v>97</v>
      </c>
      <c r="E845" s="79">
        <v>44682</v>
      </c>
      <c r="F845" s="6" t="s">
        <v>16</v>
      </c>
      <c r="G845" s="6" t="s">
        <v>2497</v>
      </c>
      <c r="H845" s="170">
        <v>20000</v>
      </c>
      <c r="I845" s="172">
        <f t="shared" si="41"/>
        <v>229.04260192395787</v>
      </c>
      <c r="J845" s="162">
        <v>44701</v>
      </c>
      <c r="K845" s="6" t="s">
        <v>252</v>
      </c>
      <c r="L845" s="162">
        <v>44701</v>
      </c>
      <c r="M845" s="175" t="s">
        <v>6050</v>
      </c>
      <c r="N845" s="6" t="s">
        <v>2599</v>
      </c>
      <c r="O845" s="6" t="s">
        <v>280</v>
      </c>
      <c r="P845" s="6" t="str">
        <f t="shared" si="42"/>
        <v>Category</v>
      </c>
      <c r="Q845" t="str">
        <f t="shared" si="43"/>
        <v>2022</v>
      </c>
    </row>
    <row r="846" spans="1:17">
      <c r="A846" s="162">
        <v>44701</v>
      </c>
      <c r="B846" s="164" t="s">
        <v>132</v>
      </c>
      <c r="C846" s="164" t="s">
        <v>470</v>
      </c>
      <c r="D846" s="164" t="s">
        <v>25</v>
      </c>
      <c r="E846" s="79">
        <v>44682</v>
      </c>
      <c r="F846" s="6" t="s">
        <v>16</v>
      </c>
      <c r="G846" s="6" t="s">
        <v>2514</v>
      </c>
      <c r="H846" s="170">
        <v>120000</v>
      </c>
      <c r="I846" s="172">
        <f t="shared" si="41"/>
        <v>1374.2556115437471</v>
      </c>
      <c r="J846" s="162">
        <v>44712</v>
      </c>
      <c r="K846" s="6" t="s">
        <v>253</v>
      </c>
      <c r="L846" s="162">
        <v>44704</v>
      </c>
      <c r="M846" s="175" t="s">
        <v>2600</v>
      </c>
      <c r="O846" s="6" t="s">
        <v>356</v>
      </c>
      <c r="P846" s="6" t="str">
        <f t="shared" si="42"/>
        <v>SAFe que</v>
      </c>
      <c r="Q846" t="str">
        <f t="shared" si="43"/>
        <v>2022</v>
      </c>
    </row>
    <row r="847" spans="1:17">
      <c r="A847" s="162">
        <v>44701</v>
      </c>
      <c r="B847" s="164" t="s">
        <v>2542</v>
      </c>
      <c r="C847" s="164" t="s">
        <v>291</v>
      </c>
      <c r="D847" s="164" t="s">
        <v>150</v>
      </c>
      <c r="E847" s="79">
        <v>44682</v>
      </c>
      <c r="F847" s="6" t="s">
        <v>16</v>
      </c>
      <c r="G847" s="6" t="s">
        <v>2497</v>
      </c>
      <c r="H847" s="170">
        <v>21000</v>
      </c>
      <c r="I847" s="172">
        <f t="shared" si="41"/>
        <v>240.49473202015577</v>
      </c>
      <c r="J847" s="162">
        <v>44701</v>
      </c>
      <c r="K847" s="6" t="s">
        <v>252</v>
      </c>
      <c r="L847" s="162">
        <v>44701</v>
      </c>
      <c r="M847" s="175" t="s">
        <v>6051</v>
      </c>
      <c r="O847" s="6" t="s">
        <v>356</v>
      </c>
      <c r="P847" s="6" t="str">
        <f t="shared" si="42"/>
        <v>SAFe que</v>
      </c>
      <c r="Q847" t="str">
        <f t="shared" si="43"/>
        <v>2022</v>
      </c>
    </row>
    <row r="848" spans="1:17">
      <c r="A848" s="162">
        <v>44704</v>
      </c>
      <c r="B848" s="164" t="s">
        <v>2601</v>
      </c>
      <c r="C848" s="164" t="s">
        <v>287</v>
      </c>
      <c r="D848" s="164" t="s">
        <v>1524</v>
      </c>
      <c r="E848" s="79">
        <v>44682</v>
      </c>
      <c r="F848" s="6" t="s">
        <v>16</v>
      </c>
      <c r="G848" s="6" t="s">
        <v>2514</v>
      </c>
      <c r="H848" s="170">
        <v>24000</v>
      </c>
      <c r="I848" s="172">
        <f t="shared" si="41"/>
        <v>274.85112230874944</v>
      </c>
      <c r="J848" s="162">
        <v>44704</v>
      </c>
      <c r="K848" s="6" t="s">
        <v>253</v>
      </c>
      <c r="L848" s="162">
        <v>44704</v>
      </c>
      <c r="M848" s="175" t="s">
        <v>6052</v>
      </c>
      <c r="O848" s="6" t="s">
        <v>356</v>
      </c>
      <c r="P848" s="6" t="str">
        <f t="shared" si="42"/>
        <v>SAFe que</v>
      </c>
      <c r="Q848" t="str">
        <f t="shared" si="43"/>
        <v>2022</v>
      </c>
    </row>
    <row r="849" spans="1:17">
      <c r="A849" s="162">
        <v>44705</v>
      </c>
      <c r="B849" s="164" t="s">
        <v>2602</v>
      </c>
      <c r="C849" s="164" t="s">
        <v>303</v>
      </c>
      <c r="D849" s="164" t="s">
        <v>150</v>
      </c>
      <c r="E849" s="79">
        <v>44682</v>
      </c>
      <c r="F849" s="6" t="s">
        <v>16</v>
      </c>
      <c r="G849" s="6" t="s">
        <v>2514</v>
      </c>
      <c r="H849" s="170">
        <v>21000</v>
      </c>
      <c r="I849" s="172">
        <f t="shared" si="41"/>
        <v>240.49473202015577</v>
      </c>
      <c r="J849" s="162">
        <v>44705</v>
      </c>
      <c r="K849" s="6" t="s">
        <v>253</v>
      </c>
      <c r="L849" s="162">
        <v>44705</v>
      </c>
      <c r="M849" s="175" t="s">
        <v>6053</v>
      </c>
      <c r="O849" s="6" t="s">
        <v>356</v>
      </c>
      <c r="P849" s="6" t="str">
        <f t="shared" si="42"/>
        <v>SAFe que</v>
      </c>
      <c r="Q849" t="str">
        <f t="shared" si="43"/>
        <v>2022</v>
      </c>
    </row>
    <row r="850" spans="1:17">
      <c r="A850" s="162">
        <v>44705</v>
      </c>
      <c r="B850" s="164" t="s">
        <v>2604</v>
      </c>
      <c r="C850" s="164" t="s">
        <v>278</v>
      </c>
      <c r="D850" s="164" t="s">
        <v>25</v>
      </c>
      <c r="E850" s="79">
        <v>44682</v>
      </c>
      <c r="F850" s="6" t="s">
        <v>16</v>
      </c>
      <c r="G850" s="6" t="s">
        <v>2580</v>
      </c>
      <c r="H850" s="170">
        <v>42000</v>
      </c>
      <c r="I850" s="172">
        <f t="shared" si="41"/>
        <v>480.98946404031153</v>
      </c>
      <c r="J850" s="162">
        <v>44705</v>
      </c>
      <c r="K850" s="6" t="s">
        <v>253</v>
      </c>
      <c r="L850" s="162">
        <v>44705</v>
      </c>
      <c r="M850" s="175" t="s">
        <v>6054</v>
      </c>
      <c r="N850" s="6" t="s">
        <v>2606</v>
      </c>
      <c r="O850" s="6" t="s">
        <v>356</v>
      </c>
      <c r="P850" s="6" t="str">
        <f t="shared" si="42"/>
        <v>SAFe que</v>
      </c>
      <c r="Q850" t="str">
        <f t="shared" si="43"/>
        <v>2022</v>
      </c>
    </row>
    <row r="851" spans="1:17">
      <c r="A851" s="162">
        <v>44706</v>
      </c>
      <c r="B851" s="164" t="s">
        <v>2609</v>
      </c>
      <c r="C851" s="164" t="s">
        <v>291</v>
      </c>
      <c r="D851" s="164" t="s">
        <v>151</v>
      </c>
      <c r="E851" s="79">
        <v>44682</v>
      </c>
      <c r="F851" s="6" t="s">
        <v>16</v>
      </c>
      <c r="G851" s="6" t="s">
        <v>2514</v>
      </c>
      <c r="H851" s="170">
        <v>21000</v>
      </c>
      <c r="I851" s="172">
        <f t="shared" si="41"/>
        <v>240.49473202015577</v>
      </c>
      <c r="J851" s="162">
        <v>44706</v>
      </c>
      <c r="K851" s="6" t="s">
        <v>253</v>
      </c>
      <c r="L851" s="162">
        <v>44707</v>
      </c>
      <c r="M851" s="175" t="s">
        <v>6055</v>
      </c>
      <c r="O851" s="6" t="s">
        <v>356</v>
      </c>
      <c r="P851" s="6" t="str">
        <f t="shared" si="42"/>
        <v>SAFe que</v>
      </c>
      <c r="Q851" t="str">
        <f t="shared" si="43"/>
        <v>2022</v>
      </c>
    </row>
    <row r="852" spans="1:17">
      <c r="A852" s="162">
        <v>44707</v>
      </c>
      <c r="B852" s="164" t="s">
        <v>2611</v>
      </c>
      <c r="C852" s="164" t="s">
        <v>278</v>
      </c>
      <c r="D852" s="164" t="s">
        <v>25</v>
      </c>
      <c r="E852" s="79">
        <v>44682</v>
      </c>
      <c r="F852" s="6" t="s">
        <v>16</v>
      </c>
      <c r="G852" s="6" t="s">
        <v>2613</v>
      </c>
      <c r="H852" s="170">
        <v>40061</v>
      </c>
      <c r="I852" s="172">
        <f t="shared" si="41"/>
        <v>458.7837837837838</v>
      </c>
      <c r="J852" s="162">
        <v>44707</v>
      </c>
      <c r="K852" s="6" t="s">
        <v>253</v>
      </c>
      <c r="L852" s="162">
        <v>44707</v>
      </c>
      <c r="M852" s="175" t="s">
        <v>6056</v>
      </c>
      <c r="N852" s="6" t="s">
        <v>2606</v>
      </c>
      <c r="O852" s="6" t="s">
        <v>356</v>
      </c>
      <c r="P852" s="6" t="str">
        <f t="shared" si="42"/>
        <v>SAFe que</v>
      </c>
      <c r="Q852" t="str">
        <f t="shared" si="43"/>
        <v>2022</v>
      </c>
    </row>
    <row r="853" spans="1:17">
      <c r="A853" s="162">
        <v>44708</v>
      </c>
      <c r="B853" s="164" t="s">
        <v>2614</v>
      </c>
      <c r="C853" s="164" t="s">
        <v>297</v>
      </c>
      <c r="D853" s="164" t="s">
        <v>150</v>
      </c>
      <c r="E853" s="79">
        <v>44713</v>
      </c>
      <c r="F853" s="6" t="s">
        <v>16</v>
      </c>
      <c r="G853" s="6" t="s">
        <v>2580</v>
      </c>
      <c r="H853" s="170">
        <v>21000</v>
      </c>
      <c r="I853" s="172">
        <f t="shared" si="41"/>
        <v>240.49473202015577</v>
      </c>
      <c r="J853" s="162">
        <v>44708</v>
      </c>
      <c r="K853" s="6" t="s">
        <v>251</v>
      </c>
      <c r="L853" s="162">
        <v>44721</v>
      </c>
      <c r="M853" s="175" t="s">
        <v>6057</v>
      </c>
      <c r="N853" s="20"/>
      <c r="O853" s="6" t="s">
        <v>280</v>
      </c>
      <c r="P853" s="6" t="str">
        <f t="shared" si="42"/>
        <v>SAFe que</v>
      </c>
      <c r="Q853" t="str">
        <f t="shared" si="43"/>
        <v>2022</v>
      </c>
    </row>
    <row r="854" spans="1:17">
      <c r="A854" s="162">
        <v>44708</v>
      </c>
      <c r="B854" s="164" t="s">
        <v>2462</v>
      </c>
      <c r="C854" s="164" t="s">
        <v>470</v>
      </c>
      <c r="D854" s="164" t="s">
        <v>1524</v>
      </c>
      <c r="E854" s="79">
        <v>44682</v>
      </c>
      <c r="F854" s="6" t="s">
        <v>16</v>
      </c>
      <c r="G854" s="6" t="s">
        <v>2514</v>
      </c>
      <c r="H854" s="170">
        <v>24000</v>
      </c>
      <c r="I854" s="172">
        <f t="shared" si="41"/>
        <v>274.85112230874944</v>
      </c>
      <c r="J854" s="162">
        <v>44708</v>
      </c>
      <c r="K854" s="6" t="s">
        <v>253</v>
      </c>
      <c r="L854" s="162">
        <v>44708</v>
      </c>
      <c r="M854" s="175" t="s">
        <v>6058</v>
      </c>
      <c r="O854" s="6" t="s">
        <v>356</v>
      </c>
      <c r="P854" s="6" t="str">
        <f t="shared" si="42"/>
        <v>SAFe que</v>
      </c>
      <c r="Q854" t="str">
        <f t="shared" si="43"/>
        <v>2022</v>
      </c>
    </row>
    <row r="855" spans="1:17">
      <c r="A855" s="162">
        <v>44709</v>
      </c>
      <c r="B855" s="164" t="s">
        <v>2618</v>
      </c>
      <c r="C855" s="164" t="s">
        <v>297</v>
      </c>
      <c r="D855" s="164" t="s">
        <v>151</v>
      </c>
      <c r="E855" s="79">
        <v>44682</v>
      </c>
      <c r="F855" s="6" t="s">
        <v>16</v>
      </c>
      <c r="G855" s="6" t="s">
        <v>2580</v>
      </c>
      <c r="H855" s="170">
        <v>21000</v>
      </c>
      <c r="I855" s="172">
        <f t="shared" si="41"/>
        <v>240.49473202015577</v>
      </c>
      <c r="J855" s="162">
        <v>44709</v>
      </c>
      <c r="K855" s="6" t="s">
        <v>253</v>
      </c>
      <c r="L855" s="162">
        <v>44708</v>
      </c>
      <c r="M855" s="175" t="s">
        <v>6059</v>
      </c>
      <c r="N855" s="20"/>
      <c r="O855" s="6" t="s">
        <v>356</v>
      </c>
      <c r="P855" s="6" t="str">
        <f t="shared" si="42"/>
        <v>SAFe que</v>
      </c>
      <c r="Q855" t="str">
        <f t="shared" si="43"/>
        <v>2022</v>
      </c>
    </row>
    <row r="856" spans="1:17">
      <c r="A856" s="162">
        <v>44712</v>
      </c>
      <c r="B856" s="164" t="s">
        <v>2623</v>
      </c>
      <c r="C856" s="164" t="s">
        <v>278</v>
      </c>
      <c r="D856" s="164" t="s">
        <v>96</v>
      </c>
      <c r="E856" s="79">
        <v>44682</v>
      </c>
      <c r="F856" s="6" t="s">
        <v>16</v>
      </c>
      <c r="G856" s="6" t="s">
        <v>2580</v>
      </c>
      <c r="H856" s="170">
        <v>20000</v>
      </c>
      <c r="I856" s="172">
        <f t="shared" si="41"/>
        <v>229.04260192395787</v>
      </c>
      <c r="J856" s="162">
        <v>44712</v>
      </c>
      <c r="K856" s="6" t="s">
        <v>253</v>
      </c>
      <c r="L856" s="162">
        <v>44712</v>
      </c>
      <c r="M856" s="175" t="s">
        <v>6060</v>
      </c>
      <c r="N856" s="6" t="s">
        <v>2625</v>
      </c>
      <c r="O856" s="6" t="s">
        <v>280</v>
      </c>
      <c r="P856" s="6" t="str">
        <f t="shared" si="42"/>
        <v>Category</v>
      </c>
      <c r="Q856" t="str">
        <f t="shared" si="43"/>
        <v>2022</v>
      </c>
    </row>
    <row r="857" spans="1:17">
      <c r="A857" s="162">
        <v>44712</v>
      </c>
      <c r="B857" s="165" t="s">
        <v>2626</v>
      </c>
      <c r="C857" s="165" t="s">
        <v>306</v>
      </c>
      <c r="D857" s="165" t="s">
        <v>151</v>
      </c>
      <c r="E857" s="79">
        <v>44682</v>
      </c>
      <c r="F857" s="6" t="s">
        <v>16</v>
      </c>
      <c r="G857" s="6" t="s">
        <v>2613</v>
      </c>
      <c r="H857" s="170">
        <v>21000</v>
      </c>
      <c r="I857" s="172">
        <f t="shared" si="41"/>
        <v>240.49473202015577</v>
      </c>
      <c r="J857" s="162">
        <v>44712</v>
      </c>
      <c r="K857" s="6" t="s">
        <v>253</v>
      </c>
      <c r="L857" s="162">
        <v>44712</v>
      </c>
      <c r="M857" s="175" t="s">
        <v>6061</v>
      </c>
      <c r="O857" s="6" t="s">
        <v>280</v>
      </c>
      <c r="P857" s="6" t="str">
        <f t="shared" si="42"/>
        <v>SAFe que</v>
      </c>
      <c r="Q857" t="str">
        <f t="shared" si="43"/>
        <v>2022</v>
      </c>
    </row>
    <row r="858" spans="1:17">
      <c r="A858" s="162">
        <v>44712</v>
      </c>
      <c r="B858" s="164" t="s">
        <v>2628</v>
      </c>
      <c r="C858" s="164" t="s">
        <v>470</v>
      </c>
      <c r="D858" s="164" t="s">
        <v>1698</v>
      </c>
      <c r="E858" s="79">
        <v>44682</v>
      </c>
      <c r="F858" s="6" t="s">
        <v>16</v>
      </c>
      <c r="G858" s="96">
        <v>44730</v>
      </c>
      <c r="H858" s="170">
        <v>40000</v>
      </c>
      <c r="I858" s="172">
        <f t="shared" si="41"/>
        <v>458.08520384791575</v>
      </c>
      <c r="J858" s="162">
        <v>44712</v>
      </c>
      <c r="K858" s="6" t="s">
        <v>253</v>
      </c>
      <c r="L858" s="162">
        <v>44712</v>
      </c>
      <c r="M858" s="175" t="s">
        <v>6062</v>
      </c>
      <c r="O858" s="6" t="s">
        <v>356</v>
      </c>
      <c r="P858" s="6" t="str">
        <f t="shared" si="42"/>
        <v>NonCategory</v>
      </c>
      <c r="Q858" t="str">
        <f t="shared" si="43"/>
        <v>2022</v>
      </c>
    </row>
    <row r="859" spans="1:17">
      <c r="A859" s="162">
        <v>44712</v>
      </c>
      <c r="B859" s="164" t="s">
        <v>2629</v>
      </c>
      <c r="C859" s="164" t="s">
        <v>319</v>
      </c>
      <c r="D859" s="164" t="s">
        <v>150</v>
      </c>
      <c r="E859" s="79">
        <v>44682</v>
      </c>
      <c r="F859" s="6" t="s">
        <v>16</v>
      </c>
      <c r="G859" s="6" t="s">
        <v>2575</v>
      </c>
      <c r="H859" s="170">
        <v>21000</v>
      </c>
      <c r="I859" s="172">
        <f t="shared" si="41"/>
        <v>240.49473202015577</v>
      </c>
      <c r="J859" s="162">
        <v>44712</v>
      </c>
      <c r="K859" s="6" t="s">
        <v>253</v>
      </c>
      <c r="L859" s="162">
        <v>44712</v>
      </c>
      <c r="M859" s="175" t="s">
        <v>6063</v>
      </c>
      <c r="O859" s="6" t="s">
        <v>280</v>
      </c>
      <c r="P859" s="6" t="str">
        <f t="shared" si="42"/>
        <v>SAFe que</v>
      </c>
      <c r="Q859" t="str">
        <f t="shared" si="43"/>
        <v>2022</v>
      </c>
    </row>
    <row r="860" spans="1:17">
      <c r="A860" s="162">
        <v>44712</v>
      </c>
      <c r="B860" s="164" t="s">
        <v>2631</v>
      </c>
      <c r="C860" s="164" t="s">
        <v>278</v>
      </c>
      <c r="D860" s="164" t="s">
        <v>25</v>
      </c>
      <c r="E860" s="79">
        <v>44682</v>
      </c>
      <c r="F860" s="6" t="s">
        <v>16</v>
      </c>
      <c r="G860" s="6" t="s">
        <v>2633</v>
      </c>
      <c r="H860" s="170">
        <v>40061</v>
      </c>
      <c r="I860" s="172">
        <f t="shared" si="41"/>
        <v>458.7837837837838</v>
      </c>
      <c r="J860" s="162">
        <v>44712</v>
      </c>
      <c r="K860" s="6" t="s">
        <v>253</v>
      </c>
      <c r="L860" s="162">
        <v>44712</v>
      </c>
      <c r="M860" s="175" t="s">
        <v>6064</v>
      </c>
      <c r="N860" s="20" t="s">
        <v>2210</v>
      </c>
      <c r="O860" s="6" t="s">
        <v>280</v>
      </c>
      <c r="P860" s="6" t="str">
        <f t="shared" si="42"/>
        <v>SAFe que</v>
      </c>
      <c r="Q860" t="str">
        <f t="shared" si="43"/>
        <v>2022</v>
      </c>
    </row>
    <row r="861" spans="1:17">
      <c r="A861" s="162">
        <v>44713</v>
      </c>
      <c r="B861" s="164" t="s">
        <v>2634</v>
      </c>
      <c r="C861" s="164" t="s">
        <v>303</v>
      </c>
      <c r="D861" s="164" t="s">
        <v>150</v>
      </c>
      <c r="E861" s="79">
        <v>44713</v>
      </c>
      <c r="F861" s="6" t="s">
        <v>16</v>
      </c>
      <c r="G861" s="6" t="s">
        <v>2575</v>
      </c>
      <c r="H861" s="170">
        <v>20500</v>
      </c>
      <c r="I861" s="172">
        <f t="shared" si="41"/>
        <v>234.76866697205682</v>
      </c>
      <c r="J861" s="162">
        <v>44713</v>
      </c>
      <c r="K861" s="6" t="s">
        <v>251</v>
      </c>
      <c r="L861" s="162">
        <v>44713</v>
      </c>
      <c r="M861" s="175" t="s">
        <v>6065</v>
      </c>
      <c r="O861" s="6" t="s">
        <v>280</v>
      </c>
      <c r="P861" s="6" t="str">
        <f t="shared" si="42"/>
        <v>SAFe que</v>
      </c>
      <c r="Q861" t="str">
        <f t="shared" si="43"/>
        <v>2022</v>
      </c>
    </row>
    <row r="862" spans="1:17">
      <c r="A862" s="162">
        <v>44713</v>
      </c>
      <c r="B862" s="164" t="s">
        <v>2636</v>
      </c>
      <c r="C862" s="164" t="s">
        <v>278</v>
      </c>
      <c r="D862" s="164" t="s">
        <v>150</v>
      </c>
      <c r="E862" s="79">
        <v>44713</v>
      </c>
      <c r="F862" s="6" t="s">
        <v>16</v>
      </c>
      <c r="G862" s="6" t="s">
        <v>2575</v>
      </c>
      <c r="H862" s="170">
        <v>20500</v>
      </c>
      <c r="I862" s="172">
        <f t="shared" si="41"/>
        <v>234.76866697205682</v>
      </c>
      <c r="J862" s="162">
        <v>44713</v>
      </c>
      <c r="K862" s="6" t="s">
        <v>251</v>
      </c>
      <c r="L862" s="162">
        <v>44713</v>
      </c>
      <c r="M862" s="175" t="s">
        <v>6066</v>
      </c>
      <c r="N862" s="6" t="s">
        <v>2638</v>
      </c>
      <c r="O862" s="6" t="s">
        <v>356</v>
      </c>
      <c r="P862" s="6" t="str">
        <f t="shared" si="42"/>
        <v>SAFe que</v>
      </c>
      <c r="Q862" t="str">
        <f t="shared" si="43"/>
        <v>2022</v>
      </c>
    </row>
    <row r="863" spans="1:17">
      <c r="A863" s="162">
        <v>44713</v>
      </c>
      <c r="B863" s="164" t="s">
        <v>2639</v>
      </c>
      <c r="C863" s="164" t="s">
        <v>278</v>
      </c>
      <c r="D863" s="164" t="s">
        <v>150</v>
      </c>
      <c r="E863" s="79">
        <v>44713</v>
      </c>
      <c r="F863" s="6" t="s">
        <v>16</v>
      </c>
      <c r="G863" s="6" t="s">
        <v>2575</v>
      </c>
      <c r="H863" s="170">
        <v>20500</v>
      </c>
      <c r="I863" s="172">
        <f t="shared" si="41"/>
        <v>234.76866697205682</v>
      </c>
      <c r="J863" s="162">
        <v>44713</v>
      </c>
      <c r="K863" s="6" t="s">
        <v>251</v>
      </c>
      <c r="L863" s="162">
        <v>44713</v>
      </c>
      <c r="M863" s="175" t="s">
        <v>6067</v>
      </c>
      <c r="N863" s="6" t="s">
        <v>2641</v>
      </c>
      <c r="O863" s="6" t="s">
        <v>280</v>
      </c>
      <c r="P863" s="6" t="str">
        <f t="shared" si="42"/>
        <v>SAFe que</v>
      </c>
      <c r="Q863" t="str">
        <f t="shared" si="43"/>
        <v>2022</v>
      </c>
    </row>
    <row r="864" spans="1:17">
      <c r="A864" s="162">
        <v>44713</v>
      </c>
      <c r="B864" s="164" t="s">
        <v>2642</v>
      </c>
      <c r="C864" s="164" t="s">
        <v>287</v>
      </c>
      <c r="D864" s="164" t="s">
        <v>6</v>
      </c>
      <c r="E864" s="79">
        <v>44713</v>
      </c>
      <c r="F864" s="6" t="s">
        <v>16</v>
      </c>
      <c r="G864" s="6" t="s">
        <v>2575</v>
      </c>
      <c r="H864" s="170">
        <v>42000</v>
      </c>
      <c r="I864" s="172">
        <f t="shared" si="41"/>
        <v>480.98946404031153</v>
      </c>
      <c r="J864" s="162">
        <v>44713</v>
      </c>
      <c r="K864" s="6" t="s">
        <v>251</v>
      </c>
      <c r="L864" s="162">
        <v>44713</v>
      </c>
      <c r="M864" s="175" t="s">
        <v>6068</v>
      </c>
      <c r="N864" s="20"/>
      <c r="O864" s="6" t="s">
        <v>2644</v>
      </c>
      <c r="P864" s="6" t="str">
        <f t="shared" si="42"/>
        <v>SAFe que</v>
      </c>
      <c r="Q864" t="str">
        <f t="shared" si="43"/>
        <v>2022</v>
      </c>
    </row>
    <row r="865" spans="1:17">
      <c r="A865" s="162">
        <v>44713</v>
      </c>
      <c r="B865" s="164" t="s">
        <v>2645</v>
      </c>
      <c r="C865" s="164" t="s">
        <v>287</v>
      </c>
      <c r="D865" s="164" t="s">
        <v>6</v>
      </c>
      <c r="E865" s="79">
        <v>44713</v>
      </c>
      <c r="F865" s="6" t="s">
        <v>16</v>
      </c>
      <c r="G865" s="6" t="s">
        <v>2575</v>
      </c>
      <c r="H865" s="170">
        <v>42000</v>
      </c>
      <c r="I865" s="172">
        <f t="shared" si="41"/>
        <v>480.98946404031153</v>
      </c>
      <c r="J865" s="162">
        <v>44713</v>
      </c>
      <c r="K865" s="6" t="s">
        <v>251</v>
      </c>
      <c r="L865" s="162">
        <v>44713</v>
      </c>
      <c r="M865" s="175" t="s">
        <v>6069</v>
      </c>
      <c r="O865" s="6" t="s">
        <v>280</v>
      </c>
      <c r="P865" s="6" t="str">
        <f t="shared" si="42"/>
        <v>SAFe que</v>
      </c>
      <c r="Q865" t="str">
        <f t="shared" si="43"/>
        <v>2022</v>
      </c>
    </row>
    <row r="866" spans="1:17">
      <c r="A866" s="162">
        <v>44713</v>
      </c>
      <c r="B866" s="164" t="s">
        <v>2507</v>
      </c>
      <c r="C866" s="164" t="s">
        <v>470</v>
      </c>
      <c r="D866" s="164" t="s">
        <v>1698</v>
      </c>
      <c r="E866" s="79">
        <v>44713</v>
      </c>
      <c r="F866" s="6" t="s">
        <v>16</v>
      </c>
      <c r="G866" s="96">
        <v>44716</v>
      </c>
      <c r="H866" s="170">
        <v>39000</v>
      </c>
      <c r="I866" s="172">
        <f t="shared" si="41"/>
        <v>446.6330737517178</v>
      </c>
      <c r="J866" s="162">
        <v>44713</v>
      </c>
      <c r="K866" s="6" t="s">
        <v>251</v>
      </c>
      <c r="L866" s="162">
        <v>44714</v>
      </c>
      <c r="M866" s="175" t="s">
        <v>6070</v>
      </c>
      <c r="O866" s="6" t="s">
        <v>356</v>
      </c>
      <c r="P866" s="6" t="str">
        <f t="shared" si="42"/>
        <v>NonCategory</v>
      </c>
      <c r="Q866" t="str">
        <f t="shared" si="43"/>
        <v>2022</v>
      </c>
    </row>
    <row r="867" spans="1:17">
      <c r="A867" s="162">
        <v>44715</v>
      </c>
      <c r="B867" s="164" t="s">
        <v>2647</v>
      </c>
      <c r="C867" s="164" t="s">
        <v>303</v>
      </c>
      <c r="D867" s="164" t="s">
        <v>150</v>
      </c>
      <c r="E867" s="79">
        <v>44713</v>
      </c>
      <c r="F867" s="6" t="s">
        <v>16</v>
      </c>
      <c r="G867" s="96">
        <v>44715</v>
      </c>
      <c r="H867" s="170">
        <v>20500</v>
      </c>
      <c r="I867" s="172">
        <f t="shared" si="41"/>
        <v>234.76866697205682</v>
      </c>
      <c r="J867" s="162">
        <v>44715</v>
      </c>
      <c r="K867" s="6" t="s">
        <v>251</v>
      </c>
      <c r="L867" s="162">
        <v>44715</v>
      </c>
      <c r="M867" s="175" t="s">
        <v>6071</v>
      </c>
      <c r="O867" s="6" t="s">
        <v>356</v>
      </c>
      <c r="P867" s="6" t="str">
        <f t="shared" si="42"/>
        <v>SAFe que</v>
      </c>
      <c r="Q867" t="str">
        <f t="shared" si="43"/>
        <v>2022</v>
      </c>
    </row>
    <row r="868" spans="1:17">
      <c r="A868" s="162">
        <v>44715</v>
      </c>
      <c r="B868" s="164" t="s">
        <v>2649</v>
      </c>
      <c r="C868" s="164" t="s">
        <v>287</v>
      </c>
      <c r="D868" s="164" t="s">
        <v>25</v>
      </c>
      <c r="E868" s="79">
        <v>44713</v>
      </c>
      <c r="F868" s="6" t="s">
        <v>16</v>
      </c>
      <c r="G868" s="6" t="s">
        <v>2575</v>
      </c>
      <c r="H868" s="170">
        <v>40061</v>
      </c>
      <c r="I868" s="172">
        <f t="shared" si="41"/>
        <v>458.7837837837838</v>
      </c>
      <c r="J868" s="162">
        <v>44715</v>
      </c>
      <c r="K868" s="6" t="s">
        <v>251</v>
      </c>
      <c r="L868" s="162">
        <v>44715</v>
      </c>
      <c r="M868" s="175" t="s">
        <v>6072</v>
      </c>
      <c r="O868" s="6" t="s">
        <v>280</v>
      </c>
      <c r="P868" s="6" t="str">
        <f t="shared" si="42"/>
        <v>SAFe que</v>
      </c>
      <c r="Q868" t="str">
        <f t="shared" si="43"/>
        <v>2022</v>
      </c>
    </row>
    <row r="869" spans="1:17">
      <c r="A869" s="162">
        <v>44715</v>
      </c>
      <c r="B869" s="164" t="s">
        <v>2651</v>
      </c>
      <c r="C869" s="164" t="s">
        <v>303</v>
      </c>
      <c r="D869" s="164" t="s">
        <v>2653</v>
      </c>
      <c r="E869" s="79">
        <v>44713</v>
      </c>
      <c r="F869" s="6" t="s">
        <v>16</v>
      </c>
      <c r="G869" s="96">
        <v>44716</v>
      </c>
      <c r="H869" s="170">
        <v>16000</v>
      </c>
      <c r="I869" s="172">
        <f t="shared" si="41"/>
        <v>183.23408153916631</v>
      </c>
      <c r="J869" s="162">
        <v>44715</v>
      </c>
      <c r="K869" s="6" t="s">
        <v>251</v>
      </c>
      <c r="L869" s="162">
        <v>44715</v>
      </c>
      <c r="M869" s="175" t="s">
        <v>6073</v>
      </c>
      <c r="O869" s="6" t="s">
        <v>356</v>
      </c>
      <c r="P869" s="6" t="str">
        <f t="shared" si="42"/>
        <v>NonCategory</v>
      </c>
      <c r="Q869" t="str">
        <f t="shared" si="43"/>
        <v>2022</v>
      </c>
    </row>
    <row r="870" spans="1:17">
      <c r="A870" s="162">
        <v>44718</v>
      </c>
      <c r="B870" s="164" t="s">
        <v>2654</v>
      </c>
      <c r="C870" s="164" t="s">
        <v>287</v>
      </c>
      <c r="D870" s="164" t="s">
        <v>150</v>
      </c>
      <c r="E870" s="79">
        <v>44713</v>
      </c>
      <c r="F870" s="6" t="s">
        <v>16</v>
      </c>
      <c r="G870" s="6" t="s">
        <v>2613</v>
      </c>
      <c r="H870" s="170">
        <v>21000</v>
      </c>
      <c r="I870" s="172">
        <f t="shared" si="41"/>
        <v>240.49473202015577</v>
      </c>
      <c r="J870" s="162">
        <v>44718</v>
      </c>
      <c r="K870" s="6" t="s">
        <v>251</v>
      </c>
      <c r="L870" s="162">
        <v>44718</v>
      </c>
      <c r="M870" s="175" t="s">
        <v>6074</v>
      </c>
      <c r="O870" s="6" t="s">
        <v>356</v>
      </c>
      <c r="P870" s="6" t="str">
        <f t="shared" si="42"/>
        <v>SAFe que</v>
      </c>
      <c r="Q870" t="str">
        <f t="shared" si="43"/>
        <v>2022</v>
      </c>
    </row>
    <row r="871" spans="1:17">
      <c r="A871" s="162">
        <v>44718</v>
      </c>
      <c r="B871" s="164" t="s">
        <v>2656</v>
      </c>
      <c r="C871" s="164" t="s">
        <v>470</v>
      </c>
      <c r="D871" s="164" t="s">
        <v>96</v>
      </c>
      <c r="E871" s="79">
        <v>44713</v>
      </c>
      <c r="F871" s="6" t="s">
        <v>16</v>
      </c>
      <c r="G871" s="6" t="s">
        <v>2658</v>
      </c>
      <c r="H871" s="170">
        <v>20000</v>
      </c>
      <c r="I871" s="172">
        <f t="shared" si="41"/>
        <v>229.04260192395787</v>
      </c>
      <c r="J871" s="162">
        <v>44718</v>
      </c>
      <c r="K871" s="6" t="s">
        <v>251</v>
      </c>
      <c r="L871" s="162">
        <v>44718</v>
      </c>
      <c r="M871" s="175" t="s">
        <v>6075</v>
      </c>
      <c r="O871" s="6" t="s">
        <v>356</v>
      </c>
      <c r="P871" s="6" t="str">
        <f t="shared" si="42"/>
        <v>Category</v>
      </c>
      <c r="Q871" t="str">
        <f t="shared" si="43"/>
        <v>2022</v>
      </c>
    </row>
    <row r="872" spans="1:17">
      <c r="A872" s="162">
        <v>44719</v>
      </c>
      <c r="B872" s="164" t="s">
        <v>2659</v>
      </c>
      <c r="C872" s="164" t="s">
        <v>287</v>
      </c>
      <c r="D872" s="164" t="s">
        <v>96</v>
      </c>
      <c r="E872" s="79">
        <v>44713</v>
      </c>
      <c r="F872" s="6" t="s">
        <v>16</v>
      </c>
      <c r="G872" s="6" t="s">
        <v>2580</v>
      </c>
      <c r="H872" s="170">
        <v>20000</v>
      </c>
      <c r="I872" s="172">
        <f t="shared" si="41"/>
        <v>229.04260192395787</v>
      </c>
      <c r="J872" s="162">
        <v>44719</v>
      </c>
      <c r="K872" s="6" t="s">
        <v>251</v>
      </c>
      <c r="L872" s="162">
        <v>44719</v>
      </c>
      <c r="M872" s="175" t="s">
        <v>6076</v>
      </c>
      <c r="O872" s="6" t="s">
        <v>280</v>
      </c>
      <c r="P872" s="6" t="str">
        <f t="shared" si="42"/>
        <v>Category</v>
      </c>
      <c r="Q872" t="str">
        <f t="shared" si="43"/>
        <v>2022</v>
      </c>
    </row>
    <row r="873" spans="1:17">
      <c r="A873" s="162">
        <v>44720</v>
      </c>
      <c r="B873" s="164" t="s">
        <v>2661</v>
      </c>
      <c r="C873" s="164" t="s">
        <v>319</v>
      </c>
      <c r="D873" s="164" t="s">
        <v>151</v>
      </c>
      <c r="E873" s="79">
        <v>44713</v>
      </c>
      <c r="F873" s="6" t="s">
        <v>16</v>
      </c>
      <c r="G873" s="6" t="s">
        <v>2613</v>
      </c>
      <c r="H873" s="170">
        <v>21000</v>
      </c>
      <c r="I873" s="172">
        <f t="shared" si="41"/>
        <v>240.49473202015577</v>
      </c>
      <c r="J873" s="162">
        <v>44720</v>
      </c>
      <c r="K873" s="6" t="s">
        <v>251</v>
      </c>
      <c r="L873" s="162">
        <v>44721</v>
      </c>
      <c r="M873" s="175" t="s">
        <v>6077</v>
      </c>
      <c r="O873" s="6" t="s">
        <v>280</v>
      </c>
      <c r="P873" s="6" t="str">
        <f t="shared" si="42"/>
        <v>SAFe que</v>
      </c>
      <c r="Q873" t="str">
        <f t="shared" si="43"/>
        <v>2022</v>
      </c>
    </row>
    <row r="874" spans="1:17">
      <c r="A874" s="162">
        <v>44721</v>
      </c>
      <c r="B874" s="164" t="s">
        <v>2663</v>
      </c>
      <c r="C874" s="164" t="s">
        <v>319</v>
      </c>
      <c r="D874" s="164" t="s">
        <v>25</v>
      </c>
      <c r="E874" s="79">
        <v>44713</v>
      </c>
      <c r="F874" s="6" t="s">
        <v>16</v>
      </c>
      <c r="G874" s="6" t="s">
        <v>2580</v>
      </c>
      <c r="H874" s="170">
        <v>42000</v>
      </c>
      <c r="I874" s="172">
        <f t="shared" si="41"/>
        <v>480.98946404031153</v>
      </c>
      <c r="J874" s="162">
        <v>44721</v>
      </c>
      <c r="K874" s="6" t="s">
        <v>251</v>
      </c>
      <c r="L874" s="162">
        <v>44721</v>
      </c>
      <c r="M874" s="175" t="s">
        <v>6078</v>
      </c>
      <c r="O874" s="6" t="s">
        <v>280</v>
      </c>
      <c r="P874" s="6" t="str">
        <f t="shared" si="42"/>
        <v>SAFe que</v>
      </c>
      <c r="Q874" t="str">
        <f t="shared" si="43"/>
        <v>2022</v>
      </c>
    </row>
    <row r="875" spans="1:17">
      <c r="A875" s="162">
        <v>44721</v>
      </c>
      <c r="B875" s="164" t="s">
        <v>2665</v>
      </c>
      <c r="C875" s="164" t="s">
        <v>278</v>
      </c>
      <c r="D875" s="164" t="s">
        <v>150</v>
      </c>
      <c r="E875" s="79">
        <v>44713</v>
      </c>
      <c r="F875" s="6" t="s">
        <v>16</v>
      </c>
      <c r="G875" s="6" t="s">
        <v>2580</v>
      </c>
      <c r="H875" s="170">
        <v>20500</v>
      </c>
      <c r="I875" s="172">
        <f t="shared" si="41"/>
        <v>234.76866697205682</v>
      </c>
      <c r="J875" s="162">
        <v>44721</v>
      </c>
      <c r="K875" s="6" t="s">
        <v>251</v>
      </c>
      <c r="L875" s="162">
        <v>44721</v>
      </c>
      <c r="M875" s="175" t="s">
        <v>6079</v>
      </c>
      <c r="N875" s="6" t="s">
        <v>2667</v>
      </c>
      <c r="O875" s="6" t="s">
        <v>280</v>
      </c>
      <c r="P875" s="6" t="str">
        <f t="shared" si="42"/>
        <v>SAFe que</v>
      </c>
      <c r="Q875" t="str">
        <f t="shared" si="43"/>
        <v>2022</v>
      </c>
    </row>
    <row r="876" spans="1:17">
      <c r="A876" s="162">
        <v>44721</v>
      </c>
      <c r="B876" s="164" t="s">
        <v>2668</v>
      </c>
      <c r="C876" s="164" t="s">
        <v>343</v>
      </c>
      <c r="D876" s="164" t="s">
        <v>2749</v>
      </c>
      <c r="E876" s="79">
        <v>44713</v>
      </c>
      <c r="F876" s="6" t="s">
        <v>16</v>
      </c>
      <c r="G876" s="6" t="s">
        <v>21</v>
      </c>
      <c r="H876" s="170">
        <v>26500</v>
      </c>
      <c r="I876" s="172">
        <f t="shared" si="41"/>
        <v>303.48144754924414</v>
      </c>
      <c r="J876" s="162">
        <v>44721</v>
      </c>
      <c r="K876" s="6" t="s">
        <v>251</v>
      </c>
      <c r="L876" s="162">
        <v>44721</v>
      </c>
      <c r="M876" s="175" t="s">
        <v>6080</v>
      </c>
      <c r="O876" s="6" t="s">
        <v>356</v>
      </c>
      <c r="P876" s="6" t="str">
        <f t="shared" si="42"/>
        <v>NonCategory</v>
      </c>
      <c r="Q876" t="str">
        <f t="shared" si="43"/>
        <v>2022</v>
      </c>
    </row>
    <row r="877" spans="1:17">
      <c r="A877" s="162">
        <v>44721</v>
      </c>
      <c r="B877" s="164" t="s">
        <v>2671</v>
      </c>
      <c r="C877" s="164" t="s">
        <v>303</v>
      </c>
      <c r="D877" s="164" t="s">
        <v>150</v>
      </c>
      <c r="E877" s="79">
        <v>44713</v>
      </c>
      <c r="F877" s="6" t="s">
        <v>16</v>
      </c>
      <c r="G877" s="6" t="s">
        <v>2580</v>
      </c>
      <c r="H877" s="170">
        <v>21000</v>
      </c>
      <c r="I877" s="172">
        <f t="shared" si="41"/>
        <v>240.49473202015577</v>
      </c>
      <c r="J877" s="162">
        <v>44721</v>
      </c>
      <c r="K877" s="6" t="s">
        <v>251</v>
      </c>
      <c r="L877" s="162">
        <v>44721</v>
      </c>
      <c r="M877" s="175" t="s">
        <v>6081</v>
      </c>
      <c r="O877" s="6" t="s">
        <v>280</v>
      </c>
      <c r="P877" s="6" t="str">
        <f t="shared" si="42"/>
        <v>SAFe que</v>
      </c>
      <c r="Q877" t="str">
        <f t="shared" si="43"/>
        <v>2022</v>
      </c>
    </row>
    <row r="878" spans="1:17">
      <c r="A878" s="162">
        <v>44722</v>
      </c>
      <c r="B878" s="164" t="s">
        <v>2673</v>
      </c>
      <c r="C878" s="164" t="s">
        <v>287</v>
      </c>
      <c r="D878" s="164" t="s">
        <v>150</v>
      </c>
      <c r="E878" s="79">
        <v>44713</v>
      </c>
      <c r="F878" s="6" t="s">
        <v>16</v>
      </c>
      <c r="G878" s="6" t="s">
        <v>2580</v>
      </c>
      <c r="H878" s="170">
        <v>21000</v>
      </c>
      <c r="I878" s="172">
        <f t="shared" si="41"/>
        <v>240.49473202015577</v>
      </c>
      <c r="J878" s="162">
        <v>44722</v>
      </c>
      <c r="K878" s="6" t="s">
        <v>251</v>
      </c>
      <c r="L878" s="162">
        <v>44722</v>
      </c>
      <c r="M878" s="175" t="s">
        <v>6082</v>
      </c>
      <c r="O878" s="6" t="s">
        <v>280</v>
      </c>
      <c r="P878" s="6" t="str">
        <f t="shared" si="42"/>
        <v>SAFe que</v>
      </c>
      <c r="Q878" t="str">
        <f t="shared" si="43"/>
        <v>2022</v>
      </c>
    </row>
    <row r="879" spans="1:17">
      <c r="A879" s="162">
        <v>44722</v>
      </c>
      <c r="B879" s="164" t="s">
        <v>2675</v>
      </c>
      <c r="C879" s="164" t="s">
        <v>303</v>
      </c>
      <c r="D879" s="164" t="s">
        <v>96</v>
      </c>
      <c r="E879" s="79">
        <v>44713</v>
      </c>
      <c r="F879" s="6" t="s">
        <v>16</v>
      </c>
      <c r="G879" s="6" t="s">
        <v>2580</v>
      </c>
      <c r="H879" s="170">
        <v>20000</v>
      </c>
      <c r="I879" s="172">
        <f t="shared" si="41"/>
        <v>229.04260192395787</v>
      </c>
      <c r="J879" s="162">
        <v>44722</v>
      </c>
      <c r="K879" s="6" t="s">
        <v>251</v>
      </c>
      <c r="L879" s="162">
        <v>44722</v>
      </c>
      <c r="M879" s="175" t="s">
        <v>6083</v>
      </c>
      <c r="O879" s="6" t="s">
        <v>280</v>
      </c>
      <c r="P879" s="6" t="str">
        <f t="shared" si="42"/>
        <v>Category</v>
      </c>
      <c r="Q879" t="str">
        <f t="shared" si="43"/>
        <v>2022</v>
      </c>
    </row>
    <row r="880" spans="1:17">
      <c r="A880" s="162">
        <v>44725</v>
      </c>
      <c r="B880" s="164" t="s">
        <v>2677</v>
      </c>
      <c r="C880" s="164" t="s">
        <v>278</v>
      </c>
      <c r="D880" s="164" t="s">
        <v>25</v>
      </c>
      <c r="E880" s="79">
        <v>44713</v>
      </c>
      <c r="F880" s="6" t="s">
        <v>16</v>
      </c>
      <c r="G880" s="6" t="s">
        <v>2633</v>
      </c>
      <c r="H880" s="170">
        <v>40061</v>
      </c>
      <c r="I880" s="172">
        <f t="shared" si="41"/>
        <v>458.7837837837838</v>
      </c>
      <c r="J880" s="162">
        <v>44725</v>
      </c>
      <c r="K880" s="6" t="s">
        <v>252</v>
      </c>
      <c r="L880" s="162">
        <v>44725</v>
      </c>
      <c r="M880" s="175" t="s">
        <v>6084</v>
      </c>
      <c r="N880" s="6" t="s">
        <v>2679</v>
      </c>
      <c r="O880" s="6" t="s">
        <v>280</v>
      </c>
      <c r="P880" s="6" t="str">
        <f t="shared" si="42"/>
        <v>SAFe que</v>
      </c>
      <c r="Q880" t="str">
        <f t="shared" si="43"/>
        <v>2022</v>
      </c>
    </row>
    <row r="881" spans="1:17">
      <c r="A881" s="162">
        <v>44725</v>
      </c>
      <c r="B881" s="164" t="s">
        <v>2680</v>
      </c>
      <c r="C881" s="164" t="s">
        <v>287</v>
      </c>
      <c r="D881" s="164" t="s">
        <v>151</v>
      </c>
      <c r="E881" s="79">
        <v>44713</v>
      </c>
      <c r="F881" s="6" t="s">
        <v>16</v>
      </c>
      <c r="G881" s="6" t="s">
        <v>2633</v>
      </c>
      <c r="H881" s="170">
        <v>21000</v>
      </c>
      <c r="I881" s="172">
        <f t="shared" si="41"/>
        <v>240.49473202015577</v>
      </c>
      <c r="J881" s="162">
        <v>44725</v>
      </c>
      <c r="K881" s="6" t="s">
        <v>252</v>
      </c>
      <c r="L881" s="162">
        <v>44725</v>
      </c>
      <c r="M881" s="175" t="s">
        <v>6085</v>
      </c>
      <c r="O881" s="6" t="s">
        <v>280</v>
      </c>
      <c r="P881" s="6" t="str">
        <f t="shared" si="42"/>
        <v>SAFe que</v>
      </c>
      <c r="Q881" t="str">
        <f t="shared" si="43"/>
        <v>2022</v>
      </c>
    </row>
    <row r="882" spans="1:17">
      <c r="A882" s="162">
        <v>44726</v>
      </c>
      <c r="B882" s="164" t="s">
        <v>2685</v>
      </c>
      <c r="C882" s="164" t="s">
        <v>495</v>
      </c>
      <c r="D882" s="164" t="s">
        <v>150</v>
      </c>
      <c r="E882" s="79">
        <v>44713</v>
      </c>
      <c r="F882" s="6" t="s">
        <v>16</v>
      </c>
      <c r="G882" s="6" t="s">
        <v>2633</v>
      </c>
      <c r="H882" s="170">
        <v>21000</v>
      </c>
      <c r="I882" s="172">
        <f t="shared" si="41"/>
        <v>240.49473202015577</v>
      </c>
      <c r="J882" s="162">
        <v>44726</v>
      </c>
      <c r="K882" s="6" t="s">
        <v>252</v>
      </c>
      <c r="L882" s="162">
        <v>44726</v>
      </c>
      <c r="M882" s="175" t="s">
        <v>6086</v>
      </c>
      <c r="O882" s="6" t="s">
        <v>280</v>
      </c>
      <c r="P882" s="6" t="str">
        <f t="shared" si="42"/>
        <v>SAFe que</v>
      </c>
      <c r="Q882" t="str">
        <f t="shared" si="43"/>
        <v>2022</v>
      </c>
    </row>
    <row r="883" spans="1:17">
      <c r="A883" s="162">
        <v>44727</v>
      </c>
      <c r="B883" s="164" t="s">
        <v>2687</v>
      </c>
      <c r="C883" s="164" t="s">
        <v>287</v>
      </c>
      <c r="D883" s="164" t="s">
        <v>1524</v>
      </c>
      <c r="E883" s="79">
        <v>44713</v>
      </c>
      <c r="F883" s="6" t="s">
        <v>16</v>
      </c>
      <c r="G883" s="6" t="s">
        <v>2689</v>
      </c>
      <c r="H883" s="170">
        <v>24000</v>
      </c>
      <c r="I883" s="172">
        <f t="shared" si="41"/>
        <v>274.85112230874944</v>
      </c>
      <c r="J883" s="162">
        <v>44727</v>
      </c>
      <c r="K883" s="6" t="s">
        <v>252</v>
      </c>
      <c r="L883" s="162">
        <v>44728</v>
      </c>
      <c r="M883" s="175" t="s">
        <v>6087</v>
      </c>
      <c r="O883" s="6" t="s">
        <v>280</v>
      </c>
      <c r="P883" s="6" t="str">
        <f t="shared" si="42"/>
        <v>SAFe que</v>
      </c>
      <c r="Q883" t="str">
        <f t="shared" si="43"/>
        <v>2022</v>
      </c>
    </row>
    <row r="884" spans="1:17">
      <c r="A884" s="162">
        <v>44727</v>
      </c>
      <c r="B884" s="164" t="s">
        <v>2690</v>
      </c>
      <c r="C884" s="164" t="s">
        <v>303</v>
      </c>
      <c r="D884" s="164" t="s">
        <v>6</v>
      </c>
      <c r="E884" s="79">
        <v>44713</v>
      </c>
      <c r="F884" s="6" t="s">
        <v>16</v>
      </c>
      <c r="G884" s="6" t="s">
        <v>2613</v>
      </c>
      <c r="H884" s="170">
        <v>40061</v>
      </c>
      <c r="I884" s="172">
        <f t="shared" si="41"/>
        <v>458.7837837837838</v>
      </c>
      <c r="J884" s="162">
        <v>44727</v>
      </c>
      <c r="K884" s="6" t="s">
        <v>252</v>
      </c>
      <c r="L884" s="162">
        <v>44727</v>
      </c>
      <c r="M884" s="175" t="s">
        <v>6088</v>
      </c>
      <c r="O884" s="6" t="s">
        <v>280</v>
      </c>
      <c r="P884" s="6" t="str">
        <f t="shared" si="42"/>
        <v>SAFe que</v>
      </c>
      <c r="Q884" t="str">
        <f t="shared" si="43"/>
        <v>2022</v>
      </c>
    </row>
    <row r="885" spans="1:17">
      <c r="A885" s="162">
        <v>44727</v>
      </c>
      <c r="B885" s="164" t="s">
        <v>2692</v>
      </c>
      <c r="C885" s="164" t="s">
        <v>278</v>
      </c>
      <c r="D885" s="164" t="s">
        <v>96</v>
      </c>
      <c r="E885" s="79">
        <v>44713</v>
      </c>
      <c r="F885" s="6" t="s">
        <v>16</v>
      </c>
      <c r="G885" s="6" t="s">
        <v>2694</v>
      </c>
      <c r="H885" s="170">
        <v>19500</v>
      </c>
      <c r="I885" s="172">
        <f t="shared" si="41"/>
        <v>223.3165368758589</v>
      </c>
      <c r="J885" s="162">
        <v>44727</v>
      </c>
      <c r="K885" s="6" t="s">
        <v>252</v>
      </c>
      <c r="L885" s="162">
        <v>44727</v>
      </c>
      <c r="M885" s="175" t="s">
        <v>6089</v>
      </c>
      <c r="N885" s="6" t="s">
        <v>2695</v>
      </c>
      <c r="O885" s="6" t="s">
        <v>280</v>
      </c>
      <c r="P885" s="6" t="str">
        <f t="shared" si="42"/>
        <v>Category</v>
      </c>
      <c r="Q885" t="str">
        <f t="shared" si="43"/>
        <v>2022</v>
      </c>
    </row>
    <row r="886" spans="1:17">
      <c r="A886" s="162">
        <v>44727</v>
      </c>
      <c r="B886" s="164" t="s">
        <v>2696</v>
      </c>
      <c r="C886" s="164" t="s">
        <v>278</v>
      </c>
      <c r="D886" s="164" t="s">
        <v>96</v>
      </c>
      <c r="E886" s="79">
        <v>44713</v>
      </c>
      <c r="F886" s="6" t="s">
        <v>16</v>
      </c>
      <c r="G886" s="6" t="s">
        <v>2694</v>
      </c>
      <c r="H886" s="170">
        <v>19500</v>
      </c>
      <c r="I886" s="172">
        <f t="shared" si="41"/>
        <v>223.3165368758589</v>
      </c>
      <c r="J886" s="162">
        <v>44727</v>
      </c>
      <c r="K886" s="6" t="s">
        <v>252</v>
      </c>
      <c r="L886" s="162">
        <v>44727</v>
      </c>
      <c r="M886" s="175" t="s">
        <v>6090</v>
      </c>
      <c r="N886" s="6" t="s">
        <v>2695</v>
      </c>
      <c r="O886" s="6" t="s">
        <v>280</v>
      </c>
      <c r="P886" s="6" t="str">
        <f t="shared" si="42"/>
        <v>Category</v>
      </c>
      <c r="Q886" t="str">
        <f t="shared" si="43"/>
        <v>2022</v>
      </c>
    </row>
    <row r="887" spans="1:17">
      <c r="A887" s="162">
        <v>44728</v>
      </c>
      <c r="B887" s="164" t="s">
        <v>2698</v>
      </c>
      <c r="C887" s="164" t="s">
        <v>297</v>
      </c>
      <c r="D887" s="164" t="s">
        <v>25</v>
      </c>
      <c r="E887" s="79">
        <v>44713</v>
      </c>
      <c r="F887" s="6" t="s">
        <v>16</v>
      </c>
      <c r="G887" s="6" t="s">
        <v>2613</v>
      </c>
      <c r="H887" s="170">
        <v>40061</v>
      </c>
      <c r="I887" s="172">
        <f t="shared" si="41"/>
        <v>458.7837837837838</v>
      </c>
      <c r="J887" s="162">
        <v>44728</v>
      </c>
      <c r="K887" s="6" t="s">
        <v>252</v>
      </c>
      <c r="L887" s="162">
        <v>44728</v>
      </c>
      <c r="M887" s="175" t="s">
        <v>6091</v>
      </c>
      <c r="O887" s="6" t="s">
        <v>280</v>
      </c>
      <c r="P887" s="6" t="str">
        <f t="shared" si="42"/>
        <v>SAFe que</v>
      </c>
      <c r="Q887" t="str">
        <f t="shared" si="43"/>
        <v>2022</v>
      </c>
    </row>
    <row r="888" spans="1:17">
      <c r="A888" s="162">
        <v>44728</v>
      </c>
      <c r="B888" s="164" t="s">
        <v>2700</v>
      </c>
      <c r="C888" s="164" t="s">
        <v>319</v>
      </c>
      <c r="D888" s="164" t="s">
        <v>151</v>
      </c>
      <c r="E888" s="79">
        <v>44713</v>
      </c>
      <c r="F888" s="6" t="s">
        <v>16</v>
      </c>
      <c r="G888" s="6" t="s">
        <v>2613</v>
      </c>
      <c r="H888" s="170">
        <v>21000</v>
      </c>
      <c r="I888" s="172">
        <f t="shared" si="41"/>
        <v>240.49473202015577</v>
      </c>
      <c r="J888" s="162">
        <v>44728</v>
      </c>
      <c r="K888" s="6" t="s">
        <v>252</v>
      </c>
      <c r="L888" s="162">
        <v>44728</v>
      </c>
      <c r="M888" s="175" t="s">
        <v>6092</v>
      </c>
      <c r="O888" s="6" t="s">
        <v>280</v>
      </c>
      <c r="P888" s="6" t="str">
        <f t="shared" si="42"/>
        <v>SAFe que</v>
      </c>
      <c r="Q888" t="str">
        <f t="shared" si="43"/>
        <v>2022</v>
      </c>
    </row>
    <row r="889" spans="1:17">
      <c r="A889" s="162">
        <v>44728</v>
      </c>
      <c r="B889" s="164" t="s">
        <v>2702</v>
      </c>
      <c r="C889" s="164" t="s">
        <v>291</v>
      </c>
      <c r="D889" s="164" t="s">
        <v>151</v>
      </c>
      <c r="E889" s="79">
        <v>44713</v>
      </c>
      <c r="F889" s="6" t="s">
        <v>16</v>
      </c>
      <c r="G889" s="6" t="s">
        <v>2613</v>
      </c>
      <c r="H889" s="170">
        <v>21000</v>
      </c>
      <c r="I889" s="172">
        <f t="shared" si="41"/>
        <v>240.49473202015577</v>
      </c>
      <c r="J889" s="162">
        <v>44728</v>
      </c>
      <c r="K889" s="6" t="s">
        <v>252</v>
      </c>
      <c r="L889" s="162">
        <v>44728</v>
      </c>
      <c r="M889" s="175" t="s">
        <v>6093</v>
      </c>
      <c r="O889" s="6" t="s">
        <v>280</v>
      </c>
      <c r="P889" s="6" t="str">
        <f t="shared" si="42"/>
        <v>SAFe que</v>
      </c>
      <c r="Q889" t="str">
        <f t="shared" si="43"/>
        <v>2022</v>
      </c>
    </row>
    <row r="890" spans="1:17">
      <c r="A890" s="162">
        <v>44728</v>
      </c>
      <c r="B890" s="164" t="s">
        <v>2704</v>
      </c>
      <c r="C890" s="164" t="s">
        <v>278</v>
      </c>
      <c r="D890" s="164" t="s">
        <v>150</v>
      </c>
      <c r="E890" s="79">
        <v>44713</v>
      </c>
      <c r="F890" s="6" t="s">
        <v>16</v>
      </c>
      <c r="G890" s="6" t="s">
        <v>2613</v>
      </c>
      <c r="H890" s="170">
        <v>21000</v>
      </c>
      <c r="I890" s="172">
        <f t="shared" si="41"/>
        <v>240.49473202015577</v>
      </c>
      <c r="J890" s="162">
        <v>44728</v>
      </c>
      <c r="K890" s="6" t="s">
        <v>252</v>
      </c>
      <c r="L890" s="162">
        <v>44728</v>
      </c>
      <c r="M890" s="175" t="s">
        <v>6094</v>
      </c>
      <c r="N890" s="6" t="s">
        <v>2706</v>
      </c>
      <c r="O890" s="6" t="s">
        <v>280</v>
      </c>
      <c r="P890" s="6" t="str">
        <f t="shared" si="42"/>
        <v>SAFe que</v>
      </c>
      <c r="Q890" t="str">
        <f t="shared" si="43"/>
        <v>2022</v>
      </c>
    </row>
    <row r="891" spans="1:17">
      <c r="A891" s="162">
        <v>44728</v>
      </c>
      <c r="B891" s="164" t="s">
        <v>2707</v>
      </c>
      <c r="C891" s="164" t="s">
        <v>278</v>
      </c>
      <c r="D891" s="164" t="s">
        <v>6</v>
      </c>
      <c r="E891" s="79">
        <v>44713</v>
      </c>
      <c r="F891" s="6" t="s">
        <v>16</v>
      </c>
      <c r="G891" s="6" t="s">
        <v>2613</v>
      </c>
      <c r="H891" s="170">
        <v>40061</v>
      </c>
      <c r="I891" s="172">
        <f t="shared" si="41"/>
        <v>458.7837837837838</v>
      </c>
      <c r="J891" s="162">
        <v>44728</v>
      </c>
      <c r="K891" s="6" t="s">
        <v>252</v>
      </c>
      <c r="L891" s="162">
        <v>44728</v>
      </c>
      <c r="M891" s="175" t="s">
        <v>6095</v>
      </c>
      <c r="N891" s="6" t="s">
        <v>2156</v>
      </c>
      <c r="O891" s="6" t="s">
        <v>280</v>
      </c>
      <c r="P891" s="6" t="str">
        <f t="shared" si="42"/>
        <v>SAFe que</v>
      </c>
      <c r="Q891" t="str">
        <f t="shared" si="43"/>
        <v>2022</v>
      </c>
    </row>
    <row r="892" spans="1:17">
      <c r="A892" s="162">
        <v>44729</v>
      </c>
      <c r="B892" s="164" t="s">
        <v>2709</v>
      </c>
      <c r="C892" s="164" t="s">
        <v>287</v>
      </c>
      <c r="D892" s="164" t="s">
        <v>25</v>
      </c>
      <c r="E892" s="79">
        <v>44713</v>
      </c>
      <c r="F892" s="6" t="s">
        <v>16</v>
      </c>
      <c r="G892" s="6" t="s">
        <v>2613</v>
      </c>
      <c r="H892" s="170">
        <v>40061</v>
      </c>
      <c r="I892" s="172">
        <f t="shared" si="41"/>
        <v>458.7837837837838</v>
      </c>
      <c r="J892" s="162">
        <v>44729</v>
      </c>
      <c r="K892" s="6" t="s">
        <v>252</v>
      </c>
      <c r="L892" s="162">
        <v>44729</v>
      </c>
      <c r="M892" s="175" t="s">
        <v>6096</v>
      </c>
      <c r="O892" s="6" t="s">
        <v>280</v>
      </c>
      <c r="P892" s="6" t="str">
        <f t="shared" si="42"/>
        <v>SAFe que</v>
      </c>
      <c r="Q892" t="str">
        <f t="shared" si="43"/>
        <v>2022</v>
      </c>
    </row>
    <row r="893" spans="1:17">
      <c r="A893" s="162">
        <v>44729</v>
      </c>
      <c r="B893" s="164" t="s">
        <v>2711</v>
      </c>
      <c r="C893" s="164" t="s">
        <v>470</v>
      </c>
      <c r="D893" s="164" t="s">
        <v>1465</v>
      </c>
      <c r="E893" s="79">
        <v>44713</v>
      </c>
      <c r="F893" s="6" t="s">
        <v>16</v>
      </c>
      <c r="G893" s="96">
        <v>44730</v>
      </c>
      <c r="H893" s="170">
        <v>36000</v>
      </c>
      <c r="I893" s="172">
        <f t="shared" si="41"/>
        <v>412.27668346312413</v>
      </c>
      <c r="J893" s="162">
        <v>44729</v>
      </c>
      <c r="K893" s="6" t="s">
        <v>252</v>
      </c>
      <c r="L893" s="162">
        <v>44729</v>
      </c>
      <c r="M893" s="175" t="s">
        <v>6097</v>
      </c>
      <c r="O893" s="6" t="s">
        <v>356</v>
      </c>
      <c r="P893" s="6" t="str">
        <f t="shared" si="42"/>
        <v>NonCategory</v>
      </c>
      <c r="Q893" t="str">
        <f t="shared" si="43"/>
        <v>2022</v>
      </c>
    </row>
    <row r="894" spans="1:17">
      <c r="A894" s="162">
        <v>44731</v>
      </c>
      <c r="B894" s="164" t="s">
        <v>2712</v>
      </c>
      <c r="C894" s="164" t="s">
        <v>319</v>
      </c>
      <c r="D894" s="164" t="s">
        <v>151</v>
      </c>
      <c r="E894" s="79">
        <v>44713</v>
      </c>
      <c r="F894" s="6" t="s">
        <v>16</v>
      </c>
      <c r="G894" s="6" t="s">
        <v>2633</v>
      </c>
      <c r="H894" s="170">
        <v>21000</v>
      </c>
      <c r="I894" s="172">
        <f t="shared" si="41"/>
        <v>240.49473202015577</v>
      </c>
      <c r="J894" s="162">
        <v>44731</v>
      </c>
      <c r="K894" s="6" t="s">
        <v>252</v>
      </c>
      <c r="L894" s="162">
        <v>44731</v>
      </c>
      <c r="M894" s="175" t="s">
        <v>6098</v>
      </c>
      <c r="O894" s="6" t="s">
        <v>280</v>
      </c>
      <c r="P894" s="6" t="str">
        <f t="shared" si="42"/>
        <v>SAFe que</v>
      </c>
      <c r="Q894" t="str">
        <f t="shared" si="43"/>
        <v>2022</v>
      </c>
    </row>
    <row r="895" spans="1:17">
      <c r="A895" s="162">
        <v>44732</v>
      </c>
      <c r="B895" s="164" t="s">
        <v>2714</v>
      </c>
      <c r="C895" s="164" t="s">
        <v>287</v>
      </c>
      <c r="D895" s="164" t="s">
        <v>25</v>
      </c>
      <c r="E895" s="79">
        <v>44713</v>
      </c>
      <c r="F895" s="6" t="s">
        <v>16</v>
      </c>
      <c r="G895" s="6" t="s">
        <v>2633</v>
      </c>
      <c r="H895" s="170">
        <v>42000</v>
      </c>
      <c r="I895" s="172">
        <f t="shared" si="41"/>
        <v>480.98946404031153</v>
      </c>
      <c r="J895" s="162">
        <v>44732</v>
      </c>
      <c r="K895" s="6" t="s">
        <v>252</v>
      </c>
      <c r="L895" s="162">
        <v>44732</v>
      </c>
      <c r="M895" s="175" t="s">
        <v>6099</v>
      </c>
      <c r="O895" s="6" t="s">
        <v>280</v>
      </c>
      <c r="P895" s="6" t="str">
        <f t="shared" si="42"/>
        <v>SAFe que</v>
      </c>
      <c r="Q895" t="str">
        <f t="shared" si="43"/>
        <v>2022</v>
      </c>
    </row>
    <row r="896" spans="1:17">
      <c r="A896" s="162">
        <v>44732</v>
      </c>
      <c r="B896" s="164" t="s">
        <v>2716</v>
      </c>
      <c r="C896" s="164" t="s">
        <v>287</v>
      </c>
      <c r="D896" s="164" t="s">
        <v>150</v>
      </c>
      <c r="E896" s="79">
        <v>44713</v>
      </c>
      <c r="F896" s="6" t="s">
        <v>16</v>
      </c>
      <c r="G896" s="6" t="s">
        <v>2633</v>
      </c>
      <c r="H896" s="170">
        <v>21000</v>
      </c>
      <c r="I896" s="172">
        <f t="shared" si="41"/>
        <v>240.49473202015577</v>
      </c>
      <c r="J896" s="162">
        <v>44732</v>
      </c>
      <c r="K896" s="6" t="s">
        <v>252</v>
      </c>
      <c r="L896" s="162">
        <v>44732</v>
      </c>
      <c r="M896" s="175" t="s">
        <v>6100</v>
      </c>
      <c r="O896" s="6" t="s">
        <v>356</v>
      </c>
      <c r="P896" s="6" t="str">
        <f t="shared" si="42"/>
        <v>SAFe que</v>
      </c>
      <c r="Q896" t="str">
        <f t="shared" si="43"/>
        <v>2022</v>
      </c>
    </row>
    <row r="897" spans="1:17">
      <c r="A897" s="162">
        <v>44732</v>
      </c>
      <c r="B897" s="164" t="s">
        <v>2718</v>
      </c>
      <c r="C897" s="164" t="s">
        <v>278</v>
      </c>
      <c r="D897" s="164" t="s">
        <v>6</v>
      </c>
      <c r="E897" s="79">
        <v>44713</v>
      </c>
      <c r="F897" s="6" t="s">
        <v>16</v>
      </c>
      <c r="G897" s="6" t="s">
        <v>2720</v>
      </c>
      <c r="H897" s="170">
        <v>40061</v>
      </c>
      <c r="I897" s="172">
        <f t="shared" ref="I897:I960" si="44">IFERROR((($H897/1.18))/74,"")</f>
        <v>458.7837837837838</v>
      </c>
      <c r="J897" s="162">
        <v>44732</v>
      </c>
      <c r="K897" s="6" t="s">
        <v>252</v>
      </c>
      <c r="L897" s="162">
        <v>44732</v>
      </c>
      <c r="M897" s="175" t="s">
        <v>6101</v>
      </c>
      <c r="N897" s="6" t="s">
        <v>2721</v>
      </c>
      <c r="O897" s="6" t="s">
        <v>356</v>
      </c>
      <c r="P897" s="6" t="str">
        <f t="shared" si="42"/>
        <v>SAFe que</v>
      </c>
      <c r="Q897" t="str">
        <f t="shared" si="43"/>
        <v>2022</v>
      </c>
    </row>
    <row r="898" spans="1:17">
      <c r="A898" s="162">
        <v>44732</v>
      </c>
      <c r="B898" s="164" t="s">
        <v>2628</v>
      </c>
      <c r="C898" s="164" t="s">
        <v>278</v>
      </c>
      <c r="D898" s="164" t="s">
        <v>6</v>
      </c>
      <c r="E898" s="79">
        <v>44713</v>
      </c>
      <c r="F898" s="6" t="s">
        <v>16</v>
      </c>
      <c r="G898" s="6" t="s">
        <v>2720</v>
      </c>
      <c r="H898" s="170">
        <v>40061</v>
      </c>
      <c r="I898" s="172">
        <f t="shared" si="44"/>
        <v>458.7837837837838</v>
      </c>
      <c r="J898" s="162">
        <v>44732</v>
      </c>
      <c r="K898" s="6" t="s">
        <v>253</v>
      </c>
      <c r="L898" s="162">
        <v>44733</v>
      </c>
      <c r="M898" s="175" t="s">
        <v>6102</v>
      </c>
      <c r="N898" s="6" t="s">
        <v>2721</v>
      </c>
      <c r="O898" s="6" t="s">
        <v>356</v>
      </c>
      <c r="P898" s="6" t="str">
        <f t="shared" ref="P898:P961" si="45">IFERROR(_xlfn.IFS($D898="CSM","Category",$D898="CSPO","Category", $D898="PSM","SAFe que",$D898="PSPO","SAFe que",$D898="SAFe Agile","SAFe que",$D898="SAFe SSM","SAFe que",$D898="SAFe POPM","SAFe que",$D898="SASM","SAFe que",$D898="PMI-ACP","Category",$D898="ICP-ACC","SAFe que",$D898="PSM 2","SAFe que",$D898="SAFe RTE","SAFe que",$D898="Implementing SAFe","SAFe que",$D898="SAFe for Government","SAFe que",$D898="PSPO 2","SAFe que",$D898="",""),"NonCategory")</f>
        <v>SAFe que</v>
      </c>
      <c r="Q898" t="str">
        <f t="shared" ref="Q898:Q961" si="46">TEXT(E898, "yyyy")</f>
        <v>2022</v>
      </c>
    </row>
    <row r="899" spans="1:17">
      <c r="A899" s="162">
        <v>44732</v>
      </c>
      <c r="B899" s="164" t="s">
        <v>2723</v>
      </c>
      <c r="C899" s="164" t="s">
        <v>278</v>
      </c>
      <c r="D899" s="164" t="s">
        <v>6</v>
      </c>
      <c r="E899" s="79">
        <v>44713</v>
      </c>
      <c r="F899" s="6" t="s">
        <v>16</v>
      </c>
      <c r="G899" s="6" t="s">
        <v>2720</v>
      </c>
      <c r="H899" s="170">
        <v>40061</v>
      </c>
      <c r="I899" s="172">
        <f t="shared" si="44"/>
        <v>458.7837837837838</v>
      </c>
      <c r="J899" s="162">
        <v>44732</v>
      </c>
      <c r="K899" s="6" t="s">
        <v>253</v>
      </c>
      <c r="L899" s="162">
        <v>44733</v>
      </c>
      <c r="M899" s="175" t="s">
        <v>6103</v>
      </c>
      <c r="N899" s="6" t="s">
        <v>2721</v>
      </c>
      <c r="O899" s="6" t="s">
        <v>356</v>
      </c>
      <c r="P899" s="6" t="str">
        <f t="shared" si="45"/>
        <v>SAFe que</v>
      </c>
      <c r="Q899" t="str">
        <f t="shared" si="46"/>
        <v>2022</v>
      </c>
    </row>
    <row r="900" spans="1:17">
      <c r="A900" s="162">
        <v>44732</v>
      </c>
      <c r="B900" s="164" t="s">
        <v>2729</v>
      </c>
      <c r="C900" s="164" t="s">
        <v>278</v>
      </c>
      <c r="D900" s="164" t="s">
        <v>6</v>
      </c>
      <c r="E900" s="79">
        <v>44713</v>
      </c>
      <c r="F900" s="6" t="s">
        <v>16</v>
      </c>
      <c r="G900" s="6" t="s">
        <v>2720</v>
      </c>
      <c r="H900" s="170">
        <v>40061</v>
      </c>
      <c r="I900" s="172">
        <f t="shared" si="44"/>
        <v>458.7837837837838</v>
      </c>
      <c r="J900" s="162">
        <v>44732</v>
      </c>
      <c r="K900" s="6" t="s">
        <v>253</v>
      </c>
      <c r="L900" s="162">
        <v>44739</v>
      </c>
      <c r="M900" s="175" t="s">
        <v>6104</v>
      </c>
      <c r="N900" s="6" t="s">
        <v>2721</v>
      </c>
      <c r="O900" s="6" t="s">
        <v>356</v>
      </c>
      <c r="P900" s="6" t="str">
        <f t="shared" si="45"/>
        <v>SAFe que</v>
      </c>
      <c r="Q900" t="str">
        <f t="shared" si="46"/>
        <v>2022</v>
      </c>
    </row>
    <row r="901" spans="1:17">
      <c r="A901" s="162">
        <v>44733</v>
      </c>
      <c r="B901" s="164" t="s">
        <v>2733</v>
      </c>
      <c r="C901" s="164" t="s">
        <v>306</v>
      </c>
      <c r="D901" s="164" t="s">
        <v>25</v>
      </c>
      <c r="E901" s="79">
        <v>44713</v>
      </c>
      <c r="F901" s="6" t="s">
        <v>16</v>
      </c>
      <c r="G901" s="6" t="s">
        <v>2633</v>
      </c>
      <c r="H901" s="170">
        <v>40061</v>
      </c>
      <c r="I901" s="172">
        <f t="shared" si="44"/>
        <v>458.7837837837838</v>
      </c>
      <c r="J901" s="162">
        <v>44733</v>
      </c>
      <c r="K901" s="6" t="s">
        <v>253</v>
      </c>
      <c r="L901" s="162">
        <v>44734</v>
      </c>
      <c r="M901" s="175" t="s">
        <v>6105</v>
      </c>
      <c r="O901" s="6" t="s">
        <v>280</v>
      </c>
      <c r="P901" s="6" t="str">
        <f t="shared" si="45"/>
        <v>SAFe que</v>
      </c>
      <c r="Q901" t="str">
        <f t="shared" si="46"/>
        <v>2022</v>
      </c>
    </row>
    <row r="902" spans="1:17">
      <c r="A902" s="162">
        <v>44735</v>
      </c>
      <c r="B902" s="164" t="s">
        <v>2738</v>
      </c>
      <c r="C902" s="164" t="s">
        <v>303</v>
      </c>
      <c r="D902" s="164" t="s">
        <v>151</v>
      </c>
      <c r="E902" s="79">
        <v>44713</v>
      </c>
      <c r="F902" s="6" t="s">
        <v>16</v>
      </c>
      <c r="G902" s="6" t="s">
        <v>2633</v>
      </c>
      <c r="H902" s="170">
        <v>21000</v>
      </c>
      <c r="I902" s="172">
        <f t="shared" si="44"/>
        <v>240.49473202015577</v>
      </c>
      <c r="J902" s="162">
        <v>44735</v>
      </c>
      <c r="K902" s="6" t="s">
        <v>253</v>
      </c>
      <c r="L902" s="162">
        <v>44735</v>
      </c>
      <c r="M902" s="175" t="s">
        <v>6106</v>
      </c>
      <c r="O902" s="6" t="s">
        <v>280</v>
      </c>
      <c r="P902" s="6" t="str">
        <f t="shared" si="45"/>
        <v>SAFe que</v>
      </c>
      <c r="Q902" t="str">
        <f t="shared" si="46"/>
        <v>2022</v>
      </c>
    </row>
    <row r="903" spans="1:17">
      <c r="A903" s="162">
        <v>44735</v>
      </c>
      <c r="B903" s="164" t="s">
        <v>2740</v>
      </c>
      <c r="C903" s="164" t="s">
        <v>278</v>
      </c>
      <c r="D903" s="164" t="s">
        <v>151</v>
      </c>
      <c r="E903" s="79">
        <v>44713</v>
      </c>
      <c r="F903" s="6" t="s">
        <v>16</v>
      </c>
      <c r="G903" s="6" t="s">
        <v>2633</v>
      </c>
      <c r="H903" s="170">
        <v>21000</v>
      </c>
      <c r="I903" s="172">
        <f t="shared" si="44"/>
        <v>240.49473202015577</v>
      </c>
      <c r="J903" s="162">
        <v>44735</v>
      </c>
      <c r="K903" s="6" t="s">
        <v>253</v>
      </c>
      <c r="L903" s="162">
        <v>44735</v>
      </c>
      <c r="M903" s="175" t="s">
        <v>6107</v>
      </c>
      <c r="N903" s="6" t="s">
        <v>2742</v>
      </c>
      <c r="O903" s="6" t="s">
        <v>280</v>
      </c>
      <c r="P903" s="6" t="str">
        <f t="shared" si="45"/>
        <v>SAFe que</v>
      </c>
      <c r="Q903" t="str">
        <f t="shared" si="46"/>
        <v>2022</v>
      </c>
    </row>
    <row r="904" spans="1:17">
      <c r="A904" s="162">
        <v>44735</v>
      </c>
      <c r="B904" s="164" t="s">
        <v>2743</v>
      </c>
      <c r="C904" s="164" t="s">
        <v>303</v>
      </c>
      <c r="D904" s="164" t="s">
        <v>150</v>
      </c>
      <c r="E904" s="79">
        <v>44713</v>
      </c>
      <c r="F904" s="6" t="s">
        <v>16</v>
      </c>
      <c r="G904" s="6" t="s">
        <v>2633</v>
      </c>
      <c r="H904" s="170">
        <v>21000</v>
      </c>
      <c r="I904" s="172">
        <f t="shared" si="44"/>
        <v>240.49473202015577</v>
      </c>
      <c r="J904" s="162">
        <v>44735</v>
      </c>
      <c r="K904" s="6" t="s">
        <v>253</v>
      </c>
      <c r="L904" s="162">
        <v>44735</v>
      </c>
      <c r="M904" s="175" t="s">
        <v>6108</v>
      </c>
      <c r="O904" s="6" t="s">
        <v>356</v>
      </c>
      <c r="P904" s="6" t="str">
        <f t="shared" si="45"/>
        <v>SAFe que</v>
      </c>
      <c r="Q904" t="str">
        <f t="shared" si="46"/>
        <v>2022</v>
      </c>
    </row>
    <row r="905" spans="1:17">
      <c r="A905" s="162">
        <v>44735</v>
      </c>
      <c r="B905" s="164" t="s">
        <v>2745</v>
      </c>
      <c r="C905" s="164" t="s">
        <v>303</v>
      </c>
      <c r="D905" s="164" t="s">
        <v>25</v>
      </c>
      <c r="E905" s="79">
        <v>44713</v>
      </c>
      <c r="F905" s="6" t="s">
        <v>16</v>
      </c>
      <c r="G905" s="6" t="s">
        <v>2633</v>
      </c>
      <c r="H905" s="170">
        <v>40061</v>
      </c>
      <c r="I905" s="172">
        <f t="shared" si="44"/>
        <v>458.7837837837838</v>
      </c>
      <c r="J905" s="162">
        <v>44735</v>
      </c>
      <c r="K905" s="6" t="s">
        <v>253</v>
      </c>
      <c r="L905" s="162">
        <v>44735</v>
      </c>
      <c r="M905" s="175" t="s">
        <v>6109</v>
      </c>
      <c r="O905" s="6" t="s">
        <v>280</v>
      </c>
      <c r="P905" s="6" t="str">
        <f t="shared" si="45"/>
        <v>SAFe que</v>
      </c>
      <c r="Q905" t="str">
        <f t="shared" si="46"/>
        <v>2022</v>
      </c>
    </row>
    <row r="906" spans="1:17">
      <c r="A906" s="162">
        <v>44736</v>
      </c>
      <c r="B906" s="164" t="s">
        <v>2747</v>
      </c>
      <c r="C906" s="164" t="s">
        <v>470</v>
      </c>
      <c r="D906" s="164" t="s">
        <v>2749</v>
      </c>
      <c r="E906" s="79">
        <v>44713</v>
      </c>
      <c r="F906" s="6" t="s">
        <v>16</v>
      </c>
      <c r="G906" s="6" t="s">
        <v>21</v>
      </c>
      <c r="H906" s="170">
        <v>26000</v>
      </c>
      <c r="I906" s="172">
        <f t="shared" si="44"/>
        <v>297.75538250114522</v>
      </c>
      <c r="J906" s="162">
        <v>44736</v>
      </c>
      <c r="K906" s="6" t="s">
        <v>253</v>
      </c>
      <c r="L906" s="162">
        <v>44737</v>
      </c>
      <c r="M906" s="175" t="s">
        <v>6110</v>
      </c>
      <c r="O906" s="6" t="s">
        <v>356</v>
      </c>
      <c r="P906" s="6" t="str">
        <f t="shared" si="45"/>
        <v>NonCategory</v>
      </c>
      <c r="Q906" t="str">
        <f t="shared" si="46"/>
        <v>2022</v>
      </c>
    </row>
    <row r="907" spans="1:17">
      <c r="A907" s="162">
        <v>44738</v>
      </c>
      <c r="B907" s="164" t="s">
        <v>2750</v>
      </c>
      <c r="C907" s="164" t="s">
        <v>287</v>
      </c>
      <c r="D907" s="164" t="s">
        <v>150</v>
      </c>
      <c r="E907" s="79">
        <v>44713</v>
      </c>
      <c r="F907" s="6" t="s">
        <v>16</v>
      </c>
      <c r="G907" s="6" t="s">
        <v>2752</v>
      </c>
      <c r="H907" s="170">
        <v>21000</v>
      </c>
      <c r="I907" s="172">
        <f t="shared" si="44"/>
        <v>240.49473202015577</v>
      </c>
      <c r="J907" s="162">
        <v>44738</v>
      </c>
      <c r="K907" s="6" t="s">
        <v>253</v>
      </c>
      <c r="L907" s="162">
        <v>44738</v>
      </c>
      <c r="M907" s="175" t="s">
        <v>6111</v>
      </c>
      <c r="O907" s="6" t="s">
        <v>280</v>
      </c>
      <c r="P907" s="6" t="str">
        <f t="shared" si="45"/>
        <v>SAFe que</v>
      </c>
      <c r="Q907" t="str">
        <f t="shared" si="46"/>
        <v>2022</v>
      </c>
    </row>
    <row r="908" spans="1:17">
      <c r="A908" s="162">
        <v>44739</v>
      </c>
      <c r="B908" s="164" t="s">
        <v>2753</v>
      </c>
      <c r="C908" s="164" t="s">
        <v>291</v>
      </c>
      <c r="D908" s="164" t="s">
        <v>7</v>
      </c>
      <c r="E908" s="79">
        <v>44713</v>
      </c>
      <c r="F908" s="6" t="s">
        <v>16</v>
      </c>
      <c r="G908" s="6" t="s">
        <v>2755</v>
      </c>
      <c r="H908" s="170">
        <v>40061</v>
      </c>
      <c r="I908" s="172">
        <f t="shared" si="44"/>
        <v>458.7837837837838</v>
      </c>
      <c r="J908" s="162">
        <v>44738</v>
      </c>
      <c r="K908" s="6" t="s">
        <v>253</v>
      </c>
      <c r="L908" s="162">
        <v>44740</v>
      </c>
      <c r="M908" s="175" t="s">
        <v>6112</v>
      </c>
      <c r="O908" s="6" t="s">
        <v>356</v>
      </c>
      <c r="P908" s="6" t="str">
        <f t="shared" si="45"/>
        <v>SAFe que</v>
      </c>
      <c r="Q908" t="str">
        <f t="shared" si="46"/>
        <v>2022</v>
      </c>
    </row>
    <row r="909" spans="1:17">
      <c r="A909" s="162">
        <v>44739</v>
      </c>
      <c r="B909" s="164" t="s">
        <v>2756</v>
      </c>
      <c r="C909" s="164" t="s">
        <v>319</v>
      </c>
      <c r="D909" s="164" t="s">
        <v>150</v>
      </c>
      <c r="E909" s="79">
        <v>44713</v>
      </c>
      <c r="F909" s="6" t="s">
        <v>16</v>
      </c>
      <c r="G909" s="6" t="s">
        <v>2755</v>
      </c>
      <c r="H909" s="170">
        <v>21000</v>
      </c>
      <c r="I909" s="172">
        <f t="shared" si="44"/>
        <v>240.49473202015577</v>
      </c>
      <c r="J909" s="162">
        <v>44740</v>
      </c>
      <c r="K909" s="6" t="s">
        <v>253</v>
      </c>
      <c r="L909" s="162">
        <v>44741</v>
      </c>
      <c r="M909" s="175" t="s">
        <v>6113</v>
      </c>
      <c r="O909" s="6" t="s">
        <v>280</v>
      </c>
      <c r="P909" s="6" t="str">
        <f t="shared" si="45"/>
        <v>SAFe que</v>
      </c>
      <c r="Q909" t="str">
        <f t="shared" si="46"/>
        <v>2022</v>
      </c>
    </row>
    <row r="910" spans="1:17">
      <c r="A910" s="162">
        <v>44741</v>
      </c>
      <c r="B910" s="164" t="s">
        <v>2758</v>
      </c>
      <c r="C910" s="164" t="s">
        <v>287</v>
      </c>
      <c r="D910" s="164" t="s">
        <v>6</v>
      </c>
      <c r="E910" s="79">
        <v>44713</v>
      </c>
      <c r="F910" s="6" t="s">
        <v>16</v>
      </c>
      <c r="G910" s="6" t="s">
        <v>2720</v>
      </c>
      <c r="H910" s="170">
        <v>42000</v>
      </c>
      <c r="I910" s="172">
        <f t="shared" si="44"/>
        <v>480.98946404031153</v>
      </c>
      <c r="J910" s="162">
        <v>44741</v>
      </c>
      <c r="K910" s="6" t="s">
        <v>253</v>
      </c>
      <c r="L910" s="162">
        <v>44741</v>
      </c>
      <c r="M910" s="175" t="s">
        <v>6114</v>
      </c>
      <c r="O910" s="6" t="s">
        <v>356</v>
      </c>
      <c r="P910" s="6" t="str">
        <f t="shared" si="45"/>
        <v>SAFe que</v>
      </c>
      <c r="Q910" t="str">
        <f t="shared" si="46"/>
        <v>2022</v>
      </c>
    </row>
    <row r="911" spans="1:17">
      <c r="A911" s="162">
        <v>44741</v>
      </c>
      <c r="B911" s="164" t="s">
        <v>2760</v>
      </c>
      <c r="C911" s="164" t="s">
        <v>470</v>
      </c>
      <c r="D911" s="164" t="s">
        <v>25</v>
      </c>
      <c r="E911" s="79">
        <v>44713</v>
      </c>
      <c r="F911" s="6" t="s">
        <v>16</v>
      </c>
      <c r="G911" s="6" t="s">
        <v>2737</v>
      </c>
      <c r="H911" s="170">
        <v>42000</v>
      </c>
      <c r="I911" s="172">
        <f t="shared" si="44"/>
        <v>480.98946404031153</v>
      </c>
      <c r="J911" s="162">
        <v>44741</v>
      </c>
      <c r="K911" s="6" t="s">
        <v>253</v>
      </c>
      <c r="L911" s="162">
        <v>44741</v>
      </c>
      <c r="M911" s="175" t="s">
        <v>6115</v>
      </c>
      <c r="O911" s="6" t="s">
        <v>280</v>
      </c>
      <c r="P911" s="6" t="str">
        <f t="shared" si="45"/>
        <v>SAFe que</v>
      </c>
      <c r="Q911" t="str">
        <f t="shared" si="46"/>
        <v>2022</v>
      </c>
    </row>
    <row r="912" spans="1:17">
      <c r="A912" s="162">
        <v>44741</v>
      </c>
      <c r="B912" s="164" t="s">
        <v>2762</v>
      </c>
      <c r="C912" s="164" t="s">
        <v>278</v>
      </c>
      <c r="D912" s="164" t="s">
        <v>25</v>
      </c>
      <c r="E912" s="79">
        <v>44713</v>
      </c>
      <c r="F912" s="6" t="s">
        <v>16</v>
      </c>
      <c r="G912" s="6" t="s">
        <v>2737</v>
      </c>
      <c r="H912" s="170">
        <v>40061</v>
      </c>
      <c r="I912" s="172">
        <f t="shared" si="44"/>
        <v>458.7837837837838</v>
      </c>
      <c r="J912" s="162">
        <v>44741</v>
      </c>
      <c r="K912" s="6" t="s">
        <v>253</v>
      </c>
      <c r="L912" s="162">
        <v>44741</v>
      </c>
      <c r="M912" s="175" t="s">
        <v>6116</v>
      </c>
      <c r="N912" s="6" t="s">
        <v>2606</v>
      </c>
      <c r="O912" s="6" t="s">
        <v>280</v>
      </c>
      <c r="P912" s="6" t="str">
        <f t="shared" si="45"/>
        <v>SAFe que</v>
      </c>
      <c r="Q912" t="str">
        <f t="shared" si="46"/>
        <v>2022</v>
      </c>
    </row>
    <row r="913" spans="1:17">
      <c r="A913" s="162">
        <v>44742</v>
      </c>
      <c r="B913" s="164" t="s">
        <v>2764</v>
      </c>
      <c r="C913" s="164" t="s">
        <v>291</v>
      </c>
      <c r="D913" s="164" t="s">
        <v>150</v>
      </c>
      <c r="E913" s="79">
        <v>44713</v>
      </c>
      <c r="F913" s="6" t="s">
        <v>16</v>
      </c>
      <c r="G913" s="6" t="s">
        <v>2755</v>
      </c>
      <c r="H913" s="170">
        <v>21000</v>
      </c>
      <c r="I913" s="172">
        <f t="shared" si="44"/>
        <v>240.49473202015577</v>
      </c>
      <c r="J913" s="162">
        <v>44742</v>
      </c>
      <c r="K913" s="6" t="s">
        <v>253</v>
      </c>
      <c r="L913" s="162">
        <v>44742</v>
      </c>
      <c r="M913" s="175" t="s">
        <v>6117</v>
      </c>
      <c r="O913" s="6" t="s">
        <v>280</v>
      </c>
      <c r="P913" s="6" t="str">
        <f t="shared" si="45"/>
        <v>SAFe que</v>
      </c>
      <c r="Q913" t="str">
        <f t="shared" si="46"/>
        <v>2022</v>
      </c>
    </row>
    <row r="914" spans="1:17">
      <c r="A914" s="162">
        <v>44743</v>
      </c>
      <c r="B914" s="164" t="s">
        <v>2766</v>
      </c>
      <c r="C914" s="164" t="s">
        <v>297</v>
      </c>
      <c r="D914" s="164" t="s">
        <v>7</v>
      </c>
      <c r="E914" s="79">
        <v>44743</v>
      </c>
      <c r="F914" s="6" t="s">
        <v>16</v>
      </c>
      <c r="G914" s="6" t="s">
        <v>2755</v>
      </c>
      <c r="H914" s="170">
        <v>42000</v>
      </c>
      <c r="I914" s="172">
        <f t="shared" si="44"/>
        <v>480.98946404031153</v>
      </c>
      <c r="J914" s="162">
        <v>44743</v>
      </c>
      <c r="K914" s="6" t="s">
        <v>251</v>
      </c>
      <c r="L914" s="162">
        <v>44743</v>
      </c>
      <c r="M914" s="175" t="s">
        <v>6118</v>
      </c>
      <c r="O914" s="6" t="s">
        <v>280</v>
      </c>
      <c r="P914" s="6" t="str">
        <f t="shared" si="45"/>
        <v>SAFe que</v>
      </c>
      <c r="Q914" t="str">
        <f t="shared" si="46"/>
        <v>2022</v>
      </c>
    </row>
    <row r="915" spans="1:17">
      <c r="A915" s="162">
        <v>44743</v>
      </c>
      <c r="B915" s="164" t="s">
        <v>2768</v>
      </c>
      <c r="C915" s="164" t="s">
        <v>2770</v>
      </c>
      <c r="D915" s="164" t="s">
        <v>1524</v>
      </c>
      <c r="E915" s="79">
        <v>44743</v>
      </c>
      <c r="F915" s="6" t="s">
        <v>16</v>
      </c>
      <c r="G915" s="6" t="s">
        <v>2689</v>
      </c>
      <c r="H915" s="170">
        <v>24000</v>
      </c>
      <c r="I915" s="172">
        <f t="shared" si="44"/>
        <v>274.85112230874944</v>
      </c>
      <c r="J915" s="162">
        <v>44743</v>
      </c>
      <c r="K915" s="6" t="s">
        <v>251</v>
      </c>
      <c r="L915" s="162">
        <v>44743</v>
      </c>
      <c r="M915" s="175" t="s">
        <v>6119</v>
      </c>
      <c r="O915" s="6" t="s">
        <v>280</v>
      </c>
      <c r="P915" s="6" t="str">
        <f t="shared" si="45"/>
        <v>SAFe que</v>
      </c>
      <c r="Q915" t="str">
        <f t="shared" si="46"/>
        <v>2022</v>
      </c>
    </row>
    <row r="916" spans="1:17">
      <c r="A916" s="162">
        <v>44743</v>
      </c>
      <c r="B916" s="164" t="s">
        <v>2773</v>
      </c>
      <c r="C916" s="164" t="s">
        <v>287</v>
      </c>
      <c r="D916" s="164" t="s">
        <v>97</v>
      </c>
      <c r="E916" s="79">
        <v>44743</v>
      </c>
      <c r="F916" s="6" t="s">
        <v>16</v>
      </c>
      <c r="G916" s="6" t="s">
        <v>2755</v>
      </c>
      <c r="H916" s="170">
        <v>20000</v>
      </c>
      <c r="I916" s="172">
        <f t="shared" si="44"/>
        <v>229.04260192395787</v>
      </c>
      <c r="J916" s="162">
        <v>44743</v>
      </c>
      <c r="K916" s="6" t="s">
        <v>251</v>
      </c>
      <c r="L916" s="162">
        <v>44743</v>
      </c>
      <c r="M916" s="175" t="s">
        <v>6120</v>
      </c>
      <c r="O916" s="6" t="s">
        <v>280</v>
      </c>
      <c r="P916" s="6" t="str">
        <f t="shared" si="45"/>
        <v>Category</v>
      </c>
      <c r="Q916" t="str">
        <f t="shared" si="46"/>
        <v>2022</v>
      </c>
    </row>
    <row r="917" spans="1:17">
      <c r="A917" s="162">
        <v>44744</v>
      </c>
      <c r="B917" s="164" t="s">
        <v>2775</v>
      </c>
      <c r="C917" s="164" t="s">
        <v>306</v>
      </c>
      <c r="D917" s="164" t="s">
        <v>96</v>
      </c>
      <c r="E917" s="79">
        <v>44743</v>
      </c>
      <c r="F917" s="6" t="s">
        <v>16</v>
      </c>
      <c r="G917" s="6" t="s">
        <v>2777</v>
      </c>
      <c r="H917" s="170">
        <v>20000</v>
      </c>
      <c r="I917" s="172">
        <f t="shared" si="44"/>
        <v>229.04260192395787</v>
      </c>
      <c r="J917" s="162">
        <v>44744</v>
      </c>
      <c r="K917" s="6" t="s">
        <v>251</v>
      </c>
      <c r="L917" s="162">
        <v>44744</v>
      </c>
      <c r="M917" s="175" t="s">
        <v>6121</v>
      </c>
      <c r="O917" s="6" t="s">
        <v>356</v>
      </c>
      <c r="P917" s="6" t="str">
        <f t="shared" si="45"/>
        <v>Category</v>
      </c>
      <c r="Q917" t="str">
        <f t="shared" si="46"/>
        <v>2022</v>
      </c>
    </row>
    <row r="918" spans="1:17">
      <c r="A918" s="162">
        <v>44744</v>
      </c>
      <c r="B918" s="164" t="s">
        <v>2778</v>
      </c>
      <c r="C918" s="164" t="s">
        <v>303</v>
      </c>
      <c r="D918" s="164" t="s">
        <v>151</v>
      </c>
      <c r="E918" s="79">
        <v>44743</v>
      </c>
      <c r="F918" s="6" t="s">
        <v>16</v>
      </c>
      <c r="G918" s="6" t="s">
        <v>2737</v>
      </c>
      <c r="H918" s="170">
        <v>21000</v>
      </c>
      <c r="I918" s="172">
        <f t="shared" si="44"/>
        <v>240.49473202015577</v>
      </c>
      <c r="J918" s="162">
        <v>44744</v>
      </c>
      <c r="K918" s="6" t="s">
        <v>251</v>
      </c>
      <c r="L918" s="162">
        <v>44744</v>
      </c>
      <c r="M918" s="175" t="s">
        <v>6122</v>
      </c>
      <c r="O918" s="6" t="s">
        <v>280</v>
      </c>
      <c r="P918" s="6" t="str">
        <f t="shared" si="45"/>
        <v>SAFe que</v>
      </c>
      <c r="Q918" t="str">
        <f t="shared" si="46"/>
        <v>2022</v>
      </c>
    </row>
    <row r="919" spans="1:17">
      <c r="A919" s="162">
        <v>44744</v>
      </c>
      <c r="B919" s="164" t="s">
        <v>2780</v>
      </c>
      <c r="C919" s="164" t="s">
        <v>287</v>
      </c>
      <c r="D919" s="164" t="s">
        <v>25</v>
      </c>
      <c r="E919" s="79">
        <v>44743</v>
      </c>
      <c r="F919" s="6" t="s">
        <v>16</v>
      </c>
      <c r="G919" s="6" t="s">
        <v>2737</v>
      </c>
      <c r="H919" s="170">
        <v>42000</v>
      </c>
      <c r="I919" s="172">
        <f t="shared" si="44"/>
        <v>480.98946404031153</v>
      </c>
      <c r="J919" s="162">
        <v>44744</v>
      </c>
      <c r="K919" s="6" t="s">
        <v>251</v>
      </c>
      <c r="L919" s="162">
        <v>44744</v>
      </c>
      <c r="M919" s="175" t="s">
        <v>6123</v>
      </c>
      <c r="O919" s="6" t="s">
        <v>280</v>
      </c>
      <c r="P919" s="6" t="str">
        <f t="shared" si="45"/>
        <v>SAFe que</v>
      </c>
      <c r="Q919" t="str">
        <f t="shared" si="46"/>
        <v>2022</v>
      </c>
    </row>
    <row r="920" spans="1:17">
      <c r="A920" s="162">
        <v>44746</v>
      </c>
      <c r="B920" s="164" t="s">
        <v>2782</v>
      </c>
      <c r="C920" s="164" t="s">
        <v>306</v>
      </c>
      <c r="D920" s="164" t="s">
        <v>150</v>
      </c>
      <c r="E920" s="79">
        <v>44743</v>
      </c>
      <c r="F920" s="6" t="s">
        <v>16</v>
      </c>
      <c r="G920" s="6" t="s">
        <v>2784</v>
      </c>
      <c r="H920" s="170">
        <v>20500</v>
      </c>
      <c r="I920" s="172">
        <f t="shared" si="44"/>
        <v>234.76866697205682</v>
      </c>
      <c r="J920" s="162">
        <v>44746</v>
      </c>
      <c r="K920" s="6" t="s">
        <v>251</v>
      </c>
      <c r="L920" s="162">
        <v>44747</v>
      </c>
      <c r="M920" s="175" t="s">
        <v>6124</v>
      </c>
      <c r="O920" s="6" t="s">
        <v>280</v>
      </c>
      <c r="P920" s="6" t="str">
        <f t="shared" si="45"/>
        <v>SAFe que</v>
      </c>
      <c r="Q920" t="str">
        <f t="shared" si="46"/>
        <v>2022</v>
      </c>
    </row>
    <row r="921" spans="1:17">
      <c r="A921" s="162">
        <v>44747</v>
      </c>
      <c r="B921" s="164" t="s">
        <v>2785</v>
      </c>
      <c r="C921" s="164" t="s">
        <v>278</v>
      </c>
      <c r="D921" s="164" t="s">
        <v>1184</v>
      </c>
      <c r="E921" s="79">
        <v>44743</v>
      </c>
      <c r="F921" s="6" t="s">
        <v>16</v>
      </c>
      <c r="G921" s="96">
        <v>44751</v>
      </c>
      <c r="H921" s="170">
        <v>37000</v>
      </c>
      <c r="I921" s="172">
        <f t="shared" si="44"/>
        <v>423.72881355932202</v>
      </c>
      <c r="J921" s="162">
        <v>44747</v>
      </c>
      <c r="K921" s="6" t="s">
        <v>251</v>
      </c>
      <c r="L921" s="162">
        <v>44747</v>
      </c>
      <c r="M921" s="175" t="s">
        <v>6125</v>
      </c>
      <c r="N921" s="6" t="s">
        <v>2156</v>
      </c>
      <c r="O921" s="6" t="s">
        <v>356</v>
      </c>
      <c r="P921" s="6" t="str">
        <f t="shared" si="45"/>
        <v>NonCategory</v>
      </c>
      <c r="Q921" t="str">
        <f t="shared" si="46"/>
        <v>2022</v>
      </c>
    </row>
    <row r="922" spans="1:17">
      <c r="A922" s="162">
        <v>44749</v>
      </c>
      <c r="B922" s="164" t="s">
        <v>2787</v>
      </c>
      <c r="C922" s="164" t="s">
        <v>2789</v>
      </c>
      <c r="D922" s="164" t="s">
        <v>25</v>
      </c>
      <c r="E922" s="79">
        <v>44743</v>
      </c>
      <c r="F922" s="6" t="s">
        <v>16</v>
      </c>
      <c r="G922" s="6" t="s">
        <v>2689</v>
      </c>
      <c r="H922" s="170">
        <v>40000</v>
      </c>
      <c r="I922" s="172">
        <f t="shared" si="44"/>
        <v>458.08520384791575</v>
      </c>
      <c r="J922" s="162">
        <v>44749</v>
      </c>
      <c r="K922" s="6" t="s">
        <v>251</v>
      </c>
      <c r="L922" s="162">
        <v>44749</v>
      </c>
      <c r="M922" s="175" t="s">
        <v>6126</v>
      </c>
      <c r="O922" s="6" t="s">
        <v>356</v>
      </c>
      <c r="P922" s="6" t="str">
        <f t="shared" si="45"/>
        <v>SAFe que</v>
      </c>
      <c r="Q922" t="str">
        <f t="shared" si="46"/>
        <v>2022</v>
      </c>
    </row>
    <row r="923" spans="1:17">
      <c r="A923" s="163">
        <v>44728</v>
      </c>
      <c r="B923" s="165" t="s">
        <v>2790</v>
      </c>
      <c r="C923" s="165" t="s">
        <v>287</v>
      </c>
      <c r="D923" s="165" t="s">
        <v>6</v>
      </c>
      <c r="E923" s="123">
        <v>44713</v>
      </c>
      <c r="F923" s="2" t="s">
        <v>16</v>
      </c>
      <c r="G923" s="2" t="s">
        <v>2737</v>
      </c>
      <c r="H923" s="171">
        <v>42000</v>
      </c>
      <c r="I923" s="173">
        <f t="shared" si="44"/>
        <v>480.98946404031153</v>
      </c>
      <c r="J923" s="163">
        <v>44758</v>
      </c>
      <c r="K923" s="2" t="s">
        <v>252</v>
      </c>
      <c r="L923" s="163">
        <v>44728</v>
      </c>
      <c r="M923" s="175" t="s">
        <v>6127</v>
      </c>
      <c r="O923" s="6" t="s">
        <v>280</v>
      </c>
      <c r="P923" s="6" t="str">
        <f t="shared" si="45"/>
        <v>SAFe que</v>
      </c>
      <c r="Q923" t="str">
        <f t="shared" si="46"/>
        <v>2022</v>
      </c>
    </row>
    <row r="924" spans="1:17">
      <c r="A924" s="162">
        <v>44750</v>
      </c>
      <c r="B924" s="164" t="s">
        <v>2792</v>
      </c>
      <c r="C924" s="164" t="s">
        <v>291</v>
      </c>
      <c r="D924" s="164" t="s">
        <v>96</v>
      </c>
      <c r="E924" s="79">
        <v>44743</v>
      </c>
      <c r="F924" s="6" t="s">
        <v>16</v>
      </c>
      <c r="G924" s="6" t="s">
        <v>2737</v>
      </c>
      <c r="H924" s="170">
        <v>20000</v>
      </c>
      <c r="I924" s="173">
        <f t="shared" si="44"/>
        <v>229.04260192395787</v>
      </c>
      <c r="J924" s="162">
        <v>44750</v>
      </c>
      <c r="K924" s="6" t="s">
        <v>251</v>
      </c>
      <c r="L924" s="162">
        <v>44750</v>
      </c>
      <c r="M924" s="175" t="s">
        <v>6128</v>
      </c>
      <c r="O924" s="6" t="s">
        <v>280</v>
      </c>
      <c r="P924" s="6" t="str">
        <f t="shared" si="45"/>
        <v>Category</v>
      </c>
      <c r="Q924" t="str">
        <f t="shared" si="46"/>
        <v>2022</v>
      </c>
    </row>
    <row r="925" spans="1:17">
      <c r="A925" s="162">
        <v>44750</v>
      </c>
      <c r="B925" s="164" t="s">
        <v>2794</v>
      </c>
      <c r="C925" s="164" t="s">
        <v>278</v>
      </c>
      <c r="D925" s="164" t="s">
        <v>150</v>
      </c>
      <c r="E925" s="79">
        <v>44743</v>
      </c>
      <c r="F925" s="6" t="s">
        <v>16</v>
      </c>
      <c r="G925" s="6" t="s">
        <v>2737</v>
      </c>
      <c r="H925" s="170">
        <v>21000</v>
      </c>
      <c r="I925" s="173">
        <f t="shared" si="44"/>
        <v>240.49473202015577</v>
      </c>
      <c r="J925" s="162">
        <v>44750</v>
      </c>
      <c r="K925" s="6" t="s">
        <v>251</v>
      </c>
      <c r="L925" s="162">
        <v>44750</v>
      </c>
      <c r="M925" s="175" t="s">
        <v>6129</v>
      </c>
      <c r="O925" s="6" t="s">
        <v>280</v>
      </c>
      <c r="P925" s="6" t="str">
        <f t="shared" si="45"/>
        <v>SAFe que</v>
      </c>
      <c r="Q925" t="str">
        <f t="shared" si="46"/>
        <v>2022</v>
      </c>
    </row>
    <row r="926" spans="1:17">
      <c r="A926" s="162">
        <v>44750</v>
      </c>
      <c r="B926" s="164" t="s">
        <v>2796</v>
      </c>
      <c r="C926" s="164" t="s">
        <v>319</v>
      </c>
      <c r="D926" s="164" t="s">
        <v>150</v>
      </c>
      <c r="E926" s="79">
        <v>44743</v>
      </c>
      <c r="F926" s="6" t="s">
        <v>16</v>
      </c>
      <c r="G926" s="6" t="s">
        <v>2694</v>
      </c>
      <c r="H926" s="170">
        <v>21000</v>
      </c>
      <c r="I926" s="173">
        <f t="shared" si="44"/>
        <v>240.49473202015577</v>
      </c>
      <c r="J926" s="162">
        <v>44750</v>
      </c>
      <c r="K926" s="6" t="s">
        <v>251</v>
      </c>
      <c r="L926" s="162">
        <v>44750</v>
      </c>
      <c r="M926" s="175" t="s">
        <v>6130</v>
      </c>
      <c r="O926" s="6" t="s">
        <v>280</v>
      </c>
      <c r="P926" s="6" t="str">
        <f t="shared" si="45"/>
        <v>SAFe que</v>
      </c>
      <c r="Q926" t="str">
        <f t="shared" si="46"/>
        <v>2022</v>
      </c>
    </row>
    <row r="927" spans="1:17">
      <c r="A927" s="162">
        <v>44750</v>
      </c>
      <c r="B927" s="165" t="s">
        <v>2798</v>
      </c>
      <c r="C927" s="165" t="s">
        <v>297</v>
      </c>
      <c r="D927" s="164" t="s">
        <v>151</v>
      </c>
      <c r="E927" s="79">
        <v>44743</v>
      </c>
      <c r="F927" s="6" t="s">
        <v>16</v>
      </c>
      <c r="G927" s="6" t="s">
        <v>2737</v>
      </c>
      <c r="H927" s="170">
        <v>28558</v>
      </c>
      <c r="I927" s="173">
        <f t="shared" si="44"/>
        <v>327.04993128721947</v>
      </c>
      <c r="J927" s="162">
        <v>44750</v>
      </c>
      <c r="K927" s="6" t="s">
        <v>251</v>
      </c>
      <c r="L927" s="162">
        <v>44750</v>
      </c>
      <c r="M927" s="175" t="s">
        <v>2800</v>
      </c>
      <c r="O927" s="6" t="s">
        <v>280</v>
      </c>
      <c r="P927" s="6" t="str">
        <f t="shared" si="45"/>
        <v>SAFe que</v>
      </c>
      <c r="Q927" t="str">
        <f t="shared" si="46"/>
        <v>2022</v>
      </c>
    </row>
    <row r="928" spans="1:17">
      <c r="A928" s="162">
        <v>44751</v>
      </c>
      <c r="B928" s="164" t="s">
        <v>2801</v>
      </c>
      <c r="C928" s="164" t="s">
        <v>278</v>
      </c>
      <c r="D928" s="164" t="s">
        <v>97</v>
      </c>
      <c r="E928" s="79">
        <v>44743</v>
      </c>
      <c r="F928" s="6" t="s">
        <v>16</v>
      </c>
      <c r="G928" s="6" t="s">
        <v>2803</v>
      </c>
      <c r="H928" s="170">
        <v>20000</v>
      </c>
      <c r="I928" s="172">
        <f t="shared" si="44"/>
        <v>229.04260192395787</v>
      </c>
      <c r="J928" s="162">
        <v>44751</v>
      </c>
      <c r="K928" s="6" t="s">
        <v>252</v>
      </c>
      <c r="L928" s="162">
        <v>44753</v>
      </c>
      <c r="M928" s="175" t="s">
        <v>6131</v>
      </c>
      <c r="O928" s="6" t="s">
        <v>356</v>
      </c>
      <c r="P928" s="6" t="str">
        <f t="shared" si="45"/>
        <v>Category</v>
      </c>
      <c r="Q928" t="str">
        <f t="shared" si="46"/>
        <v>2022</v>
      </c>
    </row>
    <row r="929" spans="1:17">
      <c r="A929" s="162">
        <v>44753</v>
      </c>
      <c r="B929" s="164" t="s">
        <v>2804</v>
      </c>
      <c r="C929" s="164" t="s">
        <v>278</v>
      </c>
      <c r="D929" s="164" t="s">
        <v>96</v>
      </c>
      <c r="E929" s="79">
        <v>44743</v>
      </c>
      <c r="F929" s="6" t="s">
        <v>16</v>
      </c>
      <c r="G929" s="6" t="s">
        <v>2689</v>
      </c>
      <c r="H929" s="170">
        <v>20000</v>
      </c>
      <c r="I929" s="172">
        <f t="shared" si="44"/>
        <v>229.04260192395787</v>
      </c>
      <c r="J929" s="162">
        <v>44753</v>
      </c>
      <c r="K929" s="6" t="s">
        <v>252</v>
      </c>
      <c r="L929" s="162">
        <v>44753</v>
      </c>
      <c r="M929" s="175" t="s">
        <v>6132</v>
      </c>
      <c r="O929" s="6" t="s">
        <v>280</v>
      </c>
      <c r="P929" s="6" t="str">
        <f t="shared" si="45"/>
        <v>Category</v>
      </c>
      <c r="Q929" t="str">
        <f t="shared" si="46"/>
        <v>2022</v>
      </c>
    </row>
    <row r="930" spans="1:17">
      <c r="A930" s="162">
        <v>44753</v>
      </c>
      <c r="B930" s="164" t="s">
        <v>2806</v>
      </c>
      <c r="C930" s="164" t="s">
        <v>287</v>
      </c>
      <c r="D930" s="164" t="s">
        <v>1524</v>
      </c>
      <c r="E930" s="79">
        <v>44743</v>
      </c>
      <c r="F930" s="6" t="s">
        <v>16</v>
      </c>
      <c r="G930" s="6" t="s">
        <v>2689</v>
      </c>
      <c r="H930" s="170">
        <v>24000</v>
      </c>
      <c r="I930" s="172">
        <f t="shared" si="44"/>
        <v>274.85112230874944</v>
      </c>
      <c r="J930" s="162">
        <v>44753</v>
      </c>
      <c r="K930" s="6" t="s">
        <v>252</v>
      </c>
      <c r="L930" s="162">
        <v>44753</v>
      </c>
      <c r="M930" s="175" t="s">
        <v>6133</v>
      </c>
      <c r="O930" s="6" t="s">
        <v>280</v>
      </c>
      <c r="P930" s="6" t="str">
        <f t="shared" si="45"/>
        <v>SAFe que</v>
      </c>
      <c r="Q930" t="str">
        <f t="shared" si="46"/>
        <v>2022</v>
      </c>
    </row>
    <row r="931" spans="1:17">
      <c r="A931" s="162">
        <v>44753</v>
      </c>
      <c r="B931" s="164" t="s">
        <v>2808</v>
      </c>
      <c r="C931" s="164" t="s">
        <v>319</v>
      </c>
      <c r="D931" s="164" t="s">
        <v>25</v>
      </c>
      <c r="E931" s="79">
        <v>44743</v>
      </c>
      <c r="F931" s="6" t="s">
        <v>16</v>
      </c>
      <c r="G931" s="6" t="s">
        <v>2694</v>
      </c>
      <c r="H931" s="170">
        <v>40061</v>
      </c>
      <c r="I931" s="172">
        <f t="shared" si="44"/>
        <v>458.7837837837838</v>
      </c>
      <c r="J931" s="162">
        <v>44753</v>
      </c>
      <c r="K931" s="6" t="s">
        <v>252</v>
      </c>
      <c r="L931" s="162">
        <v>44753</v>
      </c>
      <c r="M931" s="175" t="s">
        <v>6134</v>
      </c>
      <c r="O931" s="6" t="s">
        <v>280</v>
      </c>
      <c r="P931" s="6" t="str">
        <f t="shared" si="45"/>
        <v>SAFe que</v>
      </c>
      <c r="Q931" t="str">
        <f t="shared" si="46"/>
        <v>2022</v>
      </c>
    </row>
    <row r="932" spans="1:17">
      <c r="A932" s="162">
        <v>44754</v>
      </c>
      <c r="B932" s="164" t="s">
        <v>2810</v>
      </c>
      <c r="C932" s="164" t="s">
        <v>278</v>
      </c>
      <c r="D932" s="164" t="s">
        <v>976</v>
      </c>
      <c r="E932" s="79">
        <v>44743</v>
      </c>
      <c r="F932" s="6" t="s">
        <v>16</v>
      </c>
      <c r="G932" s="96">
        <v>44758</v>
      </c>
      <c r="H932" s="170">
        <v>20000</v>
      </c>
      <c r="I932" s="172">
        <f t="shared" si="44"/>
        <v>229.04260192395787</v>
      </c>
      <c r="J932" s="162">
        <v>44754</v>
      </c>
      <c r="K932" s="6" t="s">
        <v>252</v>
      </c>
      <c r="L932" s="162">
        <v>44756</v>
      </c>
      <c r="M932" s="175" t="s">
        <v>6135</v>
      </c>
      <c r="O932" s="6" t="s">
        <v>356</v>
      </c>
      <c r="P932" s="6" t="str">
        <f t="shared" si="45"/>
        <v>NonCategory</v>
      </c>
      <c r="Q932" t="str">
        <f t="shared" si="46"/>
        <v>2022</v>
      </c>
    </row>
    <row r="933" spans="1:17">
      <c r="A933" s="162">
        <v>44754</v>
      </c>
      <c r="B933" s="164" t="s">
        <v>2812</v>
      </c>
      <c r="C933" s="164" t="s">
        <v>278</v>
      </c>
      <c r="D933" s="164" t="s">
        <v>1524</v>
      </c>
      <c r="E933" s="79">
        <v>44743</v>
      </c>
      <c r="F933" s="6" t="s">
        <v>16</v>
      </c>
      <c r="G933" s="6" t="s">
        <v>2689</v>
      </c>
      <c r="H933" s="170">
        <v>24000</v>
      </c>
      <c r="I933" s="172">
        <f t="shared" si="44"/>
        <v>274.85112230874944</v>
      </c>
      <c r="J933" s="162">
        <v>44754</v>
      </c>
      <c r="K933" s="6" t="s">
        <v>252</v>
      </c>
      <c r="L933" s="162">
        <v>44754</v>
      </c>
      <c r="M933" s="175" t="s">
        <v>6136</v>
      </c>
      <c r="O933" s="6" t="s">
        <v>280</v>
      </c>
      <c r="P933" s="6" t="str">
        <f t="shared" si="45"/>
        <v>SAFe que</v>
      </c>
      <c r="Q933" t="str">
        <f t="shared" si="46"/>
        <v>2022</v>
      </c>
    </row>
    <row r="934" spans="1:17">
      <c r="A934" s="162">
        <v>44754</v>
      </c>
      <c r="B934" s="164" t="s">
        <v>2814</v>
      </c>
      <c r="C934" s="164" t="s">
        <v>278</v>
      </c>
      <c r="D934" s="164" t="s">
        <v>976</v>
      </c>
      <c r="E934" s="79">
        <v>44743</v>
      </c>
      <c r="F934" s="6" t="s">
        <v>16</v>
      </c>
      <c r="G934" s="96">
        <v>44758</v>
      </c>
      <c r="H934" s="170">
        <v>21000</v>
      </c>
      <c r="I934" s="172">
        <f t="shared" si="44"/>
        <v>240.49473202015577</v>
      </c>
      <c r="J934" s="162">
        <v>44754</v>
      </c>
      <c r="K934" s="6" t="s">
        <v>252</v>
      </c>
      <c r="L934" s="162">
        <v>44755</v>
      </c>
      <c r="M934" s="175" t="s">
        <v>6137</v>
      </c>
      <c r="O934" s="6" t="s">
        <v>356</v>
      </c>
      <c r="P934" s="6" t="str">
        <f t="shared" si="45"/>
        <v>NonCategory</v>
      </c>
      <c r="Q934" t="str">
        <f t="shared" si="46"/>
        <v>2022</v>
      </c>
    </row>
    <row r="935" spans="1:17">
      <c r="A935" s="162">
        <v>44754</v>
      </c>
      <c r="B935" s="164" t="s">
        <v>2816</v>
      </c>
      <c r="C935" s="164" t="s">
        <v>1731</v>
      </c>
      <c r="D935" s="164" t="s">
        <v>96</v>
      </c>
      <c r="E935" s="79">
        <v>44743</v>
      </c>
      <c r="F935" s="6" t="s">
        <v>16</v>
      </c>
      <c r="G935" s="96">
        <v>44760</v>
      </c>
      <c r="H935" s="170">
        <v>49000</v>
      </c>
      <c r="I935" s="172">
        <f t="shared" si="44"/>
        <v>561.15437471369682</v>
      </c>
      <c r="J935" s="162">
        <v>44754</v>
      </c>
      <c r="K935" s="6" t="s">
        <v>252</v>
      </c>
      <c r="L935" s="162">
        <v>44757</v>
      </c>
      <c r="M935" s="175" t="s">
        <v>6138</v>
      </c>
      <c r="O935" s="6" t="s">
        <v>356</v>
      </c>
      <c r="P935" s="6" t="str">
        <f t="shared" si="45"/>
        <v>Category</v>
      </c>
      <c r="Q935" t="str">
        <f t="shared" si="46"/>
        <v>2022</v>
      </c>
    </row>
    <row r="936" spans="1:17">
      <c r="A936" s="162">
        <v>44755</v>
      </c>
      <c r="B936" s="164" t="s">
        <v>2818</v>
      </c>
      <c r="C936" s="164" t="s">
        <v>287</v>
      </c>
      <c r="D936" s="164" t="s">
        <v>1524</v>
      </c>
      <c r="E936" s="79">
        <v>44743</v>
      </c>
      <c r="F936" s="6" t="s">
        <v>16</v>
      </c>
      <c r="G936" s="6" t="s">
        <v>2689</v>
      </c>
      <c r="H936" s="170">
        <v>24000</v>
      </c>
      <c r="I936" s="172">
        <f t="shared" si="44"/>
        <v>274.85112230874944</v>
      </c>
      <c r="J936" s="162">
        <v>44755</v>
      </c>
      <c r="K936" s="6" t="s">
        <v>252</v>
      </c>
      <c r="L936" s="162">
        <v>44755</v>
      </c>
      <c r="M936" s="175" t="s">
        <v>6139</v>
      </c>
      <c r="O936" s="6" t="s">
        <v>280</v>
      </c>
      <c r="P936" s="6" t="str">
        <f t="shared" si="45"/>
        <v>SAFe que</v>
      </c>
      <c r="Q936" t="str">
        <f t="shared" si="46"/>
        <v>2022</v>
      </c>
    </row>
    <row r="937" spans="1:17">
      <c r="A937" s="162">
        <v>44756</v>
      </c>
      <c r="B937" s="164" t="s">
        <v>2822</v>
      </c>
      <c r="C937" s="164" t="s">
        <v>303</v>
      </c>
      <c r="D937" s="164" t="s">
        <v>151</v>
      </c>
      <c r="E937" s="79">
        <v>44743</v>
      </c>
      <c r="F937" s="6" t="s">
        <v>16</v>
      </c>
      <c r="G937" s="6" t="s">
        <v>2689</v>
      </c>
      <c r="H937" s="170">
        <v>21000</v>
      </c>
      <c r="I937" s="172">
        <f t="shared" si="44"/>
        <v>240.49473202015577</v>
      </c>
      <c r="J937" s="162">
        <v>44756</v>
      </c>
      <c r="K937" s="6" t="s">
        <v>252</v>
      </c>
      <c r="L937" s="162">
        <v>44756</v>
      </c>
      <c r="M937" s="175" t="s">
        <v>6140</v>
      </c>
      <c r="O937" s="6" t="s">
        <v>280</v>
      </c>
      <c r="P937" s="6" t="str">
        <f t="shared" si="45"/>
        <v>SAFe que</v>
      </c>
      <c r="Q937" t="str">
        <f t="shared" si="46"/>
        <v>2022</v>
      </c>
    </row>
    <row r="938" spans="1:17">
      <c r="A938" s="162">
        <v>44756</v>
      </c>
      <c r="B938" s="164" t="s">
        <v>2824</v>
      </c>
      <c r="C938" s="164" t="s">
        <v>287</v>
      </c>
      <c r="D938" s="164" t="s">
        <v>25</v>
      </c>
      <c r="E938" s="79">
        <v>44743</v>
      </c>
      <c r="F938" s="6" t="s">
        <v>16</v>
      </c>
      <c r="G938" s="6" t="s">
        <v>2826</v>
      </c>
      <c r="H938" s="170">
        <v>42000</v>
      </c>
      <c r="I938" s="172">
        <f t="shared" si="44"/>
        <v>480.98946404031153</v>
      </c>
      <c r="J938" s="162">
        <v>44756</v>
      </c>
      <c r="K938" s="6" t="s">
        <v>252</v>
      </c>
      <c r="L938" s="162">
        <v>44758</v>
      </c>
      <c r="M938" s="175" t="s">
        <v>6141</v>
      </c>
      <c r="O938" s="6" t="s">
        <v>280</v>
      </c>
      <c r="P938" s="6" t="str">
        <f t="shared" si="45"/>
        <v>SAFe que</v>
      </c>
      <c r="Q938" t="str">
        <f t="shared" si="46"/>
        <v>2022</v>
      </c>
    </row>
    <row r="939" spans="1:17">
      <c r="A939" s="162">
        <v>44756</v>
      </c>
      <c r="B939" s="164" t="s">
        <v>2827</v>
      </c>
      <c r="C939" s="164" t="s">
        <v>287</v>
      </c>
      <c r="D939" s="164" t="s">
        <v>25</v>
      </c>
      <c r="E939" s="79">
        <v>44743</v>
      </c>
      <c r="F939" s="6" t="s">
        <v>16</v>
      </c>
      <c r="G939" s="6" t="s">
        <v>2694</v>
      </c>
      <c r="H939" s="170">
        <v>42000</v>
      </c>
      <c r="I939" s="172">
        <f t="shared" si="44"/>
        <v>480.98946404031153</v>
      </c>
      <c r="J939" s="162">
        <v>44756</v>
      </c>
      <c r="K939" s="6" t="s">
        <v>252</v>
      </c>
      <c r="L939" s="162">
        <v>44756</v>
      </c>
      <c r="M939" s="175" t="s">
        <v>6142</v>
      </c>
      <c r="O939" s="6" t="s">
        <v>356</v>
      </c>
      <c r="P939" s="6" t="str">
        <f t="shared" si="45"/>
        <v>SAFe que</v>
      </c>
      <c r="Q939" t="str">
        <f t="shared" si="46"/>
        <v>2022</v>
      </c>
    </row>
    <row r="940" spans="1:17">
      <c r="A940" s="162">
        <v>44757</v>
      </c>
      <c r="B940" s="164" t="s">
        <v>2829</v>
      </c>
      <c r="C940" s="164" t="s">
        <v>319</v>
      </c>
      <c r="D940" s="164" t="s">
        <v>25</v>
      </c>
      <c r="E940" s="79">
        <v>44743</v>
      </c>
      <c r="F940" s="6" t="s">
        <v>16</v>
      </c>
      <c r="G940" s="6" t="s">
        <v>2694</v>
      </c>
      <c r="H940" s="170">
        <v>40061</v>
      </c>
      <c r="I940" s="172">
        <f t="shared" si="44"/>
        <v>458.7837837837838</v>
      </c>
      <c r="J940" s="162">
        <v>44757</v>
      </c>
      <c r="K940" s="6" t="s">
        <v>252</v>
      </c>
      <c r="L940" s="162">
        <v>44757</v>
      </c>
      <c r="M940" s="175" t="s">
        <v>6143</v>
      </c>
      <c r="O940" s="6" t="s">
        <v>280</v>
      </c>
      <c r="P940" s="6" t="str">
        <f t="shared" si="45"/>
        <v>SAFe que</v>
      </c>
      <c r="Q940" t="str">
        <f t="shared" si="46"/>
        <v>2022</v>
      </c>
    </row>
    <row r="941" spans="1:17">
      <c r="A941" s="162">
        <v>44757</v>
      </c>
      <c r="B941" s="164" t="s">
        <v>2831</v>
      </c>
      <c r="C941" s="164" t="s">
        <v>303</v>
      </c>
      <c r="D941" s="164" t="s">
        <v>151</v>
      </c>
      <c r="E941" s="79">
        <v>44743</v>
      </c>
      <c r="F941" s="6" t="s">
        <v>16</v>
      </c>
      <c r="G941" s="6" t="s">
        <v>2694</v>
      </c>
      <c r="H941" s="170">
        <v>21000</v>
      </c>
      <c r="I941" s="172">
        <f t="shared" si="44"/>
        <v>240.49473202015577</v>
      </c>
      <c r="J941" s="162">
        <v>44757</v>
      </c>
      <c r="K941" s="6" t="s">
        <v>252</v>
      </c>
      <c r="L941" s="162">
        <v>44757</v>
      </c>
      <c r="M941" s="175" t="s">
        <v>6144</v>
      </c>
      <c r="O941" s="6" t="s">
        <v>356</v>
      </c>
      <c r="P941" s="6" t="str">
        <f t="shared" si="45"/>
        <v>SAFe que</v>
      </c>
      <c r="Q941" t="str">
        <f t="shared" si="46"/>
        <v>2022</v>
      </c>
    </row>
    <row r="942" spans="1:17">
      <c r="A942" s="162">
        <v>44760</v>
      </c>
      <c r="B942" s="164" t="s">
        <v>2835</v>
      </c>
      <c r="C942" s="164" t="s">
        <v>303</v>
      </c>
      <c r="D942" s="164" t="s">
        <v>96</v>
      </c>
      <c r="E942" s="79">
        <v>44743</v>
      </c>
      <c r="F942" s="6" t="s">
        <v>16</v>
      </c>
      <c r="G942" s="6" t="s">
        <v>2837</v>
      </c>
      <c r="H942" s="170">
        <v>20000</v>
      </c>
      <c r="I942" s="172">
        <f t="shared" si="44"/>
        <v>229.04260192395787</v>
      </c>
      <c r="J942" s="162">
        <v>44760</v>
      </c>
      <c r="K942" s="6" t="s">
        <v>252</v>
      </c>
      <c r="L942" s="162">
        <v>44760</v>
      </c>
      <c r="M942" s="175" t="s">
        <v>6145</v>
      </c>
      <c r="O942" s="6" t="s">
        <v>356</v>
      </c>
      <c r="P942" s="6" t="str">
        <f t="shared" si="45"/>
        <v>Category</v>
      </c>
      <c r="Q942" t="str">
        <f t="shared" si="46"/>
        <v>2022</v>
      </c>
    </row>
    <row r="943" spans="1:17">
      <c r="A943" s="162">
        <v>44760</v>
      </c>
      <c r="B943" s="164" t="s">
        <v>2838</v>
      </c>
      <c r="C943" s="164" t="s">
        <v>1291</v>
      </c>
      <c r="D943" s="164" t="s">
        <v>150</v>
      </c>
      <c r="E943" s="79">
        <v>44743</v>
      </c>
      <c r="F943" s="6" t="s">
        <v>16</v>
      </c>
      <c r="G943" s="6" t="s">
        <v>2784</v>
      </c>
      <c r="H943" s="170">
        <v>21000</v>
      </c>
      <c r="I943" s="172">
        <f t="shared" si="44"/>
        <v>240.49473202015577</v>
      </c>
      <c r="J943" s="162">
        <v>44760</v>
      </c>
      <c r="K943" s="6" t="s">
        <v>252</v>
      </c>
      <c r="L943" s="162">
        <v>44762</v>
      </c>
      <c r="M943" s="175" t="s">
        <v>6146</v>
      </c>
      <c r="O943" s="6" t="s">
        <v>280</v>
      </c>
      <c r="P943" s="6" t="str">
        <f t="shared" si="45"/>
        <v>SAFe que</v>
      </c>
      <c r="Q943" t="str">
        <f t="shared" si="46"/>
        <v>2022</v>
      </c>
    </row>
    <row r="944" spans="1:17">
      <c r="A944" s="162">
        <v>44761</v>
      </c>
      <c r="B944" s="164" t="s">
        <v>2840</v>
      </c>
      <c r="C944" s="164" t="s">
        <v>287</v>
      </c>
      <c r="D944" s="164" t="s">
        <v>97</v>
      </c>
      <c r="E944" s="79">
        <v>44743</v>
      </c>
      <c r="F944" s="6" t="s">
        <v>16</v>
      </c>
      <c r="G944" s="6" t="s">
        <v>2784</v>
      </c>
      <c r="H944" s="170">
        <v>20000</v>
      </c>
      <c r="I944" s="172">
        <f t="shared" si="44"/>
        <v>229.04260192395787</v>
      </c>
      <c r="J944" s="162">
        <v>44761</v>
      </c>
      <c r="K944" s="6" t="s">
        <v>252</v>
      </c>
      <c r="L944" s="162">
        <v>44761</v>
      </c>
      <c r="M944" s="175" t="s">
        <v>6147</v>
      </c>
      <c r="O944" s="6" t="s">
        <v>280</v>
      </c>
      <c r="P944" s="6" t="str">
        <f t="shared" si="45"/>
        <v>Category</v>
      </c>
      <c r="Q944" t="str">
        <f t="shared" si="46"/>
        <v>2022</v>
      </c>
    </row>
    <row r="945" spans="1:17">
      <c r="A945" s="162">
        <v>44761</v>
      </c>
      <c r="B945" s="164" t="s">
        <v>2842</v>
      </c>
      <c r="C945" s="164" t="s">
        <v>319</v>
      </c>
      <c r="D945" s="164" t="s">
        <v>151</v>
      </c>
      <c r="E945" s="79">
        <v>44743</v>
      </c>
      <c r="F945" s="6" t="s">
        <v>16</v>
      </c>
      <c r="G945" s="6" t="s">
        <v>2689</v>
      </c>
      <c r="H945" s="170">
        <v>21000</v>
      </c>
      <c r="I945" s="172">
        <f t="shared" si="44"/>
        <v>240.49473202015577</v>
      </c>
      <c r="J945" s="162">
        <v>44761</v>
      </c>
      <c r="K945" s="6" t="s">
        <v>252</v>
      </c>
      <c r="L945" s="162">
        <v>44761</v>
      </c>
      <c r="M945" s="175" t="s">
        <v>6148</v>
      </c>
      <c r="O945" s="6" t="s">
        <v>280</v>
      </c>
      <c r="P945" s="6" t="str">
        <f t="shared" si="45"/>
        <v>SAFe que</v>
      </c>
      <c r="Q945" t="str">
        <f t="shared" si="46"/>
        <v>2022</v>
      </c>
    </row>
    <row r="946" spans="1:17">
      <c r="A946" s="162">
        <v>44762</v>
      </c>
      <c r="B946" s="164" t="s">
        <v>2844</v>
      </c>
      <c r="C946" s="164" t="s">
        <v>291</v>
      </c>
      <c r="D946" s="164" t="s">
        <v>150</v>
      </c>
      <c r="E946" s="79">
        <v>44743</v>
      </c>
      <c r="F946" s="6" t="s">
        <v>16</v>
      </c>
      <c r="G946" s="6" t="s">
        <v>2689</v>
      </c>
      <c r="H946" s="170">
        <v>21000</v>
      </c>
      <c r="I946" s="172">
        <f t="shared" si="44"/>
        <v>240.49473202015577</v>
      </c>
      <c r="J946" s="162">
        <v>44762</v>
      </c>
      <c r="K946" s="6" t="s">
        <v>252</v>
      </c>
      <c r="L946" s="162">
        <v>44762</v>
      </c>
      <c r="M946" s="175" t="s">
        <v>6149</v>
      </c>
      <c r="O946" s="6" t="s">
        <v>280</v>
      </c>
      <c r="P946" s="6" t="str">
        <f t="shared" si="45"/>
        <v>SAFe que</v>
      </c>
      <c r="Q946" t="str">
        <f t="shared" si="46"/>
        <v>2022</v>
      </c>
    </row>
    <row r="947" spans="1:17">
      <c r="A947" s="162">
        <v>44762</v>
      </c>
      <c r="B947" s="164" t="s">
        <v>2846</v>
      </c>
      <c r="C947" s="164" t="s">
        <v>291</v>
      </c>
      <c r="D947" s="164" t="s">
        <v>150</v>
      </c>
      <c r="E947" s="79">
        <v>44743</v>
      </c>
      <c r="F947" s="6" t="s">
        <v>16</v>
      </c>
      <c r="G947" s="6" t="s">
        <v>2752</v>
      </c>
      <c r="H947" s="170">
        <v>20500</v>
      </c>
      <c r="I947" s="172">
        <f t="shared" si="44"/>
        <v>234.76866697205682</v>
      </c>
      <c r="J947" s="162">
        <v>44762</v>
      </c>
      <c r="K947" s="6" t="s">
        <v>252</v>
      </c>
      <c r="L947" s="162">
        <v>44762</v>
      </c>
      <c r="M947" s="175" t="s">
        <v>6150</v>
      </c>
      <c r="O947" s="6" t="s">
        <v>356</v>
      </c>
      <c r="P947" s="6" t="str">
        <f t="shared" si="45"/>
        <v>SAFe que</v>
      </c>
      <c r="Q947" t="str">
        <f t="shared" si="46"/>
        <v>2022</v>
      </c>
    </row>
    <row r="948" spans="1:17">
      <c r="A948" s="162">
        <v>44762</v>
      </c>
      <c r="B948" s="164" t="s">
        <v>2848</v>
      </c>
      <c r="C948" s="164" t="s">
        <v>278</v>
      </c>
      <c r="D948" s="164" t="s">
        <v>150</v>
      </c>
      <c r="E948" s="79">
        <v>44743</v>
      </c>
      <c r="F948" s="6" t="s">
        <v>16</v>
      </c>
      <c r="G948" s="6" t="s">
        <v>2752</v>
      </c>
      <c r="H948" s="170">
        <v>20500</v>
      </c>
      <c r="I948" s="172">
        <f t="shared" si="44"/>
        <v>234.76866697205682</v>
      </c>
      <c r="J948" s="162">
        <v>44762</v>
      </c>
      <c r="K948" s="6" t="s">
        <v>252</v>
      </c>
      <c r="L948" s="162">
        <v>44762</v>
      </c>
      <c r="M948" s="175" t="s">
        <v>6151</v>
      </c>
      <c r="N948" s="6" t="s">
        <v>2850</v>
      </c>
      <c r="O948" s="6" t="s">
        <v>356</v>
      </c>
      <c r="P948" s="6" t="str">
        <f t="shared" si="45"/>
        <v>SAFe que</v>
      </c>
      <c r="Q948" t="str">
        <f t="shared" si="46"/>
        <v>2022</v>
      </c>
    </row>
    <row r="949" spans="1:17">
      <c r="A949" s="162">
        <v>44763</v>
      </c>
      <c r="B949" s="164" t="s">
        <v>2851</v>
      </c>
      <c r="C949" s="164" t="s">
        <v>297</v>
      </c>
      <c r="D949" s="164" t="s">
        <v>151</v>
      </c>
      <c r="E949" s="79">
        <v>44743</v>
      </c>
      <c r="F949" s="6" t="s">
        <v>16</v>
      </c>
      <c r="G949" s="6" t="s">
        <v>2689</v>
      </c>
      <c r="H949" s="170">
        <v>21000</v>
      </c>
      <c r="I949" s="172">
        <f t="shared" si="44"/>
        <v>240.49473202015577</v>
      </c>
      <c r="J949" s="162">
        <v>44763</v>
      </c>
      <c r="K949" s="6" t="s">
        <v>253</v>
      </c>
      <c r="L949" s="162">
        <v>44763</v>
      </c>
      <c r="M949" s="175" t="s">
        <v>6152</v>
      </c>
      <c r="O949" s="6" t="s">
        <v>356</v>
      </c>
      <c r="P949" s="6" t="str">
        <f t="shared" si="45"/>
        <v>SAFe que</v>
      </c>
      <c r="Q949" t="str">
        <f t="shared" si="46"/>
        <v>2022</v>
      </c>
    </row>
    <row r="950" spans="1:17">
      <c r="A950" s="162">
        <v>44763</v>
      </c>
      <c r="B950" s="164" t="s">
        <v>2853</v>
      </c>
      <c r="C950" s="164" t="s">
        <v>287</v>
      </c>
      <c r="D950" s="164" t="s">
        <v>1524</v>
      </c>
      <c r="E950" s="79">
        <v>44743</v>
      </c>
      <c r="F950" s="6" t="s">
        <v>16</v>
      </c>
      <c r="G950" s="6" t="s">
        <v>2689</v>
      </c>
      <c r="H950" s="170">
        <v>24000</v>
      </c>
      <c r="I950" s="172">
        <f t="shared" si="44"/>
        <v>274.85112230874944</v>
      </c>
      <c r="J950" s="162">
        <v>44763</v>
      </c>
      <c r="K950" s="6" t="s">
        <v>253</v>
      </c>
      <c r="L950" s="162">
        <v>44763</v>
      </c>
      <c r="M950" s="175" t="s">
        <v>6153</v>
      </c>
      <c r="O950" s="6" t="s">
        <v>356</v>
      </c>
      <c r="P950" s="6" t="str">
        <f t="shared" si="45"/>
        <v>SAFe que</v>
      </c>
      <c r="Q950" t="str">
        <f t="shared" si="46"/>
        <v>2022</v>
      </c>
    </row>
    <row r="951" spans="1:17">
      <c r="A951" s="162">
        <v>44765</v>
      </c>
      <c r="B951" s="164" t="s">
        <v>2855</v>
      </c>
      <c r="C951" s="164" t="s">
        <v>306</v>
      </c>
      <c r="D951" s="164" t="s">
        <v>1524</v>
      </c>
      <c r="E951" s="79">
        <v>44743</v>
      </c>
      <c r="F951" s="6" t="s">
        <v>16</v>
      </c>
      <c r="G951" s="6" t="s">
        <v>2784</v>
      </c>
      <c r="H951" s="170">
        <v>24000</v>
      </c>
      <c r="I951" s="172">
        <f t="shared" si="44"/>
        <v>274.85112230874944</v>
      </c>
      <c r="J951" s="162">
        <v>44765</v>
      </c>
      <c r="K951" s="6" t="s">
        <v>253</v>
      </c>
      <c r="L951" s="162">
        <v>44765</v>
      </c>
      <c r="M951" s="175" t="s">
        <v>6154</v>
      </c>
      <c r="O951" s="6" t="s">
        <v>280</v>
      </c>
      <c r="P951" s="6" t="str">
        <f t="shared" si="45"/>
        <v>SAFe que</v>
      </c>
      <c r="Q951" t="str">
        <f t="shared" si="46"/>
        <v>2022</v>
      </c>
    </row>
    <row r="952" spans="1:17">
      <c r="A952" s="162">
        <v>44767</v>
      </c>
      <c r="B952" s="167" t="s">
        <v>2857</v>
      </c>
      <c r="C952" s="164" t="s">
        <v>303</v>
      </c>
      <c r="D952" s="164" t="s">
        <v>976</v>
      </c>
      <c r="E952" s="79">
        <v>44743</v>
      </c>
      <c r="F952" s="6" t="s">
        <v>16</v>
      </c>
      <c r="G952" s="96">
        <v>44770</v>
      </c>
      <c r="H952" s="170">
        <v>21000</v>
      </c>
      <c r="I952" s="172">
        <f t="shared" si="44"/>
        <v>240.49473202015577</v>
      </c>
      <c r="J952" s="162">
        <v>44767</v>
      </c>
      <c r="K952" s="6" t="s">
        <v>253</v>
      </c>
      <c r="L952" s="162">
        <v>44767</v>
      </c>
      <c r="M952" s="175" t="s">
        <v>6155</v>
      </c>
      <c r="O952" s="6" t="s">
        <v>356</v>
      </c>
      <c r="P952" s="6" t="str">
        <f t="shared" si="45"/>
        <v>NonCategory</v>
      </c>
      <c r="Q952" t="str">
        <f t="shared" si="46"/>
        <v>2022</v>
      </c>
    </row>
    <row r="953" spans="1:17">
      <c r="A953" s="162">
        <v>44767</v>
      </c>
      <c r="B953" s="164" t="s">
        <v>2859</v>
      </c>
      <c r="C953" s="164" t="s">
        <v>278</v>
      </c>
      <c r="D953" s="164" t="s">
        <v>150</v>
      </c>
      <c r="E953" s="79">
        <v>44743</v>
      </c>
      <c r="F953" s="6" t="s">
        <v>16</v>
      </c>
      <c r="G953" s="6" t="s">
        <v>2784</v>
      </c>
      <c r="H953" s="170">
        <v>20500</v>
      </c>
      <c r="I953" s="172">
        <f t="shared" si="44"/>
        <v>234.76866697205682</v>
      </c>
      <c r="J953" s="162">
        <v>44767</v>
      </c>
      <c r="K953" s="6" t="s">
        <v>253</v>
      </c>
      <c r="L953" s="162">
        <v>44767</v>
      </c>
      <c r="M953" s="175" t="s">
        <v>6156</v>
      </c>
      <c r="N953" s="6" t="s">
        <v>2861</v>
      </c>
      <c r="O953" s="6" t="s">
        <v>356</v>
      </c>
      <c r="P953" s="6" t="str">
        <f t="shared" si="45"/>
        <v>SAFe que</v>
      </c>
      <c r="Q953" t="str">
        <f t="shared" si="46"/>
        <v>2022</v>
      </c>
    </row>
    <row r="954" spans="1:17">
      <c r="A954" s="162">
        <v>44767</v>
      </c>
      <c r="B954" s="164" t="s">
        <v>2862</v>
      </c>
      <c r="C954" s="164" t="s">
        <v>278</v>
      </c>
      <c r="D954" s="164" t="s">
        <v>150</v>
      </c>
      <c r="E954" s="79">
        <v>44743</v>
      </c>
      <c r="F954" s="6" t="s">
        <v>16</v>
      </c>
      <c r="G954" s="6" t="s">
        <v>2784</v>
      </c>
      <c r="H954" s="170">
        <v>20500</v>
      </c>
      <c r="I954" s="172">
        <f t="shared" si="44"/>
        <v>234.76866697205682</v>
      </c>
      <c r="J954" s="162">
        <v>44767</v>
      </c>
      <c r="K954" s="6" t="s">
        <v>253</v>
      </c>
      <c r="L954" s="162">
        <v>44767</v>
      </c>
      <c r="M954" s="175" t="s">
        <v>6157</v>
      </c>
      <c r="N954" s="6" t="s">
        <v>2861</v>
      </c>
      <c r="O954" s="6" t="s">
        <v>280</v>
      </c>
      <c r="P954" s="6" t="str">
        <f t="shared" si="45"/>
        <v>SAFe que</v>
      </c>
      <c r="Q954" t="str">
        <f t="shared" si="46"/>
        <v>2022</v>
      </c>
    </row>
    <row r="955" spans="1:17">
      <c r="A955" s="162">
        <v>44768</v>
      </c>
      <c r="B955" s="164" t="s">
        <v>2864</v>
      </c>
      <c r="C955" s="164" t="s">
        <v>278</v>
      </c>
      <c r="D955" s="164" t="s">
        <v>96</v>
      </c>
      <c r="E955" s="79">
        <v>44743</v>
      </c>
      <c r="F955" s="6" t="s">
        <v>16</v>
      </c>
      <c r="G955" s="6" t="s">
        <v>2752</v>
      </c>
      <c r="H955" s="170">
        <v>20000</v>
      </c>
      <c r="I955" s="172">
        <f t="shared" si="44"/>
        <v>229.04260192395787</v>
      </c>
      <c r="J955" s="162">
        <v>44768</v>
      </c>
      <c r="K955" s="6" t="s">
        <v>253</v>
      </c>
      <c r="L955" s="162">
        <v>44768</v>
      </c>
      <c r="M955" s="175" t="s">
        <v>6158</v>
      </c>
      <c r="N955" s="6" t="s">
        <v>2210</v>
      </c>
      <c r="O955" s="6" t="s">
        <v>280</v>
      </c>
      <c r="P955" s="6" t="str">
        <f t="shared" si="45"/>
        <v>Category</v>
      </c>
      <c r="Q955" t="str">
        <f t="shared" si="46"/>
        <v>2022</v>
      </c>
    </row>
    <row r="956" spans="1:17">
      <c r="A956" s="162">
        <v>44769</v>
      </c>
      <c r="B956" s="164" t="s">
        <v>2866</v>
      </c>
      <c r="C956" s="164" t="s">
        <v>278</v>
      </c>
      <c r="D956" s="164" t="s">
        <v>2868</v>
      </c>
      <c r="E956" s="79">
        <v>44743</v>
      </c>
      <c r="F956" s="6" t="s">
        <v>16</v>
      </c>
      <c r="G956" s="96">
        <v>44803</v>
      </c>
      <c r="H956" s="170">
        <v>15000</v>
      </c>
      <c r="I956" s="172">
        <f t="shared" si="44"/>
        <v>171.78195144296839</v>
      </c>
      <c r="J956" s="162">
        <v>44769</v>
      </c>
      <c r="K956" s="6" t="s">
        <v>253</v>
      </c>
      <c r="L956" s="162">
        <v>44770</v>
      </c>
      <c r="M956" s="175" t="s">
        <v>6159</v>
      </c>
      <c r="N956" s="6" t="s">
        <v>2869</v>
      </c>
      <c r="O956" s="6" t="s">
        <v>356</v>
      </c>
      <c r="P956" s="6" t="str">
        <f t="shared" si="45"/>
        <v>NonCategory</v>
      </c>
      <c r="Q956" t="str">
        <f t="shared" si="46"/>
        <v>2022</v>
      </c>
    </row>
    <row r="957" spans="1:17">
      <c r="A957" s="162">
        <v>44769</v>
      </c>
      <c r="B957" s="164" t="s">
        <v>2866</v>
      </c>
      <c r="C957" s="164" t="s">
        <v>278</v>
      </c>
      <c r="D957" s="164" t="s">
        <v>2868</v>
      </c>
      <c r="E957" s="79">
        <v>44743</v>
      </c>
      <c r="F957" s="6" t="s">
        <v>16</v>
      </c>
      <c r="G957" s="96">
        <v>44803</v>
      </c>
      <c r="H957" s="170">
        <v>85000</v>
      </c>
      <c r="I957" s="172">
        <f t="shared" si="44"/>
        <v>973.4310581768209</v>
      </c>
      <c r="J957" s="162">
        <v>44769</v>
      </c>
      <c r="K957" s="6" t="s">
        <v>253</v>
      </c>
      <c r="L957" s="162">
        <v>44771</v>
      </c>
      <c r="M957" s="175" t="s">
        <v>6160</v>
      </c>
      <c r="N957" s="6" t="s">
        <v>2869</v>
      </c>
      <c r="O957" s="6" t="s">
        <v>356</v>
      </c>
      <c r="P957" s="6" t="str">
        <f t="shared" si="45"/>
        <v>NonCategory</v>
      </c>
      <c r="Q957" t="str">
        <f t="shared" si="46"/>
        <v>2022</v>
      </c>
    </row>
    <row r="958" spans="1:17">
      <c r="A958" s="162">
        <v>44769</v>
      </c>
      <c r="B958" s="164" t="s">
        <v>2870</v>
      </c>
      <c r="C958" s="164" t="s">
        <v>278</v>
      </c>
      <c r="D958" s="164" t="s">
        <v>150</v>
      </c>
      <c r="E958" s="79">
        <v>44743</v>
      </c>
      <c r="F958" s="6" t="s">
        <v>16</v>
      </c>
      <c r="G958" s="6" t="s">
        <v>2826</v>
      </c>
      <c r="H958" s="170">
        <v>20500</v>
      </c>
      <c r="I958" s="172">
        <f t="shared" si="44"/>
        <v>234.76866697205682</v>
      </c>
      <c r="J958" s="162">
        <v>44769</v>
      </c>
      <c r="K958" s="6" t="s">
        <v>253</v>
      </c>
      <c r="L958" s="162">
        <v>44769</v>
      </c>
      <c r="M958" s="175" t="s">
        <v>6161</v>
      </c>
      <c r="N958" s="6" t="s">
        <v>2872</v>
      </c>
      <c r="O958" s="6" t="s">
        <v>280</v>
      </c>
      <c r="P958" s="6" t="str">
        <f t="shared" si="45"/>
        <v>SAFe que</v>
      </c>
      <c r="Q958" t="str">
        <f t="shared" si="46"/>
        <v>2022</v>
      </c>
    </row>
    <row r="959" spans="1:17">
      <c r="A959" s="162">
        <v>44770</v>
      </c>
      <c r="B959" s="164" t="s">
        <v>2873</v>
      </c>
      <c r="C959" s="164" t="s">
        <v>319</v>
      </c>
      <c r="D959" s="164" t="s">
        <v>150</v>
      </c>
      <c r="E959" s="79">
        <v>44743</v>
      </c>
      <c r="F959" s="6" t="s">
        <v>16</v>
      </c>
      <c r="G959" s="6" t="s">
        <v>2826</v>
      </c>
      <c r="H959" s="170">
        <v>21000</v>
      </c>
      <c r="I959" s="172">
        <f t="shared" si="44"/>
        <v>240.49473202015577</v>
      </c>
      <c r="J959" s="162">
        <v>44770</v>
      </c>
      <c r="K959" s="6" t="s">
        <v>253</v>
      </c>
      <c r="L959" s="162">
        <v>44770</v>
      </c>
      <c r="M959" s="175" t="s">
        <v>6162</v>
      </c>
      <c r="O959" s="6" t="s">
        <v>280</v>
      </c>
      <c r="P959" s="6" t="str">
        <f t="shared" si="45"/>
        <v>SAFe que</v>
      </c>
      <c r="Q959" t="str">
        <f t="shared" si="46"/>
        <v>2022</v>
      </c>
    </row>
    <row r="960" spans="1:17">
      <c r="A960" s="162">
        <v>44770</v>
      </c>
      <c r="B960" s="164" t="s">
        <v>2875</v>
      </c>
      <c r="C960" s="164" t="s">
        <v>470</v>
      </c>
      <c r="D960" s="164" t="s">
        <v>96</v>
      </c>
      <c r="E960" s="79">
        <v>44743</v>
      </c>
      <c r="F960" s="6" t="s">
        <v>16</v>
      </c>
      <c r="G960" s="6" t="s">
        <v>2877</v>
      </c>
      <c r="H960" s="170">
        <v>20000</v>
      </c>
      <c r="I960" s="172">
        <f t="shared" si="44"/>
        <v>229.04260192395787</v>
      </c>
      <c r="J960" s="162">
        <v>44770</v>
      </c>
      <c r="K960" s="6" t="s">
        <v>253</v>
      </c>
      <c r="L960" s="162">
        <v>44770</v>
      </c>
      <c r="M960" s="175" t="s">
        <v>6163</v>
      </c>
      <c r="O960" s="6" t="s">
        <v>280</v>
      </c>
      <c r="P960" s="6" t="str">
        <f t="shared" si="45"/>
        <v>Category</v>
      </c>
      <c r="Q960" t="str">
        <f t="shared" si="46"/>
        <v>2022</v>
      </c>
    </row>
    <row r="961" spans="1:17">
      <c r="A961" s="162">
        <v>44771</v>
      </c>
      <c r="B961" s="164" t="s">
        <v>2878</v>
      </c>
      <c r="C961" s="164" t="s">
        <v>470</v>
      </c>
      <c r="D961" s="164" t="s">
        <v>97</v>
      </c>
      <c r="E961" s="79">
        <v>44743</v>
      </c>
      <c r="F961" s="6" t="s">
        <v>16</v>
      </c>
      <c r="G961" s="6" t="s">
        <v>2784</v>
      </c>
      <c r="H961" s="170">
        <v>20000</v>
      </c>
      <c r="I961" s="172">
        <f t="shared" ref="I961:I1024" si="47">IFERROR((($H961/1.18))/74,"")</f>
        <v>229.04260192395787</v>
      </c>
      <c r="J961" s="162">
        <v>44771</v>
      </c>
      <c r="K961" s="6" t="s">
        <v>253</v>
      </c>
      <c r="L961" s="162">
        <v>44772</v>
      </c>
      <c r="M961" s="175" t="s">
        <v>6164</v>
      </c>
      <c r="O961" s="6" t="s">
        <v>280</v>
      </c>
      <c r="P961" s="6" t="str">
        <f t="shared" si="45"/>
        <v>Category</v>
      </c>
      <c r="Q961" t="str">
        <f t="shared" si="46"/>
        <v>2022</v>
      </c>
    </row>
    <row r="962" spans="1:17">
      <c r="A962" s="162">
        <v>44771</v>
      </c>
      <c r="B962" s="164" t="s">
        <v>2880</v>
      </c>
      <c r="C962" s="164" t="s">
        <v>278</v>
      </c>
      <c r="D962" s="164" t="s">
        <v>1524</v>
      </c>
      <c r="E962" s="79">
        <v>44743</v>
      </c>
      <c r="F962" s="6" t="s">
        <v>16</v>
      </c>
      <c r="G962" s="6" t="s">
        <v>2882</v>
      </c>
      <c r="H962" s="170">
        <v>24000</v>
      </c>
      <c r="I962" s="172">
        <f t="shared" si="47"/>
        <v>274.85112230874944</v>
      </c>
      <c r="J962" s="162">
        <v>44771</v>
      </c>
      <c r="K962" s="6" t="s">
        <v>253</v>
      </c>
      <c r="L962" s="162">
        <v>44771</v>
      </c>
      <c r="M962" s="175" t="s">
        <v>6165</v>
      </c>
      <c r="N962" s="6" t="s">
        <v>2883</v>
      </c>
      <c r="O962" s="6" t="s">
        <v>280</v>
      </c>
      <c r="P962" s="6" t="str">
        <f t="shared" ref="P962:P1025" si="48">IFERROR(_xlfn.IFS($D962="CSM","Category",$D962="CSPO","Category", $D962="PSM","SAFe que",$D962="PSPO","SAFe que",$D962="SAFe Agile","SAFe que",$D962="SAFe SSM","SAFe que",$D962="SAFe POPM","SAFe que",$D962="SASM","SAFe que",$D962="PMI-ACP","Category",$D962="ICP-ACC","SAFe que",$D962="PSM 2","SAFe que",$D962="SAFe RTE","SAFe que",$D962="Implementing SAFe","SAFe que",$D962="SAFe for Government","SAFe que",$D962="PSPO 2","SAFe que",$D962="",""),"NonCategory")</f>
        <v>SAFe que</v>
      </c>
      <c r="Q962" t="str">
        <f t="shared" ref="Q962:Q1025" si="49">TEXT(E962, "yyyy")</f>
        <v>2022</v>
      </c>
    </row>
    <row r="963" spans="1:17">
      <c r="A963" s="162">
        <v>44771</v>
      </c>
      <c r="B963" s="164" t="s">
        <v>2884</v>
      </c>
      <c r="C963" s="164" t="s">
        <v>278</v>
      </c>
      <c r="D963" s="164" t="s">
        <v>1524</v>
      </c>
      <c r="E963" s="79">
        <v>44743</v>
      </c>
      <c r="F963" s="6" t="s">
        <v>16</v>
      </c>
      <c r="G963" s="6" t="s">
        <v>2882</v>
      </c>
      <c r="H963" s="170">
        <v>24000</v>
      </c>
      <c r="I963" s="172">
        <f t="shared" si="47"/>
        <v>274.85112230874944</v>
      </c>
      <c r="J963" s="162">
        <v>44771</v>
      </c>
      <c r="K963" s="6" t="s">
        <v>253</v>
      </c>
      <c r="L963" s="162">
        <v>44771</v>
      </c>
      <c r="M963" s="175" t="s">
        <v>6166</v>
      </c>
      <c r="N963" s="6" t="s">
        <v>2883</v>
      </c>
      <c r="O963" s="6" t="s">
        <v>280</v>
      </c>
      <c r="P963" s="6" t="str">
        <f t="shared" si="48"/>
        <v>SAFe que</v>
      </c>
      <c r="Q963" t="str">
        <f t="shared" si="49"/>
        <v>2022</v>
      </c>
    </row>
    <row r="964" spans="1:17">
      <c r="A964" s="162">
        <v>44771</v>
      </c>
      <c r="B964" s="164" t="s">
        <v>2886</v>
      </c>
      <c r="C964" s="164" t="s">
        <v>278</v>
      </c>
      <c r="D964" s="164" t="s">
        <v>1524</v>
      </c>
      <c r="E964" s="79">
        <v>44743</v>
      </c>
      <c r="F964" s="6" t="s">
        <v>16</v>
      </c>
      <c r="G964" s="6" t="s">
        <v>2882</v>
      </c>
      <c r="H964" s="170">
        <v>24000</v>
      </c>
      <c r="I964" s="172">
        <f t="shared" si="47"/>
        <v>274.85112230874944</v>
      </c>
      <c r="J964" s="162">
        <v>44771</v>
      </c>
      <c r="K964" s="6" t="s">
        <v>253</v>
      </c>
      <c r="L964" s="162">
        <v>44772</v>
      </c>
      <c r="M964" s="175" t="s">
        <v>6167</v>
      </c>
      <c r="N964" s="6" t="s">
        <v>2883</v>
      </c>
      <c r="O964" s="6" t="s">
        <v>280</v>
      </c>
      <c r="P964" s="6" t="str">
        <f t="shared" si="48"/>
        <v>SAFe que</v>
      </c>
      <c r="Q964" t="str">
        <f t="shared" si="49"/>
        <v>2022</v>
      </c>
    </row>
    <row r="965" spans="1:17">
      <c r="A965" s="162">
        <v>44771</v>
      </c>
      <c r="B965" s="164" t="s">
        <v>2888</v>
      </c>
      <c r="C965" s="164" t="s">
        <v>278</v>
      </c>
      <c r="D965" s="164" t="s">
        <v>1524</v>
      </c>
      <c r="E965" s="79">
        <v>44743</v>
      </c>
      <c r="F965" s="6" t="s">
        <v>16</v>
      </c>
      <c r="G965" s="6" t="s">
        <v>2882</v>
      </c>
      <c r="H965" s="170">
        <v>24000</v>
      </c>
      <c r="I965" s="172">
        <f t="shared" si="47"/>
        <v>274.85112230874944</v>
      </c>
      <c r="J965" s="162">
        <v>44771</v>
      </c>
      <c r="K965" s="6" t="s">
        <v>253</v>
      </c>
      <c r="L965" s="162">
        <v>44771</v>
      </c>
      <c r="M965" s="175" t="s">
        <v>6168</v>
      </c>
      <c r="N965" s="6" t="s">
        <v>2883</v>
      </c>
      <c r="O965" s="6" t="s">
        <v>280</v>
      </c>
      <c r="P965" s="6" t="str">
        <f t="shared" si="48"/>
        <v>SAFe que</v>
      </c>
      <c r="Q965" t="str">
        <f t="shared" si="49"/>
        <v>2022</v>
      </c>
    </row>
    <row r="966" spans="1:17">
      <c r="A966" s="162">
        <v>44771</v>
      </c>
      <c r="B966" s="164" t="s">
        <v>2890</v>
      </c>
      <c r="C966" s="164" t="s">
        <v>278</v>
      </c>
      <c r="D966" s="164" t="s">
        <v>1524</v>
      </c>
      <c r="E966" s="79">
        <v>44774</v>
      </c>
      <c r="F966" s="6" t="s">
        <v>16</v>
      </c>
      <c r="G966" s="6" t="s">
        <v>2882</v>
      </c>
      <c r="H966" s="170">
        <v>24000</v>
      </c>
      <c r="I966" s="172">
        <f t="shared" si="47"/>
        <v>274.85112230874944</v>
      </c>
      <c r="J966" s="162">
        <v>44771</v>
      </c>
      <c r="K966" s="6" t="s">
        <v>251</v>
      </c>
      <c r="L966" s="162">
        <v>44778</v>
      </c>
      <c r="M966" s="175" t="s">
        <v>6169</v>
      </c>
      <c r="N966" s="6" t="s">
        <v>2883</v>
      </c>
      <c r="O966" s="6" t="s">
        <v>280</v>
      </c>
      <c r="P966" s="6" t="str">
        <f t="shared" si="48"/>
        <v>SAFe que</v>
      </c>
      <c r="Q966" t="str">
        <f t="shared" si="49"/>
        <v>2022</v>
      </c>
    </row>
    <row r="967" spans="1:17">
      <c r="A967" s="162">
        <v>44771</v>
      </c>
      <c r="B967" s="164" t="s">
        <v>2892</v>
      </c>
      <c r="C967" s="164" t="s">
        <v>278</v>
      </c>
      <c r="D967" s="164" t="s">
        <v>1524</v>
      </c>
      <c r="E967" s="79">
        <v>44774</v>
      </c>
      <c r="F967" s="6" t="s">
        <v>16</v>
      </c>
      <c r="G967" s="6" t="s">
        <v>2882</v>
      </c>
      <c r="H967" s="170">
        <v>24000</v>
      </c>
      <c r="I967" s="172">
        <f t="shared" si="47"/>
        <v>274.85112230874944</v>
      </c>
      <c r="J967" s="162">
        <v>44771</v>
      </c>
      <c r="K967" s="6" t="s">
        <v>251</v>
      </c>
      <c r="L967" s="162">
        <v>44774</v>
      </c>
      <c r="M967" s="175" t="s">
        <v>6170</v>
      </c>
      <c r="N967" s="6" t="s">
        <v>2883</v>
      </c>
      <c r="O967" s="6" t="s">
        <v>280</v>
      </c>
      <c r="P967" s="6" t="str">
        <f t="shared" si="48"/>
        <v>SAFe que</v>
      </c>
      <c r="Q967" t="str">
        <f t="shared" si="49"/>
        <v>2022</v>
      </c>
    </row>
    <row r="968" spans="1:17">
      <c r="A968" s="162">
        <v>44771</v>
      </c>
      <c r="B968" s="164" t="s">
        <v>2894</v>
      </c>
      <c r="C968" s="164" t="s">
        <v>306</v>
      </c>
      <c r="D968" s="164" t="s">
        <v>7</v>
      </c>
      <c r="E968" s="79">
        <v>44743</v>
      </c>
      <c r="F968" s="6" t="s">
        <v>16</v>
      </c>
      <c r="G968" s="6" t="s">
        <v>2784</v>
      </c>
      <c r="H968" s="170">
        <v>42000</v>
      </c>
      <c r="I968" s="172">
        <f t="shared" si="47"/>
        <v>480.98946404031153</v>
      </c>
      <c r="J968" s="162">
        <v>44771</v>
      </c>
      <c r="K968" s="6" t="s">
        <v>253</v>
      </c>
      <c r="L968" s="162">
        <v>44771</v>
      </c>
      <c r="M968" s="175" t="s">
        <v>6171</v>
      </c>
      <c r="O968" s="6" t="s">
        <v>356</v>
      </c>
      <c r="P968" s="6" t="str">
        <f t="shared" si="48"/>
        <v>SAFe que</v>
      </c>
      <c r="Q968" t="str">
        <f t="shared" si="49"/>
        <v>2022</v>
      </c>
    </row>
    <row r="969" spans="1:17">
      <c r="A969" s="162">
        <v>44772</v>
      </c>
      <c r="B969" s="164" t="s">
        <v>2896</v>
      </c>
      <c r="C969" s="164" t="s">
        <v>278</v>
      </c>
      <c r="D969" s="164" t="s">
        <v>97</v>
      </c>
      <c r="E969" s="79">
        <v>44743</v>
      </c>
      <c r="F969" s="6" t="s">
        <v>16</v>
      </c>
      <c r="G969" s="6" t="s">
        <v>2784</v>
      </c>
      <c r="H969" s="170">
        <v>20000</v>
      </c>
      <c r="I969" s="172">
        <f t="shared" si="47"/>
        <v>229.04260192395787</v>
      </c>
      <c r="J969" s="162">
        <v>44772</v>
      </c>
      <c r="K969" s="6" t="s">
        <v>253</v>
      </c>
      <c r="L969" s="162">
        <v>44772</v>
      </c>
      <c r="M969" s="175" t="s">
        <v>6172</v>
      </c>
      <c r="N969" s="6" t="s">
        <v>2898</v>
      </c>
      <c r="O969" s="6" t="s">
        <v>280</v>
      </c>
      <c r="P969" s="6" t="str">
        <f t="shared" si="48"/>
        <v>Category</v>
      </c>
      <c r="Q969" t="str">
        <f t="shared" si="49"/>
        <v>2022</v>
      </c>
    </row>
    <row r="970" spans="1:17">
      <c r="A970" s="162">
        <v>44774</v>
      </c>
      <c r="B970" s="164" t="s">
        <v>2899</v>
      </c>
      <c r="C970" s="164" t="s">
        <v>291</v>
      </c>
      <c r="D970" s="164" t="s">
        <v>150</v>
      </c>
      <c r="E970" s="79">
        <v>44774</v>
      </c>
      <c r="F970" s="6" t="s">
        <v>16</v>
      </c>
      <c r="G970" s="6" t="s">
        <v>2826</v>
      </c>
      <c r="H970" s="170">
        <v>21000</v>
      </c>
      <c r="I970" s="172">
        <f t="shared" si="47"/>
        <v>240.49473202015577</v>
      </c>
      <c r="J970" s="162">
        <v>44774</v>
      </c>
      <c r="K970" s="6" t="s">
        <v>251</v>
      </c>
      <c r="L970" s="162">
        <v>44774</v>
      </c>
      <c r="M970" s="175" t="s">
        <v>6173</v>
      </c>
      <c r="O970" s="6" t="s">
        <v>280</v>
      </c>
      <c r="P970" s="6" t="str">
        <f t="shared" si="48"/>
        <v>SAFe que</v>
      </c>
      <c r="Q970" t="str">
        <f t="shared" si="49"/>
        <v>2022</v>
      </c>
    </row>
    <row r="971" spans="1:17">
      <c r="A971" s="162">
        <v>44774</v>
      </c>
      <c r="B971" s="164" t="s">
        <v>2901</v>
      </c>
      <c r="C971" s="164" t="s">
        <v>319</v>
      </c>
      <c r="D971" s="164" t="s">
        <v>6</v>
      </c>
      <c r="E971" s="79">
        <v>44774</v>
      </c>
      <c r="F971" s="6" t="s">
        <v>16</v>
      </c>
      <c r="G971" s="6" t="s">
        <v>2826</v>
      </c>
      <c r="H971" s="170">
        <v>42000</v>
      </c>
      <c r="I971" s="172">
        <f t="shared" si="47"/>
        <v>480.98946404031153</v>
      </c>
      <c r="J971" s="162">
        <v>44774</v>
      </c>
      <c r="K971" s="6" t="s">
        <v>251</v>
      </c>
      <c r="L971" s="162">
        <v>44774</v>
      </c>
      <c r="M971" s="175" t="s">
        <v>6174</v>
      </c>
      <c r="O971" s="6" t="s">
        <v>280</v>
      </c>
      <c r="P971" s="6" t="str">
        <f t="shared" si="48"/>
        <v>SAFe que</v>
      </c>
      <c r="Q971" t="str">
        <f t="shared" si="49"/>
        <v>2022</v>
      </c>
    </row>
    <row r="972" spans="1:17">
      <c r="A972" s="162">
        <v>44775</v>
      </c>
      <c r="B972" s="164" t="s">
        <v>2903</v>
      </c>
      <c r="C972" s="164" t="s">
        <v>470</v>
      </c>
      <c r="D972" s="164" t="s">
        <v>25</v>
      </c>
      <c r="E972" s="79">
        <v>44774</v>
      </c>
      <c r="F972" s="6" t="s">
        <v>16</v>
      </c>
      <c r="G972" s="6" t="s">
        <v>2826</v>
      </c>
      <c r="H972" s="170">
        <v>40000</v>
      </c>
      <c r="I972" s="172">
        <f t="shared" si="47"/>
        <v>458.08520384791575</v>
      </c>
      <c r="J972" s="162">
        <v>44775</v>
      </c>
      <c r="K972" s="6" t="s">
        <v>251</v>
      </c>
      <c r="L972" s="162">
        <v>44775</v>
      </c>
      <c r="M972" s="175" t="s">
        <v>6175</v>
      </c>
      <c r="O972" s="6" t="s">
        <v>356</v>
      </c>
      <c r="P972" s="6" t="str">
        <f t="shared" si="48"/>
        <v>SAFe que</v>
      </c>
      <c r="Q972" t="str">
        <f t="shared" si="49"/>
        <v>2022</v>
      </c>
    </row>
    <row r="973" spans="1:17">
      <c r="A973" s="162">
        <v>44776</v>
      </c>
      <c r="B973" s="164" t="s">
        <v>2905</v>
      </c>
      <c r="C973" s="164" t="s">
        <v>303</v>
      </c>
      <c r="D973" s="164" t="s">
        <v>72</v>
      </c>
      <c r="E973" s="79">
        <v>44774</v>
      </c>
      <c r="F973" s="6" t="s">
        <v>16</v>
      </c>
      <c r="G973" s="6" t="s">
        <v>2907</v>
      </c>
      <c r="H973" s="170">
        <v>57230</v>
      </c>
      <c r="I973" s="172">
        <f t="shared" si="47"/>
        <v>655.40540540540542</v>
      </c>
      <c r="J973" s="162">
        <v>44776</v>
      </c>
      <c r="K973" s="6" t="s">
        <v>251</v>
      </c>
      <c r="L973" s="162">
        <v>44777</v>
      </c>
      <c r="M973" s="175" t="s">
        <v>6176</v>
      </c>
      <c r="O973" s="6" t="s">
        <v>356</v>
      </c>
      <c r="P973" s="6" t="str">
        <f t="shared" si="48"/>
        <v>SAFe que</v>
      </c>
      <c r="Q973" t="str">
        <f t="shared" si="49"/>
        <v>2022</v>
      </c>
    </row>
    <row r="974" spans="1:17">
      <c r="A974" s="162">
        <v>44776</v>
      </c>
      <c r="B974" s="164" t="s">
        <v>2905</v>
      </c>
      <c r="C974" s="164" t="s">
        <v>303</v>
      </c>
      <c r="D974" s="164" t="s">
        <v>72</v>
      </c>
      <c r="E974" s="79">
        <v>44774</v>
      </c>
      <c r="F974" s="6" t="s">
        <v>16</v>
      </c>
      <c r="G974" s="6" t="s">
        <v>2907</v>
      </c>
      <c r="H974" s="170">
        <v>67770</v>
      </c>
      <c r="I974" s="172">
        <f t="shared" si="47"/>
        <v>776.11085661933123</v>
      </c>
      <c r="J974" s="162">
        <v>44776</v>
      </c>
      <c r="K974" s="6" t="s">
        <v>251</v>
      </c>
      <c r="L974" s="162">
        <v>44777</v>
      </c>
      <c r="M974" s="175" t="s">
        <v>6177</v>
      </c>
      <c r="O974" s="6" t="s">
        <v>356</v>
      </c>
      <c r="P974" s="6" t="str">
        <f t="shared" si="48"/>
        <v>SAFe que</v>
      </c>
      <c r="Q974" t="str">
        <f t="shared" si="49"/>
        <v>2022</v>
      </c>
    </row>
    <row r="975" spans="1:17">
      <c r="A975" s="162">
        <v>44776</v>
      </c>
      <c r="B975" s="164" t="s">
        <v>2910</v>
      </c>
      <c r="C975" s="164" t="s">
        <v>470</v>
      </c>
      <c r="D975" s="164" t="s">
        <v>25</v>
      </c>
      <c r="E975" s="79">
        <v>44774</v>
      </c>
      <c r="F975" s="6" t="s">
        <v>16</v>
      </c>
      <c r="G975" s="6" t="s">
        <v>2784</v>
      </c>
      <c r="H975" s="170">
        <v>40000</v>
      </c>
      <c r="I975" s="172">
        <f t="shared" si="47"/>
        <v>458.08520384791575</v>
      </c>
      <c r="J975" s="162">
        <v>44776</v>
      </c>
      <c r="K975" s="6" t="s">
        <v>251</v>
      </c>
      <c r="L975" s="162">
        <v>44776</v>
      </c>
      <c r="M975" s="175" t="s">
        <v>6178</v>
      </c>
      <c r="O975" s="6" t="s">
        <v>280</v>
      </c>
      <c r="P975" s="6" t="str">
        <f t="shared" si="48"/>
        <v>SAFe que</v>
      </c>
      <c r="Q975" t="str">
        <f t="shared" si="49"/>
        <v>2022</v>
      </c>
    </row>
    <row r="976" spans="1:17">
      <c r="A976" s="162">
        <v>44777</v>
      </c>
      <c r="B976" s="164" t="s">
        <v>1245</v>
      </c>
      <c r="C976" s="164" t="s">
        <v>303</v>
      </c>
      <c r="D976" s="164" t="s">
        <v>96</v>
      </c>
      <c r="E976" s="79">
        <v>44774</v>
      </c>
      <c r="F976" s="6" t="s">
        <v>16</v>
      </c>
      <c r="G976" s="6" t="s">
        <v>2913</v>
      </c>
      <c r="H976" s="170">
        <v>20000</v>
      </c>
      <c r="I976" s="172">
        <f t="shared" si="47"/>
        <v>229.04260192395787</v>
      </c>
      <c r="J976" s="162">
        <v>44777</v>
      </c>
      <c r="K976" s="6" t="s">
        <v>251</v>
      </c>
      <c r="L976" s="162">
        <v>44777</v>
      </c>
      <c r="M976" s="175" t="s">
        <v>6179</v>
      </c>
      <c r="O976" s="6" t="s">
        <v>356</v>
      </c>
      <c r="P976" s="6" t="str">
        <f t="shared" si="48"/>
        <v>Category</v>
      </c>
      <c r="Q976" t="str">
        <f t="shared" si="49"/>
        <v>2022</v>
      </c>
    </row>
    <row r="977" spans="1:17">
      <c r="A977" s="162">
        <v>44777</v>
      </c>
      <c r="B977" s="165" t="s">
        <v>2914</v>
      </c>
      <c r="C977" s="165" t="s">
        <v>287</v>
      </c>
      <c r="D977" s="165" t="s">
        <v>96</v>
      </c>
      <c r="E977" s="79">
        <v>44774</v>
      </c>
      <c r="F977" s="6" t="s">
        <v>16</v>
      </c>
      <c r="G977" s="6" t="s">
        <v>2916</v>
      </c>
      <c r="H977" s="170">
        <v>21000</v>
      </c>
      <c r="I977" s="172">
        <f t="shared" si="47"/>
        <v>240.49473202015577</v>
      </c>
      <c r="J977" s="162">
        <v>44777</v>
      </c>
      <c r="K977" s="6" t="s">
        <v>251</v>
      </c>
      <c r="L977" s="162">
        <v>44777</v>
      </c>
      <c r="M977" s="175" t="s">
        <v>6180</v>
      </c>
      <c r="O977" s="6" t="s">
        <v>280</v>
      </c>
      <c r="P977" s="6" t="str">
        <f t="shared" si="48"/>
        <v>Category</v>
      </c>
      <c r="Q977" t="str">
        <f t="shared" si="49"/>
        <v>2022</v>
      </c>
    </row>
    <row r="978" spans="1:17">
      <c r="A978" s="162">
        <v>44778</v>
      </c>
      <c r="B978" s="164" t="s">
        <v>2917</v>
      </c>
      <c r="C978" s="164" t="s">
        <v>303</v>
      </c>
      <c r="D978" s="164" t="s">
        <v>6</v>
      </c>
      <c r="E978" s="79">
        <v>44774</v>
      </c>
      <c r="F978" s="6" t="s">
        <v>16</v>
      </c>
      <c r="G978" s="6" t="s">
        <v>2826</v>
      </c>
      <c r="H978" s="170">
        <v>40061</v>
      </c>
      <c r="I978" s="172">
        <f t="shared" si="47"/>
        <v>458.7837837837838</v>
      </c>
      <c r="J978" s="162">
        <v>44778</v>
      </c>
      <c r="K978" s="6" t="s">
        <v>251</v>
      </c>
      <c r="L978" s="162">
        <v>44778</v>
      </c>
      <c r="M978" s="175" t="s">
        <v>6181</v>
      </c>
      <c r="O978" s="6" t="s">
        <v>356</v>
      </c>
      <c r="P978" s="6" t="str">
        <f t="shared" si="48"/>
        <v>SAFe que</v>
      </c>
      <c r="Q978" t="str">
        <f t="shared" si="49"/>
        <v>2022</v>
      </c>
    </row>
    <row r="979" spans="1:17">
      <c r="A979" s="162">
        <v>44781</v>
      </c>
      <c r="B979" s="164" t="s">
        <v>2921</v>
      </c>
      <c r="C979" s="164" t="s">
        <v>278</v>
      </c>
      <c r="D979" s="164" t="s">
        <v>1524</v>
      </c>
      <c r="E979" s="79">
        <v>44774</v>
      </c>
      <c r="F979" s="6" t="s">
        <v>16</v>
      </c>
      <c r="G979" s="6" t="s">
        <v>2923</v>
      </c>
      <c r="H979" s="170">
        <v>24000</v>
      </c>
      <c r="I979" s="172">
        <f t="shared" si="47"/>
        <v>274.85112230874944</v>
      </c>
      <c r="J979" s="162">
        <v>44781</v>
      </c>
      <c r="K979" s="6" t="s">
        <v>252</v>
      </c>
      <c r="L979" s="162">
        <v>44791</v>
      </c>
      <c r="M979" s="175" t="s">
        <v>6182</v>
      </c>
      <c r="N979" s="6" t="s">
        <v>2924</v>
      </c>
      <c r="O979" s="6" t="s">
        <v>280</v>
      </c>
      <c r="P979" s="6" t="str">
        <f t="shared" si="48"/>
        <v>SAFe que</v>
      </c>
      <c r="Q979" t="str">
        <f t="shared" si="49"/>
        <v>2022</v>
      </c>
    </row>
    <row r="980" spans="1:17">
      <c r="A980" s="162">
        <v>44781</v>
      </c>
      <c r="B980" s="164" t="s">
        <v>2925</v>
      </c>
      <c r="C980" s="164" t="s">
        <v>306</v>
      </c>
      <c r="D980" s="164" t="s">
        <v>151</v>
      </c>
      <c r="E980" s="79">
        <v>44774</v>
      </c>
      <c r="F980" s="6" t="s">
        <v>16</v>
      </c>
      <c r="G980" s="6" t="s">
        <v>2882</v>
      </c>
      <c r="H980" s="170">
        <v>21000</v>
      </c>
      <c r="I980" s="172">
        <f t="shared" si="47"/>
        <v>240.49473202015577</v>
      </c>
      <c r="J980" s="162">
        <v>44781</v>
      </c>
      <c r="K980" s="6" t="s">
        <v>251</v>
      </c>
      <c r="L980" s="162">
        <v>44782</v>
      </c>
      <c r="M980" s="175" t="s">
        <v>6183</v>
      </c>
      <c r="O980" s="6" t="s">
        <v>280</v>
      </c>
      <c r="P980" s="6" t="str">
        <f t="shared" si="48"/>
        <v>SAFe que</v>
      </c>
      <c r="Q980" t="str">
        <f t="shared" si="49"/>
        <v>2022</v>
      </c>
    </row>
    <row r="981" spans="1:17">
      <c r="A981" s="162">
        <v>44781</v>
      </c>
      <c r="B981" s="164" t="s">
        <v>2927</v>
      </c>
      <c r="C981" s="164" t="s">
        <v>287</v>
      </c>
      <c r="D981" s="164" t="s">
        <v>1524</v>
      </c>
      <c r="E981" s="79">
        <v>44774</v>
      </c>
      <c r="F981" s="6" t="s">
        <v>16</v>
      </c>
      <c r="G981" s="6" t="s">
        <v>2929</v>
      </c>
      <c r="H981" s="170">
        <v>24000</v>
      </c>
      <c r="I981" s="172">
        <f t="shared" si="47"/>
        <v>274.85112230874944</v>
      </c>
      <c r="J981" s="162">
        <v>44781</v>
      </c>
      <c r="K981" s="6" t="s">
        <v>251</v>
      </c>
      <c r="L981" s="162">
        <v>44782</v>
      </c>
      <c r="M981" s="175" t="s">
        <v>6184</v>
      </c>
      <c r="O981" s="6" t="s">
        <v>356</v>
      </c>
      <c r="P981" s="6" t="str">
        <f t="shared" si="48"/>
        <v>SAFe que</v>
      </c>
      <c r="Q981" t="str">
        <f t="shared" si="49"/>
        <v>2022</v>
      </c>
    </row>
    <row r="982" spans="1:17">
      <c r="A982" s="162">
        <v>44781</v>
      </c>
      <c r="B982" s="164" t="s">
        <v>2932</v>
      </c>
      <c r="C982" s="164" t="s">
        <v>319</v>
      </c>
      <c r="D982" s="164" t="s">
        <v>25</v>
      </c>
      <c r="E982" s="79">
        <v>44774</v>
      </c>
      <c r="F982" s="6" t="s">
        <v>16</v>
      </c>
      <c r="G982" s="6" t="s">
        <v>2784</v>
      </c>
      <c r="H982" s="170">
        <v>42000</v>
      </c>
      <c r="I982" s="172">
        <f t="shared" si="47"/>
        <v>480.98946404031153</v>
      </c>
      <c r="J982" s="162">
        <v>44781</v>
      </c>
      <c r="K982" s="6" t="s">
        <v>251</v>
      </c>
      <c r="L982" s="162">
        <v>44781</v>
      </c>
      <c r="M982" s="175" t="s">
        <v>6185</v>
      </c>
      <c r="O982" s="6" t="s">
        <v>280</v>
      </c>
      <c r="P982" s="6" t="str">
        <f t="shared" si="48"/>
        <v>SAFe que</v>
      </c>
      <c r="Q982" t="str">
        <f t="shared" si="49"/>
        <v>2022</v>
      </c>
    </row>
    <row r="983" spans="1:17">
      <c r="A983" s="162">
        <v>44782</v>
      </c>
      <c r="B983" s="164" t="s">
        <v>2934</v>
      </c>
      <c r="C983" s="164" t="s">
        <v>278</v>
      </c>
      <c r="D983" s="164" t="s">
        <v>150</v>
      </c>
      <c r="E983" s="79">
        <v>44774</v>
      </c>
      <c r="F983" s="6" t="s">
        <v>16</v>
      </c>
      <c r="G983" s="6" t="s">
        <v>2784</v>
      </c>
      <c r="H983" s="170">
        <v>21000</v>
      </c>
      <c r="I983" s="172">
        <f t="shared" si="47"/>
        <v>240.49473202015577</v>
      </c>
      <c r="J983" s="162">
        <v>44782</v>
      </c>
      <c r="K983" s="6" t="s">
        <v>251</v>
      </c>
      <c r="L983" s="162">
        <v>44782</v>
      </c>
      <c r="M983" s="175" t="s">
        <v>6186</v>
      </c>
      <c r="N983" s="6" t="s">
        <v>2936</v>
      </c>
      <c r="O983" s="6" t="s">
        <v>280</v>
      </c>
      <c r="P983" s="6" t="str">
        <f t="shared" si="48"/>
        <v>SAFe que</v>
      </c>
      <c r="Q983" t="str">
        <f t="shared" si="49"/>
        <v>2022</v>
      </c>
    </row>
    <row r="984" spans="1:17">
      <c r="A984" s="162">
        <v>44782</v>
      </c>
      <c r="B984" s="164" t="s">
        <v>2937</v>
      </c>
      <c r="C984" s="164" t="s">
        <v>278</v>
      </c>
      <c r="D984" s="164" t="s">
        <v>25</v>
      </c>
      <c r="E984" s="79">
        <v>44774</v>
      </c>
      <c r="F984" s="6" t="s">
        <v>16</v>
      </c>
      <c r="G984" s="6" t="s">
        <v>2784</v>
      </c>
      <c r="H984" s="170">
        <v>40061</v>
      </c>
      <c r="I984" s="172">
        <f t="shared" si="47"/>
        <v>458.7837837837838</v>
      </c>
      <c r="J984" s="162">
        <v>44782</v>
      </c>
      <c r="K984" s="6" t="s">
        <v>251</v>
      </c>
      <c r="L984" s="162">
        <v>44782</v>
      </c>
      <c r="M984" s="175" t="s">
        <v>6187</v>
      </c>
      <c r="N984" s="6" t="s">
        <v>2679</v>
      </c>
      <c r="O984" s="6" t="s">
        <v>280</v>
      </c>
      <c r="P984" s="6" t="str">
        <f t="shared" si="48"/>
        <v>SAFe que</v>
      </c>
      <c r="Q984" t="str">
        <f t="shared" si="49"/>
        <v>2022</v>
      </c>
    </row>
    <row r="985" spans="1:17">
      <c r="A985" s="162">
        <v>44782</v>
      </c>
      <c r="B985" s="164" t="s">
        <v>2939</v>
      </c>
      <c r="C985" s="164" t="s">
        <v>303</v>
      </c>
      <c r="D985" s="164" t="s">
        <v>25</v>
      </c>
      <c r="E985" s="79">
        <v>44774</v>
      </c>
      <c r="F985" s="6" t="s">
        <v>16</v>
      </c>
      <c r="G985" s="6" t="s">
        <v>2882</v>
      </c>
      <c r="H985" s="170">
        <v>42000</v>
      </c>
      <c r="I985" s="172">
        <f t="shared" si="47"/>
        <v>480.98946404031153</v>
      </c>
      <c r="J985" s="162">
        <v>44782</v>
      </c>
      <c r="K985" s="6" t="s">
        <v>251</v>
      </c>
      <c r="L985" s="162">
        <v>44782</v>
      </c>
      <c r="M985" s="175" t="s">
        <v>6188</v>
      </c>
      <c r="O985" s="6" t="s">
        <v>280</v>
      </c>
      <c r="P985" s="6" t="str">
        <f t="shared" si="48"/>
        <v>SAFe que</v>
      </c>
      <c r="Q985" t="str">
        <f t="shared" si="49"/>
        <v>2022</v>
      </c>
    </row>
    <row r="986" spans="1:17">
      <c r="A986" s="162">
        <v>44783</v>
      </c>
      <c r="B986" s="164" t="s">
        <v>2941</v>
      </c>
      <c r="C986" s="164" t="s">
        <v>278</v>
      </c>
      <c r="D986" s="164" t="s">
        <v>96</v>
      </c>
      <c r="E986" s="79">
        <v>44774</v>
      </c>
      <c r="F986" s="6" t="s">
        <v>16</v>
      </c>
      <c r="G986" s="6" t="s">
        <v>2882</v>
      </c>
      <c r="H986" s="170">
        <v>20000</v>
      </c>
      <c r="I986" s="172">
        <f t="shared" si="47"/>
        <v>229.04260192395787</v>
      </c>
      <c r="J986" s="162">
        <v>44783</v>
      </c>
      <c r="K986" s="6" t="s">
        <v>251</v>
      </c>
      <c r="L986" s="162">
        <v>44783</v>
      </c>
      <c r="M986" s="175" t="s">
        <v>6189</v>
      </c>
      <c r="N986" s="6" t="s">
        <v>1019</v>
      </c>
      <c r="O986" s="6" t="s">
        <v>280</v>
      </c>
      <c r="P986" s="6" t="str">
        <f t="shared" si="48"/>
        <v>Category</v>
      </c>
      <c r="Q986" t="str">
        <f t="shared" si="49"/>
        <v>2022</v>
      </c>
    </row>
    <row r="987" spans="1:17">
      <c r="A987" s="162">
        <v>44784</v>
      </c>
      <c r="B987" s="164" t="s">
        <v>2943</v>
      </c>
      <c r="C987" s="164" t="s">
        <v>278</v>
      </c>
      <c r="D987" s="164" t="s">
        <v>150</v>
      </c>
      <c r="E987" s="79">
        <v>44774</v>
      </c>
      <c r="F987" s="6" t="s">
        <v>16</v>
      </c>
      <c r="G987" s="6" t="s">
        <v>2784</v>
      </c>
      <c r="H987" s="170">
        <v>21000</v>
      </c>
      <c r="I987" s="172">
        <f t="shared" si="47"/>
        <v>240.49473202015577</v>
      </c>
      <c r="J987" s="162">
        <v>44784</v>
      </c>
      <c r="K987" s="6" t="s">
        <v>252</v>
      </c>
      <c r="L987" s="162">
        <v>44784</v>
      </c>
      <c r="M987" s="175" t="s">
        <v>6190</v>
      </c>
      <c r="N987" s="6" t="s">
        <v>2945</v>
      </c>
      <c r="O987" s="6" t="s">
        <v>280</v>
      </c>
      <c r="P987" s="6" t="str">
        <f t="shared" si="48"/>
        <v>SAFe que</v>
      </c>
      <c r="Q987" t="str">
        <f t="shared" si="49"/>
        <v>2022</v>
      </c>
    </row>
    <row r="988" spans="1:17">
      <c r="A988" s="162">
        <v>44784</v>
      </c>
      <c r="B988" s="164" t="s">
        <v>2946</v>
      </c>
      <c r="C988" s="164" t="s">
        <v>303</v>
      </c>
      <c r="D988" s="164" t="s">
        <v>25</v>
      </c>
      <c r="E988" s="79">
        <v>44774</v>
      </c>
      <c r="F988" s="6" t="s">
        <v>16</v>
      </c>
      <c r="G988" s="6" t="s">
        <v>2784</v>
      </c>
      <c r="H988" s="170">
        <v>42000</v>
      </c>
      <c r="I988" s="172">
        <f t="shared" si="47"/>
        <v>480.98946404031153</v>
      </c>
      <c r="J988" s="162">
        <v>44784</v>
      </c>
      <c r="K988" s="6" t="s">
        <v>252</v>
      </c>
      <c r="L988" s="162">
        <v>44784</v>
      </c>
      <c r="M988" s="175" t="s">
        <v>6191</v>
      </c>
      <c r="O988" s="6" t="s">
        <v>280</v>
      </c>
      <c r="P988" s="6" t="str">
        <f t="shared" si="48"/>
        <v>SAFe que</v>
      </c>
      <c r="Q988" t="str">
        <f t="shared" si="49"/>
        <v>2022</v>
      </c>
    </row>
    <row r="989" spans="1:17">
      <c r="A989" s="162">
        <v>44789</v>
      </c>
      <c r="B989" s="164" t="s">
        <v>2950</v>
      </c>
      <c r="C989" s="164" t="s">
        <v>287</v>
      </c>
      <c r="D989" s="164" t="s">
        <v>1524</v>
      </c>
      <c r="E989" s="79">
        <v>44774</v>
      </c>
      <c r="F989" s="6" t="s">
        <v>16</v>
      </c>
      <c r="G989" s="6" t="s">
        <v>2882</v>
      </c>
      <c r="H989" s="170">
        <v>24000</v>
      </c>
      <c r="I989" s="172">
        <f t="shared" si="47"/>
        <v>274.85112230874944</v>
      </c>
      <c r="J989" s="162">
        <v>44789</v>
      </c>
      <c r="K989" s="6" t="s">
        <v>252</v>
      </c>
      <c r="L989" s="162">
        <v>44789</v>
      </c>
      <c r="M989" s="175" t="s">
        <v>6192</v>
      </c>
      <c r="O989" s="6" t="s">
        <v>280</v>
      </c>
      <c r="P989" s="6" t="str">
        <f t="shared" si="48"/>
        <v>SAFe que</v>
      </c>
      <c r="Q989" t="str">
        <f t="shared" si="49"/>
        <v>2022</v>
      </c>
    </row>
    <row r="990" spans="1:17">
      <c r="A990" s="162">
        <v>44789</v>
      </c>
      <c r="B990" s="164" t="s">
        <v>2153</v>
      </c>
      <c r="C990" s="164" t="s">
        <v>278</v>
      </c>
      <c r="D990" s="164" t="s">
        <v>150</v>
      </c>
      <c r="E990" s="79">
        <v>44774</v>
      </c>
      <c r="F990" s="6" t="s">
        <v>16</v>
      </c>
      <c r="G990" s="6" t="s">
        <v>2916</v>
      </c>
      <c r="H990" s="170">
        <v>21000</v>
      </c>
      <c r="I990" s="172">
        <f t="shared" si="47"/>
        <v>240.49473202015577</v>
      </c>
      <c r="J990" s="162">
        <v>44789</v>
      </c>
      <c r="K990" s="6" t="s">
        <v>252</v>
      </c>
      <c r="L990" s="162">
        <v>44789</v>
      </c>
      <c r="M990" s="175" t="s">
        <v>6193</v>
      </c>
      <c r="O990" s="6" t="s">
        <v>356</v>
      </c>
      <c r="P990" s="6" t="str">
        <f t="shared" si="48"/>
        <v>SAFe que</v>
      </c>
      <c r="Q990" t="str">
        <f t="shared" si="49"/>
        <v>2022</v>
      </c>
    </row>
    <row r="991" spans="1:17">
      <c r="A991" s="162">
        <v>44789</v>
      </c>
      <c r="B991" s="164" t="s">
        <v>2953</v>
      </c>
      <c r="C991" s="164" t="s">
        <v>1291</v>
      </c>
      <c r="D991" s="164" t="s">
        <v>96</v>
      </c>
      <c r="E991" s="79">
        <v>44774</v>
      </c>
      <c r="F991" s="6" t="s">
        <v>16</v>
      </c>
      <c r="G991" s="6" t="s">
        <v>2955</v>
      </c>
      <c r="H991" s="170">
        <v>20000</v>
      </c>
      <c r="I991" s="172">
        <f t="shared" si="47"/>
        <v>229.04260192395787</v>
      </c>
      <c r="J991" s="162">
        <v>44789</v>
      </c>
      <c r="K991" s="6" t="s">
        <v>252</v>
      </c>
      <c r="L991" s="162">
        <v>44789</v>
      </c>
      <c r="M991" s="175" t="s">
        <v>6194</v>
      </c>
      <c r="O991" s="6" t="s">
        <v>356</v>
      </c>
      <c r="P991" s="6" t="str">
        <f t="shared" si="48"/>
        <v>Category</v>
      </c>
      <c r="Q991" t="str">
        <f t="shared" si="49"/>
        <v>2022</v>
      </c>
    </row>
    <row r="992" spans="1:17">
      <c r="A992" s="162">
        <v>44790</v>
      </c>
      <c r="B992" s="164" t="s">
        <v>2956</v>
      </c>
      <c r="C992" s="164" t="s">
        <v>303</v>
      </c>
      <c r="D992" s="164" t="s">
        <v>6</v>
      </c>
      <c r="E992" s="79">
        <v>44774</v>
      </c>
      <c r="F992" s="6" t="s">
        <v>16</v>
      </c>
      <c r="G992" s="6" t="s">
        <v>2955</v>
      </c>
      <c r="H992" s="170">
        <v>42000</v>
      </c>
      <c r="I992" s="172">
        <f t="shared" si="47"/>
        <v>480.98946404031153</v>
      </c>
      <c r="J992" s="162">
        <v>44790</v>
      </c>
      <c r="K992" s="6" t="s">
        <v>252</v>
      </c>
      <c r="L992" s="162">
        <v>44790</v>
      </c>
      <c r="M992" s="175" t="s">
        <v>6195</v>
      </c>
      <c r="O992" s="6" t="s">
        <v>280</v>
      </c>
      <c r="P992" s="6" t="str">
        <f t="shared" si="48"/>
        <v>SAFe que</v>
      </c>
      <c r="Q992" t="str">
        <f t="shared" si="49"/>
        <v>2022</v>
      </c>
    </row>
    <row r="993" spans="1:17">
      <c r="A993" s="162">
        <v>44791</v>
      </c>
      <c r="B993" s="164" t="s">
        <v>2576</v>
      </c>
      <c r="C993" s="164" t="s">
        <v>470</v>
      </c>
      <c r="D993" s="164" t="s">
        <v>25</v>
      </c>
      <c r="E993" s="79">
        <v>44774</v>
      </c>
      <c r="F993" s="6" t="s">
        <v>16</v>
      </c>
      <c r="G993" s="6" t="s">
        <v>2958</v>
      </c>
      <c r="H993" s="170">
        <v>42000</v>
      </c>
      <c r="I993" s="172">
        <f t="shared" si="47"/>
        <v>480.98946404031153</v>
      </c>
      <c r="J993" s="162">
        <v>44797</v>
      </c>
      <c r="K993" s="6" t="s">
        <v>253</v>
      </c>
      <c r="L993" s="162">
        <v>44798</v>
      </c>
      <c r="M993" s="175" t="s">
        <v>6196</v>
      </c>
      <c r="O993" s="6" t="s">
        <v>280</v>
      </c>
      <c r="P993" s="6" t="str">
        <f t="shared" si="48"/>
        <v>SAFe que</v>
      </c>
      <c r="Q993" t="str">
        <f t="shared" si="49"/>
        <v>2022</v>
      </c>
    </row>
    <row r="994" spans="1:17">
      <c r="A994" s="162">
        <v>44792</v>
      </c>
      <c r="B994" s="164" t="s">
        <v>2959</v>
      </c>
      <c r="C994" s="164" t="s">
        <v>319</v>
      </c>
      <c r="D994" s="164" t="s">
        <v>97</v>
      </c>
      <c r="E994" s="79">
        <v>44774</v>
      </c>
      <c r="F994" s="6" t="s">
        <v>16</v>
      </c>
      <c r="G994" s="6" t="s">
        <v>2961</v>
      </c>
      <c r="H994" s="170">
        <v>20000</v>
      </c>
      <c r="I994" s="172">
        <f t="shared" si="47"/>
        <v>229.04260192395787</v>
      </c>
      <c r="J994" s="162">
        <v>44792</v>
      </c>
      <c r="K994" s="6" t="s">
        <v>252</v>
      </c>
      <c r="L994" s="162">
        <v>44792</v>
      </c>
      <c r="M994" s="175" t="s">
        <v>6197</v>
      </c>
      <c r="O994" s="6" t="s">
        <v>356</v>
      </c>
      <c r="P994" s="6" t="str">
        <f t="shared" si="48"/>
        <v>Category</v>
      </c>
      <c r="Q994" t="str">
        <f t="shared" si="49"/>
        <v>2022</v>
      </c>
    </row>
    <row r="995" spans="1:17">
      <c r="A995" s="162">
        <v>44793</v>
      </c>
      <c r="B995" s="164" t="s">
        <v>2962</v>
      </c>
      <c r="C995" s="164" t="s">
        <v>291</v>
      </c>
      <c r="D995" s="164" t="s">
        <v>150</v>
      </c>
      <c r="E995" s="79">
        <v>44774</v>
      </c>
      <c r="F995" s="6" t="s">
        <v>16</v>
      </c>
      <c r="G995" s="6" t="s">
        <v>2882</v>
      </c>
      <c r="H995" s="170">
        <v>21000</v>
      </c>
      <c r="I995" s="172">
        <f t="shared" si="47"/>
        <v>240.49473202015577</v>
      </c>
      <c r="J995" s="162">
        <v>44793</v>
      </c>
      <c r="K995" s="6" t="s">
        <v>252</v>
      </c>
      <c r="L995" s="162">
        <v>44793</v>
      </c>
      <c r="M995" s="175" t="s">
        <v>6198</v>
      </c>
      <c r="O995" s="6" t="s">
        <v>280</v>
      </c>
      <c r="P995" s="6" t="str">
        <f t="shared" si="48"/>
        <v>SAFe que</v>
      </c>
      <c r="Q995" t="str">
        <f t="shared" si="49"/>
        <v>2022</v>
      </c>
    </row>
    <row r="996" spans="1:17">
      <c r="A996" s="162">
        <v>44795</v>
      </c>
      <c r="B996" s="164" t="s">
        <v>2964</v>
      </c>
      <c r="C996" s="164" t="s">
        <v>470</v>
      </c>
      <c r="D996" s="164" t="s">
        <v>532</v>
      </c>
      <c r="E996" s="79">
        <v>44774</v>
      </c>
      <c r="F996" s="6" t="s">
        <v>16</v>
      </c>
      <c r="G996" s="97">
        <v>44800</v>
      </c>
      <c r="H996" s="170">
        <v>14000</v>
      </c>
      <c r="I996" s="172">
        <f t="shared" si="47"/>
        <v>160.3298213467705</v>
      </c>
      <c r="J996" s="162">
        <v>44795</v>
      </c>
      <c r="K996" s="6" t="s">
        <v>253</v>
      </c>
      <c r="L996" s="162">
        <v>44795</v>
      </c>
      <c r="M996" s="175" t="s">
        <v>6199</v>
      </c>
      <c r="O996" s="6" t="s">
        <v>356</v>
      </c>
      <c r="P996" s="6" t="str">
        <f t="shared" si="48"/>
        <v>NonCategory</v>
      </c>
      <c r="Q996" t="str">
        <f t="shared" si="49"/>
        <v>2022</v>
      </c>
    </row>
    <row r="997" spans="1:17">
      <c r="A997" s="162">
        <v>44795</v>
      </c>
      <c r="B997" s="164" t="s">
        <v>2966</v>
      </c>
      <c r="C997" s="164" t="s">
        <v>278</v>
      </c>
      <c r="D997" s="164" t="s">
        <v>150</v>
      </c>
      <c r="E997" s="79">
        <v>44774</v>
      </c>
      <c r="F997" s="6" t="s">
        <v>16</v>
      </c>
      <c r="G997" s="6" t="s">
        <v>2923</v>
      </c>
      <c r="H997" s="170">
        <v>20500</v>
      </c>
      <c r="I997" s="172">
        <f t="shared" si="47"/>
        <v>234.76866697205682</v>
      </c>
      <c r="J997" s="162">
        <v>44795</v>
      </c>
      <c r="K997" s="6" t="s">
        <v>253</v>
      </c>
      <c r="L997" s="162">
        <v>44795</v>
      </c>
      <c r="M997" s="175" t="s">
        <v>6200</v>
      </c>
      <c r="N997" s="6" t="s">
        <v>2968</v>
      </c>
      <c r="O997" s="6" t="s">
        <v>280</v>
      </c>
      <c r="P997" s="6" t="str">
        <f t="shared" si="48"/>
        <v>SAFe que</v>
      </c>
      <c r="Q997" t="str">
        <f t="shared" si="49"/>
        <v>2022</v>
      </c>
    </row>
    <row r="998" spans="1:17">
      <c r="A998" s="162">
        <v>44796</v>
      </c>
      <c r="B998" s="164" t="s">
        <v>2969</v>
      </c>
      <c r="C998" s="164" t="s">
        <v>278</v>
      </c>
      <c r="D998" s="164" t="s">
        <v>1524</v>
      </c>
      <c r="E998" s="79">
        <v>44774</v>
      </c>
      <c r="F998" s="6" t="s">
        <v>16</v>
      </c>
      <c r="G998" s="6" t="s">
        <v>2923</v>
      </c>
      <c r="H998" s="170">
        <v>24000</v>
      </c>
      <c r="I998" s="172">
        <f t="shared" si="47"/>
        <v>274.85112230874944</v>
      </c>
      <c r="J998" s="162">
        <v>44796</v>
      </c>
      <c r="K998" s="6" t="s">
        <v>253</v>
      </c>
      <c r="L998" s="162">
        <v>44797</v>
      </c>
      <c r="M998" s="175" t="s">
        <v>6201</v>
      </c>
      <c r="N998" s="6" t="s">
        <v>2924</v>
      </c>
      <c r="O998" s="6" t="s">
        <v>280</v>
      </c>
      <c r="P998" s="6" t="str">
        <f t="shared" si="48"/>
        <v>SAFe que</v>
      </c>
      <c r="Q998" t="str">
        <f t="shared" si="49"/>
        <v>2022</v>
      </c>
    </row>
    <row r="999" spans="1:17">
      <c r="A999" s="162">
        <v>44796</v>
      </c>
      <c r="B999" s="164" t="s">
        <v>2971</v>
      </c>
      <c r="C999" s="164" t="s">
        <v>319</v>
      </c>
      <c r="D999" s="164" t="s">
        <v>96</v>
      </c>
      <c r="E999" s="79">
        <v>44774</v>
      </c>
      <c r="F999" s="6" t="s">
        <v>16</v>
      </c>
      <c r="G999" s="6" t="s">
        <v>2973</v>
      </c>
      <c r="H999" s="170">
        <v>18000</v>
      </c>
      <c r="I999" s="172">
        <f t="shared" si="47"/>
        <v>206.13834173156206</v>
      </c>
      <c r="J999" s="162">
        <v>44796</v>
      </c>
      <c r="K999" s="6" t="s">
        <v>253</v>
      </c>
      <c r="L999" s="162">
        <v>44797</v>
      </c>
      <c r="M999" s="175" t="s">
        <v>6202</v>
      </c>
      <c r="O999" s="6" t="s">
        <v>280</v>
      </c>
      <c r="P999" s="6" t="str">
        <f t="shared" si="48"/>
        <v>Category</v>
      </c>
      <c r="Q999" t="str">
        <f t="shared" si="49"/>
        <v>2022</v>
      </c>
    </row>
    <row r="1000" spans="1:17">
      <c r="A1000" s="162">
        <v>44796</v>
      </c>
      <c r="B1000" s="164" t="s">
        <v>2974</v>
      </c>
      <c r="C1000" s="164" t="s">
        <v>278</v>
      </c>
      <c r="D1000" s="164" t="s">
        <v>96</v>
      </c>
      <c r="E1000" s="79">
        <v>44774</v>
      </c>
      <c r="F1000" s="6" t="s">
        <v>16</v>
      </c>
      <c r="G1000" s="6" t="s">
        <v>2973</v>
      </c>
      <c r="H1000" s="170">
        <v>18000</v>
      </c>
      <c r="I1000" s="172">
        <f t="shared" si="47"/>
        <v>206.13834173156206</v>
      </c>
      <c r="J1000" s="162">
        <v>44796</v>
      </c>
      <c r="K1000" s="6" t="s">
        <v>253</v>
      </c>
      <c r="L1000" s="162">
        <v>44797</v>
      </c>
      <c r="M1000" s="175" t="s">
        <v>6203</v>
      </c>
      <c r="N1000" s="6" t="s">
        <v>2976</v>
      </c>
      <c r="O1000" s="6" t="s">
        <v>280</v>
      </c>
      <c r="P1000" s="6" t="str">
        <f t="shared" si="48"/>
        <v>Category</v>
      </c>
      <c r="Q1000" t="str">
        <f t="shared" si="49"/>
        <v>2022</v>
      </c>
    </row>
    <row r="1001" spans="1:17">
      <c r="A1001" s="162">
        <v>44799</v>
      </c>
      <c r="B1001" s="164" t="s">
        <v>2979</v>
      </c>
      <c r="C1001" s="164" t="s">
        <v>470</v>
      </c>
      <c r="D1001" s="164" t="s">
        <v>2981</v>
      </c>
      <c r="E1001" s="79">
        <v>44774</v>
      </c>
      <c r="F1001" s="6" t="s">
        <v>16</v>
      </c>
      <c r="G1001" s="97">
        <v>44800</v>
      </c>
      <c r="H1001" s="170">
        <v>50000</v>
      </c>
      <c r="I1001" s="172">
        <f t="shared" si="47"/>
        <v>572.60650480989466</v>
      </c>
      <c r="J1001" s="162">
        <v>44799</v>
      </c>
      <c r="K1001" s="6" t="s">
        <v>253</v>
      </c>
      <c r="L1001" s="162">
        <v>44799</v>
      </c>
      <c r="M1001" s="175" t="s">
        <v>6204</v>
      </c>
      <c r="O1001" s="6" t="s">
        <v>356</v>
      </c>
      <c r="P1001" s="6" t="str">
        <f t="shared" si="48"/>
        <v>NonCategory</v>
      </c>
      <c r="Q1001" t="str">
        <f t="shared" si="49"/>
        <v>2022</v>
      </c>
    </row>
    <row r="1002" spans="1:17">
      <c r="A1002" s="162">
        <v>44799</v>
      </c>
      <c r="B1002" s="164" t="s">
        <v>1835</v>
      </c>
      <c r="C1002" s="164" t="s">
        <v>470</v>
      </c>
      <c r="D1002" s="164" t="s">
        <v>25</v>
      </c>
      <c r="E1002" s="79">
        <v>44805</v>
      </c>
      <c r="F1002" s="6" t="s">
        <v>16</v>
      </c>
      <c r="G1002" s="6" t="s">
        <v>2923</v>
      </c>
      <c r="H1002" s="170">
        <v>42000</v>
      </c>
      <c r="I1002" s="172">
        <f t="shared" si="47"/>
        <v>480.98946404031153</v>
      </c>
      <c r="J1002" s="162">
        <v>44799</v>
      </c>
      <c r="K1002" s="6" t="s">
        <v>251</v>
      </c>
      <c r="L1002" s="162">
        <v>44809</v>
      </c>
      <c r="M1002" s="175" t="s">
        <v>6205</v>
      </c>
      <c r="O1002" s="6" t="s">
        <v>280</v>
      </c>
      <c r="P1002" s="6" t="str">
        <f t="shared" si="48"/>
        <v>SAFe que</v>
      </c>
      <c r="Q1002" t="str">
        <f t="shared" si="49"/>
        <v>2022</v>
      </c>
    </row>
    <row r="1003" spans="1:17">
      <c r="A1003" s="162">
        <v>44801</v>
      </c>
      <c r="B1003" s="164" t="s">
        <v>2982</v>
      </c>
      <c r="C1003" s="164" t="s">
        <v>319</v>
      </c>
      <c r="D1003" s="164" t="s">
        <v>150</v>
      </c>
      <c r="E1003" s="79">
        <v>44774</v>
      </c>
      <c r="F1003" s="6" t="s">
        <v>16</v>
      </c>
      <c r="G1003" s="6" t="s">
        <v>2955</v>
      </c>
      <c r="H1003" s="170">
        <v>21000</v>
      </c>
      <c r="I1003" s="172">
        <f t="shared" si="47"/>
        <v>240.49473202015577</v>
      </c>
      <c r="J1003" s="162">
        <v>44801</v>
      </c>
      <c r="K1003" s="6" t="s">
        <v>253</v>
      </c>
      <c r="L1003" s="162">
        <v>44801</v>
      </c>
      <c r="M1003" s="175" t="s">
        <v>6206</v>
      </c>
      <c r="O1003" s="6" t="s">
        <v>280</v>
      </c>
      <c r="P1003" s="6" t="str">
        <f t="shared" si="48"/>
        <v>SAFe que</v>
      </c>
      <c r="Q1003" t="str">
        <f t="shared" si="49"/>
        <v>2022</v>
      </c>
    </row>
    <row r="1004" spans="1:17">
      <c r="A1004" s="162">
        <v>44803</v>
      </c>
      <c r="B1004" s="164" t="s">
        <v>2984</v>
      </c>
      <c r="C1004" s="164" t="s">
        <v>306</v>
      </c>
      <c r="D1004" s="164" t="s">
        <v>96</v>
      </c>
      <c r="E1004" s="79">
        <v>44774</v>
      </c>
      <c r="F1004" s="6" t="s">
        <v>16</v>
      </c>
      <c r="G1004" s="6" t="s">
        <v>2923</v>
      </c>
      <c r="H1004" s="170">
        <v>20000</v>
      </c>
      <c r="I1004" s="172">
        <f t="shared" si="47"/>
        <v>229.04260192395787</v>
      </c>
      <c r="J1004" s="162">
        <v>44803</v>
      </c>
      <c r="K1004" s="6" t="s">
        <v>253</v>
      </c>
      <c r="L1004" s="162">
        <v>44803</v>
      </c>
      <c r="M1004" s="175" t="s">
        <v>6207</v>
      </c>
      <c r="O1004" s="6" t="s">
        <v>356</v>
      </c>
      <c r="P1004" s="6" t="str">
        <f t="shared" si="48"/>
        <v>Category</v>
      </c>
      <c r="Q1004" t="str">
        <f t="shared" si="49"/>
        <v>2022</v>
      </c>
    </row>
    <row r="1005" spans="1:17">
      <c r="A1005" s="162">
        <v>44803</v>
      </c>
      <c r="B1005" s="164" t="s">
        <v>2986</v>
      </c>
      <c r="C1005" s="164" t="s">
        <v>291</v>
      </c>
      <c r="D1005" s="164" t="s">
        <v>150</v>
      </c>
      <c r="E1005" s="79">
        <v>44774</v>
      </c>
      <c r="F1005" s="6" t="s">
        <v>16</v>
      </c>
      <c r="G1005" s="6" t="s">
        <v>2955</v>
      </c>
      <c r="H1005" s="170">
        <v>21000</v>
      </c>
      <c r="I1005" s="172">
        <f t="shared" si="47"/>
        <v>240.49473202015577</v>
      </c>
      <c r="J1005" s="162">
        <v>44803</v>
      </c>
      <c r="K1005" s="6" t="s">
        <v>253</v>
      </c>
      <c r="L1005" s="162">
        <v>44803</v>
      </c>
      <c r="M1005" s="175" t="s">
        <v>6208</v>
      </c>
      <c r="O1005" s="6" t="s">
        <v>280</v>
      </c>
      <c r="P1005" s="6" t="str">
        <f t="shared" si="48"/>
        <v>SAFe que</v>
      </c>
      <c r="Q1005" t="str">
        <f t="shared" si="49"/>
        <v>2022</v>
      </c>
    </row>
    <row r="1006" spans="1:17">
      <c r="A1006" s="162">
        <v>44803</v>
      </c>
      <c r="B1006" s="164" t="s">
        <v>2988</v>
      </c>
      <c r="C1006" s="164" t="s">
        <v>319</v>
      </c>
      <c r="D1006" s="164" t="s">
        <v>150</v>
      </c>
      <c r="E1006" s="79">
        <v>44774</v>
      </c>
      <c r="F1006" s="6" t="s">
        <v>16</v>
      </c>
      <c r="G1006" s="6" t="s">
        <v>2955</v>
      </c>
      <c r="H1006" s="170">
        <v>21000</v>
      </c>
      <c r="I1006" s="172">
        <f t="shared" si="47"/>
        <v>240.49473202015577</v>
      </c>
      <c r="J1006" s="162">
        <v>44803</v>
      </c>
      <c r="K1006" s="6" t="s">
        <v>253</v>
      </c>
      <c r="L1006" s="162">
        <v>44803</v>
      </c>
      <c r="M1006" s="175" t="s">
        <v>6209</v>
      </c>
      <c r="O1006" s="6" t="s">
        <v>280</v>
      </c>
      <c r="P1006" s="6" t="str">
        <f t="shared" si="48"/>
        <v>SAFe que</v>
      </c>
      <c r="Q1006" t="str">
        <f t="shared" si="49"/>
        <v>2022</v>
      </c>
    </row>
    <row r="1007" spans="1:17">
      <c r="A1007" s="162">
        <v>44804</v>
      </c>
      <c r="B1007" s="165" t="s">
        <v>2990</v>
      </c>
      <c r="C1007" s="165" t="s">
        <v>319</v>
      </c>
      <c r="D1007" s="165" t="s">
        <v>150</v>
      </c>
      <c r="E1007" s="79">
        <v>44774</v>
      </c>
      <c r="F1007" s="6" t="s">
        <v>16</v>
      </c>
      <c r="G1007" s="6" t="s">
        <v>2958</v>
      </c>
      <c r="H1007" s="170">
        <v>21000</v>
      </c>
      <c r="I1007" s="172">
        <f t="shared" si="47"/>
        <v>240.49473202015577</v>
      </c>
      <c r="J1007" s="162">
        <v>44804</v>
      </c>
      <c r="K1007" s="6" t="s">
        <v>253</v>
      </c>
      <c r="L1007" s="162">
        <v>44804</v>
      </c>
      <c r="M1007" s="175" t="s">
        <v>6210</v>
      </c>
      <c r="O1007" s="6" t="s">
        <v>356</v>
      </c>
      <c r="P1007" s="6" t="str">
        <f t="shared" si="48"/>
        <v>SAFe que</v>
      </c>
      <c r="Q1007" t="str">
        <f t="shared" si="49"/>
        <v>2022</v>
      </c>
    </row>
    <row r="1008" spans="1:17">
      <c r="A1008" s="162">
        <v>44806</v>
      </c>
      <c r="B1008" s="164" t="s">
        <v>2992</v>
      </c>
      <c r="C1008" s="164" t="s">
        <v>319</v>
      </c>
      <c r="D1008" s="164" t="s">
        <v>151</v>
      </c>
      <c r="E1008" s="79">
        <v>44805</v>
      </c>
      <c r="F1008" s="6" t="s">
        <v>16</v>
      </c>
      <c r="G1008" s="6" t="s">
        <v>2955</v>
      </c>
      <c r="H1008" s="170">
        <v>21000</v>
      </c>
      <c r="I1008" s="172">
        <f t="shared" si="47"/>
        <v>240.49473202015577</v>
      </c>
      <c r="J1008" s="162">
        <v>44806</v>
      </c>
      <c r="K1008" s="6" t="s">
        <v>251</v>
      </c>
      <c r="L1008" s="162">
        <v>44806</v>
      </c>
      <c r="M1008" s="175" t="s">
        <v>6211</v>
      </c>
      <c r="O1008" s="6" t="s">
        <v>280</v>
      </c>
      <c r="P1008" s="6" t="str">
        <f t="shared" si="48"/>
        <v>SAFe que</v>
      </c>
      <c r="Q1008" t="str">
        <f t="shared" si="49"/>
        <v>2022</v>
      </c>
    </row>
    <row r="1009" spans="1:17">
      <c r="A1009" s="162">
        <v>44806</v>
      </c>
      <c r="B1009" s="164" t="s">
        <v>2994</v>
      </c>
      <c r="C1009" s="164" t="s">
        <v>303</v>
      </c>
      <c r="D1009" s="164" t="s">
        <v>150</v>
      </c>
      <c r="E1009" s="79">
        <v>44805</v>
      </c>
      <c r="F1009" s="6" t="s">
        <v>16</v>
      </c>
      <c r="G1009" s="6" t="s">
        <v>2923</v>
      </c>
      <c r="H1009" s="170">
        <v>21000</v>
      </c>
      <c r="I1009" s="172">
        <f t="shared" si="47"/>
        <v>240.49473202015577</v>
      </c>
      <c r="J1009" s="162">
        <v>44806</v>
      </c>
      <c r="K1009" s="6" t="s">
        <v>251</v>
      </c>
      <c r="L1009" s="162">
        <v>44806</v>
      </c>
      <c r="M1009" s="175" t="s">
        <v>6212</v>
      </c>
      <c r="O1009" s="6" t="s">
        <v>280</v>
      </c>
      <c r="P1009" s="6" t="str">
        <f t="shared" si="48"/>
        <v>SAFe que</v>
      </c>
      <c r="Q1009" t="str">
        <f t="shared" si="49"/>
        <v>2022</v>
      </c>
    </row>
    <row r="1010" spans="1:17">
      <c r="A1010" s="162">
        <v>44807</v>
      </c>
      <c r="B1010" s="164" t="s">
        <v>2996</v>
      </c>
      <c r="C1010" s="164" t="s">
        <v>278</v>
      </c>
      <c r="D1010" s="164" t="s">
        <v>1524</v>
      </c>
      <c r="E1010" s="79">
        <v>44805</v>
      </c>
      <c r="F1010" s="6" t="s">
        <v>16</v>
      </c>
      <c r="G1010" s="6" t="s">
        <v>2998</v>
      </c>
      <c r="H1010" s="170">
        <v>24000</v>
      </c>
      <c r="I1010" s="172">
        <f t="shared" si="47"/>
        <v>274.85112230874944</v>
      </c>
      <c r="J1010" s="162">
        <v>44807</v>
      </c>
      <c r="K1010" s="6" t="s">
        <v>251</v>
      </c>
      <c r="L1010" s="162">
        <v>44807</v>
      </c>
      <c r="M1010" s="175" t="s">
        <v>6213</v>
      </c>
      <c r="N1010" s="6" t="s">
        <v>2999</v>
      </c>
      <c r="O1010" s="6" t="s">
        <v>280</v>
      </c>
      <c r="P1010" s="6" t="str">
        <f t="shared" si="48"/>
        <v>SAFe que</v>
      </c>
      <c r="Q1010" t="str">
        <f t="shared" si="49"/>
        <v>2022</v>
      </c>
    </row>
    <row r="1011" spans="1:17">
      <c r="A1011" s="162">
        <v>44809</v>
      </c>
      <c r="B1011" s="164" t="s">
        <v>3000</v>
      </c>
      <c r="C1011" s="164" t="s">
        <v>303</v>
      </c>
      <c r="D1011" s="164" t="s">
        <v>151</v>
      </c>
      <c r="E1011" s="79">
        <v>44805</v>
      </c>
      <c r="F1011" s="6" t="s">
        <v>16</v>
      </c>
      <c r="G1011" s="6" t="s">
        <v>2923</v>
      </c>
      <c r="H1011" s="170">
        <v>21000</v>
      </c>
      <c r="I1011" s="172">
        <f t="shared" si="47"/>
        <v>240.49473202015577</v>
      </c>
      <c r="J1011" s="162">
        <v>44809</v>
      </c>
      <c r="K1011" s="6" t="s">
        <v>251</v>
      </c>
      <c r="L1011" s="162">
        <v>44809</v>
      </c>
      <c r="M1011" s="175" t="s">
        <v>6214</v>
      </c>
      <c r="O1011" s="6" t="s">
        <v>280</v>
      </c>
      <c r="P1011" s="6" t="str">
        <f t="shared" si="48"/>
        <v>SAFe que</v>
      </c>
      <c r="Q1011" t="str">
        <f t="shared" si="49"/>
        <v>2022</v>
      </c>
    </row>
    <row r="1012" spans="1:17">
      <c r="A1012" s="162">
        <v>44809</v>
      </c>
      <c r="B1012" s="164" t="s">
        <v>3002</v>
      </c>
      <c r="C1012" s="164" t="s">
        <v>278</v>
      </c>
      <c r="D1012" s="164" t="s">
        <v>6</v>
      </c>
      <c r="E1012" s="79">
        <v>44805</v>
      </c>
      <c r="F1012" s="6" t="s">
        <v>16</v>
      </c>
      <c r="G1012" s="6" t="s">
        <v>2958</v>
      </c>
      <c r="H1012" s="170">
        <v>40061</v>
      </c>
      <c r="I1012" s="172">
        <f t="shared" si="47"/>
        <v>458.7837837837838</v>
      </c>
      <c r="J1012" s="162">
        <v>44809</v>
      </c>
      <c r="K1012" s="6" t="s">
        <v>251</v>
      </c>
      <c r="L1012" s="162">
        <v>44809</v>
      </c>
      <c r="M1012" s="175" t="s">
        <v>6215</v>
      </c>
      <c r="N1012" s="6" t="s">
        <v>3004</v>
      </c>
      <c r="O1012" s="6" t="s">
        <v>280</v>
      </c>
      <c r="P1012" s="6" t="str">
        <f t="shared" si="48"/>
        <v>SAFe que</v>
      </c>
      <c r="Q1012" t="str">
        <f t="shared" si="49"/>
        <v>2022</v>
      </c>
    </row>
    <row r="1013" spans="1:17">
      <c r="A1013" s="162">
        <v>44809</v>
      </c>
      <c r="B1013" s="164" t="s">
        <v>3005</v>
      </c>
      <c r="C1013" s="164" t="s">
        <v>1842</v>
      </c>
      <c r="D1013" s="164" t="s">
        <v>538</v>
      </c>
      <c r="E1013" s="79">
        <v>44805</v>
      </c>
      <c r="F1013" s="6" t="s">
        <v>16</v>
      </c>
      <c r="G1013" s="97">
        <v>44821</v>
      </c>
      <c r="H1013" s="170">
        <v>10000</v>
      </c>
      <c r="I1013" s="172">
        <f t="shared" si="47"/>
        <v>114.52130096197894</v>
      </c>
      <c r="J1013" s="162">
        <v>44810</v>
      </c>
      <c r="K1013" s="6" t="s">
        <v>251</v>
      </c>
      <c r="L1013" s="162">
        <v>44810</v>
      </c>
      <c r="M1013" s="175" t="s">
        <v>6216</v>
      </c>
      <c r="O1013" s="6" t="s">
        <v>356</v>
      </c>
      <c r="P1013" s="6" t="str">
        <f t="shared" si="48"/>
        <v>NonCategory</v>
      </c>
      <c r="Q1013" t="str">
        <f t="shared" si="49"/>
        <v>2022</v>
      </c>
    </row>
    <row r="1014" spans="1:17">
      <c r="A1014" s="162">
        <v>44810</v>
      </c>
      <c r="B1014" s="164" t="s">
        <v>3005</v>
      </c>
      <c r="C1014" s="164" t="s">
        <v>1842</v>
      </c>
      <c r="D1014" s="164" t="s">
        <v>3007</v>
      </c>
      <c r="E1014" s="79">
        <v>44805</v>
      </c>
      <c r="F1014" s="6" t="s">
        <v>16</v>
      </c>
      <c r="G1014" s="97">
        <v>44821</v>
      </c>
      <c r="H1014" s="170">
        <v>47125</v>
      </c>
      <c r="I1014" s="172">
        <f t="shared" si="47"/>
        <v>539.68163078332566</v>
      </c>
      <c r="J1014" s="162">
        <v>44811</v>
      </c>
      <c r="K1014" s="6" t="s">
        <v>251</v>
      </c>
      <c r="L1014" s="162">
        <v>44811</v>
      </c>
      <c r="M1014" s="175" t="s">
        <v>6216</v>
      </c>
      <c r="O1014" s="6" t="s">
        <v>356</v>
      </c>
      <c r="P1014" s="6" t="str">
        <f t="shared" si="48"/>
        <v>NonCategory</v>
      </c>
      <c r="Q1014" t="str">
        <f t="shared" si="49"/>
        <v>2022</v>
      </c>
    </row>
    <row r="1015" spans="1:17">
      <c r="A1015" s="162">
        <v>44812</v>
      </c>
      <c r="B1015" s="164" t="s">
        <v>3008</v>
      </c>
      <c r="C1015" s="164" t="s">
        <v>303</v>
      </c>
      <c r="D1015" s="164" t="s">
        <v>7</v>
      </c>
      <c r="E1015" s="79">
        <v>44805</v>
      </c>
      <c r="F1015" s="6" t="s">
        <v>16</v>
      </c>
      <c r="G1015" s="6" t="s">
        <v>2923</v>
      </c>
      <c r="H1015" s="170">
        <v>40061</v>
      </c>
      <c r="I1015" s="172">
        <f t="shared" si="47"/>
        <v>458.7837837837838</v>
      </c>
      <c r="J1015" s="162">
        <v>44812</v>
      </c>
      <c r="K1015" s="6" t="s">
        <v>251</v>
      </c>
      <c r="L1015" s="162">
        <v>44813</v>
      </c>
      <c r="M1015" s="175" t="s">
        <v>6217</v>
      </c>
      <c r="O1015" s="6" t="s">
        <v>356</v>
      </c>
      <c r="P1015" s="6" t="str">
        <f t="shared" si="48"/>
        <v>SAFe que</v>
      </c>
      <c r="Q1015" t="str">
        <f t="shared" si="49"/>
        <v>2022</v>
      </c>
    </row>
    <row r="1016" spans="1:17">
      <c r="A1016" s="162">
        <v>44812</v>
      </c>
      <c r="B1016" s="164" t="s">
        <v>3012</v>
      </c>
      <c r="C1016" s="164" t="s">
        <v>303</v>
      </c>
      <c r="D1016" s="164" t="s">
        <v>96</v>
      </c>
      <c r="E1016" s="79">
        <v>44805</v>
      </c>
      <c r="F1016" s="6" t="s">
        <v>16</v>
      </c>
      <c r="G1016" s="6" t="s">
        <v>2923</v>
      </c>
      <c r="H1016" s="170">
        <v>20000</v>
      </c>
      <c r="I1016" s="172">
        <f t="shared" si="47"/>
        <v>229.04260192395787</v>
      </c>
      <c r="J1016" s="162">
        <v>44812</v>
      </c>
      <c r="K1016" s="6" t="s">
        <v>251</v>
      </c>
      <c r="L1016" s="162">
        <v>44812</v>
      </c>
      <c r="M1016" s="175" t="s">
        <v>6218</v>
      </c>
      <c r="O1016" s="6" t="s">
        <v>280</v>
      </c>
      <c r="P1016" s="6" t="str">
        <f t="shared" si="48"/>
        <v>Category</v>
      </c>
      <c r="Q1016" t="str">
        <f t="shared" si="49"/>
        <v>2022</v>
      </c>
    </row>
    <row r="1017" spans="1:17">
      <c r="A1017" s="162">
        <v>44812</v>
      </c>
      <c r="B1017" s="164" t="s">
        <v>3014</v>
      </c>
      <c r="C1017" s="164" t="s">
        <v>291</v>
      </c>
      <c r="D1017" s="164" t="s">
        <v>96</v>
      </c>
      <c r="E1017" s="79">
        <v>44805</v>
      </c>
      <c r="F1017" s="6" t="s">
        <v>16</v>
      </c>
      <c r="G1017" s="6" t="s">
        <v>2923</v>
      </c>
      <c r="H1017" s="170">
        <v>20000</v>
      </c>
      <c r="I1017" s="172">
        <f t="shared" si="47"/>
        <v>229.04260192395787</v>
      </c>
      <c r="J1017" s="162">
        <v>44812</v>
      </c>
      <c r="K1017" s="6" t="s">
        <v>251</v>
      </c>
      <c r="L1017" s="162">
        <v>44812</v>
      </c>
      <c r="M1017" s="175" t="s">
        <v>6219</v>
      </c>
      <c r="O1017" s="6" t="s">
        <v>280</v>
      </c>
      <c r="P1017" s="6" t="str">
        <f t="shared" si="48"/>
        <v>Category</v>
      </c>
      <c r="Q1017" t="str">
        <f t="shared" si="49"/>
        <v>2022</v>
      </c>
    </row>
    <row r="1018" spans="1:17">
      <c r="A1018" s="162">
        <v>44815</v>
      </c>
      <c r="B1018" s="164" t="s">
        <v>3017</v>
      </c>
      <c r="C1018" s="164" t="s">
        <v>303</v>
      </c>
      <c r="D1018" s="164" t="s">
        <v>25</v>
      </c>
      <c r="E1018" s="79">
        <v>44805</v>
      </c>
      <c r="F1018" s="6" t="s">
        <v>16</v>
      </c>
      <c r="G1018" s="6" t="s">
        <v>2961</v>
      </c>
      <c r="H1018" s="170">
        <v>42000</v>
      </c>
      <c r="I1018" s="172">
        <f t="shared" si="47"/>
        <v>480.98946404031153</v>
      </c>
      <c r="J1018" s="162">
        <v>44815</v>
      </c>
      <c r="K1018" s="6" t="s">
        <v>252</v>
      </c>
      <c r="L1018" s="162">
        <v>44815</v>
      </c>
      <c r="M1018" s="175" t="s">
        <v>6220</v>
      </c>
      <c r="O1018" s="6" t="s">
        <v>356</v>
      </c>
      <c r="P1018" s="6" t="str">
        <f t="shared" si="48"/>
        <v>SAFe que</v>
      </c>
      <c r="Q1018" t="str">
        <f t="shared" si="49"/>
        <v>2022</v>
      </c>
    </row>
    <row r="1019" spans="1:17">
      <c r="A1019" s="162">
        <v>44815</v>
      </c>
      <c r="B1019" s="164" t="s">
        <v>3019</v>
      </c>
      <c r="C1019" s="164" t="s">
        <v>278</v>
      </c>
      <c r="D1019" s="164" t="s">
        <v>25</v>
      </c>
      <c r="E1019" s="79">
        <v>44805</v>
      </c>
      <c r="F1019" s="6" t="s">
        <v>16</v>
      </c>
      <c r="G1019" s="6" t="s">
        <v>2961</v>
      </c>
      <c r="H1019" s="170">
        <v>42000</v>
      </c>
      <c r="I1019" s="172">
        <f t="shared" si="47"/>
        <v>480.98946404031153</v>
      </c>
      <c r="J1019" s="162">
        <v>44815</v>
      </c>
      <c r="K1019" s="6" t="s">
        <v>252</v>
      </c>
      <c r="L1019" s="162">
        <v>44815</v>
      </c>
      <c r="M1019" s="175" t="s">
        <v>6221</v>
      </c>
      <c r="N1019" s="6" t="s">
        <v>1939</v>
      </c>
      <c r="O1019" s="6" t="s">
        <v>356</v>
      </c>
      <c r="P1019" s="6" t="str">
        <f t="shared" si="48"/>
        <v>SAFe que</v>
      </c>
      <c r="Q1019" t="str">
        <f t="shared" si="49"/>
        <v>2022</v>
      </c>
    </row>
    <row r="1020" spans="1:17">
      <c r="A1020" s="162">
        <v>44816</v>
      </c>
      <c r="B1020" s="164" t="s">
        <v>3021</v>
      </c>
      <c r="C1020" s="164" t="s">
        <v>306</v>
      </c>
      <c r="D1020" s="164" t="s">
        <v>538</v>
      </c>
      <c r="E1020" s="79">
        <v>44805</v>
      </c>
      <c r="F1020" s="6" t="s">
        <v>16</v>
      </c>
      <c r="G1020" s="97">
        <v>44821</v>
      </c>
      <c r="H1020" s="170">
        <v>10000</v>
      </c>
      <c r="I1020" s="172">
        <f t="shared" si="47"/>
        <v>114.52130096197894</v>
      </c>
      <c r="J1020" s="162">
        <v>44816</v>
      </c>
      <c r="K1020" s="6" t="s">
        <v>252</v>
      </c>
      <c r="L1020" s="162">
        <v>44816</v>
      </c>
      <c r="M1020" s="175" t="s">
        <v>6222</v>
      </c>
      <c r="O1020" s="6" t="s">
        <v>356</v>
      </c>
      <c r="P1020" s="6" t="str">
        <f t="shared" si="48"/>
        <v>NonCategory</v>
      </c>
      <c r="Q1020" t="str">
        <f t="shared" si="49"/>
        <v>2022</v>
      </c>
    </row>
    <row r="1021" spans="1:17">
      <c r="A1021" s="162">
        <v>44816</v>
      </c>
      <c r="B1021" s="164" t="s">
        <v>3023</v>
      </c>
      <c r="C1021" s="164" t="s">
        <v>2455</v>
      </c>
      <c r="D1021" s="164" t="s">
        <v>6</v>
      </c>
      <c r="E1021" s="79">
        <v>44805</v>
      </c>
      <c r="F1021" s="6" t="s">
        <v>16</v>
      </c>
      <c r="G1021" s="6" t="s">
        <v>2961</v>
      </c>
      <c r="H1021" s="170">
        <v>40061</v>
      </c>
      <c r="I1021" s="172">
        <f t="shared" si="47"/>
        <v>458.7837837837838</v>
      </c>
      <c r="J1021" s="162">
        <v>44816</v>
      </c>
      <c r="K1021" s="6" t="s">
        <v>252</v>
      </c>
      <c r="L1021" s="162">
        <v>44817</v>
      </c>
      <c r="M1021" s="175" t="s">
        <v>6223</v>
      </c>
      <c r="O1021" s="6" t="s">
        <v>356</v>
      </c>
      <c r="P1021" s="6" t="str">
        <f t="shared" si="48"/>
        <v>SAFe que</v>
      </c>
      <c r="Q1021" t="str">
        <f t="shared" si="49"/>
        <v>2022</v>
      </c>
    </row>
    <row r="1022" spans="1:17">
      <c r="A1022" s="162">
        <v>44817</v>
      </c>
      <c r="B1022" s="164" t="s">
        <v>2771</v>
      </c>
      <c r="C1022" s="164" t="s">
        <v>278</v>
      </c>
      <c r="D1022" s="164" t="s">
        <v>150</v>
      </c>
      <c r="E1022" s="79">
        <v>44805</v>
      </c>
      <c r="F1022" s="6" t="s">
        <v>16</v>
      </c>
      <c r="G1022" s="6" t="s">
        <v>2998</v>
      </c>
      <c r="H1022" s="170">
        <v>21000</v>
      </c>
      <c r="I1022" s="172">
        <f t="shared" si="47"/>
        <v>240.49473202015577</v>
      </c>
      <c r="J1022" s="162">
        <v>44817</v>
      </c>
      <c r="K1022" s="6" t="s">
        <v>252</v>
      </c>
      <c r="L1022" s="162">
        <v>44816</v>
      </c>
      <c r="M1022" s="175" t="s">
        <v>6224</v>
      </c>
      <c r="N1022" s="6" t="s">
        <v>1939</v>
      </c>
      <c r="O1022" s="6" t="s">
        <v>280</v>
      </c>
      <c r="P1022" s="6" t="str">
        <f t="shared" si="48"/>
        <v>SAFe que</v>
      </c>
      <c r="Q1022" t="str">
        <f t="shared" si="49"/>
        <v>2022</v>
      </c>
    </row>
    <row r="1023" spans="1:17">
      <c r="A1023" s="162">
        <v>44817</v>
      </c>
      <c r="B1023" s="164" t="s">
        <v>3026</v>
      </c>
      <c r="C1023" s="164" t="s">
        <v>278</v>
      </c>
      <c r="D1023" s="164" t="s">
        <v>150</v>
      </c>
      <c r="E1023" s="79">
        <v>44805</v>
      </c>
      <c r="F1023" s="6" t="s">
        <v>16</v>
      </c>
      <c r="G1023" s="6" t="s">
        <v>2998</v>
      </c>
      <c r="H1023" s="170">
        <v>21000</v>
      </c>
      <c r="I1023" s="172">
        <f t="shared" si="47"/>
        <v>240.49473202015577</v>
      </c>
      <c r="J1023" s="162">
        <v>44817</v>
      </c>
      <c r="K1023" s="6" t="s">
        <v>252</v>
      </c>
      <c r="L1023" s="162">
        <v>44816</v>
      </c>
      <c r="M1023" s="175" t="s">
        <v>6225</v>
      </c>
      <c r="N1023" s="6" t="s">
        <v>3028</v>
      </c>
      <c r="O1023" s="6" t="s">
        <v>280</v>
      </c>
      <c r="P1023" s="6" t="str">
        <f t="shared" si="48"/>
        <v>SAFe que</v>
      </c>
      <c r="Q1023" t="str">
        <f t="shared" si="49"/>
        <v>2022</v>
      </c>
    </row>
    <row r="1024" spans="1:17">
      <c r="A1024" s="162">
        <v>44818</v>
      </c>
      <c r="B1024" s="164" t="s">
        <v>3029</v>
      </c>
      <c r="C1024" s="164" t="s">
        <v>303</v>
      </c>
      <c r="D1024" s="164" t="s">
        <v>1524</v>
      </c>
      <c r="E1024" s="79">
        <v>44805</v>
      </c>
      <c r="F1024" s="6" t="s">
        <v>16</v>
      </c>
      <c r="G1024" s="6" t="s">
        <v>2998</v>
      </c>
      <c r="H1024" s="170">
        <v>24000</v>
      </c>
      <c r="I1024" s="172">
        <f t="shared" si="47"/>
        <v>274.85112230874944</v>
      </c>
      <c r="J1024" s="162">
        <v>44818</v>
      </c>
      <c r="K1024" s="6" t="s">
        <v>252</v>
      </c>
      <c r="L1024" s="162">
        <v>44818</v>
      </c>
      <c r="M1024" s="175" t="s">
        <v>6226</v>
      </c>
      <c r="O1024" s="6" t="s">
        <v>280</v>
      </c>
      <c r="P1024" s="6" t="str">
        <f t="shared" si="48"/>
        <v>SAFe que</v>
      </c>
      <c r="Q1024" t="str">
        <f t="shared" si="49"/>
        <v>2022</v>
      </c>
    </row>
    <row r="1025" spans="1:17">
      <c r="A1025" s="162">
        <v>44818</v>
      </c>
      <c r="B1025" s="164" t="s">
        <v>3031</v>
      </c>
      <c r="C1025" s="164" t="s">
        <v>278</v>
      </c>
      <c r="D1025" s="164" t="s">
        <v>150</v>
      </c>
      <c r="E1025" s="79">
        <v>44805</v>
      </c>
      <c r="F1025" s="6" t="s">
        <v>16</v>
      </c>
      <c r="G1025" s="6" t="s">
        <v>2958</v>
      </c>
      <c r="H1025" s="170">
        <v>20500</v>
      </c>
      <c r="I1025" s="172">
        <f t="shared" ref="I1025:I1088" si="50">IFERROR((($H1025/1.18))/74,"")</f>
        <v>234.76866697205682</v>
      </c>
      <c r="J1025" s="162">
        <v>44818</v>
      </c>
      <c r="K1025" s="6" t="s">
        <v>252</v>
      </c>
      <c r="L1025" s="162">
        <v>44818</v>
      </c>
      <c r="M1025" s="175" t="s">
        <v>6227</v>
      </c>
      <c r="N1025" s="6" t="s">
        <v>3033</v>
      </c>
      <c r="O1025" s="6" t="s">
        <v>280</v>
      </c>
      <c r="P1025" s="6" t="str">
        <f t="shared" si="48"/>
        <v>SAFe que</v>
      </c>
      <c r="Q1025" t="str">
        <f t="shared" si="49"/>
        <v>2022</v>
      </c>
    </row>
    <row r="1026" spans="1:17">
      <c r="A1026" s="162">
        <v>44819</v>
      </c>
      <c r="B1026" s="164" t="s">
        <v>3036</v>
      </c>
      <c r="C1026" s="164" t="s">
        <v>319</v>
      </c>
      <c r="D1026" s="164" t="s">
        <v>150</v>
      </c>
      <c r="E1026" s="79">
        <v>44805</v>
      </c>
      <c r="F1026" s="6" t="s">
        <v>16</v>
      </c>
      <c r="G1026" s="6" t="s">
        <v>2958</v>
      </c>
      <c r="H1026" s="170">
        <v>21000</v>
      </c>
      <c r="I1026" s="172">
        <f t="shared" si="50"/>
        <v>240.49473202015577</v>
      </c>
      <c r="J1026" s="162">
        <v>44819</v>
      </c>
      <c r="K1026" s="6" t="s">
        <v>252</v>
      </c>
      <c r="L1026" s="162">
        <v>44819</v>
      </c>
      <c r="M1026" s="175" t="s">
        <v>6228</v>
      </c>
      <c r="O1026" s="6" t="s">
        <v>356</v>
      </c>
      <c r="P1026" s="6" t="str">
        <f t="shared" ref="P1026:P1089" si="51">IFERROR(_xlfn.IFS($D1026="CSM","Category",$D1026="CSPO","Category", $D1026="PSM","SAFe que",$D1026="PSPO","SAFe que",$D1026="SAFe Agile","SAFe que",$D1026="SAFe SSM","SAFe que",$D1026="SAFe POPM","SAFe que",$D1026="SASM","SAFe que",$D1026="PMI-ACP","Category",$D1026="ICP-ACC","SAFe que",$D1026="PSM 2","SAFe que",$D1026="SAFe RTE","SAFe que",$D1026="Implementing SAFe","SAFe que",$D1026="SAFe for Government","SAFe que",$D1026="PSPO 2","SAFe que",$D1026="",""),"NonCategory")</f>
        <v>SAFe que</v>
      </c>
      <c r="Q1026" t="str">
        <f t="shared" ref="Q1026:Q1089" si="52">TEXT(E1026, "yyyy")</f>
        <v>2022</v>
      </c>
    </row>
    <row r="1027" spans="1:17">
      <c r="A1027" s="162">
        <v>44819</v>
      </c>
      <c r="B1027" s="164" t="s">
        <v>3038</v>
      </c>
      <c r="C1027" s="164" t="s">
        <v>278</v>
      </c>
      <c r="D1027" s="164" t="s">
        <v>97</v>
      </c>
      <c r="E1027" s="79">
        <v>44805</v>
      </c>
      <c r="F1027" s="6" t="s">
        <v>16</v>
      </c>
      <c r="G1027" s="6" t="s">
        <v>2961</v>
      </c>
      <c r="H1027" s="170">
        <v>20000</v>
      </c>
      <c r="I1027" s="172">
        <f t="shared" si="50"/>
        <v>229.04260192395787</v>
      </c>
      <c r="J1027" s="162">
        <v>44819</v>
      </c>
      <c r="K1027" s="6" t="s">
        <v>252</v>
      </c>
      <c r="L1027" s="162">
        <v>44819</v>
      </c>
      <c r="M1027" s="175" t="s">
        <v>6229</v>
      </c>
      <c r="N1027" s="6" t="s">
        <v>3040</v>
      </c>
      <c r="O1027" s="6" t="s">
        <v>356</v>
      </c>
      <c r="P1027" s="6" t="str">
        <f t="shared" si="51"/>
        <v>Category</v>
      </c>
      <c r="Q1027" t="str">
        <f t="shared" si="52"/>
        <v>2022</v>
      </c>
    </row>
    <row r="1028" spans="1:17">
      <c r="A1028" s="162">
        <v>44820</v>
      </c>
      <c r="B1028" s="164" t="s">
        <v>3041</v>
      </c>
      <c r="C1028" s="164" t="s">
        <v>470</v>
      </c>
      <c r="D1028" s="164" t="s">
        <v>150</v>
      </c>
      <c r="E1028" s="79">
        <v>44805</v>
      </c>
      <c r="F1028" s="6" t="s">
        <v>16</v>
      </c>
      <c r="G1028" s="6" t="s">
        <v>2958</v>
      </c>
      <c r="H1028" s="170">
        <v>20500</v>
      </c>
      <c r="I1028" s="172">
        <f t="shared" si="50"/>
        <v>234.76866697205682</v>
      </c>
      <c r="J1028" s="162">
        <v>44820</v>
      </c>
      <c r="K1028" s="6" t="s">
        <v>252</v>
      </c>
      <c r="L1028" s="162">
        <v>44820</v>
      </c>
      <c r="M1028" s="175" t="s">
        <v>6230</v>
      </c>
      <c r="O1028" s="6" t="s">
        <v>280</v>
      </c>
      <c r="P1028" s="6" t="str">
        <f t="shared" si="51"/>
        <v>SAFe que</v>
      </c>
      <c r="Q1028" t="str">
        <f t="shared" si="52"/>
        <v>2022</v>
      </c>
    </row>
    <row r="1029" spans="1:17">
      <c r="A1029" s="162">
        <v>44821</v>
      </c>
      <c r="B1029" s="164" t="s">
        <v>1062</v>
      </c>
      <c r="C1029" s="164" t="s">
        <v>470</v>
      </c>
      <c r="D1029" s="164" t="s">
        <v>538</v>
      </c>
      <c r="E1029" s="79">
        <v>44805</v>
      </c>
      <c r="F1029" s="6" t="s">
        <v>16</v>
      </c>
      <c r="G1029" s="97">
        <v>44821</v>
      </c>
      <c r="H1029" s="170">
        <v>49000</v>
      </c>
      <c r="I1029" s="172">
        <f t="shared" si="50"/>
        <v>561.15437471369682</v>
      </c>
      <c r="J1029" s="162">
        <v>44821</v>
      </c>
      <c r="K1029" s="6" t="s">
        <v>252</v>
      </c>
      <c r="L1029" s="162">
        <v>44821</v>
      </c>
      <c r="M1029" s="175" t="s">
        <v>6231</v>
      </c>
      <c r="O1029" s="6" t="s">
        <v>356</v>
      </c>
      <c r="P1029" s="6" t="str">
        <f t="shared" si="51"/>
        <v>NonCategory</v>
      </c>
      <c r="Q1029" t="str">
        <f t="shared" si="52"/>
        <v>2022</v>
      </c>
    </row>
    <row r="1030" spans="1:17">
      <c r="A1030" s="162">
        <v>44821</v>
      </c>
      <c r="B1030" s="164" t="s">
        <v>3043</v>
      </c>
      <c r="C1030" s="164" t="s">
        <v>306</v>
      </c>
      <c r="D1030" s="164" t="s">
        <v>151</v>
      </c>
      <c r="E1030" s="79">
        <v>44805</v>
      </c>
      <c r="F1030" s="6" t="s">
        <v>16</v>
      </c>
      <c r="G1030" s="6" t="s">
        <v>3016</v>
      </c>
      <c r="H1030" s="170">
        <v>21000</v>
      </c>
      <c r="I1030" s="172">
        <f t="shared" si="50"/>
        <v>240.49473202015577</v>
      </c>
      <c r="J1030" s="162">
        <v>44821</v>
      </c>
      <c r="K1030" s="6" t="s">
        <v>252</v>
      </c>
      <c r="L1030" s="162">
        <v>44821</v>
      </c>
      <c r="M1030" s="175" t="s">
        <v>6232</v>
      </c>
      <c r="O1030" s="6" t="s">
        <v>356</v>
      </c>
      <c r="P1030" s="6" t="str">
        <f t="shared" si="51"/>
        <v>SAFe que</v>
      </c>
      <c r="Q1030" t="str">
        <f t="shared" si="52"/>
        <v>2022</v>
      </c>
    </row>
    <row r="1031" spans="1:17">
      <c r="A1031" s="162">
        <v>44821</v>
      </c>
      <c r="B1031" s="164" t="s">
        <v>3045</v>
      </c>
      <c r="C1031" s="164" t="s">
        <v>278</v>
      </c>
      <c r="D1031" s="164" t="s">
        <v>96</v>
      </c>
      <c r="E1031" s="79">
        <v>44805</v>
      </c>
      <c r="F1031" s="6" t="s">
        <v>16</v>
      </c>
      <c r="G1031" s="6" t="s">
        <v>2998</v>
      </c>
      <c r="H1031" s="170">
        <v>20500</v>
      </c>
      <c r="I1031" s="172">
        <f t="shared" si="50"/>
        <v>234.76866697205682</v>
      </c>
      <c r="J1031" s="162">
        <v>44821</v>
      </c>
      <c r="K1031" s="6" t="s">
        <v>252</v>
      </c>
      <c r="L1031" s="162">
        <v>44821</v>
      </c>
      <c r="M1031" s="175" t="s">
        <v>6233</v>
      </c>
      <c r="N1031" s="6" t="s">
        <v>3047</v>
      </c>
      <c r="O1031" s="6" t="s">
        <v>280</v>
      </c>
      <c r="P1031" s="6" t="str">
        <f t="shared" si="51"/>
        <v>Category</v>
      </c>
      <c r="Q1031" t="str">
        <f t="shared" si="52"/>
        <v>2022</v>
      </c>
    </row>
    <row r="1032" spans="1:17">
      <c r="A1032" s="162">
        <v>44821</v>
      </c>
      <c r="B1032" s="164" t="s">
        <v>3048</v>
      </c>
      <c r="C1032" s="164" t="s">
        <v>278</v>
      </c>
      <c r="D1032" s="164" t="s">
        <v>96</v>
      </c>
      <c r="E1032" s="79">
        <v>44805</v>
      </c>
      <c r="F1032" s="6" t="s">
        <v>16</v>
      </c>
      <c r="G1032" s="6" t="s">
        <v>2998</v>
      </c>
      <c r="H1032" s="170">
        <v>20000</v>
      </c>
      <c r="I1032" s="172">
        <f t="shared" si="50"/>
        <v>229.04260192395787</v>
      </c>
      <c r="J1032" s="162">
        <v>44821</v>
      </c>
      <c r="K1032" s="6" t="s">
        <v>252</v>
      </c>
      <c r="L1032" s="162">
        <v>44821</v>
      </c>
      <c r="M1032" s="175" t="s">
        <v>6234</v>
      </c>
      <c r="N1032" s="6" t="s">
        <v>3050</v>
      </c>
      <c r="O1032" s="6" t="s">
        <v>280</v>
      </c>
      <c r="P1032" s="6" t="str">
        <f t="shared" si="51"/>
        <v>Category</v>
      </c>
      <c r="Q1032" t="str">
        <f t="shared" si="52"/>
        <v>2022</v>
      </c>
    </row>
    <row r="1033" spans="1:17">
      <c r="A1033" s="162">
        <v>44822</v>
      </c>
      <c r="B1033" s="164" t="s">
        <v>3051</v>
      </c>
      <c r="C1033" s="164" t="s">
        <v>278</v>
      </c>
      <c r="D1033" s="164" t="s">
        <v>25</v>
      </c>
      <c r="E1033" s="79">
        <v>44805</v>
      </c>
      <c r="F1033" s="6" t="s">
        <v>16</v>
      </c>
      <c r="G1033" s="6" t="s">
        <v>2998</v>
      </c>
      <c r="H1033" s="170">
        <v>40061</v>
      </c>
      <c r="I1033" s="172">
        <f t="shared" si="50"/>
        <v>458.7837837837838</v>
      </c>
      <c r="J1033" s="162">
        <v>44822</v>
      </c>
      <c r="K1033" s="6" t="s">
        <v>252</v>
      </c>
      <c r="L1033" s="162">
        <v>44822</v>
      </c>
      <c r="M1033" s="175" t="s">
        <v>6235</v>
      </c>
      <c r="N1033" s="6" t="s">
        <v>1278</v>
      </c>
      <c r="O1033" s="6" t="s">
        <v>280</v>
      </c>
      <c r="P1033" s="6" t="str">
        <f t="shared" si="51"/>
        <v>SAFe que</v>
      </c>
      <c r="Q1033" t="str">
        <f t="shared" si="52"/>
        <v>2022</v>
      </c>
    </row>
    <row r="1034" spans="1:17">
      <c r="A1034" s="162">
        <v>44822</v>
      </c>
      <c r="B1034" s="164" t="s">
        <v>3053</v>
      </c>
      <c r="C1034" s="164" t="s">
        <v>278</v>
      </c>
      <c r="D1034" s="164" t="s">
        <v>96</v>
      </c>
      <c r="E1034" s="79">
        <v>44805</v>
      </c>
      <c r="F1034" s="6" t="s">
        <v>16</v>
      </c>
      <c r="G1034" s="6" t="s">
        <v>2998</v>
      </c>
      <c r="H1034" s="170">
        <v>20000</v>
      </c>
      <c r="I1034" s="172">
        <f t="shared" si="50"/>
        <v>229.04260192395787</v>
      </c>
      <c r="J1034" s="162">
        <v>44822</v>
      </c>
      <c r="K1034" s="6" t="s">
        <v>252</v>
      </c>
      <c r="L1034" s="162">
        <v>44822</v>
      </c>
      <c r="M1034" s="175" t="s">
        <v>6236</v>
      </c>
      <c r="N1034" s="6" t="s">
        <v>3055</v>
      </c>
      <c r="O1034" s="6" t="s">
        <v>280</v>
      </c>
      <c r="P1034" s="6" t="str">
        <f t="shared" si="51"/>
        <v>Category</v>
      </c>
      <c r="Q1034" t="str">
        <f t="shared" si="52"/>
        <v>2022</v>
      </c>
    </row>
    <row r="1035" spans="1:17">
      <c r="A1035" s="162">
        <v>44824</v>
      </c>
      <c r="B1035" s="164" t="s">
        <v>3056</v>
      </c>
      <c r="C1035" s="164" t="s">
        <v>291</v>
      </c>
      <c r="D1035" s="164" t="s">
        <v>151</v>
      </c>
      <c r="E1035" s="79">
        <v>44805</v>
      </c>
      <c r="F1035" s="6" t="s">
        <v>16</v>
      </c>
      <c r="G1035" s="6" t="s">
        <v>2998</v>
      </c>
      <c r="H1035" s="170">
        <v>21000</v>
      </c>
      <c r="I1035" s="172">
        <f t="shared" si="50"/>
        <v>240.49473202015577</v>
      </c>
      <c r="J1035" s="162">
        <v>44824</v>
      </c>
      <c r="K1035" s="6" t="s">
        <v>252</v>
      </c>
      <c r="L1035" s="162">
        <v>44824</v>
      </c>
      <c r="M1035" s="175" t="s">
        <v>6237</v>
      </c>
      <c r="O1035" s="6" t="s">
        <v>356</v>
      </c>
      <c r="P1035" s="6" t="str">
        <f t="shared" si="51"/>
        <v>SAFe que</v>
      </c>
      <c r="Q1035" t="str">
        <f t="shared" si="52"/>
        <v>2022</v>
      </c>
    </row>
    <row r="1036" spans="1:17">
      <c r="A1036" s="162">
        <v>44824</v>
      </c>
      <c r="B1036" s="164" t="s">
        <v>3060</v>
      </c>
      <c r="C1036" s="164" t="s">
        <v>278</v>
      </c>
      <c r="D1036" s="164" t="s">
        <v>97</v>
      </c>
      <c r="E1036" s="79">
        <v>44805</v>
      </c>
      <c r="F1036" s="6" t="s">
        <v>16</v>
      </c>
      <c r="G1036" s="6" t="s">
        <v>2998</v>
      </c>
      <c r="H1036" s="170">
        <v>20000</v>
      </c>
      <c r="I1036" s="172">
        <f t="shared" si="50"/>
        <v>229.04260192395787</v>
      </c>
      <c r="J1036" s="162">
        <v>44824</v>
      </c>
      <c r="K1036" s="6" t="s">
        <v>252</v>
      </c>
      <c r="L1036" s="162">
        <v>44824</v>
      </c>
      <c r="M1036" s="175" t="s">
        <v>6238</v>
      </c>
      <c r="N1036" s="6" t="s">
        <v>1278</v>
      </c>
      <c r="O1036" s="6" t="s">
        <v>280</v>
      </c>
      <c r="P1036" s="6" t="str">
        <f t="shared" si="51"/>
        <v>Category</v>
      </c>
      <c r="Q1036" t="str">
        <f t="shared" si="52"/>
        <v>2022</v>
      </c>
    </row>
    <row r="1037" spans="1:17">
      <c r="A1037" s="162">
        <v>44824</v>
      </c>
      <c r="B1037" s="164" t="s">
        <v>3062</v>
      </c>
      <c r="C1037" s="164" t="s">
        <v>306</v>
      </c>
      <c r="D1037" s="164" t="s">
        <v>150</v>
      </c>
      <c r="E1037" s="79">
        <v>44805</v>
      </c>
      <c r="F1037" s="6" t="s">
        <v>16</v>
      </c>
      <c r="G1037" s="6" t="s">
        <v>2998</v>
      </c>
      <c r="H1037" s="170">
        <v>20500</v>
      </c>
      <c r="I1037" s="172">
        <f t="shared" si="50"/>
        <v>234.76866697205682</v>
      </c>
      <c r="J1037" s="162">
        <v>44824</v>
      </c>
      <c r="K1037" s="6" t="s">
        <v>252</v>
      </c>
      <c r="L1037" s="162">
        <v>44824</v>
      </c>
      <c r="M1037" s="175" t="s">
        <v>6239</v>
      </c>
      <c r="O1037" s="6" t="s">
        <v>280</v>
      </c>
      <c r="P1037" s="6" t="str">
        <f t="shared" si="51"/>
        <v>SAFe que</v>
      </c>
      <c r="Q1037" t="str">
        <f t="shared" si="52"/>
        <v>2022</v>
      </c>
    </row>
    <row r="1038" spans="1:17">
      <c r="A1038" s="162">
        <v>44824</v>
      </c>
      <c r="B1038" s="164" t="s">
        <v>3064</v>
      </c>
      <c r="C1038" s="164" t="s">
        <v>278</v>
      </c>
      <c r="D1038" s="164" t="s">
        <v>150</v>
      </c>
      <c r="E1038" s="79">
        <v>44805</v>
      </c>
      <c r="F1038" s="6" t="s">
        <v>16</v>
      </c>
      <c r="G1038" s="6" t="s">
        <v>2998</v>
      </c>
      <c r="H1038" s="170">
        <v>21000</v>
      </c>
      <c r="I1038" s="172">
        <f t="shared" si="50"/>
        <v>240.49473202015577</v>
      </c>
      <c r="J1038" s="162">
        <v>44824</v>
      </c>
      <c r="K1038" s="6" t="s">
        <v>252</v>
      </c>
      <c r="L1038" s="162">
        <v>44824</v>
      </c>
      <c r="M1038" s="175" t="s">
        <v>6240</v>
      </c>
      <c r="N1038" s="6" t="s">
        <v>3066</v>
      </c>
      <c r="O1038" s="6" t="s">
        <v>280</v>
      </c>
      <c r="P1038" s="6" t="str">
        <f t="shared" si="51"/>
        <v>SAFe que</v>
      </c>
      <c r="Q1038" t="str">
        <f t="shared" si="52"/>
        <v>2022</v>
      </c>
    </row>
    <row r="1039" spans="1:17">
      <c r="A1039" s="162">
        <v>44824</v>
      </c>
      <c r="B1039" s="164" t="s">
        <v>3067</v>
      </c>
      <c r="C1039" s="164" t="s">
        <v>291</v>
      </c>
      <c r="D1039" s="164" t="s">
        <v>96</v>
      </c>
      <c r="E1039" s="79">
        <v>44805</v>
      </c>
      <c r="F1039" s="6" t="s">
        <v>16</v>
      </c>
      <c r="G1039" s="6" t="s">
        <v>2998</v>
      </c>
      <c r="H1039" s="170">
        <v>20000</v>
      </c>
      <c r="I1039" s="172">
        <f t="shared" si="50"/>
        <v>229.04260192395787</v>
      </c>
      <c r="J1039" s="162">
        <v>44824</v>
      </c>
      <c r="K1039" s="6" t="s">
        <v>252</v>
      </c>
      <c r="L1039" s="162">
        <v>44824</v>
      </c>
      <c r="M1039" s="175" t="s">
        <v>6241</v>
      </c>
      <c r="O1039" s="6" t="s">
        <v>356</v>
      </c>
      <c r="P1039" s="6" t="str">
        <f t="shared" si="51"/>
        <v>Category</v>
      </c>
      <c r="Q1039" t="str">
        <f t="shared" si="52"/>
        <v>2022</v>
      </c>
    </row>
    <row r="1040" spans="1:17">
      <c r="A1040" s="162">
        <v>44825</v>
      </c>
      <c r="B1040" s="164" t="s">
        <v>3069</v>
      </c>
      <c r="C1040" s="164" t="s">
        <v>278</v>
      </c>
      <c r="D1040" s="164" t="s">
        <v>97</v>
      </c>
      <c r="E1040" s="79">
        <v>44805</v>
      </c>
      <c r="F1040" s="6" t="s">
        <v>16</v>
      </c>
      <c r="G1040" s="6" t="s">
        <v>2961</v>
      </c>
      <c r="H1040" s="170">
        <v>20000</v>
      </c>
      <c r="I1040" s="172">
        <f t="shared" si="50"/>
        <v>229.04260192395787</v>
      </c>
      <c r="J1040" s="162">
        <v>44825</v>
      </c>
      <c r="K1040" s="6" t="s">
        <v>253</v>
      </c>
      <c r="L1040" s="162">
        <v>44825</v>
      </c>
      <c r="M1040" s="175" t="s">
        <v>6242</v>
      </c>
      <c r="N1040" s="6" t="s">
        <v>1478</v>
      </c>
      <c r="O1040" s="6" t="s">
        <v>356</v>
      </c>
      <c r="P1040" s="6" t="str">
        <f t="shared" si="51"/>
        <v>Category</v>
      </c>
      <c r="Q1040" t="str">
        <f t="shared" si="52"/>
        <v>2022</v>
      </c>
    </row>
    <row r="1041" spans="1:17">
      <c r="A1041" s="162">
        <v>44825</v>
      </c>
      <c r="B1041" s="164" t="s">
        <v>3071</v>
      </c>
      <c r="C1041" s="164" t="s">
        <v>1842</v>
      </c>
      <c r="D1041" s="164" t="s">
        <v>150</v>
      </c>
      <c r="E1041" s="79">
        <v>44805</v>
      </c>
      <c r="F1041" s="6" t="s">
        <v>16</v>
      </c>
      <c r="G1041" s="6" t="s">
        <v>2998</v>
      </c>
      <c r="H1041" s="170">
        <v>21000</v>
      </c>
      <c r="I1041" s="172">
        <f t="shared" si="50"/>
        <v>240.49473202015577</v>
      </c>
      <c r="J1041" s="162">
        <v>44825</v>
      </c>
      <c r="K1041" s="6" t="s">
        <v>253</v>
      </c>
      <c r="L1041" s="162">
        <v>44825</v>
      </c>
      <c r="M1041" s="175" t="s">
        <v>6243</v>
      </c>
      <c r="O1041" s="6" t="s">
        <v>280</v>
      </c>
      <c r="P1041" s="6" t="str">
        <f t="shared" si="51"/>
        <v>SAFe que</v>
      </c>
      <c r="Q1041" t="str">
        <f t="shared" si="52"/>
        <v>2022</v>
      </c>
    </row>
    <row r="1042" spans="1:17">
      <c r="A1042" s="162">
        <v>44826</v>
      </c>
      <c r="B1042" s="164" t="s">
        <v>3073</v>
      </c>
      <c r="C1042" s="164" t="s">
        <v>470</v>
      </c>
      <c r="D1042" s="164" t="s">
        <v>150</v>
      </c>
      <c r="E1042" s="79">
        <v>44805</v>
      </c>
      <c r="F1042" s="6" t="s">
        <v>16</v>
      </c>
      <c r="G1042" s="6" t="s">
        <v>2961</v>
      </c>
      <c r="H1042" s="170">
        <v>20500</v>
      </c>
      <c r="I1042" s="172">
        <f t="shared" si="50"/>
        <v>234.76866697205682</v>
      </c>
      <c r="J1042" s="162">
        <v>44826</v>
      </c>
      <c r="K1042" s="6" t="s">
        <v>253</v>
      </c>
      <c r="L1042" s="162">
        <v>44826</v>
      </c>
      <c r="M1042" s="175" t="s">
        <v>6244</v>
      </c>
      <c r="O1042" s="6" t="s">
        <v>356</v>
      </c>
      <c r="P1042" s="6" t="str">
        <f t="shared" si="51"/>
        <v>SAFe que</v>
      </c>
      <c r="Q1042" t="str">
        <f t="shared" si="52"/>
        <v>2022</v>
      </c>
    </row>
    <row r="1043" spans="1:17">
      <c r="A1043" s="162">
        <v>44826</v>
      </c>
      <c r="B1043" s="164" t="s">
        <v>2552</v>
      </c>
      <c r="C1043" s="164" t="s">
        <v>303</v>
      </c>
      <c r="D1043" s="164" t="s">
        <v>151</v>
      </c>
      <c r="E1043" s="79">
        <v>44805</v>
      </c>
      <c r="F1043" s="6" t="s">
        <v>16</v>
      </c>
      <c r="G1043" s="6" t="s">
        <v>2998</v>
      </c>
      <c r="H1043" s="170">
        <v>21000</v>
      </c>
      <c r="I1043" s="172">
        <f t="shared" si="50"/>
        <v>240.49473202015577</v>
      </c>
      <c r="J1043" s="162">
        <v>44826</v>
      </c>
      <c r="K1043" s="6" t="s">
        <v>253</v>
      </c>
      <c r="L1043" s="162">
        <v>44826</v>
      </c>
      <c r="M1043" s="175" t="s">
        <v>6245</v>
      </c>
      <c r="O1043" s="6" t="s">
        <v>280</v>
      </c>
      <c r="P1043" s="6" t="str">
        <f t="shared" si="51"/>
        <v>SAFe que</v>
      </c>
      <c r="Q1043" t="str">
        <f t="shared" si="52"/>
        <v>2022</v>
      </c>
    </row>
    <row r="1044" spans="1:17">
      <c r="A1044" s="162">
        <v>44827</v>
      </c>
      <c r="B1044" s="164" t="s">
        <v>3076</v>
      </c>
      <c r="C1044" s="164" t="s">
        <v>343</v>
      </c>
      <c r="D1044" s="164" t="s">
        <v>150</v>
      </c>
      <c r="E1044" s="79">
        <v>44805</v>
      </c>
      <c r="F1044" s="6" t="s">
        <v>16</v>
      </c>
      <c r="G1044" s="6" t="s">
        <v>2998</v>
      </c>
      <c r="H1044" s="170">
        <v>21000</v>
      </c>
      <c r="I1044" s="172">
        <f t="shared" si="50"/>
        <v>240.49473202015577</v>
      </c>
      <c r="J1044" s="162">
        <v>44827</v>
      </c>
      <c r="K1044" s="6" t="s">
        <v>253</v>
      </c>
      <c r="L1044" s="162">
        <v>44827</v>
      </c>
      <c r="M1044" s="175" t="s">
        <v>6246</v>
      </c>
      <c r="O1044" s="6" t="s">
        <v>356</v>
      </c>
      <c r="P1044" s="6" t="str">
        <f t="shared" si="51"/>
        <v>SAFe que</v>
      </c>
      <c r="Q1044" t="str">
        <f t="shared" si="52"/>
        <v>2022</v>
      </c>
    </row>
    <row r="1045" spans="1:17">
      <c r="A1045" s="162">
        <v>44827</v>
      </c>
      <c r="B1045" s="164" t="s">
        <v>3078</v>
      </c>
      <c r="C1045" s="164" t="s">
        <v>287</v>
      </c>
      <c r="D1045" s="164" t="s">
        <v>150</v>
      </c>
      <c r="E1045" s="79">
        <v>44805</v>
      </c>
      <c r="F1045" s="6" t="s">
        <v>16</v>
      </c>
      <c r="G1045" s="6" t="s">
        <v>2961</v>
      </c>
      <c r="H1045" s="170">
        <v>20500</v>
      </c>
      <c r="I1045" s="172">
        <f t="shared" si="50"/>
        <v>234.76866697205682</v>
      </c>
      <c r="J1045" s="162">
        <v>44827</v>
      </c>
      <c r="K1045" s="6" t="s">
        <v>253</v>
      </c>
      <c r="L1045" s="162">
        <v>44827</v>
      </c>
      <c r="M1045" s="175" t="s">
        <v>6247</v>
      </c>
      <c r="O1045" s="6" t="s">
        <v>356</v>
      </c>
      <c r="P1045" s="6" t="str">
        <f t="shared" si="51"/>
        <v>SAFe que</v>
      </c>
      <c r="Q1045" t="str">
        <f t="shared" si="52"/>
        <v>2022</v>
      </c>
    </row>
    <row r="1046" spans="1:17">
      <c r="A1046" s="162">
        <v>44827</v>
      </c>
      <c r="B1046" s="164" t="s">
        <v>3080</v>
      </c>
      <c r="C1046" s="164" t="s">
        <v>278</v>
      </c>
      <c r="D1046" s="164" t="s">
        <v>1524</v>
      </c>
      <c r="E1046" s="79">
        <v>44805</v>
      </c>
      <c r="F1046" s="6" t="s">
        <v>16</v>
      </c>
      <c r="G1046" s="6" t="s">
        <v>2998</v>
      </c>
      <c r="H1046" s="170">
        <v>24000</v>
      </c>
      <c r="I1046" s="172">
        <f t="shared" si="50"/>
        <v>274.85112230874944</v>
      </c>
      <c r="J1046" s="162">
        <v>44827</v>
      </c>
      <c r="K1046" s="6" t="s">
        <v>253</v>
      </c>
      <c r="L1046" s="162">
        <v>44827</v>
      </c>
      <c r="M1046" s="175" t="s">
        <v>6248</v>
      </c>
      <c r="N1046" s="6" t="s">
        <v>3082</v>
      </c>
      <c r="O1046" s="6" t="s">
        <v>356</v>
      </c>
      <c r="P1046" s="6" t="str">
        <f t="shared" si="51"/>
        <v>SAFe que</v>
      </c>
      <c r="Q1046" t="str">
        <f t="shared" si="52"/>
        <v>2022</v>
      </c>
    </row>
    <row r="1047" spans="1:17">
      <c r="A1047" s="162">
        <v>44828</v>
      </c>
      <c r="B1047" s="164" t="s">
        <v>3083</v>
      </c>
      <c r="C1047" s="164" t="s">
        <v>306</v>
      </c>
      <c r="D1047" s="164" t="s">
        <v>96</v>
      </c>
      <c r="E1047" s="79">
        <v>44805</v>
      </c>
      <c r="F1047" s="6" t="s">
        <v>16</v>
      </c>
      <c r="G1047" s="6" t="s">
        <v>3085</v>
      </c>
      <c r="H1047" s="170">
        <v>20000</v>
      </c>
      <c r="I1047" s="172">
        <f t="shared" si="50"/>
        <v>229.04260192395787</v>
      </c>
      <c r="J1047" s="162">
        <v>44828</v>
      </c>
      <c r="K1047" s="6" t="s">
        <v>253</v>
      </c>
      <c r="L1047" s="162">
        <v>44828</v>
      </c>
      <c r="M1047" s="175" t="s">
        <v>6249</v>
      </c>
      <c r="O1047" s="6" t="s">
        <v>356</v>
      </c>
      <c r="P1047" s="6" t="str">
        <f t="shared" si="51"/>
        <v>Category</v>
      </c>
      <c r="Q1047" t="str">
        <f t="shared" si="52"/>
        <v>2022</v>
      </c>
    </row>
    <row r="1048" spans="1:17">
      <c r="A1048" s="162">
        <v>44828</v>
      </c>
      <c r="B1048" s="164" t="s">
        <v>620</v>
      </c>
      <c r="C1048" s="164" t="s">
        <v>319</v>
      </c>
      <c r="D1048" s="164" t="s">
        <v>151</v>
      </c>
      <c r="E1048" s="79">
        <v>44805</v>
      </c>
      <c r="F1048" s="6" t="s">
        <v>16</v>
      </c>
      <c r="G1048" s="6" t="s">
        <v>3085</v>
      </c>
      <c r="H1048" s="170">
        <v>21000</v>
      </c>
      <c r="I1048" s="172">
        <f t="shared" si="50"/>
        <v>240.49473202015577</v>
      </c>
      <c r="J1048" s="162">
        <v>44828</v>
      </c>
      <c r="K1048" s="6" t="s">
        <v>253</v>
      </c>
      <c r="L1048" s="162">
        <v>44829</v>
      </c>
      <c r="M1048" s="175" t="s">
        <v>6250</v>
      </c>
      <c r="O1048" s="6" t="s">
        <v>356</v>
      </c>
      <c r="P1048" s="6" t="str">
        <f t="shared" si="51"/>
        <v>SAFe que</v>
      </c>
      <c r="Q1048" t="str">
        <f t="shared" si="52"/>
        <v>2022</v>
      </c>
    </row>
    <row r="1049" spans="1:17">
      <c r="A1049" s="162">
        <v>44830</v>
      </c>
      <c r="B1049" s="164" t="s">
        <v>3087</v>
      </c>
      <c r="C1049" s="164" t="s">
        <v>303</v>
      </c>
      <c r="D1049" s="164" t="s">
        <v>96</v>
      </c>
      <c r="E1049" s="79">
        <v>44805</v>
      </c>
      <c r="F1049" s="6" t="s">
        <v>16</v>
      </c>
      <c r="G1049" s="6" t="s">
        <v>3089</v>
      </c>
      <c r="H1049" s="170">
        <v>20000</v>
      </c>
      <c r="I1049" s="172">
        <f t="shared" si="50"/>
        <v>229.04260192395787</v>
      </c>
      <c r="J1049" s="162">
        <v>44830</v>
      </c>
      <c r="K1049" s="6" t="s">
        <v>253</v>
      </c>
      <c r="L1049" s="162">
        <v>44830</v>
      </c>
      <c r="M1049" s="175" t="s">
        <v>6251</v>
      </c>
      <c r="O1049" s="6" t="s">
        <v>356</v>
      </c>
      <c r="P1049" s="6" t="str">
        <f t="shared" si="51"/>
        <v>Category</v>
      </c>
      <c r="Q1049" t="str">
        <f t="shared" si="52"/>
        <v>2022</v>
      </c>
    </row>
    <row r="1050" spans="1:17">
      <c r="A1050" s="162">
        <v>44830</v>
      </c>
      <c r="B1050" s="164" t="s">
        <v>3090</v>
      </c>
      <c r="C1050" s="164" t="s">
        <v>303</v>
      </c>
      <c r="D1050" s="164" t="s">
        <v>6</v>
      </c>
      <c r="E1050" s="79">
        <v>44805</v>
      </c>
      <c r="F1050" s="6" t="s">
        <v>16</v>
      </c>
      <c r="G1050" s="6" t="s">
        <v>3092</v>
      </c>
      <c r="H1050" s="170">
        <v>42000</v>
      </c>
      <c r="I1050" s="172">
        <f t="shared" si="50"/>
        <v>480.98946404031153</v>
      </c>
      <c r="J1050" s="162">
        <v>44830</v>
      </c>
      <c r="K1050" s="6" t="s">
        <v>253</v>
      </c>
      <c r="L1050" s="162">
        <v>44834</v>
      </c>
      <c r="M1050" s="175" t="s">
        <v>6252</v>
      </c>
      <c r="O1050" s="6" t="s">
        <v>356</v>
      </c>
      <c r="P1050" s="6" t="str">
        <f t="shared" si="51"/>
        <v>SAFe que</v>
      </c>
      <c r="Q1050" t="str">
        <f t="shared" si="52"/>
        <v>2022</v>
      </c>
    </row>
    <row r="1051" spans="1:17">
      <c r="A1051" s="162">
        <v>44831</v>
      </c>
      <c r="B1051" s="164" t="s">
        <v>2397</v>
      </c>
      <c r="C1051" s="164" t="s">
        <v>470</v>
      </c>
      <c r="D1051" s="164" t="s">
        <v>1524</v>
      </c>
      <c r="E1051" s="79">
        <v>44805</v>
      </c>
      <c r="F1051" s="6" t="s">
        <v>16</v>
      </c>
      <c r="G1051" s="6" t="s">
        <v>3093</v>
      </c>
      <c r="H1051" s="170">
        <v>24000</v>
      </c>
      <c r="I1051" s="172">
        <f t="shared" si="50"/>
        <v>274.85112230874944</v>
      </c>
      <c r="J1051" s="162">
        <v>44831</v>
      </c>
      <c r="K1051" s="6" t="s">
        <v>253</v>
      </c>
      <c r="L1051" s="162">
        <v>44831</v>
      </c>
      <c r="M1051" s="175" t="s">
        <v>6253</v>
      </c>
      <c r="O1051" s="6" t="s">
        <v>356</v>
      </c>
      <c r="P1051" s="6" t="str">
        <f t="shared" si="51"/>
        <v>SAFe que</v>
      </c>
      <c r="Q1051" t="str">
        <f t="shared" si="52"/>
        <v>2022</v>
      </c>
    </row>
    <row r="1052" spans="1:17">
      <c r="A1052" s="162">
        <v>44831</v>
      </c>
      <c r="B1052" s="164" t="s">
        <v>3094</v>
      </c>
      <c r="C1052" s="164" t="s">
        <v>278</v>
      </c>
      <c r="D1052" s="164" t="s">
        <v>150</v>
      </c>
      <c r="E1052" s="79">
        <v>44805</v>
      </c>
      <c r="F1052" s="6" t="s">
        <v>16</v>
      </c>
      <c r="G1052" s="6" t="s">
        <v>2961</v>
      </c>
      <c r="H1052" s="170">
        <v>21000</v>
      </c>
      <c r="I1052" s="172">
        <f t="shared" si="50"/>
        <v>240.49473202015577</v>
      </c>
      <c r="J1052" s="162">
        <v>44831</v>
      </c>
      <c r="K1052" s="6" t="s">
        <v>253</v>
      </c>
      <c r="L1052" s="162">
        <v>44831</v>
      </c>
      <c r="M1052" s="175" t="s">
        <v>6254</v>
      </c>
      <c r="N1052" s="6" t="s">
        <v>3096</v>
      </c>
      <c r="O1052" s="6" t="s">
        <v>356</v>
      </c>
      <c r="P1052" s="6" t="str">
        <f t="shared" si="51"/>
        <v>SAFe que</v>
      </c>
      <c r="Q1052" t="str">
        <f t="shared" si="52"/>
        <v>2022</v>
      </c>
    </row>
    <row r="1053" spans="1:17">
      <c r="A1053" s="162">
        <v>44832</v>
      </c>
      <c r="B1053" s="164" t="s">
        <v>3097</v>
      </c>
      <c r="C1053" s="164" t="s">
        <v>470</v>
      </c>
      <c r="D1053" s="164" t="s">
        <v>25</v>
      </c>
      <c r="E1053" s="79">
        <v>44805</v>
      </c>
      <c r="F1053" s="6" t="s">
        <v>16</v>
      </c>
      <c r="G1053" s="6" t="s">
        <v>2961</v>
      </c>
      <c r="H1053" s="170">
        <v>40061</v>
      </c>
      <c r="I1053" s="172">
        <f t="shared" si="50"/>
        <v>458.7837837837838</v>
      </c>
      <c r="J1053" s="162">
        <v>44832</v>
      </c>
      <c r="K1053" s="6" t="s">
        <v>253</v>
      </c>
      <c r="L1053" s="162">
        <v>44832</v>
      </c>
      <c r="M1053" s="175" t="s">
        <v>6255</v>
      </c>
      <c r="O1053" s="6" t="s">
        <v>356</v>
      </c>
      <c r="P1053" s="6" t="str">
        <f t="shared" si="51"/>
        <v>SAFe que</v>
      </c>
      <c r="Q1053" t="str">
        <f t="shared" si="52"/>
        <v>2022</v>
      </c>
    </row>
    <row r="1054" spans="1:17">
      <c r="A1054" s="162">
        <v>44834</v>
      </c>
      <c r="B1054" s="164" t="s">
        <v>3098</v>
      </c>
      <c r="C1054" s="164" t="s">
        <v>470</v>
      </c>
      <c r="D1054" s="164" t="s">
        <v>72</v>
      </c>
      <c r="E1054" s="79">
        <v>44805</v>
      </c>
      <c r="F1054" s="6" t="s">
        <v>16</v>
      </c>
      <c r="G1054" s="6" t="s">
        <v>3100</v>
      </c>
      <c r="H1054" s="170">
        <v>57230</v>
      </c>
      <c r="I1054" s="172">
        <f t="shared" si="50"/>
        <v>655.40540540540542</v>
      </c>
      <c r="J1054" s="162">
        <v>44834</v>
      </c>
      <c r="K1054" s="6" t="s">
        <v>253</v>
      </c>
      <c r="L1054" s="162">
        <v>44834</v>
      </c>
      <c r="M1054" s="175" t="s">
        <v>6256</v>
      </c>
      <c r="O1054" s="6" t="s">
        <v>356</v>
      </c>
      <c r="P1054" s="6" t="str">
        <f t="shared" si="51"/>
        <v>SAFe que</v>
      </c>
      <c r="Q1054" t="str">
        <f t="shared" si="52"/>
        <v>2022</v>
      </c>
    </row>
    <row r="1055" spans="1:17">
      <c r="A1055" s="162">
        <v>44834</v>
      </c>
      <c r="B1055" s="164" t="s">
        <v>3098</v>
      </c>
      <c r="C1055" s="164" t="s">
        <v>470</v>
      </c>
      <c r="D1055" s="164" t="s">
        <v>72</v>
      </c>
      <c r="E1055" s="79">
        <v>44805</v>
      </c>
      <c r="F1055" s="6" t="s">
        <v>16</v>
      </c>
      <c r="G1055" s="6" t="s">
        <v>3100</v>
      </c>
      <c r="H1055" s="170">
        <v>67770</v>
      </c>
      <c r="I1055" s="172">
        <f t="shared" si="50"/>
        <v>776.11085661933123</v>
      </c>
      <c r="J1055" s="162">
        <v>44834</v>
      </c>
      <c r="K1055" s="6" t="s">
        <v>253</v>
      </c>
      <c r="L1055" s="162">
        <v>44834</v>
      </c>
      <c r="M1055" s="175" t="s">
        <v>6257</v>
      </c>
      <c r="O1055" s="6" t="s">
        <v>356</v>
      </c>
      <c r="P1055" s="6" t="str">
        <f t="shared" si="51"/>
        <v>SAFe que</v>
      </c>
      <c r="Q1055" t="str">
        <f t="shared" si="52"/>
        <v>2022</v>
      </c>
    </row>
    <row r="1056" spans="1:17">
      <c r="A1056" s="162">
        <v>44834</v>
      </c>
      <c r="B1056" s="164" t="s">
        <v>3101</v>
      </c>
      <c r="C1056" s="164" t="s">
        <v>306</v>
      </c>
      <c r="D1056" s="164" t="s">
        <v>96</v>
      </c>
      <c r="E1056" s="79">
        <v>44805</v>
      </c>
      <c r="F1056" s="6" t="s">
        <v>16</v>
      </c>
      <c r="G1056" s="6" t="s">
        <v>3103</v>
      </c>
      <c r="H1056" s="170">
        <v>20000</v>
      </c>
      <c r="I1056" s="172">
        <f t="shared" si="50"/>
        <v>229.04260192395787</v>
      </c>
      <c r="J1056" s="162">
        <v>44834</v>
      </c>
      <c r="K1056" s="6" t="s">
        <v>253</v>
      </c>
      <c r="L1056" s="162">
        <v>44834</v>
      </c>
      <c r="M1056" s="175" t="s">
        <v>6258</v>
      </c>
      <c r="O1056" s="6" t="s">
        <v>356</v>
      </c>
      <c r="P1056" s="6" t="str">
        <f t="shared" si="51"/>
        <v>Category</v>
      </c>
      <c r="Q1056" t="str">
        <f t="shared" si="52"/>
        <v>2022</v>
      </c>
    </row>
    <row r="1057" spans="1:17">
      <c r="A1057" s="162">
        <v>44834</v>
      </c>
      <c r="B1057" s="164" t="s">
        <v>3010</v>
      </c>
      <c r="C1057" s="164" t="s">
        <v>278</v>
      </c>
      <c r="D1057" s="164" t="s">
        <v>151</v>
      </c>
      <c r="E1057" s="79">
        <v>44805</v>
      </c>
      <c r="F1057" s="6" t="s">
        <v>16</v>
      </c>
      <c r="G1057" s="6" t="s">
        <v>3085</v>
      </c>
      <c r="H1057" s="170">
        <v>21000</v>
      </c>
      <c r="I1057" s="172">
        <f t="shared" si="50"/>
        <v>240.49473202015577</v>
      </c>
      <c r="J1057" s="162">
        <v>44834</v>
      </c>
      <c r="K1057" s="6" t="s">
        <v>253</v>
      </c>
      <c r="L1057" s="162">
        <v>44834</v>
      </c>
      <c r="M1057" s="175" t="s">
        <v>6259</v>
      </c>
      <c r="N1057" s="6" t="s">
        <v>1478</v>
      </c>
      <c r="O1057" s="6" t="s">
        <v>356</v>
      </c>
      <c r="P1057" s="6" t="str">
        <f t="shared" si="51"/>
        <v>SAFe que</v>
      </c>
      <c r="Q1057" t="str">
        <f t="shared" si="52"/>
        <v>2022</v>
      </c>
    </row>
    <row r="1058" spans="1:17">
      <c r="A1058" s="162">
        <v>44835</v>
      </c>
      <c r="B1058" s="164" t="s">
        <v>3104</v>
      </c>
      <c r="C1058" s="164" t="s">
        <v>303</v>
      </c>
      <c r="D1058" s="164" t="s">
        <v>150</v>
      </c>
      <c r="E1058" s="79">
        <v>44835</v>
      </c>
      <c r="F1058" s="6" t="s">
        <v>16</v>
      </c>
      <c r="G1058" s="6" t="s">
        <v>3016</v>
      </c>
      <c r="H1058" s="170">
        <v>20500</v>
      </c>
      <c r="I1058" s="172">
        <f t="shared" si="50"/>
        <v>234.76866697205682</v>
      </c>
      <c r="J1058" s="162">
        <v>44835</v>
      </c>
      <c r="K1058" s="6" t="s">
        <v>251</v>
      </c>
      <c r="L1058" s="162">
        <v>44837</v>
      </c>
      <c r="M1058" s="175" t="s">
        <v>6260</v>
      </c>
      <c r="O1058" s="6" t="s">
        <v>356</v>
      </c>
      <c r="P1058" s="6" t="str">
        <f t="shared" si="51"/>
        <v>SAFe que</v>
      </c>
      <c r="Q1058" t="str">
        <f t="shared" si="52"/>
        <v>2022</v>
      </c>
    </row>
    <row r="1059" spans="1:17">
      <c r="A1059" s="162">
        <v>44835</v>
      </c>
      <c r="B1059" s="164" t="s">
        <v>2948</v>
      </c>
      <c r="C1059" s="164" t="s">
        <v>319</v>
      </c>
      <c r="D1059" s="164" t="s">
        <v>151</v>
      </c>
      <c r="E1059" s="79">
        <v>44835</v>
      </c>
      <c r="F1059" s="6" t="s">
        <v>16</v>
      </c>
      <c r="G1059" s="6" t="s">
        <v>3085</v>
      </c>
      <c r="H1059" s="170">
        <v>21000</v>
      </c>
      <c r="I1059" s="172">
        <f t="shared" si="50"/>
        <v>240.49473202015577</v>
      </c>
      <c r="J1059" s="162">
        <v>44835</v>
      </c>
      <c r="K1059" s="6" t="s">
        <v>251</v>
      </c>
      <c r="L1059" s="162">
        <v>44835</v>
      </c>
      <c r="M1059" s="175" t="s">
        <v>6261</v>
      </c>
      <c r="O1059" s="6" t="s">
        <v>356</v>
      </c>
      <c r="P1059" s="6" t="str">
        <f t="shared" si="51"/>
        <v>SAFe que</v>
      </c>
      <c r="Q1059" t="str">
        <f t="shared" si="52"/>
        <v>2022</v>
      </c>
    </row>
    <row r="1060" spans="1:17">
      <c r="A1060" s="162">
        <v>44837</v>
      </c>
      <c r="B1060" s="164" t="s">
        <v>3106</v>
      </c>
      <c r="C1060" s="164" t="s">
        <v>319</v>
      </c>
      <c r="D1060" s="164" t="s">
        <v>25</v>
      </c>
      <c r="E1060" s="79">
        <v>44835</v>
      </c>
      <c r="F1060" s="6" t="s">
        <v>16</v>
      </c>
      <c r="G1060" s="6" t="s">
        <v>3085</v>
      </c>
      <c r="H1060" s="170">
        <v>42000</v>
      </c>
      <c r="I1060" s="172">
        <f t="shared" si="50"/>
        <v>480.98946404031153</v>
      </c>
      <c r="J1060" s="162">
        <v>44837</v>
      </c>
      <c r="K1060" s="6" t="s">
        <v>251</v>
      </c>
      <c r="L1060" s="162">
        <v>44837</v>
      </c>
      <c r="M1060" s="175" t="s">
        <v>6262</v>
      </c>
      <c r="O1060" s="6" t="s">
        <v>356</v>
      </c>
      <c r="P1060" s="6" t="str">
        <f t="shared" si="51"/>
        <v>SAFe que</v>
      </c>
      <c r="Q1060" t="str">
        <f t="shared" si="52"/>
        <v>2022</v>
      </c>
    </row>
    <row r="1061" spans="1:17">
      <c r="A1061" s="162">
        <v>44837</v>
      </c>
      <c r="B1061" s="164" t="s">
        <v>3110</v>
      </c>
      <c r="C1061" s="164" t="s">
        <v>291</v>
      </c>
      <c r="D1061" s="164" t="s">
        <v>150</v>
      </c>
      <c r="E1061" s="79">
        <v>44835</v>
      </c>
      <c r="F1061" s="6" t="s">
        <v>16</v>
      </c>
      <c r="G1061" s="6" t="s">
        <v>3085</v>
      </c>
      <c r="H1061" s="170">
        <v>21000</v>
      </c>
      <c r="I1061" s="172">
        <f t="shared" si="50"/>
        <v>240.49473202015577</v>
      </c>
      <c r="J1061" s="162">
        <v>44837</v>
      </c>
      <c r="K1061" s="6" t="s">
        <v>251</v>
      </c>
      <c r="L1061" s="162">
        <v>44837</v>
      </c>
      <c r="M1061" s="175" t="s">
        <v>6263</v>
      </c>
      <c r="O1061" s="6" t="s">
        <v>356</v>
      </c>
      <c r="P1061" s="6" t="str">
        <f t="shared" si="51"/>
        <v>SAFe que</v>
      </c>
      <c r="Q1061" t="str">
        <f t="shared" si="52"/>
        <v>2022</v>
      </c>
    </row>
    <row r="1062" spans="1:17">
      <c r="A1062" s="162">
        <v>44837</v>
      </c>
      <c r="B1062" s="164" t="s">
        <v>3112</v>
      </c>
      <c r="C1062" s="164" t="s">
        <v>470</v>
      </c>
      <c r="D1062" s="164" t="s">
        <v>150</v>
      </c>
      <c r="E1062" s="79">
        <v>44835</v>
      </c>
      <c r="F1062" s="6" t="s">
        <v>16</v>
      </c>
      <c r="G1062" s="6" t="s">
        <v>3085</v>
      </c>
      <c r="H1062" s="170">
        <v>21000</v>
      </c>
      <c r="I1062" s="172">
        <f t="shared" si="50"/>
        <v>240.49473202015577</v>
      </c>
      <c r="J1062" s="162">
        <v>44837</v>
      </c>
      <c r="K1062" s="6" t="s">
        <v>251</v>
      </c>
      <c r="L1062" s="162">
        <v>44837</v>
      </c>
      <c r="M1062" s="175" t="s">
        <v>6264</v>
      </c>
      <c r="O1062" s="6" t="s">
        <v>356</v>
      </c>
      <c r="P1062" s="6" t="str">
        <f t="shared" si="51"/>
        <v>SAFe que</v>
      </c>
      <c r="Q1062" t="str">
        <f t="shared" si="52"/>
        <v>2022</v>
      </c>
    </row>
    <row r="1063" spans="1:17">
      <c r="A1063" s="162">
        <v>44837</v>
      </c>
      <c r="B1063" s="164" t="s">
        <v>3114</v>
      </c>
      <c r="C1063" s="164" t="s">
        <v>278</v>
      </c>
      <c r="D1063" s="164" t="s">
        <v>150</v>
      </c>
      <c r="E1063" s="79">
        <v>44835</v>
      </c>
      <c r="F1063" s="6" t="s">
        <v>16</v>
      </c>
      <c r="G1063" s="6" t="s">
        <v>3085</v>
      </c>
      <c r="H1063" s="170">
        <v>21000</v>
      </c>
      <c r="I1063" s="172">
        <f t="shared" si="50"/>
        <v>240.49473202015577</v>
      </c>
      <c r="J1063" s="162">
        <v>44837</v>
      </c>
      <c r="K1063" s="6" t="s">
        <v>251</v>
      </c>
      <c r="L1063" s="162">
        <v>44841</v>
      </c>
      <c r="M1063" s="175" t="s">
        <v>6265</v>
      </c>
      <c r="N1063" s="6" t="s">
        <v>3116</v>
      </c>
      <c r="O1063" s="6" t="s">
        <v>356</v>
      </c>
      <c r="P1063" s="6" t="str">
        <f t="shared" si="51"/>
        <v>SAFe que</v>
      </c>
      <c r="Q1063" t="str">
        <f t="shared" si="52"/>
        <v>2022</v>
      </c>
    </row>
    <row r="1064" spans="1:17">
      <c r="A1064" s="162">
        <v>44837</v>
      </c>
      <c r="B1064" s="164" t="s">
        <v>3117</v>
      </c>
      <c r="C1064" s="164" t="s">
        <v>278</v>
      </c>
      <c r="D1064" s="164" t="s">
        <v>150</v>
      </c>
      <c r="E1064" s="79">
        <v>44835</v>
      </c>
      <c r="F1064" s="6" t="s">
        <v>16</v>
      </c>
      <c r="G1064" s="6" t="s">
        <v>3085</v>
      </c>
      <c r="H1064" s="170">
        <v>21000</v>
      </c>
      <c r="I1064" s="172">
        <f t="shared" si="50"/>
        <v>240.49473202015577</v>
      </c>
      <c r="J1064" s="162">
        <v>44837</v>
      </c>
      <c r="K1064" s="6" t="s">
        <v>251</v>
      </c>
      <c r="L1064" s="162">
        <v>44837</v>
      </c>
      <c r="M1064" s="175" t="s">
        <v>6266</v>
      </c>
      <c r="N1064" s="6" t="s">
        <v>3119</v>
      </c>
      <c r="O1064" s="6" t="s">
        <v>356</v>
      </c>
      <c r="P1064" s="6" t="str">
        <f t="shared" si="51"/>
        <v>SAFe que</v>
      </c>
      <c r="Q1064" t="str">
        <f t="shared" si="52"/>
        <v>2022</v>
      </c>
    </row>
    <row r="1065" spans="1:17">
      <c r="A1065" s="162">
        <v>44838</v>
      </c>
      <c r="B1065" s="164" t="s">
        <v>3120</v>
      </c>
      <c r="C1065" s="164" t="s">
        <v>278</v>
      </c>
      <c r="D1065" s="164" t="s">
        <v>1524</v>
      </c>
      <c r="E1065" s="79">
        <v>44835</v>
      </c>
      <c r="F1065" s="6" t="s">
        <v>16</v>
      </c>
      <c r="G1065" s="6" t="s">
        <v>2929</v>
      </c>
      <c r="H1065" s="170">
        <v>24000</v>
      </c>
      <c r="I1065" s="172">
        <f t="shared" si="50"/>
        <v>274.85112230874944</v>
      </c>
      <c r="J1065" s="162">
        <v>44838</v>
      </c>
      <c r="K1065" s="6" t="s">
        <v>251</v>
      </c>
      <c r="L1065" s="162">
        <v>44840</v>
      </c>
      <c r="M1065" s="175" t="s">
        <v>6267</v>
      </c>
      <c r="O1065" s="6" t="s">
        <v>356</v>
      </c>
      <c r="P1065" s="6" t="str">
        <f t="shared" si="51"/>
        <v>SAFe que</v>
      </c>
      <c r="Q1065" t="str">
        <f t="shared" si="52"/>
        <v>2022</v>
      </c>
    </row>
    <row r="1066" spans="1:17">
      <c r="A1066" s="162">
        <v>44840</v>
      </c>
      <c r="B1066" s="164" t="s">
        <v>3122</v>
      </c>
      <c r="C1066" s="164" t="s">
        <v>303</v>
      </c>
      <c r="D1066" s="164" t="s">
        <v>532</v>
      </c>
      <c r="E1066" s="79">
        <v>44835</v>
      </c>
      <c r="F1066" s="6" t="s">
        <v>16</v>
      </c>
      <c r="G1066" s="97">
        <v>44840</v>
      </c>
      <c r="H1066" s="170">
        <v>13500</v>
      </c>
      <c r="I1066" s="172">
        <f t="shared" si="50"/>
        <v>154.60375629867156</v>
      </c>
      <c r="J1066" s="162">
        <v>44840</v>
      </c>
      <c r="K1066" s="6" t="s">
        <v>251</v>
      </c>
      <c r="L1066" s="162">
        <v>44840</v>
      </c>
      <c r="M1066" s="175" t="s">
        <v>6268</v>
      </c>
      <c r="O1066" s="6" t="s">
        <v>356</v>
      </c>
      <c r="P1066" s="6" t="str">
        <f t="shared" si="51"/>
        <v>NonCategory</v>
      </c>
      <c r="Q1066" t="str">
        <f t="shared" si="52"/>
        <v>2022</v>
      </c>
    </row>
    <row r="1067" spans="1:17">
      <c r="A1067" s="162">
        <v>44840</v>
      </c>
      <c r="B1067" s="164" t="s">
        <v>3124</v>
      </c>
      <c r="C1067" s="164" t="s">
        <v>291</v>
      </c>
      <c r="D1067" s="164" t="s">
        <v>1497</v>
      </c>
      <c r="E1067" s="79">
        <v>44835</v>
      </c>
      <c r="F1067" s="6" t="s">
        <v>16</v>
      </c>
      <c r="G1067" s="6" t="s">
        <v>3126</v>
      </c>
      <c r="H1067" s="170">
        <v>24000</v>
      </c>
      <c r="I1067" s="172">
        <f t="shared" si="50"/>
        <v>274.85112230874944</v>
      </c>
      <c r="J1067" s="162">
        <v>44840</v>
      </c>
      <c r="K1067" s="6" t="s">
        <v>251</v>
      </c>
      <c r="L1067" s="162">
        <v>44840</v>
      </c>
      <c r="M1067" s="175" t="s">
        <v>6269</v>
      </c>
      <c r="O1067" s="6" t="s">
        <v>356</v>
      </c>
      <c r="P1067" s="6" t="str">
        <f t="shared" si="51"/>
        <v>SAFe que</v>
      </c>
      <c r="Q1067" t="str">
        <f t="shared" si="52"/>
        <v>2022</v>
      </c>
    </row>
    <row r="1068" spans="1:17">
      <c r="A1068" s="162">
        <v>44840</v>
      </c>
      <c r="B1068" s="164" t="s">
        <v>3129</v>
      </c>
      <c r="C1068" s="164" t="s">
        <v>291</v>
      </c>
      <c r="D1068" s="164" t="s">
        <v>151</v>
      </c>
      <c r="E1068" s="79">
        <v>44835</v>
      </c>
      <c r="F1068" s="6" t="s">
        <v>16</v>
      </c>
      <c r="G1068" s="6" t="s">
        <v>3085</v>
      </c>
      <c r="H1068" s="170">
        <v>21000</v>
      </c>
      <c r="I1068" s="172">
        <f t="shared" si="50"/>
        <v>240.49473202015577</v>
      </c>
      <c r="J1068" s="162">
        <v>44840</v>
      </c>
      <c r="K1068" s="6" t="s">
        <v>251</v>
      </c>
      <c r="L1068" s="162">
        <v>44840</v>
      </c>
      <c r="M1068" s="175" t="s">
        <v>6270</v>
      </c>
      <c r="O1068" s="6" t="s">
        <v>356</v>
      </c>
      <c r="P1068" s="6" t="str">
        <f t="shared" si="51"/>
        <v>SAFe que</v>
      </c>
      <c r="Q1068" t="str">
        <f t="shared" si="52"/>
        <v>2022</v>
      </c>
    </row>
    <row r="1069" spans="1:17">
      <c r="A1069" s="162">
        <v>44844</v>
      </c>
      <c r="B1069" s="164" t="s">
        <v>3131</v>
      </c>
      <c r="C1069" s="164" t="s">
        <v>278</v>
      </c>
      <c r="D1069" s="164" t="s">
        <v>1524</v>
      </c>
      <c r="E1069" s="79">
        <v>44835</v>
      </c>
      <c r="F1069" s="6" t="s">
        <v>16</v>
      </c>
      <c r="G1069" s="6" t="s">
        <v>3016</v>
      </c>
      <c r="H1069" s="170">
        <v>24000</v>
      </c>
      <c r="I1069" s="172">
        <f t="shared" si="50"/>
        <v>274.85112230874944</v>
      </c>
      <c r="J1069" s="162">
        <v>44844</v>
      </c>
      <c r="K1069" s="6" t="s">
        <v>252</v>
      </c>
      <c r="L1069" s="162">
        <v>44847</v>
      </c>
      <c r="M1069" s="175" t="s">
        <v>6271</v>
      </c>
      <c r="N1069" s="6" t="s">
        <v>3133</v>
      </c>
      <c r="O1069" s="6" t="s">
        <v>356</v>
      </c>
      <c r="P1069" s="6" t="str">
        <f t="shared" si="51"/>
        <v>SAFe que</v>
      </c>
      <c r="Q1069" t="str">
        <f t="shared" si="52"/>
        <v>2022</v>
      </c>
    </row>
    <row r="1070" spans="1:17">
      <c r="A1070" s="162">
        <v>44844</v>
      </c>
      <c r="B1070" s="164" t="s">
        <v>3134</v>
      </c>
      <c r="C1070" s="164" t="s">
        <v>291</v>
      </c>
      <c r="D1070" s="164" t="s">
        <v>150</v>
      </c>
      <c r="E1070" s="79">
        <v>44835</v>
      </c>
      <c r="F1070" s="6" t="s">
        <v>16</v>
      </c>
      <c r="G1070" s="6" t="s">
        <v>3016</v>
      </c>
      <c r="H1070" s="170">
        <v>21000</v>
      </c>
      <c r="I1070" s="172">
        <f t="shared" si="50"/>
        <v>240.49473202015577</v>
      </c>
      <c r="J1070" s="162">
        <v>44844</v>
      </c>
      <c r="K1070" s="6" t="s">
        <v>252</v>
      </c>
      <c r="L1070" s="162">
        <v>44845</v>
      </c>
      <c r="M1070" s="175" t="s">
        <v>6272</v>
      </c>
      <c r="O1070" s="6" t="s">
        <v>356</v>
      </c>
      <c r="P1070" s="6" t="str">
        <f t="shared" si="51"/>
        <v>SAFe que</v>
      </c>
      <c r="Q1070" t="str">
        <f t="shared" si="52"/>
        <v>2022</v>
      </c>
    </row>
    <row r="1071" spans="1:17">
      <c r="A1071" s="162">
        <v>44844</v>
      </c>
      <c r="B1071" s="164" t="s">
        <v>1829</v>
      </c>
      <c r="C1071" s="164" t="s">
        <v>470</v>
      </c>
      <c r="D1071" s="164" t="s">
        <v>25</v>
      </c>
      <c r="E1071" s="79">
        <v>44835</v>
      </c>
      <c r="F1071" s="6" t="s">
        <v>16</v>
      </c>
      <c r="G1071" s="6" t="s">
        <v>3016</v>
      </c>
      <c r="H1071" s="170">
        <v>40061</v>
      </c>
      <c r="I1071" s="172">
        <f t="shared" si="50"/>
        <v>458.7837837837838</v>
      </c>
      <c r="J1071" s="162">
        <v>44844</v>
      </c>
      <c r="K1071" s="6" t="s">
        <v>251</v>
      </c>
      <c r="L1071" s="162">
        <v>44844</v>
      </c>
      <c r="M1071" s="175" t="s">
        <v>6273</v>
      </c>
      <c r="O1071" s="6" t="s">
        <v>356</v>
      </c>
      <c r="P1071" s="6" t="str">
        <f t="shared" si="51"/>
        <v>SAFe que</v>
      </c>
      <c r="Q1071" t="str">
        <f t="shared" si="52"/>
        <v>2022</v>
      </c>
    </row>
    <row r="1072" spans="1:17">
      <c r="A1072" s="162">
        <v>44844</v>
      </c>
      <c r="B1072" s="164" t="s">
        <v>3136</v>
      </c>
      <c r="C1072" s="164" t="s">
        <v>278</v>
      </c>
      <c r="D1072" s="164" t="s">
        <v>96</v>
      </c>
      <c r="E1072" s="79">
        <v>44835</v>
      </c>
      <c r="F1072" s="6" t="s">
        <v>16</v>
      </c>
      <c r="G1072" s="6" t="s">
        <v>3016</v>
      </c>
      <c r="H1072" s="170">
        <v>20000</v>
      </c>
      <c r="I1072" s="172">
        <f t="shared" si="50"/>
        <v>229.04260192395787</v>
      </c>
      <c r="J1072" s="162">
        <v>44844</v>
      </c>
      <c r="K1072" s="6" t="s">
        <v>251</v>
      </c>
      <c r="L1072" s="162">
        <v>44844</v>
      </c>
      <c r="M1072" s="175" t="s">
        <v>6274</v>
      </c>
      <c r="O1072" s="6" t="s">
        <v>356</v>
      </c>
      <c r="P1072" s="6" t="str">
        <f t="shared" si="51"/>
        <v>Category</v>
      </c>
      <c r="Q1072" t="str">
        <f t="shared" si="52"/>
        <v>2022</v>
      </c>
    </row>
    <row r="1073" spans="1:17">
      <c r="A1073" s="162">
        <v>44844</v>
      </c>
      <c r="B1073" s="164" t="s">
        <v>3138</v>
      </c>
      <c r="C1073" s="164" t="s">
        <v>278</v>
      </c>
      <c r="D1073" s="164" t="s">
        <v>96</v>
      </c>
      <c r="E1073" s="79">
        <v>44835</v>
      </c>
      <c r="F1073" s="6" t="s">
        <v>16</v>
      </c>
      <c r="G1073" s="6" t="s">
        <v>3016</v>
      </c>
      <c r="H1073" s="170">
        <v>20000</v>
      </c>
      <c r="I1073" s="172">
        <f t="shared" si="50"/>
        <v>229.04260192395787</v>
      </c>
      <c r="J1073" s="162">
        <v>44844</v>
      </c>
      <c r="K1073" s="6" t="s">
        <v>251</v>
      </c>
      <c r="L1073" s="162">
        <v>44844</v>
      </c>
      <c r="M1073" s="175" t="s">
        <v>6275</v>
      </c>
      <c r="O1073" s="6" t="s">
        <v>356</v>
      </c>
      <c r="P1073" s="6" t="str">
        <f t="shared" si="51"/>
        <v>Category</v>
      </c>
      <c r="Q1073" t="str">
        <f t="shared" si="52"/>
        <v>2022</v>
      </c>
    </row>
    <row r="1074" spans="1:17">
      <c r="A1074" s="162">
        <v>44845</v>
      </c>
      <c r="B1074" s="164" t="s">
        <v>3140</v>
      </c>
      <c r="C1074" s="164" t="s">
        <v>303</v>
      </c>
      <c r="D1074" s="164" t="s">
        <v>150</v>
      </c>
      <c r="E1074" s="79">
        <v>44835</v>
      </c>
      <c r="F1074" s="6" t="s">
        <v>16</v>
      </c>
      <c r="G1074" s="6" t="s">
        <v>3093</v>
      </c>
      <c r="H1074" s="170">
        <v>21000</v>
      </c>
      <c r="I1074" s="172">
        <f t="shared" si="50"/>
        <v>240.49473202015577</v>
      </c>
      <c r="J1074" s="162">
        <v>44845</v>
      </c>
      <c r="K1074" s="6" t="s">
        <v>252</v>
      </c>
      <c r="L1074" s="162">
        <v>44845</v>
      </c>
      <c r="M1074" s="175" t="s">
        <v>6275</v>
      </c>
      <c r="O1074" s="6" t="s">
        <v>356</v>
      </c>
      <c r="P1074" s="6" t="str">
        <f t="shared" si="51"/>
        <v>SAFe que</v>
      </c>
      <c r="Q1074" t="str">
        <f t="shared" si="52"/>
        <v>2022</v>
      </c>
    </row>
    <row r="1075" spans="1:17">
      <c r="A1075" s="162">
        <v>44845</v>
      </c>
      <c r="B1075" s="165" t="s">
        <v>3142</v>
      </c>
      <c r="C1075" s="165" t="s">
        <v>291</v>
      </c>
      <c r="D1075" s="165" t="s">
        <v>150</v>
      </c>
      <c r="E1075" s="79">
        <v>44835</v>
      </c>
      <c r="F1075" s="6" t="s">
        <v>16</v>
      </c>
      <c r="G1075" s="6" t="s">
        <v>3144</v>
      </c>
      <c r="H1075" s="170">
        <v>21000</v>
      </c>
      <c r="I1075" s="172">
        <f t="shared" si="50"/>
        <v>240.49473202015577</v>
      </c>
      <c r="J1075" s="162">
        <v>44845</v>
      </c>
      <c r="K1075" s="6" t="s">
        <v>252</v>
      </c>
      <c r="L1075" s="162">
        <v>44845</v>
      </c>
      <c r="M1075" s="175" t="s">
        <v>6276</v>
      </c>
      <c r="O1075" s="6" t="s">
        <v>356</v>
      </c>
      <c r="P1075" s="6" t="str">
        <f t="shared" si="51"/>
        <v>SAFe que</v>
      </c>
      <c r="Q1075" t="str">
        <f t="shared" si="52"/>
        <v>2022</v>
      </c>
    </row>
    <row r="1076" spans="1:17">
      <c r="A1076" s="162">
        <v>44846</v>
      </c>
      <c r="B1076" s="164" t="s">
        <v>3145</v>
      </c>
      <c r="C1076" s="164" t="s">
        <v>303</v>
      </c>
      <c r="D1076" s="164" t="s">
        <v>3147</v>
      </c>
      <c r="E1076" s="79">
        <v>44835</v>
      </c>
      <c r="F1076" s="6" t="s">
        <v>16</v>
      </c>
      <c r="G1076" s="97">
        <v>44849</v>
      </c>
      <c r="H1076" s="170">
        <v>6500</v>
      </c>
      <c r="I1076" s="172">
        <f t="shared" si="50"/>
        <v>74.438845625286305</v>
      </c>
      <c r="J1076" s="162">
        <v>44846</v>
      </c>
      <c r="K1076" s="6" t="s">
        <v>252</v>
      </c>
      <c r="L1076" s="162">
        <v>44847</v>
      </c>
      <c r="M1076" s="175" t="s">
        <v>6277</v>
      </c>
      <c r="O1076" s="6" t="s">
        <v>356</v>
      </c>
      <c r="P1076" s="6" t="str">
        <f t="shared" si="51"/>
        <v>NonCategory</v>
      </c>
      <c r="Q1076" t="str">
        <f t="shared" si="52"/>
        <v>2022</v>
      </c>
    </row>
    <row r="1077" spans="1:17">
      <c r="A1077" s="162">
        <v>44846</v>
      </c>
      <c r="B1077" s="164" t="s">
        <v>3145</v>
      </c>
      <c r="C1077" s="164" t="s">
        <v>303</v>
      </c>
      <c r="D1077" s="164" t="s">
        <v>3147</v>
      </c>
      <c r="E1077" s="79">
        <v>44835</v>
      </c>
      <c r="F1077" s="6" t="s">
        <v>16</v>
      </c>
      <c r="G1077" s="97">
        <v>44849</v>
      </c>
      <c r="H1077" s="170">
        <v>35500</v>
      </c>
      <c r="I1077" s="172">
        <f t="shared" si="50"/>
        <v>406.55061841502521</v>
      </c>
      <c r="J1077" s="162">
        <v>44846</v>
      </c>
      <c r="K1077" s="6" t="s">
        <v>252</v>
      </c>
      <c r="L1077" s="162">
        <v>44851</v>
      </c>
      <c r="M1077" s="175" t="s">
        <v>6278</v>
      </c>
      <c r="O1077" s="6" t="s">
        <v>356</v>
      </c>
      <c r="P1077" s="6" t="str">
        <f t="shared" si="51"/>
        <v>NonCategory</v>
      </c>
      <c r="Q1077" t="str">
        <f t="shared" si="52"/>
        <v>2022</v>
      </c>
    </row>
    <row r="1078" spans="1:17">
      <c r="A1078" s="162">
        <v>44847</v>
      </c>
      <c r="B1078" s="164" t="s">
        <v>1799</v>
      </c>
      <c r="C1078" s="164" t="s">
        <v>470</v>
      </c>
      <c r="D1078" s="164" t="s">
        <v>150</v>
      </c>
      <c r="E1078" s="79">
        <v>44835</v>
      </c>
      <c r="F1078" s="6" t="s">
        <v>16</v>
      </c>
      <c r="G1078" s="6" t="s">
        <v>3016</v>
      </c>
      <c r="H1078" s="170">
        <v>21000</v>
      </c>
      <c r="I1078" s="172">
        <f t="shared" si="50"/>
        <v>240.49473202015577</v>
      </c>
      <c r="J1078" s="162">
        <v>44847</v>
      </c>
      <c r="K1078" s="6" t="s">
        <v>252</v>
      </c>
      <c r="L1078" s="162">
        <v>44847</v>
      </c>
      <c r="M1078" s="175" t="s">
        <v>6279</v>
      </c>
      <c r="O1078" s="6" t="s">
        <v>356</v>
      </c>
      <c r="P1078" s="6" t="str">
        <f t="shared" si="51"/>
        <v>SAFe que</v>
      </c>
      <c r="Q1078" t="str">
        <f t="shared" si="52"/>
        <v>2022</v>
      </c>
    </row>
    <row r="1079" spans="1:17">
      <c r="A1079" s="162">
        <v>44848</v>
      </c>
      <c r="B1079" s="164" t="s">
        <v>3149</v>
      </c>
      <c r="C1079" s="164" t="s">
        <v>470</v>
      </c>
      <c r="D1079" s="164" t="s">
        <v>96</v>
      </c>
      <c r="E1079" s="79">
        <v>44835</v>
      </c>
      <c r="F1079" s="6" t="s">
        <v>16</v>
      </c>
      <c r="G1079" s="6" t="s">
        <v>3016</v>
      </c>
      <c r="H1079" s="170">
        <v>20000</v>
      </c>
      <c r="I1079" s="172">
        <f t="shared" si="50"/>
        <v>229.04260192395787</v>
      </c>
      <c r="J1079" s="162">
        <v>44848</v>
      </c>
      <c r="K1079" s="6" t="s">
        <v>252</v>
      </c>
      <c r="L1079" s="162">
        <v>44848</v>
      </c>
      <c r="M1079" s="175" t="s">
        <v>6280</v>
      </c>
      <c r="O1079" s="6" t="s">
        <v>356</v>
      </c>
      <c r="P1079" s="6" t="str">
        <f t="shared" si="51"/>
        <v>Category</v>
      </c>
      <c r="Q1079" t="str">
        <f t="shared" si="52"/>
        <v>2022</v>
      </c>
    </row>
    <row r="1080" spans="1:17">
      <c r="A1080" s="162">
        <v>44848</v>
      </c>
      <c r="B1080" s="164" t="s">
        <v>3151</v>
      </c>
      <c r="C1080" s="164" t="s">
        <v>278</v>
      </c>
      <c r="D1080" s="164" t="s">
        <v>96</v>
      </c>
      <c r="E1080" s="79">
        <v>44835</v>
      </c>
      <c r="F1080" s="6" t="s">
        <v>16</v>
      </c>
      <c r="G1080" s="6" t="s">
        <v>3016</v>
      </c>
      <c r="H1080" s="170">
        <v>20000</v>
      </c>
      <c r="I1080" s="172">
        <f t="shared" si="50"/>
        <v>229.04260192395787</v>
      </c>
      <c r="J1080" s="162">
        <v>44848</v>
      </c>
      <c r="K1080" s="6" t="s">
        <v>252</v>
      </c>
      <c r="L1080" s="162">
        <v>44848</v>
      </c>
      <c r="M1080" s="175" t="s">
        <v>6281</v>
      </c>
      <c r="N1080" s="6" t="s">
        <v>3153</v>
      </c>
      <c r="O1080" s="6" t="s">
        <v>356</v>
      </c>
      <c r="P1080" s="6" t="str">
        <f t="shared" si="51"/>
        <v>Category</v>
      </c>
      <c r="Q1080" t="str">
        <f t="shared" si="52"/>
        <v>2022</v>
      </c>
    </row>
    <row r="1081" spans="1:17">
      <c r="A1081" s="162">
        <v>44844</v>
      </c>
      <c r="B1081" s="164" t="s">
        <v>3154</v>
      </c>
      <c r="C1081" s="164" t="s">
        <v>470</v>
      </c>
      <c r="D1081" s="164" t="s">
        <v>150</v>
      </c>
      <c r="E1081" s="79">
        <v>44835</v>
      </c>
      <c r="F1081" s="6" t="s">
        <v>16</v>
      </c>
      <c r="G1081" s="6" t="s">
        <v>3016</v>
      </c>
      <c r="H1081" s="170">
        <v>21000</v>
      </c>
      <c r="I1081" s="172">
        <f t="shared" si="50"/>
        <v>240.49473202015577</v>
      </c>
      <c r="J1081" s="162">
        <v>44844</v>
      </c>
      <c r="K1081" s="6" t="s">
        <v>252</v>
      </c>
      <c r="L1081" s="162">
        <v>44844</v>
      </c>
      <c r="M1081" s="175" t="s">
        <v>6282</v>
      </c>
      <c r="O1081" s="6" t="s">
        <v>356</v>
      </c>
      <c r="P1081" s="6" t="str">
        <f t="shared" si="51"/>
        <v>SAFe que</v>
      </c>
      <c r="Q1081" t="str">
        <f t="shared" si="52"/>
        <v>2022</v>
      </c>
    </row>
    <row r="1082" spans="1:17">
      <c r="A1082" s="162">
        <v>44851</v>
      </c>
      <c r="B1082" s="164" t="s">
        <v>3156</v>
      </c>
      <c r="C1082" s="164" t="s">
        <v>303</v>
      </c>
      <c r="D1082" s="164" t="s">
        <v>976</v>
      </c>
      <c r="E1082" s="79">
        <v>44835</v>
      </c>
      <c r="F1082" s="6" t="s">
        <v>16</v>
      </c>
      <c r="G1082" s="97">
        <v>44851</v>
      </c>
      <c r="H1082" s="170">
        <v>19200</v>
      </c>
      <c r="I1082" s="172">
        <f t="shared" si="50"/>
        <v>219.88089784699957</v>
      </c>
      <c r="J1082" s="162">
        <v>44851</v>
      </c>
      <c r="K1082" s="6" t="s">
        <v>252</v>
      </c>
      <c r="L1082" s="162">
        <v>44851</v>
      </c>
      <c r="M1082" s="175" t="s">
        <v>6283</v>
      </c>
      <c r="O1082" s="6" t="s">
        <v>356</v>
      </c>
      <c r="P1082" s="6" t="str">
        <f t="shared" si="51"/>
        <v>NonCategory</v>
      </c>
      <c r="Q1082" t="str">
        <f t="shared" si="52"/>
        <v>2022</v>
      </c>
    </row>
    <row r="1083" spans="1:17">
      <c r="A1083" s="162">
        <v>44851</v>
      </c>
      <c r="B1083" s="164" t="s">
        <v>3158</v>
      </c>
      <c r="C1083" s="164" t="s">
        <v>319</v>
      </c>
      <c r="D1083" s="164" t="s">
        <v>151</v>
      </c>
      <c r="E1083" s="79">
        <v>44835</v>
      </c>
      <c r="F1083" s="6" t="s">
        <v>16</v>
      </c>
      <c r="G1083" s="6" t="s">
        <v>3160</v>
      </c>
      <c r="H1083" s="170">
        <v>21000</v>
      </c>
      <c r="I1083" s="172">
        <f t="shared" si="50"/>
        <v>240.49473202015577</v>
      </c>
      <c r="J1083" s="162">
        <v>44851</v>
      </c>
      <c r="K1083" s="6" t="s">
        <v>252</v>
      </c>
      <c r="L1083" s="162">
        <v>44852</v>
      </c>
      <c r="M1083" s="175" t="s">
        <v>6284</v>
      </c>
      <c r="O1083" s="6" t="s">
        <v>356</v>
      </c>
      <c r="P1083" s="6" t="str">
        <f t="shared" si="51"/>
        <v>SAFe que</v>
      </c>
      <c r="Q1083" t="str">
        <f t="shared" si="52"/>
        <v>2022</v>
      </c>
    </row>
    <row r="1084" spans="1:17">
      <c r="A1084" s="162">
        <v>44852</v>
      </c>
      <c r="B1084" s="164" t="s">
        <v>3161</v>
      </c>
      <c r="C1084" s="164" t="s">
        <v>303</v>
      </c>
      <c r="D1084" s="164" t="s">
        <v>538</v>
      </c>
      <c r="E1084" s="79">
        <v>44835</v>
      </c>
      <c r="F1084" s="6" t="s">
        <v>16</v>
      </c>
      <c r="G1084" s="97">
        <v>44865</v>
      </c>
      <c r="H1084" s="170">
        <v>49000</v>
      </c>
      <c r="I1084" s="172">
        <f t="shared" si="50"/>
        <v>561.15437471369682</v>
      </c>
      <c r="J1084" s="162">
        <v>44852</v>
      </c>
      <c r="K1084" s="6" t="s">
        <v>252</v>
      </c>
      <c r="L1084" s="162">
        <v>44852</v>
      </c>
      <c r="M1084" s="175" t="s">
        <v>6285</v>
      </c>
      <c r="O1084" s="6" t="s">
        <v>356</v>
      </c>
      <c r="P1084" s="6" t="str">
        <f t="shared" si="51"/>
        <v>NonCategory</v>
      </c>
      <c r="Q1084" t="str">
        <f t="shared" si="52"/>
        <v>2022</v>
      </c>
    </row>
    <row r="1085" spans="1:17">
      <c r="A1085" s="162">
        <v>44855</v>
      </c>
      <c r="B1085" s="164" t="s">
        <v>3163</v>
      </c>
      <c r="C1085" s="164" t="s">
        <v>278</v>
      </c>
      <c r="D1085" s="164" t="s">
        <v>1524</v>
      </c>
      <c r="E1085" s="79">
        <v>44835</v>
      </c>
      <c r="F1085" s="6" t="s">
        <v>16</v>
      </c>
      <c r="G1085" s="6" t="s">
        <v>3093</v>
      </c>
      <c r="H1085" s="170">
        <v>24000</v>
      </c>
      <c r="I1085" s="172">
        <f t="shared" si="50"/>
        <v>274.85112230874944</v>
      </c>
      <c r="J1085" s="162">
        <v>44855</v>
      </c>
      <c r="K1085" s="6" t="s">
        <v>253</v>
      </c>
      <c r="L1085" s="162">
        <v>44855</v>
      </c>
      <c r="M1085" s="175" t="s">
        <v>6286</v>
      </c>
      <c r="O1085" s="6" t="s">
        <v>356</v>
      </c>
      <c r="P1085" s="6" t="str">
        <f t="shared" si="51"/>
        <v>SAFe que</v>
      </c>
      <c r="Q1085" t="str">
        <f t="shared" si="52"/>
        <v>2022</v>
      </c>
    </row>
    <row r="1086" spans="1:17">
      <c r="A1086" s="162">
        <v>44858</v>
      </c>
      <c r="B1086" s="164" t="s">
        <v>3165</v>
      </c>
      <c r="C1086" s="164" t="s">
        <v>303</v>
      </c>
      <c r="D1086" s="164" t="s">
        <v>3167</v>
      </c>
      <c r="E1086" s="79">
        <v>44835</v>
      </c>
      <c r="F1086" s="6" t="s">
        <v>16</v>
      </c>
      <c r="G1086" s="6" t="s">
        <v>21</v>
      </c>
      <c r="H1086" s="170">
        <v>35000</v>
      </c>
      <c r="I1086" s="172">
        <f t="shared" si="50"/>
        <v>400.8245533669263</v>
      </c>
      <c r="J1086" s="162">
        <v>44858</v>
      </c>
      <c r="K1086" s="6" t="s">
        <v>253</v>
      </c>
      <c r="L1086" s="162">
        <v>44858</v>
      </c>
      <c r="M1086" s="175" t="s">
        <v>6287</v>
      </c>
      <c r="O1086" s="6" t="s">
        <v>356</v>
      </c>
      <c r="P1086" s="6" t="str">
        <f t="shared" si="51"/>
        <v>NonCategory</v>
      </c>
      <c r="Q1086" t="str">
        <f t="shared" si="52"/>
        <v>2022</v>
      </c>
    </row>
    <row r="1087" spans="1:17">
      <c r="A1087" s="162">
        <v>44859</v>
      </c>
      <c r="B1087" s="164" t="s">
        <v>76</v>
      </c>
      <c r="C1087" s="164" t="s">
        <v>287</v>
      </c>
      <c r="D1087" s="164" t="s">
        <v>3168</v>
      </c>
      <c r="E1087" s="79">
        <v>44835</v>
      </c>
      <c r="F1087" s="6" t="s">
        <v>16</v>
      </c>
      <c r="G1087" s="97">
        <v>44865</v>
      </c>
      <c r="H1087" s="170">
        <v>20000</v>
      </c>
      <c r="I1087" s="172">
        <f t="shared" si="50"/>
        <v>229.04260192395787</v>
      </c>
      <c r="J1087" s="162">
        <v>44859</v>
      </c>
      <c r="K1087" s="6" t="s">
        <v>253</v>
      </c>
      <c r="L1087" s="162">
        <v>44859</v>
      </c>
      <c r="M1087" s="175" t="s">
        <v>6288</v>
      </c>
      <c r="O1087" s="6" t="s">
        <v>356</v>
      </c>
      <c r="P1087" s="6" t="str">
        <f t="shared" si="51"/>
        <v>NonCategory</v>
      </c>
      <c r="Q1087" t="str">
        <f t="shared" si="52"/>
        <v>2022</v>
      </c>
    </row>
    <row r="1088" spans="1:17">
      <c r="A1088" s="162">
        <v>44859</v>
      </c>
      <c r="B1088" s="164" t="s">
        <v>3169</v>
      </c>
      <c r="C1088" s="164" t="s">
        <v>278</v>
      </c>
      <c r="D1088" s="164" t="s">
        <v>1524</v>
      </c>
      <c r="E1088" s="79">
        <v>44835</v>
      </c>
      <c r="F1088" s="6" t="s">
        <v>16</v>
      </c>
      <c r="G1088" s="6" t="s">
        <v>2929</v>
      </c>
      <c r="H1088" s="170">
        <v>24000</v>
      </c>
      <c r="I1088" s="172">
        <f t="shared" si="50"/>
        <v>274.85112230874944</v>
      </c>
      <c r="J1088" s="162">
        <v>44859</v>
      </c>
      <c r="K1088" s="6" t="s">
        <v>253</v>
      </c>
      <c r="L1088" s="162">
        <v>44859</v>
      </c>
      <c r="M1088" s="175" t="s">
        <v>6289</v>
      </c>
      <c r="O1088" s="6" t="s">
        <v>356</v>
      </c>
      <c r="P1088" s="6" t="str">
        <f t="shared" si="51"/>
        <v>SAFe que</v>
      </c>
      <c r="Q1088" t="str">
        <f t="shared" si="52"/>
        <v>2022</v>
      </c>
    </row>
    <row r="1089" spans="1:17">
      <c r="A1089" s="162">
        <v>44860</v>
      </c>
      <c r="B1089" s="164" t="s">
        <v>3171</v>
      </c>
      <c r="C1089" s="164" t="s">
        <v>306</v>
      </c>
      <c r="D1089" s="164" t="s">
        <v>25</v>
      </c>
      <c r="E1089" s="79">
        <v>44835</v>
      </c>
      <c r="F1089" s="6" t="s">
        <v>16</v>
      </c>
      <c r="G1089" s="6" t="s">
        <v>3160</v>
      </c>
      <c r="H1089" s="170">
        <v>40061</v>
      </c>
      <c r="I1089" s="172">
        <f t="shared" ref="I1089:I1136" si="53">IFERROR((($H1089/1.18))/74,"")</f>
        <v>458.7837837837838</v>
      </c>
      <c r="J1089" s="162">
        <v>44860</v>
      </c>
      <c r="K1089" s="6" t="s">
        <v>253</v>
      </c>
      <c r="L1089" s="162">
        <v>44860</v>
      </c>
      <c r="M1089" s="175" t="s">
        <v>6290</v>
      </c>
      <c r="O1089" s="6" t="s">
        <v>356</v>
      </c>
      <c r="P1089" s="6" t="str">
        <f t="shared" si="51"/>
        <v>SAFe que</v>
      </c>
      <c r="Q1089" t="str">
        <f t="shared" si="52"/>
        <v>2022</v>
      </c>
    </row>
    <row r="1090" spans="1:17">
      <c r="A1090" s="162">
        <v>44860</v>
      </c>
      <c r="B1090" s="164" t="s">
        <v>3173</v>
      </c>
      <c r="C1090" s="164" t="s">
        <v>278</v>
      </c>
      <c r="D1090" s="164" t="s">
        <v>150</v>
      </c>
      <c r="E1090" s="79">
        <v>44835</v>
      </c>
      <c r="F1090" s="6" t="s">
        <v>16</v>
      </c>
      <c r="G1090" s="6" t="s">
        <v>3160</v>
      </c>
      <c r="H1090" s="170">
        <v>21000</v>
      </c>
      <c r="I1090" s="172">
        <f t="shared" si="53"/>
        <v>240.49473202015577</v>
      </c>
      <c r="J1090" s="162">
        <v>44860</v>
      </c>
      <c r="K1090" s="6" t="s">
        <v>253</v>
      </c>
      <c r="L1090" s="162">
        <v>44860</v>
      </c>
      <c r="M1090" s="175" t="s">
        <v>6291</v>
      </c>
      <c r="N1090" s="6" t="s">
        <v>3175</v>
      </c>
      <c r="O1090" s="6" t="s">
        <v>356</v>
      </c>
      <c r="P1090" s="6" t="str">
        <f t="shared" ref="P1090:P1153" si="54">IFERROR(_xlfn.IFS($D1090="CSM","Category",$D1090="CSPO","Category", $D1090="PSM","SAFe que",$D1090="PSPO","SAFe que",$D1090="SAFe Agile","SAFe que",$D1090="SAFe SSM","SAFe que",$D1090="SAFe POPM","SAFe que",$D1090="SASM","SAFe que",$D1090="PMI-ACP","Category",$D1090="ICP-ACC","SAFe que",$D1090="PSM 2","SAFe que",$D1090="SAFe RTE","SAFe que",$D1090="Implementing SAFe","SAFe que",$D1090="SAFe for Government","SAFe que",$D1090="PSPO 2","SAFe que",$D1090="",""),"NonCategory")</f>
        <v>SAFe que</v>
      </c>
      <c r="Q1090" t="str">
        <f t="shared" ref="Q1090:Q1153" si="55">TEXT(E1090, "yyyy")</f>
        <v>2022</v>
      </c>
    </row>
    <row r="1091" spans="1:17">
      <c r="A1091" s="162">
        <v>44860</v>
      </c>
      <c r="B1091" s="164" t="s">
        <v>3176</v>
      </c>
      <c r="C1091" s="164" t="s">
        <v>278</v>
      </c>
      <c r="D1091" s="164" t="s">
        <v>150</v>
      </c>
      <c r="E1091" s="79">
        <v>44835</v>
      </c>
      <c r="F1091" s="6" t="s">
        <v>16</v>
      </c>
      <c r="G1091" s="6" t="s">
        <v>3160</v>
      </c>
      <c r="H1091" s="170">
        <v>21000</v>
      </c>
      <c r="I1091" s="172">
        <f t="shared" si="53"/>
        <v>240.49473202015577</v>
      </c>
      <c r="J1091" s="162">
        <v>44860</v>
      </c>
      <c r="K1091" s="6" t="s">
        <v>253</v>
      </c>
      <c r="L1091" s="162">
        <v>44860</v>
      </c>
      <c r="M1091" s="175" t="s">
        <v>6292</v>
      </c>
      <c r="N1091" s="6" t="s">
        <v>3178</v>
      </c>
      <c r="O1091" s="6" t="s">
        <v>356</v>
      </c>
      <c r="P1091" s="6" t="str">
        <f t="shared" si="54"/>
        <v>SAFe que</v>
      </c>
      <c r="Q1091" t="str">
        <f t="shared" si="55"/>
        <v>2022</v>
      </c>
    </row>
    <row r="1092" spans="1:17">
      <c r="A1092" s="162">
        <v>44861</v>
      </c>
      <c r="B1092" s="164" t="s">
        <v>3181</v>
      </c>
      <c r="C1092" s="164" t="s">
        <v>278</v>
      </c>
      <c r="D1092" s="164" t="s">
        <v>3183</v>
      </c>
      <c r="E1092" s="79">
        <v>44835</v>
      </c>
      <c r="F1092" s="6" t="s">
        <v>16</v>
      </c>
      <c r="G1092" s="6" t="s">
        <v>480</v>
      </c>
      <c r="H1092" s="170">
        <v>17000</v>
      </c>
      <c r="I1092" s="172">
        <f t="shared" si="53"/>
        <v>194.68621163536417</v>
      </c>
      <c r="J1092" s="162">
        <v>44861</v>
      </c>
      <c r="K1092" s="6" t="s">
        <v>253</v>
      </c>
      <c r="L1092" s="162">
        <v>44865</v>
      </c>
      <c r="M1092" s="175" t="s">
        <v>6293</v>
      </c>
      <c r="O1092" s="6" t="s">
        <v>356</v>
      </c>
      <c r="P1092" s="6" t="str">
        <f t="shared" si="54"/>
        <v>NonCategory</v>
      </c>
      <c r="Q1092" t="str">
        <f t="shared" si="55"/>
        <v>2022</v>
      </c>
    </row>
    <row r="1093" spans="1:17">
      <c r="A1093" s="162">
        <v>44863</v>
      </c>
      <c r="B1093" s="164" t="s">
        <v>2771</v>
      </c>
      <c r="C1093" s="164" t="s">
        <v>291</v>
      </c>
      <c r="D1093" s="164" t="s">
        <v>538</v>
      </c>
      <c r="E1093" s="79">
        <v>44866</v>
      </c>
      <c r="F1093" s="6" t="s">
        <v>16</v>
      </c>
      <c r="G1093" s="97">
        <v>44872</v>
      </c>
      <c r="H1093" s="170">
        <v>10000</v>
      </c>
      <c r="I1093" s="172">
        <f t="shared" si="53"/>
        <v>114.52130096197894</v>
      </c>
      <c r="J1093" s="162">
        <v>44863</v>
      </c>
      <c r="K1093" s="6" t="s">
        <v>251</v>
      </c>
      <c r="L1093" s="162">
        <v>44866</v>
      </c>
      <c r="M1093" s="175" t="s">
        <v>6294</v>
      </c>
      <c r="O1093" s="6" t="s">
        <v>356</v>
      </c>
      <c r="P1093" s="6" t="str">
        <f t="shared" si="54"/>
        <v>NonCategory</v>
      </c>
      <c r="Q1093" t="str">
        <f t="shared" si="55"/>
        <v>2022</v>
      </c>
    </row>
    <row r="1094" spans="1:17">
      <c r="A1094" s="162">
        <v>44865</v>
      </c>
      <c r="B1094" s="164" t="s">
        <v>3185</v>
      </c>
      <c r="C1094" s="164" t="s">
        <v>303</v>
      </c>
      <c r="D1094" s="164" t="s">
        <v>150</v>
      </c>
      <c r="E1094" s="79">
        <v>44835</v>
      </c>
      <c r="F1094" s="6" t="s">
        <v>16</v>
      </c>
      <c r="G1094" s="6" t="s">
        <v>3093</v>
      </c>
      <c r="H1094" s="170">
        <v>21000</v>
      </c>
      <c r="I1094" s="172">
        <f t="shared" si="53"/>
        <v>240.49473202015577</v>
      </c>
      <c r="J1094" s="162">
        <v>44865</v>
      </c>
      <c r="K1094" s="6" t="s">
        <v>253</v>
      </c>
      <c r="L1094" s="162">
        <v>44865</v>
      </c>
      <c r="M1094" s="175" t="s">
        <v>6295</v>
      </c>
      <c r="O1094" s="6" t="s">
        <v>356</v>
      </c>
      <c r="P1094" s="6" t="str">
        <f t="shared" si="54"/>
        <v>SAFe que</v>
      </c>
      <c r="Q1094" t="str">
        <f t="shared" si="55"/>
        <v>2022</v>
      </c>
    </row>
    <row r="1095" spans="1:17">
      <c r="A1095" s="162">
        <v>44865</v>
      </c>
      <c r="B1095" s="164" t="s">
        <v>3187</v>
      </c>
      <c r="C1095" s="164" t="s">
        <v>1291</v>
      </c>
      <c r="D1095" s="164" t="s">
        <v>96</v>
      </c>
      <c r="E1095" s="79">
        <v>44835</v>
      </c>
      <c r="F1095" s="6" t="s">
        <v>16</v>
      </c>
      <c r="G1095" s="6" t="s">
        <v>3189</v>
      </c>
      <c r="H1095" s="170">
        <v>22000</v>
      </c>
      <c r="I1095" s="172">
        <f t="shared" si="53"/>
        <v>251.94686211635369</v>
      </c>
      <c r="J1095" s="162">
        <v>44865</v>
      </c>
      <c r="K1095" s="6" t="s">
        <v>253</v>
      </c>
      <c r="L1095" s="162">
        <v>44865</v>
      </c>
      <c r="M1095" s="175" t="s">
        <v>6296</v>
      </c>
      <c r="O1095" s="6" t="s">
        <v>356</v>
      </c>
      <c r="P1095" s="6" t="str">
        <f t="shared" si="54"/>
        <v>Category</v>
      </c>
      <c r="Q1095" t="str">
        <f t="shared" si="55"/>
        <v>2022</v>
      </c>
    </row>
    <row r="1096" spans="1:17">
      <c r="A1096" s="162">
        <v>44865</v>
      </c>
      <c r="B1096" s="164" t="s">
        <v>3190</v>
      </c>
      <c r="C1096" s="164" t="s">
        <v>278</v>
      </c>
      <c r="D1096" s="164" t="s">
        <v>1524</v>
      </c>
      <c r="E1096" s="79">
        <v>44835</v>
      </c>
      <c r="F1096" s="6" t="s">
        <v>16</v>
      </c>
      <c r="G1096" s="6" t="s">
        <v>3093</v>
      </c>
      <c r="H1096" s="170">
        <v>24000</v>
      </c>
      <c r="I1096" s="172">
        <f t="shared" si="53"/>
        <v>274.85112230874944</v>
      </c>
      <c r="J1096" s="162">
        <v>44865</v>
      </c>
      <c r="K1096" s="6" t="s">
        <v>253</v>
      </c>
      <c r="L1096" s="162">
        <v>44865</v>
      </c>
      <c r="M1096" s="175" t="s">
        <v>6297</v>
      </c>
      <c r="N1096" s="6" t="s">
        <v>3192</v>
      </c>
      <c r="O1096" s="6" t="s">
        <v>356</v>
      </c>
      <c r="P1096" s="6" t="str">
        <f t="shared" si="54"/>
        <v>SAFe que</v>
      </c>
      <c r="Q1096" t="str">
        <f t="shared" si="55"/>
        <v>2022</v>
      </c>
    </row>
    <row r="1097" spans="1:17">
      <c r="A1097" s="162">
        <v>44866</v>
      </c>
      <c r="B1097" s="164" t="s">
        <v>3193</v>
      </c>
      <c r="C1097" s="164" t="s">
        <v>470</v>
      </c>
      <c r="D1097" s="164" t="s">
        <v>96</v>
      </c>
      <c r="E1097" s="79">
        <v>44866</v>
      </c>
      <c r="F1097" s="6" t="s">
        <v>16</v>
      </c>
      <c r="G1097" s="6" t="s">
        <v>3092</v>
      </c>
      <c r="H1097" s="170">
        <v>20000</v>
      </c>
      <c r="I1097" s="172">
        <f t="shared" si="53"/>
        <v>229.04260192395787</v>
      </c>
      <c r="J1097" s="162">
        <v>44866</v>
      </c>
      <c r="K1097" s="6" t="s">
        <v>251</v>
      </c>
      <c r="L1097" s="162">
        <v>44866</v>
      </c>
      <c r="M1097" s="175" t="s">
        <v>6298</v>
      </c>
      <c r="O1097" s="6" t="s">
        <v>356</v>
      </c>
      <c r="P1097" s="6" t="str">
        <f t="shared" si="54"/>
        <v>Category</v>
      </c>
      <c r="Q1097" t="str">
        <f t="shared" si="55"/>
        <v>2022</v>
      </c>
    </row>
    <row r="1098" spans="1:17">
      <c r="A1098" s="162">
        <v>44867</v>
      </c>
      <c r="B1098" s="164" t="s">
        <v>3195</v>
      </c>
      <c r="C1098" s="164" t="s">
        <v>278</v>
      </c>
      <c r="D1098" s="164" t="s">
        <v>97</v>
      </c>
      <c r="E1098" s="79">
        <v>44866</v>
      </c>
      <c r="F1098" s="6" t="s">
        <v>16</v>
      </c>
      <c r="G1098" s="6" t="s">
        <v>3093</v>
      </c>
      <c r="H1098" s="170">
        <v>20000</v>
      </c>
      <c r="I1098" s="172">
        <f t="shared" si="53"/>
        <v>229.04260192395787</v>
      </c>
      <c r="J1098" s="162">
        <v>44867</v>
      </c>
      <c r="K1098" s="6" t="s">
        <v>251</v>
      </c>
      <c r="L1098" s="162">
        <v>44867</v>
      </c>
      <c r="M1098" s="175" t="s">
        <v>6299</v>
      </c>
      <c r="O1098" s="6" t="s">
        <v>356</v>
      </c>
      <c r="P1098" s="6" t="str">
        <f t="shared" si="54"/>
        <v>Category</v>
      </c>
      <c r="Q1098" t="str">
        <f t="shared" si="55"/>
        <v>2022</v>
      </c>
    </row>
    <row r="1099" spans="1:17">
      <c r="A1099" s="162">
        <v>44868</v>
      </c>
      <c r="B1099" s="164" t="s">
        <v>3197</v>
      </c>
      <c r="C1099" s="164" t="s">
        <v>319</v>
      </c>
      <c r="D1099" s="164" t="s">
        <v>25</v>
      </c>
      <c r="E1099" s="79">
        <v>44866</v>
      </c>
      <c r="F1099" s="6" t="s">
        <v>16</v>
      </c>
      <c r="G1099" s="6" t="s">
        <v>3144</v>
      </c>
      <c r="H1099" s="170">
        <v>42000</v>
      </c>
      <c r="I1099" s="172">
        <f t="shared" si="53"/>
        <v>480.98946404031153</v>
      </c>
      <c r="J1099" s="162">
        <v>44868</v>
      </c>
      <c r="K1099" s="6" t="s">
        <v>251</v>
      </c>
      <c r="L1099" s="162">
        <v>44868</v>
      </c>
      <c r="M1099" s="175" t="s">
        <v>6300</v>
      </c>
      <c r="O1099" s="6" t="s">
        <v>356</v>
      </c>
      <c r="P1099" s="6" t="str">
        <f t="shared" si="54"/>
        <v>SAFe que</v>
      </c>
      <c r="Q1099" t="str">
        <f t="shared" si="55"/>
        <v>2022</v>
      </c>
    </row>
    <row r="1100" spans="1:17">
      <c r="A1100" s="162">
        <v>44868</v>
      </c>
      <c r="B1100" s="164" t="s">
        <v>3199</v>
      </c>
      <c r="C1100" s="164" t="s">
        <v>470</v>
      </c>
      <c r="D1100" s="164" t="s">
        <v>96</v>
      </c>
      <c r="E1100" s="79">
        <v>44866</v>
      </c>
      <c r="F1100" s="6" t="s">
        <v>16</v>
      </c>
      <c r="G1100" s="6" t="s">
        <v>3201</v>
      </c>
      <c r="H1100" s="170">
        <v>20000</v>
      </c>
      <c r="I1100" s="172">
        <f t="shared" si="53"/>
        <v>229.04260192395787</v>
      </c>
      <c r="J1100" s="162">
        <v>44868</v>
      </c>
      <c r="K1100" s="6" t="s">
        <v>251</v>
      </c>
      <c r="L1100" s="162">
        <v>44868</v>
      </c>
      <c r="M1100" s="175" t="s">
        <v>6301</v>
      </c>
      <c r="O1100" s="6" t="s">
        <v>356</v>
      </c>
      <c r="P1100" s="6" t="str">
        <f t="shared" si="54"/>
        <v>Category</v>
      </c>
      <c r="Q1100" t="str">
        <f t="shared" si="55"/>
        <v>2022</v>
      </c>
    </row>
    <row r="1101" spans="1:17">
      <c r="A1101" s="162">
        <v>44868</v>
      </c>
      <c r="B1101" s="164" t="s">
        <v>3202</v>
      </c>
      <c r="C1101" s="164" t="s">
        <v>303</v>
      </c>
      <c r="D1101" s="164" t="s">
        <v>150</v>
      </c>
      <c r="E1101" s="79">
        <v>44866</v>
      </c>
      <c r="F1101" s="6" t="s">
        <v>16</v>
      </c>
      <c r="G1101" s="6" t="s">
        <v>2929</v>
      </c>
      <c r="H1101" s="170">
        <v>21000</v>
      </c>
      <c r="I1101" s="172">
        <f t="shared" si="53"/>
        <v>240.49473202015577</v>
      </c>
      <c r="J1101" s="162">
        <v>44868</v>
      </c>
      <c r="K1101" s="6" t="s">
        <v>251</v>
      </c>
      <c r="L1101" s="162">
        <v>44868</v>
      </c>
      <c r="M1101" s="175" t="s">
        <v>6302</v>
      </c>
      <c r="O1101" s="6" t="s">
        <v>356</v>
      </c>
      <c r="P1101" s="6" t="str">
        <f t="shared" si="54"/>
        <v>SAFe que</v>
      </c>
      <c r="Q1101" t="str">
        <f t="shared" si="55"/>
        <v>2022</v>
      </c>
    </row>
    <row r="1102" spans="1:17">
      <c r="A1102" s="162">
        <v>44868</v>
      </c>
      <c r="B1102" s="164" t="s">
        <v>3204</v>
      </c>
      <c r="C1102" s="164" t="s">
        <v>319</v>
      </c>
      <c r="D1102" s="164" t="s">
        <v>96</v>
      </c>
      <c r="E1102" s="79">
        <v>44866</v>
      </c>
      <c r="F1102" s="6" t="s">
        <v>16</v>
      </c>
      <c r="G1102" s="6" t="s">
        <v>3144</v>
      </c>
      <c r="H1102" s="170">
        <v>20000</v>
      </c>
      <c r="I1102" s="172">
        <f t="shared" si="53"/>
        <v>229.04260192395787</v>
      </c>
      <c r="J1102" s="162">
        <v>44868</v>
      </c>
      <c r="K1102" s="6" t="s">
        <v>251</v>
      </c>
      <c r="L1102" s="162">
        <v>44868</v>
      </c>
      <c r="M1102" s="175" t="s">
        <v>6303</v>
      </c>
      <c r="O1102" s="6" t="s">
        <v>356</v>
      </c>
      <c r="P1102" s="6" t="str">
        <f t="shared" si="54"/>
        <v>Category</v>
      </c>
      <c r="Q1102" t="str">
        <f t="shared" si="55"/>
        <v>2022</v>
      </c>
    </row>
    <row r="1103" spans="1:17">
      <c r="A1103" s="162">
        <v>44869</v>
      </c>
      <c r="B1103" s="164" t="s">
        <v>3026</v>
      </c>
      <c r="C1103" s="164" t="s">
        <v>470</v>
      </c>
      <c r="D1103" s="164" t="s">
        <v>1524</v>
      </c>
      <c r="E1103" s="79">
        <v>44866</v>
      </c>
      <c r="F1103" s="6" t="s">
        <v>16</v>
      </c>
      <c r="G1103" s="6" t="s">
        <v>3093</v>
      </c>
      <c r="H1103" s="170">
        <v>24000</v>
      </c>
      <c r="I1103" s="172">
        <f t="shared" si="53"/>
        <v>274.85112230874944</v>
      </c>
      <c r="J1103" s="162">
        <v>44869</v>
      </c>
      <c r="K1103" s="6" t="s">
        <v>251</v>
      </c>
      <c r="L1103" s="162">
        <v>44869</v>
      </c>
      <c r="M1103" s="175" t="s">
        <v>6304</v>
      </c>
      <c r="O1103" s="6" t="s">
        <v>356</v>
      </c>
      <c r="P1103" s="6" t="str">
        <f t="shared" si="54"/>
        <v>SAFe que</v>
      </c>
      <c r="Q1103" t="str">
        <f t="shared" si="55"/>
        <v>2022</v>
      </c>
    </row>
    <row r="1104" spans="1:17">
      <c r="A1104" s="162">
        <v>44870</v>
      </c>
      <c r="B1104" s="164" t="s">
        <v>3206</v>
      </c>
      <c r="C1104" s="164" t="s">
        <v>278</v>
      </c>
      <c r="D1104" s="164" t="s">
        <v>1497</v>
      </c>
      <c r="E1104" s="79">
        <v>44866</v>
      </c>
      <c r="F1104" s="6" t="s">
        <v>16</v>
      </c>
      <c r="G1104" s="6" t="s">
        <v>3126</v>
      </c>
      <c r="H1104" s="170">
        <v>24000</v>
      </c>
      <c r="I1104" s="172">
        <f t="shared" si="53"/>
        <v>274.85112230874944</v>
      </c>
      <c r="J1104" s="162">
        <v>44870</v>
      </c>
      <c r="K1104" s="6" t="s">
        <v>251</v>
      </c>
      <c r="L1104" s="162">
        <v>44870</v>
      </c>
      <c r="M1104" s="175" t="s">
        <v>6305</v>
      </c>
      <c r="O1104" s="6" t="s">
        <v>356</v>
      </c>
      <c r="P1104" s="6" t="str">
        <f t="shared" si="54"/>
        <v>SAFe que</v>
      </c>
      <c r="Q1104" t="str">
        <f t="shared" si="55"/>
        <v>2022</v>
      </c>
    </row>
    <row r="1105" spans="1:17">
      <c r="A1105" s="162">
        <v>44872</v>
      </c>
      <c r="B1105" s="164" t="s">
        <v>3210</v>
      </c>
      <c r="C1105" s="164" t="s">
        <v>278</v>
      </c>
      <c r="D1105" s="164" t="s">
        <v>1497</v>
      </c>
      <c r="E1105" s="79">
        <v>44866</v>
      </c>
      <c r="F1105" s="6" t="s">
        <v>16</v>
      </c>
      <c r="G1105" s="6" t="s">
        <v>3126</v>
      </c>
      <c r="H1105" s="170">
        <v>24000</v>
      </c>
      <c r="I1105" s="172">
        <f t="shared" si="53"/>
        <v>274.85112230874944</v>
      </c>
      <c r="J1105" s="162">
        <v>44872</v>
      </c>
      <c r="K1105" s="6" t="s">
        <v>251</v>
      </c>
      <c r="L1105" s="162">
        <v>44872</v>
      </c>
      <c r="M1105" s="175" t="s">
        <v>6306</v>
      </c>
      <c r="N1105" s="6" t="s">
        <v>3212</v>
      </c>
      <c r="O1105" s="6" t="s">
        <v>356</v>
      </c>
      <c r="P1105" s="6" t="str">
        <f t="shared" si="54"/>
        <v>SAFe que</v>
      </c>
      <c r="Q1105" t="str">
        <f t="shared" si="55"/>
        <v>2022</v>
      </c>
    </row>
    <row r="1106" spans="1:17">
      <c r="A1106" s="162">
        <v>44872</v>
      </c>
      <c r="B1106" s="164" t="s">
        <v>2068</v>
      </c>
      <c r="C1106" s="164" t="s">
        <v>287</v>
      </c>
      <c r="D1106" s="164" t="s">
        <v>25</v>
      </c>
      <c r="E1106" s="79">
        <v>44866</v>
      </c>
      <c r="F1106" s="6" t="s">
        <v>16</v>
      </c>
      <c r="G1106" s="6" t="s">
        <v>3214</v>
      </c>
      <c r="H1106" s="170">
        <v>42000</v>
      </c>
      <c r="I1106" s="172">
        <f t="shared" si="53"/>
        <v>480.98946404031153</v>
      </c>
      <c r="J1106" s="162">
        <v>44872</v>
      </c>
      <c r="K1106" s="6" t="s">
        <v>251</v>
      </c>
      <c r="L1106" s="162">
        <v>44872</v>
      </c>
      <c r="M1106" s="175" t="s">
        <v>6307</v>
      </c>
      <c r="O1106" s="6" t="s">
        <v>356</v>
      </c>
      <c r="P1106" s="6" t="str">
        <f t="shared" si="54"/>
        <v>SAFe que</v>
      </c>
      <c r="Q1106" t="str">
        <f t="shared" si="55"/>
        <v>2022</v>
      </c>
    </row>
    <row r="1107" spans="1:17">
      <c r="A1107" s="162">
        <v>44872</v>
      </c>
      <c r="B1107" s="164" t="s">
        <v>3215</v>
      </c>
      <c r="C1107" s="164" t="s">
        <v>278</v>
      </c>
      <c r="D1107" s="164" t="s">
        <v>96</v>
      </c>
      <c r="E1107" s="79">
        <v>44866</v>
      </c>
      <c r="F1107" s="6" t="s">
        <v>16</v>
      </c>
      <c r="G1107" s="6" t="s">
        <v>3189</v>
      </c>
      <c r="H1107" s="170">
        <v>20000</v>
      </c>
      <c r="I1107" s="172">
        <f t="shared" si="53"/>
        <v>229.04260192395787</v>
      </c>
      <c r="J1107" s="162">
        <v>44872</v>
      </c>
      <c r="K1107" s="6" t="s">
        <v>251</v>
      </c>
      <c r="L1107" s="162">
        <v>44872</v>
      </c>
      <c r="M1107" s="175" t="s">
        <v>6308</v>
      </c>
      <c r="N1107" s="6" t="s">
        <v>1119</v>
      </c>
      <c r="O1107" s="6" t="s">
        <v>356</v>
      </c>
      <c r="P1107" s="6" t="str">
        <f t="shared" si="54"/>
        <v>Category</v>
      </c>
      <c r="Q1107" t="str">
        <f t="shared" si="55"/>
        <v>2022</v>
      </c>
    </row>
    <row r="1108" spans="1:17">
      <c r="A1108" s="162">
        <v>44873</v>
      </c>
      <c r="B1108" s="164" t="s">
        <v>3217</v>
      </c>
      <c r="C1108" s="164" t="s">
        <v>303</v>
      </c>
      <c r="D1108" s="164" t="s">
        <v>150</v>
      </c>
      <c r="E1108" s="79">
        <v>44866</v>
      </c>
      <c r="F1108" s="6" t="s">
        <v>16</v>
      </c>
      <c r="G1108" s="6" t="s">
        <v>3144</v>
      </c>
      <c r="H1108" s="170">
        <v>21000</v>
      </c>
      <c r="I1108" s="172">
        <f t="shared" si="53"/>
        <v>240.49473202015577</v>
      </c>
      <c r="J1108" s="162">
        <v>44873</v>
      </c>
      <c r="K1108" s="6" t="s">
        <v>251</v>
      </c>
      <c r="L1108" s="162">
        <v>44873</v>
      </c>
      <c r="M1108" s="175" t="s">
        <v>6309</v>
      </c>
      <c r="O1108" s="6" t="s">
        <v>356</v>
      </c>
      <c r="P1108" s="6" t="str">
        <f t="shared" si="54"/>
        <v>SAFe que</v>
      </c>
      <c r="Q1108" t="str">
        <f t="shared" si="55"/>
        <v>2022</v>
      </c>
    </row>
    <row r="1109" spans="1:17">
      <c r="A1109" s="162">
        <v>44875</v>
      </c>
      <c r="B1109" s="164" t="s">
        <v>3219</v>
      </c>
      <c r="C1109" s="164" t="s">
        <v>291</v>
      </c>
      <c r="D1109" s="164" t="s">
        <v>150</v>
      </c>
      <c r="E1109" s="79">
        <v>44866</v>
      </c>
      <c r="F1109" s="6" t="s">
        <v>16</v>
      </c>
      <c r="G1109" s="6" t="s">
        <v>3221</v>
      </c>
      <c r="H1109" s="170">
        <v>21000</v>
      </c>
      <c r="I1109" s="172">
        <f t="shared" si="53"/>
        <v>240.49473202015577</v>
      </c>
      <c r="J1109" s="162">
        <v>44875</v>
      </c>
      <c r="K1109" s="6" t="s">
        <v>251</v>
      </c>
      <c r="L1109" s="162">
        <v>44875</v>
      </c>
      <c r="M1109" s="175" t="s">
        <v>6310</v>
      </c>
      <c r="O1109" s="6" t="s">
        <v>356</v>
      </c>
      <c r="P1109" s="6" t="str">
        <f t="shared" si="54"/>
        <v>SAFe que</v>
      </c>
      <c r="Q1109" t="str">
        <f t="shared" si="55"/>
        <v>2022</v>
      </c>
    </row>
    <row r="1110" spans="1:17">
      <c r="A1110" s="162">
        <v>44876</v>
      </c>
      <c r="B1110" s="164" t="s">
        <v>3222</v>
      </c>
      <c r="C1110" s="164" t="s">
        <v>306</v>
      </c>
      <c r="D1110" s="164" t="s">
        <v>150</v>
      </c>
      <c r="E1110" s="79">
        <v>44866</v>
      </c>
      <c r="F1110" s="6" t="s">
        <v>16</v>
      </c>
      <c r="G1110" s="6" t="s">
        <v>3092</v>
      </c>
      <c r="H1110" s="170">
        <v>21000</v>
      </c>
      <c r="I1110" s="172">
        <f t="shared" si="53"/>
        <v>240.49473202015577</v>
      </c>
      <c r="J1110" s="162">
        <v>44876</v>
      </c>
      <c r="K1110" s="6" t="s">
        <v>252</v>
      </c>
      <c r="L1110" s="162">
        <v>44876</v>
      </c>
      <c r="M1110" s="175" t="s">
        <v>6311</v>
      </c>
      <c r="O1110" s="6" t="s">
        <v>356</v>
      </c>
      <c r="P1110" s="6" t="str">
        <f t="shared" si="54"/>
        <v>SAFe que</v>
      </c>
      <c r="Q1110" t="str">
        <f t="shared" si="55"/>
        <v>2022</v>
      </c>
    </row>
    <row r="1111" spans="1:17">
      <c r="A1111" s="162">
        <v>44876</v>
      </c>
      <c r="B1111" s="164" t="s">
        <v>3224</v>
      </c>
      <c r="C1111" s="164" t="s">
        <v>303</v>
      </c>
      <c r="D1111" s="164" t="s">
        <v>151</v>
      </c>
      <c r="E1111" s="79">
        <v>44866</v>
      </c>
      <c r="F1111" s="6" t="s">
        <v>16</v>
      </c>
      <c r="G1111" s="6" t="s">
        <v>3092</v>
      </c>
      <c r="H1111" s="170">
        <v>21000</v>
      </c>
      <c r="I1111" s="172">
        <f t="shared" si="53"/>
        <v>240.49473202015577</v>
      </c>
      <c r="J1111" s="162">
        <v>44876</v>
      </c>
      <c r="K1111" s="6" t="s">
        <v>252</v>
      </c>
      <c r="L1111" s="162">
        <v>44876</v>
      </c>
      <c r="M1111" s="175" t="s">
        <v>6312</v>
      </c>
      <c r="O1111" s="6" t="s">
        <v>356</v>
      </c>
      <c r="P1111" s="6" t="str">
        <f t="shared" si="54"/>
        <v>SAFe que</v>
      </c>
      <c r="Q1111" t="str">
        <f t="shared" si="55"/>
        <v>2022</v>
      </c>
    </row>
    <row r="1112" spans="1:17">
      <c r="A1112" s="162">
        <v>44876</v>
      </c>
      <c r="B1112" s="164" t="s">
        <v>3228</v>
      </c>
      <c r="C1112" s="164" t="s">
        <v>278</v>
      </c>
      <c r="D1112" s="164" t="s">
        <v>6</v>
      </c>
      <c r="E1112" s="79">
        <v>44866</v>
      </c>
      <c r="F1112" s="6" t="s">
        <v>16</v>
      </c>
      <c r="G1112" s="6" t="s">
        <v>3144</v>
      </c>
      <c r="H1112" s="170">
        <v>42000</v>
      </c>
      <c r="I1112" s="172">
        <f t="shared" si="53"/>
        <v>480.98946404031153</v>
      </c>
      <c r="J1112" s="162">
        <v>44876</v>
      </c>
      <c r="K1112" s="6" t="s">
        <v>252</v>
      </c>
      <c r="L1112" s="162">
        <v>44876</v>
      </c>
      <c r="M1112" s="175" t="s">
        <v>6313</v>
      </c>
      <c r="O1112" s="6" t="s">
        <v>356</v>
      </c>
      <c r="P1112" s="6" t="str">
        <f t="shared" si="54"/>
        <v>SAFe que</v>
      </c>
      <c r="Q1112" t="str">
        <f t="shared" si="55"/>
        <v>2022</v>
      </c>
    </row>
    <row r="1113" spans="1:17">
      <c r="A1113" s="162">
        <v>44876</v>
      </c>
      <c r="B1113" s="164" t="s">
        <v>3230</v>
      </c>
      <c r="C1113" s="164" t="s">
        <v>319</v>
      </c>
      <c r="D1113" s="164" t="s">
        <v>1524</v>
      </c>
      <c r="E1113" s="79">
        <v>44866</v>
      </c>
      <c r="F1113" s="6" t="s">
        <v>16</v>
      </c>
      <c r="G1113" s="6" t="s">
        <v>2929</v>
      </c>
      <c r="H1113" s="170">
        <v>24000</v>
      </c>
      <c r="I1113" s="172">
        <f t="shared" si="53"/>
        <v>274.85112230874944</v>
      </c>
      <c r="J1113" s="162">
        <v>44876</v>
      </c>
      <c r="K1113" s="6" t="s">
        <v>252</v>
      </c>
      <c r="L1113" s="162">
        <v>44879</v>
      </c>
      <c r="M1113" s="175" t="s">
        <v>6314</v>
      </c>
      <c r="O1113" s="6" t="s">
        <v>356</v>
      </c>
      <c r="P1113" s="6" t="str">
        <f t="shared" si="54"/>
        <v>SAFe que</v>
      </c>
      <c r="Q1113" t="str">
        <f t="shared" si="55"/>
        <v>2022</v>
      </c>
    </row>
    <row r="1114" spans="1:17">
      <c r="A1114" s="162">
        <v>44877</v>
      </c>
      <c r="B1114" s="164" t="s">
        <v>3232</v>
      </c>
      <c r="C1114" s="164" t="s">
        <v>287</v>
      </c>
      <c r="D1114" s="164" t="s">
        <v>150</v>
      </c>
      <c r="E1114" s="79">
        <v>44866</v>
      </c>
      <c r="F1114" s="6" t="s">
        <v>16</v>
      </c>
      <c r="G1114" s="6" t="s">
        <v>3144</v>
      </c>
      <c r="H1114" s="170">
        <v>21000</v>
      </c>
      <c r="I1114" s="172">
        <f t="shared" si="53"/>
        <v>240.49473202015577</v>
      </c>
      <c r="J1114" s="162">
        <v>44877</v>
      </c>
      <c r="K1114" s="6" t="s">
        <v>252</v>
      </c>
      <c r="L1114" s="162">
        <v>44879</v>
      </c>
      <c r="M1114" s="175" t="s">
        <v>6315</v>
      </c>
      <c r="O1114" s="6" t="s">
        <v>356</v>
      </c>
      <c r="P1114" s="6" t="str">
        <f t="shared" si="54"/>
        <v>SAFe que</v>
      </c>
      <c r="Q1114" t="str">
        <f t="shared" si="55"/>
        <v>2022</v>
      </c>
    </row>
    <row r="1115" spans="1:17">
      <c r="A1115" s="162">
        <v>44878</v>
      </c>
      <c r="B1115" s="164" t="s">
        <v>3234</v>
      </c>
      <c r="C1115" s="164" t="s">
        <v>278</v>
      </c>
      <c r="D1115" s="164" t="s">
        <v>151</v>
      </c>
      <c r="E1115" s="79">
        <v>44866</v>
      </c>
      <c r="F1115" s="6" t="s">
        <v>16</v>
      </c>
      <c r="G1115" s="6" t="s">
        <v>3144</v>
      </c>
      <c r="H1115" s="170">
        <v>21000</v>
      </c>
      <c r="I1115" s="172">
        <f t="shared" si="53"/>
        <v>240.49473202015577</v>
      </c>
      <c r="J1115" s="162">
        <v>44878</v>
      </c>
      <c r="K1115" s="6" t="s">
        <v>252</v>
      </c>
      <c r="L1115" s="162">
        <v>44879</v>
      </c>
      <c r="M1115" s="175" t="s">
        <v>6316</v>
      </c>
      <c r="O1115" s="6" t="s">
        <v>356</v>
      </c>
      <c r="P1115" s="6" t="str">
        <f t="shared" si="54"/>
        <v>SAFe que</v>
      </c>
      <c r="Q1115" t="str">
        <f t="shared" si="55"/>
        <v>2022</v>
      </c>
    </row>
    <row r="1116" spans="1:17">
      <c r="A1116" s="162">
        <v>44879</v>
      </c>
      <c r="B1116" s="164" t="s">
        <v>2930</v>
      </c>
      <c r="C1116" s="164" t="s">
        <v>470</v>
      </c>
      <c r="D1116" s="164" t="s">
        <v>1524</v>
      </c>
      <c r="E1116" s="79">
        <v>44866</v>
      </c>
      <c r="F1116" s="6" t="s">
        <v>16</v>
      </c>
      <c r="G1116" s="6" t="s">
        <v>2929</v>
      </c>
      <c r="H1116" s="170">
        <v>24000</v>
      </c>
      <c r="I1116" s="172">
        <f t="shared" si="53"/>
        <v>274.85112230874944</v>
      </c>
      <c r="J1116" s="162">
        <v>44879</v>
      </c>
      <c r="K1116" s="6" t="s">
        <v>252</v>
      </c>
      <c r="L1116" s="162">
        <v>44879</v>
      </c>
      <c r="M1116" s="175" t="s">
        <v>6317</v>
      </c>
      <c r="O1116" s="6" t="s">
        <v>356</v>
      </c>
      <c r="P1116" s="6" t="str">
        <f t="shared" si="54"/>
        <v>SAFe que</v>
      </c>
      <c r="Q1116" t="str">
        <f t="shared" si="55"/>
        <v>2022</v>
      </c>
    </row>
    <row r="1117" spans="1:17">
      <c r="A1117" s="162">
        <v>44879</v>
      </c>
      <c r="B1117" s="164" t="s">
        <v>3236</v>
      </c>
      <c r="C1117" s="164" t="s">
        <v>278</v>
      </c>
      <c r="D1117" s="164" t="s">
        <v>1524</v>
      </c>
      <c r="E1117" s="79">
        <v>44866</v>
      </c>
      <c r="F1117" s="6" t="s">
        <v>16</v>
      </c>
      <c r="G1117" s="6" t="s">
        <v>3238</v>
      </c>
      <c r="H1117" s="170">
        <v>24000</v>
      </c>
      <c r="I1117" s="172">
        <f t="shared" si="53"/>
        <v>274.85112230874944</v>
      </c>
      <c r="J1117" s="162">
        <v>44879</v>
      </c>
      <c r="K1117" s="6" t="s">
        <v>252</v>
      </c>
      <c r="L1117" s="162">
        <v>44879</v>
      </c>
      <c r="M1117" s="175" t="s">
        <v>6318</v>
      </c>
      <c r="N1117" s="6" t="s">
        <v>3239</v>
      </c>
      <c r="O1117" s="6" t="s">
        <v>356</v>
      </c>
      <c r="P1117" s="6" t="str">
        <f t="shared" si="54"/>
        <v>SAFe que</v>
      </c>
      <c r="Q1117" t="str">
        <f t="shared" si="55"/>
        <v>2022</v>
      </c>
    </row>
    <row r="1118" spans="1:17">
      <c r="A1118" s="162">
        <v>44879</v>
      </c>
      <c r="B1118" s="164" t="s">
        <v>3240</v>
      </c>
      <c r="C1118" s="164" t="s">
        <v>278</v>
      </c>
      <c r="D1118" s="164" t="s">
        <v>1524</v>
      </c>
      <c r="E1118" s="79">
        <v>44866</v>
      </c>
      <c r="F1118" s="6" t="s">
        <v>16</v>
      </c>
      <c r="G1118" s="6" t="s">
        <v>3238</v>
      </c>
      <c r="H1118" s="170">
        <v>24000</v>
      </c>
      <c r="I1118" s="172">
        <f t="shared" si="53"/>
        <v>274.85112230874944</v>
      </c>
      <c r="J1118" s="162">
        <v>44880</v>
      </c>
      <c r="K1118" s="6" t="s">
        <v>252</v>
      </c>
      <c r="L1118" s="162">
        <v>44879</v>
      </c>
      <c r="M1118" s="175" t="s">
        <v>6319</v>
      </c>
      <c r="N1118" s="6" t="s">
        <v>3239</v>
      </c>
      <c r="O1118" s="6" t="s">
        <v>356</v>
      </c>
      <c r="P1118" s="6" t="str">
        <f t="shared" si="54"/>
        <v>SAFe que</v>
      </c>
      <c r="Q1118" t="str">
        <f t="shared" si="55"/>
        <v>2022</v>
      </c>
    </row>
    <row r="1119" spans="1:17">
      <c r="A1119" s="162">
        <v>44880</v>
      </c>
      <c r="B1119" s="164" t="s">
        <v>3242</v>
      </c>
      <c r="C1119" s="164" t="s">
        <v>495</v>
      </c>
      <c r="D1119" s="164" t="s">
        <v>96</v>
      </c>
      <c r="E1119" s="79">
        <v>44866</v>
      </c>
      <c r="F1119" s="6" t="s">
        <v>16</v>
      </c>
      <c r="G1119" s="6" t="s">
        <v>3144</v>
      </c>
      <c r="H1119" s="170">
        <v>20000</v>
      </c>
      <c r="I1119" s="172">
        <f t="shared" si="53"/>
        <v>229.04260192395787</v>
      </c>
      <c r="J1119" s="162">
        <v>44880</v>
      </c>
      <c r="K1119" s="6" t="s">
        <v>252</v>
      </c>
      <c r="L1119" s="162">
        <v>44880</v>
      </c>
      <c r="M1119" s="175" t="s">
        <v>6320</v>
      </c>
      <c r="O1119" s="6" t="s">
        <v>356</v>
      </c>
      <c r="P1119" s="6" t="str">
        <f t="shared" si="54"/>
        <v>Category</v>
      </c>
      <c r="Q1119" t="str">
        <f t="shared" si="55"/>
        <v>2022</v>
      </c>
    </row>
    <row r="1120" spans="1:17">
      <c r="A1120" s="162">
        <v>44881</v>
      </c>
      <c r="B1120" s="164" t="s">
        <v>2986</v>
      </c>
      <c r="C1120" s="164" t="s">
        <v>470</v>
      </c>
      <c r="D1120" s="164" t="s">
        <v>3244</v>
      </c>
      <c r="E1120" s="79">
        <v>44866</v>
      </c>
      <c r="F1120" s="6" t="s">
        <v>16</v>
      </c>
      <c r="G1120" s="97">
        <v>44884</v>
      </c>
      <c r="H1120" s="170">
        <v>21000</v>
      </c>
      <c r="I1120" s="172">
        <f t="shared" si="53"/>
        <v>240.49473202015577</v>
      </c>
      <c r="J1120" s="162">
        <v>44881</v>
      </c>
      <c r="K1120" s="6" t="s">
        <v>252</v>
      </c>
      <c r="L1120" s="162">
        <v>44881</v>
      </c>
      <c r="M1120" s="175" t="s">
        <v>6321</v>
      </c>
      <c r="O1120" s="6" t="s">
        <v>356</v>
      </c>
      <c r="P1120" s="6" t="str">
        <f t="shared" si="54"/>
        <v>NonCategory</v>
      </c>
      <c r="Q1120" t="str">
        <f t="shared" si="55"/>
        <v>2022</v>
      </c>
    </row>
    <row r="1121" spans="1:17">
      <c r="A1121" s="162">
        <v>44881</v>
      </c>
      <c r="B1121" s="164" t="s">
        <v>3245</v>
      </c>
      <c r="C1121" s="164" t="s">
        <v>319</v>
      </c>
      <c r="D1121" s="164" t="s">
        <v>1524</v>
      </c>
      <c r="E1121" s="79">
        <v>44866</v>
      </c>
      <c r="F1121" s="6" t="s">
        <v>16</v>
      </c>
      <c r="G1121" s="6" t="s">
        <v>2929</v>
      </c>
      <c r="H1121" s="170">
        <v>24000</v>
      </c>
      <c r="I1121" s="172">
        <f t="shared" si="53"/>
        <v>274.85112230874944</v>
      </c>
      <c r="J1121" s="162">
        <v>44881</v>
      </c>
      <c r="K1121" s="6" t="s">
        <v>252</v>
      </c>
      <c r="L1121" s="162">
        <v>44881</v>
      </c>
      <c r="M1121" s="175" t="s">
        <v>6322</v>
      </c>
      <c r="O1121" s="6" t="s">
        <v>356</v>
      </c>
      <c r="P1121" s="6" t="str">
        <f t="shared" si="54"/>
        <v>SAFe que</v>
      </c>
      <c r="Q1121" t="str">
        <f t="shared" si="55"/>
        <v>2022</v>
      </c>
    </row>
    <row r="1122" spans="1:17">
      <c r="A1122" s="162">
        <v>44881</v>
      </c>
      <c r="B1122" s="164" t="s">
        <v>3247</v>
      </c>
      <c r="C1122" s="164" t="s">
        <v>278</v>
      </c>
      <c r="D1122" s="164" t="s">
        <v>1524</v>
      </c>
      <c r="E1122" s="79">
        <v>44866</v>
      </c>
      <c r="F1122" s="6" t="s">
        <v>16</v>
      </c>
      <c r="G1122" s="6" t="s">
        <v>2929</v>
      </c>
      <c r="H1122" s="170">
        <v>24000</v>
      </c>
      <c r="I1122" s="172">
        <f t="shared" si="53"/>
        <v>274.85112230874944</v>
      </c>
      <c r="J1122" s="162">
        <v>44881</v>
      </c>
      <c r="K1122" s="6" t="s">
        <v>252</v>
      </c>
      <c r="L1122" s="162">
        <v>44881</v>
      </c>
      <c r="M1122" s="175" t="s">
        <v>6323</v>
      </c>
      <c r="N1122" s="6" t="s">
        <v>3249</v>
      </c>
      <c r="O1122" s="6" t="s">
        <v>356</v>
      </c>
      <c r="P1122" s="6" t="str">
        <f t="shared" si="54"/>
        <v>SAFe que</v>
      </c>
      <c r="Q1122" t="str">
        <f t="shared" si="55"/>
        <v>2022</v>
      </c>
    </row>
    <row r="1123" spans="1:17">
      <c r="A1123" s="162">
        <v>44882</v>
      </c>
      <c r="B1123" s="164" t="s">
        <v>3250</v>
      </c>
      <c r="C1123" s="164" t="s">
        <v>470</v>
      </c>
      <c r="D1123" s="164" t="s">
        <v>25</v>
      </c>
      <c r="E1123" s="79">
        <v>44866</v>
      </c>
      <c r="F1123" s="6" t="s">
        <v>16</v>
      </c>
      <c r="G1123" s="6" t="s">
        <v>3144</v>
      </c>
      <c r="H1123" s="170">
        <v>42000</v>
      </c>
      <c r="I1123" s="172">
        <f t="shared" si="53"/>
        <v>480.98946404031153</v>
      </c>
      <c r="J1123" s="162">
        <v>44882</v>
      </c>
      <c r="K1123" s="6" t="s">
        <v>252</v>
      </c>
      <c r="L1123" s="162">
        <v>44882</v>
      </c>
      <c r="M1123" s="175" t="s">
        <v>6324</v>
      </c>
      <c r="O1123" s="6" t="s">
        <v>356</v>
      </c>
      <c r="P1123" s="6" t="str">
        <f t="shared" si="54"/>
        <v>SAFe que</v>
      </c>
      <c r="Q1123" t="str">
        <f t="shared" si="55"/>
        <v>2022</v>
      </c>
    </row>
    <row r="1124" spans="1:17">
      <c r="A1124" s="162">
        <v>44882</v>
      </c>
      <c r="B1124" s="164" t="s">
        <v>3252</v>
      </c>
      <c r="C1124" s="164" t="s">
        <v>278</v>
      </c>
      <c r="D1124" s="164" t="s">
        <v>150</v>
      </c>
      <c r="E1124" s="79">
        <v>44866</v>
      </c>
      <c r="F1124" s="6" t="s">
        <v>16</v>
      </c>
      <c r="G1124" s="6" t="s">
        <v>3254</v>
      </c>
      <c r="H1124" s="170">
        <v>21000</v>
      </c>
      <c r="I1124" s="172">
        <f t="shared" si="53"/>
        <v>240.49473202015577</v>
      </c>
      <c r="J1124" s="162">
        <v>44882</v>
      </c>
      <c r="K1124" s="6" t="s">
        <v>252</v>
      </c>
      <c r="L1124" s="162">
        <v>44882</v>
      </c>
      <c r="M1124" s="175" t="s">
        <v>6325</v>
      </c>
      <c r="N1124" s="6" t="s">
        <v>3255</v>
      </c>
      <c r="O1124" s="6" t="s">
        <v>356</v>
      </c>
      <c r="P1124" s="6" t="str">
        <f t="shared" si="54"/>
        <v>SAFe que</v>
      </c>
      <c r="Q1124" t="str">
        <f t="shared" si="55"/>
        <v>2022</v>
      </c>
    </row>
    <row r="1125" spans="1:17">
      <c r="A1125" s="162">
        <v>44882</v>
      </c>
      <c r="B1125" s="164" t="s">
        <v>3256</v>
      </c>
      <c r="C1125" s="164" t="s">
        <v>278</v>
      </c>
      <c r="D1125" s="164" t="s">
        <v>150</v>
      </c>
      <c r="E1125" s="79">
        <v>44866</v>
      </c>
      <c r="F1125" s="6" t="s">
        <v>16</v>
      </c>
      <c r="G1125" s="6" t="s">
        <v>3144</v>
      </c>
      <c r="H1125" s="170">
        <v>21000</v>
      </c>
      <c r="I1125" s="172">
        <f t="shared" si="53"/>
        <v>240.49473202015577</v>
      </c>
      <c r="J1125" s="162">
        <v>44882</v>
      </c>
      <c r="K1125" s="6" t="s">
        <v>252</v>
      </c>
      <c r="L1125" s="162">
        <v>44882</v>
      </c>
      <c r="M1125" s="175" t="s">
        <v>6326</v>
      </c>
      <c r="N1125" s="6" t="s">
        <v>3258</v>
      </c>
      <c r="O1125" s="6" t="s">
        <v>356</v>
      </c>
      <c r="P1125" s="6" t="str">
        <f t="shared" si="54"/>
        <v>SAFe que</v>
      </c>
      <c r="Q1125" t="str">
        <f t="shared" si="55"/>
        <v>2022</v>
      </c>
    </row>
    <row r="1126" spans="1:17">
      <c r="A1126" s="162">
        <v>44882</v>
      </c>
      <c r="B1126" s="164" t="s">
        <v>3259</v>
      </c>
      <c r="C1126" s="164" t="s">
        <v>470</v>
      </c>
      <c r="D1126" s="164" t="s">
        <v>150</v>
      </c>
      <c r="E1126" s="79">
        <v>44866</v>
      </c>
      <c r="F1126" s="6" t="s">
        <v>16</v>
      </c>
      <c r="G1126" s="6" t="s">
        <v>3144</v>
      </c>
      <c r="H1126" s="170">
        <v>21000</v>
      </c>
      <c r="I1126" s="172">
        <f t="shared" si="53"/>
        <v>240.49473202015577</v>
      </c>
      <c r="J1126" s="162">
        <v>44882</v>
      </c>
      <c r="K1126" s="6" t="s">
        <v>252</v>
      </c>
      <c r="L1126" s="162">
        <v>44882</v>
      </c>
      <c r="M1126" s="175" t="s">
        <v>6327</v>
      </c>
      <c r="O1126" s="6" t="s">
        <v>356</v>
      </c>
      <c r="P1126" s="6" t="str">
        <f t="shared" si="54"/>
        <v>SAFe que</v>
      </c>
      <c r="Q1126" t="str">
        <f t="shared" si="55"/>
        <v>2022</v>
      </c>
    </row>
    <row r="1127" spans="1:17">
      <c r="A1127" s="162">
        <v>44883</v>
      </c>
      <c r="B1127" s="164" t="s">
        <v>3261</v>
      </c>
      <c r="C1127" s="164" t="s">
        <v>303</v>
      </c>
      <c r="D1127" s="164" t="s">
        <v>25</v>
      </c>
      <c r="E1127" s="79">
        <v>44866</v>
      </c>
      <c r="F1127" s="6" t="s">
        <v>16</v>
      </c>
      <c r="G1127" s="6" t="s">
        <v>3144</v>
      </c>
      <c r="H1127" s="170">
        <v>40000</v>
      </c>
      <c r="I1127" s="172">
        <f t="shared" si="53"/>
        <v>458.08520384791575</v>
      </c>
      <c r="J1127" s="162">
        <v>44883</v>
      </c>
      <c r="K1127" s="6" t="s">
        <v>252</v>
      </c>
      <c r="L1127" s="162">
        <v>44883</v>
      </c>
      <c r="M1127" s="175" t="s">
        <v>6328</v>
      </c>
      <c r="O1127" s="6" t="s">
        <v>356</v>
      </c>
      <c r="P1127" s="6" t="str">
        <f t="shared" si="54"/>
        <v>SAFe que</v>
      </c>
      <c r="Q1127" t="str">
        <f t="shared" si="55"/>
        <v>2022</v>
      </c>
    </row>
    <row r="1128" spans="1:17">
      <c r="A1128" s="162">
        <v>44883</v>
      </c>
      <c r="B1128" s="164" t="s">
        <v>3265</v>
      </c>
      <c r="C1128" s="164" t="s">
        <v>287</v>
      </c>
      <c r="D1128" s="164" t="s">
        <v>150</v>
      </c>
      <c r="E1128" s="79">
        <v>44866</v>
      </c>
      <c r="F1128" s="6" t="s">
        <v>16</v>
      </c>
      <c r="G1128" s="6" t="s">
        <v>2929</v>
      </c>
      <c r="H1128" s="170">
        <v>21000</v>
      </c>
      <c r="I1128" s="172">
        <f t="shared" si="53"/>
        <v>240.49473202015577</v>
      </c>
      <c r="J1128" s="162">
        <v>44883</v>
      </c>
      <c r="K1128" s="6" t="s">
        <v>252</v>
      </c>
      <c r="L1128" s="162">
        <v>44883</v>
      </c>
      <c r="M1128" s="175" t="s">
        <v>6329</v>
      </c>
      <c r="O1128" s="6" t="s">
        <v>356</v>
      </c>
      <c r="P1128" s="6" t="str">
        <f t="shared" si="54"/>
        <v>SAFe que</v>
      </c>
      <c r="Q1128" t="str">
        <f t="shared" si="55"/>
        <v>2022</v>
      </c>
    </row>
    <row r="1129" spans="1:17">
      <c r="A1129" s="162">
        <v>44883</v>
      </c>
      <c r="B1129" s="164" t="s">
        <v>3267</v>
      </c>
      <c r="C1129" s="164" t="s">
        <v>303</v>
      </c>
      <c r="D1129" s="164" t="s">
        <v>150</v>
      </c>
      <c r="E1129" s="79">
        <v>44866</v>
      </c>
      <c r="F1129" s="6" t="s">
        <v>16</v>
      </c>
      <c r="G1129" s="6" t="s">
        <v>3144</v>
      </c>
      <c r="H1129" s="170">
        <v>21000</v>
      </c>
      <c r="I1129" s="172">
        <f t="shared" si="53"/>
        <v>240.49473202015577</v>
      </c>
      <c r="J1129" s="162">
        <v>44883</v>
      </c>
      <c r="K1129" s="6" t="s">
        <v>252</v>
      </c>
      <c r="L1129" s="162">
        <v>44883</v>
      </c>
      <c r="M1129" s="175" t="s">
        <v>6330</v>
      </c>
      <c r="O1129" s="6" t="s">
        <v>356</v>
      </c>
      <c r="P1129" s="6" t="str">
        <f t="shared" si="54"/>
        <v>SAFe que</v>
      </c>
      <c r="Q1129" t="str">
        <f t="shared" si="55"/>
        <v>2022</v>
      </c>
    </row>
    <row r="1130" spans="1:17">
      <c r="A1130" s="162">
        <v>44884</v>
      </c>
      <c r="B1130" s="164" t="s">
        <v>3269</v>
      </c>
      <c r="C1130" s="164" t="s">
        <v>278</v>
      </c>
      <c r="D1130" s="164" t="s">
        <v>1524</v>
      </c>
      <c r="E1130" s="79">
        <v>44866</v>
      </c>
      <c r="F1130" s="6" t="s">
        <v>16</v>
      </c>
      <c r="G1130" s="6" t="s">
        <v>2929</v>
      </c>
      <c r="H1130" s="170">
        <v>24000</v>
      </c>
      <c r="I1130" s="172">
        <f t="shared" si="53"/>
        <v>274.85112230874944</v>
      </c>
      <c r="J1130" s="162">
        <v>44885</v>
      </c>
      <c r="K1130" s="6" t="s">
        <v>253</v>
      </c>
      <c r="L1130" s="162">
        <v>44886</v>
      </c>
      <c r="M1130" s="175" t="s">
        <v>6331</v>
      </c>
      <c r="N1130" s="6" t="s">
        <v>3271</v>
      </c>
      <c r="O1130" s="6" t="s">
        <v>356</v>
      </c>
      <c r="P1130" s="6" t="str">
        <f t="shared" si="54"/>
        <v>SAFe que</v>
      </c>
      <c r="Q1130" t="str">
        <f t="shared" si="55"/>
        <v>2022</v>
      </c>
    </row>
    <row r="1131" spans="1:17">
      <c r="A1131" s="162">
        <v>44886</v>
      </c>
      <c r="B1131" s="164" t="s">
        <v>3272</v>
      </c>
      <c r="C1131" s="164" t="s">
        <v>287</v>
      </c>
      <c r="D1131" s="164" t="s">
        <v>1524</v>
      </c>
      <c r="E1131" s="79">
        <v>44866</v>
      </c>
      <c r="F1131" s="6" t="s">
        <v>16</v>
      </c>
      <c r="G1131" s="6" t="s">
        <v>2929</v>
      </c>
      <c r="H1131" s="170">
        <v>24000</v>
      </c>
      <c r="I1131" s="172">
        <f t="shared" si="53"/>
        <v>274.85112230874944</v>
      </c>
      <c r="J1131" s="162">
        <v>44886</v>
      </c>
      <c r="K1131" s="6" t="s">
        <v>253</v>
      </c>
      <c r="L1131" s="162">
        <v>44886</v>
      </c>
      <c r="M1131" s="175" t="s">
        <v>6332</v>
      </c>
      <c r="O1131" s="6" t="s">
        <v>356</v>
      </c>
      <c r="P1131" s="6" t="str">
        <f t="shared" si="54"/>
        <v>SAFe que</v>
      </c>
      <c r="Q1131" t="str">
        <f t="shared" si="55"/>
        <v>2022</v>
      </c>
    </row>
    <row r="1132" spans="1:17">
      <c r="A1132" s="162">
        <v>44886</v>
      </c>
      <c r="B1132" s="164" t="s">
        <v>3274</v>
      </c>
      <c r="C1132" s="164" t="s">
        <v>287</v>
      </c>
      <c r="D1132" s="164" t="s">
        <v>6</v>
      </c>
      <c r="E1132" s="79">
        <v>44866</v>
      </c>
      <c r="F1132" s="6" t="s">
        <v>16</v>
      </c>
      <c r="G1132" s="6" t="s">
        <v>3254</v>
      </c>
      <c r="H1132" s="170">
        <v>40061</v>
      </c>
      <c r="I1132" s="172">
        <f t="shared" si="53"/>
        <v>458.7837837837838</v>
      </c>
      <c r="J1132" s="162">
        <v>44886</v>
      </c>
      <c r="K1132" s="6" t="s">
        <v>253</v>
      </c>
      <c r="L1132" s="162">
        <v>44887</v>
      </c>
      <c r="M1132" s="175" t="s">
        <v>6333</v>
      </c>
      <c r="O1132" s="6" t="s">
        <v>356</v>
      </c>
      <c r="P1132" s="6" t="str">
        <f t="shared" si="54"/>
        <v>SAFe que</v>
      </c>
      <c r="Q1132" t="str">
        <f t="shared" si="55"/>
        <v>2022</v>
      </c>
    </row>
    <row r="1133" spans="1:17">
      <c r="A1133" s="162">
        <v>44887</v>
      </c>
      <c r="B1133" s="164" t="s">
        <v>3276</v>
      </c>
      <c r="C1133" s="164" t="s">
        <v>278</v>
      </c>
      <c r="D1133" s="164" t="s">
        <v>1524</v>
      </c>
      <c r="E1133" s="79">
        <v>44866</v>
      </c>
      <c r="F1133" s="6" t="s">
        <v>16</v>
      </c>
      <c r="G1133" s="6" t="s">
        <v>2929</v>
      </c>
      <c r="H1133" s="170">
        <v>24000</v>
      </c>
      <c r="I1133" s="172">
        <f t="shared" si="53"/>
        <v>274.85112230874944</v>
      </c>
      <c r="J1133" s="162">
        <v>44887</v>
      </c>
      <c r="K1133" s="6" t="s">
        <v>253</v>
      </c>
      <c r="L1133" s="162">
        <v>44887</v>
      </c>
      <c r="M1133" s="175" t="s">
        <v>6334</v>
      </c>
      <c r="N1133" s="6" t="s">
        <v>3278</v>
      </c>
      <c r="O1133" s="6" t="s">
        <v>356</v>
      </c>
      <c r="P1133" s="6" t="str">
        <f t="shared" si="54"/>
        <v>SAFe que</v>
      </c>
      <c r="Q1133" t="str">
        <f t="shared" si="55"/>
        <v>2022</v>
      </c>
    </row>
    <row r="1134" spans="1:17">
      <c r="A1134" s="162">
        <v>44887</v>
      </c>
      <c r="B1134" s="164" t="s">
        <v>1307</v>
      </c>
      <c r="C1134" s="164" t="s">
        <v>470</v>
      </c>
      <c r="D1134" s="164" t="s">
        <v>1524</v>
      </c>
      <c r="E1134" s="79">
        <v>44866</v>
      </c>
      <c r="F1134" s="6" t="s">
        <v>16</v>
      </c>
      <c r="G1134" s="6" t="s">
        <v>3238</v>
      </c>
      <c r="H1134" s="170">
        <v>24000</v>
      </c>
      <c r="I1134" s="172">
        <f t="shared" si="53"/>
        <v>274.85112230874944</v>
      </c>
      <c r="J1134" s="162">
        <v>44887</v>
      </c>
      <c r="K1134" s="6" t="s">
        <v>253</v>
      </c>
      <c r="L1134" s="162">
        <v>44887</v>
      </c>
      <c r="M1134" s="175" t="s">
        <v>6335</v>
      </c>
      <c r="O1134" s="6" t="s">
        <v>356</v>
      </c>
      <c r="P1134" s="6" t="str">
        <f t="shared" si="54"/>
        <v>SAFe que</v>
      </c>
      <c r="Q1134" t="str">
        <f t="shared" si="55"/>
        <v>2022</v>
      </c>
    </row>
    <row r="1135" spans="1:17">
      <c r="A1135" s="162">
        <v>44887</v>
      </c>
      <c r="B1135" s="164" t="s">
        <v>3279</v>
      </c>
      <c r="C1135" s="164" t="s">
        <v>278</v>
      </c>
      <c r="D1135" s="164" t="s">
        <v>3244</v>
      </c>
      <c r="E1135" s="79">
        <v>44866</v>
      </c>
      <c r="F1135" s="6" t="s">
        <v>16</v>
      </c>
      <c r="G1135" s="97">
        <v>44891</v>
      </c>
      <c r="H1135" s="170">
        <v>32000</v>
      </c>
      <c r="I1135" s="172">
        <f t="shared" si="53"/>
        <v>366.46816307833262</v>
      </c>
      <c r="J1135" s="162">
        <v>44887</v>
      </c>
      <c r="K1135" s="6" t="s">
        <v>253</v>
      </c>
      <c r="L1135" s="162">
        <v>44889</v>
      </c>
      <c r="M1135" s="175" t="s">
        <v>6336</v>
      </c>
      <c r="N1135" s="6" t="s">
        <v>3281</v>
      </c>
      <c r="O1135" s="6" t="s">
        <v>356</v>
      </c>
      <c r="P1135" s="6" t="str">
        <f t="shared" si="54"/>
        <v>NonCategory</v>
      </c>
      <c r="Q1135" t="str">
        <f t="shared" si="55"/>
        <v>2022</v>
      </c>
    </row>
    <row r="1136" spans="1:17">
      <c r="A1136" s="162">
        <v>44887</v>
      </c>
      <c r="B1136" s="164" t="s">
        <v>3282</v>
      </c>
      <c r="C1136" s="164" t="s">
        <v>278</v>
      </c>
      <c r="D1136" s="164" t="s">
        <v>150</v>
      </c>
      <c r="E1136" s="79">
        <v>44866</v>
      </c>
      <c r="F1136" s="6" t="s">
        <v>16</v>
      </c>
      <c r="G1136" s="6" t="s">
        <v>2929</v>
      </c>
      <c r="H1136" s="170">
        <v>21000</v>
      </c>
      <c r="I1136" s="172">
        <f t="shared" si="53"/>
        <v>240.49473202015577</v>
      </c>
      <c r="J1136" s="162">
        <v>44887</v>
      </c>
      <c r="K1136" s="6" t="s">
        <v>253</v>
      </c>
      <c r="L1136" s="162">
        <v>44887</v>
      </c>
      <c r="M1136" s="175" t="s">
        <v>6337</v>
      </c>
      <c r="N1136" s="6" t="s">
        <v>3284</v>
      </c>
      <c r="O1136" s="6" t="s">
        <v>356</v>
      </c>
      <c r="P1136" s="6" t="str">
        <f t="shared" si="54"/>
        <v>SAFe que</v>
      </c>
      <c r="Q1136" t="str">
        <f t="shared" si="55"/>
        <v>2022</v>
      </c>
    </row>
    <row r="1137" spans="1:17">
      <c r="A1137" s="162">
        <v>44887</v>
      </c>
      <c r="B1137" s="164" t="s">
        <v>3285</v>
      </c>
      <c r="C1137" s="164" t="s">
        <v>278</v>
      </c>
      <c r="D1137" s="164" t="s">
        <v>150</v>
      </c>
      <c r="E1137" s="79">
        <v>44866</v>
      </c>
      <c r="F1137" s="6" t="s">
        <v>16</v>
      </c>
      <c r="G1137" s="6" t="s">
        <v>2929</v>
      </c>
      <c r="H1137" s="170">
        <v>21000</v>
      </c>
      <c r="I1137" s="172">
        <v>250</v>
      </c>
      <c r="J1137" s="162">
        <v>44887</v>
      </c>
      <c r="K1137" s="6" t="s">
        <v>253</v>
      </c>
      <c r="L1137" s="162">
        <v>44887</v>
      </c>
      <c r="M1137" s="175" t="s">
        <v>6338</v>
      </c>
      <c r="N1137" s="6" t="s">
        <v>3287</v>
      </c>
      <c r="O1137" s="6" t="s">
        <v>356</v>
      </c>
      <c r="P1137" s="6" t="str">
        <f t="shared" si="54"/>
        <v>SAFe que</v>
      </c>
      <c r="Q1137" t="str">
        <f t="shared" si="55"/>
        <v>2022</v>
      </c>
    </row>
    <row r="1138" spans="1:17">
      <c r="A1138" s="162">
        <v>44887</v>
      </c>
      <c r="B1138" s="164" t="s">
        <v>573</v>
      </c>
      <c r="C1138" s="164" t="s">
        <v>278</v>
      </c>
      <c r="D1138" s="164" t="s">
        <v>1524</v>
      </c>
      <c r="E1138" s="79">
        <v>44866</v>
      </c>
      <c r="F1138" s="6" t="s">
        <v>16</v>
      </c>
      <c r="G1138" s="6" t="s">
        <v>2929</v>
      </c>
      <c r="H1138" s="170">
        <v>24000</v>
      </c>
      <c r="I1138" s="172">
        <f t="shared" ref="I1138:I1201" si="56">IFERROR((($H1138/1.18))/74,"")</f>
        <v>274.85112230874944</v>
      </c>
      <c r="J1138" s="162">
        <v>44887</v>
      </c>
      <c r="K1138" s="6" t="s">
        <v>253</v>
      </c>
      <c r="L1138" s="162">
        <v>44888</v>
      </c>
      <c r="M1138" s="175" t="s">
        <v>6339</v>
      </c>
      <c r="N1138" s="6" t="s">
        <v>3289</v>
      </c>
      <c r="O1138" s="6" t="s">
        <v>356</v>
      </c>
      <c r="P1138" s="6" t="str">
        <f t="shared" si="54"/>
        <v>SAFe que</v>
      </c>
      <c r="Q1138" t="str">
        <f t="shared" si="55"/>
        <v>2022</v>
      </c>
    </row>
    <row r="1139" spans="1:17">
      <c r="A1139" s="162">
        <v>44888</v>
      </c>
      <c r="B1139" s="164" t="s">
        <v>3290</v>
      </c>
      <c r="C1139" s="164" t="s">
        <v>303</v>
      </c>
      <c r="D1139" s="164" t="s">
        <v>1497</v>
      </c>
      <c r="E1139" s="79">
        <v>44866</v>
      </c>
      <c r="F1139" s="6" t="s">
        <v>16</v>
      </c>
      <c r="G1139" s="6" t="s">
        <v>3254</v>
      </c>
      <c r="H1139" s="170">
        <v>24000</v>
      </c>
      <c r="I1139" s="172">
        <f t="shared" si="56"/>
        <v>274.85112230874944</v>
      </c>
      <c r="J1139" s="162">
        <v>44888</v>
      </c>
      <c r="K1139" s="6" t="s">
        <v>253</v>
      </c>
      <c r="L1139" s="162">
        <v>44888</v>
      </c>
      <c r="M1139" s="175" t="s">
        <v>6340</v>
      </c>
      <c r="O1139" s="6" t="s">
        <v>356</v>
      </c>
      <c r="P1139" s="6" t="str">
        <f t="shared" si="54"/>
        <v>SAFe que</v>
      </c>
      <c r="Q1139" t="str">
        <f t="shared" si="55"/>
        <v>2022</v>
      </c>
    </row>
    <row r="1140" spans="1:17">
      <c r="A1140" s="162">
        <v>44888</v>
      </c>
      <c r="B1140" s="164" t="s">
        <v>2171</v>
      </c>
      <c r="C1140" s="164" t="s">
        <v>291</v>
      </c>
      <c r="D1140" s="164" t="s">
        <v>25</v>
      </c>
      <c r="E1140" s="79">
        <v>44866</v>
      </c>
      <c r="F1140" s="6" t="s">
        <v>16</v>
      </c>
      <c r="G1140" s="6" t="s">
        <v>3238</v>
      </c>
      <c r="H1140" s="170">
        <v>42000</v>
      </c>
      <c r="I1140" s="172">
        <f t="shared" si="56"/>
        <v>480.98946404031153</v>
      </c>
      <c r="J1140" s="162">
        <v>44888</v>
      </c>
      <c r="K1140" s="6" t="s">
        <v>253</v>
      </c>
      <c r="L1140" s="162">
        <v>44889</v>
      </c>
      <c r="M1140" s="175" t="s">
        <v>6341</v>
      </c>
      <c r="O1140" s="6" t="s">
        <v>356</v>
      </c>
      <c r="P1140" s="6" t="str">
        <f t="shared" si="54"/>
        <v>SAFe que</v>
      </c>
      <c r="Q1140" t="str">
        <f t="shared" si="55"/>
        <v>2022</v>
      </c>
    </row>
    <row r="1141" spans="1:17">
      <c r="A1141" s="162">
        <v>44889</v>
      </c>
      <c r="B1141" s="164" t="s">
        <v>3293</v>
      </c>
      <c r="C1141" s="164" t="s">
        <v>278</v>
      </c>
      <c r="D1141" s="164" t="s">
        <v>151</v>
      </c>
      <c r="E1141" s="79">
        <v>44866</v>
      </c>
      <c r="F1141" s="6" t="s">
        <v>16</v>
      </c>
      <c r="G1141" s="6" t="s">
        <v>2929</v>
      </c>
      <c r="H1141" s="170">
        <v>21000</v>
      </c>
      <c r="I1141" s="172">
        <f t="shared" si="56"/>
        <v>240.49473202015577</v>
      </c>
      <c r="J1141" s="162">
        <v>44889</v>
      </c>
      <c r="K1141" s="6" t="s">
        <v>253</v>
      </c>
      <c r="L1141" s="162">
        <v>44889</v>
      </c>
      <c r="M1141" s="175" t="s">
        <v>6342</v>
      </c>
      <c r="N1141" s="6" t="s">
        <v>3295</v>
      </c>
      <c r="O1141" s="6" t="s">
        <v>356</v>
      </c>
      <c r="P1141" s="6" t="str">
        <f t="shared" si="54"/>
        <v>SAFe que</v>
      </c>
      <c r="Q1141" t="str">
        <f t="shared" si="55"/>
        <v>2022</v>
      </c>
    </row>
    <row r="1142" spans="1:17">
      <c r="A1142" s="162">
        <v>44890</v>
      </c>
      <c r="B1142" s="164" t="s">
        <v>76</v>
      </c>
      <c r="C1142" s="164" t="s">
        <v>470</v>
      </c>
      <c r="D1142" s="164" t="s">
        <v>3296</v>
      </c>
      <c r="E1142" s="79">
        <v>44866</v>
      </c>
      <c r="F1142" s="6" t="s">
        <v>16</v>
      </c>
      <c r="G1142" s="97">
        <v>44890</v>
      </c>
      <c r="H1142" s="170">
        <v>29000</v>
      </c>
      <c r="I1142" s="172">
        <f t="shared" si="56"/>
        <v>332.11177278973895</v>
      </c>
      <c r="J1142" s="162">
        <v>44890</v>
      </c>
      <c r="K1142" s="6" t="s">
        <v>253</v>
      </c>
      <c r="L1142" s="162">
        <v>44889</v>
      </c>
      <c r="M1142" s="175" t="s">
        <v>6343</v>
      </c>
      <c r="O1142" s="6" t="s">
        <v>356</v>
      </c>
      <c r="P1142" s="6" t="str">
        <f t="shared" si="54"/>
        <v>NonCategory</v>
      </c>
      <c r="Q1142" t="str">
        <f t="shared" si="55"/>
        <v>2022</v>
      </c>
    </row>
    <row r="1143" spans="1:17">
      <c r="A1143" s="162">
        <v>44890</v>
      </c>
      <c r="B1143" s="164" t="s">
        <v>3297</v>
      </c>
      <c r="C1143" s="164" t="s">
        <v>287</v>
      </c>
      <c r="D1143" s="164" t="s">
        <v>1524</v>
      </c>
      <c r="E1143" s="79">
        <v>44866</v>
      </c>
      <c r="F1143" s="6" t="s">
        <v>16</v>
      </c>
      <c r="G1143" s="6" t="s">
        <v>2929</v>
      </c>
      <c r="H1143" s="170">
        <v>24000</v>
      </c>
      <c r="I1143" s="172">
        <f t="shared" si="56"/>
        <v>274.85112230874944</v>
      </c>
      <c r="J1143" s="162">
        <v>44890</v>
      </c>
      <c r="K1143" s="6" t="s">
        <v>253</v>
      </c>
      <c r="L1143" s="162">
        <v>44890</v>
      </c>
      <c r="M1143" s="175" t="s">
        <v>6344</v>
      </c>
      <c r="O1143" s="6" t="s">
        <v>356</v>
      </c>
      <c r="P1143" s="6" t="str">
        <f t="shared" si="54"/>
        <v>SAFe que</v>
      </c>
      <c r="Q1143" t="str">
        <f t="shared" si="55"/>
        <v>2022</v>
      </c>
    </row>
    <row r="1144" spans="1:17">
      <c r="A1144" s="162">
        <v>44890</v>
      </c>
      <c r="B1144" s="164" t="s">
        <v>3299</v>
      </c>
      <c r="C1144" s="164" t="s">
        <v>287</v>
      </c>
      <c r="D1144" s="164" t="s">
        <v>1524</v>
      </c>
      <c r="E1144" s="79">
        <v>44866</v>
      </c>
      <c r="F1144" s="6" t="s">
        <v>16</v>
      </c>
      <c r="G1144" s="6" t="s">
        <v>2929</v>
      </c>
      <c r="H1144" s="170">
        <v>24000</v>
      </c>
      <c r="I1144" s="172">
        <f t="shared" si="56"/>
        <v>274.85112230874944</v>
      </c>
      <c r="J1144" s="162">
        <v>44890</v>
      </c>
      <c r="K1144" s="6" t="s">
        <v>253</v>
      </c>
      <c r="L1144" s="162">
        <v>44890</v>
      </c>
      <c r="M1144" s="175" t="s">
        <v>6345</v>
      </c>
      <c r="O1144" s="6" t="s">
        <v>356</v>
      </c>
      <c r="P1144" s="6" t="str">
        <f t="shared" si="54"/>
        <v>SAFe que</v>
      </c>
      <c r="Q1144" t="str">
        <f t="shared" si="55"/>
        <v>2022</v>
      </c>
    </row>
    <row r="1145" spans="1:17">
      <c r="A1145" s="162">
        <v>44893</v>
      </c>
      <c r="B1145" s="164" t="s">
        <v>3301</v>
      </c>
      <c r="C1145" s="164" t="s">
        <v>303</v>
      </c>
      <c r="D1145" s="164" t="s">
        <v>25</v>
      </c>
      <c r="E1145" s="79">
        <v>44866</v>
      </c>
      <c r="F1145" s="6" t="s">
        <v>16</v>
      </c>
      <c r="G1145" s="6" t="s">
        <v>3254</v>
      </c>
      <c r="H1145" s="170">
        <v>42000</v>
      </c>
      <c r="I1145" s="172">
        <f t="shared" si="56"/>
        <v>480.98946404031153</v>
      </c>
      <c r="J1145" s="162">
        <v>44893</v>
      </c>
      <c r="K1145" s="6" t="s">
        <v>253</v>
      </c>
      <c r="L1145" s="162">
        <v>44893</v>
      </c>
      <c r="M1145" s="175" t="s">
        <v>6346</v>
      </c>
      <c r="O1145" s="6" t="s">
        <v>356</v>
      </c>
      <c r="P1145" s="6" t="str">
        <f t="shared" si="54"/>
        <v>SAFe que</v>
      </c>
      <c r="Q1145" t="str">
        <f t="shared" si="55"/>
        <v>2022</v>
      </c>
    </row>
    <row r="1146" spans="1:17">
      <c r="A1146" s="162">
        <v>44893</v>
      </c>
      <c r="B1146" s="164" t="s">
        <v>3303</v>
      </c>
      <c r="C1146" s="164" t="s">
        <v>319</v>
      </c>
      <c r="D1146" s="164" t="s">
        <v>150</v>
      </c>
      <c r="E1146" s="79">
        <v>44896</v>
      </c>
      <c r="F1146" s="6" t="s">
        <v>16</v>
      </c>
      <c r="G1146" s="6" t="s">
        <v>3254</v>
      </c>
      <c r="H1146" s="170">
        <v>21000</v>
      </c>
      <c r="I1146" s="172">
        <f t="shared" si="56"/>
        <v>240.49473202015577</v>
      </c>
      <c r="J1146" s="162">
        <v>44893</v>
      </c>
      <c r="K1146" s="6" t="s">
        <v>251</v>
      </c>
      <c r="L1146" s="162">
        <v>44897</v>
      </c>
      <c r="M1146" s="175" t="s">
        <v>6347</v>
      </c>
      <c r="O1146" s="6" t="s">
        <v>356</v>
      </c>
      <c r="P1146" s="6" t="str">
        <f t="shared" si="54"/>
        <v>SAFe que</v>
      </c>
      <c r="Q1146" t="str">
        <f t="shared" si="55"/>
        <v>2022</v>
      </c>
    </row>
    <row r="1147" spans="1:17">
      <c r="A1147" s="162">
        <v>44893</v>
      </c>
      <c r="B1147" s="164" t="s">
        <v>3305</v>
      </c>
      <c r="C1147" s="164" t="s">
        <v>278</v>
      </c>
      <c r="D1147" s="164" t="s">
        <v>25</v>
      </c>
      <c r="E1147" s="79">
        <v>44866</v>
      </c>
      <c r="F1147" s="6" t="s">
        <v>16</v>
      </c>
      <c r="G1147" s="6" t="s">
        <v>3254</v>
      </c>
      <c r="H1147" s="170">
        <v>42000</v>
      </c>
      <c r="I1147" s="172">
        <f t="shared" si="56"/>
        <v>480.98946404031153</v>
      </c>
      <c r="J1147" s="162">
        <v>44893</v>
      </c>
      <c r="K1147" s="6" t="s">
        <v>253</v>
      </c>
      <c r="L1147" s="162">
        <v>44893</v>
      </c>
      <c r="M1147" s="175" t="s">
        <v>6348</v>
      </c>
      <c r="N1147" s="6" t="s">
        <v>3307</v>
      </c>
      <c r="O1147" s="6" t="s">
        <v>356</v>
      </c>
      <c r="P1147" s="6" t="str">
        <f t="shared" si="54"/>
        <v>SAFe que</v>
      </c>
      <c r="Q1147" t="str">
        <f t="shared" si="55"/>
        <v>2022</v>
      </c>
    </row>
    <row r="1148" spans="1:17">
      <c r="A1148" s="162">
        <v>44893</v>
      </c>
      <c r="B1148" s="164" t="s">
        <v>3308</v>
      </c>
      <c r="C1148" s="164" t="s">
        <v>278</v>
      </c>
      <c r="D1148" s="164" t="s">
        <v>1698</v>
      </c>
      <c r="E1148" s="79">
        <v>44866</v>
      </c>
      <c r="F1148" s="6" t="s">
        <v>16</v>
      </c>
      <c r="G1148" s="97">
        <v>44898</v>
      </c>
      <c r="H1148" s="170">
        <v>40000</v>
      </c>
      <c r="I1148" s="172">
        <f t="shared" si="56"/>
        <v>458.08520384791575</v>
      </c>
      <c r="J1148" s="162">
        <v>44893</v>
      </c>
      <c r="K1148" s="6" t="s">
        <v>253</v>
      </c>
      <c r="L1148" s="162">
        <v>44895</v>
      </c>
      <c r="M1148" s="175" t="s">
        <v>6349</v>
      </c>
      <c r="N1148" s="6" t="s">
        <v>3310</v>
      </c>
      <c r="O1148" s="6" t="s">
        <v>356</v>
      </c>
      <c r="P1148" s="6" t="str">
        <f t="shared" si="54"/>
        <v>NonCategory</v>
      </c>
      <c r="Q1148" t="str">
        <f t="shared" si="55"/>
        <v>2022</v>
      </c>
    </row>
    <row r="1149" spans="1:17">
      <c r="A1149" s="162">
        <v>44893</v>
      </c>
      <c r="B1149" s="164" t="s">
        <v>3311</v>
      </c>
      <c r="C1149" s="164" t="s">
        <v>319</v>
      </c>
      <c r="D1149" s="164" t="s">
        <v>150</v>
      </c>
      <c r="E1149" s="79">
        <v>44866</v>
      </c>
      <c r="F1149" s="6" t="s">
        <v>16</v>
      </c>
      <c r="G1149" s="6" t="s">
        <v>3214</v>
      </c>
      <c r="H1149" s="170">
        <v>21000</v>
      </c>
      <c r="I1149" s="172">
        <f t="shared" si="56"/>
        <v>240.49473202015577</v>
      </c>
      <c r="J1149" s="162">
        <v>44893</v>
      </c>
      <c r="K1149" s="6" t="s">
        <v>253</v>
      </c>
      <c r="L1149" s="162">
        <v>44893</v>
      </c>
      <c r="M1149" s="175" t="s">
        <v>6350</v>
      </c>
      <c r="O1149" s="6" t="s">
        <v>356</v>
      </c>
      <c r="P1149" s="6" t="str">
        <f t="shared" si="54"/>
        <v>SAFe que</v>
      </c>
      <c r="Q1149" t="str">
        <f t="shared" si="55"/>
        <v>2022</v>
      </c>
    </row>
    <row r="1150" spans="1:17">
      <c r="A1150" s="162">
        <v>44894</v>
      </c>
      <c r="B1150" s="164" t="s">
        <v>3313</v>
      </c>
      <c r="C1150" s="164" t="s">
        <v>291</v>
      </c>
      <c r="D1150" s="164" t="s">
        <v>96</v>
      </c>
      <c r="E1150" s="79">
        <v>44866</v>
      </c>
      <c r="F1150" s="6" t="s">
        <v>16</v>
      </c>
      <c r="G1150" s="6" t="s">
        <v>3315</v>
      </c>
      <c r="H1150" s="170">
        <v>20000</v>
      </c>
      <c r="I1150" s="172">
        <f t="shared" si="56"/>
        <v>229.04260192395787</v>
      </c>
      <c r="J1150" s="162">
        <v>44894</v>
      </c>
      <c r="K1150" s="6" t="s">
        <v>253</v>
      </c>
      <c r="L1150" s="162">
        <v>44894</v>
      </c>
      <c r="M1150" s="175" t="s">
        <v>6351</v>
      </c>
      <c r="O1150" s="6" t="s">
        <v>356</v>
      </c>
      <c r="P1150" s="6" t="str">
        <f t="shared" si="54"/>
        <v>Category</v>
      </c>
      <c r="Q1150" t="str">
        <f t="shared" si="55"/>
        <v>2022</v>
      </c>
    </row>
    <row r="1151" spans="1:17">
      <c r="A1151" s="162">
        <v>44895</v>
      </c>
      <c r="B1151" s="164" t="s">
        <v>3316</v>
      </c>
      <c r="C1151" s="164" t="s">
        <v>278</v>
      </c>
      <c r="D1151" s="164" t="s">
        <v>1524</v>
      </c>
      <c r="E1151" s="79">
        <v>44866</v>
      </c>
      <c r="F1151" s="6" t="s">
        <v>16</v>
      </c>
      <c r="G1151" s="6" t="s">
        <v>3238</v>
      </c>
      <c r="H1151" s="170">
        <v>24000</v>
      </c>
      <c r="I1151" s="172">
        <f t="shared" si="56"/>
        <v>274.85112230874944</v>
      </c>
      <c r="J1151" s="162">
        <v>44895</v>
      </c>
      <c r="K1151" s="6" t="s">
        <v>253</v>
      </c>
      <c r="L1151" s="162">
        <v>44895</v>
      </c>
      <c r="M1151" s="175" t="s">
        <v>6352</v>
      </c>
      <c r="N1151" s="6" t="s">
        <v>3318</v>
      </c>
      <c r="O1151" s="6" t="s">
        <v>356</v>
      </c>
      <c r="P1151" s="6" t="str">
        <f t="shared" si="54"/>
        <v>SAFe que</v>
      </c>
      <c r="Q1151" t="str">
        <f t="shared" si="55"/>
        <v>2022</v>
      </c>
    </row>
    <row r="1152" spans="1:17">
      <c r="A1152" s="162">
        <v>44895</v>
      </c>
      <c r="B1152" s="164" t="s">
        <v>3319</v>
      </c>
      <c r="C1152" s="164" t="s">
        <v>319</v>
      </c>
      <c r="D1152" s="164" t="s">
        <v>1497</v>
      </c>
      <c r="E1152" s="79">
        <v>44866</v>
      </c>
      <c r="F1152" s="6" t="s">
        <v>16</v>
      </c>
      <c r="G1152" s="6" t="s">
        <v>3254</v>
      </c>
      <c r="H1152" s="170">
        <v>24000</v>
      </c>
      <c r="I1152" s="172">
        <f t="shared" si="56"/>
        <v>274.85112230874944</v>
      </c>
      <c r="J1152" s="162">
        <v>44895</v>
      </c>
      <c r="K1152" s="6" t="s">
        <v>253</v>
      </c>
      <c r="L1152" s="162">
        <v>44895</v>
      </c>
      <c r="M1152" s="175" t="s">
        <v>6353</v>
      </c>
      <c r="O1152" s="6" t="s">
        <v>356</v>
      </c>
      <c r="P1152" s="6" t="str">
        <f t="shared" si="54"/>
        <v>SAFe que</v>
      </c>
      <c r="Q1152" t="str">
        <f t="shared" si="55"/>
        <v>2022</v>
      </c>
    </row>
    <row r="1153" spans="1:17">
      <c r="A1153" s="162">
        <v>44896</v>
      </c>
      <c r="B1153" s="164" t="s">
        <v>3321</v>
      </c>
      <c r="C1153" s="164" t="s">
        <v>278</v>
      </c>
      <c r="D1153" s="164" t="s">
        <v>1524</v>
      </c>
      <c r="E1153" s="79">
        <v>44896</v>
      </c>
      <c r="F1153" s="6" t="s">
        <v>16</v>
      </c>
      <c r="G1153" s="6" t="s">
        <v>3323</v>
      </c>
      <c r="H1153" s="170">
        <v>24000</v>
      </c>
      <c r="I1153" s="172">
        <f t="shared" si="56"/>
        <v>274.85112230874944</v>
      </c>
      <c r="J1153" s="162">
        <v>44896</v>
      </c>
      <c r="K1153" s="6" t="s">
        <v>251</v>
      </c>
      <c r="L1153" s="162">
        <v>44896</v>
      </c>
      <c r="M1153" s="175" t="s">
        <v>6354</v>
      </c>
      <c r="O1153" s="6" t="s">
        <v>356</v>
      </c>
      <c r="P1153" s="6" t="str">
        <f t="shared" si="54"/>
        <v>SAFe que</v>
      </c>
      <c r="Q1153" t="str">
        <f t="shared" si="55"/>
        <v>2022</v>
      </c>
    </row>
    <row r="1154" spans="1:17">
      <c r="A1154" s="162">
        <v>44896</v>
      </c>
      <c r="B1154" s="164" t="s">
        <v>2864</v>
      </c>
      <c r="C1154" s="164" t="s">
        <v>470</v>
      </c>
      <c r="D1154" s="164" t="s">
        <v>1524</v>
      </c>
      <c r="E1154" s="79">
        <v>44896</v>
      </c>
      <c r="F1154" s="6" t="s">
        <v>16</v>
      </c>
      <c r="G1154" s="6" t="s">
        <v>3238</v>
      </c>
      <c r="H1154" s="170">
        <v>24000</v>
      </c>
      <c r="I1154" s="172">
        <f t="shared" si="56"/>
        <v>274.85112230874944</v>
      </c>
      <c r="J1154" s="162">
        <v>44896</v>
      </c>
      <c r="K1154" s="6" t="s">
        <v>251</v>
      </c>
      <c r="L1154" s="162">
        <v>44896</v>
      </c>
      <c r="M1154" s="175" t="s">
        <v>6355</v>
      </c>
      <c r="O1154" s="6" t="s">
        <v>356</v>
      </c>
      <c r="P1154" s="6" t="str">
        <f t="shared" ref="P1154:P1217" si="57">IFERROR(_xlfn.IFS($D1154="CSM","Category",$D1154="CSPO","Category", $D1154="PSM","SAFe que",$D1154="PSPO","SAFe que",$D1154="SAFe Agile","SAFe que",$D1154="SAFe SSM","SAFe que",$D1154="SAFe POPM","SAFe que",$D1154="SASM","SAFe que",$D1154="PMI-ACP","Category",$D1154="ICP-ACC","SAFe que",$D1154="PSM 2","SAFe que",$D1154="SAFe RTE","SAFe que",$D1154="Implementing SAFe","SAFe que",$D1154="SAFe for Government","SAFe que",$D1154="PSPO 2","SAFe que",$D1154="",""),"NonCategory")</f>
        <v>SAFe que</v>
      </c>
      <c r="Q1154" t="str">
        <f t="shared" ref="Q1154:Q1217" si="58">TEXT(E1154, "yyyy")</f>
        <v>2022</v>
      </c>
    </row>
    <row r="1155" spans="1:17">
      <c r="A1155" s="162">
        <v>44896</v>
      </c>
      <c r="B1155" s="164" t="s">
        <v>3324</v>
      </c>
      <c r="C1155" s="164" t="s">
        <v>319</v>
      </c>
      <c r="D1155" s="164" t="s">
        <v>151</v>
      </c>
      <c r="E1155" s="79">
        <v>44896</v>
      </c>
      <c r="F1155" s="6" t="s">
        <v>16</v>
      </c>
      <c r="G1155" s="6" t="s">
        <v>3326</v>
      </c>
      <c r="H1155" s="170">
        <v>21000</v>
      </c>
      <c r="I1155" s="172">
        <f t="shared" si="56"/>
        <v>240.49473202015577</v>
      </c>
      <c r="J1155" s="162">
        <v>44896</v>
      </c>
      <c r="K1155" s="6" t="s">
        <v>251</v>
      </c>
      <c r="L1155" s="162">
        <v>44896</v>
      </c>
      <c r="M1155" s="175" t="s">
        <v>6356</v>
      </c>
      <c r="O1155" s="6" t="s">
        <v>356</v>
      </c>
      <c r="P1155" s="6" t="str">
        <f t="shared" si="57"/>
        <v>SAFe que</v>
      </c>
      <c r="Q1155" t="str">
        <f t="shared" si="58"/>
        <v>2022</v>
      </c>
    </row>
    <row r="1156" spans="1:17">
      <c r="A1156" s="162">
        <v>44896</v>
      </c>
      <c r="B1156" s="164" t="s">
        <v>3327</v>
      </c>
      <c r="C1156" s="164" t="s">
        <v>278</v>
      </c>
      <c r="D1156" s="164" t="s">
        <v>1524</v>
      </c>
      <c r="E1156" s="79">
        <v>44896</v>
      </c>
      <c r="F1156" s="6" t="s">
        <v>16</v>
      </c>
      <c r="G1156" s="6" t="s">
        <v>3238</v>
      </c>
      <c r="H1156" s="170">
        <v>24000</v>
      </c>
      <c r="I1156" s="172">
        <f t="shared" si="56"/>
        <v>274.85112230874944</v>
      </c>
      <c r="J1156" s="162">
        <v>44896</v>
      </c>
      <c r="K1156" s="6" t="s">
        <v>251</v>
      </c>
      <c r="L1156" s="162">
        <v>44896</v>
      </c>
      <c r="M1156" s="175" t="s">
        <v>6357</v>
      </c>
      <c r="N1156" s="6" t="s">
        <v>3329</v>
      </c>
      <c r="O1156" s="6" t="s">
        <v>356</v>
      </c>
      <c r="P1156" s="6" t="str">
        <f t="shared" si="57"/>
        <v>SAFe que</v>
      </c>
      <c r="Q1156" t="str">
        <f t="shared" si="58"/>
        <v>2022</v>
      </c>
    </row>
    <row r="1157" spans="1:17">
      <c r="A1157" s="162">
        <v>44897</v>
      </c>
      <c r="B1157" s="164" t="s">
        <v>3330</v>
      </c>
      <c r="C1157" s="164" t="s">
        <v>278</v>
      </c>
      <c r="D1157" s="164" t="s">
        <v>150</v>
      </c>
      <c r="E1157" s="79">
        <v>44896</v>
      </c>
      <c r="F1157" s="6" t="s">
        <v>16</v>
      </c>
      <c r="G1157" s="6" t="s">
        <v>3254</v>
      </c>
      <c r="H1157" s="170">
        <v>21000</v>
      </c>
      <c r="I1157" s="172">
        <f t="shared" si="56"/>
        <v>240.49473202015577</v>
      </c>
      <c r="J1157" s="162">
        <v>44897</v>
      </c>
      <c r="K1157" s="6" t="s">
        <v>251</v>
      </c>
      <c r="L1157" s="162">
        <v>44897</v>
      </c>
      <c r="M1157" s="175" t="s">
        <v>6358</v>
      </c>
      <c r="N1157" s="6" t="s">
        <v>3332</v>
      </c>
      <c r="O1157" s="6" t="s">
        <v>356</v>
      </c>
      <c r="P1157" s="6" t="str">
        <f t="shared" si="57"/>
        <v>SAFe que</v>
      </c>
      <c r="Q1157" t="str">
        <f t="shared" si="58"/>
        <v>2022</v>
      </c>
    </row>
    <row r="1158" spans="1:17">
      <c r="A1158" s="162">
        <v>44897</v>
      </c>
      <c r="B1158" s="164" t="s">
        <v>3336</v>
      </c>
      <c r="C1158" s="164" t="s">
        <v>319</v>
      </c>
      <c r="D1158" s="164" t="s">
        <v>96</v>
      </c>
      <c r="E1158" s="79">
        <v>44896</v>
      </c>
      <c r="F1158" s="6" t="s">
        <v>16</v>
      </c>
      <c r="G1158" s="6" t="s">
        <v>3254</v>
      </c>
      <c r="H1158" s="170">
        <v>20000</v>
      </c>
      <c r="I1158" s="172">
        <f t="shared" si="56"/>
        <v>229.04260192395787</v>
      </c>
      <c r="J1158" s="162">
        <v>44897</v>
      </c>
      <c r="K1158" s="6" t="s">
        <v>251</v>
      </c>
      <c r="L1158" s="162">
        <v>44897</v>
      </c>
      <c r="M1158" s="175" t="s">
        <v>6359</v>
      </c>
      <c r="O1158" s="6" t="s">
        <v>356</v>
      </c>
      <c r="P1158" s="6" t="str">
        <f t="shared" si="57"/>
        <v>Category</v>
      </c>
      <c r="Q1158" t="str">
        <f t="shared" si="58"/>
        <v>2022</v>
      </c>
    </row>
    <row r="1159" spans="1:17">
      <c r="A1159" s="162">
        <v>44897</v>
      </c>
      <c r="B1159" s="164" t="s">
        <v>3341</v>
      </c>
      <c r="C1159" s="164" t="s">
        <v>303</v>
      </c>
      <c r="D1159" s="164" t="s">
        <v>150</v>
      </c>
      <c r="E1159" s="79">
        <v>44896</v>
      </c>
      <c r="F1159" s="6" t="s">
        <v>16</v>
      </c>
      <c r="G1159" s="6" t="s">
        <v>3221</v>
      </c>
      <c r="H1159" s="170">
        <v>21000</v>
      </c>
      <c r="I1159" s="172">
        <f t="shared" si="56"/>
        <v>240.49473202015577</v>
      </c>
      <c r="J1159" s="162">
        <v>44897</v>
      </c>
      <c r="K1159" s="6" t="s">
        <v>251</v>
      </c>
      <c r="L1159" s="162">
        <v>44897</v>
      </c>
      <c r="M1159" s="175" t="s">
        <v>6360</v>
      </c>
      <c r="O1159" s="6" t="s">
        <v>356</v>
      </c>
      <c r="P1159" s="6" t="str">
        <f t="shared" si="57"/>
        <v>SAFe que</v>
      </c>
      <c r="Q1159" t="str">
        <f t="shared" si="58"/>
        <v>2022</v>
      </c>
    </row>
    <row r="1160" spans="1:17">
      <c r="A1160" s="162">
        <v>44897</v>
      </c>
      <c r="B1160" s="164" t="s">
        <v>3343</v>
      </c>
      <c r="C1160" s="164" t="s">
        <v>278</v>
      </c>
      <c r="D1160" s="164" t="s">
        <v>151</v>
      </c>
      <c r="E1160" s="79">
        <v>44896</v>
      </c>
      <c r="F1160" s="6" t="s">
        <v>16</v>
      </c>
      <c r="G1160" s="6" t="s">
        <v>3254</v>
      </c>
      <c r="H1160" s="170">
        <v>21000</v>
      </c>
      <c r="I1160" s="172">
        <f t="shared" si="56"/>
        <v>240.49473202015577</v>
      </c>
      <c r="J1160" s="162">
        <v>44897</v>
      </c>
      <c r="K1160" s="6" t="s">
        <v>251</v>
      </c>
      <c r="L1160" s="162">
        <v>44897</v>
      </c>
      <c r="M1160" s="175" t="s">
        <v>6361</v>
      </c>
      <c r="N1160" s="6" t="s">
        <v>3345</v>
      </c>
      <c r="O1160" s="6" t="s">
        <v>356</v>
      </c>
      <c r="P1160" s="6" t="str">
        <f t="shared" si="57"/>
        <v>SAFe que</v>
      </c>
      <c r="Q1160" t="str">
        <f t="shared" si="58"/>
        <v>2022</v>
      </c>
    </row>
    <row r="1161" spans="1:17">
      <c r="A1161" s="162">
        <v>44897</v>
      </c>
      <c r="B1161" s="164" t="s">
        <v>3346</v>
      </c>
      <c r="C1161" s="164" t="s">
        <v>278</v>
      </c>
      <c r="D1161" s="164" t="s">
        <v>1524</v>
      </c>
      <c r="E1161" s="79">
        <v>44896</v>
      </c>
      <c r="F1161" s="6" t="s">
        <v>16</v>
      </c>
      <c r="G1161" s="6" t="s">
        <v>3238</v>
      </c>
      <c r="H1161" s="170">
        <v>24000</v>
      </c>
      <c r="I1161" s="172">
        <f t="shared" si="56"/>
        <v>274.85112230874944</v>
      </c>
      <c r="J1161" s="162">
        <v>44897</v>
      </c>
      <c r="K1161" s="6" t="s">
        <v>251</v>
      </c>
      <c r="L1161" s="162">
        <v>44897</v>
      </c>
      <c r="M1161" s="175" t="s">
        <v>6362</v>
      </c>
      <c r="N1161" s="6" t="s">
        <v>3348</v>
      </c>
      <c r="O1161" s="6" t="s">
        <v>356</v>
      </c>
      <c r="P1161" s="6" t="str">
        <f t="shared" si="57"/>
        <v>SAFe que</v>
      </c>
      <c r="Q1161" t="str">
        <f t="shared" si="58"/>
        <v>2022</v>
      </c>
    </row>
    <row r="1162" spans="1:17">
      <c r="A1162" s="162">
        <v>44897</v>
      </c>
      <c r="B1162" s="164" t="s">
        <v>3349</v>
      </c>
      <c r="C1162" s="164" t="s">
        <v>278</v>
      </c>
      <c r="D1162" s="164" t="s">
        <v>1524</v>
      </c>
      <c r="E1162" s="79">
        <v>44896</v>
      </c>
      <c r="F1162" s="6" t="s">
        <v>16</v>
      </c>
      <c r="G1162" s="6" t="s">
        <v>3214</v>
      </c>
      <c r="H1162" s="170">
        <v>24000</v>
      </c>
      <c r="I1162" s="172">
        <f t="shared" si="56"/>
        <v>274.85112230874944</v>
      </c>
      <c r="J1162" s="162">
        <v>44897</v>
      </c>
      <c r="K1162" s="6" t="s">
        <v>252</v>
      </c>
      <c r="L1162" s="162">
        <v>44904</v>
      </c>
      <c r="M1162" s="175" t="s">
        <v>6363</v>
      </c>
      <c r="N1162" s="6" t="s">
        <v>3335</v>
      </c>
      <c r="O1162" s="6" t="s">
        <v>356</v>
      </c>
      <c r="P1162" s="6" t="str">
        <f t="shared" si="57"/>
        <v>SAFe que</v>
      </c>
      <c r="Q1162" t="str">
        <f t="shared" si="58"/>
        <v>2022</v>
      </c>
    </row>
    <row r="1163" spans="1:17">
      <c r="A1163" s="162">
        <v>44900</v>
      </c>
      <c r="B1163" s="164" t="s">
        <v>1664</v>
      </c>
      <c r="C1163" s="164" t="s">
        <v>278</v>
      </c>
      <c r="D1163" s="164" t="s">
        <v>1524</v>
      </c>
      <c r="E1163" s="79">
        <v>44896</v>
      </c>
      <c r="F1163" s="6" t="s">
        <v>16</v>
      </c>
      <c r="G1163" s="6" t="s">
        <v>3238</v>
      </c>
      <c r="H1163" s="170">
        <v>24000</v>
      </c>
      <c r="I1163" s="172">
        <f t="shared" si="56"/>
        <v>274.85112230874944</v>
      </c>
      <c r="J1163" s="162">
        <v>44900</v>
      </c>
      <c r="K1163" s="6" t="s">
        <v>251</v>
      </c>
      <c r="L1163" s="162">
        <v>44900</v>
      </c>
      <c r="M1163" s="175" t="s">
        <v>6364</v>
      </c>
      <c r="N1163" s="6" t="s">
        <v>3351</v>
      </c>
      <c r="O1163" s="6" t="s">
        <v>356</v>
      </c>
      <c r="P1163" s="6" t="str">
        <f t="shared" si="57"/>
        <v>SAFe que</v>
      </c>
      <c r="Q1163" t="str">
        <f t="shared" si="58"/>
        <v>2022</v>
      </c>
    </row>
    <row r="1164" spans="1:17">
      <c r="A1164" s="162">
        <v>44900</v>
      </c>
      <c r="B1164" s="164" t="s">
        <v>3352</v>
      </c>
      <c r="C1164" s="164" t="s">
        <v>319</v>
      </c>
      <c r="D1164" s="164" t="s">
        <v>25</v>
      </c>
      <c r="E1164" s="79">
        <v>44896</v>
      </c>
      <c r="F1164" s="6" t="s">
        <v>16</v>
      </c>
      <c r="G1164" s="6" t="s">
        <v>3214</v>
      </c>
      <c r="H1164" s="170">
        <v>42000</v>
      </c>
      <c r="I1164" s="172">
        <f t="shared" si="56"/>
        <v>480.98946404031153</v>
      </c>
      <c r="J1164" s="162">
        <v>44900</v>
      </c>
      <c r="K1164" s="6" t="s">
        <v>251</v>
      </c>
      <c r="L1164" s="162">
        <v>44900</v>
      </c>
      <c r="M1164" s="175" t="s">
        <v>6365</v>
      </c>
      <c r="O1164" s="6" t="s">
        <v>356</v>
      </c>
      <c r="P1164" s="6" t="str">
        <f t="shared" si="57"/>
        <v>SAFe que</v>
      </c>
      <c r="Q1164" t="str">
        <f t="shared" si="58"/>
        <v>2022</v>
      </c>
    </row>
    <row r="1165" spans="1:17">
      <c r="A1165" s="162">
        <v>44900</v>
      </c>
      <c r="B1165" s="164" t="s">
        <v>3354</v>
      </c>
      <c r="C1165" s="164" t="s">
        <v>278</v>
      </c>
      <c r="D1165" s="164" t="s">
        <v>96</v>
      </c>
      <c r="E1165" s="79">
        <v>44896</v>
      </c>
      <c r="F1165" s="6" t="s">
        <v>16</v>
      </c>
      <c r="G1165" s="6" t="s">
        <v>3238</v>
      </c>
      <c r="H1165" s="170">
        <v>20000</v>
      </c>
      <c r="I1165" s="172">
        <f t="shared" si="56"/>
        <v>229.04260192395787</v>
      </c>
      <c r="J1165" s="162">
        <v>44900</v>
      </c>
      <c r="K1165" s="6" t="s">
        <v>251</v>
      </c>
      <c r="L1165" s="162">
        <v>44900</v>
      </c>
      <c r="M1165" s="175" t="s">
        <v>6366</v>
      </c>
      <c r="N1165" s="6" t="s">
        <v>3356</v>
      </c>
      <c r="O1165" s="6" t="s">
        <v>356</v>
      </c>
      <c r="P1165" s="6" t="str">
        <f t="shared" si="57"/>
        <v>Category</v>
      </c>
      <c r="Q1165" t="str">
        <f t="shared" si="58"/>
        <v>2022</v>
      </c>
    </row>
    <row r="1166" spans="1:17">
      <c r="A1166" s="162">
        <v>44900</v>
      </c>
      <c r="B1166" s="164" t="s">
        <v>3357</v>
      </c>
      <c r="C1166" s="164" t="s">
        <v>278</v>
      </c>
      <c r="D1166" s="164" t="s">
        <v>150</v>
      </c>
      <c r="E1166" s="79">
        <v>44896</v>
      </c>
      <c r="F1166" s="6" t="s">
        <v>16</v>
      </c>
      <c r="G1166" s="6" t="s">
        <v>3359</v>
      </c>
      <c r="H1166" s="170">
        <v>21000</v>
      </c>
      <c r="I1166" s="172">
        <f t="shared" si="56"/>
        <v>240.49473202015577</v>
      </c>
      <c r="J1166" s="162">
        <v>44901</v>
      </c>
      <c r="K1166" s="6" t="s">
        <v>251</v>
      </c>
      <c r="L1166" s="162">
        <v>44901</v>
      </c>
      <c r="M1166" s="175" t="s">
        <v>6367</v>
      </c>
      <c r="N1166" s="6" t="s">
        <v>3360</v>
      </c>
      <c r="O1166" s="6" t="s">
        <v>356</v>
      </c>
      <c r="P1166" s="6" t="str">
        <f t="shared" si="57"/>
        <v>SAFe que</v>
      </c>
      <c r="Q1166" t="str">
        <f t="shared" si="58"/>
        <v>2022</v>
      </c>
    </row>
    <row r="1167" spans="1:17">
      <c r="A1167" s="162">
        <v>44900</v>
      </c>
      <c r="B1167" s="164" t="s">
        <v>3361</v>
      </c>
      <c r="C1167" s="164" t="s">
        <v>278</v>
      </c>
      <c r="D1167" s="164" t="s">
        <v>1524</v>
      </c>
      <c r="E1167" s="79">
        <v>44896</v>
      </c>
      <c r="F1167" s="6" t="s">
        <v>16</v>
      </c>
      <c r="G1167" s="6" t="s">
        <v>3238</v>
      </c>
      <c r="H1167" s="170">
        <v>24000</v>
      </c>
      <c r="I1167" s="172">
        <f t="shared" si="56"/>
        <v>274.85112230874944</v>
      </c>
      <c r="J1167" s="162">
        <v>44900</v>
      </c>
      <c r="K1167" s="6" t="s">
        <v>251</v>
      </c>
      <c r="L1167" s="162">
        <v>44902</v>
      </c>
      <c r="M1167" s="175" t="s">
        <v>6368</v>
      </c>
      <c r="N1167" s="6" t="s">
        <v>3363</v>
      </c>
      <c r="O1167" s="6" t="s">
        <v>356</v>
      </c>
      <c r="P1167" s="6" t="str">
        <f t="shared" si="57"/>
        <v>SAFe que</v>
      </c>
      <c r="Q1167" t="str">
        <f t="shared" si="58"/>
        <v>2022</v>
      </c>
    </row>
    <row r="1168" spans="1:17">
      <c r="A1168" s="162">
        <v>44901</v>
      </c>
      <c r="B1168" s="164" t="s">
        <v>3364</v>
      </c>
      <c r="C1168" s="164" t="s">
        <v>278</v>
      </c>
      <c r="D1168" s="164" t="s">
        <v>3366</v>
      </c>
      <c r="E1168" s="79">
        <v>44896</v>
      </c>
      <c r="F1168" s="6" t="s">
        <v>16</v>
      </c>
      <c r="G1168" s="97">
        <v>44905</v>
      </c>
      <c r="H1168" s="170">
        <v>27000</v>
      </c>
      <c r="I1168" s="172">
        <f t="shared" si="56"/>
        <v>309.20751259734311</v>
      </c>
      <c r="J1168" s="162">
        <v>44901</v>
      </c>
      <c r="K1168" s="6" t="s">
        <v>251</v>
      </c>
      <c r="L1168" s="162">
        <v>44901</v>
      </c>
      <c r="M1168" s="175" t="s">
        <v>6369</v>
      </c>
      <c r="N1168" s="6" t="s">
        <v>3367</v>
      </c>
      <c r="O1168" s="6" t="s">
        <v>356</v>
      </c>
      <c r="P1168" s="6" t="str">
        <f t="shared" si="57"/>
        <v>NonCategory</v>
      </c>
      <c r="Q1168" t="str">
        <f t="shared" si="58"/>
        <v>2022</v>
      </c>
    </row>
    <row r="1169" spans="1:17">
      <c r="A1169" s="162">
        <v>44901</v>
      </c>
      <c r="B1169" s="164" t="s">
        <v>3368</v>
      </c>
      <c r="C1169" s="164" t="s">
        <v>278</v>
      </c>
      <c r="D1169" s="164" t="s">
        <v>96</v>
      </c>
      <c r="E1169" s="79">
        <v>44896</v>
      </c>
      <c r="F1169" s="6" t="s">
        <v>16</v>
      </c>
      <c r="G1169" s="6" t="s">
        <v>3315</v>
      </c>
      <c r="H1169" s="170">
        <v>20000</v>
      </c>
      <c r="I1169" s="172">
        <f t="shared" si="56"/>
        <v>229.04260192395787</v>
      </c>
      <c r="J1169" s="162">
        <v>44901</v>
      </c>
      <c r="K1169" s="6" t="s">
        <v>251</v>
      </c>
      <c r="L1169" s="162">
        <v>44901</v>
      </c>
      <c r="M1169" s="175" t="s">
        <v>6370</v>
      </c>
      <c r="N1169" s="6" t="s">
        <v>3370</v>
      </c>
      <c r="O1169" s="6" t="s">
        <v>356</v>
      </c>
      <c r="P1169" s="6" t="str">
        <f t="shared" si="57"/>
        <v>Category</v>
      </c>
      <c r="Q1169" t="str">
        <f t="shared" si="58"/>
        <v>2022</v>
      </c>
    </row>
    <row r="1170" spans="1:17">
      <c r="A1170" s="162">
        <v>44901</v>
      </c>
      <c r="B1170" s="164" t="s">
        <v>3371</v>
      </c>
      <c r="C1170" s="164" t="s">
        <v>287</v>
      </c>
      <c r="D1170" s="164" t="s">
        <v>150</v>
      </c>
      <c r="E1170" s="79">
        <v>44896</v>
      </c>
      <c r="F1170" s="6" t="s">
        <v>16</v>
      </c>
      <c r="G1170" s="6" t="s">
        <v>3214</v>
      </c>
      <c r="H1170" s="170">
        <v>21000</v>
      </c>
      <c r="I1170" s="172">
        <f t="shared" si="56"/>
        <v>240.49473202015577</v>
      </c>
      <c r="J1170" s="162">
        <v>44901</v>
      </c>
      <c r="K1170" s="6" t="s">
        <v>251</v>
      </c>
      <c r="L1170" s="162">
        <v>44901</v>
      </c>
      <c r="M1170" s="175" t="s">
        <v>6371</v>
      </c>
      <c r="O1170" s="6" t="s">
        <v>356</v>
      </c>
      <c r="P1170" s="6" t="str">
        <f t="shared" si="57"/>
        <v>SAFe que</v>
      </c>
      <c r="Q1170" t="str">
        <f t="shared" si="58"/>
        <v>2022</v>
      </c>
    </row>
    <row r="1171" spans="1:17">
      <c r="A1171" s="162">
        <v>44902</v>
      </c>
      <c r="B1171" s="164" t="s">
        <v>3376</v>
      </c>
      <c r="C1171" s="164" t="s">
        <v>1291</v>
      </c>
      <c r="D1171" s="164" t="s">
        <v>25</v>
      </c>
      <c r="E1171" s="79">
        <v>44896</v>
      </c>
      <c r="F1171" s="6" t="s">
        <v>16</v>
      </c>
      <c r="G1171" s="6" t="s">
        <v>3214</v>
      </c>
      <c r="H1171" s="170">
        <v>40061</v>
      </c>
      <c r="I1171" s="172">
        <f t="shared" si="56"/>
        <v>458.7837837837838</v>
      </c>
      <c r="J1171" s="162">
        <v>44902</v>
      </c>
      <c r="K1171" s="6" t="s">
        <v>251</v>
      </c>
      <c r="L1171" s="162">
        <v>44902</v>
      </c>
      <c r="M1171" s="175" t="s">
        <v>6372</v>
      </c>
      <c r="O1171" s="6" t="s">
        <v>356</v>
      </c>
      <c r="P1171" s="6" t="str">
        <f t="shared" si="57"/>
        <v>SAFe que</v>
      </c>
      <c r="Q1171" t="str">
        <f t="shared" si="58"/>
        <v>2022</v>
      </c>
    </row>
    <row r="1172" spans="1:17">
      <c r="A1172" s="162">
        <v>44902</v>
      </c>
      <c r="B1172" s="164" t="s">
        <v>3378</v>
      </c>
      <c r="C1172" s="164" t="s">
        <v>1291</v>
      </c>
      <c r="D1172" s="164" t="s">
        <v>25</v>
      </c>
      <c r="E1172" s="79">
        <v>44896</v>
      </c>
      <c r="F1172" s="6" t="s">
        <v>16</v>
      </c>
      <c r="G1172" s="6" t="s">
        <v>3214</v>
      </c>
      <c r="H1172" s="170">
        <v>40061</v>
      </c>
      <c r="I1172" s="172">
        <f t="shared" si="56"/>
        <v>458.7837837837838</v>
      </c>
      <c r="J1172" s="162">
        <v>44902</v>
      </c>
      <c r="K1172" s="6" t="s">
        <v>251</v>
      </c>
      <c r="L1172" s="162">
        <v>44902</v>
      </c>
      <c r="M1172" s="175" t="s">
        <v>6373</v>
      </c>
      <c r="O1172" s="6" t="s">
        <v>356</v>
      </c>
      <c r="P1172" s="6" t="str">
        <f t="shared" si="57"/>
        <v>SAFe que</v>
      </c>
      <c r="Q1172" t="str">
        <f t="shared" si="58"/>
        <v>2022</v>
      </c>
    </row>
    <row r="1173" spans="1:17">
      <c r="A1173" s="162">
        <v>44902</v>
      </c>
      <c r="B1173" s="164" t="s">
        <v>3380</v>
      </c>
      <c r="C1173" s="164" t="s">
        <v>287</v>
      </c>
      <c r="D1173" s="164" t="s">
        <v>1524</v>
      </c>
      <c r="E1173" s="79">
        <v>44896</v>
      </c>
      <c r="F1173" s="6" t="s">
        <v>16</v>
      </c>
      <c r="G1173" s="6" t="s">
        <v>3214</v>
      </c>
      <c r="H1173" s="170">
        <v>24000</v>
      </c>
      <c r="I1173" s="172">
        <f t="shared" si="56"/>
        <v>274.85112230874944</v>
      </c>
      <c r="J1173" s="162">
        <v>44902</v>
      </c>
      <c r="K1173" s="6" t="s">
        <v>251</v>
      </c>
      <c r="L1173" s="162">
        <v>44902</v>
      </c>
      <c r="M1173" s="175" t="s">
        <v>6374</v>
      </c>
      <c r="O1173" s="6" t="s">
        <v>356</v>
      </c>
      <c r="P1173" s="6" t="str">
        <f t="shared" si="57"/>
        <v>SAFe que</v>
      </c>
      <c r="Q1173" t="str">
        <f t="shared" si="58"/>
        <v>2022</v>
      </c>
    </row>
    <row r="1174" spans="1:17">
      <c r="A1174" s="162">
        <v>44907</v>
      </c>
      <c r="B1174" s="164" t="s">
        <v>3382</v>
      </c>
      <c r="C1174" s="164" t="s">
        <v>291</v>
      </c>
      <c r="D1174" s="164" t="s">
        <v>150</v>
      </c>
      <c r="E1174" s="79">
        <v>44896</v>
      </c>
      <c r="F1174" s="6" t="s">
        <v>16</v>
      </c>
      <c r="G1174" s="6" t="s">
        <v>3359</v>
      </c>
      <c r="H1174" s="170">
        <v>21000</v>
      </c>
      <c r="I1174" s="172">
        <f t="shared" si="56"/>
        <v>240.49473202015577</v>
      </c>
      <c r="J1174" s="162">
        <v>44907</v>
      </c>
      <c r="K1174" s="6" t="s">
        <v>252</v>
      </c>
      <c r="L1174" s="162">
        <v>44904</v>
      </c>
      <c r="M1174" s="175" t="s">
        <v>6375</v>
      </c>
      <c r="O1174" s="6" t="s">
        <v>356</v>
      </c>
      <c r="P1174" s="6" t="str">
        <f t="shared" si="57"/>
        <v>SAFe que</v>
      </c>
      <c r="Q1174" t="str">
        <f t="shared" si="58"/>
        <v>2022</v>
      </c>
    </row>
    <row r="1175" spans="1:17">
      <c r="A1175" s="162">
        <v>44907</v>
      </c>
      <c r="B1175" s="164" t="s">
        <v>3384</v>
      </c>
      <c r="C1175" s="164" t="s">
        <v>319</v>
      </c>
      <c r="D1175" s="164" t="s">
        <v>1524</v>
      </c>
      <c r="E1175" s="79">
        <v>44896</v>
      </c>
      <c r="F1175" s="6" t="s">
        <v>16</v>
      </c>
      <c r="G1175" s="6" t="s">
        <v>3238</v>
      </c>
      <c r="H1175" s="170">
        <v>24000</v>
      </c>
      <c r="I1175" s="172">
        <f t="shared" si="56"/>
        <v>274.85112230874944</v>
      </c>
      <c r="J1175" s="162">
        <v>44907</v>
      </c>
      <c r="K1175" s="6" t="s">
        <v>252</v>
      </c>
      <c r="L1175" s="162">
        <v>44907</v>
      </c>
      <c r="M1175" s="175" t="s">
        <v>6376</v>
      </c>
      <c r="O1175" s="6" t="s">
        <v>356</v>
      </c>
      <c r="P1175" s="6" t="str">
        <f t="shared" si="57"/>
        <v>SAFe que</v>
      </c>
      <c r="Q1175" t="str">
        <f t="shared" si="58"/>
        <v>2022</v>
      </c>
    </row>
    <row r="1176" spans="1:17">
      <c r="A1176" s="162">
        <v>44907</v>
      </c>
      <c r="B1176" s="164" t="s">
        <v>3386</v>
      </c>
      <c r="C1176" s="164" t="s">
        <v>278</v>
      </c>
      <c r="D1176" s="164" t="s">
        <v>150</v>
      </c>
      <c r="E1176" s="79">
        <v>44896</v>
      </c>
      <c r="F1176" s="6" t="s">
        <v>16</v>
      </c>
      <c r="G1176" s="6" t="s">
        <v>3238</v>
      </c>
      <c r="H1176" s="170">
        <v>21000</v>
      </c>
      <c r="I1176" s="172">
        <f t="shared" si="56"/>
        <v>240.49473202015577</v>
      </c>
      <c r="J1176" s="162">
        <v>44907</v>
      </c>
      <c r="K1176" s="6" t="s">
        <v>252</v>
      </c>
      <c r="L1176" s="162">
        <v>44907</v>
      </c>
      <c r="M1176" s="175" t="s">
        <v>6377</v>
      </c>
      <c r="N1176" s="6" t="s">
        <v>3096</v>
      </c>
      <c r="O1176" s="6" t="s">
        <v>356</v>
      </c>
      <c r="P1176" s="6" t="str">
        <f t="shared" si="57"/>
        <v>SAFe que</v>
      </c>
      <c r="Q1176" t="str">
        <f t="shared" si="58"/>
        <v>2022</v>
      </c>
    </row>
    <row r="1177" spans="1:17">
      <c r="A1177" s="162">
        <v>44907</v>
      </c>
      <c r="B1177" s="164" t="s">
        <v>3388</v>
      </c>
      <c r="C1177" s="164" t="s">
        <v>470</v>
      </c>
      <c r="D1177" s="164" t="s">
        <v>97</v>
      </c>
      <c r="E1177" s="79">
        <v>44896</v>
      </c>
      <c r="F1177" s="6" t="s">
        <v>16</v>
      </c>
      <c r="G1177" s="6" t="s">
        <v>3390</v>
      </c>
      <c r="H1177" s="170">
        <v>20000</v>
      </c>
      <c r="I1177" s="172">
        <f t="shared" si="56"/>
        <v>229.04260192395787</v>
      </c>
      <c r="J1177" s="162">
        <v>44907</v>
      </c>
      <c r="K1177" s="6" t="s">
        <v>252</v>
      </c>
      <c r="L1177" s="162">
        <v>44907</v>
      </c>
      <c r="M1177" s="175" t="s">
        <v>6378</v>
      </c>
      <c r="O1177" s="6" t="s">
        <v>356</v>
      </c>
      <c r="P1177" s="6" t="str">
        <f t="shared" si="57"/>
        <v>Category</v>
      </c>
      <c r="Q1177" t="str">
        <f t="shared" si="58"/>
        <v>2022</v>
      </c>
    </row>
    <row r="1178" spans="1:17">
      <c r="A1178" s="162">
        <v>44907</v>
      </c>
      <c r="B1178" s="164" t="s">
        <v>3391</v>
      </c>
      <c r="C1178" s="164" t="s">
        <v>278</v>
      </c>
      <c r="D1178" s="164" t="s">
        <v>1524</v>
      </c>
      <c r="E1178" s="79">
        <v>44896</v>
      </c>
      <c r="F1178" s="6" t="s">
        <v>16</v>
      </c>
      <c r="G1178" s="6" t="s">
        <v>3238</v>
      </c>
      <c r="H1178" s="170">
        <v>24000</v>
      </c>
      <c r="I1178" s="172">
        <f t="shared" si="56"/>
        <v>274.85112230874944</v>
      </c>
      <c r="J1178" s="162">
        <v>44907</v>
      </c>
      <c r="K1178" s="6" t="s">
        <v>252</v>
      </c>
      <c r="L1178" s="162">
        <v>44909</v>
      </c>
      <c r="M1178" s="175" t="s">
        <v>6379</v>
      </c>
      <c r="O1178" s="6" t="s">
        <v>356</v>
      </c>
      <c r="P1178" s="6" t="str">
        <f t="shared" si="57"/>
        <v>SAFe que</v>
      </c>
      <c r="Q1178" t="str">
        <f t="shared" si="58"/>
        <v>2022</v>
      </c>
    </row>
    <row r="1179" spans="1:17">
      <c r="A1179" s="162">
        <v>44908</v>
      </c>
      <c r="B1179" s="164" t="s">
        <v>3393</v>
      </c>
      <c r="C1179" s="164" t="s">
        <v>278</v>
      </c>
      <c r="D1179" s="164" t="s">
        <v>1524</v>
      </c>
      <c r="E1179" s="79">
        <v>44896</v>
      </c>
      <c r="F1179" s="6" t="s">
        <v>16</v>
      </c>
      <c r="G1179" s="6" t="s">
        <v>3238</v>
      </c>
      <c r="H1179" s="170">
        <v>24000</v>
      </c>
      <c r="I1179" s="172">
        <f t="shared" si="56"/>
        <v>274.85112230874944</v>
      </c>
      <c r="J1179" s="162">
        <v>44908</v>
      </c>
      <c r="K1179" s="6" t="s">
        <v>252</v>
      </c>
      <c r="L1179" s="162">
        <v>44908</v>
      </c>
      <c r="M1179" s="175" t="s">
        <v>6380</v>
      </c>
      <c r="N1179" s="6" t="s">
        <v>3395</v>
      </c>
      <c r="O1179" s="6" t="s">
        <v>356</v>
      </c>
      <c r="P1179" s="6" t="str">
        <f t="shared" si="57"/>
        <v>SAFe que</v>
      </c>
      <c r="Q1179" t="str">
        <f t="shared" si="58"/>
        <v>2022</v>
      </c>
    </row>
    <row r="1180" spans="1:17">
      <c r="A1180" s="162">
        <v>44908</v>
      </c>
      <c r="B1180" s="164" t="s">
        <v>3396</v>
      </c>
      <c r="C1180" s="164" t="s">
        <v>278</v>
      </c>
      <c r="D1180" s="164" t="s">
        <v>1524</v>
      </c>
      <c r="E1180" s="79">
        <v>44896</v>
      </c>
      <c r="F1180" s="6" t="s">
        <v>16</v>
      </c>
      <c r="G1180" s="6" t="s">
        <v>3238</v>
      </c>
      <c r="H1180" s="170">
        <v>24000</v>
      </c>
      <c r="I1180" s="172">
        <f t="shared" si="56"/>
        <v>274.85112230874944</v>
      </c>
      <c r="J1180" s="162">
        <v>44908</v>
      </c>
      <c r="K1180" s="6" t="s">
        <v>252</v>
      </c>
      <c r="L1180" s="162">
        <v>44910</v>
      </c>
      <c r="M1180" s="175" t="s">
        <v>6381</v>
      </c>
      <c r="N1180" s="6" t="s">
        <v>3398</v>
      </c>
      <c r="O1180" s="6" t="s">
        <v>356</v>
      </c>
      <c r="P1180" s="6" t="str">
        <f t="shared" si="57"/>
        <v>SAFe que</v>
      </c>
      <c r="Q1180" t="str">
        <f t="shared" si="58"/>
        <v>2022</v>
      </c>
    </row>
    <row r="1181" spans="1:17">
      <c r="A1181" s="162">
        <v>44908</v>
      </c>
      <c r="B1181" s="164" t="s">
        <v>3399</v>
      </c>
      <c r="C1181" s="164" t="s">
        <v>319</v>
      </c>
      <c r="D1181" s="164" t="s">
        <v>1524</v>
      </c>
      <c r="E1181" s="79">
        <v>44896</v>
      </c>
      <c r="F1181" s="6" t="s">
        <v>16</v>
      </c>
      <c r="G1181" s="6" t="s">
        <v>3238</v>
      </c>
      <c r="H1181" s="170">
        <v>24000</v>
      </c>
      <c r="I1181" s="172">
        <f t="shared" si="56"/>
        <v>274.85112230874944</v>
      </c>
      <c r="J1181" s="162">
        <v>44908</v>
      </c>
      <c r="K1181" s="6" t="s">
        <v>252</v>
      </c>
      <c r="L1181" s="162">
        <v>44908</v>
      </c>
      <c r="M1181" s="175" t="s">
        <v>6382</v>
      </c>
      <c r="O1181" s="6" t="s">
        <v>356</v>
      </c>
      <c r="P1181" s="6" t="str">
        <f t="shared" si="57"/>
        <v>SAFe que</v>
      </c>
      <c r="Q1181" t="str">
        <f t="shared" si="58"/>
        <v>2022</v>
      </c>
    </row>
    <row r="1182" spans="1:17">
      <c r="A1182" s="162">
        <v>44908</v>
      </c>
      <c r="B1182" s="164" t="s">
        <v>3401</v>
      </c>
      <c r="C1182" s="164" t="s">
        <v>278</v>
      </c>
      <c r="D1182" s="164" t="s">
        <v>96</v>
      </c>
      <c r="E1182" s="79">
        <v>44896</v>
      </c>
      <c r="F1182" s="6" t="s">
        <v>16</v>
      </c>
      <c r="G1182" s="6" t="s">
        <v>3201</v>
      </c>
      <c r="H1182" s="170">
        <v>20000</v>
      </c>
      <c r="I1182" s="172">
        <f t="shared" si="56"/>
        <v>229.04260192395787</v>
      </c>
      <c r="J1182" s="162">
        <v>44908</v>
      </c>
      <c r="K1182" s="6" t="s">
        <v>252</v>
      </c>
      <c r="L1182" s="162">
        <v>44908</v>
      </c>
      <c r="M1182" s="175" t="s">
        <v>6383</v>
      </c>
      <c r="N1182" s="6" t="s">
        <v>3403</v>
      </c>
      <c r="O1182" s="6" t="s">
        <v>356</v>
      </c>
      <c r="P1182" s="6" t="str">
        <f t="shared" si="57"/>
        <v>Category</v>
      </c>
      <c r="Q1182" t="str">
        <f t="shared" si="58"/>
        <v>2022</v>
      </c>
    </row>
    <row r="1183" spans="1:17">
      <c r="A1183" s="162">
        <v>44909</v>
      </c>
      <c r="B1183" s="164" t="s">
        <v>3404</v>
      </c>
      <c r="C1183" s="164" t="s">
        <v>287</v>
      </c>
      <c r="D1183" s="164" t="s">
        <v>1524</v>
      </c>
      <c r="E1183" s="79">
        <v>44896</v>
      </c>
      <c r="F1183" s="6" t="s">
        <v>16</v>
      </c>
      <c r="G1183" s="6" t="s">
        <v>3238</v>
      </c>
      <c r="H1183" s="170">
        <v>21000</v>
      </c>
      <c r="I1183" s="172">
        <f t="shared" si="56"/>
        <v>240.49473202015577</v>
      </c>
      <c r="J1183" s="162">
        <v>44909</v>
      </c>
      <c r="K1183" s="6" t="s">
        <v>252</v>
      </c>
      <c r="L1183" s="162">
        <v>44909</v>
      </c>
      <c r="M1183" s="175" t="s">
        <v>6384</v>
      </c>
      <c r="O1183" s="6" t="s">
        <v>356</v>
      </c>
      <c r="P1183" s="6" t="str">
        <f t="shared" si="57"/>
        <v>SAFe que</v>
      </c>
      <c r="Q1183" t="str">
        <f t="shared" si="58"/>
        <v>2022</v>
      </c>
    </row>
    <row r="1184" spans="1:17">
      <c r="A1184" s="162">
        <v>44909</v>
      </c>
      <c r="B1184" s="164" t="s">
        <v>3406</v>
      </c>
      <c r="C1184" s="164" t="s">
        <v>287</v>
      </c>
      <c r="D1184" s="164" t="s">
        <v>1524</v>
      </c>
      <c r="E1184" s="79">
        <v>44896</v>
      </c>
      <c r="F1184" s="6" t="s">
        <v>16</v>
      </c>
      <c r="G1184" s="6" t="s">
        <v>3238</v>
      </c>
      <c r="H1184" s="170">
        <v>21000</v>
      </c>
      <c r="I1184" s="172">
        <f t="shared" si="56"/>
        <v>240.49473202015577</v>
      </c>
      <c r="J1184" s="162">
        <v>44909</v>
      </c>
      <c r="K1184" s="6" t="s">
        <v>252</v>
      </c>
      <c r="L1184" s="162">
        <v>44909</v>
      </c>
      <c r="M1184" s="175" t="s">
        <v>6385</v>
      </c>
      <c r="O1184" s="6" t="s">
        <v>356</v>
      </c>
      <c r="P1184" s="6" t="str">
        <f t="shared" si="57"/>
        <v>SAFe que</v>
      </c>
      <c r="Q1184" t="str">
        <f t="shared" si="58"/>
        <v>2022</v>
      </c>
    </row>
    <row r="1185" spans="1:17">
      <c r="A1185" s="162">
        <v>44909</v>
      </c>
      <c r="B1185" s="164" t="s">
        <v>1298</v>
      </c>
      <c r="C1185" s="164" t="s">
        <v>470</v>
      </c>
      <c r="D1185" s="164" t="s">
        <v>538</v>
      </c>
      <c r="E1185" s="79">
        <v>44896</v>
      </c>
      <c r="F1185" s="6" t="s">
        <v>16</v>
      </c>
      <c r="G1185" s="97">
        <v>44912</v>
      </c>
      <c r="H1185" s="170">
        <v>10000</v>
      </c>
      <c r="I1185" s="172">
        <f t="shared" si="56"/>
        <v>114.52130096197894</v>
      </c>
      <c r="J1185" s="162">
        <v>44909</v>
      </c>
      <c r="K1185" s="6" t="s">
        <v>252</v>
      </c>
      <c r="L1185" s="162">
        <v>44909</v>
      </c>
      <c r="M1185" s="175" t="s">
        <v>6386</v>
      </c>
      <c r="O1185" s="6" t="s">
        <v>356</v>
      </c>
      <c r="P1185" s="6" t="str">
        <f t="shared" si="57"/>
        <v>NonCategory</v>
      </c>
      <c r="Q1185" t="str">
        <f t="shared" si="58"/>
        <v>2022</v>
      </c>
    </row>
    <row r="1186" spans="1:17">
      <c r="A1186" s="162">
        <v>44909</v>
      </c>
      <c r="B1186" s="164" t="s">
        <v>3408</v>
      </c>
      <c r="C1186" s="164" t="s">
        <v>278</v>
      </c>
      <c r="D1186" s="164" t="s">
        <v>150</v>
      </c>
      <c r="E1186" s="79">
        <v>44896</v>
      </c>
      <c r="F1186" s="6" t="s">
        <v>16</v>
      </c>
      <c r="G1186" s="6" t="s">
        <v>3238</v>
      </c>
      <c r="H1186" s="170">
        <v>21000</v>
      </c>
      <c r="I1186" s="172">
        <f t="shared" si="56"/>
        <v>240.49473202015577</v>
      </c>
      <c r="J1186" s="162">
        <v>44909</v>
      </c>
      <c r="K1186" s="6" t="s">
        <v>252</v>
      </c>
      <c r="L1186" s="162">
        <v>44909</v>
      </c>
      <c r="M1186" s="175" t="s">
        <v>6387</v>
      </c>
      <c r="N1186" s="6" t="s">
        <v>3410</v>
      </c>
      <c r="O1186" s="6" t="s">
        <v>356</v>
      </c>
      <c r="P1186" s="6" t="str">
        <f t="shared" si="57"/>
        <v>SAFe que</v>
      </c>
      <c r="Q1186" t="str">
        <f t="shared" si="58"/>
        <v>2022</v>
      </c>
    </row>
    <row r="1187" spans="1:17">
      <c r="A1187" s="162">
        <v>44909</v>
      </c>
      <c r="B1187" s="164" t="s">
        <v>3411</v>
      </c>
      <c r="C1187" s="164" t="s">
        <v>470</v>
      </c>
      <c r="D1187" s="164" t="s">
        <v>976</v>
      </c>
      <c r="E1187" s="79">
        <v>44896</v>
      </c>
      <c r="F1187" s="6" t="s">
        <v>16</v>
      </c>
      <c r="G1187" s="97">
        <v>44909</v>
      </c>
      <c r="H1187" s="170">
        <v>17700</v>
      </c>
      <c r="I1187" s="172">
        <f t="shared" si="56"/>
        <v>202.70270270270271</v>
      </c>
      <c r="J1187" s="162">
        <v>44909</v>
      </c>
      <c r="K1187" s="6" t="s">
        <v>252</v>
      </c>
      <c r="L1187" s="162">
        <v>44909</v>
      </c>
      <c r="M1187" s="175" t="s">
        <v>6388</v>
      </c>
      <c r="O1187" s="6" t="s">
        <v>356</v>
      </c>
      <c r="P1187" s="6" t="str">
        <f t="shared" si="57"/>
        <v>NonCategory</v>
      </c>
      <c r="Q1187" t="str">
        <f t="shared" si="58"/>
        <v>2022</v>
      </c>
    </row>
    <row r="1188" spans="1:17">
      <c r="A1188" s="162">
        <v>44909</v>
      </c>
      <c r="B1188" s="164" t="s">
        <v>3413</v>
      </c>
      <c r="C1188" s="164" t="s">
        <v>306</v>
      </c>
      <c r="D1188" s="164" t="s">
        <v>1497</v>
      </c>
      <c r="E1188" s="79">
        <v>44896</v>
      </c>
      <c r="F1188" s="6" t="s">
        <v>16</v>
      </c>
      <c r="G1188" s="6" t="s">
        <v>3415</v>
      </c>
      <c r="H1188" s="170">
        <v>24000</v>
      </c>
      <c r="I1188" s="172">
        <f t="shared" si="56"/>
        <v>274.85112230874944</v>
      </c>
      <c r="J1188" s="162">
        <v>44909</v>
      </c>
      <c r="K1188" s="6" t="s">
        <v>252</v>
      </c>
      <c r="L1188" s="162">
        <v>44909</v>
      </c>
      <c r="M1188" s="175" t="s">
        <v>6389</v>
      </c>
      <c r="O1188" s="6" t="s">
        <v>356</v>
      </c>
      <c r="P1188" s="6" t="str">
        <f t="shared" si="57"/>
        <v>SAFe que</v>
      </c>
      <c r="Q1188" t="str">
        <f t="shared" si="58"/>
        <v>2022</v>
      </c>
    </row>
    <row r="1189" spans="1:17">
      <c r="A1189" s="162">
        <v>44909</v>
      </c>
      <c r="B1189" s="164" t="s">
        <v>3416</v>
      </c>
      <c r="C1189" s="164" t="s">
        <v>303</v>
      </c>
      <c r="D1189" s="164" t="s">
        <v>1497</v>
      </c>
      <c r="E1189" s="79">
        <v>44896</v>
      </c>
      <c r="F1189" s="6" t="s">
        <v>16</v>
      </c>
      <c r="G1189" s="6" t="s">
        <v>3415</v>
      </c>
      <c r="H1189" s="170">
        <v>24000</v>
      </c>
      <c r="I1189" s="172">
        <f t="shared" si="56"/>
        <v>274.85112230874944</v>
      </c>
      <c r="J1189" s="162">
        <v>44909</v>
      </c>
      <c r="K1189" s="6" t="s">
        <v>252</v>
      </c>
      <c r="L1189" s="162">
        <v>44909</v>
      </c>
      <c r="M1189" s="175" t="s">
        <v>6390</v>
      </c>
      <c r="O1189" s="6" t="s">
        <v>356</v>
      </c>
      <c r="P1189" s="6" t="str">
        <f t="shared" si="57"/>
        <v>SAFe que</v>
      </c>
      <c r="Q1189" t="str">
        <f t="shared" si="58"/>
        <v>2022</v>
      </c>
    </row>
    <row r="1190" spans="1:17">
      <c r="A1190" s="162">
        <v>44909</v>
      </c>
      <c r="B1190" s="164" t="s">
        <v>3418</v>
      </c>
      <c r="C1190" s="164" t="s">
        <v>470</v>
      </c>
      <c r="D1190" s="164" t="s">
        <v>1497</v>
      </c>
      <c r="E1190" s="79">
        <v>44896</v>
      </c>
      <c r="F1190" s="6" t="s">
        <v>16</v>
      </c>
      <c r="G1190" s="6" t="s">
        <v>3415</v>
      </c>
      <c r="H1190" s="170">
        <v>24000</v>
      </c>
      <c r="I1190" s="172">
        <f t="shared" si="56"/>
        <v>274.85112230874944</v>
      </c>
      <c r="J1190" s="162">
        <v>44909</v>
      </c>
      <c r="K1190" s="6" t="s">
        <v>252</v>
      </c>
      <c r="L1190" s="162">
        <v>44909</v>
      </c>
      <c r="M1190" s="175" t="s">
        <v>6391</v>
      </c>
      <c r="O1190" s="6" t="s">
        <v>356</v>
      </c>
      <c r="P1190" s="6" t="str">
        <f t="shared" si="57"/>
        <v>SAFe que</v>
      </c>
      <c r="Q1190" t="str">
        <f t="shared" si="58"/>
        <v>2022</v>
      </c>
    </row>
    <row r="1191" spans="1:17">
      <c r="A1191" s="162">
        <v>44909</v>
      </c>
      <c r="B1191" s="164" t="s">
        <v>3419</v>
      </c>
      <c r="C1191" s="164" t="s">
        <v>278</v>
      </c>
      <c r="D1191" s="164" t="s">
        <v>1524</v>
      </c>
      <c r="E1191" s="79">
        <v>44896</v>
      </c>
      <c r="F1191" s="6" t="s">
        <v>16</v>
      </c>
      <c r="G1191" s="6" t="s">
        <v>3238</v>
      </c>
      <c r="H1191" s="170">
        <v>24000</v>
      </c>
      <c r="I1191" s="172">
        <f t="shared" si="56"/>
        <v>274.85112230874944</v>
      </c>
      <c r="J1191" s="162">
        <v>44909</v>
      </c>
      <c r="K1191" s="6" t="s">
        <v>252</v>
      </c>
      <c r="L1191" s="162">
        <v>44910</v>
      </c>
      <c r="M1191" s="175" t="s">
        <v>6392</v>
      </c>
      <c r="N1191" s="6" t="s">
        <v>3421</v>
      </c>
      <c r="O1191" s="6" t="s">
        <v>356</v>
      </c>
      <c r="P1191" s="6" t="str">
        <f t="shared" si="57"/>
        <v>SAFe que</v>
      </c>
      <c r="Q1191" t="str">
        <f t="shared" si="58"/>
        <v>2022</v>
      </c>
    </row>
    <row r="1192" spans="1:17">
      <c r="A1192" s="162">
        <v>44910</v>
      </c>
      <c r="B1192" s="164" t="s">
        <v>3422</v>
      </c>
      <c r="C1192" s="164" t="s">
        <v>319</v>
      </c>
      <c r="D1192" s="164" t="s">
        <v>150</v>
      </c>
      <c r="E1192" s="79">
        <v>44896</v>
      </c>
      <c r="F1192" s="6" t="s">
        <v>16</v>
      </c>
      <c r="G1192" s="6" t="s">
        <v>3221</v>
      </c>
      <c r="H1192" s="170">
        <v>21000</v>
      </c>
      <c r="I1192" s="172">
        <f t="shared" si="56"/>
        <v>240.49473202015577</v>
      </c>
      <c r="J1192" s="162">
        <v>44910</v>
      </c>
      <c r="K1192" s="6" t="s">
        <v>252</v>
      </c>
      <c r="L1192" s="162">
        <v>44910</v>
      </c>
      <c r="M1192" s="175" t="s">
        <v>6393</v>
      </c>
      <c r="O1192" s="6" t="s">
        <v>356</v>
      </c>
      <c r="P1192" s="6" t="str">
        <f t="shared" si="57"/>
        <v>SAFe que</v>
      </c>
      <c r="Q1192" t="str">
        <f t="shared" si="58"/>
        <v>2022</v>
      </c>
    </row>
    <row r="1193" spans="1:17">
      <c r="A1193" s="162">
        <v>44910</v>
      </c>
      <c r="B1193" s="164" t="s">
        <v>3424</v>
      </c>
      <c r="C1193" s="164" t="s">
        <v>319</v>
      </c>
      <c r="D1193" s="164" t="s">
        <v>1524</v>
      </c>
      <c r="E1193" s="79">
        <v>44896</v>
      </c>
      <c r="F1193" s="6" t="s">
        <v>16</v>
      </c>
      <c r="G1193" s="6" t="s">
        <v>3238</v>
      </c>
      <c r="H1193" s="170">
        <v>24000</v>
      </c>
      <c r="I1193" s="172">
        <f t="shared" si="56"/>
        <v>274.85112230874944</v>
      </c>
      <c r="J1193" s="162">
        <v>44910</v>
      </c>
      <c r="K1193" s="6" t="s">
        <v>252</v>
      </c>
      <c r="L1193" s="162">
        <v>44910</v>
      </c>
      <c r="M1193" s="175" t="s">
        <v>6394</v>
      </c>
      <c r="O1193" s="6" t="s">
        <v>356</v>
      </c>
      <c r="P1193" s="6" t="str">
        <f t="shared" si="57"/>
        <v>SAFe que</v>
      </c>
      <c r="Q1193" t="str">
        <f t="shared" si="58"/>
        <v>2022</v>
      </c>
    </row>
    <row r="1194" spans="1:17">
      <c r="A1194" s="162">
        <v>44910</v>
      </c>
      <c r="B1194" s="164" t="s">
        <v>3426</v>
      </c>
      <c r="C1194" s="164" t="s">
        <v>303</v>
      </c>
      <c r="D1194" s="164" t="s">
        <v>96</v>
      </c>
      <c r="E1194" s="79">
        <v>44896</v>
      </c>
      <c r="F1194" s="6" t="s">
        <v>16</v>
      </c>
      <c r="G1194" s="6" t="s">
        <v>3221</v>
      </c>
      <c r="H1194" s="170">
        <v>20000</v>
      </c>
      <c r="I1194" s="172">
        <f t="shared" si="56"/>
        <v>229.04260192395787</v>
      </c>
      <c r="J1194" s="162">
        <v>44910</v>
      </c>
      <c r="K1194" s="6" t="s">
        <v>252</v>
      </c>
      <c r="L1194" s="162">
        <v>44910</v>
      </c>
      <c r="M1194" s="175" t="s">
        <v>6395</v>
      </c>
      <c r="O1194" s="6" t="s">
        <v>356</v>
      </c>
      <c r="P1194" s="6" t="str">
        <f t="shared" si="57"/>
        <v>Category</v>
      </c>
      <c r="Q1194" t="str">
        <f t="shared" si="58"/>
        <v>2022</v>
      </c>
    </row>
    <row r="1195" spans="1:17">
      <c r="A1195" s="162">
        <v>44911</v>
      </c>
      <c r="B1195" s="164" t="s">
        <v>3430</v>
      </c>
      <c r="C1195" s="164" t="s">
        <v>287</v>
      </c>
      <c r="D1195" s="164" t="s">
        <v>150</v>
      </c>
      <c r="E1195" s="79">
        <v>44896</v>
      </c>
      <c r="F1195" s="6" t="s">
        <v>16</v>
      </c>
      <c r="G1195" s="6" t="s">
        <v>3238</v>
      </c>
      <c r="H1195" s="170">
        <v>21000</v>
      </c>
      <c r="I1195" s="172">
        <f t="shared" si="56"/>
        <v>240.49473202015577</v>
      </c>
      <c r="J1195" s="162">
        <v>44911</v>
      </c>
      <c r="K1195" s="6" t="s">
        <v>252</v>
      </c>
      <c r="L1195" s="162">
        <v>44911</v>
      </c>
      <c r="M1195" s="175" t="s">
        <v>6396</v>
      </c>
      <c r="O1195" s="6" t="s">
        <v>356</v>
      </c>
      <c r="P1195" s="6" t="str">
        <f t="shared" si="57"/>
        <v>SAFe que</v>
      </c>
      <c r="Q1195" t="str">
        <f t="shared" si="58"/>
        <v>2022</v>
      </c>
    </row>
    <row r="1196" spans="1:17">
      <c r="A1196" s="162">
        <v>44911</v>
      </c>
      <c r="B1196" s="164" t="s">
        <v>3432</v>
      </c>
      <c r="C1196" s="164" t="s">
        <v>303</v>
      </c>
      <c r="D1196" s="164" t="s">
        <v>150</v>
      </c>
      <c r="E1196" s="79">
        <v>44896</v>
      </c>
      <c r="F1196" s="6" t="s">
        <v>16</v>
      </c>
      <c r="G1196" s="6" t="s">
        <v>3326</v>
      </c>
      <c r="H1196" s="170">
        <v>21000</v>
      </c>
      <c r="I1196" s="172">
        <f t="shared" si="56"/>
        <v>240.49473202015577</v>
      </c>
      <c r="J1196" s="162">
        <v>44911</v>
      </c>
      <c r="K1196" s="6" t="s">
        <v>252</v>
      </c>
      <c r="L1196" s="162">
        <v>44911</v>
      </c>
      <c r="M1196" s="175" t="s">
        <v>6397</v>
      </c>
      <c r="O1196" s="6" t="s">
        <v>356</v>
      </c>
      <c r="P1196" s="6" t="str">
        <f t="shared" si="57"/>
        <v>SAFe que</v>
      </c>
      <c r="Q1196" t="str">
        <f t="shared" si="58"/>
        <v>2022</v>
      </c>
    </row>
    <row r="1197" spans="1:17">
      <c r="A1197" s="162">
        <v>44911</v>
      </c>
      <c r="B1197" s="164" t="s">
        <v>3432</v>
      </c>
      <c r="C1197" s="164" t="s">
        <v>303</v>
      </c>
      <c r="D1197" s="164" t="s">
        <v>1524</v>
      </c>
      <c r="E1197" s="79">
        <v>44896</v>
      </c>
      <c r="F1197" s="6" t="s">
        <v>16</v>
      </c>
      <c r="G1197" s="6" t="s">
        <v>3434</v>
      </c>
      <c r="H1197" s="170">
        <v>24000</v>
      </c>
      <c r="I1197" s="172">
        <f t="shared" si="56"/>
        <v>274.85112230874944</v>
      </c>
      <c r="J1197" s="162">
        <v>44911</v>
      </c>
      <c r="K1197" s="6" t="s">
        <v>252</v>
      </c>
      <c r="L1197" s="162">
        <v>44911</v>
      </c>
      <c r="M1197" s="175" t="s">
        <v>6398</v>
      </c>
      <c r="O1197" s="6" t="s">
        <v>356</v>
      </c>
      <c r="P1197" s="6" t="str">
        <f t="shared" si="57"/>
        <v>SAFe que</v>
      </c>
      <c r="Q1197" t="str">
        <f t="shared" si="58"/>
        <v>2022</v>
      </c>
    </row>
    <row r="1198" spans="1:17">
      <c r="A1198" s="162">
        <v>44912</v>
      </c>
      <c r="B1198" s="164" t="s">
        <v>3435</v>
      </c>
      <c r="C1198" s="164" t="s">
        <v>287</v>
      </c>
      <c r="D1198" s="164" t="s">
        <v>96</v>
      </c>
      <c r="E1198" s="79">
        <v>44896</v>
      </c>
      <c r="F1198" s="6" t="s">
        <v>16</v>
      </c>
      <c r="G1198" s="6" t="s">
        <v>3437</v>
      </c>
      <c r="H1198" s="170">
        <v>20000</v>
      </c>
      <c r="I1198" s="172">
        <f t="shared" si="56"/>
        <v>229.04260192395787</v>
      </c>
      <c r="J1198" s="162">
        <v>44912</v>
      </c>
      <c r="K1198" s="6" t="s">
        <v>252</v>
      </c>
      <c r="L1198" s="162">
        <v>44912</v>
      </c>
      <c r="M1198" s="175" t="s">
        <v>6399</v>
      </c>
      <c r="O1198" s="6" t="s">
        <v>356</v>
      </c>
      <c r="P1198" s="6" t="str">
        <f t="shared" si="57"/>
        <v>Category</v>
      </c>
      <c r="Q1198" t="str">
        <f t="shared" si="58"/>
        <v>2022</v>
      </c>
    </row>
    <row r="1199" spans="1:17">
      <c r="A1199" s="162">
        <v>44914</v>
      </c>
      <c r="B1199" s="164" t="s">
        <v>3438</v>
      </c>
      <c r="C1199" s="164" t="s">
        <v>278</v>
      </c>
      <c r="D1199" s="164" t="s">
        <v>151</v>
      </c>
      <c r="E1199" s="79">
        <v>44896</v>
      </c>
      <c r="F1199" s="6" t="s">
        <v>16</v>
      </c>
      <c r="G1199" s="6" t="s">
        <v>3340</v>
      </c>
      <c r="H1199" s="170">
        <v>21000</v>
      </c>
      <c r="I1199" s="172">
        <f t="shared" si="56"/>
        <v>240.49473202015577</v>
      </c>
      <c r="J1199" s="162">
        <v>44914</v>
      </c>
      <c r="K1199" s="6" t="s">
        <v>252</v>
      </c>
      <c r="L1199" s="162">
        <v>44914</v>
      </c>
      <c r="M1199" s="175" t="s">
        <v>6400</v>
      </c>
      <c r="N1199" s="6" t="s">
        <v>3440</v>
      </c>
      <c r="O1199" s="6" t="s">
        <v>356</v>
      </c>
      <c r="P1199" s="6" t="str">
        <f t="shared" si="57"/>
        <v>SAFe que</v>
      </c>
      <c r="Q1199" t="str">
        <f t="shared" si="58"/>
        <v>2022</v>
      </c>
    </row>
    <row r="1200" spans="1:17">
      <c r="A1200" s="162">
        <v>44914</v>
      </c>
      <c r="B1200" s="164" t="s">
        <v>3441</v>
      </c>
      <c r="C1200" s="164" t="s">
        <v>470</v>
      </c>
      <c r="D1200" s="164" t="s">
        <v>1497</v>
      </c>
      <c r="E1200" s="79">
        <v>44896</v>
      </c>
      <c r="F1200" s="6" t="s">
        <v>16</v>
      </c>
      <c r="G1200" s="6" t="s">
        <v>3415</v>
      </c>
      <c r="H1200" s="170">
        <v>24000</v>
      </c>
      <c r="I1200" s="172">
        <f t="shared" si="56"/>
        <v>274.85112230874944</v>
      </c>
      <c r="J1200" s="162">
        <v>44914</v>
      </c>
      <c r="K1200" s="6" t="s">
        <v>252</v>
      </c>
      <c r="L1200" s="162">
        <v>44914</v>
      </c>
      <c r="M1200" s="175" t="s">
        <v>6401</v>
      </c>
      <c r="O1200" s="6" t="s">
        <v>356</v>
      </c>
      <c r="P1200" s="6" t="str">
        <f t="shared" si="57"/>
        <v>SAFe que</v>
      </c>
      <c r="Q1200" t="str">
        <f t="shared" si="58"/>
        <v>2022</v>
      </c>
    </row>
    <row r="1201" spans="1:17">
      <c r="A1201" s="162">
        <v>44915</v>
      </c>
      <c r="B1201" s="164" t="s">
        <v>3442</v>
      </c>
      <c r="C1201" s="164" t="s">
        <v>287</v>
      </c>
      <c r="D1201" s="164" t="s">
        <v>96</v>
      </c>
      <c r="E1201" s="79">
        <v>44896</v>
      </c>
      <c r="F1201" s="6" t="s">
        <v>16</v>
      </c>
      <c r="G1201" s="6" t="s">
        <v>3221</v>
      </c>
      <c r="H1201" s="170">
        <v>20000</v>
      </c>
      <c r="I1201" s="172">
        <f t="shared" si="56"/>
        <v>229.04260192395787</v>
      </c>
      <c r="J1201" s="162">
        <v>44915</v>
      </c>
      <c r="K1201" s="6" t="s">
        <v>252</v>
      </c>
      <c r="L1201" s="162">
        <v>44915</v>
      </c>
      <c r="M1201" s="175" t="s">
        <v>6402</v>
      </c>
      <c r="O1201" s="6" t="s">
        <v>356</v>
      </c>
      <c r="P1201" s="6" t="str">
        <f t="shared" si="57"/>
        <v>Category</v>
      </c>
      <c r="Q1201" t="str">
        <f t="shared" si="58"/>
        <v>2022</v>
      </c>
    </row>
    <row r="1202" spans="1:17">
      <c r="A1202" s="162">
        <v>44915</v>
      </c>
      <c r="B1202" s="164" t="s">
        <v>3444</v>
      </c>
      <c r="C1202" s="164" t="s">
        <v>287</v>
      </c>
      <c r="D1202" s="164" t="s">
        <v>1524</v>
      </c>
      <c r="E1202" s="79">
        <v>44896</v>
      </c>
      <c r="F1202" s="6" t="s">
        <v>16</v>
      </c>
      <c r="G1202" s="6" t="s">
        <v>3221</v>
      </c>
      <c r="H1202" s="170">
        <v>24000</v>
      </c>
      <c r="I1202" s="172">
        <f t="shared" ref="I1202:I1265" si="59">IFERROR((($H1202/1.18))/74,"")</f>
        <v>274.85112230874944</v>
      </c>
      <c r="J1202" s="162">
        <v>44915</v>
      </c>
      <c r="K1202" s="6" t="s">
        <v>252</v>
      </c>
      <c r="L1202" s="162">
        <v>44915</v>
      </c>
      <c r="M1202" s="175" t="s">
        <v>6403</v>
      </c>
      <c r="O1202" s="6" t="s">
        <v>356</v>
      </c>
      <c r="P1202" s="6" t="str">
        <f t="shared" si="57"/>
        <v>SAFe que</v>
      </c>
      <c r="Q1202" t="str">
        <f t="shared" si="58"/>
        <v>2022</v>
      </c>
    </row>
    <row r="1203" spans="1:17">
      <c r="A1203" s="162">
        <v>44916</v>
      </c>
      <c r="B1203" s="164" t="s">
        <v>3446</v>
      </c>
      <c r="C1203" s="164" t="s">
        <v>319</v>
      </c>
      <c r="D1203" s="164" t="s">
        <v>150</v>
      </c>
      <c r="E1203" s="79">
        <v>44896</v>
      </c>
      <c r="F1203" s="6" t="s">
        <v>16</v>
      </c>
      <c r="G1203" s="6" t="s">
        <v>3221</v>
      </c>
      <c r="H1203" s="170">
        <v>21000</v>
      </c>
      <c r="I1203" s="172">
        <f t="shared" si="59"/>
        <v>240.49473202015577</v>
      </c>
      <c r="J1203" s="162">
        <v>44916</v>
      </c>
      <c r="K1203" s="6" t="s">
        <v>253</v>
      </c>
      <c r="L1203" s="162">
        <v>44916</v>
      </c>
      <c r="M1203" s="175" t="s">
        <v>6404</v>
      </c>
      <c r="O1203" s="6" t="s">
        <v>356</v>
      </c>
      <c r="P1203" s="6" t="str">
        <f t="shared" si="57"/>
        <v>SAFe que</v>
      </c>
      <c r="Q1203" t="str">
        <f t="shared" si="58"/>
        <v>2022</v>
      </c>
    </row>
    <row r="1204" spans="1:17">
      <c r="A1204" s="162">
        <v>44918</v>
      </c>
      <c r="B1204" s="164" t="s">
        <v>3452</v>
      </c>
      <c r="C1204" s="164" t="s">
        <v>278</v>
      </c>
      <c r="D1204" s="164" t="s">
        <v>1524</v>
      </c>
      <c r="E1204" s="79">
        <v>44896</v>
      </c>
      <c r="F1204" s="6" t="s">
        <v>16</v>
      </c>
      <c r="G1204" s="6" t="s">
        <v>3221</v>
      </c>
      <c r="H1204" s="170">
        <v>24000</v>
      </c>
      <c r="I1204" s="172">
        <f t="shared" si="59"/>
        <v>274.85112230874944</v>
      </c>
      <c r="J1204" s="162">
        <v>44916</v>
      </c>
      <c r="K1204" s="6" t="s">
        <v>252</v>
      </c>
      <c r="L1204" s="162">
        <v>44916</v>
      </c>
      <c r="M1204" s="175" t="s">
        <v>6405</v>
      </c>
      <c r="O1204" s="6" t="s">
        <v>356</v>
      </c>
      <c r="P1204" s="6" t="str">
        <f t="shared" si="57"/>
        <v>SAFe que</v>
      </c>
      <c r="Q1204" t="str">
        <f t="shared" si="58"/>
        <v>2022</v>
      </c>
    </row>
    <row r="1205" spans="1:17">
      <c r="A1205" s="162">
        <v>44917</v>
      </c>
      <c r="B1205" s="164" t="s">
        <v>3454</v>
      </c>
      <c r="C1205" s="164" t="s">
        <v>287</v>
      </c>
      <c r="D1205" s="164" t="s">
        <v>151</v>
      </c>
      <c r="E1205" s="79">
        <v>44896</v>
      </c>
      <c r="F1205" s="6" t="s">
        <v>16</v>
      </c>
      <c r="G1205" s="6" t="s">
        <v>3359</v>
      </c>
      <c r="H1205" s="170">
        <v>21000</v>
      </c>
      <c r="I1205" s="172">
        <f t="shared" si="59"/>
        <v>240.49473202015577</v>
      </c>
      <c r="J1205" s="162">
        <v>44917</v>
      </c>
      <c r="K1205" s="6" t="s">
        <v>253</v>
      </c>
      <c r="L1205" s="162">
        <v>44917</v>
      </c>
      <c r="M1205" s="175" t="s">
        <v>6406</v>
      </c>
      <c r="O1205" s="6" t="s">
        <v>356</v>
      </c>
      <c r="P1205" s="6" t="str">
        <f t="shared" si="57"/>
        <v>SAFe que</v>
      </c>
      <c r="Q1205" t="str">
        <f t="shared" si="58"/>
        <v>2022</v>
      </c>
    </row>
    <row r="1206" spans="1:17">
      <c r="A1206" s="162">
        <v>44918</v>
      </c>
      <c r="B1206" s="164" t="s">
        <v>3458</v>
      </c>
      <c r="C1206" s="164" t="s">
        <v>278</v>
      </c>
      <c r="D1206" s="164" t="s">
        <v>1524</v>
      </c>
      <c r="E1206" s="79">
        <v>44896</v>
      </c>
      <c r="F1206" s="6" t="s">
        <v>16</v>
      </c>
      <c r="G1206" s="6" t="s">
        <v>3221</v>
      </c>
      <c r="H1206" s="170">
        <v>24000</v>
      </c>
      <c r="I1206" s="172">
        <f t="shared" si="59"/>
        <v>274.85112230874944</v>
      </c>
      <c r="J1206" s="162">
        <v>44918</v>
      </c>
      <c r="K1206" s="6" t="s">
        <v>253</v>
      </c>
      <c r="L1206" s="162">
        <v>44918</v>
      </c>
      <c r="M1206" s="175" t="s">
        <v>6407</v>
      </c>
      <c r="N1206" s="6" t="s">
        <v>3363</v>
      </c>
      <c r="O1206" s="6" t="s">
        <v>356</v>
      </c>
      <c r="P1206" s="6" t="str">
        <f t="shared" si="57"/>
        <v>SAFe que</v>
      </c>
      <c r="Q1206" t="str">
        <f t="shared" si="58"/>
        <v>2022</v>
      </c>
    </row>
    <row r="1207" spans="1:17">
      <c r="A1207" s="162">
        <v>44919</v>
      </c>
      <c r="B1207" s="164" t="s">
        <v>3460</v>
      </c>
      <c r="C1207" s="164" t="s">
        <v>306</v>
      </c>
      <c r="D1207" s="164" t="s">
        <v>25</v>
      </c>
      <c r="E1207" s="79">
        <v>44896</v>
      </c>
      <c r="F1207" s="6" t="s">
        <v>16</v>
      </c>
      <c r="G1207" s="6" t="s">
        <v>3221</v>
      </c>
      <c r="H1207" s="170">
        <v>48811</v>
      </c>
      <c r="I1207" s="172">
        <f t="shared" si="59"/>
        <v>558.98992212551536</v>
      </c>
      <c r="J1207" s="162">
        <v>44919</v>
      </c>
      <c r="K1207" s="6" t="s">
        <v>253</v>
      </c>
      <c r="L1207" s="162">
        <v>44919</v>
      </c>
      <c r="M1207" s="175" t="s">
        <v>6408</v>
      </c>
      <c r="O1207" s="6" t="s">
        <v>356</v>
      </c>
      <c r="P1207" s="6" t="str">
        <f t="shared" si="57"/>
        <v>SAFe que</v>
      </c>
      <c r="Q1207" t="str">
        <f t="shared" si="58"/>
        <v>2022</v>
      </c>
    </row>
    <row r="1208" spans="1:17">
      <c r="A1208" s="162">
        <v>44921</v>
      </c>
      <c r="B1208" s="164" t="s">
        <v>3462</v>
      </c>
      <c r="C1208" s="164" t="s">
        <v>319</v>
      </c>
      <c r="D1208" s="164" t="s">
        <v>96</v>
      </c>
      <c r="E1208" s="79">
        <v>44896</v>
      </c>
      <c r="F1208" s="6" t="s">
        <v>16</v>
      </c>
      <c r="G1208" s="6" t="s">
        <v>3464</v>
      </c>
      <c r="H1208" s="170">
        <v>20000</v>
      </c>
      <c r="I1208" s="172">
        <f t="shared" si="59"/>
        <v>229.04260192395787</v>
      </c>
      <c r="J1208" s="162">
        <v>44921</v>
      </c>
      <c r="K1208" s="6" t="s">
        <v>253</v>
      </c>
      <c r="L1208" s="162">
        <v>44921</v>
      </c>
      <c r="M1208" s="175" t="s">
        <v>6409</v>
      </c>
      <c r="O1208" s="6" t="s">
        <v>356</v>
      </c>
      <c r="P1208" s="6" t="str">
        <f t="shared" si="57"/>
        <v>Category</v>
      </c>
      <c r="Q1208" t="str">
        <f t="shared" si="58"/>
        <v>2022</v>
      </c>
    </row>
    <row r="1209" spans="1:17">
      <c r="A1209" s="162">
        <v>44921</v>
      </c>
      <c r="B1209" s="164" t="s">
        <v>3465</v>
      </c>
      <c r="C1209" s="164" t="s">
        <v>306</v>
      </c>
      <c r="D1209" s="164" t="s">
        <v>151</v>
      </c>
      <c r="E1209" s="79">
        <v>44896</v>
      </c>
      <c r="F1209" s="6" t="s">
        <v>16</v>
      </c>
      <c r="G1209" s="6" t="s">
        <v>3359</v>
      </c>
      <c r="H1209" s="170">
        <v>21000</v>
      </c>
      <c r="I1209" s="172">
        <f t="shared" si="59"/>
        <v>240.49473202015577</v>
      </c>
      <c r="J1209" s="162">
        <v>44921</v>
      </c>
      <c r="K1209" s="6" t="s">
        <v>253</v>
      </c>
      <c r="L1209" s="162">
        <v>44921</v>
      </c>
      <c r="M1209" s="175" t="s">
        <v>6410</v>
      </c>
      <c r="O1209" s="6" t="s">
        <v>356</v>
      </c>
      <c r="P1209" s="6" t="str">
        <f t="shared" si="57"/>
        <v>SAFe que</v>
      </c>
      <c r="Q1209" t="str">
        <f t="shared" si="58"/>
        <v>2022</v>
      </c>
    </row>
    <row r="1210" spans="1:17">
      <c r="A1210" s="162">
        <v>44921</v>
      </c>
      <c r="B1210" s="164" t="s">
        <v>3465</v>
      </c>
      <c r="C1210" s="164" t="s">
        <v>306</v>
      </c>
      <c r="D1210" s="164" t="s">
        <v>150</v>
      </c>
      <c r="E1210" s="79">
        <v>44896</v>
      </c>
      <c r="F1210" s="6" t="s">
        <v>16</v>
      </c>
      <c r="G1210" s="6" t="s">
        <v>3467</v>
      </c>
      <c r="H1210" s="170">
        <v>21000</v>
      </c>
      <c r="I1210" s="172">
        <f t="shared" si="59"/>
        <v>240.49473202015577</v>
      </c>
      <c r="J1210" s="162">
        <v>44921</v>
      </c>
      <c r="K1210" s="6" t="s">
        <v>253</v>
      </c>
      <c r="L1210" s="162">
        <v>44921</v>
      </c>
      <c r="M1210" s="175" t="s">
        <v>6411</v>
      </c>
      <c r="O1210" s="6" t="s">
        <v>356</v>
      </c>
      <c r="P1210" s="6" t="str">
        <f t="shared" si="57"/>
        <v>SAFe que</v>
      </c>
      <c r="Q1210" t="str">
        <f t="shared" si="58"/>
        <v>2022</v>
      </c>
    </row>
    <row r="1211" spans="1:17">
      <c r="A1211" s="162">
        <v>44921</v>
      </c>
      <c r="B1211" s="164" t="s">
        <v>3468</v>
      </c>
      <c r="C1211" s="164" t="s">
        <v>303</v>
      </c>
      <c r="D1211" s="164" t="s">
        <v>1524</v>
      </c>
      <c r="E1211" s="79">
        <v>44896</v>
      </c>
      <c r="F1211" s="6" t="s">
        <v>16</v>
      </c>
      <c r="G1211" s="6" t="s">
        <v>3467</v>
      </c>
      <c r="H1211" s="170">
        <v>24000</v>
      </c>
      <c r="I1211" s="172">
        <f t="shared" si="59"/>
        <v>274.85112230874944</v>
      </c>
      <c r="J1211" s="162">
        <v>44921</v>
      </c>
      <c r="K1211" s="6" t="s">
        <v>253</v>
      </c>
      <c r="L1211" s="162">
        <v>44921</v>
      </c>
      <c r="M1211" s="175" t="s">
        <v>6412</v>
      </c>
      <c r="O1211" s="6" t="s">
        <v>356</v>
      </c>
      <c r="P1211" s="6" t="str">
        <f t="shared" si="57"/>
        <v>SAFe que</v>
      </c>
      <c r="Q1211" t="str">
        <f t="shared" si="58"/>
        <v>2022</v>
      </c>
    </row>
    <row r="1212" spans="1:17">
      <c r="A1212" s="162">
        <v>44921</v>
      </c>
      <c r="B1212" s="164" t="s">
        <v>3470</v>
      </c>
      <c r="C1212" s="164" t="s">
        <v>278</v>
      </c>
      <c r="D1212" s="164" t="s">
        <v>1524</v>
      </c>
      <c r="E1212" s="79">
        <v>44896</v>
      </c>
      <c r="F1212" s="6" t="s">
        <v>16</v>
      </c>
      <c r="G1212" s="6" t="s">
        <v>3467</v>
      </c>
      <c r="H1212" s="170">
        <v>24000</v>
      </c>
      <c r="I1212" s="172">
        <f t="shared" si="59"/>
        <v>274.85112230874944</v>
      </c>
      <c r="J1212" s="162">
        <v>44921</v>
      </c>
      <c r="K1212" s="6" t="s">
        <v>253</v>
      </c>
      <c r="L1212" s="162">
        <v>44921</v>
      </c>
      <c r="M1212" s="175" t="s">
        <v>6413</v>
      </c>
      <c r="N1212" s="6" t="s">
        <v>3472</v>
      </c>
      <c r="O1212" s="6" t="s">
        <v>356</v>
      </c>
      <c r="P1212" s="6" t="str">
        <f t="shared" si="57"/>
        <v>SAFe que</v>
      </c>
      <c r="Q1212" t="str">
        <f t="shared" si="58"/>
        <v>2022</v>
      </c>
    </row>
    <row r="1213" spans="1:17">
      <c r="A1213" s="162">
        <v>44922</v>
      </c>
      <c r="B1213" s="164" t="s">
        <v>3473</v>
      </c>
      <c r="C1213" s="164" t="s">
        <v>470</v>
      </c>
      <c r="D1213" s="164" t="s">
        <v>538</v>
      </c>
      <c r="E1213" s="79">
        <v>44927</v>
      </c>
      <c r="F1213" s="6" t="s">
        <v>16</v>
      </c>
      <c r="G1213" s="97">
        <v>44949</v>
      </c>
      <c r="H1213" s="170">
        <v>46000</v>
      </c>
      <c r="I1213" s="172">
        <f t="shared" si="59"/>
        <v>526.7979844251031</v>
      </c>
      <c r="J1213" s="162">
        <v>44922</v>
      </c>
      <c r="K1213" s="6" t="s">
        <v>252</v>
      </c>
      <c r="L1213" s="162">
        <v>44939</v>
      </c>
      <c r="M1213" s="175" t="s">
        <v>6414</v>
      </c>
      <c r="O1213" s="6" t="s">
        <v>356</v>
      </c>
      <c r="P1213" s="6" t="str">
        <f t="shared" si="57"/>
        <v>NonCategory</v>
      </c>
      <c r="Q1213" t="str">
        <f t="shared" si="58"/>
        <v>2023</v>
      </c>
    </row>
    <row r="1214" spans="1:17">
      <c r="A1214" s="162">
        <v>44923</v>
      </c>
      <c r="B1214" s="164" t="s">
        <v>3475</v>
      </c>
      <c r="C1214" s="164" t="s">
        <v>306</v>
      </c>
      <c r="D1214" s="164" t="s">
        <v>1497</v>
      </c>
      <c r="E1214" s="79">
        <v>44896</v>
      </c>
      <c r="F1214" s="6" t="s">
        <v>16</v>
      </c>
      <c r="G1214" s="6" t="s">
        <v>3477</v>
      </c>
      <c r="H1214" s="170">
        <v>24000</v>
      </c>
      <c r="I1214" s="172">
        <f t="shared" si="59"/>
        <v>274.85112230874944</v>
      </c>
      <c r="J1214" s="162">
        <v>44923</v>
      </c>
      <c r="K1214" s="6" t="s">
        <v>253</v>
      </c>
      <c r="L1214" s="162">
        <v>44923</v>
      </c>
      <c r="M1214" s="175" t="s">
        <v>6415</v>
      </c>
      <c r="O1214" s="6" t="s">
        <v>356</v>
      </c>
      <c r="P1214" s="6" t="str">
        <f t="shared" si="57"/>
        <v>SAFe que</v>
      </c>
      <c r="Q1214" t="str">
        <f t="shared" si="58"/>
        <v>2022</v>
      </c>
    </row>
    <row r="1215" spans="1:17">
      <c r="A1215" s="162">
        <v>44923</v>
      </c>
      <c r="B1215" s="164" t="s">
        <v>3478</v>
      </c>
      <c r="C1215" s="164" t="s">
        <v>278</v>
      </c>
      <c r="D1215" s="164" t="s">
        <v>96</v>
      </c>
      <c r="E1215" s="79">
        <v>44896</v>
      </c>
      <c r="F1215" s="6" t="s">
        <v>16</v>
      </c>
      <c r="G1215" s="6" t="s">
        <v>3437</v>
      </c>
      <c r="H1215" s="170">
        <v>19824</v>
      </c>
      <c r="I1215" s="172">
        <f t="shared" si="59"/>
        <v>227.02702702702703</v>
      </c>
      <c r="J1215" s="162">
        <v>44923</v>
      </c>
      <c r="K1215" s="6" t="s">
        <v>253</v>
      </c>
      <c r="L1215" s="162">
        <v>44923</v>
      </c>
      <c r="M1215" s="175" t="s">
        <v>6416</v>
      </c>
      <c r="O1215" s="6" t="s">
        <v>356</v>
      </c>
      <c r="P1215" s="6" t="str">
        <f t="shared" si="57"/>
        <v>Category</v>
      </c>
      <c r="Q1215" t="str">
        <f t="shared" si="58"/>
        <v>2022</v>
      </c>
    </row>
    <row r="1216" spans="1:17">
      <c r="A1216" s="162">
        <v>44928</v>
      </c>
      <c r="B1216" s="164" t="s">
        <v>3034</v>
      </c>
      <c r="C1216" s="164" t="s">
        <v>470</v>
      </c>
      <c r="D1216" s="164" t="s">
        <v>538</v>
      </c>
      <c r="E1216" s="79">
        <v>44927</v>
      </c>
      <c r="F1216" s="6" t="s">
        <v>16</v>
      </c>
      <c r="G1216" s="97">
        <v>45267</v>
      </c>
      <c r="H1216" s="170">
        <v>48567</v>
      </c>
      <c r="I1216" s="172">
        <f t="shared" si="59"/>
        <v>556.19560238204315</v>
      </c>
      <c r="J1216" s="162">
        <v>44928</v>
      </c>
      <c r="K1216" s="6" t="s">
        <v>251</v>
      </c>
      <c r="L1216" s="162">
        <v>44928</v>
      </c>
      <c r="M1216" s="175" t="s">
        <v>6417</v>
      </c>
      <c r="O1216" s="6" t="s">
        <v>356</v>
      </c>
      <c r="P1216" s="6" t="str">
        <f t="shared" si="57"/>
        <v>NonCategory</v>
      </c>
      <c r="Q1216" t="str">
        <f t="shared" si="58"/>
        <v>2023</v>
      </c>
    </row>
    <row r="1217" spans="1:17">
      <c r="A1217" s="162">
        <v>44928</v>
      </c>
      <c r="B1217" s="164" t="s">
        <v>3480</v>
      </c>
      <c r="C1217" s="164" t="s">
        <v>470</v>
      </c>
      <c r="D1217" s="164" t="s">
        <v>6</v>
      </c>
      <c r="E1217" s="79">
        <v>44927</v>
      </c>
      <c r="F1217" s="6" t="s">
        <v>16</v>
      </c>
      <c r="G1217" s="6" t="s">
        <v>3359</v>
      </c>
      <c r="H1217" s="170">
        <v>40061</v>
      </c>
      <c r="I1217" s="172">
        <f t="shared" si="59"/>
        <v>458.7837837837838</v>
      </c>
      <c r="J1217" s="162">
        <v>44928</v>
      </c>
      <c r="K1217" s="6" t="s">
        <v>251</v>
      </c>
      <c r="L1217" s="162">
        <v>44928</v>
      </c>
      <c r="M1217" s="175" t="s">
        <v>6418</v>
      </c>
      <c r="O1217" s="6" t="s">
        <v>356</v>
      </c>
      <c r="P1217" s="6" t="str">
        <f t="shared" si="57"/>
        <v>SAFe que</v>
      </c>
      <c r="Q1217" t="str">
        <f t="shared" si="58"/>
        <v>2023</v>
      </c>
    </row>
    <row r="1218" spans="1:17">
      <c r="A1218" s="162">
        <v>44929</v>
      </c>
      <c r="B1218" s="164" t="s">
        <v>3482</v>
      </c>
      <c r="C1218" s="164" t="s">
        <v>278</v>
      </c>
      <c r="D1218" s="164" t="s">
        <v>976</v>
      </c>
      <c r="E1218" s="79">
        <v>44927</v>
      </c>
      <c r="F1218" s="6" t="s">
        <v>16</v>
      </c>
      <c r="G1218" s="6" t="s">
        <v>21</v>
      </c>
      <c r="H1218" s="170">
        <v>21000</v>
      </c>
      <c r="I1218" s="172">
        <f t="shared" si="59"/>
        <v>240.49473202015577</v>
      </c>
      <c r="J1218" s="162">
        <v>44929</v>
      </c>
      <c r="K1218" s="6" t="s">
        <v>251</v>
      </c>
      <c r="L1218" s="162">
        <v>44929</v>
      </c>
      <c r="M1218" s="175" t="s">
        <v>6419</v>
      </c>
      <c r="N1218" s="6" t="s">
        <v>3484</v>
      </c>
      <c r="O1218" s="6" t="s">
        <v>356</v>
      </c>
      <c r="P1218" s="6" t="str">
        <f t="shared" ref="P1218:P1281" si="60">IFERROR(_xlfn.IFS($D1218="CSM","Category",$D1218="CSPO","Category", $D1218="PSM","SAFe que",$D1218="PSPO","SAFe que",$D1218="SAFe Agile","SAFe que",$D1218="SAFe SSM","SAFe que",$D1218="SAFe POPM","SAFe que",$D1218="SASM","SAFe que",$D1218="PMI-ACP","Category",$D1218="ICP-ACC","SAFe que",$D1218="PSM 2","SAFe que",$D1218="SAFe RTE","SAFe que",$D1218="Implementing SAFe","SAFe que",$D1218="SAFe for Government","SAFe que",$D1218="PSPO 2","SAFe que",$D1218="",""),"NonCategory")</f>
        <v>NonCategory</v>
      </c>
      <c r="Q1218" t="str">
        <f t="shared" ref="Q1218:Q1281" si="61">TEXT(E1218, "yyyy")</f>
        <v>2023</v>
      </c>
    </row>
    <row r="1219" spans="1:17">
      <c r="A1219" s="162">
        <v>44929</v>
      </c>
      <c r="B1219" s="164" t="s">
        <v>3485</v>
      </c>
      <c r="C1219" s="164" t="s">
        <v>287</v>
      </c>
      <c r="D1219" s="164" t="s">
        <v>6</v>
      </c>
      <c r="E1219" s="79">
        <v>44927</v>
      </c>
      <c r="F1219" s="6" t="s">
        <v>16</v>
      </c>
      <c r="G1219" s="6" t="s">
        <v>3359</v>
      </c>
      <c r="H1219" s="170">
        <v>40061</v>
      </c>
      <c r="I1219" s="172">
        <f t="shared" si="59"/>
        <v>458.7837837837838</v>
      </c>
      <c r="J1219" s="162">
        <v>44929</v>
      </c>
      <c r="K1219" s="6" t="s">
        <v>251</v>
      </c>
      <c r="L1219" s="162">
        <v>44929</v>
      </c>
      <c r="M1219" s="175" t="s">
        <v>6420</v>
      </c>
      <c r="O1219" s="6" t="s">
        <v>356</v>
      </c>
      <c r="P1219" s="6" t="str">
        <f t="shared" si="60"/>
        <v>SAFe que</v>
      </c>
      <c r="Q1219" t="str">
        <f t="shared" si="61"/>
        <v>2023</v>
      </c>
    </row>
    <row r="1220" spans="1:17">
      <c r="A1220" s="162">
        <v>44929</v>
      </c>
      <c r="B1220" s="164" t="s">
        <v>3487</v>
      </c>
      <c r="C1220" s="164" t="s">
        <v>278</v>
      </c>
      <c r="D1220" s="164" t="s">
        <v>150</v>
      </c>
      <c r="E1220" s="79">
        <v>44927</v>
      </c>
      <c r="F1220" s="6" t="s">
        <v>16</v>
      </c>
      <c r="G1220" s="6" t="s">
        <v>3359</v>
      </c>
      <c r="H1220" s="170">
        <v>21000</v>
      </c>
      <c r="I1220" s="172">
        <f t="shared" si="59"/>
        <v>240.49473202015577</v>
      </c>
      <c r="J1220" s="162">
        <v>44929</v>
      </c>
      <c r="K1220" s="6" t="s">
        <v>251</v>
      </c>
      <c r="L1220" s="162">
        <v>44929</v>
      </c>
      <c r="M1220" s="175" t="s">
        <v>6421</v>
      </c>
      <c r="N1220" s="6" t="s">
        <v>3363</v>
      </c>
      <c r="O1220" s="6" t="s">
        <v>356</v>
      </c>
      <c r="P1220" s="6" t="str">
        <f t="shared" si="60"/>
        <v>SAFe que</v>
      </c>
      <c r="Q1220" t="str">
        <f t="shared" si="61"/>
        <v>2023</v>
      </c>
    </row>
    <row r="1221" spans="1:17">
      <c r="A1221" s="162">
        <v>44929</v>
      </c>
      <c r="B1221" s="164" t="s">
        <v>3489</v>
      </c>
      <c r="C1221" s="164" t="s">
        <v>470</v>
      </c>
      <c r="D1221" s="164" t="s">
        <v>150</v>
      </c>
      <c r="E1221" s="79">
        <v>44927</v>
      </c>
      <c r="F1221" s="6" t="s">
        <v>16</v>
      </c>
      <c r="G1221" s="6" t="s">
        <v>3491</v>
      </c>
      <c r="H1221" s="170">
        <v>21000</v>
      </c>
      <c r="I1221" s="172">
        <f t="shared" si="59"/>
        <v>240.49473202015577</v>
      </c>
      <c r="J1221" s="162">
        <v>44929</v>
      </c>
      <c r="K1221" s="6" t="s">
        <v>251</v>
      </c>
      <c r="L1221" s="162">
        <v>44929</v>
      </c>
      <c r="M1221" s="175" t="s">
        <v>6422</v>
      </c>
      <c r="O1221" s="6" t="s">
        <v>356</v>
      </c>
      <c r="P1221" s="6" t="str">
        <f t="shared" si="60"/>
        <v>SAFe que</v>
      </c>
      <c r="Q1221" t="str">
        <f t="shared" si="61"/>
        <v>2023</v>
      </c>
    </row>
    <row r="1222" spans="1:17">
      <c r="A1222" s="162">
        <v>44929</v>
      </c>
      <c r="B1222" s="164" t="s">
        <v>3492</v>
      </c>
      <c r="C1222" s="164" t="s">
        <v>303</v>
      </c>
      <c r="D1222" s="164" t="s">
        <v>1524</v>
      </c>
      <c r="E1222" s="79">
        <v>44927</v>
      </c>
      <c r="F1222" s="6" t="s">
        <v>16</v>
      </c>
      <c r="G1222" s="6" t="s">
        <v>3477</v>
      </c>
      <c r="H1222" s="170">
        <v>24000</v>
      </c>
      <c r="I1222" s="172">
        <f t="shared" si="59"/>
        <v>274.85112230874944</v>
      </c>
      <c r="J1222" s="162">
        <v>44929</v>
      </c>
      <c r="K1222" s="6" t="s">
        <v>251</v>
      </c>
      <c r="L1222" s="162">
        <v>44929</v>
      </c>
      <c r="M1222" s="175" t="s">
        <v>6423</v>
      </c>
      <c r="O1222" s="6" t="s">
        <v>356</v>
      </c>
      <c r="P1222" s="6" t="str">
        <f t="shared" si="60"/>
        <v>SAFe que</v>
      </c>
      <c r="Q1222" t="str">
        <f t="shared" si="61"/>
        <v>2023</v>
      </c>
    </row>
    <row r="1223" spans="1:17">
      <c r="A1223" s="162">
        <v>44931</v>
      </c>
      <c r="B1223" s="164" t="s">
        <v>3127</v>
      </c>
      <c r="C1223" s="164" t="s">
        <v>470</v>
      </c>
      <c r="D1223" s="164" t="s">
        <v>976</v>
      </c>
      <c r="E1223" s="79">
        <v>44927</v>
      </c>
      <c r="F1223" s="6" t="s">
        <v>16</v>
      </c>
      <c r="G1223" s="97">
        <v>44933</v>
      </c>
      <c r="H1223" s="170">
        <v>21200</v>
      </c>
      <c r="I1223" s="172">
        <f t="shared" si="59"/>
        <v>242.78515803939533</v>
      </c>
      <c r="J1223" s="162">
        <v>44931</v>
      </c>
      <c r="K1223" s="6" t="s">
        <v>251</v>
      </c>
      <c r="L1223" s="162">
        <v>44931</v>
      </c>
      <c r="M1223" s="175" t="s">
        <v>6424</v>
      </c>
      <c r="O1223" s="6" t="s">
        <v>356</v>
      </c>
      <c r="P1223" s="6" t="str">
        <f t="shared" si="60"/>
        <v>NonCategory</v>
      </c>
      <c r="Q1223" t="str">
        <f t="shared" si="61"/>
        <v>2023</v>
      </c>
    </row>
    <row r="1224" spans="1:17">
      <c r="A1224" s="162">
        <v>44932</v>
      </c>
      <c r="B1224" s="164" t="s">
        <v>3494</v>
      </c>
      <c r="C1224" s="164" t="s">
        <v>278</v>
      </c>
      <c r="D1224" s="164" t="s">
        <v>976</v>
      </c>
      <c r="E1224" s="79">
        <v>44927</v>
      </c>
      <c r="F1224" s="6" t="s">
        <v>16</v>
      </c>
      <c r="G1224" s="97">
        <v>44933</v>
      </c>
      <c r="H1224" s="170">
        <v>22000</v>
      </c>
      <c r="I1224" s="172">
        <f t="shared" si="59"/>
        <v>251.94686211635369</v>
      </c>
      <c r="J1224" s="162">
        <v>44932</v>
      </c>
      <c r="K1224" s="6" t="s">
        <v>251</v>
      </c>
      <c r="L1224" s="162">
        <v>44932</v>
      </c>
      <c r="M1224" s="175" t="s">
        <v>6425</v>
      </c>
      <c r="O1224" s="6" t="s">
        <v>356</v>
      </c>
      <c r="P1224" s="6" t="str">
        <f t="shared" si="60"/>
        <v>NonCategory</v>
      </c>
      <c r="Q1224" t="str">
        <f t="shared" si="61"/>
        <v>2023</v>
      </c>
    </row>
    <row r="1225" spans="1:17">
      <c r="A1225" s="162">
        <v>44932</v>
      </c>
      <c r="B1225" s="164" t="s">
        <v>3496</v>
      </c>
      <c r="C1225" s="164" t="s">
        <v>470</v>
      </c>
      <c r="D1225" s="164" t="s">
        <v>97</v>
      </c>
      <c r="E1225" s="79">
        <v>44927</v>
      </c>
      <c r="F1225" s="6" t="s">
        <v>16</v>
      </c>
      <c r="G1225" s="6" t="s">
        <v>3359</v>
      </c>
      <c r="H1225" s="170">
        <v>20000</v>
      </c>
      <c r="I1225" s="172">
        <f t="shared" si="59"/>
        <v>229.04260192395787</v>
      </c>
      <c r="J1225" s="162">
        <v>44932</v>
      </c>
      <c r="K1225" s="6" t="s">
        <v>251</v>
      </c>
      <c r="L1225" s="162">
        <v>44932</v>
      </c>
      <c r="M1225" s="175" t="s">
        <v>6426</v>
      </c>
      <c r="O1225" s="6" t="s">
        <v>356</v>
      </c>
      <c r="P1225" s="6" t="str">
        <f t="shared" si="60"/>
        <v>Category</v>
      </c>
      <c r="Q1225" t="str">
        <f t="shared" si="61"/>
        <v>2023</v>
      </c>
    </row>
    <row r="1226" spans="1:17">
      <c r="A1226" s="162">
        <v>44932</v>
      </c>
      <c r="B1226" s="164" t="s">
        <v>3498</v>
      </c>
      <c r="C1226" s="164" t="s">
        <v>3500</v>
      </c>
      <c r="D1226" s="164" t="s">
        <v>6</v>
      </c>
      <c r="E1226" s="79">
        <v>44927</v>
      </c>
      <c r="F1226" s="6" t="s">
        <v>16</v>
      </c>
      <c r="G1226" s="6" t="s">
        <v>3467</v>
      </c>
      <c r="H1226" s="170">
        <v>42000</v>
      </c>
      <c r="I1226" s="172">
        <f t="shared" si="59"/>
        <v>480.98946404031153</v>
      </c>
      <c r="J1226" s="162">
        <v>44932</v>
      </c>
      <c r="K1226" s="6" t="s">
        <v>251</v>
      </c>
      <c r="L1226" s="162">
        <v>44933</v>
      </c>
      <c r="M1226" s="175" t="s">
        <v>6427</v>
      </c>
      <c r="O1226" s="6" t="s">
        <v>356</v>
      </c>
      <c r="P1226" s="6" t="str">
        <f t="shared" si="60"/>
        <v>SAFe que</v>
      </c>
      <c r="Q1226" t="str">
        <f t="shared" si="61"/>
        <v>2023</v>
      </c>
    </row>
    <row r="1227" spans="1:17">
      <c r="A1227" s="162">
        <v>44933</v>
      </c>
      <c r="B1227" s="164" t="s">
        <v>3501</v>
      </c>
      <c r="C1227" s="164" t="s">
        <v>303</v>
      </c>
      <c r="D1227" s="164" t="s">
        <v>6</v>
      </c>
      <c r="E1227" s="79">
        <v>44927</v>
      </c>
      <c r="F1227" s="6" t="s">
        <v>16</v>
      </c>
      <c r="G1227" s="6" t="s">
        <v>3340</v>
      </c>
      <c r="H1227" s="170">
        <v>40061</v>
      </c>
      <c r="I1227" s="172">
        <f t="shared" si="59"/>
        <v>458.7837837837838</v>
      </c>
      <c r="J1227" s="162">
        <v>44933</v>
      </c>
      <c r="K1227" s="6" t="s">
        <v>251</v>
      </c>
      <c r="L1227" s="162">
        <v>44933</v>
      </c>
      <c r="M1227" s="175" t="s">
        <v>6428</v>
      </c>
      <c r="N1227" s="6" t="s">
        <v>3503</v>
      </c>
      <c r="O1227" s="6" t="s">
        <v>356</v>
      </c>
      <c r="P1227" s="6" t="str">
        <f t="shared" si="60"/>
        <v>SAFe que</v>
      </c>
      <c r="Q1227" t="str">
        <f t="shared" si="61"/>
        <v>2023</v>
      </c>
    </row>
    <row r="1228" spans="1:17">
      <c r="A1228" s="162">
        <v>44935</v>
      </c>
      <c r="B1228" s="164" t="s">
        <v>3504</v>
      </c>
      <c r="C1228" s="164" t="s">
        <v>278</v>
      </c>
      <c r="D1228" s="164" t="s">
        <v>1524</v>
      </c>
      <c r="E1228" s="79">
        <v>44927</v>
      </c>
      <c r="F1228" s="6" t="s">
        <v>16</v>
      </c>
      <c r="G1228" s="6" t="s">
        <v>3477</v>
      </c>
      <c r="H1228" s="170">
        <v>24000</v>
      </c>
      <c r="I1228" s="172">
        <f t="shared" si="59"/>
        <v>274.85112230874944</v>
      </c>
      <c r="J1228" s="162">
        <v>44935</v>
      </c>
      <c r="K1228" s="6" t="s">
        <v>251</v>
      </c>
      <c r="L1228" s="162">
        <v>44935</v>
      </c>
      <c r="M1228" s="175" t="s">
        <v>6429</v>
      </c>
      <c r="N1228" s="6" t="s">
        <v>3506</v>
      </c>
      <c r="O1228" s="6" t="s">
        <v>356</v>
      </c>
      <c r="P1228" s="6" t="str">
        <f t="shared" si="60"/>
        <v>SAFe que</v>
      </c>
      <c r="Q1228" t="str">
        <f t="shared" si="61"/>
        <v>2023</v>
      </c>
    </row>
    <row r="1229" spans="1:17">
      <c r="A1229" s="162">
        <v>44935</v>
      </c>
      <c r="B1229" s="164" t="s">
        <v>3507</v>
      </c>
      <c r="C1229" s="164" t="s">
        <v>306</v>
      </c>
      <c r="D1229" s="164" t="s">
        <v>1524</v>
      </c>
      <c r="E1229" s="79">
        <v>44927</v>
      </c>
      <c r="F1229" s="6" t="s">
        <v>16</v>
      </c>
      <c r="G1229" s="6" t="s">
        <v>3477</v>
      </c>
      <c r="H1229" s="170">
        <v>24000</v>
      </c>
      <c r="I1229" s="172">
        <f t="shared" si="59"/>
        <v>274.85112230874944</v>
      </c>
      <c r="J1229" s="162">
        <v>44935</v>
      </c>
      <c r="K1229" s="6" t="s">
        <v>251</v>
      </c>
      <c r="L1229" s="162">
        <v>44935</v>
      </c>
      <c r="M1229" s="175" t="s">
        <v>6430</v>
      </c>
      <c r="O1229" s="6" t="s">
        <v>356</v>
      </c>
      <c r="P1229" s="6" t="str">
        <f t="shared" si="60"/>
        <v>SAFe que</v>
      </c>
      <c r="Q1229" t="str">
        <f t="shared" si="61"/>
        <v>2023</v>
      </c>
    </row>
    <row r="1230" spans="1:17">
      <c r="A1230" s="162">
        <v>44935</v>
      </c>
      <c r="B1230" s="164" t="s">
        <v>3509</v>
      </c>
      <c r="C1230" s="164" t="s">
        <v>278</v>
      </c>
      <c r="D1230" s="164" t="s">
        <v>1524</v>
      </c>
      <c r="E1230" s="79">
        <v>44927</v>
      </c>
      <c r="F1230" s="6" t="s">
        <v>16</v>
      </c>
      <c r="G1230" s="6" t="s">
        <v>3477</v>
      </c>
      <c r="H1230" s="170">
        <v>24000</v>
      </c>
      <c r="I1230" s="172">
        <f t="shared" si="59"/>
        <v>274.85112230874944</v>
      </c>
      <c r="J1230" s="162">
        <v>44935</v>
      </c>
      <c r="K1230" s="6" t="s">
        <v>251</v>
      </c>
      <c r="L1230" s="162">
        <v>44935</v>
      </c>
      <c r="M1230" s="175" t="s">
        <v>6431</v>
      </c>
      <c r="N1230" s="6" t="s">
        <v>3511</v>
      </c>
      <c r="O1230" s="6" t="s">
        <v>356</v>
      </c>
      <c r="P1230" s="6" t="str">
        <f t="shared" si="60"/>
        <v>SAFe que</v>
      </c>
      <c r="Q1230" t="str">
        <f t="shared" si="61"/>
        <v>2023</v>
      </c>
    </row>
    <row r="1231" spans="1:17">
      <c r="A1231" s="162">
        <v>44935</v>
      </c>
      <c r="B1231" s="164" t="s">
        <v>3512</v>
      </c>
      <c r="C1231" s="164" t="s">
        <v>278</v>
      </c>
      <c r="D1231" s="164" t="s">
        <v>1524</v>
      </c>
      <c r="E1231" s="79">
        <v>44927</v>
      </c>
      <c r="F1231" s="6" t="s">
        <v>16</v>
      </c>
      <c r="G1231" s="6" t="s">
        <v>3477</v>
      </c>
      <c r="H1231" s="170">
        <v>24000</v>
      </c>
      <c r="I1231" s="172">
        <f t="shared" si="59"/>
        <v>274.85112230874944</v>
      </c>
      <c r="J1231" s="162">
        <v>44935</v>
      </c>
      <c r="K1231" s="6" t="s">
        <v>251</v>
      </c>
      <c r="L1231" s="162">
        <v>44935</v>
      </c>
      <c r="M1231" s="175" t="s">
        <v>6432</v>
      </c>
      <c r="N1231" s="6" t="s">
        <v>3514</v>
      </c>
      <c r="O1231" s="6" t="s">
        <v>356</v>
      </c>
      <c r="P1231" s="6" t="str">
        <f t="shared" si="60"/>
        <v>SAFe que</v>
      </c>
      <c r="Q1231" t="str">
        <f t="shared" si="61"/>
        <v>2023</v>
      </c>
    </row>
    <row r="1232" spans="1:17">
      <c r="A1232" s="162">
        <v>44935</v>
      </c>
      <c r="B1232" s="164" t="s">
        <v>3515</v>
      </c>
      <c r="C1232" s="164" t="s">
        <v>306</v>
      </c>
      <c r="D1232" s="164" t="s">
        <v>1524</v>
      </c>
      <c r="E1232" s="79">
        <v>44927</v>
      </c>
      <c r="F1232" s="6" t="s">
        <v>16</v>
      </c>
      <c r="G1232" s="6" t="s">
        <v>3477</v>
      </c>
      <c r="H1232" s="170">
        <v>24000</v>
      </c>
      <c r="I1232" s="172">
        <f t="shared" si="59"/>
        <v>274.85112230874944</v>
      </c>
      <c r="J1232" s="162">
        <v>44936</v>
      </c>
      <c r="K1232" s="6" t="s">
        <v>251</v>
      </c>
      <c r="L1232" s="162">
        <v>44936</v>
      </c>
      <c r="M1232" s="175" t="s">
        <v>6433</v>
      </c>
      <c r="O1232" s="6" t="s">
        <v>356</v>
      </c>
      <c r="P1232" s="6" t="str">
        <f t="shared" si="60"/>
        <v>SAFe que</v>
      </c>
      <c r="Q1232" t="str">
        <f t="shared" si="61"/>
        <v>2023</v>
      </c>
    </row>
    <row r="1233" spans="1:17">
      <c r="A1233" s="162">
        <v>44936</v>
      </c>
      <c r="B1233" s="164" t="s">
        <v>3519</v>
      </c>
      <c r="C1233" s="164" t="s">
        <v>303</v>
      </c>
      <c r="D1233" s="164" t="s">
        <v>96</v>
      </c>
      <c r="E1233" s="79">
        <v>44927</v>
      </c>
      <c r="F1233" s="6" t="s">
        <v>16</v>
      </c>
      <c r="G1233" s="6" t="s">
        <v>3521</v>
      </c>
      <c r="H1233" s="170">
        <v>20000</v>
      </c>
      <c r="I1233" s="172">
        <f t="shared" si="59"/>
        <v>229.04260192395787</v>
      </c>
      <c r="J1233" s="162">
        <v>44936</v>
      </c>
      <c r="K1233" s="6" t="s">
        <v>251</v>
      </c>
      <c r="L1233" s="162">
        <v>44936</v>
      </c>
      <c r="M1233" s="175" t="s">
        <v>6434</v>
      </c>
      <c r="O1233" s="6" t="s">
        <v>356</v>
      </c>
      <c r="P1233" s="6" t="str">
        <f t="shared" si="60"/>
        <v>Category</v>
      </c>
      <c r="Q1233" t="str">
        <f t="shared" si="61"/>
        <v>2023</v>
      </c>
    </row>
    <row r="1234" spans="1:17">
      <c r="A1234" s="162">
        <v>44936</v>
      </c>
      <c r="B1234" s="164" t="s">
        <v>3522</v>
      </c>
      <c r="C1234" s="164" t="s">
        <v>470</v>
      </c>
      <c r="D1234" s="164" t="s">
        <v>195</v>
      </c>
      <c r="E1234" s="79">
        <v>44927</v>
      </c>
      <c r="F1234" s="6" t="s">
        <v>16</v>
      </c>
      <c r="G1234" s="6" t="s">
        <v>3524</v>
      </c>
      <c r="H1234" s="170">
        <v>31000</v>
      </c>
      <c r="I1234" s="172">
        <f t="shared" si="59"/>
        <v>355.01603298213467</v>
      </c>
      <c r="J1234" s="162">
        <v>44936</v>
      </c>
      <c r="K1234" s="6" t="s">
        <v>251</v>
      </c>
      <c r="L1234" s="162">
        <v>44936</v>
      </c>
      <c r="M1234" s="175" t="s">
        <v>6435</v>
      </c>
      <c r="O1234" s="6" t="s">
        <v>356</v>
      </c>
      <c r="P1234" s="6" t="str">
        <f t="shared" si="60"/>
        <v>NonCategory</v>
      </c>
      <c r="Q1234" t="str">
        <f t="shared" si="61"/>
        <v>2023</v>
      </c>
    </row>
    <row r="1235" spans="1:17">
      <c r="A1235" s="162">
        <v>44936</v>
      </c>
      <c r="B1235" s="164" t="s">
        <v>3525</v>
      </c>
      <c r="C1235" s="164" t="s">
        <v>278</v>
      </c>
      <c r="D1235" s="164" t="s">
        <v>1524</v>
      </c>
      <c r="E1235" s="79">
        <v>44927</v>
      </c>
      <c r="F1235" s="6" t="s">
        <v>16</v>
      </c>
      <c r="G1235" s="6" t="s">
        <v>3477</v>
      </c>
      <c r="H1235" s="170">
        <v>24000</v>
      </c>
      <c r="I1235" s="172">
        <f t="shared" si="59"/>
        <v>274.85112230874944</v>
      </c>
      <c r="J1235" s="162">
        <v>44936</v>
      </c>
      <c r="K1235" s="6" t="s">
        <v>251</v>
      </c>
      <c r="L1235" s="162">
        <v>44936</v>
      </c>
      <c r="M1235" s="175" t="s">
        <v>6436</v>
      </c>
      <c r="O1235" s="6" t="s">
        <v>356</v>
      </c>
      <c r="P1235" s="6" t="str">
        <f t="shared" si="60"/>
        <v>SAFe que</v>
      </c>
      <c r="Q1235" t="str">
        <f t="shared" si="61"/>
        <v>2023</v>
      </c>
    </row>
    <row r="1236" spans="1:17">
      <c r="A1236" s="162">
        <v>44936</v>
      </c>
      <c r="B1236" s="164" t="s">
        <v>3527</v>
      </c>
      <c r="C1236" s="164" t="s">
        <v>278</v>
      </c>
      <c r="D1236" s="164" t="s">
        <v>151</v>
      </c>
      <c r="E1236" s="79">
        <v>44927</v>
      </c>
      <c r="F1236" s="6" t="s">
        <v>16</v>
      </c>
      <c r="G1236" s="6" t="s">
        <v>3477</v>
      </c>
      <c r="H1236" s="170">
        <v>21000</v>
      </c>
      <c r="I1236" s="172">
        <f t="shared" si="59"/>
        <v>240.49473202015577</v>
      </c>
      <c r="J1236" s="162">
        <v>44936</v>
      </c>
      <c r="K1236" s="6" t="s">
        <v>251</v>
      </c>
      <c r="L1236" s="162">
        <v>44936</v>
      </c>
      <c r="M1236" s="175" t="s">
        <v>6437</v>
      </c>
      <c r="N1236" s="6" t="s">
        <v>3345</v>
      </c>
      <c r="O1236" s="6" t="s">
        <v>356</v>
      </c>
      <c r="P1236" s="6" t="str">
        <f t="shared" si="60"/>
        <v>SAFe que</v>
      </c>
      <c r="Q1236" t="str">
        <f t="shared" si="61"/>
        <v>2023</v>
      </c>
    </row>
    <row r="1237" spans="1:17">
      <c r="A1237" s="162">
        <v>44937</v>
      </c>
      <c r="B1237" s="164" t="s">
        <v>3533</v>
      </c>
      <c r="C1237" s="164" t="s">
        <v>297</v>
      </c>
      <c r="D1237" s="164" t="s">
        <v>6</v>
      </c>
      <c r="E1237" s="79">
        <v>44927</v>
      </c>
      <c r="F1237" s="6" t="s">
        <v>16</v>
      </c>
      <c r="G1237" s="6" t="s">
        <v>3535</v>
      </c>
      <c r="H1237" s="170">
        <v>42000</v>
      </c>
      <c r="I1237" s="172">
        <f t="shared" si="59"/>
        <v>480.98946404031153</v>
      </c>
      <c r="J1237" s="162">
        <v>44937</v>
      </c>
      <c r="K1237" s="6" t="s">
        <v>252</v>
      </c>
      <c r="L1237" s="162">
        <v>44937</v>
      </c>
      <c r="M1237" s="175" t="s">
        <v>6438</v>
      </c>
      <c r="O1237" s="6" t="s">
        <v>356</v>
      </c>
      <c r="P1237" s="6" t="str">
        <f t="shared" si="60"/>
        <v>SAFe que</v>
      </c>
      <c r="Q1237" t="str">
        <f t="shared" si="61"/>
        <v>2023</v>
      </c>
    </row>
    <row r="1238" spans="1:17">
      <c r="A1238" s="162">
        <v>44937</v>
      </c>
      <c r="B1238" s="164" t="s">
        <v>3536</v>
      </c>
      <c r="C1238" s="164" t="s">
        <v>303</v>
      </c>
      <c r="D1238" s="164" t="s">
        <v>150</v>
      </c>
      <c r="E1238" s="79">
        <v>44927</v>
      </c>
      <c r="F1238" s="6" t="s">
        <v>16</v>
      </c>
      <c r="G1238" s="6" t="s">
        <v>3477</v>
      </c>
      <c r="H1238" s="170">
        <v>21000</v>
      </c>
      <c r="I1238" s="172">
        <f t="shared" si="59"/>
        <v>240.49473202015577</v>
      </c>
      <c r="J1238" s="162">
        <v>44937</v>
      </c>
      <c r="K1238" s="6" t="s">
        <v>252</v>
      </c>
      <c r="L1238" s="162">
        <v>44937</v>
      </c>
      <c r="M1238" s="175" t="s">
        <v>6439</v>
      </c>
      <c r="O1238" s="6" t="s">
        <v>356</v>
      </c>
      <c r="P1238" s="6" t="str">
        <f t="shared" si="60"/>
        <v>SAFe que</v>
      </c>
      <c r="Q1238" t="str">
        <f t="shared" si="61"/>
        <v>2023</v>
      </c>
    </row>
    <row r="1239" spans="1:17">
      <c r="A1239" s="162">
        <v>44937</v>
      </c>
      <c r="B1239" s="164" t="s">
        <v>3538</v>
      </c>
      <c r="C1239" s="164" t="s">
        <v>278</v>
      </c>
      <c r="D1239" s="164" t="s">
        <v>1524</v>
      </c>
      <c r="E1239" s="79">
        <v>44927</v>
      </c>
      <c r="F1239" s="6" t="s">
        <v>16</v>
      </c>
      <c r="G1239" s="6" t="s">
        <v>3540</v>
      </c>
      <c r="H1239" s="170">
        <v>24000</v>
      </c>
      <c r="I1239" s="172">
        <f t="shared" si="59"/>
        <v>274.85112230874944</v>
      </c>
      <c r="J1239" s="162">
        <v>44937</v>
      </c>
      <c r="K1239" s="6" t="s">
        <v>252</v>
      </c>
      <c r="L1239" s="162">
        <v>44938</v>
      </c>
      <c r="M1239" s="175" t="s">
        <v>6440</v>
      </c>
      <c r="N1239" s="6" t="s">
        <v>3541</v>
      </c>
      <c r="O1239" s="6" t="s">
        <v>356</v>
      </c>
      <c r="P1239" s="6" t="str">
        <f t="shared" si="60"/>
        <v>SAFe que</v>
      </c>
      <c r="Q1239" t="str">
        <f t="shared" si="61"/>
        <v>2023</v>
      </c>
    </row>
    <row r="1240" spans="1:17">
      <c r="A1240" s="162">
        <v>44938</v>
      </c>
      <c r="B1240" s="164" t="s">
        <v>3543</v>
      </c>
      <c r="C1240" s="164" t="s">
        <v>278</v>
      </c>
      <c r="D1240" s="164" t="s">
        <v>1524</v>
      </c>
      <c r="E1240" s="79">
        <v>44927</v>
      </c>
      <c r="F1240" s="6" t="s">
        <v>16</v>
      </c>
      <c r="G1240" s="6" t="s">
        <v>3467</v>
      </c>
      <c r="H1240" s="170">
        <v>24000</v>
      </c>
      <c r="I1240" s="172">
        <f t="shared" si="59"/>
        <v>274.85112230874944</v>
      </c>
      <c r="J1240" s="162">
        <v>44938</v>
      </c>
      <c r="K1240" s="6" t="s">
        <v>252</v>
      </c>
      <c r="L1240" s="162">
        <v>44938</v>
      </c>
      <c r="M1240" s="175" t="s">
        <v>6441</v>
      </c>
      <c r="N1240" s="6" t="s">
        <v>3545</v>
      </c>
      <c r="O1240" s="6" t="s">
        <v>356</v>
      </c>
      <c r="P1240" s="6" t="str">
        <f t="shared" si="60"/>
        <v>SAFe que</v>
      </c>
      <c r="Q1240" t="str">
        <f t="shared" si="61"/>
        <v>2023</v>
      </c>
    </row>
    <row r="1241" spans="1:17">
      <c r="A1241" s="162">
        <v>44939</v>
      </c>
      <c r="B1241" s="164" t="s">
        <v>3546</v>
      </c>
      <c r="C1241" s="164" t="s">
        <v>291</v>
      </c>
      <c r="D1241" s="164" t="s">
        <v>151</v>
      </c>
      <c r="E1241" s="79">
        <v>44927</v>
      </c>
      <c r="F1241" s="6" t="s">
        <v>16</v>
      </c>
      <c r="G1241" s="6" t="s">
        <v>3477</v>
      </c>
      <c r="H1241" s="170">
        <v>21000</v>
      </c>
      <c r="I1241" s="172">
        <f t="shared" si="59"/>
        <v>240.49473202015577</v>
      </c>
      <c r="J1241" s="162">
        <v>44939</v>
      </c>
      <c r="K1241" s="6" t="s">
        <v>252</v>
      </c>
      <c r="L1241" s="162">
        <v>44939</v>
      </c>
      <c r="M1241" s="175" t="s">
        <v>6442</v>
      </c>
      <c r="O1241" s="6" t="s">
        <v>356</v>
      </c>
      <c r="P1241" s="6" t="str">
        <f t="shared" si="60"/>
        <v>SAFe que</v>
      </c>
      <c r="Q1241" t="str">
        <f t="shared" si="61"/>
        <v>2023</v>
      </c>
    </row>
    <row r="1242" spans="1:17">
      <c r="A1242" s="162">
        <v>44939</v>
      </c>
      <c r="B1242" s="164" t="s">
        <v>3548</v>
      </c>
      <c r="C1242" s="164" t="s">
        <v>278</v>
      </c>
      <c r="D1242" s="164" t="s">
        <v>25</v>
      </c>
      <c r="E1242" s="79">
        <v>44927</v>
      </c>
      <c r="F1242" s="6" t="s">
        <v>16</v>
      </c>
      <c r="G1242" s="6" t="s">
        <v>3340</v>
      </c>
      <c r="H1242" s="170">
        <v>42000</v>
      </c>
      <c r="I1242" s="172">
        <f t="shared" si="59"/>
        <v>480.98946404031153</v>
      </c>
      <c r="J1242" s="162">
        <v>44939</v>
      </c>
      <c r="K1242" s="6" t="s">
        <v>252</v>
      </c>
      <c r="L1242" s="162">
        <v>44939</v>
      </c>
      <c r="M1242" s="175" t="s">
        <v>6443</v>
      </c>
      <c r="N1242" s="6" t="s">
        <v>3506</v>
      </c>
      <c r="O1242" s="6" t="s">
        <v>356</v>
      </c>
      <c r="P1242" s="6" t="str">
        <f t="shared" si="60"/>
        <v>SAFe que</v>
      </c>
      <c r="Q1242" t="str">
        <f t="shared" si="61"/>
        <v>2023</v>
      </c>
    </row>
    <row r="1243" spans="1:17">
      <c r="A1243" s="162">
        <v>44939</v>
      </c>
      <c r="B1243" s="164" t="s">
        <v>3550</v>
      </c>
      <c r="C1243" s="164" t="s">
        <v>278</v>
      </c>
      <c r="D1243" s="164" t="s">
        <v>1524</v>
      </c>
      <c r="E1243" s="79">
        <v>44927</v>
      </c>
      <c r="F1243" s="6" t="s">
        <v>16</v>
      </c>
      <c r="G1243" s="6" t="s">
        <v>3540</v>
      </c>
      <c r="H1243" s="170">
        <v>24000</v>
      </c>
      <c r="I1243" s="172">
        <f t="shared" si="59"/>
        <v>274.85112230874944</v>
      </c>
      <c r="J1243" s="162">
        <v>44939</v>
      </c>
      <c r="K1243" s="6" t="s">
        <v>252</v>
      </c>
      <c r="L1243" s="162">
        <v>44942</v>
      </c>
      <c r="M1243" s="175" t="s">
        <v>6444</v>
      </c>
      <c r="N1243" s="6" t="s">
        <v>3398</v>
      </c>
      <c r="O1243" s="6" t="s">
        <v>356</v>
      </c>
      <c r="P1243" s="6" t="str">
        <f t="shared" si="60"/>
        <v>SAFe que</v>
      </c>
      <c r="Q1243" t="str">
        <f t="shared" si="61"/>
        <v>2023</v>
      </c>
    </row>
    <row r="1244" spans="1:17">
      <c r="A1244" s="162">
        <v>44939</v>
      </c>
      <c r="B1244" s="164" t="s">
        <v>3552</v>
      </c>
      <c r="C1244" s="164" t="s">
        <v>291</v>
      </c>
      <c r="D1244" s="164" t="s">
        <v>151</v>
      </c>
      <c r="E1244" s="79">
        <v>44927</v>
      </c>
      <c r="F1244" s="6" t="s">
        <v>16</v>
      </c>
      <c r="G1244" s="6" t="s">
        <v>3477</v>
      </c>
      <c r="H1244" s="170">
        <v>21000</v>
      </c>
      <c r="I1244" s="172">
        <f t="shared" si="59"/>
        <v>240.49473202015577</v>
      </c>
      <c r="J1244" s="162">
        <v>44939</v>
      </c>
      <c r="K1244" s="6" t="s">
        <v>252</v>
      </c>
      <c r="L1244" s="162">
        <v>44939</v>
      </c>
      <c r="M1244" s="175" t="s">
        <v>6445</v>
      </c>
      <c r="O1244" s="6" t="s">
        <v>356</v>
      </c>
      <c r="P1244" s="6" t="str">
        <f t="shared" si="60"/>
        <v>SAFe que</v>
      </c>
      <c r="Q1244" t="str">
        <f t="shared" si="61"/>
        <v>2023</v>
      </c>
    </row>
    <row r="1245" spans="1:17">
      <c r="A1245" s="162">
        <v>44937</v>
      </c>
      <c r="B1245" s="164" t="s">
        <v>3364</v>
      </c>
      <c r="C1245" s="164" t="s">
        <v>278</v>
      </c>
      <c r="D1245" s="164" t="s">
        <v>3554</v>
      </c>
      <c r="E1245" s="79">
        <v>44927</v>
      </c>
      <c r="F1245" s="6" t="s">
        <v>16</v>
      </c>
      <c r="G1245" s="6" t="s">
        <v>480</v>
      </c>
      <c r="H1245" s="170">
        <v>27000</v>
      </c>
      <c r="I1245" s="172">
        <f t="shared" si="59"/>
        <v>309.20751259734311</v>
      </c>
      <c r="J1245" s="162">
        <v>44937</v>
      </c>
      <c r="K1245" s="6" t="s">
        <v>252</v>
      </c>
      <c r="L1245" s="162">
        <v>44937</v>
      </c>
      <c r="M1245" s="175" t="s">
        <v>6446</v>
      </c>
      <c r="O1245" s="6" t="s">
        <v>356</v>
      </c>
      <c r="P1245" s="6" t="str">
        <f t="shared" si="60"/>
        <v>NonCategory</v>
      </c>
      <c r="Q1245" t="str">
        <f t="shared" si="61"/>
        <v>2023</v>
      </c>
    </row>
    <row r="1246" spans="1:17">
      <c r="A1246" s="162">
        <v>44943</v>
      </c>
      <c r="B1246" s="164" t="s">
        <v>3557</v>
      </c>
      <c r="C1246" s="164" t="s">
        <v>470</v>
      </c>
      <c r="D1246" s="164" t="s">
        <v>97</v>
      </c>
      <c r="E1246" s="79">
        <v>44927</v>
      </c>
      <c r="F1246" s="6" t="s">
        <v>16</v>
      </c>
      <c r="G1246" s="6" t="s">
        <v>3340</v>
      </c>
      <c r="H1246" s="170">
        <v>20000</v>
      </c>
      <c r="I1246" s="172">
        <f t="shared" si="59"/>
        <v>229.04260192395787</v>
      </c>
      <c r="J1246" s="162">
        <v>44943</v>
      </c>
      <c r="K1246" s="6" t="s">
        <v>252</v>
      </c>
      <c r="L1246" s="162">
        <v>44943</v>
      </c>
      <c r="M1246" s="175" t="s">
        <v>6447</v>
      </c>
      <c r="O1246" s="6" t="s">
        <v>356</v>
      </c>
      <c r="P1246" s="6" t="str">
        <f t="shared" si="60"/>
        <v>Category</v>
      </c>
      <c r="Q1246" t="str">
        <f t="shared" si="61"/>
        <v>2023</v>
      </c>
    </row>
    <row r="1247" spans="1:17">
      <c r="A1247" s="162">
        <v>44943</v>
      </c>
      <c r="B1247" s="164" t="s">
        <v>3559</v>
      </c>
      <c r="C1247" s="164" t="s">
        <v>319</v>
      </c>
      <c r="D1247" s="164" t="s">
        <v>150</v>
      </c>
      <c r="E1247" s="79">
        <v>44927</v>
      </c>
      <c r="F1247" s="6" t="s">
        <v>16</v>
      </c>
      <c r="G1247" s="6" t="s">
        <v>3340</v>
      </c>
      <c r="H1247" s="170">
        <v>21000</v>
      </c>
      <c r="I1247" s="172">
        <f t="shared" si="59"/>
        <v>240.49473202015577</v>
      </c>
      <c r="J1247" s="162">
        <v>44943</v>
      </c>
      <c r="K1247" s="6" t="s">
        <v>252</v>
      </c>
      <c r="L1247" s="162">
        <v>44943</v>
      </c>
      <c r="M1247" s="175" t="s">
        <v>6448</v>
      </c>
      <c r="O1247" s="6" t="s">
        <v>356</v>
      </c>
      <c r="P1247" s="6" t="str">
        <f t="shared" si="60"/>
        <v>SAFe que</v>
      </c>
      <c r="Q1247" t="str">
        <f t="shared" si="61"/>
        <v>2023</v>
      </c>
    </row>
    <row r="1248" spans="1:17">
      <c r="A1248" s="162">
        <v>44943</v>
      </c>
      <c r="B1248" s="164" t="s">
        <v>3561</v>
      </c>
      <c r="C1248" s="164" t="s">
        <v>306</v>
      </c>
      <c r="D1248" s="164" t="s">
        <v>151</v>
      </c>
      <c r="E1248" s="79">
        <v>44927</v>
      </c>
      <c r="F1248" s="6" t="s">
        <v>16</v>
      </c>
      <c r="G1248" s="6" t="s">
        <v>3340</v>
      </c>
      <c r="H1248" s="170">
        <v>21000</v>
      </c>
      <c r="I1248" s="172">
        <f t="shared" si="59"/>
        <v>240.49473202015577</v>
      </c>
      <c r="J1248" s="162">
        <v>44943</v>
      </c>
      <c r="K1248" s="6" t="s">
        <v>252</v>
      </c>
      <c r="L1248" s="162">
        <v>44943</v>
      </c>
      <c r="M1248" s="175" t="s">
        <v>6449</v>
      </c>
      <c r="O1248" s="6" t="s">
        <v>356</v>
      </c>
      <c r="P1248" s="6" t="str">
        <f t="shared" si="60"/>
        <v>SAFe que</v>
      </c>
      <c r="Q1248" t="str">
        <f t="shared" si="61"/>
        <v>2023</v>
      </c>
    </row>
    <row r="1249" spans="1:17">
      <c r="A1249" s="162">
        <v>44943</v>
      </c>
      <c r="B1249" s="164" t="s">
        <v>3563</v>
      </c>
      <c r="C1249" s="164" t="s">
        <v>306</v>
      </c>
      <c r="D1249" s="164" t="s">
        <v>1524</v>
      </c>
      <c r="E1249" s="79">
        <v>44927</v>
      </c>
      <c r="F1249" s="6" t="s">
        <v>16</v>
      </c>
      <c r="G1249" s="6" t="s">
        <v>3467</v>
      </c>
      <c r="H1249" s="170">
        <v>24000</v>
      </c>
      <c r="I1249" s="172">
        <f t="shared" si="59"/>
        <v>274.85112230874944</v>
      </c>
      <c r="J1249" s="162">
        <v>44943</v>
      </c>
      <c r="K1249" s="6" t="s">
        <v>252</v>
      </c>
      <c r="L1249" s="162">
        <v>44943</v>
      </c>
      <c r="M1249" s="175" t="s">
        <v>6450</v>
      </c>
      <c r="O1249" s="6" t="s">
        <v>356</v>
      </c>
      <c r="P1249" s="6" t="str">
        <f t="shared" si="60"/>
        <v>SAFe que</v>
      </c>
      <c r="Q1249" t="str">
        <f t="shared" si="61"/>
        <v>2023</v>
      </c>
    </row>
    <row r="1250" spans="1:17">
      <c r="A1250" s="162">
        <v>44943</v>
      </c>
      <c r="B1250" s="164" t="s">
        <v>3565</v>
      </c>
      <c r="C1250" s="164" t="s">
        <v>303</v>
      </c>
      <c r="D1250" s="164" t="s">
        <v>6</v>
      </c>
      <c r="E1250" s="79">
        <v>44927</v>
      </c>
      <c r="F1250" s="6" t="s">
        <v>16</v>
      </c>
      <c r="G1250" s="6" t="s">
        <v>3340</v>
      </c>
      <c r="H1250" s="170">
        <v>40061</v>
      </c>
      <c r="I1250" s="172">
        <f t="shared" si="59"/>
        <v>458.7837837837838</v>
      </c>
      <c r="J1250" s="162">
        <v>44943</v>
      </c>
      <c r="K1250" s="6" t="s">
        <v>252</v>
      </c>
      <c r="L1250" s="162">
        <v>44943</v>
      </c>
      <c r="M1250" s="175" t="s">
        <v>6451</v>
      </c>
      <c r="O1250" s="6" t="s">
        <v>356</v>
      </c>
      <c r="P1250" s="6" t="str">
        <f t="shared" si="60"/>
        <v>SAFe que</v>
      </c>
      <c r="Q1250" t="str">
        <f t="shared" si="61"/>
        <v>2023</v>
      </c>
    </row>
    <row r="1251" spans="1:17">
      <c r="A1251" s="162">
        <v>44945</v>
      </c>
      <c r="B1251" s="164" t="s">
        <v>3567</v>
      </c>
      <c r="C1251" s="164" t="s">
        <v>278</v>
      </c>
      <c r="D1251" s="164" t="s">
        <v>25</v>
      </c>
      <c r="E1251" s="79">
        <v>44927</v>
      </c>
      <c r="F1251" s="6" t="s">
        <v>16</v>
      </c>
      <c r="G1251" s="6" t="s">
        <v>3340</v>
      </c>
      <c r="H1251" s="170">
        <v>41000</v>
      </c>
      <c r="I1251" s="172">
        <f t="shared" si="59"/>
        <v>469.53733394411364</v>
      </c>
      <c r="J1251" s="162">
        <v>44945</v>
      </c>
      <c r="K1251" s="6" t="s">
        <v>252</v>
      </c>
      <c r="L1251" s="162">
        <v>44945</v>
      </c>
      <c r="M1251" s="175" t="s">
        <v>6452</v>
      </c>
      <c r="O1251" s="6" t="s">
        <v>356</v>
      </c>
      <c r="P1251" s="6" t="str">
        <f t="shared" si="60"/>
        <v>SAFe que</v>
      </c>
      <c r="Q1251" t="str">
        <f t="shared" si="61"/>
        <v>2023</v>
      </c>
    </row>
    <row r="1252" spans="1:17">
      <c r="A1252" s="162">
        <v>44945</v>
      </c>
      <c r="B1252" s="164" t="s">
        <v>3448</v>
      </c>
      <c r="C1252" s="164" t="s">
        <v>470</v>
      </c>
      <c r="D1252" s="164" t="s">
        <v>976</v>
      </c>
      <c r="E1252" s="79">
        <v>44927</v>
      </c>
      <c r="F1252" s="6" t="s">
        <v>16</v>
      </c>
      <c r="G1252" s="6" t="s">
        <v>21</v>
      </c>
      <c r="H1252" s="170">
        <v>20000</v>
      </c>
      <c r="I1252" s="172">
        <f t="shared" si="59"/>
        <v>229.04260192395787</v>
      </c>
      <c r="J1252" s="162">
        <v>44945</v>
      </c>
      <c r="K1252" s="6" t="s">
        <v>253</v>
      </c>
      <c r="L1252" s="162">
        <v>44951</v>
      </c>
      <c r="M1252" s="175" t="s">
        <v>6453</v>
      </c>
      <c r="O1252" s="6" t="s">
        <v>356</v>
      </c>
      <c r="P1252" s="6" t="str">
        <f t="shared" si="60"/>
        <v>NonCategory</v>
      </c>
      <c r="Q1252" t="str">
        <f t="shared" si="61"/>
        <v>2023</v>
      </c>
    </row>
    <row r="1253" spans="1:17">
      <c r="A1253" s="162">
        <v>44946</v>
      </c>
      <c r="B1253" s="164" t="s">
        <v>3569</v>
      </c>
      <c r="C1253" s="164" t="s">
        <v>278</v>
      </c>
      <c r="D1253" s="164" t="s">
        <v>25</v>
      </c>
      <c r="E1253" s="79">
        <v>44927</v>
      </c>
      <c r="F1253" s="6" t="s">
        <v>16</v>
      </c>
      <c r="G1253" s="6" t="s">
        <v>3535</v>
      </c>
      <c r="H1253" s="170">
        <v>42000</v>
      </c>
      <c r="I1253" s="172">
        <f t="shared" si="59"/>
        <v>480.98946404031153</v>
      </c>
      <c r="J1253" s="162">
        <v>44946</v>
      </c>
      <c r="K1253" s="6" t="s">
        <v>252</v>
      </c>
      <c r="L1253" s="162">
        <v>44946</v>
      </c>
      <c r="M1253" s="175" t="s">
        <v>6454</v>
      </c>
      <c r="O1253" s="6" t="s">
        <v>356</v>
      </c>
      <c r="P1253" s="6" t="str">
        <f t="shared" si="60"/>
        <v>SAFe que</v>
      </c>
      <c r="Q1253" t="str">
        <f t="shared" si="61"/>
        <v>2023</v>
      </c>
    </row>
    <row r="1254" spans="1:17">
      <c r="A1254" s="162">
        <v>44946</v>
      </c>
      <c r="B1254" s="164" t="s">
        <v>3571</v>
      </c>
      <c r="C1254" s="164" t="s">
        <v>319</v>
      </c>
      <c r="D1254" s="164" t="s">
        <v>25</v>
      </c>
      <c r="E1254" s="79">
        <v>44927</v>
      </c>
      <c r="F1254" s="6" t="s">
        <v>16</v>
      </c>
      <c r="G1254" s="6" t="s">
        <v>3535</v>
      </c>
      <c r="H1254" s="170">
        <v>42000</v>
      </c>
      <c r="I1254" s="172">
        <f t="shared" si="59"/>
        <v>480.98946404031153</v>
      </c>
      <c r="J1254" s="162">
        <v>44946</v>
      </c>
      <c r="K1254" s="6" t="s">
        <v>252</v>
      </c>
      <c r="L1254" s="162">
        <v>44946</v>
      </c>
      <c r="M1254" s="175" t="s">
        <v>6455</v>
      </c>
      <c r="O1254" s="6" t="s">
        <v>356</v>
      </c>
      <c r="P1254" s="6" t="str">
        <f t="shared" si="60"/>
        <v>SAFe que</v>
      </c>
      <c r="Q1254" t="str">
        <f t="shared" si="61"/>
        <v>2023</v>
      </c>
    </row>
    <row r="1255" spans="1:17">
      <c r="A1255" s="162">
        <v>44946</v>
      </c>
      <c r="B1255" s="164" t="s">
        <v>3573</v>
      </c>
      <c r="C1255" s="164" t="s">
        <v>303</v>
      </c>
      <c r="D1255" s="164" t="s">
        <v>2288</v>
      </c>
      <c r="E1255" s="79">
        <v>44927</v>
      </c>
      <c r="F1255" s="6" t="s">
        <v>16</v>
      </c>
      <c r="G1255" s="97">
        <v>44954</v>
      </c>
      <c r="H1255" s="170">
        <v>45000</v>
      </c>
      <c r="I1255" s="172">
        <f t="shared" si="59"/>
        <v>515.34585432890515</v>
      </c>
      <c r="J1255" s="162">
        <v>44946</v>
      </c>
      <c r="K1255" s="6" t="s">
        <v>252</v>
      </c>
      <c r="L1255" s="162">
        <v>44946</v>
      </c>
      <c r="M1255" s="175" t="s">
        <v>6456</v>
      </c>
      <c r="O1255" s="6" t="s">
        <v>356</v>
      </c>
      <c r="P1255" s="6" t="str">
        <f t="shared" si="60"/>
        <v>NonCategory</v>
      </c>
      <c r="Q1255" t="str">
        <f t="shared" si="61"/>
        <v>2023</v>
      </c>
    </row>
    <row r="1256" spans="1:17">
      <c r="A1256" s="162">
        <v>44947</v>
      </c>
      <c r="B1256" s="164" t="s">
        <v>3575</v>
      </c>
      <c r="C1256" s="164" t="s">
        <v>303</v>
      </c>
      <c r="D1256" s="164" t="s">
        <v>151</v>
      </c>
      <c r="E1256" s="79">
        <v>44927</v>
      </c>
      <c r="F1256" s="6" t="s">
        <v>16</v>
      </c>
      <c r="G1256" s="6" t="s">
        <v>3491</v>
      </c>
      <c r="H1256" s="170">
        <v>21000</v>
      </c>
      <c r="I1256" s="172">
        <f t="shared" si="59"/>
        <v>240.49473202015577</v>
      </c>
      <c r="J1256" s="162">
        <v>44947</v>
      </c>
      <c r="K1256" s="6" t="s">
        <v>253</v>
      </c>
      <c r="L1256" s="162">
        <v>44947</v>
      </c>
      <c r="M1256" s="175" t="s">
        <v>6457</v>
      </c>
      <c r="O1256" s="6" t="s">
        <v>356</v>
      </c>
      <c r="P1256" s="6" t="str">
        <f t="shared" si="60"/>
        <v>SAFe que</v>
      </c>
      <c r="Q1256" t="str">
        <f t="shared" si="61"/>
        <v>2023</v>
      </c>
    </row>
    <row r="1257" spans="1:17">
      <c r="A1257" s="162">
        <v>44947</v>
      </c>
      <c r="B1257" s="164" t="s">
        <v>3577</v>
      </c>
      <c r="C1257" s="164" t="s">
        <v>303</v>
      </c>
      <c r="D1257" s="164" t="s">
        <v>1524</v>
      </c>
      <c r="E1257" s="79">
        <v>44927</v>
      </c>
      <c r="F1257" s="6" t="s">
        <v>16</v>
      </c>
      <c r="G1257" s="6" t="s">
        <v>3467</v>
      </c>
      <c r="H1257" s="170">
        <v>24000</v>
      </c>
      <c r="I1257" s="172">
        <f t="shared" si="59"/>
        <v>274.85112230874944</v>
      </c>
      <c r="J1257" s="162">
        <v>44947</v>
      </c>
      <c r="K1257" s="6" t="s">
        <v>253</v>
      </c>
      <c r="L1257" s="162">
        <v>44949</v>
      </c>
      <c r="M1257" s="175" t="s">
        <v>6458</v>
      </c>
      <c r="O1257" s="6" t="s">
        <v>356</v>
      </c>
      <c r="P1257" s="6" t="str">
        <f t="shared" si="60"/>
        <v>SAFe que</v>
      </c>
      <c r="Q1257" t="str">
        <f t="shared" si="61"/>
        <v>2023</v>
      </c>
    </row>
    <row r="1258" spans="1:17">
      <c r="A1258" s="162">
        <v>44947</v>
      </c>
      <c r="B1258" s="164" t="s">
        <v>3579</v>
      </c>
      <c r="C1258" s="164" t="s">
        <v>1291</v>
      </c>
      <c r="D1258" s="164" t="s">
        <v>1524</v>
      </c>
      <c r="E1258" s="79">
        <v>44927</v>
      </c>
      <c r="F1258" s="6" t="s">
        <v>16</v>
      </c>
      <c r="G1258" s="6" t="s">
        <v>3467</v>
      </c>
      <c r="H1258" s="170">
        <v>24000</v>
      </c>
      <c r="I1258" s="172">
        <f t="shared" si="59"/>
        <v>274.85112230874944</v>
      </c>
      <c r="J1258" s="162">
        <v>44947</v>
      </c>
      <c r="K1258" s="6" t="s">
        <v>253</v>
      </c>
      <c r="L1258" s="162">
        <v>44949</v>
      </c>
      <c r="M1258" s="175" t="s">
        <v>6459</v>
      </c>
      <c r="O1258" s="6" t="s">
        <v>356</v>
      </c>
      <c r="P1258" s="6" t="str">
        <f t="shared" si="60"/>
        <v>SAFe que</v>
      </c>
      <c r="Q1258" t="str">
        <f t="shared" si="61"/>
        <v>2023</v>
      </c>
    </row>
    <row r="1259" spans="1:17">
      <c r="A1259" s="162">
        <v>44948</v>
      </c>
      <c r="B1259" s="164" t="s">
        <v>3581</v>
      </c>
      <c r="C1259" s="164" t="s">
        <v>278</v>
      </c>
      <c r="D1259" s="164" t="s">
        <v>96</v>
      </c>
      <c r="E1259" s="79">
        <v>44927</v>
      </c>
      <c r="F1259" s="6" t="s">
        <v>16</v>
      </c>
      <c r="G1259" s="6" t="s">
        <v>3583</v>
      </c>
      <c r="H1259" s="170">
        <v>20000</v>
      </c>
      <c r="I1259" s="172">
        <f t="shared" si="59"/>
        <v>229.04260192395787</v>
      </c>
      <c r="J1259" s="162">
        <v>44948</v>
      </c>
      <c r="K1259" s="6" t="s">
        <v>253</v>
      </c>
      <c r="L1259" s="162">
        <v>44948</v>
      </c>
      <c r="M1259" s="175" t="s">
        <v>6460</v>
      </c>
      <c r="N1259" s="6" t="s">
        <v>3584</v>
      </c>
      <c r="O1259" s="6" t="s">
        <v>356</v>
      </c>
      <c r="P1259" s="6" t="str">
        <f t="shared" si="60"/>
        <v>Category</v>
      </c>
      <c r="Q1259" t="str">
        <f t="shared" si="61"/>
        <v>2023</v>
      </c>
    </row>
    <row r="1260" spans="1:17">
      <c r="A1260" s="162">
        <v>44949</v>
      </c>
      <c r="B1260" s="164" t="s">
        <v>3585</v>
      </c>
      <c r="C1260" s="164" t="s">
        <v>470</v>
      </c>
      <c r="D1260" s="164" t="s">
        <v>97</v>
      </c>
      <c r="E1260" s="79">
        <v>44927</v>
      </c>
      <c r="F1260" s="6" t="s">
        <v>16</v>
      </c>
      <c r="G1260" s="6" t="s">
        <v>3467</v>
      </c>
      <c r="H1260" s="170">
        <v>20000</v>
      </c>
      <c r="I1260" s="172">
        <f t="shared" si="59"/>
        <v>229.04260192395787</v>
      </c>
      <c r="J1260" s="162">
        <v>44949</v>
      </c>
      <c r="K1260" s="6" t="s">
        <v>253</v>
      </c>
      <c r="L1260" s="162">
        <v>44949</v>
      </c>
      <c r="M1260" s="175" t="s">
        <v>6461</v>
      </c>
      <c r="O1260" s="6" t="s">
        <v>356</v>
      </c>
      <c r="P1260" s="6" t="str">
        <f t="shared" si="60"/>
        <v>Category</v>
      </c>
      <c r="Q1260" t="str">
        <f t="shared" si="61"/>
        <v>2023</v>
      </c>
    </row>
    <row r="1261" spans="1:17">
      <c r="A1261" s="162">
        <v>44950</v>
      </c>
      <c r="B1261" s="164" t="s">
        <v>3587</v>
      </c>
      <c r="C1261" s="164" t="s">
        <v>303</v>
      </c>
      <c r="D1261" s="164" t="s">
        <v>1524</v>
      </c>
      <c r="E1261" s="79">
        <v>44927</v>
      </c>
      <c r="F1261" s="6" t="s">
        <v>16</v>
      </c>
      <c r="G1261" s="6" t="s">
        <v>3467</v>
      </c>
      <c r="H1261" s="170">
        <v>24000</v>
      </c>
      <c r="I1261" s="172">
        <f t="shared" si="59"/>
        <v>274.85112230874944</v>
      </c>
      <c r="J1261" s="162">
        <v>44950</v>
      </c>
      <c r="K1261" s="6" t="s">
        <v>253</v>
      </c>
      <c r="L1261" s="162">
        <v>44950</v>
      </c>
      <c r="M1261" s="175" t="s">
        <v>6462</v>
      </c>
      <c r="O1261" s="6" t="s">
        <v>356</v>
      </c>
      <c r="P1261" s="6" t="str">
        <f t="shared" si="60"/>
        <v>SAFe que</v>
      </c>
      <c r="Q1261" t="str">
        <f t="shared" si="61"/>
        <v>2023</v>
      </c>
    </row>
    <row r="1262" spans="1:17">
      <c r="A1262" s="162">
        <v>44950</v>
      </c>
      <c r="B1262" s="164" t="s">
        <v>3589</v>
      </c>
      <c r="C1262" s="164" t="s">
        <v>319</v>
      </c>
      <c r="D1262" s="164" t="s">
        <v>1524</v>
      </c>
      <c r="E1262" s="79">
        <v>44927</v>
      </c>
      <c r="F1262" s="6" t="s">
        <v>16</v>
      </c>
      <c r="G1262" s="6" t="s">
        <v>3467</v>
      </c>
      <c r="H1262" s="170">
        <v>24000</v>
      </c>
      <c r="I1262" s="172">
        <f t="shared" si="59"/>
        <v>274.85112230874944</v>
      </c>
      <c r="J1262" s="162">
        <v>44950</v>
      </c>
      <c r="K1262" s="6" t="s">
        <v>253</v>
      </c>
      <c r="L1262" s="162">
        <v>44950</v>
      </c>
      <c r="M1262" s="175" t="s">
        <v>6463</v>
      </c>
      <c r="O1262" s="6" t="s">
        <v>356</v>
      </c>
      <c r="P1262" s="6" t="str">
        <f t="shared" si="60"/>
        <v>SAFe que</v>
      </c>
      <c r="Q1262" t="str">
        <f t="shared" si="61"/>
        <v>2023</v>
      </c>
    </row>
    <row r="1263" spans="1:17">
      <c r="A1263" s="162">
        <v>44950</v>
      </c>
      <c r="B1263" s="164" t="s">
        <v>3591</v>
      </c>
      <c r="C1263" s="164" t="s">
        <v>278</v>
      </c>
      <c r="D1263" s="164" t="s">
        <v>1524</v>
      </c>
      <c r="E1263" s="79">
        <v>44927</v>
      </c>
      <c r="F1263" s="6" t="s">
        <v>16</v>
      </c>
      <c r="G1263" s="6" t="s">
        <v>3467</v>
      </c>
      <c r="H1263" s="170">
        <v>24000</v>
      </c>
      <c r="I1263" s="172">
        <f t="shared" si="59"/>
        <v>274.85112230874944</v>
      </c>
      <c r="J1263" s="162">
        <v>44950</v>
      </c>
      <c r="K1263" s="6" t="s">
        <v>253</v>
      </c>
      <c r="L1263" s="162">
        <v>44950</v>
      </c>
      <c r="M1263" s="175" t="s">
        <v>6464</v>
      </c>
      <c r="N1263" s="6" t="s">
        <v>3593</v>
      </c>
      <c r="O1263" s="6" t="s">
        <v>356</v>
      </c>
      <c r="P1263" s="6" t="str">
        <f t="shared" si="60"/>
        <v>SAFe que</v>
      </c>
      <c r="Q1263" t="str">
        <f t="shared" si="61"/>
        <v>2023</v>
      </c>
    </row>
    <row r="1264" spans="1:17">
      <c r="A1264" s="162">
        <v>44951</v>
      </c>
      <c r="B1264" s="164" t="s">
        <v>3594</v>
      </c>
      <c r="C1264" s="164" t="s">
        <v>278</v>
      </c>
      <c r="D1264" s="164" t="s">
        <v>1524</v>
      </c>
      <c r="E1264" s="79">
        <v>44927</v>
      </c>
      <c r="F1264" s="6" t="s">
        <v>16</v>
      </c>
      <c r="G1264" s="6" t="s">
        <v>3540</v>
      </c>
      <c r="H1264" s="170">
        <v>24000</v>
      </c>
      <c r="I1264" s="172">
        <f t="shared" si="59"/>
        <v>274.85112230874944</v>
      </c>
      <c r="J1264" s="162">
        <v>44951</v>
      </c>
      <c r="K1264" s="6" t="s">
        <v>253</v>
      </c>
      <c r="L1264" s="162">
        <v>44951</v>
      </c>
      <c r="M1264" s="175" t="s">
        <v>6465</v>
      </c>
      <c r="N1264" s="6" t="s">
        <v>3584</v>
      </c>
      <c r="O1264" s="6" t="s">
        <v>356</v>
      </c>
      <c r="P1264" s="6" t="str">
        <f t="shared" si="60"/>
        <v>SAFe que</v>
      </c>
      <c r="Q1264" t="str">
        <f t="shared" si="61"/>
        <v>2023</v>
      </c>
    </row>
    <row r="1265" spans="1:17">
      <c r="A1265" s="162">
        <v>44951</v>
      </c>
      <c r="B1265" s="164" t="s">
        <v>3596</v>
      </c>
      <c r="C1265" s="164" t="s">
        <v>278</v>
      </c>
      <c r="D1265" s="164" t="s">
        <v>151</v>
      </c>
      <c r="E1265" s="79">
        <v>44927</v>
      </c>
      <c r="F1265" s="6" t="s">
        <v>16</v>
      </c>
      <c r="G1265" s="6" t="s">
        <v>3467</v>
      </c>
      <c r="H1265" s="170">
        <v>21000</v>
      </c>
      <c r="I1265" s="172">
        <f t="shared" si="59"/>
        <v>240.49473202015577</v>
      </c>
      <c r="J1265" s="162">
        <v>44951</v>
      </c>
      <c r="K1265" s="6" t="s">
        <v>253</v>
      </c>
      <c r="L1265" s="162">
        <v>44951</v>
      </c>
      <c r="M1265" s="175" t="s">
        <v>6466</v>
      </c>
      <c r="N1265" s="6" t="s">
        <v>3345</v>
      </c>
      <c r="O1265" s="6" t="s">
        <v>356</v>
      </c>
      <c r="P1265" s="6" t="str">
        <f t="shared" si="60"/>
        <v>SAFe que</v>
      </c>
      <c r="Q1265" t="str">
        <f t="shared" si="61"/>
        <v>2023</v>
      </c>
    </row>
    <row r="1266" spans="1:17">
      <c r="A1266" s="162">
        <v>44952</v>
      </c>
      <c r="B1266" s="164" t="s">
        <v>3599</v>
      </c>
      <c r="C1266" s="164" t="s">
        <v>291</v>
      </c>
      <c r="D1266" s="164" t="s">
        <v>151</v>
      </c>
      <c r="E1266" s="79">
        <v>44927</v>
      </c>
      <c r="F1266" s="6" t="s">
        <v>16</v>
      </c>
      <c r="G1266" s="6" t="s">
        <v>3467</v>
      </c>
      <c r="H1266" s="170">
        <v>21000</v>
      </c>
      <c r="I1266" s="172">
        <f t="shared" ref="I1266:I1329" si="62">IFERROR((($H1266/1.18))/74,"")</f>
        <v>240.49473202015577</v>
      </c>
      <c r="J1266" s="162">
        <v>44952</v>
      </c>
      <c r="K1266" s="6" t="s">
        <v>253</v>
      </c>
      <c r="L1266" s="162">
        <v>44952</v>
      </c>
      <c r="M1266" s="175" t="s">
        <v>6467</v>
      </c>
      <c r="O1266" s="6" t="s">
        <v>356</v>
      </c>
      <c r="P1266" s="6" t="str">
        <f t="shared" si="60"/>
        <v>SAFe que</v>
      </c>
      <c r="Q1266" t="str">
        <f t="shared" si="61"/>
        <v>2023</v>
      </c>
    </row>
    <row r="1267" spans="1:17">
      <c r="A1267" s="162">
        <v>44953</v>
      </c>
      <c r="B1267" s="164" t="s">
        <v>3602</v>
      </c>
      <c r="C1267" s="164" t="s">
        <v>287</v>
      </c>
      <c r="D1267" s="164" t="s">
        <v>151</v>
      </c>
      <c r="E1267" s="79">
        <v>44927</v>
      </c>
      <c r="F1267" s="6" t="s">
        <v>16</v>
      </c>
      <c r="G1267" s="6" t="s">
        <v>3467</v>
      </c>
      <c r="H1267" s="170">
        <v>21000</v>
      </c>
      <c r="I1267" s="172">
        <f t="shared" si="62"/>
        <v>240.49473202015577</v>
      </c>
      <c r="J1267" s="162">
        <v>44953</v>
      </c>
      <c r="K1267" s="6" t="s">
        <v>253</v>
      </c>
      <c r="L1267" s="162">
        <v>44953</v>
      </c>
      <c r="M1267" s="175" t="s">
        <v>6468</v>
      </c>
      <c r="O1267" s="6" t="s">
        <v>356</v>
      </c>
      <c r="P1267" s="6" t="str">
        <f t="shared" si="60"/>
        <v>SAFe que</v>
      </c>
      <c r="Q1267" t="str">
        <f t="shared" si="61"/>
        <v>2023</v>
      </c>
    </row>
    <row r="1268" spans="1:17">
      <c r="A1268" s="162">
        <v>44953</v>
      </c>
      <c r="B1268" s="164" t="s">
        <v>3604</v>
      </c>
      <c r="C1268" s="164" t="s">
        <v>303</v>
      </c>
      <c r="D1268" s="164" t="s">
        <v>151</v>
      </c>
      <c r="E1268" s="79">
        <v>44927</v>
      </c>
      <c r="F1268" s="6" t="s">
        <v>16</v>
      </c>
      <c r="G1268" s="6" t="s">
        <v>3491</v>
      </c>
      <c r="H1268" s="170">
        <v>21000</v>
      </c>
      <c r="I1268" s="172">
        <f t="shared" si="62"/>
        <v>240.49473202015577</v>
      </c>
      <c r="J1268" s="162">
        <v>44953</v>
      </c>
      <c r="K1268" s="6" t="s">
        <v>253</v>
      </c>
      <c r="L1268" s="162">
        <v>44953</v>
      </c>
      <c r="M1268" s="175" t="s">
        <v>6469</v>
      </c>
      <c r="O1268" s="6" t="s">
        <v>356</v>
      </c>
      <c r="P1268" s="6" t="str">
        <f t="shared" si="60"/>
        <v>SAFe que</v>
      </c>
      <c r="Q1268" t="str">
        <f t="shared" si="61"/>
        <v>2023</v>
      </c>
    </row>
    <row r="1269" spans="1:17">
      <c r="A1269" s="162">
        <v>44953</v>
      </c>
      <c r="B1269" s="164" t="s">
        <v>3606</v>
      </c>
      <c r="C1269" s="164" t="s">
        <v>278</v>
      </c>
      <c r="D1269" s="164" t="s">
        <v>151</v>
      </c>
      <c r="E1269" s="79">
        <v>44927</v>
      </c>
      <c r="F1269" s="6" t="s">
        <v>16</v>
      </c>
      <c r="G1269" s="6" t="s">
        <v>3491</v>
      </c>
      <c r="H1269" s="170">
        <v>21000</v>
      </c>
      <c r="I1269" s="172">
        <f t="shared" si="62"/>
        <v>240.49473202015577</v>
      </c>
      <c r="J1269" s="162">
        <v>44953</v>
      </c>
      <c r="K1269" s="6" t="s">
        <v>253</v>
      </c>
      <c r="L1269" s="162">
        <v>44953</v>
      </c>
      <c r="M1269" s="175" t="s">
        <v>6470</v>
      </c>
      <c r="N1269" s="6" t="s">
        <v>3608</v>
      </c>
      <c r="O1269" s="6" t="s">
        <v>356</v>
      </c>
      <c r="P1269" s="6" t="str">
        <f t="shared" si="60"/>
        <v>SAFe que</v>
      </c>
      <c r="Q1269" t="str">
        <f t="shared" si="61"/>
        <v>2023</v>
      </c>
    </row>
    <row r="1270" spans="1:17">
      <c r="A1270" s="162">
        <v>44953</v>
      </c>
      <c r="B1270" s="164" t="s">
        <v>3609</v>
      </c>
      <c r="C1270" s="164" t="s">
        <v>287</v>
      </c>
      <c r="D1270" s="164" t="s">
        <v>25</v>
      </c>
      <c r="E1270" s="79">
        <v>44927</v>
      </c>
      <c r="F1270" s="6" t="s">
        <v>16</v>
      </c>
      <c r="G1270" s="6" t="s">
        <v>3535</v>
      </c>
      <c r="H1270" s="170">
        <v>40061</v>
      </c>
      <c r="I1270" s="172">
        <f t="shared" si="62"/>
        <v>458.7837837837838</v>
      </c>
      <c r="J1270" s="162">
        <v>44953</v>
      </c>
      <c r="K1270" s="6" t="s">
        <v>253</v>
      </c>
      <c r="L1270" s="162">
        <v>44953</v>
      </c>
      <c r="M1270" s="175" t="s">
        <v>6471</v>
      </c>
      <c r="O1270" s="6" t="s">
        <v>356</v>
      </c>
      <c r="P1270" s="6" t="str">
        <f t="shared" si="60"/>
        <v>SAFe que</v>
      </c>
      <c r="Q1270" t="str">
        <f t="shared" si="61"/>
        <v>2023</v>
      </c>
    </row>
    <row r="1271" spans="1:17">
      <c r="A1271" s="162">
        <v>44957</v>
      </c>
      <c r="B1271" s="164" t="s">
        <v>3611</v>
      </c>
      <c r="C1271" s="164" t="s">
        <v>278</v>
      </c>
      <c r="D1271" s="164" t="s">
        <v>976</v>
      </c>
      <c r="E1271" s="79">
        <v>44958</v>
      </c>
      <c r="F1271" s="6" t="s">
        <v>16</v>
      </c>
      <c r="G1271" s="97">
        <v>44961</v>
      </c>
      <c r="H1271" s="170">
        <v>21200</v>
      </c>
      <c r="I1271" s="172">
        <f t="shared" si="62"/>
        <v>242.78515803939533</v>
      </c>
      <c r="J1271" s="162">
        <v>44957</v>
      </c>
      <c r="K1271" s="6" t="s">
        <v>251</v>
      </c>
      <c r="L1271" s="162">
        <v>44958</v>
      </c>
      <c r="M1271" s="175" t="s">
        <v>6472</v>
      </c>
      <c r="N1271" s="6" t="s">
        <v>3613</v>
      </c>
      <c r="O1271" s="6" t="s">
        <v>356</v>
      </c>
      <c r="P1271" s="6" t="str">
        <f t="shared" si="60"/>
        <v>NonCategory</v>
      </c>
      <c r="Q1271" t="str">
        <f t="shared" si="61"/>
        <v>2023</v>
      </c>
    </row>
    <row r="1272" spans="1:17">
      <c r="A1272" s="162">
        <v>44957</v>
      </c>
      <c r="B1272" s="164" t="s">
        <v>3614</v>
      </c>
      <c r="C1272" s="164" t="s">
        <v>278</v>
      </c>
      <c r="D1272" s="164" t="s">
        <v>151</v>
      </c>
      <c r="E1272" s="79">
        <v>44927</v>
      </c>
      <c r="F1272" s="6" t="s">
        <v>16</v>
      </c>
      <c r="G1272" s="6" t="s">
        <v>3491</v>
      </c>
      <c r="H1272" s="170">
        <v>21000</v>
      </c>
      <c r="I1272" s="172">
        <f t="shared" si="62"/>
        <v>240.49473202015577</v>
      </c>
      <c r="J1272" s="162">
        <v>44957</v>
      </c>
      <c r="K1272" s="6" t="s">
        <v>253</v>
      </c>
      <c r="L1272" s="162">
        <v>44957</v>
      </c>
      <c r="M1272" s="175" t="s">
        <v>6473</v>
      </c>
      <c r="N1272" s="6" t="s">
        <v>3616</v>
      </c>
      <c r="O1272" s="6" t="s">
        <v>356</v>
      </c>
      <c r="P1272" s="6" t="str">
        <f t="shared" si="60"/>
        <v>SAFe que</v>
      </c>
      <c r="Q1272" t="str">
        <f t="shared" si="61"/>
        <v>2023</v>
      </c>
    </row>
    <row r="1273" spans="1:17">
      <c r="A1273" s="162">
        <v>44957</v>
      </c>
      <c r="B1273" s="164" t="s">
        <v>132</v>
      </c>
      <c r="C1273" s="164" t="s">
        <v>470</v>
      </c>
      <c r="D1273" s="164" t="s">
        <v>73</v>
      </c>
      <c r="E1273" s="79">
        <v>44927</v>
      </c>
      <c r="F1273" s="6" t="s">
        <v>16</v>
      </c>
      <c r="G1273" s="6" t="s">
        <v>3617</v>
      </c>
      <c r="H1273" s="170">
        <v>690000</v>
      </c>
      <c r="I1273" s="172">
        <f t="shared" si="62"/>
        <v>7901.9697663765464</v>
      </c>
      <c r="J1273" s="162">
        <v>44953</v>
      </c>
      <c r="K1273" s="6" t="s">
        <v>253</v>
      </c>
      <c r="L1273" s="162">
        <v>44957</v>
      </c>
      <c r="M1273" s="175" t="s">
        <v>3618</v>
      </c>
      <c r="O1273" s="6" t="s">
        <v>356</v>
      </c>
      <c r="P1273" s="6" t="str">
        <f t="shared" si="60"/>
        <v>SAFe que</v>
      </c>
      <c r="Q1273" t="str">
        <f t="shared" si="61"/>
        <v>2023</v>
      </c>
    </row>
    <row r="1274" spans="1:17">
      <c r="A1274" s="162">
        <v>44957</v>
      </c>
      <c r="B1274" s="164" t="s">
        <v>3619</v>
      </c>
      <c r="C1274" s="164" t="s">
        <v>319</v>
      </c>
      <c r="D1274" s="164" t="s">
        <v>6</v>
      </c>
      <c r="E1274" s="79">
        <v>44927</v>
      </c>
      <c r="F1274" s="6" t="s">
        <v>16</v>
      </c>
      <c r="G1274" s="6" t="s">
        <v>3535</v>
      </c>
      <c r="H1274" s="170">
        <v>40061</v>
      </c>
      <c r="I1274" s="172">
        <f t="shared" si="62"/>
        <v>458.7837837837838</v>
      </c>
      <c r="J1274" s="162">
        <v>44957</v>
      </c>
      <c r="K1274" s="6" t="s">
        <v>253</v>
      </c>
      <c r="L1274" s="162">
        <v>44957</v>
      </c>
      <c r="M1274" s="175" t="s">
        <v>6474</v>
      </c>
      <c r="O1274" s="6" t="s">
        <v>356</v>
      </c>
      <c r="P1274" s="6" t="str">
        <f t="shared" si="60"/>
        <v>SAFe que</v>
      </c>
      <c r="Q1274" t="str">
        <f t="shared" si="61"/>
        <v>2023</v>
      </c>
    </row>
    <row r="1275" spans="1:17">
      <c r="A1275" s="162">
        <v>44958</v>
      </c>
      <c r="B1275" s="164" t="s">
        <v>3621</v>
      </c>
      <c r="C1275" s="164" t="s">
        <v>287</v>
      </c>
      <c r="D1275" s="164" t="s">
        <v>25</v>
      </c>
      <c r="E1275" s="79">
        <v>44958</v>
      </c>
      <c r="F1275" s="6" t="s">
        <v>16</v>
      </c>
      <c r="G1275" s="6" t="s">
        <v>3540</v>
      </c>
      <c r="H1275" s="170">
        <v>42000</v>
      </c>
      <c r="I1275" s="172">
        <f t="shared" si="62"/>
        <v>480.98946404031153</v>
      </c>
      <c r="J1275" s="162">
        <v>44958</v>
      </c>
      <c r="K1275" s="6" t="s">
        <v>251</v>
      </c>
      <c r="L1275" s="162">
        <v>44958</v>
      </c>
      <c r="M1275" s="175" t="s">
        <v>6475</v>
      </c>
      <c r="O1275" s="6" t="s">
        <v>356</v>
      </c>
      <c r="P1275" s="6" t="str">
        <f t="shared" si="60"/>
        <v>SAFe que</v>
      </c>
      <c r="Q1275" t="str">
        <f t="shared" si="61"/>
        <v>2023</v>
      </c>
    </row>
    <row r="1276" spans="1:17">
      <c r="A1276" s="162">
        <v>44958</v>
      </c>
      <c r="B1276" s="164" t="s">
        <v>3623</v>
      </c>
      <c r="C1276" s="164" t="s">
        <v>291</v>
      </c>
      <c r="D1276" s="164" t="s">
        <v>96</v>
      </c>
      <c r="E1276" s="79">
        <v>44958</v>
      </c>
      <c r="F1276" s="6" t="s">
        <v>16</v>
      </c>
      <c r="G1276" s="6" t="s">
        <v>3540</v>
      </c>
      <c r="H1276" s="170">
        <v>20000</v>
      </c>
      <c r="I1276" s="172">
        <f t="shared" si="62"/>
        <v>229.04260192395787</v>
      </c>
      <c r="J1276" s="162">
        <v>44958</v>
      </c>
      <c r="K1276" s="6" t="s">
        <v>251</v>
      </c>
      <c r="L1276" s="162">
        <v>44958</v>
      </c>
      <c r="M1276" s="175" t="s">
        <v>6476</v>
      </c>
      <c r="O1276" s="6" t="s">
        <v>356</v>
      </c>
      <c r="P1276" s="6" t="str">
        <f t="shared" si="60"/>
        <v>Category</v>
      </c>
      <c r="Q1276" t="str">
        <f t="shared" si="61"/>
        <v>2023</v>
      </c>
    </row>
    <row r="1277" spans="1:17">
      <c r="A1277" s="162">
        <v>44959</v>
      </c>
      <c r="B1277" s="164" t="s">
        <v>3555</v>
      </c>
      <c r="C1277" s="164" t="s">
        <v>3500</v>
      </c>
      <c r="D1277" s="164" t="s">
        <v>150</v>
      </c>
      <c r="E1277" s="79">
        <v>44958</v>
      </c>
      <c r="F1277" s="6" t="s">
        <v>16</v>
      </c>
      <c r="G1277" s="6" t="s">
        <v>3535</v>
      </c>
      <c r="H1277" s="170">
        <v>21000</v>
      </c>
      <c r="I1277" s="172">
        <f t="shared" si="62"/>
        <v>240.49473202015577</v>
      </c>
      <c r="J1277" s="162">
        <v>44959</v>
      </c>
      <c r="K1277" s="6" t="s">
        <v>251</v>
      </c>
      <c r="L1277" s="162">
        <v>44959</v>
      </c>
      <c r="M1277" s="175" t="s">
        <v>6477</v>
      </c>
      <c r="O1277" s="6" t="s">
        <v>356</v>
      </c>
      <c r="P1277" s="6" t="str">
        <f t="shared" si="60"/>
        <v>SAFe que</v>
      </c>
      <c r="Q1277" t="str">
        <f t="shared" si="61"/>
        <v>2023</v>
      </c>
    </row>
    <row r="1278" spans="1:17">
      <c r="A1278" s="162">
        <v>44959</v>
      </c>
      <c r="B1278" s="164" t="s">
        <v>3627</v>
      </c>
      <c r="C1278" s="164" t="s">
        <v>319</v>
      </c>
      <c r="D1278" s="164" t="s">
        <v>195</v>
      </c>
      <c r="E1278" s="79">
        <v>44958</v>
      </c>
      <c r="F1278" s="6" t="s">
        <v>16</v>
      </c>
      <c r="G1278" s="6" t="s">
        <v>3629</v>
      </c>
      <c r="H1278" s="170">
        <v>31000</v>
      </c>
      <c r="I1278" s="172">
        <f t="shared" si="62"/>
        <v>355.01603298213467</v>
      </c>
      <c r="J1278" s="162">
        <v>44959</v>
      </c>
      <c r="K1278" s="6" t="s">
        <v>251</v>
      </c>
      <c r="L1278" s="162">
        <v>44959</v>
      </c>
      <c r="M1278" s="175" t="s">
        <v>6478</v>
      </c>
      <c r="O1278" s="6" t="s">
        <v>356</v>
      </c>
      <c r="P1278" s="6" t="str">
        <f t="shared" si="60"/>
        <v>NonCategory</v>
      </c>
      <c r="Q1278" t="str">
        <f t="shared" si="61"/>
        <v>2023</v>
      </c>
    </row>
    <row r="1279" spans="1:17">
      <c r="A1279" s="162">
        <v>44959</v>
      </c>
      <c r="B1279" s="164" t="s">
        <v>3630</v>
      </c>
      <c r="C1279" s="164" t="s">
        <v>306</v>
      </c>
      <c r="D1279" s="164" t="s">
        <v>25</v>
      </c>
      <c r="E1279" s="79">
        <v>44958</v>
      </c>
      <c r="F1279" s="6" t="s">
        <v>16</v>
      </c>
      <c r="G1279" s="6" t="s">
        <v>3535</v>
      </c>
      <c r="H1279" s="170">
        <v>40061</v>
      </c>
      <c r="I1279" s="172">
        <f t="shared" si="62"/>
        <v>458.7837837837838</v>
      </c>
      <c r="J1279" s="162">
        <v>44959</v>
      </c>
      <c r="K1279" s="6" t="s">
        <v>251</v>
      </c>
      <c r="L1279" s="162">
        <v>44959</v>
      </c>
      <c r="M1279" s="175" t="s">
        <v>6479</v>
      </c>
      <c r="O1279" s="6" t="s">
        <v>356</v>
      </c>
      <c r="P1279" s="6" t="str">
        <f t="shared" si="60"/>
        <v>SAFe que</v>
      </c>
      <c r="Q1279" t="str">
        <f t="shared" si="61"/>
        <v>2023</v>
      </c>
    </row>
    <row r="1280" spans="1:17">
      <c r="A1280" s="162">
        <v>44960</v>
      </c>
      <c r="B1280" s="164" t="s">
        <v>3632</v>
      </c>
      <c r="C1280" s="164" t="s">
        <v>306</v>
      </c>
      <c r="D1280" s="164" t="s">
        <v>150</v>
      </c>
      <c r="E1280" s="79">
        <v>44958</v>
      </c>
      <c r="F1280" s="6" t="s">
        <v>16</v>
      </c>
      <c r="G1280" s="6" t="s">
        <v>3491</v>
      </c>
      <c r="H1280" s="170">
        <v>21000</v>
      </c>
      <c r="I1280" s="172">
        <f t="shared" si="62"/>
        <v>240.49473202015577</v>
      </c>
      <c r="J1280" s="162">
        <v>44960</v>
      </c>
      <c r="K1280" s="6" t="s">
        <v>251</v>
      </c>
      <c r="L1280" s="162">
        <v>44960</v>
      </c>
      <c r="M1280" s="175" t="s">
        <v>6480</v>
      </c>
      <c r="O1280" s="6" t="s">
        <v>356</v>
      </c>
      <c r="P1280" s="6" t="str">
        <f t="shared" si="60"/>
        <v>SAFe que</v>
      </c>
      <c r="Q1280" t="str">
        <f t="shared" si="61"/>
        <v>2023</v>
      </c>
    </row>
    <row r="1281" spans="1:17">
      <c r="A1281" s="162">
        <v>44960</v>
      </c>
      <c r="B1281" s="164" t="s">
        <v>3634</v>
      </c>
      <c r="C1281" s="164" t="s">
        <v>319</v>
      </c>
      <c r="D1281" s="164" t="s">
        <v>151</v>
      </c>
      <c r="E1281" s="79">
        <v>44958</v>
      </c>
      <c r="F1281" s="6" t="s">
        <v>16</v>
      </c>
      <c r="G1281" s="6" t="s">
        <v>3535</v>
      </c>
      <c r="H1281" s="170">
        <v>21000</v>
      </c>
      <c r="I1281" s="172">
        <f t="shared" si="62"/>
        <v>240.49473202015577</v>
      </c>
      <c r="J1281" s="162">
        <v>44960</v>
      </c>
      <c r="K1281" s="6" t="s">
        <v>251</v>
      </c>
      <c r="L1281" s="162">
        <v>44960</v>
      </c>
      <c r="M1281" s="175" t="s">
        <v>6481</v>
      </c>
      <c r="O1281" s="6" t="s">
        <v>356</v>
      </c>
      <c r="P1281" s="6" t="str">
        <f t="shared" si="60"/>
        <v>SAFe que</v>
      </c>
      <c r="Q1281" t="str">
        <f t="shared" si="61"/>
        <v>2023</v>
      </c>
    </row>
    <row r="1282" spans="1:17">
      <c r="A1282" s="162">
        <v>44961</v>
      </c>
      <c r="B1282" s="164" t="s">
        <v>3639</v>
      </c>
      <c r="C1282" s="164" t="s">
        <v>278</v>
      </c>
      <c r="D1282" s="164" t="s">
        <v>1524</v>
      </c>
      <c r="E1282" s="79">
        <v>44958</v>
      </c>
      <c r="F1282" s="6" t="s">
        <v>16</v>
      </c>
      <c r="G1282" s="6" t="s">
        <v>3540</v>
      </c>
      <c r="H1282" s="170">
        <v>24000</v>
      </c>
      <c r="I1282" s="172">
        <f t="shared" si="62"/>
        <v>274.85112230874944</v>
      </c>
      <c r="J1282" s="162">
        <v>44961</v>
      </c>
      <c r="K1282" s="6" t="s">
        <v>251</v>
      </c>
      <c r="L1282" s="162">
        <v>44961</v>
      </c>
      <c r="M1282" s="175" t="s">
        <v>6482</v>
      </c>
      <c r="N1282" s="6" t="s">
        <v>3641</v>
      </c>
      <c r="O1282" s="6" t="s">
        <v>356</v>
      </c>
      <c r="P1282" s="6" t="str">
        <f t="shared" ref="P1282:P1345" si="63">IFERROR(_xlfn.IFS($D1282="CSM","Category",$D1282="CSPO","Category", $D1282="PSM","SAFe que",$D1282="PSPO","SAFe que",$D1282="SAFe Agile","SAFe que",$D1282="SAFe SSM","SAFe que",$D1282="SAFe POPM","SAFe que",$D1282="SASM","SAFe que",$D1282="PMI-ACP","Category",$D1282="ICP-ACC","SAFe que",$D1282="PSM 2","SAFe que",$D1282="SAFe RTE","SAFe que",$D1282="Implementing SAFe","SAFe que",$D1282="SAFe for Government","SAFe que",$D1282="PSPO 2","SAFe que",$D1282="",""),"NonCategory")</f>
        <v>SAFe que</v>
      </c>
      <c r="Q1282" t="str">
        <f t="shared" ref="Q1282:Q1345" si="64">TEXT(E1282, "yyyy")</f>
        <v>2023</v>
      </c>
    </row>
    <row r="1283" spans="1:17">
      <c r="A1283" s="162">
        <v>44963</v>
      </c>
      <c r="B1283" s="164" t="s">
        <v>3101</v>
      </c>
      <c r="C1283" s="164" t="s">
        <v>278</v>
      </c>
      <c r="D1283" s="164" t="s">
        <v>25</v>
      </c>
      <c r="E1283" s="79">
        <v>44958</v>
      </c>
      <c r="F1283" s="6" t="s">
        <v>16</v>
      </c>
      <c r="G1283" s="6" t="s">
        <v>3491</v>
      </c>
      <c r="H1283" s="170">
        <v>41000</v>
      </c>
      <c r="I1283" s="172">
        <f t="shared" si="62"/>
        <v>469.53733394411364</v>
      </c>
      <c r="J1283" s="162">
        <v>44963</v>
      </c>
      <c r="K1283" s="6" t="s">
        <v>251</v>
      </c>
      <c r="L1283" s="162">
        <v>44963</v>
      </c>
      <c r="M1283" s="175" t="s">
        <v>6483</v>
      </c>
      <c r="O1283" s="6" t="s">
        <v>356</v>
      </c>
      <c r="P1283" s="6" t="str">
        <f t="shared" si="63"/>
        <v>SAFe que</v>
      </c>
      <c r="Q1283" t="str">
        <f t="shared" si="64"/>
        <v>2023</v>
      </c>
    </row>
    <row r="1284" spans="1:17">
      <c r="A1284" s="162">
        <v>44963</v>
      </c>
      <c r="B1284" s="164" t="s">
        <v>3643</v>
      </c>
      <c r="C1284" s="164" t="s">
        <v>278</v>
      </c>
      <c r="D1284" s="164" t="s">
        <v>96</v>
      </c>
      <c r="E1284" s="79">
        <v>44958</v>
      </c>
      <c r="F1284" s="6" t="s">
        <v>16</v>
      </c>
      <c r="G1284" s="6" t="s">
        <v>3540</v>
      </c>
      <c r="H1284" s="170">
        <v>20000</v>
      </c>
      <c r="I1284" s="172">
        <f t="shared" si="62"/>
        <v>229.04260192395787</v>
      </c>
      <c r="J1284" s="162">
        <v>44963</v>
      </c>
      <c r="K1284" s="6" t="s">
        <v>251</v>
      </c>
      <c r="L1284" s="162">
        <v>44963</v>
      </c>
      <c r="M1284" s="175" t="s">
        <v>6484</v>
      </c>
      <c r="N1284" s="6" t="s">
        <v>3645</v>
      </c>
      <c r="O1284" s="6" t="s">
        <v>356</v>
      </c>
      <c r="P1284" s="6" t="str">
        <f t="shared" si="63"/>
        <v>Category</v>
      </c>
      <c r="Q1284" t="str">
        <f t="shared" si="64"/>
        <v>2023</v>
      </c>
    </row>
    <row r="1285" spans="1:17">
      <c r="A1285" s="162">
        <v>44963</v>
      </c>
      <c r="B1285" s="164" t="s">
        <v>2232</v>
      </c>
      <c r="C1285" s="164" t="s">
        <v>306</v>
      </c>
      <c r="D1285" s="164" t="s">
        <v>25</v>
      </c>
      <c r="E1285" s="79">
        <v>44958</v>
      </c>
      <c r="F1285" s="6" t="s">
        <v>16</v>
      </c>
      <c r="G1285" s="6" t="s">
        <v>3540</v>
      </c>
      <c r="H1285" s="170">
        <v>42000</v>
      </c>
      <c r="I1285" s="172">
        <f t="shared" si="62"/>
        <v>480.98946404031153</v>
      </c>
      <c r="J1285" s="162">
        <v>44963</v>
      </c>
      <c r="K1285" s="6" t="s">
        <v>251</v>
      </c>
      <c r="L1285" s="162">
        <v>44963</v>
      </c>
      <c r="M1285" s="175" t="s">
        <v>6485</v>
      </c>
      <c r="O1285" s="6" t="s">
        <v>356</v>
      </c>
      <c r="P1285" s="6" t="str">
        <f t="shared" si="63"/>
        <v>SAFe que</v>
      </c>
      <c r="Q1285" t="str">
        <f t="shared" si="64"/>
        <v>2023</v>
      </c>
    </row>
    <row r="1286" spans="1:17">
      <c r="A1286" s="162">
        <v>44964</v>
      </c>
      <c r="B1286" s="164" t="s">
        <v>3647</v>
      </c>
      <c r="C1286" s="164" t="s">
        <v>278</v>
      </c>
      <c r="D1286" s="164" t="s">
        <v>1497</v>
      </c>
      <c r="E1286" s="79">
        <v>44958</v>
      </c>
      <c r="F1286" s="6" t="s">
        <v>16</v>
      </c>
      <c r="G1286" s="6" t="s">
        <v>3540</v>
      </c>
      <c r="H1286" s="170">
        <v>24000</v>
      </c>
      <c r="I1286" s="172">
        <f t="shared" si="62"/>
        <v>274.85112230874944</v>
      </c>
      <c r="J1286" s="162">
        <v>44964</v>
      </c>
      <c r="K1286" s="6" t="s">
        <v>251</v>
      </c>
      <c r="L1286" s="162">
        <v>44964</v>
      </c>
      <c r="M1286" s="175" t="s">
        <v>6486</v>
      </c>
      <c r="N1286" s="6" t="s">
        <v>3363</v>
      </c>
      <c r="O1286" s="6" t="s">
        <v>356</v>
      </c>
      <c r="P1286" s="6" t="str">
        <f t="shared" si="63"/>
        <v>SAFe que</v>
      </c>
      <c r="Q1286" t="str">
        <f t="shared" si="64"/>
        <v>2023</v>
      </c>
    </row>
    <row r="1287" spans="1:17">
      <c r="A1287" s="162">
        <v>44964</v>
      </c>
      <c r="B1287" s="164" t="s">
        <v>3649</v>
      </c>
      <c r="C1287" s="164" t="s">
        <v>470</v>
      </c>
      <c r="D1287" s="164" t="s">
        <v>976</v>
      </c>
      <c r="E1287" s="79">
        <v>44958</v>
      </c>
      <c r="F1287" s="6" t="s">
        <v>16</v>
      </c>
      <c r="G1287" s="6" t="s">
        <v>3540</v>
      </c>
      <c r="H1287" s="170">
        <v>21100</v>
      </c>
      <c r="I1287" s="172">
        <f t="shared" si="62"/>
        <v>241.63994502977556</v>
      </c>
      <c r="J1287" s="162">
        <v>44964</v>
      </c>
      <c r="K1287" s="6" t="s">
        <v>251</v>
      </c>
      <c r="L1287" s="162">
        <v>44964</v>
      </c>
      <c r="M1287" s="175" t="s">
        <v>6487</v>
      </c>
      <c r="O1287" s="6" t="s">
        <v>356</v>
      </c>
      <c r="P1287" s="6" t="str">
        <f t="shared" si="63"/>
        <v>NonCategory</v>
      </c>
      <c r="Q1287" t="str">
        <f t="shared" si="64"/>
        <v>2023</v>
      </c>
    </row>
    <row r="1288" spans="1:17">
      <c r="A1288" s="162">
        <v>44964</v>
      </c>
      <c r="B1288" s="164" t="s">
        <v>3651</v>
      </c>
      <c r="C1288" s="164" t="s">
        <v>278</v>
      </c>
      <c r="D1288" s="164" t="s">
        <v>1497</v>
      </c>
      <c r="E1288" s="79">
        <v>44958</v>
      </c>
      <c r="F1288" s="6" t="s">
        <v>16</v>
      </c>
      <c r="G1288" s="6" t="s">
        <v>3540</v>
      </c>
      <c r="H1288" s="170">
        <v>24000</v>
      </c>
      <c r="I1288" s="172">
        <f t="shared" si="62"/>
        <v>274.85112230874944</v>
      </c>
      <c r="J1288" s="162">
        <v>44964</v>
      </c>
      <c r="K1288" s="6" t="s">
        <v>251</v>
      </c>
      <c r="L1288" s="162">
        <v>44965</v>
      </c>
      <c r="M1288" s="175" t="s">
        <v>6488</v>
      </c>
      <c r="N1288" s="6" t="s">
        <v>3653</v>
      </c>
      <c r="O1288" s="6" t="s">
        <v>356</v>
      </c>
      <c r="P1288" s="6" t="str">
        <f t="shared" si="63"/>
        <v>SAFe que</v>
      </c>
      <c r="Q1288" t="str">
        <f t="shared" si="64"/>
        <v>2023</v>
      </c>
    </row>
    <row r="1289" spans="1:17">
      <c r="A1289" s="162">
        <v>44964</v>
      </c>
      <c r="B1289" s="164" t="s">
        <v>3654</v>
      </c>
      <c r="C1289" s="164" t="s">
        <v>278</v>
      </c>
      <c r="D1289" s="164" t="s">
        <v>1497</v>
      </c>
      <c r="E1289" s="79">
        <v>44958</v>
      </c>
      <c r="F1289" s="6" t="s">
        <v>16</v>
      </c>
      <c r="G1289" s="6" t="s">
        <v>3540</v>
      </c>
      <c r="H1289" s="170">
        <v>24000</v>
      </c>
      <c r="I1289" s="172">
        <f t="shared" si="62"/>
        <v>274.85112230874944</v>
      </c>
      <c r="J1289" s="162">
        <v>44964</v>
      </c>
      <c r="K1289" s="6" t="s">
        <v>251</v>
      </c>
      <c r="L1289" s="162">
        <v>44965</v>
      </c>
      <c r="M1289" s="175" t="s">
        <v>6489</v>
      </c>
      <c r="N1289" s="6" t="s">
        <v>3656</v>
      </c>
      <c r="O1289" s="6" t="s">
        <v>356</v>
      </c>
      <c r="P1289" s="6" t="str">
        <f t="shared" si="63"/>
        <v>SAFe que</v>
      </c>
      <c r="Q1289" t="str">
        <f t="shared" si="64"/>
        <v>2023</v>
      </c>
    </row>
    <row r="1290" spans="1:17">
      <c r="A1290" s="162">
        <v>44965</v>
      </c>
      <c r="B1290" s="164" t="s">
        <v>3657</v>
      </c>
      <c r="C1290" s="164" t="s">
        <v>306</v>
      </c>
      <c r="D1290" s="164" t="s">
        <v>25</v>
      </c>
      <c r="E1290" s="79">
        <v>44958</v>
      </c>
      <c r="F1290" s="6" t="s">
        <v>16</v>
      </c>
      <c r="G1290" s="6" t="s">
        <v>3491</v>
      </c>
      <c r="H1290" s="170">
        <v>40061</v>
      </c>
      <c r="I1290" s="172">
        <f t="shared" si="62"/>
        <v>458.7837837837838</v>
      </c>
      <c r="J1290" s="162">
        <v>44965</v>
      </c>
      <c r="K1290" s="6" t="s">
        <v>251</v>
      </c>
      <c r="L1290" s="162">
        <v>44965</v>
      </c>
      <c r="M1290" s="175" t="s">
        <v>6490</v>
      </c>
      <c r="O1290" s="6" t="s">
        <v>356</v>
      </c>
      <c r="P1290" s="6" t="str">
        <f t="shared" si="63"/>
        <v>SAFe que</v>
      </c>
      <c r="Q1290" t="str">
        <f t="shared" si="64"/>
        <v>2023</v>
      </c>
    </row>
    <row r="1291" spans="1:17">
      <c r="A1291" s="162">
        <v>44965</v>
      </c>
      <c r="B1291" s="164" t="s">
        <v>3659</v>
      </c>
      <c r="C1291" s="164" t="s">
        <v>303</v>
      </c>
      <c r="D1291" s="164" t="s">
        <v>25</v>
      </c>
      <c r="E1291" s="79">
        <v>44958</v>
      </c>
      <c r="F1291" s="6" t="s">
        <v>16</v>
      </c>
      <c r="G1291" s="6" t="s">
        <v>3540</v>
      </c>
      <c r="H1291" s="170">
        <v>42000</v>
      </c>
      <c r="I1291" s="172">
        <f t="shared" si="62"/>
        <v>480.98946404031153</v>
      </c>
      <c r="J1291" s="162">
        <v>44965</v>
      </c>
      <c r="K1291" s="6" t="s">
        <v>251</v>
      </c>
      <c r="L1291" s="162">
        <v>44965</v>
      </c>
      <c r="M1291" s="175" t="s">
        <v>6491</v>
      </c>
      <c r="O1291" s="6" t="s">
        <v>356</v>
      </c>
      <c r="P1291" s="6" t="str">
        <f t="shared" si="63"/>
        <v>SAFe que</v>
      </c>
      <c r="Q1291" t="str">
        <f t="shared" si="64"/>
        <v>2023</v>
      </c>
    </row>
    <row r="1292" spans="1:17">
      <c r="A1292" s="162">
        <v>44965</v>
      </c>
      <c r="B1292" s="164" t="s">
        <v>3661</v>
      </c>
      <c r="C1292" s="164" t="s">
        <v>306</v>
      </c>
      <c r="D1292" s="164" t="s">
        <v>1497</v>
      </c>
      <c r="E1292" s="79">
        <v>44958</v>
      </c>
      <c r="F1292" s="6" t="s">
        <v>16</v>
      </c>
      <c r="G1292" s="6" t="s">
        <v>3663</v>
      </c>
      <c r="H1292" s="170">
        <v>24000</v>
      </c>
      <c r="I1292" s="172">
        <f t="shared" si="62"/>
        <v>274.85112230874944</v>
      </c>
      <c r="J1292" s="162">
        <v>44965</v>
      </c>
      <c r="K1292" s="6" t="s">
        <v>251</v>
      </c>
      <c r="L1292" s="162">
        <v>44965</v>
      </c>
      <c r="M1292" s="175" t="s">
        <v>6492</v>
      </c>
      <c r="O1292" s="6" t="s">
        <v>356</v>
      </c>
      <c r="P1292" s="6" t="str">
        <f t="shared" si="63"/>
        <v>SAFe que</v>
      </c>
      <c r="Q1292" t="str">
        <f t="shared" si="64"/>
        <v>2023</v>
      </c>
    </row>
    <row r="1293" spans="1:17">
      <c r="A1293" s="162">
        <v>44965</v>
      </c>
      <c r="B1293" s="164" t="s">
        <v>3664</v>
      </c>
      <c r="C1293" s="164" t="s">
        <v>319</v>
      </c>
      <c r="D1293" s="164" t="s">
        <v>1524</v>
      </c>
      <c r="E1293" s="79">
        <v>44958</v>
      </c>
      <c r="F1293" s="6" t="s">
        <v>16</v>
      </c>
      <c r="G1293" s="6" t="s">
        <v>3540</v>
      </c>
      <c r="H1293" s="170">
        <v>24000</v>
      </c>
      <c r="I1293" s="172">
        <f t="shared" si="62"/>
        <v>274.85112230874944</v>
      </c>
      <c r="J1293" s="162">
        <v>44965</v>
      </c>
      <c r="K1293" s="6" t="s">
        <v>251</v>
      </c>
      <c r="L1293" s="162">
        <v>44965</v>
      </c>
      <c r="M1293" s="175" t="s">
        <v>6493</v>
      </c>
      <c r="O1293" s="6" t="s">
        <v>356</v>
      </c>
      <c r="P1293" s="6" t="str">
        <f t="shared" si="63"/>
        <v>SAFe que</v>
      </c>
      <c r="Q1293" t="str">
        <f t="shared" si="64"/>
        <v>2023</v>
      </c>
    </row>
    <row r="1294" spans="1:17">
      <c r="A1294" s="162">
        <v>44966</v>
      </c>
      <c r="B1294" s="164" t="s">
        <v>3666</v>
      </c>
      <c r="C1294" s="164" t="s">
        <v>278</v>
      </c>
      <c r="D1294" s="164" t="s">
        <v>96</v>
      </c>
      <c r="E1294" s="79">
        <v>44958</v>
      </c>
      <c r="F1294" s="6" t="s">
        <v>16</v>
      </c>
      <c r="G1294" s="6" t="s">
        <v>3540</v>
      </c>
      <c r="H1294" s="170">
        <v>20000</v>
      </c>
      <c r="I1294" s="172">
        <f t="shared" si="62"/>
        <v>229.04260192395787</v>
      </c>
      <c r="J1294" s="162">
        <v>44966</v>
      </c>
      <c r="K1294" s="6" t="s">
        <v>251</v>
      </c>
      <c r="L1294" s="162">
        <v>44966</v>
      </c>
      <c r="M1294" s="175" t="s">
        <v>6494</v>
      </c>
      <c r="N1294" s="6" t="s">
        <v>3668</v>
      </c>
      <c r="O1294" s="6" t="s">
        <v>356</v>
      </c>
      <c r="P1294" s="6" t="str">
        <f t="shared" si="63"/>
        <v>Category</v>
      </c>
      <c r="Q1294" t="str">
        <f t="shared" si="64"/>
        <v>2023</v>
      </c>
    </row>
    <row r="1295" spans="1:17">
      <c r="A1295" s="162">
        <v>44966</v>
      </c>
      <c r="B1295" s="164" t="s">
        <v>3671</v>
      </c>
      <c r="C1295" s="164" t="s">
        <v>278</v>
      </c>
      <c r="D1295" s="164" t="s">
        <v>25</v>
      </c>
      <c r="E1295" s="79">
        <v>44958</v>
      </c>
      <c r="F1295" s="6" t="s">
        <v>16</v>
      </c>
      <c r="G1295" s="6" t="s">
        <v>3491</v>
      </c>
      <c r="H1295" s="170">
        <v>40061</v>
      </c>
      <c r="I1295" s="172">
        <f t="shared" si="62"/>
        <v>458.7837837837838</v>
      </c>
      <c r="J1295" s="162">
        <v>44966</v>
      </c>
      <c r="K1295" s="6" t="s">
        <v>251</v>
      </c>
      <c r="L1295" s="162">
        <v>44966</v>
      </c>
      <c r="M1295" s="175" t="s">
        <v>6495</v>
      </c>
      <c r="N1295" s="6" t="s">
        <v>3673</v>
      </c>
      <c r="O1295" s="6" t="s">
        <v>356</v>
      </c>
      <c r="P1295" s="6" t="str">
        <f t="shared" si="63"/>
        <v>SAFe que</v>
      </c>
      <c r="Q1295" t="str">
        <f t="shared" si="64"/>
        <v>2023</v>
      </c>
    </row>
    <row r="1296" spans="1:17">
      <c r="A1296" s="162">
        <v>44966</v>
      </c>
      <c r="B1296" s="164" t="s">
        <v>3674</v>
      </c>
      <c r="C1296" s="164" t="s">
        <v>278</v>
      </c>
      <c r="D1296" s="164" t="s">
        <v>1524</v>
      </c>
      <c r="E1296" s="79">
        <v>44958</v>
      </c>
      <c r="F1296" s="6" t="s">
        <v>16</v>
      </c>
      <c r="G1296" s="6" t="s">
        <v>3540</v>
      </c>
      <c r="H1296" s="170">
        <v>24000</v>
      </c>
      <c r="I1296" s="172">
        <f t="shared" si="62"/>
        <v>274.85112230874944</v>
      </c>
      <c r="J1296" s="162">
        <v>44966</v>
      </c>
      <c r="K1296" s="6" t="s">
        <v>251</v>
      </c>
      <c r="L1296" s="162">
        <v>44966</v>
      </c>
      <c r="M1296" s="175" t="s">
        <v>6496</v>
      </c>
      <c r="N1296" s="6" t="s">
        <v>3676</v>
      </c>
      <c r="O1296" s="6" t="s">
        <v>356</v>
      </c>
      <c r="P1296" s="6" t="str">
        <f t="shared" si="63"/>
        <v>SAFe que</v>
      </c>
      <c r="Q1296" t="str">
        <f t="shared" si="64"/>
        <v>2023</v>
      </c>
    </row>
    <row r="1297" spans="1:17">
      <c r="A1297" s="162">
        <v>44966</v>
      </c>
      <c r="B1297" s="164" t="s">
        <v>3677</v>
      </c>
      <c r="C1297" s="164" t="s">
        <v>278</v>
      </c>
      <c r="D1297" s="164" t="s">
        <v>151</v>
      </c>
      <c r="E1297" s="79">
        <v>44958</v>
      </c>
      <c r="F1297" s="6" t="s">
        <v>16</v>
      </c>
      <c r="G1297" s="6" t="s">
        <v>3491</v>
      </c>
      <c r="H1297" s="170">
        <v>21000</v>
      </c>
      <c r="I1297" s="172">
        <f t="shared" si="62"/>
        <v>240.49473202015577</v>
      </c>
      <c r="J1297" s="162">
        <v>44966</v>
      </c>
      <c r="K1297" s="6" t="s">
        <v>251</v>
      </c>
      <c r="L1297" s="162">
        <v>44966</v>
      </c>
      <c r="M1297" s="175" t="s">
        <v>6497</v>
      </c>
      <c r="N1297" s="6" t="s">
        <v>3345</v>
      </c>
      <c r="O1297" s="6" t="s">
        <v>356</v>
      </c>
      <c r="P1297" s="6" t="str">
        <f t="shared" si="63"/>
        <v>SAFe que</v>
      </c>
      <c r="Q1297" t="str">
        <f t="shared" si="64"/>
        <v>2023</v>
      </c>
    </row>
    <row r="1298" spans="1:17">
      <c r="A1298" s="163">
        <v>44966</v>
      </c>
      <c r="B1298" s="165" t="s">
        <v>3677</v>
      </c>
      <c r="C1298" s="165" t="s">
        <v>278</v>
      </c>
      <c r="D1298" s="165" t="s">
        <v>151</v>
      </c>
      <c r="E1298" s="123">
        <v>44958</v>
      </c>
      <c r="F1298" s="2" t="s">
        <v>16</v>
      </c>
      <c r="G1298" s="2" t="s">
        <v>3491</v>
      </c>
      <c r="H1298" s="171">
        <v>21000</v>
      </c>
      <c r="I1298" s="173">
        <f t="shared" si="62"/>
        <v>240.49473202015577</v>
      </c>
      <c r="J1298" s="163">
        <v>44966</v>
      </c>
      <c r="K1298" s="2" t="s">
        <v>251</v>
      </c>
      <c r="L1298" s="163">
        <v>44966</v>
      </c>
      <c r="M1298" s="175" t="s">
        <v>6497</v>
      </c>
      <c r="N1298" s="2" t="s">
        <v>3345</v>
      </c>
      <c r="O1298" s="2" t="s">
        <v>356</v>
      </c>
      <c r="P1298" s="6" t="str">
        <f t="shared" si="63"/>
        <v>SAFe que</v>
      </c>
      <c r="Q1298" t="str">
        <f t="shared" si="64"/>
        <v>2023</v>
      </c>
    </row>
    <row r="1299" spans="1:17">
      <c r="A1299" s="163">
        <v>44967</v>
      </c>
      <c r="B1299" s="165" t="s">
        <v>2994</v>
      </c>
      <c r="C1299" s="165" t="s">
        <v>470</v>
      </c>
      <c r="D1299" s="165" t="s">
        <v>1524</v>
      </c>
      <c r="E1299" s="123">
        <v>44958</v>
      </c>
      <c r="F1299" s="2" t="s">
        <v>16</v>
      </c>
      <c r="G1299" s="2" t="s">
        <v>3679</v>
      </c>
      <c r="H1299" s="171">
        <v>24000</v>
      </c>
      <c r="I1299" s="173">
        <f t="shared" si="62"/>
        <v>274.85112230874944</v>
      </c>
      <c r="J1299" s="163">
        <v>44967</v>
      </c>
      <c r="K1299" s="2" t="s">
        <v>252</v>
      </c>
      <c r="L1299" s="163">
        <v>44968</v>
      </c>
      <c r="M1299" s="175" t="s">
        <v>6498</v>
      </c>
      <c r="N1299" s="2"/>
      <c r="O1299" s="2" t="s">
        <v>356</v>
      </c>
      <c r="P1299" s="6" t="str">
        <f t="shared" si="63"/>
        <v>SAFe que</v>
      </c>
      <c r="Q1299" t="str">
        <f t="shared" si="64"/>
        <v>2023</v>
      </c>
    </row>
    <row r="1300" spans="1:17">
      <c r="A1300" s="163">
        <v>44968</v>
      </c>
      <c r="B1300" s="165" t="s">
        <v>3341</v>
      </c>
      <c r="C1300" s="165" t="s">
        <v>470</v>
      </c>
      <c r="D1300" s="165" t="s">
        <v>1524</v>
      </c>
      <c r="E1300" s="123">
        <v>44958</v>
      </c>
      <c r="F1300" s="2" t="s">
        <v>16</v>
      </c>
      <c r="G1300" s="2" t="s">
        <v>3679</v>
      </c>
      <c r="H1300" s="171">
        <v>24000</v>
      </c>
      <c r="I1300" s="173">
        <f t="shared" si="62"/>
        <v>274.85112230874944</v>
      </c>
      <c r="J1300" s="163">
        <v>44968</v>
      </c>
      <c r="K1300" s="2" t="s">
        <v>252</v>
      </c>
      <c r="L1300" s="163">
        <v>44968</v>
      </c>
      <c r="M1300" s="175" t="s">
        <v>6499</v>
      </c>
      <c r="N1300" s="2"/>
      <c r="O1300" s="2" t="s">
        <v>356</v>
      </c>
      <c r="P1300" s="6" t="str">
        <f t="shared" si="63"/>
        <v>SAFe que</v>
      </c>
      <c r="Q1300" t="str">
        <f t="shared" si="64"/>
        <v>2023</v>
      </c>
    </row>
    <row r="1301" spans="1:17">
      <c r="A1301" s="163">
        <v>44970</v>
      </c>
      <c r="B1301" s="165" t="s">
        <v>3680</v>
      </c>
      <c r="C1301" s="165" t="s">
        <v>291</v>
      </c>
      <c r="D1301" s="165" t="s">
        <v>151</v>
      </c>
      <c r="E1301" s="123">
        <v>44958</v>
      </c>
      <c r="F1301" s="2" t="s">
        <v>16</v>
      </c>
      <c r="G1301" s="2" t="s">
        <v>3491</v>
      </c>
      <c r="H1301" s="171">
        <v>21000</v>
      </c>
      <c r="I1301" s="173">
        <f t="shared" si="62"/>
        <v>240.49473202015577</v>
      </c>
      <c r="J1301" s="163">
        <v>44970</v>
      </c>
      <c r="K1301" s="2" t="s">
        <v>252</v>
      </c>
      <c r="L1301" s="163">
        <v>44970</v>
      </c>
      <c r="M1301" s="175" t="s">
        <v>6500</v>
      </c>
      <c r="N1301" s="2"/>
      <c r="O1301" s="2" t="s">
        <v>356</v>
      </c>
      <c r="P1301" s="6" t="str">
        <f t="shared" si="63"/>
        <v>SAFe que</v>
      </c>
      <c r="Q1301" t="str">
        <f t="shared" si="64"/>
        <v>2023</v>
      </c>
    </row>
    <row r="1302" spans="1:17">
      <c r="A1302" s="163">
        <v>44970</v>
      </c>
      <c r="B1302" s="165" t="s">
        <v>3682</v>
      </c>
      <c r="C1302" s="165" t="s">
        <v>319</v>
      </c>
      <c r="D1302" s="165" t="s">
        <v>150</v>
      </c>
      <c r="E1302" s="123">
        <v>44958</v>
      </c>
      <c r="F1302" s="2" t="s">
        <v>16</v>
      </c>
      <c r="G1302" s="2" t="s">
        <v>3491</v>
      </c>
      <c r="H1302" s="171">
        <v>21000</v>
      </c>
      <c r="I1302" s="173">
        <f t="shared" si="62"/>
        <v>240.49473202015577</v>
      </c>
      <c r="J1302" s="163">
        <v>44970</v>
      </c>
      <c r="K1302" s="2" t="s">
        <v>252</v>
      </c>
      <c r="L1302" s="163">
        <v>44970</v>
      </c>
      <c r="M1302" s="175" t="s">
        <v>6501</v>
      </c>
      <c r="N1302" s="2"/>
      <c r="O1302" s="2" t="s">
        <v>356</v>
      </c>
      <c r="P1302" s="6" t="str">
        <f t="shared" si="63"/>
        <v>SAFe que</v>
      </c>
      <c r="Q1302" t="str">
        <f t="shared" si="64"/>
        <v>2023</v>
      </c>
    </row>
    <row r="1303" spans="1:17">
      <c r="A1303" s="163">
        <v>44970</v>
      </c>
      <c r="B1303" s="165" t="s">
        <v>3684</v>
      </c>
      <c r="C1303" s="165" t="s">
        <v>287</v>
      </c>
      <c r="D1303" s="165" t="s">
        <v>1524</v>
      </c>
      <c r="E1303" s="123">
        <v>44958</v>
      </c>
      <c r="F1303" s="2" t="s">
        <v>16</v>
      </c>
      <c r="G1303" s="2" t="s">
        <v>3679</v>
      </c>
      <c r="H1303" s="171">
        <v>24000</v>
      </c>
      <c r="I1303" s="173">
        <f t="shared" si="62"/>
        <v>274.85112230874944</v>
      </c>
      <c r="J1303" s="163">
        <v>44970</v>
      </c>
      <c r="K1303" s="2" t="s">
        <v>252</v>
      </c>
      <c r="L1303" s="163">
        <v>44970</v>
      </c>
      <c r="M1303" s="175" t="s">
        <v>6502</v>
      </c>
      <c r="N1303" s="2"/>
      <c r="O1303" s="2" t="s">
        <v>356</v>
      </c>
      <c r="P1303" s="6" t="str">
        <f t="shared" si="63"/>
        <v>SAFe que</v>
      </c>
      <c r="Q1303" t="str">
        <f t="shared" si="64"/>
        <v>2023</v>
      </c>
    </row>
    <row r="1304" spans="1:17">
      <c r="A1304" s="163">
        <v>44971</v>
      </c>
      <c r="B1304" s="165" t="s">
        <v>3686</v>
      </c>
      <c r="C1304" s="165" t="s">
        <v>278</v>
      </c>
      <c r="D1304" s="165" t="s">
        <v>1524</v>
      </c>
      <c r="E1304" s="123">
        <v>44958</v>
      </c>
      <c r="F1304" s="2" t="s">
        <v>16</v>
      </c>
      <c r="G1304" s="2" t="s">
        <v>3679</v>
      </c>
      <c r="H1304" s="171">
        <v>24000</v>
      </c>
      <c r="I1304" s="173">
        <f t="shared" si="62"/>
        <v>274.85112230874944</v>
      </c>
      <c r="J1304" s="163">
        <v>44971</v>
      </c>
      <c r="K1304" s="2" t="s">
        <v>252</v>
      </c>
      <c r="L1304" s="163">
        <v>44971</v>
      </c>
      <c r="M1304" s="175" t="s">
        <v>6503</v>
      </c>
      <c r="N1304" s="2" t="s">
        <v>3688</v>
      </c>
      <c r="O1304" s="2" t="s">
        <v>356</v>
      </c>
      <c r="P1304" s="6" t="str">
        <f t="shared" si="63"/>
        <v>SAFe que</v>
      </c>
      <c r="Q1304" t="str">
        <f t="shared" si="64"/>
        <v>2023</v>
      </c>
    </row>
    <row r="1305" spans="1:17">
      <c r="A1305" s="163">
        <v>44971</v>
      </c>
      <c r="B1305" s="165" t="s">
        <v>3689</v>
      </c>
      <c r="C1305" s="165" t="s">
        <v>306</v>
      </c>
      <c r="D1305" s="165" t="s">
        <v>25</v>
      </c>
      <c r="E1305" s="123">
        <v>44958</v>
      </c>
      <c r="F1305" s="2" t="s">
        <v>16</v>
      </c>
      <c r="G1305" s="2" t="s">
        <v>3679</v>
      </c>
      <c r="H1305" s="171">
        <v>42000</v>
      </c>
      <c r="I1305" s="173">
        <f t="shared" si="62"/>
        <v>480.98946404031153</v>
      </c>
      <c r="J1305" s="163">
        <v>44971</v>
      </c>
      <c r="K1305" s="2" t="s">
        <v>252</v>
      </c>
      <c r="L1305" s="163">
        <v>44971</v>
      </c>
      <c r="M1305" s="175" t="s">
        <v>6504</v>
      </c>
      <c r="N1305" s="2"/>
      <c r="O1305" s="2" t="s">
        <v>356</v>
      </c>
      <c r="P1305" s="6" t="str">
        <f t="shared" si="63"/>
        <v>SAFe que</v>
      </c>
      <c r="Q1305" t="str">
        <f t="shared" si="64"/>
        <v>2023</v>
      </c>
    </row>
    <row r="1306" spans="1:17">
      <c r="A1306" s="163">
        <v>44971</v>
      </c>
      <c r="B1306" s="165" t="s">
        <v>3691</v>
      </c>
      <c r="C1306" s="165" t="s">
        <v>303</v>
      </c>
      <c r="D1306" s="165" t="s">
        <v>25</v>
      </c>
      <c r="E1306" s="123">
        <v>44958</v>
      </c>
      <c r="F1306" s="2" t="s">
        <v>16</v>
      </c>
      <c r="G1306" s="2" t="s">
        <v>3679</v>
      </c>
      <c r="H1306" s="171">
        <v>40061</v>
      </c>
      <c r="I1306" s="173">
        <f t="shared" si="62"/>
        <v>458.7837837837838</v>
      </c>
      <c r="J1306" s="163">
        <v>44971</v>
      </c>
      <c r="K1306" s="2" t="s">
        <v>252</v>
      </c>
      <c r="L1306" s="163">
        <v>44971</v>
      </c>
      <c r="M1306" s="175" t="s">
        <v>6505</v>
      </c>
      <c r="N1306" s="2"/>
      <c r="O1306" s="2" t="s">
        <v>356</v>
      </c>
      <c r="P1306" s="6" t="str">
        <f t="shared" si="63"/>
        <v>SAFe que</v>
      </c>
      <c r="Q1306" t="str">
        <f t="shared" si="64"/>
        <v>2023</v>
      </c>
    </row>
    <row r="1307" spans="1:17">
      <c r="A1307" s="163">
        <v>44973</v>
      </c>
      <c r="B1307" s="165" t="s">
        <v>709</v>
      </c>
      <c r="C1307" s="165" t="s">
        <v>278</v>
      </c>
      <c r="D1307" s="165" t="s">
        <v>96</v>
      </c>
      <c r="E1307" s="123">
        <v>44958</v>
      </c>
      <c r="F1307" s="2" t="s">
        <v>16</v>
      </c>
      <c r="G1307" s="2" t="s">
        <v>3679</v>
      </c>
      <c r="H1307" s="171">
        <v>20000</v>
      </c>
      <c r="I1307" s="173">
        <f t="shared" si="62"/>
        <v>229.04260192395787</v>
      </c>
      <c r="J1307" s="163">
        <v>44973</v>
      </c>
      <c r="K1307" s="2" t="s">
        <v>252</v>
      </c>
      <c r="L1307" s="163">
        <v>44973</v>
      </c>
      <c r="M1307" s="175" t="s">
        <v>6506</v>
      </c>
      <c r="N1307" s="2" t="s">
        <v>3694</v>
      </c>
      <c r="O1307" s="2" t="s">
        <v>356</v>
      </c>
      <c r="P1307" s="6" t="str">
        <f t="shared" si="63"/>
        <v>Category</v>
      </c>
      <c r="Q1307" t="str">
        <f t="shared" si="64"/>
        <v>2023</v>
      </c>
    </row>
    <row r="1308" spans="1:17">
      <c r="A1308" s="163">
        <v>44973</v>
      </c>
      <c r="B1308" s="165" t="s">
        <v>3695</v>
      </c>
      <c r="C1308" s="165" t="s">
        <v>343</v>
      </c>
      <c r="D1308" s="165" t="s">
        <v>25</v>
      </c>
      <c r="E1308" s="123">
        <v>44958</v>
      </c>
      <c r="F1308" s="2" t="s">
        <v>16</v>
      </c>
      <c r="G1308" s="2" t="s">
        <v>3697</v>
      </c>
      <c r="H1308" s="171">
        <v>40061</v>
      </c>
      <c r="I1308" s="173">
        <f t="shared" si="62"/>
        <v>458.7837837837838</v>
      </c>
      <c r="J1308" s="163">
        <v>44973</v>
      </c>
      <c r="K1308" s="2" t="s">
        <v>252</v>
      </c>
      <c r="L1308" s="163">
        <v>44973</v>
      </c>
      <c r="M1308" s="175" t="s">
        <v>6507</v>
      </c>
      <c r="N1308" s="2"/>
      <c r="O1308" s="2" t="s">
        <v>356</v>
      </c>
      <c r="P1308" s="6" t="str">
        <f t="shared" si="63"/>
        <v>SAFe que</v>
      </c>
      <c r="Q1308" t="str">
        <f t="shared" si="64"/>
        <v>2023</v>
      </c>
    </row>
    <row r="1309" spans="1:17">
      <c r="A1309" s="163">
        <v>44973</v>
      </c>
      <c r="B1309" s="165" t="s">
        <v>3698</v>
      </c>
      <c r="C1309" s="165" t="s">
        <v>303</v>
      </c>
      <c r="D1309" s="165" t="s">
        <v>150</v>
      </c>
      <c r="E1309" s="123">
        <v>44958</v>
      </c>
      <c r="F1309" s="2" t="s">
        <v>16</v>
      </c>
      <c r="G1309" s="2" t="s">
        <v>3491</v>
      </c>
      <c r="H1309" s="171">
        <v>21000</v>
      </c>
      <c r="I1309" s="173">
        <f t="shared" si="62"/>
        <v>240.49473202015577</v>
      </c>
      <c r="J1309" s="163">
        <v>44973</v>
      </c>
      <c r="K1309" s="2" t="s">
        <v>252</v>
      </c>
      <c r="L1309" s="163">
        <v>44973</v>
      </c>
      <c r="M1309" s="175" t="s">
        <v>6508</v>
      </c>
      <c r="N1309" s="2"/>
      <c r="O1309" s="2" t="s">
        <v>356</v>
      </c>
      <c r="P1309" s="6" t="str">
        <f t="shared" si="63"/>
        <v>SAFe que</v>
      </c>
      <c r="Q1309" t="str">
        <f t="shared" si="64"/>
        <v>2023</v>
      </c>
    </row>
    <row r="1310" spans="1:17">
      <c r="A1310" s="163">
        <v>44973</v>
      </c>
      <c r="B1310" s="165" t="s">
        <v>3700</v>
      </c>
      <c r="C1310" s="165" t="s">
        <v>278</v>
      </c>
      <c r="D1310" s="165" t="s">
        <v>97</v>
      </c>
      <c r="E1310" s="123">
        <v>44958</v>
      </c>
      <c r="F1310" s="2" t="s">
        <v>16</v>
      </c>
      <c r="G1310" s="2" t="s">
        <v>3697</v>
      </c>
      <c r="H1310" s="171">
        <v>20000</v>
      </c>
      <c r="I1310" s="173">
        <f t="shared" si="62"/>
        <v>229.04260192395787</v>
      </c>
      <c r="J1310" s="163">
        <v>44973</v>
      </c>
      <c r="K1310" s="2" t="s">
        <v>252</v>
      </c>
      <c r="L1310" s="163">
        <v>44973</v>
      </c>
      <c r="M1310" s="175" t="s">
        <v>6509</v>
      </c>
      <c r="N1310" s="2" t="s">
        <v>3702</v>
      </c>
      <c r="O1310" s="2" t="s">
        <v>356</v>
      </c>
      <c r="P1310" s="6" t="str">
        <f t="shared" si="63"/>
        <v>Category</v>
      </c>
      <c r="Q1310" t="str">
        <f t="shared" si="64"/>
        <v>2023</v>
      </c>
    </row>
    <row r="1311" spans="1:17">
      <c r="A1311" s="163">
        <v>44973</v>
      </c>
      <c r="B1311" s="165" t="s">
        <v>3703</v>
      </c>
      <c r="C1311" s="165" t="s">
        <v>287</v>
      </c>
      <c r="D1311" s="165" t="s">
        <v>150</v>
      </c>
      <c r="E1311" s="123">
        <v>44958</v>
      </c>
      <c r="F1311" s="2" t="s">
        <v>16</v>
      </c>
      <c r="G1311" s="2" t="s">
        <v>3491</v>
      </c>
      <c r="H1311" s="171">
        <v>21000</v>
      </c>
      <c r="I1311" s="173">
        <f t="shared" si="62"/>
        <v>240.49473202015577</v>
      </c>
      <c r="J1311" s="163">
        <v>44973</v>
      </c>
      <c r="K1311" s="2" t="s">
        <v>252</v>
      </c>
      <c r="L1311" s="163">
        <v>44973</v>
      </c>
      <c r="M1311" s="175" t="s">
        <v>6510</v>
      </c>
      <c r="N1311" s="2"/>
      <c r="O1311" s="2" t="s">
        <v>356</v>
      </c>
      <c r="P1311" s="6" t="str">
        <f t="shared" si="63"/>
        <v>SAFe que</v>
      </c>
      <c r="Q1311" t="str">
        <f t="shared" si="64"/>
        <v>2023</v>
      </c>
    </row>
    <row r="1312" spans="1:17">
      <c r="A1312" s="163">
        <v>44973</v>
      </c>
      <c r="B1312" s="165" t="s">
        <v>3705</v>
      </c>
      <c r="C1312" s="165" t="s">
        <v>278</v>
      </c>
      <c r="D1312" s="165" t="s">
        <v>1524</v>
      </c>
      <c r="E1312" s="123">
        <v>44958</v>
      </c>
      <c r="F1312" s="2" t="s">
        <v>16</v>
      </c>
      <c r="G1312" s="2" t="s">
        <v>3679</v>
      </c>
      <c r="H1312" s="171">
        <v>24000</v>
      </c>
      <c r="I1312" s="173">
        <f t="shared" si="62"/>
        <v>274.85112230874944</v>
      </c>
      <c r="J1312" s="163">
        <v>44973</v>
      </c>
      <c r="K1312" s="2" t="s">
        <v>252</v>
      </c>
      <c r="L1312" s="163">
        <v>44973</v>
      </c>
      <c r="M1312" s="175" t="s">
        <v>6511</v>
      </c>
      <c r="N1312" s="2"/>
      <c r="O1312" s="2" t="s">
        <v>356</v>
      </c>
      <c r="P1312" s="6" t="str">
        <f t="shared" si="63"/>
        <v>SAFe que</v>
      </c>
      <c r="Q1312" t="str">
        <f t="shared" si="64"/>
        <v>2023</v>
      </c>
    </row>
    <row r="1313" spans="1:17">
      <c r="A1313" s="163">
        <v>44974</v>
      </c>
      <c r="B1313" s="165" t="s">
        <v>3707</v>
      </c>
      <c r="C1313" s="165" t="s">
        <v>278</v>
      </c>
      <c r="D1313" s="165" t="s">
        <v>1524</v>
      </c>
      <c r="E1313" s="123">
        <v>44958</v>
      </c>
      <c r="F1313" s="2" t="s">
        <v>16</v>
      </c>
      <c r="G1313" s="2" t="s">
        <v>3679</v>
      </c>
      <c r="H1313" s="171">
        <v>24000</v>
      </c>
      <c r="I1313" s="173">
        <f t="shared" si="62"/>
        <v>274.85112230874944</v>
      </c>
      <c r="J1313" s="163">
        <v>44974</v>
      </c>
      <c r="K1313" s="2" t="s">
        <v>252</v>
      </c>
      <c r="L1313" s="163">
        <v>44974</v>
      </c>
      <c r="M1313" s="175" t="s">
        <v>6512</v>
      </c>
      <c r="N1313" s="2" t="s">
        <v>3363</v>
      </c>
      <c r="O1313" s="2" t="s">
        <v>356</v>
      </c>
      <c r="P1313" s="6" t="str">
        <f t="shared" si="63"/>
        <v>SAFe que</v>
      </c>
      <c r="Q1313" t="str">
        <f t="shared" si="64"/>
        <v>2023</v>
      </c>
    </row>
    <row r="1314" spans="1:17">
      <c r="A1314" s="163">
        <v>44974</v>
      </c>
      <c r="B1314" s="165" t="s">
        <v>3709</v>
      </c>
      <c r="C1314" s="165" t="s">
        <v>3500</v>
      </c>
      <c r="D1314" s="165" t="s">
        <v>150</v>
      </c>
      <c r="E1314" s="123">
        <v>44958</v>
      </c>
      <c r="F1314" s="2" t="s">
        <v>16</v>
      </c>
      <c r="G1314" s="2" t="s">
        <v>3491</v>
      </c>
      <c r="H1314" s="171">
        <v>21000</v>
      </c>
      <c r="I1314" s="173">
        <f t="shared" si="62"/>
        <v>240.49473202015577</v>
      </c>
      <c r="J1314" s="163">
        <v>44974</v>
      </c>
      <c r="K1314" s="2" t="s">
        <v>252</v>
      </c>
      <c r="L1314" s="163">
        <v>44974</v>
      </c>
      <c r="M1314" s="175" t="s">
        <v>6513</v>
      </c>
      <c r="N1314" s="2"/>
      <c r="O1314" s="2" t="s">
        <v>356</v>
      </c>
      <c r="P1314" s="6" t="str">
        <f t="shared" si="63"/>
        <v>SAFe que</v>
      </c>
      <c r="Q1314" t="str">
        <f t="shared" si="64"/>
        <v>2023</v>
      </c>
    </row>
    <row r="1315" spans="1:17">
      <c r="A1315" s="163">
        <v>44977</v>
      </c>
      <c r="B1315" s="165" t="s">
        <v>3711</v>
      </c>
      <c r="C1315" s="165" t="s">
        <v>278</v>
      </c>
      <c r="D1315" s="165" t="s">
        <v>1524</v>
      </c>
      <c r="E1315" s="123">
        <v>44958</v>
      </c>
      <c r="F1315" s="2" t="s">
        <v>16</v>
      </c>
      <c r="G1315" s="2" t="s">
        <v>3679</v>
      </c>
      <c r="H1315" s="171">
        <v>24000</v>
      </c>
      <c r="I1315" s="173">
        <f t="shared" si="62"/>
        <v>274.85112230874944</v>
      </c>
      <c r="J1315" s="163">
        <v>44977</v>
      </c>
      <c r="K1315" s="2" t="s">
        <v>252</v>
      </c>
      <c r="L1315" s="163">
        <v>44977</v>
      </c>
      <c r="M1315" s="175" t="s">
        <v>6514</v>
      </c>
      <c r="N1315" s="2" t="s">
        <v>3713</v>
      </c>
      <c r="O1315" s="2" t="s">
        <v>356</v>
      </c>
      <c r="P1315" s="6" t="str">
        <f t="shared" si="63"/>
        <v>SAFe que</v>
      </c>
      <c r="Q1315" t="str">
        <f t="shared" si="64"/>
        <v>2023</v>
      </c>
    </row>
    <row r="1316" spans="1:17">
      <c r="A1316" s="163">
        <v>44977</v>
      </c>
      <c r="B1316" s="165" t="s">
        <v>3714</v>
      </c>
      <c r="C1316" s="165" t="s">
        <v>303</v>
      </c>
      <c r="D1316" s="165" t="s">
        <v>97</v>
      </c>
      <c r="E1316" s="123">
        <v>44958</v>
      </c>
      <c r="F1316" s="2" t="s">
        <v>16</v>
      </c>
      <c r="G1316" s="2" t="s">
        <v>3697</v>
      </c>
      <c r="H1316" s="171">
        <v>20000</v>
      </c>
      <c r="I1316" s="173">
        <f t="shared" si="62"/>
        <v>229.04260192395787</v>
      </c>
      <c r="J1316" s="163">
        <v>44977</v>
      </c>
      <c r="K1316" s="2" t="s">
        <v>252</v>
      </c>
      <c r="L1316" s="163">
        <v>44977</v>
      </c>
      <c r="M1316" s="175" t="s">
        <v>6515</v>
      </c>
      <c r="N1316" s="2"/>
      <c r="O1316" s="2" t="s">
        <v>356</v>
      </c>
      <c r="P1316" s="6" t="str">
        <f t="shared" si="63"/>
        <v>Category</v>
      </c>
      <c r="Q1316" t="str">
        <f t="shared" si="64"/>
        <v>2023</v>
      </c>
    </row>
    <row r="1317" spans="1:17">
      <c r="A1317" s="163">
        <v>44977</v>
      </c>
      <c r="B1317" s="165" t="s">
        <v>3716</v>
      </c>
      <c r="C1317" s="165" t="s">
        <v>470</v>
      </c>
      <c r="D1317" s="165" t="s">
        <v>1524</v>
      </c>
      <c r="E1317" s="123">
        <v>44958</v>
      </c>
      <c r="F1317" s="2" t="s">
        <v>16</v>
      </c>
      <c r="G1317" s="2" t="s">
        <v>3679</v>
      </c>
      <c r="H1317" s="171">
        <v>24000</v>
      </c>
      <c r="I1317" s="173">
        <f t="shared" si="62"/>
        <v>274.85112230874944</v>
      </c>
      <c r="J1317" s="163">
        <v>44977</v>
      </c>
      <c r="K1317" s="2" t="s">
        <v>252</v>
      </c>
      <c r="L1317" s="163">
        <v>44977</v>
      </c>
      <c r="M1317" s="175" t="s">
        <v>6516</v>
      </c>
      <c r="N1317" s="2"/>
      <c r="O1317" s="2" t="s">
        <v>356</v>
      </c>
      <c r="P1317" s="6" t="str">
        <f t="shared" si="63"/>
        <v>SAFe que</v>
      </c>
      <c r="Q1317" t="str">
        <f t="shared" si="64"/>
        <v>2023</v>
      </c>
    </row>
    <row r="1318" spans="1:17">
      <c r="A1318" s="163">
        <v>44977</v>
      </c>
      <c r="B1318" s="165" t="s">
        <v>999</v>
      </c>
      <c r="C1318" s="165" t="s">
        <v>306</v>
      </c>
      <c r="D1318" s="165" t="s">
        <v>151</v>
      </c>
      <c r="E1318" s="123">
        <v>44958</v>
      </c>
      <c r="F1318" s="2" t="s">
        <v>16</v>
      </c>
      <c r="G1318" s="2" t="s">
        <v>3679</v>
      </c>
      <c r="H1318" s="171">
        <v>21000</v>
      </c>
      <c r="I1318" s="173">
        <f t="shared" si="62"/>
        <v>240.49473202015577</v>
      </c>
      <c r="J1318" s="163">
        <v>44977</v>
      </c>
      <c r="K1318" s="2" t="s">
        <v>252</v>
      </c>
      <c r="L1318" s="163">
        <v>44977</v>
      </c>
      <c r="M1318" s="175" t="s">
        <v>6517</v>
      </c>
      <c r="N1318" s="2"/>
      <c r="O1318" s="2" t="s">
        <v>356</v>
      </c>
      <c r="P1318" s="6" t="str">
        <f t="shared" si="63"/>
        <v>SAFe que</v>
      </c>
      <c r="Q1318" t="str">
        <f t="shared" si="64"/>
        <v>2023</v>
      </c>
    </row>
    <row r="1319" spans="1:17">
      <c r="A1319" s="163">
        <v>44977</v>
      </c>
      <c r="B1319" s="165" t="s">
        <v>3717</v>
      </c>
      <c r="C1319" s="165" t="s">
        <v>278</v>
      </c>
      <c r="D1319" s="165" t="s">
        <v>1524</v>
      </c>
      <c r="E1319" s="123">
        <v>44958</v>
      </c>
      <c r="F1319" s="2" t="s">
        <v>16</v>
      </c>
      <c r="G1319" s="2" t="s">
        <v>3719</v>
      </c>
      <c r="H1319" s="171">
        <v>24000</v>
      </c>
      <c r="I1319" s="173">
        <f t="shared" si="62"/>
        <v>274.85112230874944</v>
      </c>
      <c r="J1319" s="163">
        <v>44977</v>
      </c>
      <c r="K1319" s="2" t="s">
        <v>252</v>
      </c>
      <c r="L1319" s="163">
        <v>44977</v>
      </c>
      <c r="M1319" s="175" t="s">
        <v>6518</v>
      </c>
      <c r="N1319" s="2" t="s">
        <v>3720</v>
      </c>
      <c r="O1319" s="2" t="s">
        <v>356</v>
      </c>
      <c r="P1319" s="6" t="str">
        <f t="shared" si="63"/>
        <v>SAFe que</v>
      </c>
      <c r="Q1319" t="str">
        <f t="shared" si="64"/>
        <v>2023</v>
      </c>
    </row>
    <row r="1320" spans="1:17">
      <c r="A1320" s="163">
        <v>44977</v>
      </c>
      <c r="B1320" s="165" t="s">
        <v>3721</v>
      </c>
      <c r="C1320" s="165" t="s">
        <v>319</v>
      </c>
      <c r="D1320" s="165" t="s">
        <v>97</v>
      </c>
      <c r="E1320" s="123">
        <v>44958</v>
      </c>
      <c r="F1320" s="2" t="s">
        <v>16</v>
      </c>
      <c r="G1320" s="2" t="s">
        <v>3679</v>
      </c>
      <c r="H1320" s="171">
        <v>20000</v>
      </c>
      <c r="I1320" s="173">
        <f t="shared" si="62"/>
        <v>229.04260192395787</v>
      </c>
      <c r="J1320" s="163">
        <v>44977</v>
      </c>
      <c r="K1320" s="2" t="s">
        <v>252</v>
      </c>
      <c r="L1320" s="163">
        <v>44977</v>
      </c>
      <c r="M1320" s="175" t="s">
        <v>6519</v>
      </c>
      <c r="N1320" s="2"/>
      <c r="O1320" s="2" t="s">
        <v>356</v>
      </c>
      <c r="P1320" s="6" t="str">
        <f t="shared" si="63"/>
        <v>Category</v>
      </c>
      <c r="Q1320" t="str">
        <f t="shared" si="64"/>
        <v>2023</v>
      </c>
    </row>
    <row r="1321" spans="1:17">
      <c r="A1321" s="163">
        <v>44977</v>
      </c>
      <c r="B1321" s="165" t="s">
        <v>3723</v>
      </c>
      <c r="C1321" s="165" t="s">
        <v>287</v>
      </c>
      <c r="D1321" s="165" t="s">
        <v>1524</v>
      </c>
      <c r="E1321" s="123">
        <v>44958</v>
      </c>
      <c r="F1321" s="2" t="s">
        <v>16</v>
      </c>
      <c r="G1321" s="2" t="s">
        <v>3679</v>
      </c>
      <c r="H1321" s="171">
        <v>24000</v>
      </c>
      <c r="I1321" s="173">
        <f t="shared" si="62"/>
        <v>274.85112230874944</v>
      </c>
      <c r="J1321" s="163">
        <v>44977</v>
      </c>
      <c r="K1321" s="2" t="s">
        <v>252</v>
      </c>
      <c r="L1321" s="163">
        <v>44977</v>
      </c>
      <c r="M1321" s="175" t="s">
        <v>6520</v>
      </c>
      <c r="N1321" s="2"/>
      <c r="O1321" s="2" t="s">
        <v>356</v>
      </c>
      <c r="P1321" s="6" t="str">
        <f t="shared" si="63"/>
        <v>SAFe que</v>
      </c>
      <c r="Q1321" t="str">
        <f t="shared" si="64"/>
        <v>2023</v>
      </c>
    </row>
    <row r="1322" spans="1:17">
      <c r="A1322" s="163">
        <v>44977</v>
      </c>
      <c r="B1322" s="165" t="s">
        <v>3725</v>
      </c>
      <c r="C1322" s="165" t="s">
        <v>495</v>
      </c>
      <c r="D1322" s="165" t="s">
        <v>1524</v>
      </c>
      <c r="E1322" s="123">
        <v>44958</v>
      </c>
      <c r="F1322" s="2" t="s">
        <v>16</v>
      </c>
      <c r="G1322" s="2" t="s">
        <v>3679</v>
      </c>
      <c r="H1322" s="171">
        <v>24000</v>
      </c>
      <c r="I1322" s="173">
        <f t="shared" si="62"/>
        <v>274.85112230874944</v>
      </c>
      <c r="J1322" s="163">
        <v>44977</v>
      </c>
      <c r="K1322" s="2" t="s">
        <v>253</v>
      </c>
      <c r="L1322" s="163">
        <v>44978</v>
      </c>
      <c r="M1322" s="175" t="s">
        <v>6521</v>
      </c>
      <c r="N1322" s="2"/>
      <c r="O1322" s="2" t="s">
        <v>356</v>
      </c>
      <c r="P1322" s="6" t="str">
        <f t="shared" si="63"/>
        <v>SAFe que</v>
      </c>
      <c r="Q1322" t="str">
        <f t="shared" si="64"/>
        <v>2023</v>
      </c>
    </row>
    <row r="1323" spans="1:17">
      <c r="A1323" s="163">
        <v>44977</v>
      </c>
      <c r="B1323" s="165" t="s">
        <v>3727</v>
      </c>
      <c r="C1323" s="165" t="s">
        <v>278</v>
      </c>
      <c r="D1323" s="165" t="s">
        <v>538</v>
      </c>
      <c r="E1323" s="123">
        <v>44958</v>
      </c>
      <c r="F1323" s="2" t="s">
        <v>16</v>
      </c>
      <c r="G1323" s="127">
        <v>44982</v>
      </c>
      <c r="H1323" s="171">
        <v>10000</v>
      </c>
      <c r="I1323" s="173">
        <f t="shared" si="62"/>
        <v>114.52130096197894</v>
      </c>
      <c r="J1323" s="163">
        <v>44977</v>
      </c>
      <c r="K1323" s="2" t="s">
        <v>253</v>
      </c>
      <c r="L1323" s="163">
        <v>44979</v>
      </c>
      <c r="M1323" s="175" t="s">
        <v>6522</v>
      </c>
      <c r="N1323" s="2" t="s">
        <v>3363</v>
      </c>
      <c r="O1323" s="2" t="s">
        <v>356</v>
      </c>
      <c r="P1323" s="6" t="str">
        <f t="shared" si="63"/>
        <v>NonCategory</v>
      </c>
      <c r="Q1323" t="str">
        <f t="shared" si="64"/>
        <v>2023</v>
      </c>
    </row>
    <row r="1324" spans="1:17">
      <c r="A1324" s="163">
        <v>44978</v>
      </c>
      <c r="B1324" s="165" t="s">
        <v>3729</v>
      </c>
      <c r="C1324" s="165" t="s">
        <v>278</v>
      </c>
      <c r="D1324" s="165" t="s">
        <v>1524</v>
      </c>
      <c r="E1324" s="123">
        <v>44958</v>
      </c>
      <c r="F1324" s="2" t="s">
        <v>16</v>
      </c>
      <c r="G1324" s="2" t="s">
        <v>3679</v>
      </c>
      <c r="H1324" s="171">
        <v>24000</v>
      </c>
      <c r="I1324" s="173">
        <f t="shared" si="62"/>
        <v>274.85112230874944</v>
      </c>
      <c r="J1324" s="163">
        <v>44978</v>
      </c>
      <c r="K1324" s="2" t="s">
        <v>253</v>
      </c>
      <c r="L1324" s="163">
        <v>44978</v>
      </c>
      <c r="M1324" s="175" t="s">
        <v>6523</v>
      </c>
      <c r="N1324" s="2" t="s">
        <v>3731</v>
      </c>
      <c r="O1324" s="2" t="s">
        <v>356</v>
      </c>
      <c r="P1324" s="6" t="str">
        <f t="shared" si="63"/>
        <v>SAFe que</v>
      </c>
      <c r="Q1324" t="str">
        <f t="shared" si="64"/>
        <v>2023</v>
      </c>
    </row>
    <row r="1325" spans="1:17">
      <c r="A1325" s="163">
        <v>44979</v>
      </c>
      <c r="B1325" s="165" t="s">
        <v>3732</v>
      </c>
      <c r="C1325" s="165" t="s">
        <v>306</v>
      </c>
      <c r="D1325" s="165" t="s">
        <v>150</v>
      </c>
      <c r="E1325" s="123">
        <v>44958</v>
      </c>
      <c r="F1325" s="2" t="s">
        <v>16</v>
      </c>
      <c r="G1325" s="2" t="s">
        <v>3679</v>
      </c>
      <c r="H1325" s="171">
        <v>21000</v>
      </c>
      <c r="I1325" s="173">
        <f t="shared" si="62"/>
        <v>240.49473202015577</v>
      </c>
      <c r="J1325" s="163">
        <v>44979</v>
      </c>
      <c r="K1325" s="2" t="s">
        <v>253</v>
      </c>
      <c r="L1325" s="163">
        <v>44979</v>
      </c>
      <c r="M1325" s="175" t="s">
        <v>6524</v>
      </c>
      <c r="N1325" s="2"/>
      <c r="O1325" s="2" t="s">
        <v>356</v>
      </c>
      <c r="P1325" s="6" t="str">
        <f t="shared" si="63"/>
        <v>SAFe que</v>
      </c>
      <c r="Q1325" t="str">
        <f t="shared" si="64"/>
        <v>2023</v>
      </c>
    </row>
    <row r="1326" spans="1:17">
      <c r="A1326" s="163">
        <v>44979</v>
      </c>
      <c r="B1326" s="165" t="s">
        <v>3734</v>
      </c>
      <c r="C1326" s="165" t="s">
        <v>278</v>
      </c>
      <c r="D1326" s="165" t="s">
        <v>97</v>
      </c>
      <c r="E1326" s="123">
        <v>44958</v>
      </c>
      <c r="F1326" s="2" t="s">
        <v>16</v>
      </c>
      <c r="G1326" s="2" t="s">
        <v>3679</v>
      </c>
      <c r="H1326" s="171">
        <v>20000</v>
      </c>
      <c r="I1326" s="173">
        <f t="shared" si="62"/>
        <v>229.04260192395787</v>
      </c>
      <c r="J1326" s="163">
        <v>44979</v>
      </c>
      <c r="K1326" s="2" t="s">
        <v>253</v>
      </c>
      <c r="L1326" s="163">
        <v>44979</v>
      </c>
      <c r="M1326" s="175" t="s">
        <v>6525</v>
      </c>
      <c r="N1326" s="2" t="s">
        <v>3736</v>
      </c>
      <c r="O1326" s="2" t="s">
        <v>356</v>
      </c>
      <c r="P1326" s="6" t="str">
        <f t="shared" si="63"/>
        <v>Category</v>
      </c>
      <c r="Q1326" t="str">
        <f t="shared" si="64"/>
        <v>2023</v>
      </c>
    </row>
    <row r="1327" spans="1:17">
      <c r="A1327" s="163">
        <v>44979</v>
      </c>
      <c r="B1327" s="165" t="s">
        <v>3737</v>
      </c>
      <c r="C1327" s="165" t="s">
        <v>278</v>
      </c>
      <c r="D1327" s="165" t="s">
        <v>25</v>
      </c>
      <c r="E1327" s="123">
        <v>44958</v>
      </c>
      <c r="F1327" s="2" t="s">
        <v>16</v>
      </c>
      <c r="G1327" s="2" t="s">
        <v>3697</v>
      </c>
      <c r="H1327" s="171">
        <v>42000</v>
      </c>
      <c r="I1327" s="173">
        <f t="shared" si="62"/>
        <v>480.98946404031153</v>
      </c>
      <c r="J1327" s="163">
        <v>44979</v>
      </c>
      <c r="K1327" s="2" t="s">
        <v>253</v>
      </c>
      <c r="L1327" s="163">
        <v>44984</v>
      </c>
      <c r="M1327" s="175" t="s">
        <v>6526</v>
      </c>
      <c r="N1327" s="2" t="s">
        <v>3363</v>
      </c>
      <c r="O1327" s="2" t="s">
        <v>356</v>
      </c>
      <c r="P1327" s="6" t="str">
        <f t="shared" si="63"/>
        <v>SAFe que</v>
      </c>
      <c r="Q1327" t="str">
        <f t="shared" si="64"/>
        <v>2023</v>
      </c>
    </row>
    <row r="1328" spans="1:17">
      <c r="A1328" s="163">
        <v>44980</v>
      </c>
      <c r="B1328" s="165" t="s">
        <v>3739</v>
      </c>
      <c r="C1328" s="165" t="s">
        <v>278</v>
      </c>
      <c r="D1328" s="165" t="s">
        <v>150</v>
      </c>
      <c r="E1328" s="123">
        <v>44958</v>
      </c>
      <c r="F1328" s="2" t="s">
        <v>16</v>
      </c>
      <c r="G1328" s="2" t="s">
        <v>3679</v>
      </c>
      <c r="H1328" s="171">
        <v>21000</v>
      </c>
      <c r="I1328" s="173">
        <f t="shared" si="62"/>
        <v>240.49473202015577</v>
      </c>
      <c r="J1328" s="163">
        <v>44980</v>
      </c>
      <c r="K1328" s="2" t="s">
        <v>253</v>
      </c>
      <c r="L1328" s="163">
        <v>44980</v>
      </c>
      <c r="M1328" s="175" t="s">
        <v>6527</v>
      </c>
      <c r="N1328" s="2" t="s">
        <v>3363</v>
      </c>
      <c r="O1328" s="2" t="s">
        <v>356</v>
      </c>
      <c r="P1328" s="6" t="str">
        <f t="shared" si="63"/>
        <v>SAFe que</v>
      </c>
      <c r="Q1328" t="str">
        <f t="shared" si="64"/>
        <v>2023</v>
      </c>
    </row>
    <row r="1329" spans="1:17">
      <c r="A1329" s="163">
        <v>44980</v>
      </c>
      <c r="B1329" s="165" t="s">
        <v>3741</v>
      </c>
      <c r="C1329" s="165" t="s">
        <v>278</v>
      </c>
      <c r="D1329" s="165" t="s">
        <v>1524</v>
      </c>
      <c r="E1329" s="123">
        <v>44958</v>
      </c>
      <c r="F1329" s="2" t="s">
        <v>16</v>
      </c>
      <c r="G1329" s="2" t="s">
        <v>3679</v>
      </c>
      <c r="H1329" s="171">
        <v>24000</v>
      </c>
      <c r="I1329" s="173">
        <f t="shared" si="62"/>
        <v>274.85112230874944</v>
      </c>
      <c r="J1329" s="163">
        <v>44980</v>
      </c>
      <c r="K1329" s="2" t="s">
        <v>253</v>
      </c>
      <c r="L1329" s="163">
        <v>44980</v>
      </c>
      <c r="M1329" s="175" t="s">
        <v>6528</v>
      </c>
      <c r="N1329" s="2" t="s">
        <v>3743</v>
      </c>
      <c r="O1329" s="2" t="s">
        <v>356</v>
      </c>
      <c r="P1329" s="6" t="str">
        <f t="shared" si="63"/>
        <v>SAFe que</v>
      </c>
      <c r="Q1329" t="str">
        <f t="shared" si="64"/>
        <v>2023</v>
      </c>
    </row>
    <row r="1330" spans="1:17">
      <c r="A1330" s="163">
        <v>44981</v>
      </c>
      <c r="B1330" s="165" t="s">
        <v>3744</v>
      </c>
      <c r="C1330" s="165" t="s">
        <v>278</v>
      </c>
      <c r="D1330" s="165" t="s">
        <v>97</v>
      </c>
      <c r="E1330" s="123">
        <v>44958</v>
      </c>
      <c r="F1330" s="2" t="s">
        <v>16</v>
      </c>
      <c r="G1330" s="2" t="s">
        <v>3679</v>
      </c>
      <c r="H1330" s="171">
        <v>20000</v>
      </c>
      <c r="I1330" s="173">
        <f t="shared" ref="I1330:I1393" si="65">IFERROR((($H1330/1.18))/74,"")</f>
        <v>229.04260192395787</v>
      </c>
      <c r="J1330" s="163">
        <v>44981</v>
      </c>
      <c r="K1330" s="2" t="s">
        <v>253</v>
      </c>
      <c r="L1330" s="163">
        <v>44981</v>
      </c>
      <c r="M1330" s="175" t="s">
        <v>6529</v>
      </c>
      <c r="N1330" s="2" t="s">
        <v>3363</v>
      </c>
      <c r="O1330" s="2" t="s">
        <v>356</v>
      </c>
      <c r="P1330" s="6" t="str">
        <f t="shared" si="63"/>
        <v>Category</v>
      </c>
      <c r="Q1330" t="str">
        <f t="shared" si="64"/>
        <v>2023</v>
      </c>
    </row>
    <row r="1331" spans="1:17">
      <c r="A1331" s="163">
        <v>44981</v>
      </c>
      <c r="B1331" s="165" t="s">
        <v>3746</v>
      </c>
      <c r="C1331" s="165" t="s">
        <v>291</v>
      </c>
      <c r="D1331" s="165" t="s">
        <v>25</v>
      </c>
      <c r="E1331" s="123">
        <v>44958</v>
      </c>
      <c r="F1331" s="2" t="s">
        <v>16</v>
      </c>
      <c r="G1331" s="2" t="s">
        <v>3697</v>
      </c>
      <c r="H1331" s="171">
        <v>40061</v>
      </c>
      <c r="I1331" s="173">
        <f t="shared" si="65"/>
        <v>458.7837837837838</v>
      </c>
      <c r="J1331" s="163">
        <v>44981</v>
      </c>
      <c r="K1331" s="2" t="s">
        <v>253</v>
      </c>
      <c r="L1331" s="163">
        <v>44981</v>
      </c>
      <c r="M1331" s="175" t="s">
        <v>6530</v>
      </c>
      <c r="N1331" s="2"/>
      <c r="O1331" s="2" t="s">
        <v>356</v>
      </c>
      <c r="P1331" s="6" t="str">
        <f t="shared" si="63"/>
        <v>SAFe que</v>
      </c>
      <c r="Q1331" t="str">
        <f t="shared" si="64"/>
        <v>2023</v>
      </c>
    </row>
    <row r="1332" spans="1:17">
      <c r="A1332" s="163">
        <v>44984</v>
      </c>
      <c r="B1332" s="165" t="s">
        <v>3748</v>
      </c>
      <c r="C1332" s="165" t="s">
        <v>278</v>
      </c>
      <c r="D1332" s="165" t="s">
        <v>1497</v>
      </c>
      <c r="E1332" s="123">
        <v>44958</v>
      </c>
      <c r="F1332" s="2" t="s">
        <v>16</v>
      </c>
      <c r="G1332" s="2" t="s">
        <v>3719</v>
      </c>
      <c r="H1332" s="171">
        <v>24000</v>
      </c>
      <c r="I1332" s="173">
        <f t="shared" si="65"/>
        <v>274.85112230874944</v>
      </c>
      <c r="J1332" s="163">
        <v>44984</v>
      </c>
      <c r="K1332" s="2" t="s">
        <v>253</v>
      </c>
      <c r="L1332" s="163">
        <v>44984</v>
      </c>
      <c r="M1332" s="175" t="s">
        <v>6531</v>
      </c>
      <c r="N1332" s="2" t="s">
        <v>3750</v>
      </c>
      <c r="O1332" s="2" t="s">
        <v>356</v>
      </c>
      <c r="P1332" s="6" t="str">
        <f t="shared" si="63"/>
        <v>SAFe que</v>
      </c>
      <c r="Q1332" t="str">
        <f t="shared" si="64"/>
        <v>2023</v>
      </c>
    </row>
    <row r="1333" spans="1:17">
      <c r="A1333" s="163">
        <v>44984</v>
      </c>
      <c r="B1333" s="165" t="s">
        <v>3311</v>
      </c>
      <c r="C1333" s="165" t="s">
        <v>470</v>
      </c>
      <c r="D1333" s="165" t="s">
        <v>151</v>
      </c>
      <c r="E1333" s="123">
        <v>44958</v>
      </c>
      <c r="F1333" s="2" t="s">
        <v>16</v>
      </c>
      <c r="G1333" s="2" t="s">
        <v>3697</v>
      </c>
      <c r="H1333" s="171">
        <v>21000</v>
      </c>
      <c r="I1333" s="173">
        <f t="shared" si="65"/>
        <v>240.49473202015577</v>
      </c>
      <c r="J1333" s="163">
        <v>44984</v>
      </c>
      <c r="K1333" s="2" t="s">
        <v>253</v>
      </c>
      <c r="L1333" s="163">
        <v>44984</v>
      </c>
      <c r="M1333" s="175" t="s">
        <v>6532</v>
      </c>
      <c r="N1333" s="2"/>
      <c r="O1333" s="2" t="s">
        <v>356</v>
      </c>
      <c r="P1333" s="6" t="str">
        <f t="shared" si="63"/>
        <v>SAFe que</v>
      </c>
      <c r="Q1333" t="str">
        <f t="shared" si="64"/>
        <v>2023</v>
      </c>
    </row>
    <row r="1334" spans="1:17">
      <c r="A1334" s="163">
        <v>44984</v>
      </c>
      <c r="B1334" s="165" t="s">
        <v>3751</v>
      </c>
      <c r="C1334" s="165" t="s">
        <v>319</v>
      </c>
      <c r="D1334" s="165" t="s">
        <v>150</v>
      </c>
      <c r="E1334" s="123">
        <v>44986</v>
      </c>
      <c r="F1334" s="2" t="s">
        <v>16</v>
      </c>
      <c r="G1334" s="2" t="s">
        <v>3697</v>
      </c>
      <c r="H1334" s="171">
        <v>21000</v>
      </c>
      <c r="I1334" s="173">
        <f t="shared" si="65"/>
        <v>240.49473202015577</v>
      </c>
      <c r="J1334" s="163">
        <v>44984</v>
      </c>
      <c r="K1334" s="2" t="s">
        <v>251</v>
      </c>
      <c r="L1334" s="163">
        <v>44986</v>
      </c>
      <c r="M1334" s="175" t="s">
        <v>6533</v>
      </c>
      <c r="N1334" s="2"/>
      <c r="O1334" s="2" t="s">
        <v>356</v>
      </c>
      <c r="P1334" s="6" t="str">
        <f t="shared" si="63"/>
        <v>SAFe que</v>
      </c>
      <c r="Q1334" t="str">
        <f t="shared" si="64"/>
        <v>2023</v>
      </c>
    </row>
    <row r="1335" spans="1:17">
      <c r="A1335" s="163">
        <v>44985</v>
      </c>
      <c r="B1335" s="165" t="s">
        <v>3753</v>
      </c>
      <c r="C1335" s="165" t="s">
        <v>278</v>
      </c>
      <c r="D1335" s="165" t="s">
        <v>1524</v>
      </c>
      <c r="E1335" s="123">
        <v>44958</v>
      </c>
      <c r="F1335" s="2" t="s">
        <v>16</v>
      </c>
      <c r="G1335" s="2" t="s">
        <v>3719</v>
      </c>
      <c r="H1335" s="171">
        <v>24000</v>
      </c>
      <c r="I1335" s="173">
        <f t="shared" si="65"/>
        <v>274.85112230874944</v>
      </c>
      <c r="J1335" s="163">
        <v>44985</v>
      </c>
      <c r="K1335" s="2" t="s">
        <v>253</v>
      </c>
      <c r="L1335" s="163">
        <v>44985</v>
      </c>
      <c r="M1335" s="175" t="s">
        <v>6534</v>
      </c>
      <c r="N1335" s="2" t="s">
        <v>3755</v>
      </c>
      <c r="O1335" s="2" t="s">
        <v>356</v>
      </c>
      <c r="P1335" s="6" t="str">
        <f t="shared" si="63"/>
        <v>SAFe que</v>
      </c>
      <c r="Q1335" t="str">
        <f t="shared" si="64"/>
        <v>2023</v>
      </c>
    </row>
    <row r="1336" spans="1:17">
      <c r="A1336" s="163">
        <v>44985</v>
      </c>
      <c r="B1336" s="165" t="s">
        <v>3756</v>
      </c>
      <c r="C1336" s="165" t="s">
        <v>470</v>
      </c>
      <c r="D1336" s="165" t="s">
        <v>150</v>
      </c>
      <c r="E1336" s="123">
        <v>44958</v>
      </c>
      <c r="F1336" s="2" t="s">
        <v>16</v>
      </c>
      <c r="G1336" s="2" t="s">
        <v>3697</v>
      </c>
      <c r="H1336" s="171">
        <v>21000</v>
      </c>
      <c r="I1336" s="173">
        <f t="shared" si="65"/>
        <v>240.49473202015577</v>
      </c>
      <c r="J1336" s="163">
        <v>44985</v>
      </c>
      <c r="K1336" s="2" t="s">
        <v>253</v>
      </c>
      <c r="L1336" s="163">
        <v>44985</v>
      </c>
      <c r="M1336" s="175" t="s">
        <v>6535</v>
      </c>
      <c r="N1336" s="2"/>
      <c r="O1336" s="2" t="s">
        <v>356</v>
      </c>
      <c r="P1336" s="6" t="str">
        <f t="shared" si="63"/>
        <v>SAFe que</v>
      </c>
      <c r="Q1336" t="str">
        <f t="shared" si="64"/>
        <v>2023</v>
      </c>
    </row>
    <row r="1337" spans="1:17">
      <c r="A1337" s="163">
        <v>44985</v>
      </c>
      <c r="B1337" s="165" t="s">
        <v>3625</v>
      </c>
      <c r="C1337" s="165" t="s">
        <v>306</v>
      </c>
      <c r="D1337" s="165" t="s">
        <v>998</v>
      </c>
      <c r="E1337" s="123">
        <v>44958</v>
      </c>
      <c r="F1337" s="2" t="s">
        <v>16</v>
      </c>
      <c r="G1337" s="125">
        <v>44996</v>
      </c>
      <c r="H1337" s="171">
        <v>16911</v>
      </c>
      <c r="I1337" s="173">
        <f t="shared" si="65"/>
        <v>193.66697205680256</v>
      </c>
      <c r="J1337" s="163">
        <v>44985</v>
      </c>
      <c r="K1337" s="2" t="s">
        <v>253</v>
      </c>
      <c r="L1337" s="163">
        <v>44985</v>
      </c>
      <c r="M1337" s="175" t="s">
        <v>6536</v>
      </c>
      <c r="N1337" s="2"/>
      <c r="O1337" s="2" t="s">
        <v>356</v>
      </c>
      <c r="P1337" s="6" t="str">
        <f t="shared" si="63"/>
        <v>NonCategory</v>
      </c>
      <c r="Q1337" t="str">
        <f t="shared" si="64"/>
        <v>2023</v>
      </c>
    </row>
    <row r="1338" spans="1:17">
      <c r="A1338" s="163">
        <v>44985</v>
      </c>
      <c r="B1338" s="165" t="s">
        <v>3758</v>
      </c>
      <c r="C1338" s="165" t="s">
        <v>278</v>
      </c>
      <c r="D1338" s="165" t="s">
        <v>150</v>
      </c>
      <c r="E1338" s="123">
        <v>44958</v>
      </c>
      <c r="F1338" s="2" t="s">
        <v>16</v>
      </c>
      <c r="G1338" s="2" t="s">
        <v>3719</v>
      </c>
      <c r="H1338" s="171">
        <v>21000</v>
      </c>
      <c r="I1338" s="173">
        <f t="shared" si="65"/>
        <v>240.49473202015577</v>
      </c>
      <c r="J1338" s="163">
        <v>44985</v>
      </c>
      <c r="K1338" s="2" t="s">
        <v>253</v>
      </c>
      <c r="L1338" s="163">
        <v>44985</v>
      </c>
      <c r="M1338" s="175" t="s">
        <v>6537</v>
      </c>
      <c r="N1338" s="2" t="s">
        <v>3287</v>
      </c>
      <c r="O1338" s="2" t="s">
        <v>356</v>
      </c>
      <c r="P1338" s="6" t="str">
        <f t="shared" si="63"/>
        <v>SAFe que</v>
      </c>
      <c r="Q1338" t="str">
        <f t="shared" si="64"/>
        <v>2023</v>
      </c>
    </row>
    <row r="1339" spans="1:17">
      <c r="A1339" s="163">
        <v>44985</v>
      </c>
      <c r="B1339" s="165" t="s">
        <v>3760</v>
      </c>
      <c r="C1339" s="165" t="s">
        <v>278</v>
      </c>
      <c r="D1339" s="165" t="s">
        <v>1497</v>
      </c>
      <c r="E1339" s="123">
        <v>44958</v>
      </c>
      <c r="F1339" s="2" t="s">
        <v>16</v>
      </c>
      <c r="G1339" s="2" t="s">
        <v>3719</v>
      </c>
      <c r="H1339" s="171">
        <v>24000</v>
      </c>
      <c r="I1339" s="173">
        <f t="shared" si="65"/>
        <v>274.85112230874944</v>
      </c>
      <c r="J1339" s="163">
        <v>44985</v>
      </c>
      <c r="K1339" s="2" t="s">
        <v>253</v>
      </c>
      <c r="L1339" s="163">
        <v>44985</v>
      </c>
      <c r="M1339" s="175" t="s">
        <v>6538</v>
      </c>
      <c r="N1339" s="2" t="s">
        <v>3762</v>
      </c>
      <c r="O1339" s="2" t="s">
        <v>356</v>
      </c>
      <c r="P1339" s="6" t="str">
        <f t="shared" si="63"/>
        <v>SAFe que</v>
      </c>
      <c r="Q1339" t="str">
        <f t="shared" si="64"/>
        <v>2023</v>
      </c>
    </row>
    <row r="1340" spans="1:17">
      <c r="A1340" s="163">
        <v>44986</v>
      </c>
      <c r="B1340" s="165" t="s">
        <v>3763</v>
      </c>
      <c r="C1340" s="165" t="s">
        <v>278</v>
      </c>
      <c r="D1340" s="165" t="s">
        <v>1524</v>
      </c>
      <c r="E1340" s="123">
        <v>44986</v>
      </c>
      <c r="F1340" s="2" t="s">
        <v>16</v>
      </c>
      <c r="G1340" s="2" t="s">
        <v>3719</v>
      </c>
      <c r="H1340" s="171">
        <v>24000</v>
      </c>
      <c r="I1340" s="173">
        <f t="shared" si="65"/>
        <v>274.85112230874944</v>
      </c>
      <c r="J1340" s="163">
        <v>44986</v>
      </c>
      <c r="K1340" s="2" t="s">
        <v>251</v>
      </c>
      <c r="L1340" s="163">
        <v>44986</v>
      </c>
      <c r="M1340" s="175" t="s">
        <v>6539</v>
      </c>
      <c r="N1340" s="2" t="s">
        <v>3765</v>
      </c>
      <c r="O1340" s="2" t="s">
        <v>356</v>
      </c>
      <c r="P1340" s="6" t="str">
        <f t="shared" si="63"/>
        <v>SAFe que</v>
      </c>
      <c r="Q1340" t="str">
        <f t="shared" si="64"/>
        <v>2023</v>
      </c>
    </row>
    <row r="1341" spans="1:17">
      <c r="A1341" s="163">
        <v>44986</v>
      </c>
      <c r="B1341" s="165" t="s">
        <v>3766</v>
      </c>
      <c r="C1341" s="165" t="s">
        <v>303</v>
      </c>
      <c r="D1341" s="165" t="s">
        <v>25</v>
      </c>
      <c r="E1341" s="123">
        <v>44986</v>
      </c>
      <c r="F1341" s="2" t="s">
        <v>16</v>
      </c>
      <c r="G1341" s="2" t="s">
        <v>3697</v>
      </c>
      <c r="H1341" s="171">
        <v>40061</v>
      </c>
      <c r="I1341" s="173">
        <f t="shared" si="65"/>
        <v>458.7837837837838</v>
      </c>
      <c r="J1341" s="163">
        <v>44986</v>
      </c>
      <c r="K1341" s="2" t="s">
        <v>251</v>
      </c>
      <c r="L1341" s="163">
        <v>44986</v>
      </c>
      <c r="M1341" s="175" t="s">
        <v>6540</v>
      </c>
      <c r="N1341" s="2"/>
      <c r="O1341" s="2" t="s">
        <v>356</v>
      </c>
      <c r="P1341" s="6" t="str">
        <f t="shared" si="63"/>
        <v>SAFe que</v>
      </c>
      <c r="Q1341" t="str">
        <f t="shared" si="64"/>
        <v>2023</v>
      </c>
    </row>
    <row r="1342" spans="1:17">
      <c r="A1342" s="163">
        <v>44986</v>
      </c>
      <c r="B1342" s="165" t="s">
        <v>3768</v>
      </c>
      <c r="C1342" s="165" t="s">
        <v>297</v>
      </c>
      <c r="D1342" s="165" t="s">
        <v>150</v>
      </c>
      <c r="E1342" s="123">
        <v>44986</v>
      </c>
      <c r="F1342" s="2" t="s">
        <v>16</v>
      </c>
      <c r="G1342" s="2" t="s">
        <v>3697</v>
      </c>
      <c r="H1342" s="171">
        <v>21000</v>
      </c>
      <c r="I1342" s="173">
        <f t="shared" si="65"/>
        <v>240.49473202015577</v>
      </c>
      <c r="J1342" s="163">
        <v>44986</v>
      </c>
      <c r="K1342" s="2" t="s">
        <v>251</v>
      </c>
      <c r="L1342" s="163">
        <v>44986</v>
      </c>
      <c r="M1342" s="175" t="s">
        <v>6541</v>
      </c>
      <c r="N1342" s="2"/>
      <c r="O1342" s="2" t="s">
        <v>356</v>
      </c>
      <c r="P1342" s="6" t="str">
        <f t="shared" si="63"/>
        <v>SAFe que</v>
      </c>
      <c r="Q1342" t="str">
        <f t="shared" si="64"/>
        <v>2023</v>
      </c>
    </row>
    <row r="1343" spans="1:17">
      <c r="A1343" s="163">
        <v>44986</v>
      </c>
      <c r="B1343" s="165" t="s">
        <v>3770</v>
      </c>
      <c r="C1343" s="165" t="s">
        <v>470</v>
      </c>
      <c r="D1343" s="164" t="s">
        <v>5218</v>
      </c>
      <c r="E1343" s="123">
        <v>44986</v>
      </c>
      <c r="F1343" s="2" t="s">
        <v>16</v>
      </c>
      <c r="G1343" s="2" t="s">
        <v>21</v>
      </c>
      <c r="H1343" s="171">
        <v>23714</v>
      </c>
      <c r="I1343" s="173">
        <f t="shared" si="65"/>
        <v>271.57581310123686</v>
      </c>
      <c r="J1343" s="163">
        <v>44986</v>
      </c>
      <c r="K1343" s="2" t="s">
        <v>251</v>
      </c>
      <c r="L1343" s="163">
        <v>44986</v>
      </c>
      <c r="M1343" s="175" t="s">
        <v>6542</v>
      </c>
      <c r="N1343" s="2"/>
      <c r="O1343" s="2" t="s">
        <v>356</v>
      </c>
      <c r="P1343" s="6" t="str">
        <f t="shared" si="63"/>
        <v>NonCategory</v>
      </c>
      <c r="Q1343" t="str">
        <f t="shared" si="64"/>
        <v>2023</v>
      </c>
    </row>
    <row r="1344" spans="1:17">
      <c r="A1344" s="163">
        <v>44986</v>
      </c>
      <c r="B1344" s="165" t="s">
        <v>3772</v>
      </c>
      <c r="C1344" s="165" t="s">
        <v>278</v>
      </c>
      <c r="D1344" s="164" t="s">
        <v>976</v>
      </c>
      <c r="E1344" s="123">
        <v>44986</v>
      </c>
      <c r="F1344" s="2" t="s">
        <v>16</v>
      </c>
      <c r="G1344" s="125">
        <v>44996</v>
      </c>
      <c r="H1344" s="171">
        <v>21100</v>
      </c>
      <c r="I1344" s="173">
        <f t="shared" si="65"/>
        <v>241.63994502977556</v>
      </c>
      <c r="J1344" s="163">
        <v>44986</v>
      </c>
      <c r="K1344" s="2" t="s">
        <v>251</v>
      </c>
      <c r="L1344" s="163">
        <v>44986</v>
      </c>
      <c r="M1344" s="175" t="s">
        <v>6543</v>
      </c>
      <c r="N1344" s="2" t="s">
        <v>3774</v>
      </c>
      <c r="O1344" s="2" t="s">
        <v>356</v>
      </c>
      <c r="P1344" s="6" t="str">
        <f t="shared" si="63"/>
        <v>NonCategory</v>
      </c>
      <c r="Q1344" t="str">
        <f t="shared" si="64"/>
        <v>2023</v>
      </c>
    </row>
    <row r="1345" spans="1:17">
      <c r="A1345" s="163">
        <v>44987</v>
      </c>
      <c r="B1345" s="165" t="s">
        <v>3775</v>
      </c>
      <c r="C1345" s="165" t="s">
        <v>278</v>
      </c>
      <c r="D1345" s="165" t="s">
        <v>72</v>
      </c>
      <c r="E1345" s="123">
        <v>44986</v>
      </c>
      <c r="F1345" s="2" t="s">
        <v>16</v>
      </c>
      <c r="G1345" s="2" t="s">
        <v>3777</v>
      </c>
      <c r="H1345" s="171">
        <v>57230</v>
      </c>
      <c r="I1345" s="173">
        <f t="shared" si="65"/>
        <v>655.40540540540542</v>
      </c>
      <c r="J1345" s="163">
        <v>44987</v>
      </c>
      <c r="K1345" s="2" t="s">
        <v>251</v>
      </c>
      <c r="L1345" s="163">
        <v>44987</v>
      </c>
      <c r="M1345" s="175" t="s">
        <v>6544</v>
      </c>
      <c r="N1345" s="2" t="s">
        <v>3584</v>
      </c>
      <c r="O1345" s="2" t="s">
        <v>356</v>
      </c>
      <c r="P1345" s="6" t="str">
        <f t="shared" si="63"/>
        <v>SAFe que</v>
      </c>
      <c r="Q1345" t="str">
        <f t="shared" si="64"/>
        <v>2023</v>
      </c>
    </row>
    <row r="1346" spans="1:17">
      <c r="A1346" s="163">
        <v>44987</v>
      </c>
      <c r="B1346" s="165" t="s">
        <v>3775</v>
      </c>
      <c r="C1346" s="165" t="s">
        <v>278</v>
      </c>
      <c r="D1346" s="165" t="s">
        <v>72</v>
      </c>
      <c r="E1346" s="123">
        <v>44986</v>
      </c>
      <c r="F1346" s="2" t="s">
        <v>16</v>
      </c>
      <c r="G1346" s="2" t="s">
        <v>3777</v>
      </c>
      <c r="H1346" s="171">
        <v>67770</v>
      </c>
      <c r="I1346" s="173">
        <f t="shared" si="65"/>
        <v>776.11085661933123</v>
      </c>
      <c r="J1346" s="163">
        <v>44987</v>
      </c>
      <c r="K1346" s="2" t="s">
        <v>251</v>
      </c>
      <c r="L1346" s="163">
        <v>44987</v>
      </c>
      <c r="M1346" s="175" t="s">
        <v>6545</v>
      </c>
      <c r="N1346" s="2"/>
      <c r="O1346" s="2" t="s">
        <v>356</v>
      </c>
      <c r="P1346" s="6" t="str">
        <f t="shared" ref="P1346:P1409" si="66">IFERROR(_xlfn.IFS($D1346="CSM","Category",$D1346="CSPO","Category", $D1346="PSM","SAFe que",$D1346="PSPO","SAFe que",$D1346="SAFe Agile","SAFe que",$D1346="SAFe SSM","SAFe que",$D1346="SAFe POPM","SAFe que",$D1346="SASM","SAFe que",$D1346="PMI-ACP","Category",$D1346="ICP-ACC","SAFe que",$D1346="PSM 2","SAFe que",$D1346="SAFe RTE","SAFe que",$D1346="Implementing SAFe","SAFe que",$D1346="SAFe for Government","SAFe que",$D1346="PSPO 2","SAFe que",$D1346="",""),"NonCategory")</f>
        <v>SAFe que</v>
      </c>
      <c r="Q1346" t="str">
        <f t="shared" ref="Q1346:Q1409" si="67">TEXT(E1346, "yyyy")</f>
        <v>2023</v>
      </c>
    </row>
    <row r="1347" spans="1:17">
      <c r="A1347" s="163">
        <v>44987</v>
      </c>
      <c r="B1347" s="165" t="s">
        <v>3778</v>
      </c>
      <c r="C1347" s="165" t="s">
        <v>303</v>
      </c>
      <c r="D1347" s="165" t="s">
        <v>151</v>
      </c>
      <c r="E1347" s="123">
        <v>44986</v>
      </c>
      <c r="F1347" s="2" t="s">
        <v>16</v>
      </c>
      <c r="G1347" s="2" t="s">
        <v>3697</v>
      </c>
      <c r="H1347" s="171">
        <v>21000</v>
      </c>
      <c r="I1347" s="173">
        <f t="shared" si="65"/>
        <v>240.49473202015577</v>
      </c>
      <c r="J1347" s="163">
        <v>44987</v>
      </c>
      <c r="K1347" s="2" t="s">
        <v>251</v>
      </c>
      <c r="L1347" s="163">
        <v>44987</v>
      </c>
      <c r="M1347" s="175" t="s">
        <v>6546</v>
      </c>
      <c r="N1347" s="2"/>
      <c r="O1347" s="2" t="s">
        <v>356</v>
      </c>
      <c r="P1347" s="6" t="str">
        <f t="shared" si="66"/>
        <v>SAFe que</v>
      </c>
      <c r="Q1347" t="str">
        <f t="shared" si="67"/>
        <v>2023</v>
      </c>
    </row>
    <row r="1348" spans="1:17">
      <c r="A1348" s="163">
        <v>44987</v>
      </c>
      <c r="B1348" s="165" t="s">
        <v>3739</v>
      </c>
      <c r="C1348" s="165" t="s">
        <v>470</v>
      </c>
      <c r="D1348" s="165" t="s">
        <v>151</v>
      </c>
      <c r="E1348" s="123">
        <v>44986</v>
      </c>
      <c r="F1348" s="2" t="s">
        <v>16</v>
      </c>
      <c r="G1348" s="2" t="s">
        <v>3697</v>
      </c>
      <c r="H1348" s="171">
        <v>21000</v>
      </c>
      <c r="I1348" s="173">
        <f t="shared" si="65"/>
        <v>240.49473202015577</v>
      </c>
      <c r="J1348" s="163">
        <v>44987</v>
      </c>
      <c r="K1348" s="2" t="s">
        <v>251</v>
      </c>
      <c r="L1348" s="163">
        <v>44987</v>
      </c>
      <c r="M1348" s="175" t="s">
        <v>6547</v>
      </c>
      <c r="N1348" s="2"/>
      <c r="O1348" s="2" t="s">
        <v>356</v>
      </c>
      <c r="P1348" s="6" t="str">
        <f t="shared" si="66"/>
        <v>SAFe que</v>
      </c>
      <c r="Q1348" t="str">
        <f t="shared" si="67"/>
        <v>2023</v>
      </c>
    </row>
    <row r="1349" spans="1:17">
      <c r="A1349" s="163">
        <v>44987</v>
      </c>
      <c r="B1349" s="165" t="s">
        <v>3780</v>
      </c>
      <c r="C1349" s="165" t="s">
        <v>291</v>
      </c>
      <c r="D1349" s="165" t="s">
        <v>150</v>
      </c>
      <c r="E1349" s="123">
        <v>44986</v>
      </c>
      <c r="F1349" s="2" t="s">
        <v>16</v>
      </c>
      <c r="G1349" s="2" t="s">
        <v>3697</v>
      </c>
      <c r="H1349" s="171">
        <v>21000</v>
      </c>
      <c r="I1349" s="173">
        <f t="shared" si="65"/>
        <v>240.49473202015577</v>
      </c>
      <c r="J1349" s="163">
        <v>44987</v>
      </c>
      <c r="K1349" s="2" t="s">
        <v>251</v>
      </c>
      <c r="L1349" s="163">
        <v>44987</v>
      </c>
      <c r="M1349" s="175" t="s">
        <v>6548</v>
      </c>
      <c r="N1349" s="2"/>
      <c r="O1349" s="2" t="s">
        <v>356</v>
      </c>
      <c r="P1349" s="6" t="str">
        <f t="shared" si="66"/>
        <v>SAFe que</v>
      </c>
      <c r="Q1349" t="str">
        <f t="shared" si="67"/>
        <v>2023</v>
      </c>
    </row>
    <row r="1350" spans="1:17">
      <c r="A1350" s="163">
        <v>44988</v>
      </c>
      <c r="B1350" s="165" t="s">
        <v>3782</v>
      </c>
      <c r="C1350" s="165" t="s">
        <v>278</v>
      </c>
      <c r="D1350" s="165" t="s">
        <v>1497</v>
      </c>
      <c r="E1350" s="123">
        <v>44986</v>
      </c>
      <c r="F1350" s="2" t="s">
        <v>16</v>
      </c>
      <c r="G1350" s="2" t="s">
        <v>3719</v>
      </c>
      <c r="H1350" s="171">
        <v>24000</v>
      </c>
      <c r="I1350" s="173">
        <f t="shared" si="65"/>
        <v>274.85112230874944</v>
      </c>
      <c r="J1350" s="163">
        <v>44988</v>
      </c>
      <c r="K1350" s="2" t="s">
        <v>251</v>
      </c>
      <c r="L1350" s="163">
        <v>44988</v>
      </c>
      <c r="M1350" s="175" t="s">
        <v>6549</v>
      </c>
      <c r="N1350" s="2" t="s">
        <v>3784</v>
      </c>
      <c r="O1350" s="2" t="s">
        <v>356</v>
      </c>
      <c r="P1350" s="6" t="str">
        <f t="shared" si="66"/>
        <v>SAFe que</v>
      </c>
      <c r="Q1350" t="str">
        <f t="shared" si="67"/>
        <v>2023</v>
      </c>
    </row>
    <row r="1351" spans="1:17">
      <c r="A1351" s="163">
        <v>44988</v>
      </c>
      <c r="B1351" s="165" t="s">
        <v>746</v>
      </c>
      <c r="C1351" s="165" t="s">
        <v>470</v>
      </c>
      <c r="D1351" s="165" t="s">
        <v>97</v>
      </c>
      <c r="E1351" s="123">
        <v>44986</v>
      </c>
      <c r="F1351" s="2" t="s">
        <v>16</v>
      </c>
      <c r="G1351" s="2" t="s">
        <v>3697</v>
      </c>
      <c r="H1351" s="171">
        <v>20000</v>
      </c>
      <c r="I1351" s="173">
        <f t="shared" si="65"/>
        <v>229.04260192395787</v>
      </c>
      <c r="J1351" s="163">
        <v>44988</v>
      </c>
      <c r="K1351" s="2" t="s">
        <v>251</v>
      </c>
      <c r="L1351" s="163">
        <v>44988</v>
      </c>
      <c r="M1351" s="175" t="s">
        <v>6550</v>
      </c>
      <c r="N1351" s="2"/>
      <c r="O1351" s="2" t="s">
        <v>356</v>
      </c>
      <c r="P1351" s="6" t="str">
        <f t="shared" si="66"/>
        <v>Category</v>
      </c>
      <c r="Q1351" t="str">
        <f t="shared" si="67"/>
        <v>2023</v>
      </c>
    </row>
    <row r="1352" spans="1:17">
      <c r="A1352" s="163">
        <v>44988</v>
      </c>
      <c r="B1352" s="165" t="s">
        <v>3785</v>
      </c>
      <c r="C1352" s="165" t="s">
        <v>278</v>
      </c>
      <c r="D1352" s="165" t="s">
        <v>1497</v>
      </c>
      <c r="E1352" s="123">
        <v>44986</v>
      </c>
      <c r="F1352" s="2" t="s">
        <v>16</v>
      </c>
      <c r="G1352" s="2" t="s">
        <v>3719</v>
      </c>
      <c r="H1352" s="171">
        <v>24000</v>
      </c>
      <c r="I1352" s="173">
        <f t="shared" si="65"/>
        <v>274.85112230874944</v>
      </c>
      <c r="J1352" s="163">
        <v>44988</v>
      </c>
      <c r="K1352" s="2" t="s">
        <v>251</v>
      </c>
      <c r="L1352" s="163">
        <v>44988</v>
      </c>
      <c r="M1352" s="175" t="s">
        <v>6551</v>
      </c>
      <c r="N1352" s="2" t="s">
        <v>3787</v>
      </c>
      <c r="O1352" s="2" t="s">
        <v>356</v>
      </c>
      <c r="P1352" s="6" t="str">
        <f t="shared" si="66"/>
        <v>SAFe que</v>
      </c>
      <c r="Q1352" t="str">
        <f t="shared" si="67"/>
        <v>2023</v>
      </c>
    </row>
    <row r="1353" spans="1:17">
      <c r="A1353" s="163">
        <v>44988</v>
      </c>
      <c r="B1353" s="165" t="s">
        <v>3263</v>
      </c>
      <c r="C1353" s="165" t="s">
        <v>319</v>
      </c>
      <c r="D1353" s="165" t="s">
        <v>25</v>
      </c>
      <c r="E1353" s="123">
        <v>44986</v>
      </c>
      <c r="F1353" s="2" t="s">
        <v>16</v>
      </c>
      <c r="G1353" s="2" t="s">
        <v>3697</v>
      </c>
      <c r="H1353" s="171">
        <v>40061</v>
      </c>
      <c r="I1353" s="173">
        <f t="shared" si="65"/>
        <v>458.7837837837838</v>
      </c>
      <c r="J1353" s="163">
        <v>44988</v>
      </c>
      <c r="K1353" s="2" t="s">
        <v>251</v>
      </c>
      <c r="L1353" s="163">
        <v>44988</v>
      </c>
      <c r="M1353" s="175" t="s">
        <v>6552</v>
      </c>
      <c r="N1353" s="2"/>
      <c r="O1353" s="2" t="s">
        <v>356</v>
      </c>
      <c r="P1353" s="6" t="str">
        <f t="shared" si="66"/>
        <v>SAFe que</v>
      </c>
      <c r="Q1353" t="str">
        <f t="shared" si="67"/>
        <v>2023</v>
      </c>
    </row>
    <row r="1354" spans="1:17">
      <c r="A1354" s="163">
        <v>44988</v>
      </c>
      <c r="B1354" s="165" t="s">
        <v>3788</v>
      </c>
      <c r="C1354" s="165" t="s">
        <v>278</v>
      </c>
      <c r="D1354" s="165" t="s">
        <v>96</v>
      </c>
      <c r="E1354" s="123">
        <v>44986</v>
      </c>
      <c r="F1354" s="2" t="s">
        <v>16</v>
      </c>
      <c r="G1354" s="2" t="s">
        <v>3790</v>
      </c>
      <c r="H1354" s="171">
        <v>20000</v>
      </c>
      <c r="I1354" s="173">
        <f t="shared" si="65"/>
        <v>229.04260192395787</v>
      </c>
      <c r="J1354" s="163">
        <v>44988</v>
      </c>
      <c r="K1354" s="2" t="s">
        <v>251</v>
      </c>
      <c r="L1354" s="163">
        <v>44991</v>
      </c>
      <c r="M1354" s="175" t="s">
        <v>6553</v>
      </c>
      <c r="N1354" s="2" t="s">
        <v>3584</v>
      </c>
      <c r="O1354" s="2" t="s">
        <v>356</v>
      </c>
      <c r="P1354" s="6" t="str">
        <f t="shared" si="66"/>
        <v>Category</v>
      </c>
      <c r="Q1354" t="str">
        <f t="shared" si="67"/>
        <v>2023</v>
      </c>
    </row>
    <row r="1355" spans="1:17">
      <c r="A1355" s="163">
        <v>44988</v>
      </c>
      <c r="B1355" s="165" t="s">
        <v>3791</v>
      </c>
      <c r="C1355" s="165" t="s">
        <v>3500</v>
      </c>
      <c r="D1355" s="165" t="s">
        <v>96</v>
      </c>
      <c r="E1355" s="123">
        <v>44986</v>
      </c>
      <c r="F1355" s="2" t="s">
        <v>16</v>
      </c>
      <c r="G1355" s="2" t="s">
        <v>3793</v>
      </c>
      <c r="H1355" s="171">
        <v>20000</v>
      </c>
      <c r="I1355" s="173">
        <f t="shared" si="65"/>
        <v>229.04260192395787</v>
      </c>
      <c r="J1355" s="163">
        <v>44988</v>
      </c>
      <c r="K1355" s="2" t="s">
        <v>251</v>
      </c>
      <c r="L1355" s="163">
        <v>44988</v>
      </c>
      <c r="M1355" s="175" t="s">
        <v>6554</v>
      </c>
      <c r="N1355" s="2"/>
      <c r="O1355" s="2" t="s">
        <v>356</v>
      </c>
      <c r="P1355" s="6" t="str">
        <f t="shared" si="66"/>
        <v>Category</v>
      </c>
      <c r="Q1355" t="str">
        <f t="shared" si="67"/>
        <v>2023</v>
      </c>
    </row>
    <row r="1356" spans="1:17">
      <c r="A1356" s="163">
        <v>44989</v>
      </c>
      <c r="B1356" s="165" t="s">
        <v>3265</v>
      </c>
      <c r="C1356" s="165" t="s">
        <v>470</v>
      </c>
      <c r="D1356" s="165" t="s">
        <v>151</v>
      </c>
      <c r="E1356" s="123">
        <v>44986</v>
      </c>
      <c r="F1356" s="2" t="s">
        <v>16</v>
      </c>
      <c r="G1356" s="2" t="s">
        <v>3790</v>
      </c>
      <c r="H1356" s="171">
        <v>21000</v>
      </c>
      <c r="I1356" s="173">
        <f t="shared" si="65"/>
        <v>240.49473202015577</v>
      </c>
      <c r="J1356" s="163">
        <v>44989</v>
      </c>
      <c r="K1356" s="2" t="s">
        <v>251</v>
      </c>
      <c r="L1356" s="163">
        <v>44989</v>
      </c>
      <c r="M1356" s="175" t="s">
        <v>6555</v>
      </c>
      <c r="N1356" s="2"/>
      <c r="O1356" s="2" t="s">
        <v>356</v>
      </c>
      <c r="P1356" s="6" t="str">
        <f t="shared" si="66"/>
        <v>SAFe que</v>
      </c>
      <c r="Q1356" t="str">
        <f t="shared" si="67"/>
        <v>2023</v>
      </c>
    </row>
    <row r="1357" spans="1:17">
      <c r="A1357" s="163">
        <v>44992</v>
      </c>
      <c r="B1357" s="165" t="s">
        <v>3794</v>
      </c>
      <c r="C1357" s="165" t="s">
        <v>287</v>
      </c>
      <c r="D1357" s="165" t="s">
        <v>150</v>
      </c>
      <c r="E1357" s="123">
        <v>44986</v>
      </c>
      <c r="F1357" s="2" t="s">
        <v>16</v>
      </c>
      <c r="G1357" s="2" t="s">
        <v>3790</v>
      </c>
      <c r="H1357" s="171">
        <v>21000</v>
      </c>
      <c r="I1357" s="173">
        <f t="shared" si="65"/>
        <v>240.49473202015577</v>
      </c>
      <c r="J1357" s="163">
        <v>44992</v>
      </c>
      <c r="K1357" s="2" t="s">
        <v>251</v>
      </c>
      <c r="L1357" s="163">
        <v>44992</v>
      </c>
      <c r="M1357" s="175" t="s">
        <v>6556</v>
      </c>
      <c r="N1357" s="2"/>
      <c r="O1357" s="2" t="s">
        <v>356</v>
      </c>
      <c r="P1357" s="6" t="str">
        <f t="shared" si="66"/>
        <v>SAFe que</v>
      </c>
      <c r="Q1357" t="str">
        <f t="shared" si="67"/>
        <v>2023</v>
      </c>
    </row>
    <row r="1358" spans="1:17">
      <c r="A1358" s="163">
        <v>44993</v>
      </c>
      <c r="B1358" s="165" t="s">
        <v>3796</v>
      </c>
      <c r="C1358" s="165" t="s">
        <v>278</v>
      </c>
      <c r="D1358" s="165" t="s">
        <v>1524</v>
      </c>
      <c r="E1358" s="123">
        <v>44986</v>
      </c>
      <c r="F1358" s="2" t="s">
        <v>16</v>
      </c>
      <c r="G1358" s="2" t="s">
        <v>3719</v>
      </c>
      <c r="H1358" s="171">
        <v>24000</v>
      </c>
      <c r="I1358" s="173">
        <f t="shared" si="65"/>
        <v>274.85112230874944</v>
      </c>
      <c r="J1358" s="163">
        <v>44993</v>
      </c>
      <c r="K1358" s="2" t="s">
        <v>251</v>
      </c>
      <c r="L1358" s="163">
        <v>44993</v>
      </c>
      <c r="M1358" s="175" t="s">
        <v>6557</v>
      </c>
      <c r="N1358" s="2" t="s">
        <v>3798</v>
      </c>
      <c r="O1358" s="2" t="s">
        <v>356</v>
      </c>
      <c r="P1358" s="6" t="str">
        <f t="shared" si="66"/>
        <v>SAFe que</v>
      </c>
      <c r="Q1358" t="str">
        <f t="shared" si="67"/>
        <v>2023</v>
      </c>
    </row>
    <row r="1359" spans="1:17">
      <c r="A1359" s="163">
        <v>44994</v>
      </c>
      <c r="B1359" s="165" t="s">
        <v>3799</v>
      </c>
      <c r="C1359" s="165" t="s">
        <v>303</v>
      </c>
      <c r="D1359" s="165" t="s">
        <v>1497</v>
      </c>
      <c r="E1359" s="123">
        <v>44986</v>
      </c>
      <c r="F1359" s="2" t="s">
        <v>16</v>
      </c>
      <c r="G1359" s="2" t="s">
        <v>3719</v>
      </c>
      <c r="H1359" s="171">
        <v>24000</v>
      </c>
      <c r="I1359" s="173">
        <f t="shared" si="65"/>
        <v>274.85112230874944</v>
      </c>
      <c r="J1359" s="163">
        <v>44994</v>
      </c>
      <c r="K1359" s="2" t="s">
        <v>251</v>
      </c>
      <c r="L1359" s="163">
        <v>44994</v>
      </c>
      <c r="M1359" s="175" t="s">
        <v>6558</v>
      </c>
      <c r="N1359" s="2"/>
      <c r="O1359" s="2" t="s">
        <v>356</v>
      </c>
      <c r="P1359" s="6" t="str">
        <f t="shared" si="66"/>
        <v>SAFe que</v>
      </c>
      <c r="Q1359" t="str">
        <f t="shared" si="67"/>
        <v>2023</v>
      </c>
    </row>
    <row r="1360" spans="1:17">
      <c r="A1360" s="163">
        <v>44994</v>
      </c>
      <c r="B1360" s="165" t="s">
        <v>3801</v>
      </c>
      <c r="C1360" s="165" t="s">
        <v>278</v>
      </c>
      <c r="D1360" s="165" t="s">
        <v>1524</v>
      </c>
      <c r="E1360" s="123">
        <v>44986</v>
      </c>
      <c r="F1360" s="2" t="s">
        <v>16</v>
      </c>
      <c r="G1360" s="2" t="s">
        <v>3719</v>
      </c>
      <c r="H1360" s="171">
        <v>24000</v>
      </c>
      <c r="I1360" s="173">
        <f t="shared" si="65"/>
        <v>274.85112230874944</v>
      </c>
      <c r="J1360" s="163">
        <v>44994</v>
      </c>
      <c r="K1360" s="2" t="s">
        <v>251</v>
      </c>
      <c r="L1360" s="163">
        <v>44994</v>
      </c>
      <c r="M1360" s="175" t="s">
        <v>6559</v>
      </c>
      <c r="N1360" s="2" t="s">
        <v>3803</v>
      </c>
      <c r="O1360" s="2" t="s">
        <v>356</v>
      </c>
      <c r="P1360" s="6" t="str">
        <f t="shared" si="66"/>
        <v>SAFe que</v>
      </c>
      <c r="Q1360" t="str">
        <f t="shared" si="67"/>
        <v>2023</v>
      </c>
    </row>
    <row r="1361" spans="1:17">
      <c r="A1361" s="163">
        <v>44994</v>
      </c>
      <c r="B1361" s="165" t="s">
        <v>3804</v>
      </c>
      <c r="C1361" s="165" t="s">
        <v>278</v>
      </c>
      <c r="D1361" s="165" t="s">
        <v>1497</v>
      </c>
      <c r="E1361" s="123">
        <v>44986</v>
      </c>
      <c r="F1361" s="2" t="s">
        <v>16</v>
      </c>
      <c r="G1361" s="2" t="s">
        <v>3719</v>
      </c>
      <c r="H1361" s="171">
        <v>24000</v>
      </c>
      <c r="I1361" s="173">
        <f t="shared" si="65"/>
        <v>274.85112230874944</v>
      </c>
      <c r="J1361" s="163">
        <v>44994</v>
      </c>
      <c r="K1361" s="2" t="s">
        <v>251</v>
      </c>
      <c r="L1361" s="163">
        <v>44995</v>
      </c>
      <c r="M1361" s="175" t="s">
        <v>6560</v>
      </c>
      <c r="N1361" s="2" t="s">
        <v>3806</v>
      </c>
      <c r="O1361" s="2" t="s">
        <v>356</v>
      </c>
      <c r="P1361" s="6" t="str">
        <f t="shared" si="66"/>
        <v>SAFe que</v>
      </c>
      <c r="Q1361" t="str">
        <f t="shared" si="67"/>
        <v>2023</v>
      </c>
    </row>
    <row r="1362" spans="1:17">
      <c r="A1362" s="163">
        <v>44994</v>
      </c>
      <c r="B1362" s="165" t="s">
        <v>3807</v>
      </c>
      <c r="C1362" s="165" t="s">
        <v>278</v>
      </c>
      <c r="D1362" s="165" t="s">
        <v>1497</v>
      </c>
      <c r="E1362" s="123">
        <v>44986</v>
      </c>
      <c r="F1362" s="2" t="s">
        <v>16</v>
      </c>
      <c r="G1362" s="2" t="s">
        <v>3719</v>
      </c>
      <c r="H1362" s="171">
        <v>24000</v>
      </c>
      <c r="I1362" s="173">
        <f t="shared" si="65"/>
        <v>274.85112230874944</v>
      </c>
      <c r="J1362" s="163">
        <v>44994</v>
      </c>
      <c r="K1362" s="2" t="s">
        <v>251</v>
      </c>
      <c r="L1362" s="163">
        <v>44994</v>
      </c>
      <c r="M1362" s="175" t="s">
        <v>6561</v>
      </c>
      <c r="N1362" s="2" t="s">
        <v>3809</v>
      </c>
      <c r="O1362" s="2" t="s">
        <v>356</v>
      </c>
      <c r="P1362" s="6" t="str">
        <f t="shared" si="66"/>
        <v>SAFe que</v>
      </c>
      <c r="Q1362" t="str">
        <f t="shared" si="67"/>
        <v>2023</v>
      </c>
    </row>
    <row r="1363" spans="1:17">
      <c r="A1363" s="163">
        <v>44994</v>
      </c>
      <c r="B1363" s="165" t="s">
        <v>3810</v>
      </c>
      <c r="C1363" s="165" t="s">
        <v>291</v>
      </c>
      <c r="D1363" s="165" t="s">
        <v>25</v>
      </c>
      <c r="E1363" s="123">
        <v>44986</v>
      </c>
      <c r="F1363" s="2" t="s">
        <v>16</v>
      </c>
      <c r="G1363" s="2" t="s">
        <v>3719</v>
      </c>
      <c r="H1363" s="171">
        <v>42000</v>
      </c>
      <c r="I1363" s="173">
        <f t="shared" si="65"/>
        <v>480.98946404031153</v>
      </c>
      <c r="J1363" s="163">
        <v>44994</v>
      </c>
      <c r="K1363" s="2" t="s">
        <v>251</v>
      </c>
      <c r="L1363" s="163">
        <v>44994</v>
      </c>
      <c r="M1363" s="175" t="s">
        <v>6562</v>
      </c>
      <c r="N1363" s="2"/>
      <c r="O1363" s="2" t="s">
        <v>356</v>
      </c>
      <c r="P1363" s="6" t="str">
        <f t="shared" si="66"/>
        <v>SAFe que</v>
      </c>
      <c r="Q1363" t="str">
        <f t="shared" si="67"/>
        <v>2023</v>
      </c>
    </row>
    <row r="1364" spans="1:17">
      <c r="A1364" s="163">
        <v>44995</v>
      </c>
      <c r="B1364" s="165" t="s">
        <v>3812</v>
      </c>
      <c r="C1364" s="165" t="s">
        <v>278</v>
      </c>
      <c r="D1364" s="165" t="s">
        <v>151</v>
      </c>
      <c r="E1364" s="123">
        <v>44986</v>
      </c>
      <c r="F1364" s="2" t="s">
        <v>16</v>
      </c>
      <c r="G1364" s="2" t="s">
        <v>3790</v>
      </c>
      <c r="H1364" s="171">
        <v>21000</v>
      </c>
      <c r="I1364" s="173">
        <f t="shared" si="65"/>
        <v>240.49473202015577</v>
      </c>
      <c r="J1364" s="163">
        <v>44995</v>
      </c>
      <c r="K1364" s="2" t="s">
        <v>251</v>
      </c>
      <c r="L1364" s="163">
        <v>44995</v>
      </c>
      <c r="M1364" s="175" t="s">
        <v>6563</v>
      </c>
      <c r="N1364" s="2"/>
      <c r="O1364" s="2" t="s">
        <v>356</v>
      </c>
      <c r="P1364" s="6" t="str">
        <f t="shared" si="66"/>
        <v>SAFe que</v>
      </c>
      <c r="Q1364" t="str">
        <f t="shared" si="67"/>
        <v>2023</v>
      </c>
    </row>
    <row r="1365" spans="1:17">
      <c r="A1365" s="163">
        <v>44995</v>
      </c>
      <c r="B1365" s="165" t="s">
        <v>3814</v>
      </c>
      <c r="C1365" s="165" t="s">
        <v>278</v>
      </c>
      <c r="D1365" s="165" t="s">
        <v>1524</v>
      </c>
      <c r="E1365" s="123">
        <v>44986</v>
      </c>
      <c r="F1365" s="2" t="s">
        <v>16</v>
      </c>
      <c r="G1365" s="2" t="s">
        <v>3719</v>
      </c>
      <c r="H1365" s="171">
        <v>24000</v>
      </c>
      <c r="I1365" s="173">
        <f t="shared" si="65"/>
        <v>274.85112230874944</v>
      </c>
      <c r="J1365" s="163">
        <v>44995</v>
      </c>
      <c r="K1365" s="2" t="s">
        <v>251</v>
      </c>
      <c r="L1365" s="163">
        <v>44995</v>
      </c>
      <c r="M1365" s="175" t="s">
        <v>6564</v>
      </c>
      <c r="N1365" s="2" t="s">
        <v>3816</v>
      </c>
      <c r="O1365" s="2" t="s">
        <v>356</v>
      </c>
      <c r="P1365" s="6" t="str">
        <f t="shared" si="66"/>
        <v>SAFe que</v>
      </c>
      <c r="Q1365" t="str">
        <f t="shared" si="67"/>
        <v>2023</v>
      </c>
    </row>
    <row r="1366" spans="1:17">
      <c r="A1366" s="163">
        <v>44998</v>
      </c>
      <c r="B1366" s="165" t="s">
        <v>3817</v>
      </c>
      <c r="C1366" s="165" t="s">
        <v>278</v>
      </c>
      <c r="D1366" s="165" t="s">
        <v>151</v>
      </c>
      <c r="E1366" s="123">
        <v>44986</v>
      </c>
      <c r="F1366" s="2" t="s">
        <v>16</v>
      </c>
      <c r="G1366" s="2" t="s">
        <v>3790</v>
      </c>
      <c r="H1366" s="171">
        <v>21000</v>
      </c>
      <c r="I1366" s="173">
        <f t="shared" si="65"/>
        <v>240.49473202015577</v>
      </c>
      <c r="J1366" s="163">
        <v>44998</v>
      </c>
      <c r="K1366" s="2" t="s">
        <v>252</v>
      </c>
      <c r="L1366" s="163">
        <v>44998</v>
      </c>
      <c r="M1366" s="175" t="s">
        <v>6565</v>
      </c>
      <c r="N1366" s="2" t="s">
        <v>3819</v>
      </c>
      <c r="O1366" s="2" t="s">
        <v>356</v>
      </c>
      <c r="P1366" s="6" t="str">
        <f t="shared" si="66"/>
        <v>SAFe que</v>
      </c>
      <c r="Q1366" t="str">
        <f t="shared" si="67"/>
        <v>2023</v>
      </c>
    </row>
    <row r="1367" spans="1:17">
      <c r="A1367" s="163">
        <v>44999</v>
      </c>
      <c r="B1367" s="165" t="s">
        <v>3820</v>
      </c>
      <c r="C1367" s="165" t="s">
        <v>306</v>
      </c>
      <c r="D1367" s="165" t="s">
        <v>1524</v>
      </c>
      <c r="E1367" s="123">
        <v>44986</v>
      </c>
      <c r="F1367" s="2" t="s">
        <v>16</v>
      </c>
      <c r="G1367" s="2" t="s">
        <v>3822</v>
      </c>
      <c r="H1367" s="171">
        <v>24000</v>
      </c>
      <c r="I1367" s="173">
        <f t="shared" si="65"/>
        <v>274.85112230874944</v>
      </c>
      <c r="J1367" s="163">
        <v>44999</v>
      </c>
      <c r="K1367" s="2" t="s">
        <v>252</v>
      </c>
      <c r="L1367" s="163">
        <v>44999</v>
      </c>
      <c r="M1367" s="175" t="s">
        <v>6566</v>
      </c>
      <c r="N1367" s="2"/>
      <c r="O1367" s="2" t="s">
        <v>356</v>
      </c>
      <c r="P1367" s="6" t="str">
        <f t="shared" si="66"/>
        <v>SAFe que</v>
      </c>
      <c r="Q1367" t="str">
        <f t="shared" si="67"/>
        <v>2023</v>
      </c>
    </row>
    <row r="1368" spans="1:17">
      <c r="A1368" s="163">
        <v>44999</v>
      </c>
      <c r="B1368" s="165" t="s">
        <v>3823</v>
      </c>
      <c r="C1368" s="165" t="s">
        <v>278</v>
      </c>
      <c r="D1368" s="165" t="s">
        <v>151</v>
      </c>
      <c r="E1368" s="123">
        <v>44986</v>
      </c>
      <c r="F1368" s="2" t="s">
        <v>16</v>
      </c>
      <c r="G1368" s="2" t="s">
        <v>3790</v>
      </c>
      <c r="H1368" s="171">
        <v>21000</v>
      </c>
      <c r="I1368" s="173">
        <f t="shared" si="65"/>
        <v>240.49473202015577</v>
      </c>
      <c r="J1368" s="163">
        <v>44999</v>
      </c>
      <c r="K1368" s="2" t="s">
        <v>252</v>
      </c>
      <c r="L1368" s="163">
        <v>44999</v>
      </c>
      <c r="M1368" s="175" t="s">
        <v>6567</v>
      </c>
      <c r="N1368" s="2" t="s">
        <v>3825</v>
      </c>
      <c r="O1368" s="2" t="s">
        <v>356</v>
      </c>
      <c r="P1368" s="6" t="str">
        <f t="shared" si="66"/>
        <v>SAFe que</v>
      </c>
      <c r="Q1368" t="str">
        <f t="shared" si="67"/>
        <v>2023</v>
      </c>
    </row>
    <row r="1369" spans="1:17">
      <c r="A1369" s="163">
        <v>44999</v>
      </c>
      <c r="B1369" s="165" t="s">
        <v>3826</v>
      </c>
      <c r="C1369" s="165" t="s">
        <v>306</v>
      </c>
      <c r="D1369" s="165" t="s">
        <v>151</v>
      </c>
      <c r="E1369" s="123">
        <v>44986</v>
      </c>
      <c r="F1369" s="2" t="s">
        <v>16</v>
      </c>
      <c r="G1369" s="2" t="s">
        <v>3790</v>
      </c>
      <c r="H1369" s="171">
        <v>21000</v>
      </c>
      <c r="I1369" s="173">
        <f t="shared" si="65"/>
        <v>240.49473202015577</v>
      </c>
      <c r="J1369" s="163">
        <v>44999</v>
      </c>
      <c r="K1369" s="2" t="s">
        <v>252</v>
      </c>
      <c r="L1369" s="163">
        <v>44999</v>
      </c>
      <c r="M1369" s="175" t="s">
        <v>6568</v>
      </c>
      <c r="N1369" s="2"/>
      <c r="O1369" s="2" t="s">
        <v>356</v>
      </c>
      <c r="P1369" s="6" t="str">
        <f t="shared" si="66"/>
        <v>SAFe que</v>
      </c>
      <c r="Q1369" t="str">
        <f t="shared" si="67"/>
        <v>2023</v>
      </c>
    </row>
    <row r="1370" spans="1:17">
      <c r="A1370" s="163">
        <v>45001</v>
      </c>
      <c r="B1370" s="165" t="s">
        <v>3828</v>
      </c>
      <c r="C1370" s="165" t="s">
        <v>278</v>
      </c>
      <c r="D1370" s="165" t="s">
        <v>1524</v>
      </c>
      <c r="E1370" s="123">
        <v>44986</v>
      </c>
      <c r="F1370" s="2" t="s">
        <v>16</v>
      </c>
      <c r="G1370" s="2" t="s">
        <v>3822</v>
      </c>
      <c r="H1370" s="171">
        <v>24000</v>
      </c>
      <c r="I1370" s="173">
        <f t="shared" si="65"/>
        <v>274.85112230874944</v>
      </c>
      <c r="J1370" s="163">
        <v>45001</v>
      </c>
      <c r="K1370" s="2" t="s">
        <v>252</v>
      </c>
      <c r="L1370" s="163">
        <v>45001</v>
      </c>
      <c r="M1370" s="175" t="s">
        <v>6569</v>
      </c>
      <c r="N1370" s="2" t="s">
        <v>3830</v>
      </c>
      <c r="O1370" s="2" t="s">
        <v>356</v>
      </c>
      <c r="P1370" s="6" t="str">
        <f t="shared" si="66"/>
        <v>SAFe que</v>
      </c>
      <c r="Q1370" t="str">
        <f t="shared" si="67"/>
        <v>2023</v>
      </c>
    </row>
    <row r="1371" spans="1:17">
      <c r="A1371" s="163">
        <v>45001</v>
      </c>
      <c r="B1371" s="165" t="s">
        <v>3831</v>
      </c>
      <c r="C1371" s="165" t="s">
        <v>278</v>
      </c>
      <c r="D1371" s="165" t="s">
        <v>150</v>
      </c>
      <c r="E1371" s="123">
        <v>44986</v>
      </c>
      <c r="F1371" s="2" t="s">
        <v>16</v>
      </c>
      <c r="G1371" s="2" t="s">
        <v>3790</v>
      </c>
      <c r="H1371" s="171">
        <v>21000</v>
      </c>
      <c r="I1371" s="173">
        <f t="shared" si="65"/>
        <v>240.49473202015577</v>
      </c>
      <c r="J1371" s="163">
        <v>45001</v>
      </c>
      <c r="K1371" s="2" t="s">
        <v>252</v>
      </c>
      <c r="L1371" s="163">
        <v>45001</v>
      </c>
      <c r="M1371" s="175" t="s">
        <v>6570</v>
      </c>
      <c r="N1371" s="2" t="s">
        <v>3363</v>
      </c>
      <c r="O1371" s="2" t="s">
        <v>356</v>
      </c>
      <c r="P1371" s="6" t="str">
        <f t="shared" si="66"/>
        <v>SAFe que</v>
      </c>
      <c r="Q1371" t="str">
        <f t="shared" si="67"/>
        <v>2023</v>
      </c>
    </row>
    <row r="1372" spans="1:17">
      <c r="A1372" s="163">
        <v>45001</v>
      </c>
      <c r="B1372" s="165" t="s">
        <v>2261</v>
      </c>
      <c r="C1372" s="165" t="s">
        <v>470</v>
      </c>
      <c r="D1372" s="165" t="s">
        <v>151</v>
      </c>
      <c r="E1372" s="123">
        <v>44986</v>
      </c>
      <c r="F1372" s="2" t="s">
        <v>16</v>
      </c>
      <c r="G1372" s="2" t="s">
        <v>3790</v>
      </c>
      <c r="H1372" s="171">
        <v>21000</v>
      </c>
      <c r="I1372" s="173">
        <f t="shared" si="65"/>
        <v>240.49473202015577</v>
      </c>
      <c r="J1372" s="163">
        <v>45001</v>
      </c>
      <c r="K1372" s="2" t="s">
        <v>252</v>
      </c>
      <c r="L1372" s="163">
        <v>45001</v>
      </c>
      <c r="M1372" s="175" t="s">
        <v>6571</v>
      </c>
      <c r="N1372" s="2"/>
      <c r="O1372" s="2" t="s">
        <v>356</v>
      </c>
      <c r="P1372" s="6" t="str">
        <f t="shared" si="66"/>
        <v>SAFe que</v>
      </c>
      <c r="Q1372" t="str">
        <f t="shared" si="67"/>
        <v>2023</v>
      </c>
    </row>
    <row r="1373" spans="1:17">
      <c r="A1373" s="163">
        <v>45001</v>
      </c>
      <c r="B1373" s="165" t="s">
        <v>3833</v>
      </c>
      <c r="C1373" s="165" t="s">
        <v>470</v>
      </c>
      <c r="D1373" s="165" t="s">
        <v>151</v>
      </c>
      <c r="E1373" s="123">
        <v>44986</v>
      </c>
      <c r="F1373" s="2" t="s">
        <v>16</v>
      </c>
      <c r="G1373" s="2" t="s">
        <v>3790</v>
      </c>
      <c r="H1373" s="171">
        <v>21000</v>
      </c>
      <c r="I1373" s="173">
        <f t="shared" si="65"/>
        <v>240.49473202015577</v>
      </c>
      <c r="J1373" s="163">
        <v>45001</v>
      </c>
      <c r="K1373" s="2" t="s">
        <v>252</v>
      </c>
      <c r="L1373" s="163">
        <v>45001</v>
      </c>
      <c r="M1373" s="175" t="s">
        <v>6572</v>
      </c>
      <c r="N1373" s="2"/>
      <c r="O1373" s="2" t="s">
        <v>356</v>
      </c>
      <c r="P1373" s="6" t="str">
        <f t="shared" si="66"/>
        <v>SAFe que</v>
      </c>
      <c r="Q1373" t="str">
        <f t="shared" si="67"/>
        <v>2023</v>
      </c>
    </row>
    <row r="1374" spans="1:17">
      <c r="A1374" s="163">
        <v>45001</v>
      </c>
      <c r="B1374" s="165" t="s">
        <v>2712</v>
      </c>
      <c r="C1374" s="165" t="s">
        <v>470</v>
      </c>
      <c r="D1374" s="165" t="s">
        <v>538</v>
      </c>
      <c r="E1374" s="123">
        <v>44986</v>
      </c>
      <c r="F1374" s="2" t="s">
        <v>16</v>
      </c>
      <c r="G1374" s="125">
        <v>45005</v>
      </c>
      <c r="H1374" s="171">
        <v>45000</v>
      </c>
      <c r="I1374" s="173">
        <f t="shared" si="65"/>
        <v>515.34585432890515</v>
      </c>
      <c r="J1374" s="163">
        <v>45001</v>
      </c>
      <c r="K1374" s="2" t="s">
        <v>252</v>
      </c>
      <c r="L1374" s="163">
        <v>45001</v>
      </c>
      <c r="M1374" s="175" t="s">
        <v>6573</v>
      </c>
      <c r="N1374" s="2"/>
      <c r="O1374" s="2" t="s">
        <v>356</v>
      </c>
      <c r="P1374" s="6" t="str">
        <f t="shared" si="66"/>
        <v>NonCategory</v>
      </c>
      <c r="Q1374" t="str">
        <f t="shared" si="67"/>
        <v>2023</v>
      </c>
    </row>
    <row r="1375" spans="1:17">
      <c r="A1375" s="163">
        <v>45001</v>
      </c>
      <c r="B1375" s="165" t="s">
        <v>1368</v>
      </c>
      <c r="C1375" s="165" t="s">
        <v>278</v>
      </c>
      <c r="D1375" s="165" t="s">
        <v>151</v>
      </c>
      <c r="E1375" s="123">
        <v>44986</v>
      </c>
      <c r="F1375" s="2" t="s">
        <v>16</v>
      </c>
      <c r="G1375" s="2" t="s">
        <v>3790</v>
      </c>
      <c r="H1375" s="171">
        <v>21000</v>
      </c>
      <c r="I1375" s="173">
        <f t="shared" si="65"/>
        <v>240.49473202015577</v>
      </c>
      <c r="J1375" s="163">
        <v>45001</v>
      </c>
      <c r="K1375" s="2" t="s">
        <v>252</v>
      </c>
      <c r="L1375" s="163">
        <v>45001</v>
      </c>
      <c r="M1375" s="175" t="s">
        <v>6574</v>
      </c>
      <c r="N1375" s="2" t="s">
        <v>3835</v>
      </c>
      <c r="O1375" s="2" t="s">
        <v>356</v>
      </c>
      <c r="P1375" s="6" t="str">
        <f t="shared" si="66"/>
        <v>SAFe que</v>
      </c>
      <c r="Q1375" t="str">
        <f t="shared" si="67"/>
        <v>2023</v>
      </c>
    </row>
    <row r="1376" spans="1:17">
      <c r="A1376" s="163">
        <v>45001</v>
      </c>
      <c r="B1376" s="165" t="s">
        <v>3836</v>
      </c>
      <c r="C1376" s="165" t="s">
        <v>319</v>
      </c>
      <c r="D1376" s="165" t="s">
        <v>96</v>
      </c>
      <c r="E1376" s="123">
        <v>44986</v>
      </c>
      <c r="F1376" s="2" t="s">
        <v>16</v>
      </c>
      <c r="G1376" s="2" t="s">
        <v>3822</v>
      </c>
      <c r="H1376" s="171">
        <v>20000</v>
      </c>
      <c r="I1376" s="173">
        <f t="shared" si="65"/>
        <v>229.04260192395787</v>
      </c>
      <c r="J1376" s="163">
        <v>45001</v>
      </c>
      <c r="K1376" s="2" t="s">
        <v>252</v>
      </c>
      <c r="L1376" s="163">
        <v>45001</v>
      </c>
      <c r="M1376" s="175" t="s">
        <v>6575</v>
      </c>
      <c r="N1376" s="2"/>
      <c r="O1376" s="2" t="s">
        <v>356</v>
      </c>
      <c r="P1376" s="6" t="str">
        <f t="shared" si="66"/>
        <v>Category</v>
      </c>
      <c r="Q1376" t="str">
        <f t="shared" si="67"/>
        <v>2023</v>
      </c>
    </row>
    <row r="1377" spans="1:17">
      <c r="A1377" s="163">
        <v>45002</v>
      </c>
      <c r="B1377" s="165" t="s">
        <v>3838</v>
      </c>
      <c r="C1377" s="165" t="s">
        <v>278</v>
      </c>
      <c r="D1377" s="165" t="s">
        <v>96</v>
      </c>
      <c r="E1377" s="123">
        <v>44986</v>
      </c>
      <c r="F1377" s="2" t="s">
        <v>16</v>
      </c>
      <c r="G1377" s="2" t="s">
        <v>3790</v>
      </c>
      <c r="H1377" s="171">
        <v>20000</v>
      </c>
      <c r="I1377" s="173">
        <f t="shared" si="65"/>
        <v>229.04260192395787</v>
      </c>
      <c r="J1377" s="163">
        <v>45002</v>
      </c>
      <c r="K1377" s="2" t="s">
        <v>252</v>
      </c>
      <c r="L1377" s="163">
        <v>45002</v>
      </c>
      <c r="M1377" s="175" t="s">
        <v>6576</v>
      </c>
      <c r="N1377" s="2" t="s">
        <v>3840</v>
      </c>
      <c r="O1377" s="2" t="s">
        <v>356</v>
      </c>
      <c r="P1377" s="6" t="str">
        <f t="shared" si="66"/>
        <v>Category</v>
      </c>
      <c r="Q1377" t="str">
        <f t="shared" si="67"/>
        <v>2023</v>
      </c>
    </row>
    <row r="1378" spans="1:17">
      <c r="A1378" s="163">
        <v>45003</v>
      </c>
      <c r="B1378" s="165" t="s">
        <v>3841</v>
      </c>
      <c r="C1378" s="165" t="s">
        <v>303</v>
      </c>
      <c r="D1378" s="165" t="s">
        <v>25</v>
      </c>
      <c r="E1378" s="123">
        <v>44986</v>
      </c>
      <c r="F1378" s="2" t="s">
        <v>16</v>
      </c>
      <c r="G1378" s="2" t="s">
        <v>3822</v>
      </c>
      <c r="H1378" s="171">
        <v>40061</v>
      </c>
      <c r="I1378" s="173">
        <f t="shared" si="65"/>
        <v>458.7837837837838</v>
      </c>
      <c r="J1378" s="163">
        <v>45003</v>
      </c>
      <c r="K1378" s="2" t="s">
        <v>252</v>
      </c>
      <c r="L1378" s="163">
        <v>45003</v>
      </c>
      <c r="M1378" s="175" t="s">
        <v>6577</v>
      </c>
      <c r="N1378" s="2"/>
      <c r="O1378" s="2" t="s">
        <v>356</v>
      </c>
      <c r="P1378" s="6" t="str">
        <f t="shared" si="66"/>
        <v>SAFe que</v>
      </c>
      <c r="Q1378" t="str">
        <f t="shared" si="67"/>
        <v>2023</v>
      </c>
    </row>
    <row r="1379" spans="1:17">
      <c r="A1379" s="163">
        <v>45003</v>
      </c>
      <c r="B1379" s="165" t="s">
        <v>3843</v>
      </c>
      <c r="C1379" s="165" t="s">
        <v>278</v>
      </c>
      <c r="D1379" s="165" t="s">
        <v>3845</v>
      </c>
      <c r="E1379" s="123">
        <v>44986</v>
      </c>
      <c r="F1379" s="2" t="s">
        <v>16</v>
      </c>
      <c r="G1379" s="139">
        <v>45017</v>
      </c>
      <c r="H1379" s="171">
        <v>369750</v>
      </c>
      <c r="I1379" s="173">
        <f t="shared" si="65"/>
        <v>4234.4251030691712</v>
      </c>
      <c r="J1379" s="163">
        <v>45007</v>
      </c>
      <c r="K1379" s="2" t="s">
        <v>253</v>
      </c>
      <c r="L1379" s="163">
        <v>45006</v>
      </c>
      <c r="M1379" s="175" t="s">
        <v>6578</v>
      </c>
      <c r="N1379" s="2" t="s">
        <v>3846</v>
      </c>
      <c r="O1379" s="2" t="s">
        <v>356</v>
      </c>
      <c r="P1379" s="6" t="str">
        <f t="shared" si="66"/>
        <v>NonCategory</v>
      </c>
      <c r="Q1379" t="str">
        <f t="shared" si="67"/>
        <v>2023</v>
      </c>
    </row>
    <row r="1380" spans="1:17">
      <c r="A1380" s="163">
        <v>45003</v>
      </c>
      <c r="B1380" s="165" t="s">
        <v>3847</v>
      </c>
      <c r="C1380" s="165" t="s">
        <v>278</v>
      </c>
      <c r="D1380" s="165" t="s">
        <v>3849</v>
      </c>
      <c r="E1380" s="123">
        <v>44986</v>
      </c>
      <c r="F1380" s="2" t="s">
        <v>16</v>
      </c>
      <c r="G1380" s="139">
        <v>44986</v>
      </c>
      <c r="H1380" s="171">
        <v>38000</v>
      </c>
      <c r="I1380" s="173">
        <f t="shared" si="65"/>
        <v>435.18094365551997</v>
      </c>
      <c r="J1380" s="163">
        <v>45005</v>
      </c>
      <c r="K1380" s="2" t="s">
        <v>252</v>
      </c>
      <c r="L1380" s="163">
        <v>45003</v>
      </c>
      <c r="M1380" s="175" t="s">
        <v>6579</v>
      </c>
      <c r="N1380" s="2" t="s">
        <v>3850</v>
      </c>
      <c r="O1380" s="2" t="s">
        <v>356</v>
      </c>
      <c r="P1380" s="6" t="str">
        <f t="shared" si="66"/>
        <v>NonCategory</v>
      </c>
      <c r="Q1380" t="str">
        <f t="shared" si="67"/>
        <v>2023</v>
      </c>
    </row>
    <row r="1381" spans="1:17">
      <c r="A1381" s="163">
        <v>45003</v>
      </c>
      <c r="B1381" s="165" t="s">
        <v>3851</v>
      </c>
      <c r="C1381" s="165" t="s">
        <v>278</v>
      </c>
      <c r="D1381" s="165" t="s">
        <v>1524</v>
      </c>
      <c r="E1381" s="123">
        <v>44986</v>
      </c>
      <c r="F1381" s="2" t="s">
        <v>16</v>
      </c>
      <c r="G1381" s="2" t="s">
        <v>3822</v>
      </c>
      <c r="H1381" s="171">
        <v>24000</v>
      </c>
      <c r="I1381" s="173">
        <f t="shared" si="65"/>
        <v>274.85112230874944</v>
      </c>
      <c r="J1381" s="163">
        <v>45003</v>
      </c>
      <c r="K1381" s="2" t="s">
        <v>252</v>
      </c>
      <c r="L1381" s="163">
        <v>45003</v>
      </c>
      <c r="M1381" s="175" t="s">
        <v>6580</v>
      </c>
      <c r="N1381" s="2" t="s">
        <v>3853</v>
      </c>
      <c r="O1381" s="2" t="s">
        <v>356</v>
      </c>
      <c r="P1381" s="6" t="str">
        <f t="shared" si="66"/>
        <v>SAFe que</v>
      </c>
      <c r="Q1381" t="str">
        <f t="shared" si="67"/>
        <v>2023</v>
      </c>
    </row>
    <row r="1382" spans="1:17">
      <c r="A1382" s="163">
        <v>45005</v>
      </c>
      <c r="B1382" s="165" t="s">
        <v>3854</v>
      </c>
      <c r="C1382" s="165" t="s">
        <v>3500</v>
      </c>
      <c r="D1382" s="165" t="s">
        <v>151</v>
      </c>
      <c r="E1382" s="123">
        <v>44986</v>
      </c>
      <c r="F1382" s="2" t="s">
        <v>16</v>
      </c>
      <c r="G1382" s="2" t="s">
        <v>3856</v>
      </c>
      <c r="H1382" s="171">
        <v>21000</v>
      </c>
      <c r="I1382" s="173">
        <f t="shared" si="65"/>
        <v>240.49473202015577</v>
      </c>
      <c r="J1382" s="163">
        <v>45005</v>
      </c>
      <c r="K1382" s="2" t="s">
        <v>252</v>
      </c>
      <c r="L1382" s="163">
        <v>45005</v>
      </c>
      <c r="M1382" s="175" t="s">
        <v>6581</v>
      </c>
      <c r="N1382" s="2"/>
      <c r="O1382" s="2" t="s">
        <v>356</v>
      </c>
      <c r="P1382" s="6" t="str">
        <f t="shared" si="66"/>
        <v>SAFe que</v>
      </c>
      <c r="Q1382" t="str">
        <f t="shared" si="67"/>
        <v>2023</v>
      </c>
    </row>
    <row r="1383" spans="1:17">
      <c r="A1383" s="163">
        <v>45005</v>
      </c>
      <c r="B1383" s="165" t="s">
        <v>3857</v>
      </c>
      <c r="C1383" s="165" t="s">
        <v>319</v>
      </c>
      <c r="D1383" s="165" t="s">
        <v>1524</v>
      </c>
      <c r="E1383" s="123">
        <v>44986</v>
      </c>
      <c r="F1383" s="2" t="s">
        <v>16</v>
      </c>
      <c r="G1383" s="2" t="s">
        <v>3822</v>
      </c>
      <c r="H1383" s="171">
        <v>24000</v>
      </c>
      <c r="I1383" s="173">
        <f t="shared" si="65"/>
        <v>274.85112230874944</v>
      </c>
      <c r="J1383" s="163">
        <v>45005</v>
      </c>
      <c r="K1383" s="2" t="s">
        <v>252</v>
      </c>
      <c r="L1383" s="163">
        <v>45005</v>
      </c>
      <c r="M1383" s="175" t="s">
        <v>6582</v>
      </c>
      <c r="N1383" s="2"/>
      <c r="O1383" s="2" t="s">
        <v>356</v>
      </c>
      <c r="P1383" s="6" t="str">
        <f t="shared" si="66"/>
        <v>SAFe que</v>
      </c>
      <c r="Q1383" t="str">
        <f t="shared" si="67"/>
        <v>2023</v>
      </c>
    </row>
    <row r="1384" spans="1:17">
      <c r="A1384" s="163">
        <v>45006</v>
      </c>
      <c r="B1384" s="165" t="s">
        <v>3859</v>
      </c>
      <c r="C1384" s="165" t="s">
        <v>278</v>
      </c>
      <c r="D1384" s="165" t="s">
        <v>1524</v>
      </c>
      <c r="E1384" s="123">
        <v>44986</v>
      </c>
      <c r="F1384" s="2" t="s">
        <v>16</v>
      </c>
      <c r="G1384" s="2" t="s">
        <v>3822</v>
      </c>
      <c r="H1384" s="171">
        <v>24000</v>
      </c>
      <c r="I1384" s="173">
        <f t="shared" si="65"/>
        <v>274.85112230874944</v>
      </c>
      <c r="J1384" s="163">
        <v>45006</v>
      </c>
      <c r="K1384" s="2" t="s">
        <v>253</v>
      </c>
      <c r="L1384" s="163">
        <v>45006</v>
      </c>
      <c r="M1384" s="175" t="s">
        <v>6583</v>
      </c>
      <c r="N1384" s="2" t="s">
        <v>3861</v>
      </c>
      <c r="O1384" s="2" t="s">
        <v>356</v>
      </c>
      <c r="P1384" s="6" t="str">
        <f t="shared" si="66"/>
        <v>SAFe que</v>
      </c>
      <c r="Q1384" t="str">
        <f t="shared" si="67"/>
        <v>2023</v>
      </c>
    </row>
    <row r="1385" spans="1:17">
      <c r="A1385" s="163">
        <v>45006</v>
      </c>
      <c r="B1385" s="165" t="s">
        <v>3862</v>
      </c>
      <c r="C1385" s="165" t="s">
        <v>278</v>
      </c>
      <c r="D1385" s="165" t="s">
        <v>25</v>
      </c>
      <c r="E1385" s="123">
        <v>44986</v>
      </c>
      <c r="F1385" s="2" t="s">
        <v>16</v>
      </c>
      <c r="G1385" s="2" t="s">
        <v>3822</v>
      </c>
      <c r="H1385" s="171">
        <v>42000</v>
      </c>
      <c r="I1385" s="173">
        <f t="shared" si="65"/>
        <v>480.98946404031153</v>
      </c>
      <c r="J1385" s="163">
        <v>45006</v>
      </c>
      <c r="K1385" s="2" t="s">
        <v>253</v>
      </c>
      <c r="L1385" s="163">
        <v>45006</v>
      </c>
      <c r="M1385" s="175" t="s">
        <v>6584</v>
      </c>
      <c r="N1385" s="2" t="s">
        <v>3864</v>
      </c>
      <c r="O1385" s="2" t="s">
        <v>356</v>
      </c>
      <c r="P1385" s="6" t="str">
        <f t="shared" si="66"/>
        <v>SAFe que</v>
      </c>
      <c r="Q1385" t="str">
        <f t="shared" si="67"/>
        <v>2023</v>
      </c>
    </row>
    <row r="1386" spans="1:17">
      <c r="A1386" s="163">
        <v>45007</v>
      </c>
      <c r="B1386" s="165" t="s">
        <v>3611</v>
      </c>
      <c r="C1386" s="165" t="s">
        <v>470</v>
      </c>
      <c r="D1386" s="164" t="s">
        <v>976</v>
      </c>
      <c r="E1386" s="123">
        <v>44986</v>
      </c>
      <c r="F1386" s="2" t="s">
        <v>16</v>
      </c>
      <c r="G1386" s="2" t="s">
        <v>3865</v>
      </c>
      <c r="H1386" s="171">
        <v>19500</v>
      </c>
      <c r="I1386" s="173">
        <f t="shared" si="65"/>
        <v>223.3165368758589</v>
      </c>
      <c r="J1386" s="163">
        <v>45007</v>
      </c>
      <c r="K1386" s="2" t="s">
        <v>253</v>
      </c>
      <c r="L1386" s="163">
        <v>45006</v>
      </c>
      <c r="M1386" s="175" t="s">
        <v>6585</v>
      </c>
      <c r="N1386" s="2"/>
      <c r="O1386" s="2" t="s">
        <v>356</v>
      </c>
      <c r="P1386" s="6" t="str">
        <f t="shared" si="66"/>
        <v>NonCategory</v>
      </c>
      <c r="Q1386" t="str">
        <f t="shared" si="67"/>
        <v>2023</v>
      </c>
    </row>
    <row r="1387" spans="1:17">
      <c r="A1387" s="163">
        <v>45007</v>
      </c>
      <c r="B1387" s="165" t="s">
        <v>3041</v>
      </c>
      <c r="C1387" s="165" t="s">
        <v>278</v>
      </c>
      <c r="D1387" s="165" t="s">
        <v>1524</v>
      </c>
      <c r="E1387" s="123">
        <v>44986</v>
      </c>
      <c r="F1387" s="2" t="s">
        <v>16</v>
      </c>
      <c r="G1387" s="2" t="s">
        <v>3822</v>
      </c>
      <c r="H1387" s="171">
        <v>24000</v>
      </c>
      <c r="I1387" s="173">
        <f t="shared" si="65"/>
        <v>274.85112230874944</v>
      </c>
      <c r="J1387" s="163">
        <v>45007</v>
      </c>
      <c r="K1387" s="2" t="s">
        <v>253</v>
      </c>
      <c r="L1387" s="163">
        <v>45007</v>
      </c>
      <c r="M1387" s="175" t="s">
        <v>6586</v>
      </c>
      <c r="N1387" s="2" t="s">
        <v>3867</v>
      </c>
      <c r="O1387" s="2" t="s">
        <v>356</v>
      </c>
      <c r="P1387" s="6" t="str">
        <f t="shared" si="66"/>
        <v>SAFe que</v>
      </c>
      <c r="Q1387" t="str">
        <f t="shared" si="67"/>
        <v>2023</v>
      </c>
    </row>
    <row r="1388" spans="1:17">
      <c r="A1388" s="163">
        <v>45007</v>
      </c>
      <c r="B1388" s="165" t="s">
        <v>3868</v>
      </c>
      <c r="C1388" s="165" t="s">
        <v>278</v>
      </c>
      <c r="D1388" s="165" t="s">
        <v>1524</v>
      </c>
      <c r="E1388" s="123">
        <v>44986</v>
      </c>
      <c r="F1388" s="2" t="s">
        <v>16</v>
      </c>
      <c r="G1388" s="2" t="s">
        <v>3822</v>
      </c>
      <c r="H1388" s="171">
        <v>24000</v>
      </c>
      <c r="I1388" s="173">
        <f t="shared" si="65"/>
        <v>274.85112230874944</v>
      </c>
      <c r="J1388" s="163">
        <v>45007</v>
      </c>
      <c r="K1388" s="2" t="s">
        <v>253</v>
      </c>
      <c r="L1388" s="163">
        <v>45008</v>
      </c>
      <c r="M1388" s="175" t="s">
        <v>6587</v>
      </c>
      <c r="N1388" s="2" t="s">
        <v>3870</v>
      </c>
      <c r="O1388" s="2" t="s">
        <v>356</v>
      </c>
      <c r="P1388" s="6" t="str">
        <f t="shared" si="66"/>
        <v>SAFe que</v>
      </c>
      <c r="Q1388" t="str">
        <f t="shared" si="67"/>
        <v>2023</v>
      </c>
    </row>
    <row r="1389" spans="1:17">
      <c r="A1389" s="163">
        <v>45009</v>
      </c>
      <c r="B1389" s="165" t="s">
        <v>3871</v>
      </c>
      <c r="C1389" s="165" t="s">
        <v>291</v>
      </c>
      <c r="D1389" s="165" t="s">
        <v>150</v>
      </c>
      <c r="E1389" s="123">
        <v>44986</v>
      </c>
      <c r="F1389" s="2" t="s">
        <v>16</v>
      </c>
      <c r="G1389" s="2" t="s">
        <v>3822</v>
      </c>
      <c r="H1389" s="171">
        <v>21000</v>
      </c>
      <c r="I1389" s="173">
        <f t="shared" si="65"/>
        <v>240.49473202015577</v>
      </c>
      <c r="J1389" s="163">
        <v>45009</v>
      </c>
      <c r="K1389" s="2" t="s">
        <v>253</v>
      </c>
      <c r="L1389" s="163">
        <v>45009</v>
      </c>
      <c r="M1389" s="175" t="s">
        <v>6588</v>
      </c>
      <c r="N1389" s="2"/>
      <c r="O1389" s="2" t="s">
        <v>356</v>
      </c>
      <c r="P1389" s="6" t="str">
        <f t="shared" si="66"/>
        <v>SAFe que</v>
      </c>
      <c r="Q1389" t="str">
        <f t="shared" si="67"/>
        <v>2023</v>
      </c>
    </row>
    <row r="1390" spans="1:17">
      <c r="A1390" s="163">
        <v>45012</v>
      </c>
      <c r="B1390" s="165" t="s">
        <v>3873</v>
      </c>
      <c r="C1390" s="165" t="s">
        <v>287</v>
      </c>
      <c r="D1390" s="165" t="s">
        <v>150</v>
      </c>
      <c r="E1390" s="123">
        <v>44986</v>
      </c>
      <c r="F1390" s="2" t="s">
        <v>16</v>
      </c>
      <c r="G1390" s="2" t="s">
        <v>3856</v>
      </c>
      <c r="H1390" s="171">
        <v>21000</v>
      </c>
      <c r="I1390" s="173">
        <f t="shared" si="65"/>
        <v>240.49473202015577</v>
      </c>
      <c r="J1390" s="163">
        <v>45012</v>
      </c>
      <c r="K1390" s="2" t="s">
        <v>253</v>
      </c>
      <c r="L1390" s="163">
        <v>45012</v>
      </c>
      <c r="M1390" s="175" t="s">
        <v>6589</v>
      </c>
      <c r="N1390" s="2"/>
      <c r="O1390" s="2" t="s">
        <v>356</v>
      </c>
      <c r="P1390" s="6" t="str">
        <f t="shared" si="66"/>
        <v>SAFe que</v>
      </c>
      <c r="Q1390" t="str">
        <f t="shared" si="67"/>
        <v>2023</v>
      </c>
    </row>
    <row r="1391" spans="1:17">
      <c r="A1391" s="163">
        <v>45015</v>
      </c>
      <c r="B1391" s="165" t="s">
        <v>3875</v>
      </c>
      <c r="C1391" s="165" t="s">
        <v>287</v>
      </c>
      <c r="D1391" s="165" t="s">
        <v>538</v>
      </c>
      <c r="E1391" s="123">
        <v>44986</v>
      </c>
      <c r="F1391" s="2" t="s">
        <v>16</v>
      </c>
      <c r="G1391" s="125">
        <v>45017</v>
      </c>
      <c r="H1391" s="171">
        <v>10000</v>
      </c>
      <c r="I1391" s="173">
        <f t="shared" si="65"/>
        <v>114.52130096197894</v>
      </c>
      <c r="J1391" s="163">
        <v>45015</v>
      </c>
      <c r="K1391" s="2" t="s">
        <v>253</v>
      </c>
      <c r="L1391" s="163">
        <v>45015</v>
      </c>
      <c r="M1391" s="175" t="s">
        <v>6590</v>
      </c>
      <c r="N1391" s="2"/>
      <c r="O1391" s="2" t="s">
        <v>356</v>
      </c>
      <c r="P1391" s="6" t="str">
        <f t="shared" si="66"/>
        <v>NonCategory</v>
      </c>
      <c r="Q1391" t="str">
        <f t="shared" si="67"/>
        <v>2023</v>
      </c>
    </row>
    <row r="1392" spans="1:17">
      <c r="A1392" s="163">
        <v>45015</v>
      </c>
      <c r="B1392" s="165" t="s">
        <v>3877</v>
      </c>
      <c r="C1392" s="165" t="s">
        <v>470</v>
      </c>
      <c r="D1392" s="165" t="s">
        <v>96</v>
      </c>
      <c r="E1392" s="123">
        <v>44986</v>
      </c>
      <c r="F1392" s="2" t="s">
        <v>16</v>
      </c>
      <c r="G1392" s="2" t="s">
        <v>3856</v>
      </c>
      <c r="H1392" s="171">
        <v>20000</v>
      </c>
      <c r="I1392" s="173">
        <f t="shared" si="65"/>
        <v>229.04260192395787</v>
      </c>
      <c r="J1392" s="163">
        <v>45015</v>
      </c>
      <c r="K1392" s="2" t="s">
        <v>253</v>
      </c>
      <c r="L1392" s="163">
        <v>45015</v>
      </c>
      <c r="M1392" s="175" t="s">
        <v>6591</v>
      </c>
      <c r="N1392" s="2"/>
      <c r="O1392" s="2" t="s">
        <v>356</v>
      </c>
      <c r="P1392" s="6" t="str">
        <f t="shared" si="66"/>
        <v>Category</v>
      </c>
      <c r="Q1392" t="str">
        <f t="shared" si="67"/>
        <v>2023</v>
      </c>
    </row>
    <row r="1393" spans="1:17">
      <c r="A1393" s="163">
        <v>45015</v>
      </c>
      <c r="B1393" s="165" t="s">
        <v>3878</v>
      </c>
      <c r="C1393" s="165" t="s">
        <v>303</v>
      </c>
      <c r="D1393" s="165" t="s">
        <v>151</v>
      </c>
      <c r="E1393" s="123">
        <v>44986</v>
      </c>
      <c r="F1393" s="2" t="s">
        <v>16</v>
      </c>
      <c r="G1393" s="2" t="s">
        <v>3856</v>
      </c>
      <c r="H1393" s="171">
        <v>21000</v>
      </c>
      <c r="I1393" s="173">
        <f t="shared" si="65"/>
        <v>240.49473202015577</v>
      </c>
      <c r="J1393" s="163">
        <v>45015</v>
      </c>
      <c r="K1393" s="2" t="s">
        <v>253</v>
      </c>
      <c r="L1393" s="163">
        <v>45015</v>
      </c>
      <c r="M1393" s="175" t="s">
        <v>6592</v>
      </c>
      <c r="N1393" s="2"/>
      <c r="O1393" s="2" t="s">
        <v>356</v>
      </c>
      <c r="P1393" s="6" t="str">
        <f t="shared" si="66"/>
        <v>SAFe que</v>
      </c>
      <c r="Q1393" t="str">
        <f t="shared" si="67"/>
        <v>2023</v>
      </c>
    </row>
    <row r="1394" spans="1:17">
      <c r="A1394" s="163">
        <v>45015</v>
      </c>
      <c r="B1394" s="165" t="s">
        <v>3880</v>
      </c>
      <c r="C1394" s="165" t="s">
        <v>278</v>
      </c>
      <c r="D1394" s="165" t="s">
        <v>150</v>
      </c>
      <c r="E1394" s="123">
        <v>44986</v>
      </c>
      <c r="F1394" s="2" t="s">
        <v>16</v>
      </c>
      <c r="G1394" s="2" t="s">
        <v>3856</v>
      </c>
      <c r="H1394" s="171">
        <v>21000</v>
      </c>
      <c r="I1394" s="173">
        <f t="shared" ref="I1394:I1443" si="68">IFERROR((($H1394/1.18))/74,"")</f>
        <v>240.49473202015577</v>
      </c>
      <c r="J1394" s="163">
        <v>45015</v>
      </c>
      <c r="K1394" s="2" t="s">
        <v>253</v>
      </c>
      <c r="L1394" s="163">
        <v>45016</v>
      </c>
      <c r="M1394" s="175" t="s">
        <v>6593</v>
      </c>
      <c r="N1394" s="2" t="s">
        <v>3882</v>
      </c>
      <c r="O1394" s="2" t="s">
        <v>356</v>
      </c>
      <c r="P1394" s="6" t="str">
        <f t="shared" si="66"/>
        <v>SAFe que</v>
      </c>
      <c r="Q1394" t="str">
        <f t="shared" si="67"/>
        <v>2023</v>
      </c>
    </row>
    <row r="1395" spans="1:17">
      <c r="A1395" s="163">
        <v>45016</v>
      </c>
      <c r="B1395" s="165" t="s">
        <v>3883</v>
      </c>
      <c r="C1395" s="165" t="s">
        <v>319</v>
      </c>
      <c r="D1395" s="165" t="s">
        <v>151</v>
      </c>
      <c r="E1395" s="123">
        <v>44986</v>
      </c>
      <c r="F1395" s="2" t="s">
        <v>16</v>
      </c>
      <c r="G1395" s="2" t="s">
        <v>3885</v>
      </c>
      <c r="H1395" s="171">
        <v>21000</v>
      </c>
      <c r="I1395" s="173">
        <f t="shared" si="68"/>
        <v>240.49473202015577</v>
      </c>
      <c r="J1395" s="163">
        <v>45016</v>
      </c>
      <c r="K1395" s="2" t="s">
        <v>253</v>
      </c>
      <c r="L1395" s="163">
        <v>45016</v>
      </c>
      <c r="M1395" s="175" t="s">
        <v>6594</v>
      </c>
      <c r="N1395" s="2"/>
      <c r="O1395" s="2" t="s">
        <v>356</v>
      </c>
      <c r="P1395" s="6" t="str">
        <f t="shared" si="66"/>
        <v>SAFe que</v>
      </c>
      <c r="Q1395" t="str">
        <f t="shared" si="67"/>
        <v>2023</v>
      </c>
    </row>
    <row r="1396" spans="1:17">
      <c r="A1396" s="163">
        <v>45016</v>
      </c>
      <c r="B1396" s="165" t="s">
        <v>3886</v>
      </c>
      <c r="C1396" s="165" t="s">
        <v>319</v>
      </c>
      <c r="D1396" s="165" t="s">
        <v>25</v>
      </c>
      <c r="E1396" s="123">
        <v>44986</v>
      </c>
      <c r="F1396" s="2" t="s">
        <v>16</v>
      </c>
      <c r="G1396" s="2" t="s">
        <v>3856</v>
      </c>
      <c r="H1396" s="171">
        <v>40061</v>
      </c>
      <c r="I1396" s="173">
        <f t="shared" si="68"/>
        <v>458.7837837837838</v>
      </c>
      <c r="J1396" s="163">
        <v>45016</v>
      </c>
      <c r="K1396" s="2" t="s">
        <v>253</v>
      </c>
      <c r="L1396" s="163">
        <v>45016</v>
      </c>
      <c r="M1396" s="175" t="s">
        <v>6595</v>
      </c>
      <c r="N1396" s="2"/>
      <c r="O1396" s="2" t="s">
        <v>356</v>
      </c>
      <c r="P1396" s="6" t="str">
        <f t="shared" si="66"/>
        <v>SAFe que</v>
      </c>
      <c r="Q1396" t="str">
        <f t="shared" si="67"/>
        <v>2023</v>
      </c>
    </row>
    <row r="1397" spans="1:17">
      <c r="A1397" s="163">
        <v>45019</v>
      </c>
      <c r="B1397" s="165" t="s">
        <v>3888</v>
      </c>
      <c r="C1397" s="165" t="s">
        <v>306</v>
      </c>
      <c r="D1397" s="165" t="s">
        <v>1524</v>
      </c>
      <c r="E1397" s="123">
        <v>45017</v>
      </c>
      <c r="F1397" s="2" t="s">
        <v>16</v>
      </c>
      <c r="G1397" s="2" t="s">
        <v>3890</v>
      </c>
      <c r="H1397" s="171">
        <v>24000</v>
      </c>
      <c r="I1397" s="173">
        <f t="shared" si="68"/>
        <v>274.85112230874944</v>
      </c>
      <c r="J1397" s="163">
        <v>45019</v>
      </c>
      <c r="K1397" s="2" t="s">
        <v>3891</v>
      </c>
      <c r="L1397" s="163">
        <v>45019</v>
      </c>
      <c r="M1397" s="175" t="s">
        <v>6596</v>
      </c>
      <c r="N1397" s="2"/>
      <c r="O1397" s="2" t="s">
        <v>356</v>
      </c>
      <c r="P1397" s="6" t="str">
        <f t="shared" si="66"/>
        <v>SAFe que</v>
      </c>
      <c r="Q1397" t="str">
        <f t="shared" si="67"/>
        <v>2023</v>
      </c>
    </row>
    <row r="1398" spans="1:17">
      <c r="A1398" s="163">
        <v>45019</v>
      </c>
      <c r="B1398" s="165" t="s">
        <v>3892</v>
      </c>
      <c r="C1398" s="165" t="s">
        <v>319</v>
      </c>
      <c r="D1398" s="165" t="s">
        <v>151</v>
      </c>
      <c r="E1398" s="123">
        <v>45017</v>
      </c>
      <c r="F1398" s="2" t="s">
        <v>16</v>
      </c>
      <c r="G1398" s="2" t="s">
        <v>3885</v>
      </c>
      <c r="H1398" s="171">
        <v>21000</v>
      </c>
      <c r="I1398" s="173">
        <f t="shared" si="68"/>
        <v>240.49473202015577</v>
      </c>
      <c r="J1398" s="163">
        <v>45019</v>
      </c>
      <c r="K1398" s="2" t="s">
        <v>3891</v>
      </c>
      <c r="L1398" s="163">
        <v>45019</v>
      </c>
      <c r="M1398" s="175" t="s">
        <v>6597</v>
      </c>
      <c r="N1398" s="2"/>
      <c r="O1398" s="2" t="s">
        <v>356</v>
      </c>
      <c r="P1398" s="6" t="str">
        <f t="shared" si="66"/>
        <v>SAFe que</v>
      </c>
      <c r="Q1398" t="str">
        <f t="shared" si="67"/>
        <v>2023</v>
      </c>
    </row>
    <row r="1399" spans="1:17">
      <c r="A1399" s="163">
        <v>45019</v>
      </c>
      <c r="B1399" s="165" t="s">
        <v>2833</v>
      </c>
      <c r="C1399" s="165" t="s">
        <v>278</v>
      </c>
      <c r="D1399" s="165" t="s">
        <v>96</v>
      </c>
      <c r="E1399" s="123">
        <v>45017</v>
      </c>
      <c r="F1399" s="2" t="s">
        <v>16</v>
      </c>
      <c r="G1399" s="2" t="s">
        <v>3885</v>
      </c>
      <c r="H1399" s="171">
        <v>20000</v>
      </c>
      <c r="I1399" s="173">
        <f t="shared" si="68"/>
        <v>229.04260192395787</v>
      </c>
      <c r="J1399" s="163">
        <v>45019</v>
      </c>
      <c r="K1399" s="2" t="s">
        <v>3891</v>
      </c>
      <c r="L1399" s="163">
        <v>45020</v>
      </c>
      <c r="M1399" s="175" t="s">
        <v>6598</v>
      </c>
      <c r="N1399" s="2" t="s">
        <v>3363</v>
      </c>
      <c r="O1399" s="2" t="s">
        <v>356</v>
      </c>
      <c r="P1399" s="6" t="str">
        <f t="shared" si="66"/>
        <v>Category</v>
      </c>
      <c r="Q1399" t="str">
        <f t="shared" si="67"/>
        <v>2023</v>
      </c>
    </row>
    <row r="1400" spans="1:17">
      <c r="A1400" s="163">
        <v>45020</v>
      </c>
      <c r="B1400" s="165" t="s">
        <v>3895</v>
      </c>
      <c r="C1400" s="165" t="s">
        <v>278</v>
      </c>
      <c r="D1400" s="165" t="s">
        <v>25</v>
      </c>
      <c r="E1400" s="123">
        <v>45017</v>
      </c>
      <c r="F1400" s="2" t="s">
        <v>16</v>
      </c>
      <c r="G1400" s="2" t="s">
        <v>3897</v>
      </c>
      <c r="H1400" s="171">
        <v>42000</v>
      </c>
      <c r="I1400" s="173">
        <f t="shared" si="68"/>
        <v>480.98946404031153</v>
      </c>
      <c r="J1400" s="163">
        <v>45020</v>
      </c>
      <c r="K1400" s="2" t="s">
        <v>3891</v>
      </c>
      <c r="L1400" s="163">
        <v>45020</v>
      </c>
      <c r="M1400" s="175" t="s">
        <v>6599</v>
      </c>
      <c r="N1400" s="2" t="s">
        <v>3898</v>
      </c>
      <c r="O1400" s="2" t="s">
        <v>356</v>
      </c>
      <c r="P1400" s="6" t="str">
        <f t="shared" si="66"/>
        <v>SAFe que</v>
      </c>
      <c r="Q1400" t="str">
        <f t="shared" si="67"/>
        <v>2023</v>
      </c>
    </row>
    <row r="1401" spans="1:17">
      <c r="A1401" s="163">
        <v>45022</v>
      </c>
      <c r="B1401" s="165" t="s">
        <v>2436</v>
      </c>
      <c r="C1401" s="165" t="s">
        <v>470</v>
      </c>
      <c r="D1401" s="165" t="s">
        <v>538</v>
      </c>
      <c r="E1401" s="123">
        <v>45017</v>
      </c>
      <c r="F1401" s="2" t="s">
        <v>16</v>
      </c>
      <c r="G1401" s="125">
        <v>45024</v>
      </c>
      <c r="H1401" s="171">
        <v>10000</v>
      </c>
      <c r="I1401" s="173">
        <f t="shared" si="68"/>
        <v>114.52130096197894</v>
      </c>
      <c r="J1401" s="163">
        <v>45022</v>
      </c>
      <c r="K1401" s="2" t="s">
        <v>3891</v>
      </c>
      <c r="L1401" s="163">
        <v>45023</v>
      </c>
      <c r="M1401" s="175" t="s">
        <v>6600</v>
      </c>
      <c r="N1401" s="2"/>
      <c r="O1401" s="2" t="s">
        <v>356</v>
      </c>
      <c r="P1401" s="6" t="str">
        <f t="shared" si="66"/>
        <v>NonCategory</v>
      </c>
      <c r="Q1401" t="str">
        <f t="shared" si="67"/>
        <v>2023</v>
      </c>
    </row>
    <row r="1402" spans="1:17">
      <c r="A1402" s="163">
        <v>45022</v>
      </c>
      <c r="B1402" s="165" t="s">
        <v>3899</v>
      </c>
      <c r="C1402" s="165" t="s">
        <v>319</v>
      </c>
      <c r="D1402" s="165" t="s">
        <v>151</v>
      </c>
      <c r="E1402" s="123">
        <v>45017</v>
      </c>
      <c r="F1402" s="2" t="s">
        <v>16</v>
      </c>
      <c r="G1402" s="2" t="s">
        <v>3885</v>
      </c>
      <c r="H1402" s="171">
        <v>21000</v>
      </c>
      <c r="I1402" s="173">
        <f t="shared" si="68"/>
        <v>240.49473202015577</v>
      </c>
      <c r="J1402" s="163">
        <v>45022</v>
      </c>
      <c r="K1402" s="2" t="s">
        <v>3891</v>
      </c>
      <c r="L1402" s="163">
        <v>45022</v>
      </c>
      <c r="M1402" s="175" t="s">
        <v>6601</v>
      </c>
      <c r="N1402" s="2"/>
      <c r="O1402" s="2" t="s">
        <v>356</v>
      </c>
      <c r="P1402" s="6" t="str">
        <f t="shared" si="66"/>
        <v>SAFe que</v>
      </c>
      <c r="Q1402" t="str">
        <f t="shared" si="67"/>
        <v>2023</v>
      </c>
    </row>
    <row r="1403" spans="1:17">
      <c r="A1403" s="163">
        <v>45023</v>
      </c>
      <c r="B1403" s="165" t="s">
        <v>3901</v>
      </c>
      <c r="C1403" s="165" t="s">
        <v>343</v>
      </c>
      <c r="D1403" s="165" t="s">
        <v>96</v>
      </c>
      <c r="E1403" s="123">
        <v>45017</v>
      </c>
      <c r="F1403" s="2" t="s">
        <v>16</v>
      </c>
      <c r="G1403" s="2" t="s">
        <v>3903</v>
      </c>
      <c r="H1403" s="171">
        <v>20000</v>
      </c>
      <c r="I1403" s="173">
        <f t="shared" si="68"/>
        <v>229.04260192395787</v>
      </c>
      <c r="J1403" s="163">
        <v>45023</v>
      </c>
      <c r="K1403" s="2" t="s">
        <v>3891</v>
      </c>
      <c r="L1403" s="163">
        <v>45023</v>
      </c>
      <c r="M1403" s="175" t="s">
        <v>6602</v>
      </c>
      <c r="N1403" s="2"/>
      <c r="O1403" s="2" t="s">
        <v>3904</v>
      </c>
      <c r="P1403" s="6" t="str">
        <f t="shared" si="66"/>
        <v>Category</v>
      </c>
      <c r="Q1403" t="str">
        <f t="shared" si="67"/>
        <v>2023</v>
      </c>
    </row>
    <row r="1404" spans="1:17">
      <c r="A1404" s="163">
        <v>45023</v>
      </c>
      <c r="B1404" s="165" t="s">
        <v>3905</v>
      </c>
      <c r="C1404" s="165" t="s">
        <v>291</v>
      </c>
      <c r="D1404" s="165" t="s">
        <v>1524</v>
      </c>
      <c r="E1404" s="123">
        <v>45017</v>
      </c>
      <c r="F1404" s="2" t="s">
        <v>16</v>
      </c>
      <c r="G1404" s="2" t="s">
        <v>3907</v>
      </c>
      <c r="H1404" s="171">
        <v>24000</v>
      </c>
      <c r="I1404" s="173">
        <f t="shared" si="68"/>
        <v>274.85112230874944</v>
      </c>
      <c r="J1404" s="163">
        <v>45023</v>
      </c>
      <c r="K1404" s="2" t="s">
        <v>3891</v>
      </c>
      <c r="L1404" s="163">
        <v>45023</v>
      </c>
      <c r="M1404" s="175" t="s">
        <v>6603</v>
      </c>
      <c r="N1404" s="2"/>
      <c r="O1404" s="2" t="s">
        <v>356</v>
      </c>
      <c r="P1404" s="6" t="str">
        <f t="shared" si="66"/>
        <v>SAFe que</v>
      </c>
      <c r="Q1404" t="str">
        <f t="shared" si="67"/>
        <v>2023</v>
      </c>
    </row>
    <row r="1405" spans="1:17">
      <c r="A1405" s="163">
        <v>45026</v>
      </c>
      <c r="B1405" s="165" t="s">
        <v>3908</v>
      </c>
      <c r="C1405" s="165" t="s">
        <v>319</v>
      </c>
      <c r="D1405" s="165" t="s">
        <v>6</v>
      </c>
      <c r="E1405" s="123">
        <v>45017</v>
      </c>
      <c r="F1405" s="2" t="s">
        <v>16</v>
      </c>
      <c r="G1405" s="2" t="s">
        <v>3885</v>
      </c>
      <c r="H1405" s="171">
        <v>40061</v>
      </c>
      <c r="I1405" s="173">
        <f t="shared" si="68"/>
        <v>458.7837837837838</v>
      </c>
      <c r="J1405" s="163">
        <v>45026</v>
      </c>
      <c r="K1405" s="2" t="s">
        <v>3891</v>
      </c>
      <c r="L1405" s="163">
        <v>45026</v>
      </c>
      <c r="M1405" s="175" t="s">
        <v>6604</v>
      </c>
      <c r="N1405" s="2"/>
      <c r="O1405" s="2" t="s">
        <v>356</v>
      </c>
      <c r="P1405" s="6" t="str">
        <f t="shared" si="66"/>
        <v>SAFe que</v>
      </c>
      <c r="Q1405" t="str">
        <f t="shared" si="67"/>
        <v>2023</v>
      </c>
    </row>
    <row r="1406" spans="1:17">
      <c r="A1406" s="163">
        <v>45026</v>
      </c>
      <c r="B1406" s="165" t="s">
        <v>3910</v>
      </c>
      <c r="C1406" s="165" t="s">
        <v>278</v>
      </c>
      <c r="D1406" s="165" t="s">
        <v>150</v>
      </c>
      <c r="E1406" s="123">
        <v>45017</v>
      </c>
      <c r="F1406" s="2" t="s">
        <v>16</v>
      </c>
      <c r="G1406" s="2" t="s">
        <v>3912</v>
      </c>
      <c r="H1406" s="171">
        <v>21000</v>
      </c>
      <c r="I1406" s="173">
        <f t="shared" si="68"/>
        <v>240.49473202015577</v>
      </c>
      <c r="J1406" s="163">
        <v>45026</v>
      </c>
      <c r="K1406" s="2" t="s">
        <v>3891</v>
      </c>
      <c r="L1406" s="163">
        <v>45026</v>
      </c>
      <c r="M1406" s="175" t="s">
        <v>6605</v>
      </c>
      <c r="N1406" s="2" t="s">
        <v>3913</v>
      </c>
      <c r="O1406" s="2" t="s">
        <v>356</v>
      </c>
      <c r="P1406" s="6" t="str">
        <f t="shared" si="66"/>
        <v>SAFe que</v>
      </c>
      <c r="Q1406" t="str">
        <f t="shared" si="67"/>
        <v>2023</v>
      </c>
    </row>
    <row r="1407" spans="1:17">
      <c r="A1407" s="163">
        <v>45029</v>
      </c>
      <c r="B1407" s="165" t="s">
        <v>3914</v>
      </c>
      <c r="C1407" s="165" t="s">
        <v>319</v>
      </c>
      <c r="D1407" s="165" t="s">
        <v>96</v>
      </c>
      <c r="E1407" s="123">
        <v>45017</v>
      </c>
      <c r="F1407" s="2" t="s">
        <v>16</v>
      </c>
      <c r="G1407" s="2" t="s">
        <v>3885</v>
      </c>
      <c r="H1407" s="171">
        <v>20000</v>
      </c>
      <c r="I1407" s="173">
        <f t="shared" si="68"/>
        <v>229.04260192395787</v>
      </c>
      <c r="J1407" s="163">
        <v>45029</v>
      </c>
      <c r="K1407" s="2" t="s">
        <v>3891</v>
      </c>
      <c r="L1407" s="163">
        <v>45029</v>
      </c>
      <c r="M1407" s="175" t="s">
        <v>6606</v>
      </c>
      <c r="N1407" s="2"/>
      <c r="O1407" s="2" t="s">
        <v>356</v>
      </c>
      <c r="P1407" s="6" t="str">
        <f t="shared" si="66"/>
        <v>Category</v>
      </c>
      <c r="Q1407" t="str">
        <f t="shared" si="67"/>
        <v>2023</v>
      </c>
    </row>
    <row r="1408" spans="1:17">
      <c r="A1408" s="163">
        <v>45030</v>
      </c>
      <c r="B1408" s="165" t="s">
        <v>3916</v>
      </c>
      <c r="C1408" s="165" t="s">
        <v>3500</v>
      </c>
      <c r="D1408" s="165" t="s">
        <v>150</v>
      </c>
      <c r="E1408" s="123">
        <v>45017</v>
      </c>
      <c r="F1408" s="2" t="s">
        <v>16</v>
      </c>
      <c r="G1408" s="2" t="s">
        <v>3885</v>
      </c>
      <c r="H1408" s="171">
        <v>21000</v>
      </c>
      <c r="I1408" s="173">
        <f t="shared" si="68"/>
        <v>240.49473202015577</v>
      </c>
      <c r="J1408" s="163">
        <v>45030</v>
      </c>
      <c r="K1408" s="2" t="s">
        <v>3891</v>
      </c>
      <c r="L1408" s="163">
        <v>45030</v>
      </c>
      <c r="M1408" s="175" t="s">
        <v>6607</v>
      </c>
      <c r="N1408" s="2"/>
      <c r="O1408" s="2" t="s">
        <v>356</v>
      </c>
      <c r="P1408" s="6" t="str">
        <f t="shared" si="66"/>
        <v>SAFe que</v>
      </c>
      <c r="Q1408" t="str">
        <f t="shared" si="67"/>
        <v>2023</v>
      </c>
    </row>
    <row r="1409" spans="1:17">
      <c r="A1409" s="163">
        <v>45033</v>
      </c>
      <c r="B1409" s="165" t="s">
        <v>3918</v>
      </c>
      <c r="C1409" s="165" t="s">
        <v>278</v>
      </c>
      <c r="D1409" s="164" t="s">
        <v>976</v>
      </c>
      <c r="E1409" s="123">
        <v>45017</v>
      </c>
      <c r="F1409" s="2" t="s">
        <v>16</v>
      </c>
      <c r="G1409" s="2" t="s">
        <v>21</v>
      </c>
      <c r="H1409" s="171">
        <v>47939</v>
      </c>
      <c r="I1409" s="173">
        <f t="shared" si="68"/>
        <v>549.00366468163088</v>
      </c>
      <c r="J1409" s="163">
        <v>45033</v>
      </c>
      <c r="K1409" s="2" t="s">
        <v>3920</v>
      </c>
      <c r="L1409" s="163">
        <v>45033</v>
      </c>
      <c r="M1409" s="175" t="s">
        <v>6608</v>
      </c>
      <c r="N1409" s="2"/>
      <c r="O1409" s="2" t="s">
        <v>356</v>
      </c>
      <c r="P1409" s="6" t="str">
        <f t="shared" si="66"/>
        <v>NonCategory</v>
      </c>
      <c r="Q1409" t="str">
        <f t="shared" si="67"/>
        <v>2023</v>
      </c>
    </row>
    <row r="1410" spans="1:17">
      <c r="A1410" s="163">
        <v>45034</v>
      </c>
      <c r="B1410" s="165" t="s">
        <v>3921</v>
      </c>
      <c r="C1410" s="165" t="s">
        <v>278</v>
      </c>
      <c r="D1410" s="165" t="s">
        <v>96</v>
      </c>
      <c r="E1410" s="123">
        <v>45017</v>
      </c>
      <c r="F1410" s="2" t="s">
        <v>16</v>
      </c>
      <c r="G1410" s="2" t="s">
        <v>3923</v>
      </c>
      <c r="H1410" s="171">
        <v>20000</v>
      </c>
      <c r="I1410" s="173">
        <f t="shared" si="68"/>
        <v>229.04260192395787</v>
      </c>
      <c r="J1410" s="163">
        <v>45034</v>
      </c>
      <c r="K1410" s="2" t="s">
        <v>3920</v>
      </c>
      <c r="L1410" s="163">
        <v>45034</v>
      </c>
      <c r="M1410" s="175" t="s">
        <v>6609</v>
      </c>
      <c r="N1410" s="2"/>
      <c r="O1410" s="2" t="s">
        <v>356</v>
      </c>
      <c r="P1410" s="6" t="str">
        <f t="shared" ref="P1410:P1443" si="69">IFERROR(_xlfn.IFS($D1410="CSM","Category",$D1410="CSPO","Category", $D1410="PSM","SAFe que",$D1410="PSPO","SAFe que",$D1410="SAFe Agile","SAFe que",$D1410="SAFe SSM","SAFe que",$D1410="SAFe POPM","SAFe que",$D1410="SASM","SAFe que",$D1410="PMI-ACP","Category",$D1410="ICP-ACC","SAFe que",$D1410="PSM 2","SAFe que",$D1410="SAFe RTE","SAFe que",$D1410="Implementing SAFe","SAFe que",$D1410="SAFe for Government","SAFe que",$D1410="PSPO 2","SAFe que",$D1410="",""),"NonCategory")</f>
        <v>Category</v>
      </c>
      <c r="Q1410" t="str">
        <f t="shared" ref="Q1410:Q1443" si="70">TEXT(E1410, "yyyy")</f>
        <v>2023</v>
      </c>
    </row>
    <row r="1411" spans="1:17">
      <c r="A1411" s="163">
        <v>45034</v>
      </c>
      <c r="B1411" s="165" t="s">
        <v>3924</v>
      </c>
      <c r="C1411" s="165" t="s">
        <v>278</v>
      </c>
      <c r="D1411" s="165" t="s">
        <v>1524</v>
      </c>
      <c r="E1411" s="123">
        <v>45017</v>
      </c>
      <c r="F1411" s="2" t="s">
        <v>16</v>
      </c>
      <c r="G1411" s="2" t="s">
        <v>3890</v>
      </c>
      <c r="H1411" s="171">
        <v>24000</v>
      </c>
      <c r="I1411" s="173">
        <f t="shared" si="68"/>
        <v>274.85112230874944</v>
      </c>
      <c r="J1411" s="163">
        <v>45034</v>
      </c>
      <c r="K1411" s="2" t="s">
        <v>3920</v>
      </c>
      <c r="L1411" s="163">
        <v>45034</v>
      </c>
      <c r="M1411" s="175" t="s">
        <v>6610</v>
      </c>
      <c r="N1411" s="2" t="s">
        <v>3926</v>
      </c>
      <c r="O1411" s="2" t="s">
        <v>356</v>
      </c>
      <c r="P1411" s="6" t="str">
        <f t="shared" si="69"/>
        <v>SAFe que</v>
      </c>
      <c r="Q1411" t="str">
        <f t="shared" si="70"/>
        <v>2023</v>
      </c>
    </row>
    <row r="1412" spans="1:17">
      <c r="A1412" s="163">
        <v>45036</v>
      </c>
      <c r="B1412" s="165" t="s">
        <v>3927</v>
      </c>
      <c r="C1412" s="165" t="s">
        <v>291</v>
      </c>
      <c r="D1412" s="165" t="s">
        <v>151</v>
      </c>
      <c r="E1412" s="123">
        <v>45017</v>
      </c>
      <c r="F1412" s="2" t="s">
        <v>16</v>
      </c>
      <c r="G1412" s="2" t="s">
        <v>3903</v>
      </c>
      <c r="H1412" s="171">
        <v>20000</v>
      </c>
      <c r="I1412" s="173">
        <f t="shared" si="68"/>
        <v>229.04260192395787</v>
      </c>
      <c r="J1412" s="163">
        <v>45036</v>
      </c>
      <c r="K1412" s="2" t="s">
        <v>3920</v>
      </c>
      <c r="L1412" s="163">
        <v>45036</v>
      </c>
      <c r="M1412" s="175" t="s">
        <v>6611</v>
      </c>
      <c r="N1412" s="2"/>
      <c r="O1412" s="2" t="s">
        <v>3904</v>
      </c>
      <c r="P1412" s="6" t="str">
        <f t="shared" si="69"/>
        <v>SAFe que</v>
      </c>
      <c r="Q1412" t="str">
        <f t="shared" si="70"/>
        <v>2023</v>
      </c>
    </row>
    <row r="1413" spans="1:17">
      <c r="A1413" s="163">
        <v>45036</v>
      </c>
      <c r="B1413" s="165" t="s">
        <v>1742</v>
      </c>
      <c r="C1413" s="165" t="s">
        <v>278</v>
      </c>
      <c r="D1413" s="165" t="s">
        <v>96</v>
      </c>
      <c r="E1413" s="123">
        <v>45017</v>
      </c>
      <c r="F1413" s="2" t="s">
        <v>16</v>
      </c>
      <c r="G1413" s="2" t="s">
        <v>3890</v>
      </c>
      <c r="H1413" s="171">
        <v>20000</v>
      </c>
      <c r="I1413" s="173">
        <f t="shared" si="68"/>
        <v>229.04260192395787</v>
      </c>
      <c r="J1413" s="163">
        <v>45036</v>
      </c>
      <c r="K1413" s="2" t="s">
        <v>3920</v>
      </c>
      <c r="L1413" s="163">
        <v>45036</v>
      </c>
      <c r="M1413" s="175" t="s">
        <v>6612</v>
      </c>
      <c r="N1413" s="2"/>
      <c r="O1413" s="2" t="s">
        <v>356</v>
      </c>
      <c r="P1413" s="6" t="str">
        <f t="shared" si="69"/>
        <v>Category</v>
      </c>
      <c r="Q1413" t="str">
        <f t="shared" si="70"/>
        <v>2023</v>
      </c>
    </row>
    <row r="1414" spans="1:17">
      <c r="A1414" s="163">
        <v>45037</v>
      </c>
      <c r="B1414" s="165" t="s">
        <v>3930</v>
      </c>
      <c r="C1414" s="165" t="s">
        <v>319</v>
      </c>
      <c r="D1414" s="165" t="s">
        <v>150</v>
      </c>
      <c r="E1414" s="123">
        <v>45017</v>
      </c>
      <c r="F1414" s="2" t="s">
        <v>16</v>
      </c>
      <c r="G1414" s="2" t="s">
        <v>3932</v>
      </c>
      <c r="H1414" s="171">
        <v>21000</v>
      </c>
      <c r="I1414" s="173">
        <f t="shared" si="68"/>
        <v>240.49473202015577</v>
      </c>
      <c r="J1414" s="163">
        <v>45037</v>
      </c>
      <c r="K1414" s="2" t="s">
        <v>3920</v>
      </c>
      <c r="L1414" s="163">
        <v>45037</v>
      </c>
      <c r="M1414" s="175" t="s">
        <v>6613</v>
      </c>
      <c r="N1414" s="2"/>
      <c r="O1414" s="2" t="s">
        <v>356</v>
      </c>
      <c r="P1414" s="6" t="str">
        <f t="shared" si="69"/>
        <v>SAFe que</v>
      </c>
      <c r="Q1414" t="str">
        <f t="shared" si="70"/>
        <v>2023</v>
      </c>
    </row>
    <row r="1415" spans="1:17">
      <c r="A1415" s="163">
        <v>45037</v>
      </c>
      <c r="B1415" s="165" t="s">
        <v>3933</v>
      </c>
      <c r="C1415" s="165" t="s">
        <v>319</v>
      </c>
      <c r="D1415" s="165" t="s">
        <v>1524</v>
      </c>
      <c r="E1415" s="123">
        <v>45017</v>
      </c>
      <c r="F1415" s="2" t="s">
        <v>16</v>
      </c>
      <c r="G1415" s="2" t="s">
        <v>3890</v>
      </c>
      <c r="H1415" s="171">
        <v>24000</v>
      </c>
      <c r="I1415" s="173">
        <f t="shared" si="68"/>
        <v>274.85112230874944</v>
      </c>
      <c r="J1415" s="163">
        <v>45037</v>
      </c>
      <c r="K1415" s="2" t="s">
        <v>3920</v>
      </c>
      <c r="L1415" s="163">
        <v>45037</v>
      </c>
      <c r="M1415" s="175" t="s">
        <v>6614</v>
      </c>
      <c r="N1415" s="2"/>
      <c r="O1415" s="2" t="s">
        <v>356</v>
      </c>
      <c r="P1415" s="6" t="str">
        <f t="shared" si="69"/>
        <v>SAFe que</v>
      </c>
      <c r="Q1415" t="str">
        <f t="shared" si="70"/>
        <v>2023</v>
      </c>
    </row>
    <row r="1416" spans="1:17">
      <c r="A1416" s="163">
        <v>45042</v>
      </c>
      <c r="B1416" s="165" t="s">
        <v>3935</v>
      </c>
      <c r="C1416" s="165" t="s">
        <v>343</v>
      </c>
      <c r="D1416" s="165" t="s">
        <v>96</v>
      </c>
      <c r="E1416" s="123">
        <v>45017</v>
      </c>
      <c r="F1416" s="2" t="s">
        <v>16</v>
      </c>
      <c r="G1416" s="2" t="s">
        <v>3932</v>
      </c>
      <c r="H1416" s="171">
        <v>20000</v>
      </c>
      <c r="I1416" s="173">
        <f t="shared" si="68"/>
        <v>229.04260192395787</v>
      </c>
      <c r="J1416" s="163">
        <v>45042</v>
      </c>
      <c r="K1416" s="2" t="s">
        <v>3920</v>
      </c>
      <c r="L1416" s="163">
        <v>45042</v>
      </c>
      <c r="M1416" s="175" t="s">
        <v>6615</v>
      </c>
      <c r="N1416" s="2"/>
      <c r="O1416" s="2" t="s">
        <v>356</v>
      </c>
      <c r="P1416" s="6" t="str">
        <f t="shared" si="69"/>
        <v>Category</v>
      </c>
      <c r="Q1416" t="str">
        <f t="shared" si="70"/>
        <v>2023</v>
      </c>
    </row>
    <row r="1417" spans="1:17">
      <c r="A1417" s="163">
        <v>45043</v>
      </c>
      <c r="B1417" s="165" t="s">
        <v>3937</v>
      </c>
      <c r="C1417" s="165" t="s">
        <v>470</v>
      </c>
      <c r="D1417" s="165" t="s">
        <v>6</v>
      </c>
      <c r="E1417" s="123">
        <v>45017</v>
      </c>
      <c r="F1417" s="2" t="s">
        <v>16</v>
      </c>
      <c r="G1417" s="2" t="s">
        <v>3912</v>
      </c>
      <c r="H1417" s="171">
        <v>40061</v>
      </c>
      <c r="I1417" s="173">
        <f t="shared" si="68"/>
        <v>458.7837837837838</v>
      </c>
      <c r="J1417" s="163">
        <v>45043</v>
      </c>
      <c r="K1417" s="2" t="s">
        <v>3920</v>
      </c>
      <c r="L1417" s="163">
        <v>45043</v>
      </c>
      <c r="M1417" s="175" t="s">
        <v>6616</v>
      </c>
      <c r="N1417" s="2"/>
      <c r="O1417" s="2" t="s">
        <v>356</v>
      </c>
      <c r="P1417" s="6" t="str">
        <f t="shared" si="69"/>
        <v>SAFe que</v>
      </c>
      <c r="Q1417" t="str">
        <f t="shared" si="70"/>
        <v>2023</v>
      </c>
    </row>
    <row r="1418" spans="1:17">
      <c r="A1418" s="163">
        <v>45047</v>
      </c>
      <c r="B1418" s="165" t="s">
        <v>3939</v>
      </c>
      <c r="C1418" s="165" t="s">
        <v>319</v>
      </c>
      <c r="D1418" s="165" t="s">
        <v>6</v>
      </c>
      <c r="E1418" s="123">
        <v>45047</v>
      </c>
      <c r="F1418" s="2" t="s">
        <v>16</v>
      </c>
      <c r="G1418" s="2" t="s">
        <v>3932</v>
      </c>
      <c r="H1418" s="171">
        <v>40061</v>
      </c>
      <c r="I1418" s="173">
        <f t="shared" si="68"/>
        <v>458.7837837837838</v>
      </c>
      <c r="J1418" s="163">
        <v>45047</v>
      </c>
      <c r="K1418" s="2" t="s">
        <v>251</v>
      </c>
      <c r="L1418" s="163">
        <v>45047</v>
      </c>
      <c r="M1418" s="175" t="s">
        <v>6617</v>
      </c>
      <c r="N1418" s="2"/>
      <c r="O1418" s="2" t="s">
        <v>356</v>
      </c>
      <c r="P1418" s="6" t="str">
        <f t="shared" si="69"/>
        <v>SAFe que</v>
      </c>
      <c r="Q1418" t="str">
        <f t="shared" si="70"/>
        <v>2023</v>
      </c>
    </row>
    <row r="1419" spans="1:17">
      <c r="A1419" s="163">
        <v>45047</v>
      </c>
      <c r="B1419" s="165" t="s">
        <v>3941</v>
      </c>
      <c r="C1419" s="165" t="s">
        <v>278</v>
      </c>
      <c r="D1419" s="165" t="s">
        <v>6</v>
      </c>
      <c r="E1419" s="123">
        <v>45047</v>
      </c>
      <c r="F1419" s="2" t="s">
        <v>16</v>
      </c>
      <c r="G1419" s="2" t="s">
        <v>3932</v>
      </c>
      <c r="H1419" s="171">
        <v>40061</v>
      </c>
      <c r="I1419" s="173">
        <f t="shared" si="68"/>
        <v>458.7837837837838</v>
      </c>
      <c r="J1419" s="163">
        <v>45047</v>
      </c>
      <c r="K1419" s="2" t="s">
        <v>251</v>
      </c>
      <c r="L1419" s="163">
        <v>45047</v>
      </c>
      <c r="M1419" s="175" t="s">
        <v>6618</v>
      </c>
      <c r="N1419" s="2"/>
      <c r="O1419" s="2" t="s">
        <v>356</v>
      </c>
      <c r="P1419" s="6" t="str">
        <f t="shared" si="69"/>
        <v>SAFe que</v>
      </c>
      <c r="Q1419" t="str">
        <f t="shared" si="70"/>
        <v>2023</v>
      </c>
    </row>
    <row r="1420" spans="1:17">
      <c r="A1420" s="163">
        <v>45048</v>
      </c>
      <c r="B1420" s="165" t="s">
        <v>3943</v>
      </c>
      <c r="C1420" s="165" t="s">
        <v>291</v>
      </c>
      <c r="D1420" s="165" t="s">
        <v>150</v>
      </c>
      <c r="E1420" s="123">
        <v>45047</v>
      </c>
      <c r="F1420" s="2" t="s">
        <v>16</v>
      </c>
      <c r="G1420" s="2" t="s">
        <v>3932</v>
      </c>
      <c r="H1420" s="171">
        <v>21000</v>
      </c>
      <c r="I1420" s="173">
        <f t="shared" si="68"/>
        <v>240.49473202015577</v>
      </c>
      <c r="J1420" s="163">
        <v>45048</v>
      </c>
      <c r="K1420" s="2" t="s">
        <v>251</v>
      </c>
      <c r="L1420" s="163">
        <v>45048</v>
      </c>
      <c r="M1420" s="175" t="s">
        <v>6619</v>
      </c>
      <c r="N1420" s="2"/>
      <c r="O1420" s="2" t="s">
        <v>356</v>
      </c>
      <c r="P1420" s="6" t="str">
        <f t="shared" si="69"/>
        <v>SAFe que</v>
      </c>
      <c r="Q1420" t="str">
        <f t="shared" si="70"/>
        <v>2023</v>
      </c>
    </row>
    <row r="1421" spans="1:17">
      <c r="A1421" s="163">
        <v>45048</v>
      </c>
      <c r="B1421" s="165" t="s">
        <v>3945</v>
      </c>
      <c r="C1421" s="165" t="s">
        <v>278</v>
      </c>
      <c r="D1421" s="165" t="s">
        <v>150</v>
      </c>
      <c r="E1421" s="123">
        <v>45047</v>
      </c>
      <c r="F1421" s="2" t="s">
        <v>16</v>
      </c>
      <c r="G1421" s="2" t="s">
        <v>3932</v>
      </c>
      <c r="H1421" s="171">
        <v>21000</v>
      </c>
      <c r="I1421" s="173">
        <f t="shared" si="68"/>
        <v>240.49473202015577</v>
      </c>
      <c r="J1421" s="163">
        <v>45048</v>
      </c>
      <c r="K1421" s="2" t="s">
        <v>251</v>
      </c>
      <c r="L1421" s="163">
        <v>45048</v>
      </c>
      <c r="M1421" s="175" t="s">
        <v>6620</v>
      </c>
      <c r="N1421" s="2" t="s">
        <v>3947</v>
      </c>
      <c r="O1421" s="2" t="s">
        <v>356</v>
      </c>
      <c r="P1421" s="6" t="str">
        <f t="shared" si="69"/>
        <v>SAFe que</v>
      </c>
      <c r="Q1421" t="str">
        <f t="shared" si="70"/>
        <v>2023</v>
      </c>
    </row>
    <row r="1422" spans="1:17">
      <c r="A1422" s="163">
        <v>45049</v>
      </c>
      <c r="B1422" s="165" t="s">
        <v>3948</v>
      </c>
      <c r="C1422" s="165" t="s">
        <v>278</v>
      </c>
      <c r="D1422" s="165" t="s">
        <v>96</v>
      </c>
      <c r="E1422" s="123">
        <v>45047</v>
      </c>
      <c r="F1422" s="2" t="s">
        <v>16</v>
      </c>
      <c r="G1422" s="2" t="s">
        <v>3923</v>
      </c>
      <c r="H1422" s="171">
        <v>18000</v>
      </c>
      <c r="I1422" s="173">
        <f t="shared" si="68"/>
        <v>206.13834173156206</v>
      </c>
      <c r="J1422" s="163">
        <v>45049</v>
      </c>
      <c r="K1422" s="2" t="s">
        <v>251</v>
      </c>
      <c r="L1422" s="163">
        <v>45049</v>
      </c>
      <c r="M1422" s="175" t="s">
        <v>6621</v>
      </c>
      <c r="N1422" s="2" t="s">
        <v>3950</v>
      </c>
      <c r="O1422" s="2" t="s">
        <v>356</v>
      </c>
      <c r="P1422" s="6" t="str">
        <f t="shared" si="69"/>
        <v>Category</v>
      </c>
      <c r="Q1422" t="str">
        <f t="shared" si="70"/>
        <v>2023</v>
      </c>
    </row>
    <row r="1423" spans="1:17">
      <c r="A1423" s="163">
        <v>45049</v>
      </c>
      <c r="B1423" s="165" t="s">
        <v>3951</v>
      </c>
      <c r="C1423" s="165" t="s">
        <v>291</v>
      </c>
      <c r="D1423" s="165" t="s">
        <v>151</v>
      </c>
      <c r="E1423" s="123">
        <v>45047</v>
      </c>
      <c r="F1423" s="2" t="s">
        <v>16</v>
      </c>
      <c r="G1423" s="2" t="s">
        <v>3932</v>
      </c>
      <c r="H1423" s="171">
        <v>21000</v>
      </c>
      <c r="I1423" s="173">
        <f t="shared" si="68"/>
        <v>240.49473202015577</v>
      </c>
      <c r="J1423" s="163">
        <v>45049</v>
      </c>
      <c r="K1423" s="2" t="s">
        <v>251</v>
      </c>
      <c r="L1423" s="163">
        <v>45049</v>
      </c>
      <c r="M1423" s="175" t="s">
        <v>6622</v>
      </c>
      <c r="N1423" s="2"/>
      <c r="O1423" s="2" t="s">
        <v>356</v>
      </c>
      <c r="P1423" s="6" t="str">
        <f t="shared" si="69"/>
        <v>SAFe que</v>
      </c>
      <c r="Q1423" t="str">
        <f t="shared" si="70"/>
        <v>2023</v>
      </c>
    </row>
    <row r="1424" spans="1:17">
      <c r="A1424" s="163">
        <v>45050</v>
      </c>
      <c r="B1424" s="165" t="s">
        <v>3953</v>
      </c>
      <c r="C1424" s="165" t="s">
        <v>278</v>
      </c>
      <c r="D1424" s="164" t="s">
        <v>976</v>
      </c>
      <c r="E1424" s="123">
        <v>45047</v>
      </c>
      <c r="F1424" s="2" t="s">
        <v>16</v>
      </c>
      <c r="G1424" s="125">
        <v>45054</v>
      </c>
      <c r="H1424" s="171">
        <v>62721</v>
      </c>
      <c r="I1424" s="173">
        <f t="shared" si="68"/>
        <v>718.28905176362809</v>
      </c>
      <c r="J1424" s="163">
        <v>45050</v>
      </c>
      <c r="K1424" s="2" t="s">
        <v>251</v>
      </c>
      <c r="L1424" s="163">
        <v>45050</v>
      </c>
      <c r="M1424" s="175" t="s">
        <v>6623</v>
      </c>
      <c r="N1424" s="2" t="s">
        <v>3955</v>
      </c>
      <c r="O1424" s="2" t="s">
        <v>356</v>
      </c>
      <c r="P1424" s="6" t="str">
        <f t="shared" si="69"/>
        <v>NonCategory</v>
      </c>
      <c r="Q1424" t="str">
        <f t="shared" si="70"/>
        <v>2023</v>
      </c>
    </row>
    <row r="1425" spans="1:17">
      <c r="A1425" s="163">
        <v>45050</v>
      </c>
      <c r="B1425" s="165" t="s">
        <v>3956</v>
      </c>
      <c r="C1425" s="165" t="s">
        <v>278</v>
      </c>
      <c r="D1425" s="165" t="s">
        <v>6</v>
      </c>
      <c r="E1425" s="123">
        <v>45047</v>
      </c>
      <c r="F1425" s="2" t="s">
        <v>16</v>
      </c>
      <c r="G1425" s="2" t="s">
        <v>3958</v>
      </c>
      <c r="H1425" s="171">
        <v>42000</v>
      </c>
      <c r="I1425" s="173">
        <f t="shared" si="68"/>
        <v>480.98946404031153</v>
      </c>
      <c r="J1425" s="163">
        <v>45050</v>
      </c>
      <c r="K1425" s="2" t="s">
        <v>251</v>
      </c>
      <c r="L1425" s="163">
        <v>45050</v>
      </c>
      <c r="M1425" s="175" t="s">
        <v>6624</v>
      </c>
      <c r="N1425" s="2" t="s">
        <v>3835</v>
      </c>
      <c r="O1425" s="2" t="s">
        <v>356</v>
      </c>
      <c r="P1425" s="6" t="str">
        <f t="shared" si="69"/>
        <v>SAFe que</v>
      </c>
      <c r="Q1425" t="str">
        <f t="shared" si="70"/>
        <v>2023</v>
      </c>
    </row>
    <row r="1426" spans="1:17">
      <c r="A1426" s="163">
        <v>45051</v>
      </c>
      <c r="B1426" s="165" t="s">
        <v>3959</v>
      </c>
      <c r="C1426" s="165" t="s">
        <v>303</v>
      </c>
      <c r="D1426" s="165" t="s">
        <v>97</v>
      </c>
      <c r="E1426" s="123">
        <v>45047</v>
      </c>
      <c r="F1426" s="2" t="s">
        <v>16</v>
      </c>
      <c r="G1426" s="2" t="s">
        <v>3958</v>
      </c>
      <c r="H1426" s="171">
        <v>20000</v>
      </c>
      <c r="I1426" s="173">
        <f t="shared" si="68"/>
        <v>229.04260192395787</v>
      </c>
      <c r="J1426" s="163">
        <v>45051</v>
      </c>
      <c r="K1426" s="2" t="s">
        <v>251</v>
      </c>
      <c r="L1426" s="163">
        <v>45051</v>
      </c>
      <c r="M1426" s="175" t="s">
        <v>6625</v>
      </c>
      <c r="N1426" s="2"/>
      <c r="O1426" s="2" t="s">
        <v>356</v>
      </c>
      <c r="P1426" s="6" t="str">
        <f t="shared" si="69"/>
        <v>Category</v>
      </c>
      <c r="Q1426" t="str">
        <f t="shared" si="70"/>
        <v>2023</v>
      </c>
    </row>
    <row r="1427" spans="1:17">
      <c r="A1427" s="163">
        <v>45051</v>
      </c>
      <c r="B1427" s="165" t="s">
        <v>3961</v>
      </c>
      <c r="C1427" s="165" t="s">
        <v>278</v>
      </c>
      <c r="D1427" s="165" t="s">
        <v>532</v>
      </c>
      <c r="E1427" s="123">
        <v>45047</v>
      </c>
      <c r="F1427" s="2" t="s">
        <v>16</v>
      </c>
      <c r="G1427" s="125">
        <v>45061</v>
      </c>
      <c r="H1427" s="171">
        <v>14000</v>
      </c>
      <c r="I1427" s="173">
        <f t="shared" si="68"/>
        <v>160.3298213467705</v>
      </c>
      <c r="J1427" s="163">
        <v>45051</v>
      </c>
      <c r="K1427" s="2" t="s">
        <v>251</v>
      </c>
      <c r="L1427" s="163">
        <v>45051</v>
      </c>
      <c r="M1427" s="175" t="s">
        <v>6626</v>
      </c>
      <c r="N1427" s="2" t="s">
        <v>3963</v>
      </c>
      <c r="O1427" s="2" t="s">
        <v>356</v>
      </c>
      <c r="P1427" s="6" t="str">
        <f t="shared" si="69"/>
        <v>NonCategory</v>
      </c>
      <c r="Q1427" t="str">
        <f t="shared" si="70"/>
        <v>2023</v>
      </c>
    </row>
    <row r="1428" spans="1:17">
      <c r="A1428" s="163">
        <v>45051</v>
      </c>
      <c r="B1428" s="165" t="s">
        <v>3964</v>
      </c>
      <c r="C1428" s="165" t="s">
        <v>278</v>
      </c>
      <c r="D1428" s="165" t="s">
        <v>96</v>
      </c>
      <c r="E1428" s="123">
        <v>45047</v>
      </c>
      <c r="F1428" s="2" t="s">
        <v>16</v>
      </c>
      <c r="G1428" s="2" t="s">
        <v>3966</v>
      </c>
      <c r="H1428" s="171">
        <v>43393</v>
      </c>
      <c r="I1428" s="173">
        <f t="shared" si="68"/>
        <v>496.94228126431523</v>
      </c>
      <c r="J1428" s="163">
        <v>45051</v>
      </c>
      <c r="K1428" s="2" t="s">
        <v>251</v>
      </c>
      <c r="L1428" s="163">
        <v>45051</v>
      </c>
      <c r="M1428" s="175" t="s">
        <v>6627</v>
      </c>
      <c r="N1428" s="2" t="s">
        <v>3967</v>
      </c>
      <c r="O1428" s="2" t="s">
        <v>356</v>
      </c>
      <c r="P1428" s="6" t="str">
        <f t="shared" si="69"/>
        <v>Category</v>
      </c>
      <c r="Q1428" t="str">
        <f t="shared" si="70"/>
        <v>2023</v>
      </c>
    </row>
    <row r="1429" spans="1:17">
      <c r="A1429" s="163">
        <v>45054</v>
      </c>
      <c r="B1429" s="165" t="s">
        <v>3968</v>
      </c>
      <c r="C1429" s="165" t="s">
        <v>303</v>
      </c>
      <c r="D1429" s="165" t="s">
        <v>150</v>
      </c>
      <c r="E1429" s="123">
        <v>45047</v>
      </c>
      <c r="F1429" s="2" t="s">
        <v>16</v>
      </c>
      <c r="G1429" s="2" t="s">
        <v>3907</v>
      </c>
      <c r="H1429" s="171">
        <v>21000</v>
      </c>
      <c r="I1429" s="173">
        <f t="shared" si="68"/>
        <v>240.49473202015577</v>
      </c>
      <c r="J1429" s="163">
        <v>45054</v>
      </c>
      <c r="K1429" s="2" t="s">
        <v>251</v>
      </c>
      <c r="L1429" s="163">
        <v>45055</v>
      </c>
      <c r="M1429" s="175" t="s">
        <v>6628</v>
      </c>
      <c r="N1429" s="2"/>
      <c r="O1429" s="2" t="s">
        <v>356</v>
      </c>
      <c r="P1429" s="6" t="str">
        <f t="shared" si="69"/>
        <v>SAFe que</v>
      </c>
      <c r="Q1429" t="str">
        <f t="shared" si="70"/>
        <v>2023</v>
      </c>
    </row>
    <row r="1430" spans="1:17">
      <c r="A1430" s="163">
        <v>45055</v>
      </c>
      <c r="B1430" s="165" t="s">
        <v>3970</v>
      </c>
      <c r="C1430" s="165" t="s">
        <v>306</v>
      </c>
      <c r="D1430" s="165" t="s">
        <v>151</v>
      </c>
      <c r="E1430" s="123">
        <v>45047</v>
      </c>
      <c r="F1430" s="2" t="s">
        <v>16</v>
      </c>
      <c r="G1430" s="2" t="s">
        <v>3958</v>
      </c>
      <c r="H1430" s="171">
        <v>21000</v>
      </c>
      <c r="I1430" s="173">
        <f t="shared" si="68"/>
        <v>240.49473202015577</v>
      </c>
      <c r="J1430" s="163">
        <v>45055</v>
      </c>
      <c r="K1430" s="2" t="s">
        <v>251</v>
      </c>
      <c r="L1430" s="163">
        <v>45055</v>
      </c>
      <c r="M1430" s="175" t="s">
        <v>6629</v>
      </c>
      <c r="N1430" s="2"/>
      <c r="O1430" s="2" t="s">
        <v>356</v>
      </c>
      <c r="P1430" s="6" t="str">
        <f t="shared" si="69"/>
        <v>SAFe que</v>
      </c>
      <c r="Q1430" t="str">
        <f t="shared" si="70"/>
        <v>2023</v>
      </c>
    </row>
    <row r="1431" spans="1:17">
      <c r="A1431" s="163">
        <v>45057</v>
      </c>
      <c r="B1431" s="165" t="s">
        <v>3224</v>
      </c>
      <c r="C1431" s="165" t="s">
        <v>470</v>
      </c>
      <c r="D1431" s="165" t="s">
        <v>1524</v>
      </c>
      <c r="E1431" s="123">
        <v>45047</v>
      </c>
      <c r="F1431" s="2" t="s">
        <v>16</v>
      </c>
      <c r="G1431" s="2" t="s">
        <v>3907</v>
      </c>
      <c r="H1431" s="171">
        <v>24000</v>
      </c>
      <c r="I1431" s="173">
        <f t="shared" si="68"/>
        <v>274.85112230874944</v>
      </c>
      <c r="J1431" s="163">
        <v>45057</v>
      </c>
      <c r="K1431" s="2" t="s">
        <v>252</v>
      </c>
      <c r="L1431" s="163">
        <v>45057</v>
      </c>
      <c r="M1431" s="175" t="s">
        <v>6630</v>
      </c>
      <c r="N1431" s="2"/>
      <c r="O1431" s="2" t="s">
        <v>356</v>
      </c>
      <c r="P1431" s="6" t="str">
        <f t="shared" si="69"/>
        <v>SAFe que</v>
      </c>
      <c r="Q1431" t="str">
        <f t="shared" si="70"/>
        <v>2023</v>
      </c>
    </row>
    <row r="1432" spans="1:17">
      <c r="A1432" s="163">
        <v>45058</v>
      </c>
      <c r="B1432" s="165" t="s">
        <v>3972</v>
      </c>
      <c r="C1432" s="165" t="s">
        <v>319</v>
      </c>
      <c r="D1432" s="165" t="s">
        <v>151</v>
      </c>
      <c r="E1432" s="123">
        <v>45047</v>
      </c>
      <c r="F1432" s="2" t="s">
        <v>16</v>
      </c>
      <c r="G1432" s="2" t="s">
        <v>3974</v>
      </c>
      <c r="H1432" s="171">
        <v>21000</v>
      </c>
      <c r="I1432" s="173">
        <f t="shared" si="68"/>
        <v>240.49473202015577</v>
      </c>
      <c r="J1432" s="163">
        <v>45058</v>
      </c>
      <c r="K1432" s="2" t="s">
        <v>252</v>
      </c>
      <c r="L1432" s="163">
        <v>45058</v>
      </c>
      <c r="M1432" s="175" t="s">
        <v>6631</v>
      </c>
      <c r="N1432" s="2"/>
      <c r="O1432" s="2" t="s">
        <v>356</v>
      </c>
      <c r="P1432" s="6" t="str">
        <f t="shared" si="69"/>
        <v>SAFe que</v>
      </c>
      <c r="Q1432" t="str">
        <f t="shared" si="70"/>
        <v>2023</v>
      </c>
    </row>
    <row r="1433" spans="1:17">
      <c r="A1433" s="163">
        <v>45058</v>
      </c>
      <c r="B1433" s="165" t="s">
        <v>1495</v>
      </c>
      <c r="C1433" s="165" t="s">
        <v>470</v>
      </c>
      <c r="D1433" s="165" t="s">
        <v>25</v>
      </c>
      <c r="E1433" s="123">
        <v>45047</v>
      </c>
      <c r="F1433" s="2" t="s">
        <v>16</v>
      </c>
      <c r="G1433" s="2" t="s">
        <v>3974</v>
      </c>
      <c r="H1433" s="171">
        <v>42000</v>
      </c>
      <c r="I1433" s="173">
        <f t="shared" si="68"/>
        <v>480.98946404031153</v>
      </c>
      <c r="J1433" s="163">
        <v>45058</v>
      </c>
      <c r="K1433" s="2" t="s">
        <v>252</v>
      </c>
      <c r="L1433" s="163">
        <v>45058</v>
      </c>
      <c r="M1433" s="175" t="s">
        <v>6632</v>
      </c>
      <c r="N1433" s="2"/>
      <c r="O1433" s="2" t="s">
        <v>356</v>
      </c>
      <c r="P1433" s="6" t="str">
        <f t="shared" si="69"/>
        <v>SAFe que</v>
      </c>
      <c r="Q1433" t="str">
        <f t="shared" si="70"/>
        <v>2023</v>
      </c>
    </row>
    <row r="1434" spans="1:17">
      <c r="A1434" s="163">
        <v>45064</v>
      </c>
      <c r="B1434" s="165" t="s">
        <v>3976</v>
      </c>
      <c r="C1434" s="165" t="s">
        <v>287</v>
      </c>
      <c r="D1434" s="165" t="s">
        <v>25</v>
      </c>
      <c r="E1434" s="123">
        <v>45047</v>
      </c>
      <c r="F1434" s="2" t="s">
        <v>16</v>
      </c>
      <c r="G1434" s="2" t="s">
        <v>3912</v>
      </c>
      <c r="H1434" s="171">
        <v>42000</v>
      </c>
      <c r="I1434" s="173">
        <f t="shared" si="68"/>
        <v>480.98946404031153</v>
      </c>
      <c r="J1434" s="163">
        <v>45064</v>
      </c>
      <c r="K1434" s="2" t="s">
        <v>252</v>
      </c>
      <c r="L1434" s="163">
        <v>45064</v>
      </c>
      <c r="M1434" s="175" t="s">
        <v>6633</v>
      </c>
      <c r="N1434" s="2"/>
      <c r="O1434" s="2" t="s">
        <v>356</v>
      </c>
      <c r="P1434" s="6" t="str">
        <f t="shared" si="69"/>
        <v>SAFe que</v>
      </c>
      <c r="Q1434" t="str">
        <f t="shared" si="70"/>
        <v>2023</v>
      </c>
    </row>
    <row r="1435" spans="1:17">
      <c r="A1435" s="163">
        <v>45064</v>
      </c>
      <c r="B1435" s="165" t="s">
        <v>3978</v>
      </c>
      <c r="C1435" s="165" t="s">
        <v>470</v>
      </c>
      <c r="D1435" s="165" t="s">
        <v>3147</v>
      </c>
      <c r="E1435" s="123">
        <v>45047</v>
      </c>
      <c r="F1435" s="2" t="s">
        <v>16</v>
      </c>
      <c r="G1435" s="125">
        <v>45073</v>
      </c>
      <c r="H1435" s="171">
        <v>38000</v>
      </c>
      <c r="I1435" s="173">
        <f t="shared" si="68"/>
        <v>435.18094365551997</v>
      </c>
      <c r="J1435" s="163">
        <v>45064</v>
      </c>
      <c r="K1435" s="2" t="s">
        <v>252</v>
      </c>
      <c r="L1435" s="163">
        <v>45064</v>
      </c>
      <c r="M1435" s="175" t="s">
        <v>6634</v>
      </c>
      <c r="N1435" s="2"/>
      <c r="O1435" s="2" t="s">
        <v>356</v>
      </c>
      <c r="P1435" s="6" t="str">
        <f t="shared" si="69"/>
        <v>NonCategory</v>
      </c>
      <c r="Q1435" t="str">
        <f t="shared" si="70"/>
        <v>2023</v>
      </c>
    </row>
    <row r="1436" spans="1:17">
      <c r="A1436" s="163">
        <v>45065</v>
      </c>
      <c r="B1436" s="165" t="s">
        <v>2629</v>
      </c>
      <c r="C1436" s="165" t="s">
        <v>470</v>
      </c>
      <c r="D1436" s="165" t="s">
        <v>1524</v>
      </c>
      <c r="E1436" s="123">
        <v>45047</v>
      </c>
      <c r="F1436" s="2" t="s">
        <v>16</v>
      </c>
      <c r="G1436" s="2" t="s">
        <v>3912</v>
      </c>
      <c r="H1436" s="171">
        <v>24000</v>
      </c>
      <c r="I1436" s="173">
        <f t="shared" si="68"/>
        <v>274.85112230874944</v>
      </c>
      <c r="J1436" s="163">
        <v>45065</v>
      </c>
      <c r="K1436" s="2" t="s">
        <v>252</v>
      </c>
      <c r="L1436" s="163">
        <v>45065</v>
      </c>
      <c r="M1436" s="175" t="s">
        <v>6635</v>
      </c>
      <c r="N1436" s="2"/>
      <c r="O1436" s="2" t="s">
        <v>356</v>
      </c>
      <c r="P1436" s="6" t="str">
        <f t="shared" si="69"/>
        <v>SAFe que</v>
      </c>
      <c r="Q1436" t="str">
        <f t="shared" si="70"/>
        <v>2023</v>
      </c>
    </row>
    <row r="1437" spans="1:17">
      <c r="A1437" s="163">
        <v>45069</v>
      </c>
      <c r="B1437" s="165" t="s">
        <v>3980</v>
      </c>
      <c r="C1437" s="165" t="s">
        <v>470</v>
      </c>
      <c r="D1437" s="165" t="s">
        <v>3982</v>
      </c>
      <c r="E1437" s="123">
        <v>45047</v>
      </c>
      <c r="F1437" s="2" t="s">
        <v>16</v>
      </c>
      <c r="G1437" s="125">
        <v>45073</v>
      </c>
      <c r="H1437" s="171">
        <v>43000</v>
      </c>
      <c r="I1437" s="173">
        <f t="shared" si="68"/>
        <v>492.44159413650942</v>
      </c>
      <c r="J1437" s="163">
        <v>45069</v>
      </c>
      <c r="K1437" s="2" t="s">
        <v>253</v>
      </c>
      <c r="L1437" s="163">
        <v>45069</v>
      </c>
      <c r="M1437" s="175" t="s">
        <v>6636</v>
      </c>
      <c r="N1437" s="2"/>
      <c r="O1437" s="2" t="s">
        <v>356</v>
      </c>
      <c r="P1437" s="6" t="str">
        <f t="shared" si="69"/>
        <v>NonCategory</v>
      </c>
      <c r="Q1437" t="str">
        <f t="shared" si="70"/>
        <v>2023</v>
      </c>
    </row>
    <row r="1438" spans="1:17">
      <c r="A1438" s="163">
        <v>45070</v>
      </c>
      <c r="B1438" s="165" t="s">
        <v>3983</v>
      </c>
      <c r="C1438" s="165" t="s">
        <v>278</v>
      </c>
      <c r="D1438" s="165" t="s">
        <v>150</v>
      </c>
      <c r="E1438" s="123">
        <v>45047</v>
      </c>
      <c r="F1438" s="2" t="s">
        <v>16</v>
      </c>
      <c r="G1438" s="2" t="s">
        <v>3912</v>
      </c>
      <c r="H1438" s="171">
        <v>21000</v>
      </c>
      <c r="I1438" s="173">
        <f t="shared" si="68"/>
        <v>240.49473202015577</v>
      </c>
      <c r="J1438" s="163">
        <v>45070</v>
      </c>
      <c r="K1438" s="2" t="s">
        <v>253</v>
      </c>
      <c r="L1438" s="163">
        <v>45070</v>
      </c>
      <c r="M1438" s="175" t="s">
        <v>6637</v>
      </c>
      <c r="N1438" s="2" t="s">
        <v>3616</v>
      </c>
      <c r="O1438" s="2" t="s">
        <v>356</v>
      </c>
      <c r="P1438" s="6" t="str">
        <f t="shared" si="69"/>
        <v>SAFe que</v>
      </c>
      <c r="Q1438" t="str">
        <f t="shared" si="70"/>
        <v>2023</v>
      </c>
    </row>
    <row r="1439" spans="1:17">
      <c r="A1439" s="163">
        <v>45071</v>
      </c>
      <c r="B1439" s="165" t="s">
        <v>3985</v>
      </c>
      <c r="C1439" s="165" t="s">
        <v>319</v>
      </c>
      <c r="D1439" s="165" t="s">
        <v>97</v>
      </c>
      <c r="E1439" s="123">
        <v>45047</v>
      </c>
      <c r="F1439" s="2" t="s">
        <v>16</v>
      </c>
      <c r="G1439" s="2" t="s">
        <v>3958</v>
      </c>
      <c r="H1439" s="171">
        <v>20000</v>
      </c>
      <c r="I1439" s="173">
        <f t="shared" si="68"/>
        <v>229.04260192395787</v>
      </c>
      <c r="J1439" s="163">
        <v>45071</v>
      </c>
      <c r="K1439" s="2" t="s">
        <v>253</v>
      </c>
      <c r="L1439" s="163">
        <v>45071</v>
      </c>
      <c r="M1439" s="175" t="s">
        <v>6638</v>
      </c>
      <c r="N1439" s="2"/>
      <c r="O1439" s="2" t="s">
        <v>356</v>
      </c>
      <c r="P1439" s="6" t="str">
        <f t="shared" si="69"/>
        <v>Category</v>
      </c>
      <c r="Q1439" t="str">
        <f t="shared" si="70"/>
        <v>2023</v>
      </c>
    </row>
    <row r="1440" spans="1:17">
      <c r="A1440" s="163">
        <v>45071</v>
      </c>
      <c r="B1440" s="165" t="s">
        <v>3987</v>
      </c>
      <c r="C1440" s="165" t="s">
        <v>1291</v>
      </c>
      <c r="D1440" s="165" t="s">
        <v>96</v>
      </c>
      <c r="E1440" s="123">
        <v>45047</v>
      </c>
      <c r="F1440" s="2" t="s">
        <v>16</v>
      </c>
      <c r="G1440" s="2" t="s">
        <v>3912</v>
      </c>
      <c r="H1440" s="171">
        <v>18000</v>
      </c>
      <c r="I1440" s="173">
        <f t="shared" si="68"/>
        <v>206.13834173156206</v>
      </c>
      <c r="J1440" s="163">
        <v>45071</v>
      </c>
      <c r="K1440" s="2" t="s">
        <v>253</v>
      </c>
      <c r="L1440" s="163">
        <v>45072</v>
      </c>
      <c r="M1440" s="175" t="s">
        <v>6639</v>
      </c>
      <c r="N1440" s="2"/>
      <c r="O1440" s="2" t="s">
        <v>356</v>
      </c>
      <c r="P1440" s="6" t="str">
        <f t="shared" si="69"/>
        <v>Category</v>
      </c>
      <c r="Q1440" t="str">
        <f t="shared" si="70"/>
        <v>2023</v>
      </c>
    </row>
    <row r="1441" spans="1:17">
      <c r="A1441" s="163">
        <v>45072</v>
      </c>
      <c r="B1441" s="165" t="s">
        <v>3989</v>
      </c>
      <c r="C1441" s="165" t="s">
        <v>319</v>
      </c>
      <c r="D1441" s="165" t="s">
        <v>96</v>
      </c>
      <c r="E1441" s="123">
        <v>45047</v>
      </c>
      <c r="F1441" s="2" t="s">
        <v>16</v>
      </c>
      <c r="G1441" s="2" t="s">
        <v>3912</v>
      </c>
      <c r="H1441" s="171">
        <v>18000</v>
      </c>
      <c r="I1441" s="173">
        <f t="shared" si="68"/>
        <v>206.13834173156206</v>
      </c>
      <c r="J1441" s="163">
        <v>45072</v>
      </c>
      <c r="K1441" s="2" t="s">
        <v>253</v>
      </c>
      <c r="L1441" s="163">
        <v>45072</v>
      </c>
      <c r="M1441" s="175" t="s">
        <v>6640</v>
      </c>
      <c r="N1441" s="2"/>
      <c r="O1441" s="2" t="s">
        <v>356</v>
      </c>
      <c r="P1441" s="6" t="str">
        <f t="shared" si="69"/>
        <v>Category</v>
      </c>
      <c r="Q1441" t="str">
        <f t="shared" si="70"/>
        <v>2023</v>
      </c>
    </row>
    <row r="1442" spans="1:17">
      <c r="A1442" s="163">
        <v>45073</v>
      </c>
      <c r="B1442" s="165" t="s">
        <v>3991</v>
      </c>
      <c r="C1442" s="165" t="s">
        <v>278</v>
      </c>
      <c r="D1442" s="165" t="s">
        <v>96</v>
      </c>
      <c r="E1442" s="123">
        <v>45047</v>
      </c>
      <c r="F1442" s="2" t="s">
        <v>16</v>
      </c>
      <c r="G1442" s="2" t="s">
        <v>3912</v>
      </c>
      <c r="H1442" s="171">
        <v>20000</v>
      </c>
      <c r="I1442" s="173">
        <f t="shared" si="68"/>
        <v>229.04260192395787</v>
      </c>
      <c r="J1442" s="163">
        <v>45072</v>
      </c>
      <c r="K1442" s="2" t="s">
        <v>253</v>
      </c>
      <c r="L1442" s="163">
        <v>45072</v>
      </c>
      <c r="M1442" s="175" t="s">
        <v>6641</v>
      </c>
      <c r="N1442" s="2" t="s">
        <v>3993</v>
      </c>
      <c r="O1442" s="2" t="s">
        <v>356</v>
      </c>
      <c r="P1442" s="6" t="str">
        <f t="shared" si="69"/>
        <v>Category</v>
      </c>
      <c r="Q1442" t="str">
        <f t="shared" si="70"/>
        <v>2023</v>
      </c>
    </row>
    <row r="1443" spans="1:17">
      <c r="A1443" s="163">
        <v>45073</v>
      </c>
      <c r="B1443" s="165" t="s">
        <v>3994</v>
      </c>
      <c r="C1443" s="165" t="s">
        <v>287</v>
      </c>
      <c r="D1443" s="165" t="s">
        <v>96</v>
      </c>
      <c r="E1443" s="123">
        <v>45047</v>
      </c>
      <c r="F1443" s="2" t="s">
        <v>16</v>
      </c>
      <c r="G1443" s="2" t="s">
        <v>3912</v>
      </c>
      <c r="H1443" s="171">
        <v>18000</v>
      </c>
      <c r="I1443" s="173">
        <f t="shared" si="68"/>
        <v>206.13834173156206</v>
      </c>
      <c r="J1443" s="163">
        <v>45072</v>
      </c>
      <c r="K1443" s="2" t="s">
        <v>253</v>
      </c>
      <c r="L1443" s="163">
        <v>45072</v>
      </c>
      <c r="M1443" s="175" t="s">
        <v>6642</v>
      </c>
      <c r="N1443" s="2"/>
      <c r="O1443" s="2" t="s">
        <v>356</v>
      </c>
      <c r="P1443" s="6" t="str">
        <f t="shared" si="69"/>
        <v>Category</v>
      </c>
      <c r="Q1443" t="str">
        <f t="shared" si="70"/>
        <v>2023</v>
      </c>
    </row>
    <row r="1444" spans="1:17">
      <c r="A1444" s="96"/>
      <c r="B1444" s="96"/>
      <c r="F1444" s="79"/>
      <c r="I1444" s="8"/>
      <c r="J1444" s="8"/>
    </row>
    <row r="1445" spans="1:17">
      <c r="A1445" s="96"/>
      <c r="B1445" s="96"/>
      <c r="F1445" s="79"/>
      <c r="I1445" s="8"/>
      <c r="J1445" s="8"/>
    </row>
    <row r="1446" spans="1:17">
      <c r="A1446" s="96"/>
      <c r="B1446" s="96"/>
      <c r="F1446" s="79"/>
      <c r="I1446" s="8"/>
      <c r="J1446" s="8"/>
    </row>
    <row r="1447" spans="1:17">
      <c r="A1447" s="96"/>
      <c r="B1447" s="96"/>
      <c r="F1447" s="79"/>
      <c r="I1447" s="8"/>
      <c r="J1447" s="8"/>
    </row>
    <row r="1448" spans="1:17">
      <c r="A1448" s="96"/>
      <c r="B1448" s="96"/>
      <c r="F1448" s="79"/>
      <c r="I1448" s="8"/>
      <c r="J1448" s="8"/>
    </row>
    <row r="1449" spans="1:17">
      <c r="A1449" s="96"/>
      <c r="B1449" s="96"/>
      <c r="F1449" s="79"/>
      <c r="I1449" s="8"/>
      <c r="J1449" s="8"/>
    </row>
    <row r="1450" spans="1:17">
      <c r="A1450" s="96"/>
      <c r="B1450" s="96"/>
      <c r="F1450" s="79"/>
      <c r="I1450" s="8"/>
      <c r="J1450" s="8"/>
    </row>
    <row r="1451" spans="1:17">
      <c r="A1451" s="96"/>
      <c r="B1451" s="96"/>
      <c r="F1451" s="79"/>
      <c r="I1451" s="8"/>
      <c r="J1451" s="8"/>
    </row>
    <row r="1452" spans="1:17">
      <c r="A1452" s="96"/>
      <c r="B1452" s="96"/>
      <c r="F1452" s="79"/>
      <c r="I1452" s="8"/>
      <c r="J1452" s="8"/>
    </row>
    <row r="1453" spans="1:17">
      <c r="A1453" s="96"/>
      <c r="B1453" s="96"/>
      <c r="F1453" s="79"/>
      <c r="I1453" s="8"/>
      <c r="J1453" s="8"/>
    </row>
    <row r="1454" spans="1:17">
      <c r="A1454" s="96"/>
      <c r="B1454" s="96"/>
      <c r="F1454" s="79"/>
      <c r="I1454" s="8"/>
      <c r="J1454" s="8"/>
    </row>
    <row r="1455" spans="1:17">
      <c r="A1455" s="96"/>
      <c r="B1455" s="96"/>
      <c r="F1455" s="79"/>
      <c r="I1455" s="8"/>
      <c r="J1455" s="8"/>
    </row>
    <row r="1456" spans="1:17">
      <c r="A1456" s="96"/>
      <c r="B1456" s="96"/>
      <c r="F1456" s="79"/>
      <c r="I1456" s="8"/>
      <c r="J1456" s="8"/>
    </row>
    <row r="1457" spans="1:10">
      <c r="A1457" s="96"/>
      <c r="B1457" s="96"/>
      <c r="F1457" s="79"/>
      <c r="I1457" s="8"/>
      <c r="J1457" s="8"/>
    </row>
    <row r="1458" spans="1:10">
      <c r="A1458" s="96"/>
      <c r="B1458" s="96"/>
      <c r="F1458" s="79"/>
      <c r="I1458" s="8"/>
      <c r="J1458" s="8"/>
    </row>
    <row r="1459" spans="1:10">
      <c r="A1459" s="96"/>
      <c r="B1459" s="96"/>
      <c r="F1459" s="79"/>
      <c r="I1459" s="8"/>
      <c r="J1459" s="8"/>
    </row>
    <row r="1460" spans="1:10">
      <c r="A1460" s="96"/>
      <c r="B1460" s="96"/>
      <c r="F1460" s="79"/>
      <c r="I1460" s="8"/>
      <c r="J1460" s="8"/>
    </row>
    <row r="1461" spans="1:10">
      <c r="A1461" s="96"/>
      <c r="B1461" s="96"/>
      <c r="F1461" s="79"/>
      <c r="I1461" s="8"/>
      <c r="J1461" s="8"/>
    </row>
    <row r="1462" spans="1:10">
      <c r="A1462" s="96"/>
      <c r="B1462" s="96"/>
      <c r="F1462" s="79"/>
      <c r="I1462" s="8"/>
      <c r="J1462" s="8"/>
    </row>
    <row r="1463" spans="1:10">
      <c r="A1463" s="96"/>
      <c r="B1463" s="96"/>
      <c r="F1463" s="79"/>
      <c r="I1463" s="8"/>
      <c r="J1463" s="8"/>
    </row>
    <row r="1464" spans="1:10">
      <c r="A1464" s="96"/>
      <c r="B1464" s="96"/>
      <c r="F1464" s="79"/>
      <c r="I1464" s="8"/>
      <c r="J1464" s="8"/>
    </row>
    <row r="1465" spans="1:10">
      <c r="A1465" s="96"/>
      <c r="B1465" s="96"/>
      <c r="F1465" s="79"/>
      <c r="I1465" s="8"/>
      <c r="J1465" s="8"/>
    </row>
    <row r="1466" spans="1:10">
      <c r="A1466" s="96"/>
      <c r="B1466" s="96"/>
      <c r="F1466" s="79"/>
      <c r="I1466" s="8"/>
      <c r="J1466" s="8"/>
    </row>
    <row r="1467" spans="1:10">
      <c r="A1467" s="96"/>
      <c r="B1467" s="96"/>
      <c r="F1467" s="79"/>
      <c r="I1467" s="8"/>
      <c r="J1467" s="8"/>
    </row>
    <row r="1468" spans="1:10">
      <c r="A1468" s="96"/>
      <c r="B1468" s="96"/>
      <c r="F1468" s="79"/>
      <c r="I1468" s="8"/>
      <c r="J1468" s="8"/>
    </row>
    <row r="1469" spans="1:10">
      <c r="A1469" s="96"/>
      <c r="B1469" s="96"/>
      <c r="F1469" s="79"/>
      <c r="I1469" s="8"/>
      <c r="J1469" s="8"/>
    </row>
    <row r="1470" spans="1:10">
      <c r="A1470" s="96"/>
      <c r="B1470" s="96"/>
      <c r="F1470" s="79"/>
      <c r="I1470" s="8"/>
      <c r="J1470" s="8"/>
    </row>
    <row r="1471" spans="1:10">
      <c r="A1471" s="96"/>
      <c r="B1471" s="96"/>
      <c r="F1471" s="79"/>
      <c r="I1471" s="8"/>
      <c r="J1471" s="8"/>
    </row>
    <row r="1472" spans="1:10">
      <c r="A1472" s="96"/>
      <c r="B1472" s="96"/>
      <c r="F1472" s="79"/>
      <c r="I1472" s="8"/>
      <c r="J1472" s="8"/>
    </row>
    <row r="1473" spans="1:10">
      <c r="A1473" s="96"/>
      <c r="B1473" s="96"/>
      <c r="F1473" s="79"/>
      <c r="I1473" s="8"/>
      <c r="J1473" s="8"/>
    </row>
    <row r="1474" spans="1:10">
      <c r="A1474" s="96"/>
      <c r="B1474" s="96"/>
      <c r="F1474" s="79"/>
      <c r="I1474" s="8"/>
      <c r="J1474" s="8"/>
    </row>
    <row r="1475" spans="1:10">
      <c r="A1475" s="96"/>
      <c r="B1475" s="96"/>
      <c r="F1475" s="79"/>
      <c r="I1475" s="8"/>
      <c r="J1475" s="8"/>
    </row>
    <row r="1476" spans="1:10">
      <c r="A1476" s="96"/>
      <c r="B1476" s="96"/>
      <c r="F1476" s="79"/>
      <c r="I1476" s="8"/>
      <c r="J1476" s="8"/>
    </row>
    <row r="1477" spans="1:10">
      <c r="A1477" s="96"/>
      <c r="B1477" s="96"/>
      <c r="F1477" s="79"/>
      <c r="I1477" s="8"/>
      <c r="J1477" s="8"/>
    </row>
    <row r="1478" spans="1:10">
      <c r="A1478" s="96"/>
      <c r="B1478" s="96"/>
      <c r="F1478" s="79"/>
      <c r="I1478" s="8"/>
      <c r="J1478" s="8"/>
    </row>
    <row r="1479" spans="1:10">
      <c r="A1479" s="96"/>
      <c r="B1479" s="96"/>
      <c r="F1479" s="79"/>
      <c r="I1479" s="8"/>
      <c r="J1479" s="8"/>
    </row>
    <row r="1480" spans="1:10">
      <c r="A1480" s="96"/>
      <c r="B1480" s="96"/>
      <c r="F1480" s="79"/>
      <c r="I1480" s="8"/>
      <c r="J1480" s="8"/>
    </row>
    <row r="1481" spans="1:10">
      <c r="A1481" s="96"/>
      <c r="B1481" s="96"/>
      <c r="F1481" s="79"/>
      <c r="I1481" s="8"/>
      <c r="J1481" s="8"/>
    </row>
    <row r="1482" spans="1:10">
      <c r="A1482" s="96"/>
      <c r="B1482" s="96"/>
      <c r="F1482" s="79"/>
      <c r="I1482" s="8"/>
      <c r="J1482" s="8"/>
    </row>
    <row r="1483" spans="1:10">
      <c r="A1483" s="96"/>
      <c r="B1483" s="96"/>
      <c r="F1483" s="79"/>
      <c r="I1483" s="8"/>
      <c r="J1483" s="8"/>
    </row>
    <row r="1484" spans="1:10">
      <c r="A1484" s="96"/>
      <c r="B1484" s="96"/>
      <c r="F1484" s="79"/>
      <c r="I1484" s="8"/>
      <c r="J1484" s="8"/>
    </row>
    <row r="1485" spans="1:10">
      <c r="A1485" s="96"/>
      <c r="B1485" s="96"/>
      <c r="F1485" s="79"/>
      <c r="I1485" s="8"/>
      <c r="J1485" s="8"/>
    </row>
    <row r="1486" spans="1:10">
      <c r="A1486" s="96"/>
      <c r="B1486" s="96"/>
      <c r="F1486" s="79"/>
      <c r="I1486" s="8"/>
      <c r="J1486" s="8"/>
    </row>
    <row r="1487" spans="1:10">
      <c r="A1487" s="96"/>
      <c r="B1487" s="96"/>
      <c r="F1487" s="79"/>
      <c r="I1487" s="8"/>
      <c r="J1487" s="8"/>
    </row>
    <row r="1488" spans="1:10">
      <c r="A1488" s="96"/>
      <c r="B1488" s="96"/>
      <c r="F1488" s="79"/>
      <c r="I1488" s="8"/>
      <c r="J1488" s="8"/>
    </row>
    <row r="1489" spans="1:10">
      <c r="A1489" s="96"/>
      <c r="B1489" s="96"/>
      <c r="F1489" s="79"/>
      <c r="I1489" s="8"/>
      <c r="J1489" s="8"/>
    </row>
    <row r="1490" spans="1:10">
      <c r="A1490" s="96"/>
      <c r="B1490" s="96"/>
      <c r="F1490" s="79"/>
      <c r="I1490" s="8"/>
      <c r="J1490" s="8"/>
    </row>
    <row r="1491" spans="1:10">
      <c r="A1491" s="96"/>
      <c r="B1491" s="96"/>
      <c r="F1491" s="79"/>
      <c r="I1491" s="8"/>
      <c r="J1491" s="8"/>
    </row>
    <row r="1492" spans="1:10">
      <c r="A1492" s="96"/>
      <c r="B1492" s="96"/>
      <c r="F1492" s="79"/>
      <c r="I1492" s="8"/>
      <c r="J1492" s="8"/>
    </row>
    <row r="1493" spans="1:10">
      <c r="A1493" s="96"/>
      <c r="B1493" s="96"/>
      <c r="F1493" s="79"/>
      <c r="I1493" s="8"/>
      <c r="J1493" s="8"/>
    </row>
    <row r="1494" spans="1:10">
      <c r="A1494" s="96"/>
      <c r="B1494" s="96"/>
      <c r="F1494" s="79"/>
      <c r="I1494" s="8"/>
      <c r="J1494" s="8"/>
    </row>
    <row r="1495" spans="1:10">
      <c r="A1495" s="96"/>
      <c r="B1495" s="96"/>
      <c r="F1495" s="79"/>
      <c r="I1495" s="8"/>
      <c r="J1495" s="8"/>
    </row>
    <row r="1496" spans="1:10">
      <c r="A1496" s="96"/>
      <c r="B1496" s="96"/>
      <c r="F1496" s="79"/>
      <c r="I1496" s="8"/>
      <c r="J1496" s="8"/>
    </row>
    <row r="1497" spans="1:10">
      <c r="A1497" s="96"/>
      <c r="B1497" s="96"/>
      <c r="F1497" s="79"/>
      <c r="I1497" s="8"/>
      <c r="J1497" s="8"/>
    </row>
    <row r="1498" spans="1:10">
      <c r="A1498" s="96"/>
      <c r="B1498" s="96"/>
      <c r="F1498" s="79"/>
      <c r="I1498" s="8"/>
      <c r="J1498" s="8"/>
    </row>
    <row r="1499" spans="1:10">
      <c r="A1499" s="96"/>
      <c r="B1499" s="96"/>
      <c r="F1499" s="79"/>
      <c r="I1499" s="8"/>
      <c r="J1499" s="8"/>
    </row>
    <row r="1500" spans="1:10">
      <c r="A1500" s="96"/>
      <c r="B1500" s="96"/>
      <c r="F1500" s="79"/>
      <c r="I1500" s="8"/>
      <c r="J1500" s="8"/>
    </row>
    <row r="1501" spans="1:10">
      <c r="A1501" s="96"/>
      <c r="B1501" s="96"/>
      <c r="F1501" s="79"/>
      <c r="I1501" s="8"/>
      <c r="J1501" s="8"/>
    </row>
    <row r="1502" spans="1:10">
      <c r="A1502" s="96"/>
      <c r="B1502" s="96"/>
      <c r="F1502" s="79"/>
      <c r="I1502" s="8"/>
      <c r="J1502" s="8"/>
    </row>
    <row r="1503" spans="1:10">
      <c r="A1503" s="96"/>
      <c r="B1503" s="96"/>
      <c r="F1503" s="79"/>
      <c r="I1503" s="8"/>
      <c r="J1503" s="8"/>
    </row>
    <row r="1504" spans="1:10">
      <c r="A1504" s="96"/>
      <c r="B1504" s="96"/>
      <c r="F1504" s="79"/>
      <c r="I1504" s="8"/>
      <c r="J1504" s="8"/>
    </row>
    <row r="1505" spans="1:10">
      <c r="A1505" s="96"/>
      <c r="B1505" s="96"/>
      <c r="F1505" s="79"/>
      <c r="I1505" s="8"/>
      <c r="J1505" s="8"/>
    </row>
    <row r="1506" spans="1:10">
      <c r="A1506" s="96"/>
      <c r="B1506" s="96"/>
      <c r="F1506" s="79"/>
      <c r="I1506" s="8"/>
      <c r="J1506" s="8"/>
    </row>
    <row r="1507" spans="1:10">
      <c r="A1507" s="96"/>
      <c r="B1507" s="96"/>
      <c r="F1507" s="79"/>
      <c r="I1507" s="8"/>
      <c r="J1507" s="8"/>
    </row>
    <row r="1508" spans="1:10">
      <c r="A1508" s="96"/>
      <c r="B1508" s="96"/>
      <c r="F1508" s="79"/>
      <c r="I1508" s="8"/>
      <c r="J1508" s="8"/>
    </row>
    <row r="1509" spans="1:10">
      <c r="A1509" s="96"/>
      <c r="B1509" s="96"/>
      <c r="F1509" s="79"/>
      <c r="I1509" s="8"/>
      <c r="J1509" s="8"/>
    </row>
    <row r="1510" spans="1:10">
      <c r="A1510" s="96"/>
      <c r="B1510" s="96"/>
      <c r="F1510" s="79"/>
      <c r="I1510" s="8"/>
      <c r="J1510" s="8"/>
    </row>
    <row r="1511" spans="1:10">
      <c r="A1511" s="96"/>
      <c r="B1511" s="96"/>
      <c r="F1511" s="79"/>
      <c r="I1511" s="8"/>
      <c r="J1511" s="8"/>
    </row>
    <row r="1512" spans="1:10">
      <c r="A1512" s="96"/>
      <c r="B1512" s="96"/>
      <c r="F1512" s="79"/>
      <c r="I1512" s="8"/>
      <c r="J1512" s="8"/>
    </row>
    <row r="1513" spans="1:10">
      <c r="A1513" s="96"/>
      <c r="B1513" s="96"/>
      <c r="F1513" s="79"/>
      <c r="I1513" s="8"/>
      <c r="J1513" s="8"/>
    </row>
    <row r="1514" spans="1:10">
      <c r="A1514" s="96"/>
      <c r="B1514" s="96"/>
      <c r="F1514" s="79"/>
      <c r="I1514" s="8"/>
      <c r="J1514" s="8"/>
    </row>
    <row r="1515" spans="1:10">
      <c r="A1515" s="96"/>
      <c r="B1515" s="96"/>
      <c r="F1515" s="79"/>
      <c r="I1515" s="8"/>
      <c r="J1515" s="8"/>
    </row>
    <row r="1516" spans="1:10">
      <c r="A1516" s="96"/>
      <c r="B1516" s="96"/>
      <c r="F1516" s="79"/>
      <c r="I1516" s="8"/>
      <c r="J1516" s="8"/>
    </row>
    <row r="1517" spans="1:10">
      <c r="A1517" s="96"/>
      <c r="B1517" s="96"/>
      <c r="F1517" s="79"/>
      <c r="I1517" s="8"/>
      <c r="J1517" s="8"/>
    </row>
    <row r="1518" spans="1:10">
      <c r="A1518" s="96"/>
      <c r="B1518" s="96"/>
      <c r="F1518" s="79"/>
      <c r="I1518" s="8"/>
      <c r="J1518" s="8"/>
    </row>
    <row r="1519" spans="1:10">
      <c r="A1519" s="96"/>
      <c r="B1519" s="96"/>
      <c r="F1519" s="79"/>
      <c r="I1519" s="8"/>
      <c r="J1519" s="8"/>
    </row>
    <row r="1520" spans="1:10">
      <c r="A1520" s="96"/>
      <c r="B1520" s="96"/>
      <c r="F1520" s="79"/>
      <c r="I1520" s="8"/>
      <c r="J1520" s="8"/>
    </row>
    <row r="1521" spans="1:10">
      <c r="A1521" s="96"/>
      <c r="B1521" s="96"/>
      <c r="F1521" s="79"/>
      <c r="I1521" s="8"/>
      <c r="J1521" s="8"/>
    </row>
    <row r="1522" spans="1:10">
      <c r="A1522" s="96"/>
      <c r="B1522" s="96"/>
      <c r="F1522" s="79"/>
      <c r="I1522" s="8"/>
      <c r="J1522" s="8"/>
    </row>
    <row r="1523" spans="1:10">
      <c r="A1523" s="96"/>
      <c r="B1523" s="96"/>
      <c r="F1523" s="79"/>
      <c r="I1523" s="8"/>
      <c r="J1523" s="8"/>
    </row>
    <row r="1524" spans="1:10">
      <c r="A1524" s="96"/>
      <c r="B1524" s="96"/>
      <c r="F1524" s="79"/>
      <c r="I1524" s="8"/>
      <c r="J1524" s="8"/>
    </row>
    <row r="1525" spans="1:10">
      <c r="A1525" s="96"/>
      <c r="B1525" s="96"/>
      <c r="F1525" s="79"/>
      <c r="I1525" s="8"/>
      <c r="J1525" s="8"/>
    </row>
    <row r="1526" spans="1:10">
      <c r="A1526" s="96"/>
      <c r="B1526" s="96"/>
      <c r="F1526" s="79"/>
      <c r="I1526" s="8"/>
      <c r="J1526" s="8"/>
    </row>
    <row r="1527" spans="1:10">
      <c r="A1527" s="96"/>
      <c r="B1527" s="96"/>
      <c r="F1527" s="79"/>
      <c r="I1527" s="8"/>
      <c r="J1527" s="8"/>
    </row>
    <row r="1528" spans="1:10">
      <c r="A1528" s="96"/>
      <c r="B1528" s="96"/>
      <c r="F1528" s="79"/>
      <c r="I1528" s="8"/>
      <c r="J1528" s="8"/>
    </row>
    <row r="1529" spans="1:10">
      <c r="A1529" s="96"/>
      <c r="B1529" s="96"/>
      <c r="F1529" s="79"/>
      <c r="I1529" s="8"/>
      <c r="J1529" s="8"/>
    </row>
    <row r="1530" spans="1:10">
      <c r="A1530" s="96"/>
      <c r="B1530" s="96"/>
      <c r="F1530" s="79"/>
      <c r="I1530" s="8"/>
      <c r="J1530" s="8"/>
    </row>
    <row r="1531" spans="1:10">
      <c r="A1531" s="96"/>
      <c r="B1531" s="96"/>
      <c r="F1531" s="79"/>
      <c r="I1531" s="8"/>
      <c r="J1531" s="8"/>
    </row>
    <row r="1532" spans="1:10">
      <c r="A1532" s="96"/>
      <c r="B1532" s="96"/>
      <c r="F1532" s="79"/>
      <c r="I1532" s="8"/>
      <c r="J1532" s="8"/>
    </row>
    <row r="1533" spans="1:10">
      <c r="A1533" s="96"/>
      <c r="B1533" s="96"/>
      <c r="F1533" s="79"/>
      <c r="I1533" s="8"/>
      <c r="J1533" s="8"/>
    </row>
    <row r="1534" spans="1:10">
      <c r="A1534" s="96"/>
      <c r="B1534" s="96"/>
      <c r="F1534" s="79"/>
      <c r="I1534" s="8"/>
      <c r="J1534" s="8"/>
    </row>
    <row r="1535" spans="1:10">
      <c r="A1535" s="96"/>
      <c r="B1535" s="96"/>
      <c r="F1535" s="79"/>
      <c r="I1535" s="8"/>
      <c r="J1535" s="8"/>
    </row>
    <row r="1536" spans="1:10">
      <c r="A1536" s="96"/>
      <c r="B1536" s="96"/>
      <c r="F1536" s="79"/>
      <c r="I1536" s="8"/>
      <c r="J1536" s="8"/>
    </row>
    <row r="1537" spans="1:10">
      <c r="A1537" s="96"/>
      <c r="B1537" s="96"/>
      <c r="F1537" s="79"/>
      <c r="I1537" s="8"/>
      <c r="J1537" s="8"/>
    </row>
    <row r="1538" spans="1:10">
      <c r="A1538" s="96"/>
      <c r="B1538" s="96"/>
      <c r="F1538" s="79"/>
      <c r="I1538" s="8"/>
      <c r="J1538" s="8"/>
    </row>
    <row r="1539" spans="1:10">
      <c r="A1539" s="96"/>
      <c r="B1539" s="96"/>
      <c r="F1539" s="79"/>
      <c r="I1539" s="8"/>
      <c r="J1539" s="8"/>
    </row>
    <row r="1540" spans="1:10">
      <c r="A1540" s="96"/>
      <c r="B1540" s="96"/>
      <c r="F1540" s="79"/>
      <c r="I1540" s="8"/>
      <c r="J1540" s="8"/>
    </row>
    <row r="1541" spans="1:10">
      <c r="A1541" s="96"/>
      <c r="B1541" s="96"/>
      <c r="F1541" s="79"/>
      <c r="I1541" s="8"/>
      <c r="J1541" s="8"/>
    </row>
    <row r="1542" spans="1:10">
      <c r="A1542" s="96"/>
      <c r="B1542" s="96"/>
      <c r="F1542" s="79"/>
      <c r="I1542" s="8"/>
      <c r="J1542" s="8"/>
    </row>
    <row r="1543" spans="1:10">
      <c r="A1543" s="96"/>
      <c r="B1543" s="96"/>
      <c r="F1543" s="79"/>
      <c r="I1543" s="8"/>
      <c r="J1543" s="8"/>
    </row>
    <row r="1544" spans="1:10">
      <c r="A1544" s="96"/>
      <c r="B1544" s="96"/>
      <c r="F1544" s="79"/>
      <c r="I1544" s="8"/>
      <c r="J1544" s="8"/>
    </row>
    <row r="1545" spans="1:10">
      <c r="A1545" s="96"/>
      <c r="B1545" s="96"/>
      <c r="F1545" s="79"/>
      <c r="I1545" s="8"/>
      <c r="J1545" s="8"/>
    </row>
    <row r="1546" spans="1:10">
      <c r="A1546" s="96"/>
      <c r="B1546" s="96"/>
      <c r="F1546" s="79"/>
      <c r="I1546" s="8"/>
      <c r="J1546" s="8"/>
    </row>
    <row r="1547" spans="1:10">
      <c r="A1547" s="96"/>
      <c r="B1547" s="96"/>
      <c r="F1547" s="79"/>
      <c r="I1547" s="8"/>
      <c r="J1547" s="8"/>
    </row>
    <row r="1548" spans="1:10">
      <c r="A1548" s="96"/>
      <c r="B1548" s="96"/>
      <c r="F1548" s="79"/>
      <c r="I1548" s="8"/>
      <c r="J1548" s="8"/>
    </row>
    <row r="1549" spans="1:10">
      <c r="A1549" s="96"/>
      <c r="B1549" s="96"/>
      <c r="F1549" s="79"/>
      <c r="I1549" s="8"/>
      <c r="J1549" s="8"/>
    </row>
    <row r="1550" spans="1:10">
      <c r="A1550" s="96"/>
      <c r="B1550" s="96"/>
      <c r="F1550" s="79"/>
      <c r="I1550" s="8"/>
      <c r="J1550" s="8"/>
    </row>
    <row r="1551" spans="1:10">
      <c r="A1551" s="96"/>
      <c r="B1551" s="96"/>
      <c r="F1551" s="79"/>
      <c r="I1551" s="8"/>
      <c r="J1551" s="8"/>
    </row>
    <row r="1552" spans="1:10">
      <c r="A1552" s="96"/>
      <c r="B1552" s="96"/>
      <c r="F1552" s="79"/>
      <c r="I1552" s="8"/>
      <c r="J1552" s="8"/>
    </row>
    <row r="1553" spans="1:10">
      <c r="A1553" s="96"/>
      <c r="B1553" s="96"/>
      <c r="F1553" s="79"/>
      <c r="I1553" s="8"/>
      <c r="J1553" s="8"/>
    </row>
    <row r="1554" spans="1:10">
      <c r="A1554" s="96"/>
      <c r="B1554" s="96"/>
      <c r="F1554" s="79"/>
      <c r="I1554" s="8"/>
      <c r="J1554" s="8"/>
    </row>
    <row r="1555" spans="1:10">
      <c r="A1555" s="96"/>
      <c r="B1555" s="96"/>
      <c r="F1555" s="79"/>
      <c r="I1555" s="8"/>
      <c r="J1555" s="8"/>
    </row>
    <row r="1556" spans="1:10">
      <c r="A1556" s="96"/>
      <c r="B1556" s="96"/>
      <c r="F1556" s="79"/>
      <c r="I1556" s="8"/>
      <c r="J1556" s="8"/>
    </row>
    <row r="1557" spans="1:10">
      <c r="A1557" s="96"/>
      <c r="B1557" s="96"/>
      <c r="F1557" s="79"/>
      <c r="I1557" s="8"/>
      <c r="J1557" s="8"/>
    </row>
    <row r="1558" spans="1:10">
      <c r="A1558" s="96"/>
      <c r="B1558" s="96"/>
      <c r="F1558" s="79"/>
      <c r="I1558" s="8"/>
      <c r="J1558" s="8"/>
    </row>
    <row r="1559" spans="1:10">
      <c r="A1559" s="96"/>
      <c r="B1559" s="96"/>
      <c r="F1559" s="79"/>
      <c r="I1559" s="8"/>
      <c r="J1559" s="8"/>
    </row>
    <row r="1560" spans="1:10">
      <c r="A1560" s="96"/>
      <c r="B1560" s="96"/>
      <c r="F1560" s="79"/>
      <c r="I1560" s="8"/>
      <c r="J1560" s="8"/>
    </row>
    <row r="1561" spans="1:10">
      <c r="A1561" s="96"/>
      <c r="B1561" s="96"/>
      <c r="F1561" s="79"/>
      <c r="I1561" s="8"/>
      <c r="J1561" s="8"/>
    </row>
    <row r="1562" spans="1:10">
      <c r="A1562" s="96"/>
      <c r="B1562" s="96"/>
      <c r="F1562" s="79"/>
      <c r="I1562" s="8"/>
      <c r="J1562" s="8"/>
    </row>
    <row r="1563" spans="1:10">
      <c r="A1563" s="96"/>
      <c r="B1563" s="96"/>
      <c r="F1563" s="79"/>
      <c r="I1563" s="8"/>
      <c r="J1563" s="8"/>
    </row>
    <row r="1564" spans="1:10">
      <c r="A1564" s="96"/>
      <c r="B1564" s="96"/>
      <c r="F1564" s="79"/>
      <c r="I1564" s="8"/>
      <c r="J1564" s="8"/>
    </row>
    <row r="1565" spans="1:10">
      <c r="A1565" s="96"/>
      <c r="B1565" s="96"/>
      <c r="F1565" s="79"/>
      <c r="I1565" s="8"/>
      <c r="J1565" s="8"/>
    </row>
    <row r="1566" spans="1:10">
      <c r="A1566" s="96"/>
      <c r="B1566" s="96"/>
      <c r="F1566" s="79"/>
      <c r="I1566" s="8"/>
      <c r="J1566" s="8"/>
    </row>
    <row r="1567" spans="1:10">
      <c r="A1567" s="96"/>
      <c r="B1567" s="96"/>
      <c r="F1567" s="79"/>
      <c r="I1567" s="8"/>
      <c r="J1567" s="8"/>
    </row>
    <row r="1568" spans="1:10">
      <c r="A1568" s="96"/>
      <c r="B1568" s="96"/>
      <c r="F1568" s="79"/>
      <c r="I1568" s="8"/>
      <c r="J1568" s="8"/>
    </row>
    <row r="1569" spans="1:10">
      <c r="A1569" s="96"/>
      <c r="B1569" s="96"/>
      <c r="F1569" s="79"/>
      <c r="I1569" s="8"/>
      <c r="J1569" s="8"/>
    </row>
    <row r="1570" spans="1:10">
      <c r="A1570" s="96"/>
      <c r="B1570" s="96"/>
      <c r="F1570" s="79"/>
      <c r="I1570" s="8"/>
      <c r="J1570" s="8"/>
    </row>
    <row r="1571" spans="1:10">
      <c r="A1571" s="96"/>
      <c r="B1571" s="96"/>
      <c r="F1571" s="79"/>
      <c r="I1571" s="8"/>
      <c r="J1571" s="8"/>
    </row>
    <row r="1572" spans="1:10">
      <c r="A1572" s="96"/>
      <c r="B1572" s="96"/>
      <c r="F1572" s="79"/>
      <c r="I1572" s="8"/>
      <c r="J1572" s="8"/>
    </row>
    <row r="1573" spans="1:10">
      <c r="A1573" s="96"/>
      <c r="B1573" s="96"/>
      <c r="F1573" s="79"/>
      <c r="I1573" s="8"/>
      <c r="J1573" s="8"/>
    </row>
    <row r="1574" spans="1:10">
      <c r="A1574" s="96"/>
      <c r="B1574" s="96"/>
      <c r="F1574" s="79"/>
      <c r="I1574" s="8"/>
      <c r="J1574" s="8"/>
    </row>
    <row r="1575" spans="1:10">
      <c r="A1575" s="96"/>
      <c r="B1575" s="96"/>
      <c r="F1575" s="79"/>
      <c r="I1575" s="8"/>
      <c r="J1575" s="8"/>
    </row>
    <row r="1576" spans="1:10">
      <c r="A1576" s="96"/>
      <c r="B1576" s="96"/>
      <c r="F1576" s="79"/>
      <c r="I1576" s="8"/>
      <c r="J1576" s="8"/>
    </row>
    <row r="1577" spans="1:10">
      <c r="A1577" s="96"/>
      <c r="B1577" s="96"/>
      <c r="F1577" s="79"/>
      <c r="I1577" s="8"/>
      <c r="J1577" s="8"/>
    </row>
    <row r="1578" spans="1:10">
      <c r="A1578" s="96"/>
      <c r="B1578" s="96"/>
      <c r="F1578" s="79"/>
      <c r="I1578" s="8"/>
      <c r="J1578" s="8"/>
    </row>
    <row r="1579" spans="1:10">
      <c r="A1579" s="96"/>
      <c r="B1579" s="96"/>
      <c r="F1579" s="79"/>
      <c r="I1579" s="8"/>
      <c r="J1579" s="8"/>
    </row>
    <row r="1580" spans="1:10">
      <c r="A1580" s="96"/>
      <c r="B1580" s="96"/>
      <c r="F1580" s="79"/>
      <c r="I1580" s="8"/>
      <c r="J1580" s="8"/>
    </row>
    <row r="1581" spans="1:10">
      <c r="A1581" s="96"/>
      <c r="B1581" s="96"/>
      <c r="F1581" s="79"/>
      <c r="I1581" s="8"/>
      <c r="J1581" s="8"/>
    </row>
    <row r="1582" spans="1:10">
      <c r="A1582" s="96"/>
      <c r="B1582" s="96"/>
      <c r="F1582" s="79"/>
      <c r="I1582" s="8"/>
      <c r="J1582" s="8"/>
    </row>
    <row r="1583" spans="1:10">
      <c r="A1583" s="96"/>
      <c r="B1583" s="96"/>
      <c r="F1583" s="79"/>
      <c r="I1583" s="8"/>
      <c r="J1583" s="8"/>
    </row>
    <row r="1584" spans="1:10">
      <c r="A1584" s="96"/>
      <c r="B1584" s="96"/>
      <c r="F1584" s="79"/>
      <c r="I1584" s="8"/>
      <c r="J1584" s="8"/>
    </row>
    <row r="1585" spans="1:10">
      <c r="A1585" s="96"/>
      <c r="B1585" s="96"/>
      <c r="F1585" s="79"/>
      <c r="I1585" s="8"/>
      <c r="J1585" s="8"/>
    </row>
    <row r="1586" spans="1:10">
      <c r="A1586" s="96"/>
      <c r="B1586" s="96"/>
      <c r="F1586" s="79"/>
      <c r="I1586" s="8"/>
      <c r="J1586" s="8"/>
    </row>
    <row r="1587" spans="1:10">
      <c r="A1587" s="96"/>
      <c r="B1587" s="96"/>
      <c r="F1587" s="79"/>
      <c r="I1587" s="8"/>
      <c r="J1587" s="8"/>
    </row>
    <row r="1588" spans="1:10">
      <c r="A1588" s="96"/>
      <c r="B1588" s="96"/>
      <c r="F1588" s="79"/>
      <c r="I1588" s="8"/>
      <c r="J1588" s="8"/>
    </row>
    <row r="1589" spans="1:10">
      <c r="A1589" s="96"/>
      <c r="B1589" s="96"/>
      <c r="F1589" s="79"/>
      <c r="I1589" s="8"/>
      <c r="J1589" s="8"/>
    </row>
    <row r="1590" spans="1:10">
      <c r="A1590" s="96"/>
      <c r="B1590" s="96"/>
      <c r="F1590" s="79"/>
      <c r="I1590" s="8"/>
      <c r="J1590" s="8"/>
    </row>
    <row r="1591" spans="1:10">
      <c r="A1591" s="96"/>
      <c r="B1591" s="96"/>
      <c r="F1591" s="79"/>
      <c r="I1591" s="8"/>
      <c r="J1591" s="8"/>
    </row>
    <row r="1592" spans="1:10">
      <c r="A1592" s="96"/>
      <c r="B1592" s="96"/>
      <c r="F1592" s="79"/>
      <c r="I1592" s="8"/>
      <c r="J1592" s="8"/>
    </row>
    <row r="1593" spans="1:10">
      <c r="A1593" s="96"/>
      <c r="B1593" s="96"/>
      <c r="F1593" s="79"/>
      <c r="I1593" s="8"/>
      <c r="J1593" s="8"/>
    </row>
    <row r="1594" spans="1:10">
      <c r="A1594" s="96"/>
      <c r="B1594" s="96"/>
      <c r="F1594" s="79"/>
      <c r="I1594" s="8"/>
      <c r="J1594" s="8"/>
    </row>
    <row r="1595" spans="1:10">
      <c r="A1595" s="96"/>
      <c r="B1595" s="96"/>
      <c r="F1595" s="79"/>
      <c r="I1595" s="8"/>
      <c r="J1595" s="8"/>
    </row>
    <row r="1596" spans="1:10">
      <c r="A1596" s="96"/>
      <c r="B1596" s="96"/>
      <c r="F1596" s="79"/>
      <c r="I1596" s="8"/>
      <c r="J1596" s="8"/>
    </row>
    <row r="1597" spans="1:10">
      <c r="A1597" s="96"/>
      <c r="B1597" s="96"/>
      <c r="F1597" s="79"/>
      <c r="I1597" s="8"/>
      <c r="J1597" s="8"/>
    </row>
    <row r="1598" spans="1:10">
      <c r="A1598" s="96"/>
      <c r="B1598" s="96"/>
      <c r="F1598" s="79"/>
      <c r="I1598" s="8"/>
      <c r="J1598" s="8"/>
    </row>
    <row r="1599" spans="1:10">
      <c r="A1599" s="96"/>
      <c r="B1599" s="96"/>
      <c r="F1599" s="79"/>
      <c r="I1599" s="8"/>
      <c r="J1599" s="8"/>
    </row>
    <row r="1600" spans="1:10">
      <c r="A1600" s="96"/>
      <c r="B1600" s="96"/>
      <c r="F1600" s="79"/>
      <c r="I1600" s="8"/>
      <c r="J1600" s="8"/>
    </row>
    <row r="1601" spans="1:10">
      <c r="A1601" s="96"/>
      <c r="B1601" s="96"/>
      <c r="F1601" s="79"/>
      <c r="I1601" s="8"/>
      <c r="J1601" s="8"/>
    </row>
    <row r="1602" spans="1:10">
      <c r="A1602" s="96"/>
      <c r="B1602" s="96"/>
      <c r="F1602" s="79"/>
      <c r="I1602" s="8"/>
      <c r="J1602" s="8"/>
    </row>
    <row r="1603" spans="1:10">
      <c r="A1603" s="96"/>
      <c r="B1603" s="96"/>
      <c r="F1603" s="79"/>
      <c r="I1603" s="8"/>
      <c r="J1603" s="8"/>
    </row>
    <row r="1604" spans="1:10">
      <c r="A1604" s="96"/>
      <c r="B1604" s="96"/>
      <c r="F1604" s="79"/>
      <c r="I1604" s="8"/>
      <c r="J1604" s="8"/>
    </row>
    <row r="1605" spans="1:10">
      <c r="A1605" s="96"/>
      <c r="B1605" s="96"/>
      <c r="F1605" s="79"/>
      <c r="I1605" s="8"/>
      <c r="J1605" s="8"/>
    </row>
    <row r="1606" spans="1:10">
      <c r="A1606" s="96"/>
      <c r="B1606" s="96"/>
      <c r="F1606" s="79"/>
      <c r="I1606" s="8"/>
      <c r="J1606" s="8"/>
    </row>
    <row r="1607" spans="1:10">
      <c r="A1607" s="96"/>
      <c r="B1607" s="96"/>
      <c r="F1607" s="79"/>
      <c r="I1607" s="8"/>
      <c r="J1607" s="8"/>
    </row>
    <row r="1608" spans="1:10">
      <c r="A1608" s="96"/>
      <c r="B1608" s="96"/>
      <c r="F1608" s="79"/>
      <c r="I1608" s="8"/>
      <c r="J1608" s="8"/>
    </row>
    <row r="1609" spans="1:10">
      <c r="A1609" s="96"/>
      <c r="B1609" s="96"/>
      <c r="F1609" s="79"/>
      <c r="I1609" s="8"/>
      <c r="J1609" s="8"/>
    </row>
    <row r="1610" spans="1:10">
      <c r="A1610" s="96"/>
      <c r="B1610" s="96"/>
      <c r="F1610" s="79"/>
      <c r="I1610" s="8"/>
      <c r="J1610" s="8"/>
    </row>
    <row r="1611" spans="1:10">
      <c r="A1611" s="96"/>
      <c r="B1611" s="96"/>
      <c r="F1611" s="79"/>
      <c r="I1611" s="8"/>
      <c r="J1611" s="8"/>
    </row>
    <row r="1612" spans="1:10">
      <c r="A1612" s="96"/>
      <c r="B1612" s="96"/>
      <c r="F1612" s="79"/>
      <c r="I1612" s="8"/>
      <c r="J1612" s="8"/>
    </row>
    <row r="1613" spans="1:10">
      <c r="A1613" s="96"/>
      <c r="B1613" s="96"/>
      <c r="F1613" s="79"/>
      <c r="I1613" s="8"/>
      <c r="J1613" s="8"/>
    </row>
    <row r="1614" spans="1:10">
      <c r="A1614" s="96"/>
      <c r="B1614" s="96"/>
      <c r="F1614" s="79"/>
      <c r="I1614" s="8"/>
      <c r="J1614" s="8"/>
    </row>
    <row r="1615" spans="1:10">
      <c r="A1615" s="96"/>
      <c r="B1615" s="96"/>
      <c r="F1615" s="79"/>
      <c r="I1615" s="8"/>
      <c r="J1615" s="8"/>
    </row>
    <row r="1616" spans="1:10">
      <c r="A1616" s="96"/>
      <c r="B1616" s="96"/>
      <c r="F1616" s="79"/>
      <c r="I1616" s="8"/>
      <c r="J1616" s="8"/>
    </row>
    <row r="1617" spans="1:10">
      <c r="A1617" s="96"/>
      <c r="B1617" s="96"/>
      <c r="F1617" s="79"/>
      <c r="I1617" s="8"/>
      <c r="J1617" s="8"/>
    </row>
    <row r="1618" spans="1:10">
      <c r="A1618" s="96"/>
      <c r="B1618" s="96"/>
      <c r="F1618" s="79"/>
      <c r="I1618" s="8"/>
      <c r="J1618" s="8"/>
    </row>
    <row r="1619" spans="1:10">
      <c r="A1619" s="96"/>
      <c r="B1619" s="96"/>
      <c r="F1619" s="79"/>
      <c r="I1619" s="8"/>
      <c r="J1619" s="8"/>
    </row>
    <row r="1620" spans="1:10">
      <c r="A1620" s="96"/>
      <c r="B1620" s="96"/>
      <c r="F1620" s="79"/>
      <c r="I1620" s="8"/>
      <c r="J1620" s="8"/>
    </row>
    <row r="1621" spans="1:10">
      <c r="A1621" s="96"/>
      <c r="B1621" s="96"/>
      <c r="F1621" s="79"/>
      <c r="I1621" s="8"/>
      <c r="J1621" s="8"/>
    </row>
    <row r="1622" spans="1:10">
      <c r="A1622" s="96"/>
      <c r="B1622" s="96"/>
      <c r="F1622" s="79"/>
      <c r="I1622" s="8"/>
      <c r="J1622" s="8"/>
    </row>
    <row r="1623" spans="1:10">
      <c r="A1623" s="96"/>
      <c r="B1623" s="96"/>
      <c r="F1623" s="79"/>
      <c r="I1623" s="8"/>
      <c r="J1623" s="8"/>
    </row>
    <row r="1624" spans="1:10">
      <c r="A1624" s="96"/>
      <c r="B1624" s="96"/>
      <c r="F1624" s="79"/>
      <c r="I1624" s="8"/>
      <c r="J1624" s="8"/>
    </row>
    <row r="1625" spans="1:10">
      <c r="A1625" s="96"/>
      <c r="B1625" s="96"/>
      <c r="F1625" s="79"/>
      <c r="I1625" s="8"/>
      <c r="J1625" s="8"/>
    </row>
    <row r="1626" spans="1:10">
      <c r="A1626" s="96"/>
      <c r="B1626" s="96"/>
      <c r="F1626" s="79"/>
      <c r="I1626" s="8"/>
      <c r="J1626" s="8"/>
    </row>
    <row r="1627" spans="1:10">
      <c r="A1627" s="96"/>
      <c r="B1627" s="96"/>
      <c r="F1627" s="79"/>
      <c r="I1627" s="8"/>
      <c r="J1627" s="8"/>
    </row>
    <row r="1628" spans="1:10">
      <c r="A1628" s="96"/>
      <c r="B1628" s="96"/>
      <c r="F1628" s="79"/>
      <c r="I1628" s="8"/>
      <c r="J1628" s="8"/>
    </row>
    <row r="1629" spans="1:10">
      <c r="A1629" s="96"/>
      <c r="B1629" s="96"/>
      <c r="F1629" s="79"/>
      <c r="I1629" s="8"/>
      <c r="J1629" s="8"/>
    </row>
    <row r="1630" spans="1:10">
      <c r="A1630" s="96"/>
      <c r="B1630" s="96"/>
      <c r="F1630" s="79"/>
      <c r="I1630" s="8"/>
      <c r="J1630" s="8"/>
    </row>
    <row r="1631" spans="1:10">
      <c r="A1631" s="96"/>
      <c r="B1631" s="96"/>
      <c r="F1631" s="79"/>
      <c r="I1631" s="8"/>
      <c r="J1631" s="8"/>
    </row>
    <row r="1632" spans="1:10">
      <c r="A1632" s="96"/>
      <c r="B1632" s="96"/>
      <c r="F1632" s="79"/>
      <c r="I1632" s="8"/>
      <c r="J1632" s="8"/>
    </row>
    <row r="1633" spans="1:10">
      <c r="A1633" s="96"/>
      <c r="B1633" s="96"/>
      <c r="F1633" s="79"/>
      <c r="I1633" s="8"/>
      <c r="J1633" s="8"/>
    </row>
    <row r="1634" spans="1:10">
      <c r="A1634" s="96"/>
      <c r="B1634" s="96"/>
      <c r="F1634" s="79"/>
      <c r="I1634" s="8"/>
      <c r="J1634" s="8"/>
    </row>
    <row r="1635" spans="1:10">
      <c r="A1635" s="96"/>
      <c r="B1635" s="96"/>
      <c r="F1635" s="79"/>
      <c r="I1635" s="8"/>
      <c r="J1635" s="8"/>
    </row>
    <row r="1636" spans="1:10">
      <c r="A1636" s="96"/>
      <c r="B1636" s="96"/>
      <c r="F1636" s="79"/>
      <c r="I1636" s="8"/>
      <c r="J1636" s="8"/>
    </row>
    <row r="1637" spans="1:10">
      <c r="A1637" s="96"/>
      <c r="B1637" s="96"/>
      <c r="F1637" s="79"/>
      <c r="I1637" s="8"/>
      <c r="J1637" s="8"/>
    </row>
    <row r="1638" spans="1:10">
      <c r="A1638" s="96"/>
      <c r="B1638" s="96"/>
      <c r="F1638" s="79"/>
      <c r="I1638" s="8"/>
      <c r="J1638" s="8"/>
    </row>
    <row r="1639" spans="1:10">
      <c r="A1639" s="96"/>
      <c r="B1639" s="96"/>
      <c r="F1639" s="79"/>
      <c r="I1639" s="8"/>
      <c r="J1639" s="8"/>
    </row>
    <row r="1640" spans="1:10">
      <c r="A1640" s="96"/>
      <c r="B1640" s="96"/>
      <c r="F1640" s="79"/>
      <c r="I1640" s="8"/>
      <c r="J1640" s="8"/>
    </row>
    <row r="1641" spans="1:10">
      <c r="A1641" s="96"/>
      <c r="B1641" s="96"/>
      <c r="F1641" s="79"/>
      <c r="I1641" s="8"/>
      <c r="J1641" s="8"/>
    </row>
    <row r="1642" spans="1:10">
      <c r="A1642" s="96"/>
      <c r="B1642" s="96"/>
      <c r="F1642" s="79"/>
      <c r="I1642" s="8"/>
      <c r="J1642" s="8"/>
    </row>
    <row r="1643" spans="1:10">
      <c r="A1643" s="96"/>
      <c r="B1643" s="96"/>
      <c r="F1643" s="79"/>
      <c r="I1643" s="8"/>
      <c r="J1643" s="8"/>
    </row>
    <row r="1644" spans="1:10">
      <c r="A1644" s="96"/>
      <c r="B1644" s="96"/>
      <c r="F1644" s="79"/>
      <c r="I1644" s="8"/>
      <c r="J1644" s="8"/>
    </row>
    <row r="1645" spans="1:10">
      <c r="A1645" s="96"/>
      <c r="B1645" s="96"/>
      <c r="F1645" s="79"/>
      <c r="I1645" s="8"/>
      <c r="J1645" s="8"/>
    </row>
    <row r="1646" spans="1:10">
      <c r="A1646" s="96"/>
      <c r="B1646" s="96"/>
      <c r="F1646" s="79"/>
      <c r="I1646" s="8"/>
      <c r="J1646" s="8"/>
    </row>
    <row r="1647" spans="1:10">
      <c r="A1647" s="96"/>
      <c r="B1647" s="96"/>
      <c r="F1647" s="79"/>
      <c r="I1647" s="8"/>
      <c r="J1647" s="8"/>
    </row>
    <row r="1648" spans="1:10">
      <c r="A1648" s="96"/>
      <c r="B1648" s="96"/>
      <c r="F1648" s="79"/>
      <c r="I1648" s="8"/>
      <c r="J1648" s="8"/>
    </row>
    <row r="1649" spans="1:10">
      <c r="A1649" s="96"/>
      <c r="B1649" s="96"/>
      <c r="F1649" s="79"/>
      <c r="I1649" s="8"/>
      <c r="J1649" s="8"/>
    </row>
    <row r="1650" spans="1:10">
      <c r="A1650" s="96"/>
      <c r="B1650" s="96"/>
      <c r="F1650" s="79"/>
      <c r="I1650" s="8"/>
      <c r="J1650" s="8"/>
    </row>
    <row r="1651" spans="1:10">
      <c r="A1651" s="96"/>
      <c r="B1651" s="96"/>
      <c r="F1651" s="79"/>
      <c r="I1651" s="8"/>
      <c r="J1651" s="8"/>
    </row>
    <row r="1652" spans="1:10">
      <c r="A1652" s="96"/>
      <c r="B1652" s="96"/>
      <c r="F1652" s="79"/>
      <c r="I1652" s="8"/>
      <c r="J1652" s="8"/>
    </row>
    <row r="1653" spans="1:10">
      <c r="A1653" s="96"/>
      <c r="B1653" s="96"/>
      <c r="F1653" s="79"/>
      <c r="I1653" s="8"/>
      <c r="J1653" s="8"/>
    </row>
    <row r="1654" spans="1:10">
      <c r="A1654" s="96"/>
      <c r="B1654" s="96"/>
      <c r="F1654" s="79"/>
      <c r="I1654" s="8"/>
      <c r="J1654" s="8"/>
    </row>
    <row r="1655" spans="1:10">
      <c r="A1655" s="96"/>
      <c r="B1655" s="96"/>
      <c r="F1655" s="79"/>
      <c r="I1655" s="8"/>
      <c r="J1655" s="8"/>
    </row>
    <row r="1656" spans="1:10">
      <c r="A1656" s="96"/>
      <c r="B1656" s="96"/>
      <c r="F1656" s="79"/>
      <c r="I1656" s="8"/>
      <c r="J1656" s="8"/>
    </row>
    <row r="1657" spans="1:10">
      <c r="A1657" s="96"/>
      <c r="B1657" s="96"/>
      <c r="F1657" s="79"/>
      <c r="I1657" s="8"/>
      <c r="J1657" s="8"/>
    </row>
    <row r="1658" spans="1:10">
      <c r="A1658" s="96"/>
      <c r="B1658" s="96"/>
      <c r="F1658" s="79"/>
      <c r="I1658" s="8"/>
      <c r="J1658" s="8"/>
    </row>
    <row r="1659" spans="1:10">
      <c r="A1659" s="96"/>
      <c r="B1659" s="96"/>
      <c r="F1659" s="79"/>
      <c r="I1659" s="8"/>
      <c r="J1659" s="8"/>
    </row>
    <row r="1660" spans="1:10">
      <c r="A1660" s="96"/>
      <c r="B1660" s="96"/>
      <c r="F1660" s="79"/>
      <c r="I1660" s="8"/>
      <c r="J1660" s="8"/>
    </row>
    <row r="1661" spans="1:10">
      <c r="A1661" s="96"/>
      <c r="B1661" s="96"/>
      <c r="F1661" s="79"/>
      <c r="I1661" s="8"/>
      <c r="J1661" s="8"/>
    </row>
    <row r="1662" spans="1:10">
      <c r="A1662" s="96"/>
      <c r="B1662" s="96"/>
      <c r="F1662" s="79"/>
      <c r="I1662" s="8"/>
      <c r="J1662" s="8"/>
    </row>
    <row r="1663" spans="1:10">
      <c r="A1663" s="96"/>
      <c r="B1663" s="96"/>
      <c r="F1663" s="79"/>
      <c r="I1663" s="8"/>
      <c r="J1663" s="8"/>
    </row>
    <row r="1664" spans="1:10">
      <c r="A1664" s="96"/>
      <c r="B1664" s="96"/>
      <c r="F1664" s="79"/>
      <c r="I1664" s="8"/>
      <c r="J1664" s="8"/>
    </row>
    <row r="1665" spans="1:10">
      <c r="A1665" s="96"/>
      <c r="B1665" s="96"/>
      <c r="F1665" s="79"/>
      <c r="I1665" s="8"/>
      <c r="J1665" s="8"/>
    </row>
    <row r="1666" spans="1:10">
      <c r="A1666" s="96"/>
      <c r="B1666" s="96"/>
      <c r="F1666" s="79"/>
      <c r="I1666" s="8"/>
      <c r="J1666" s="8"/>
    </row>
    <row r="1667" spans="1:10">
      <c r="A1667" s="96"/>
      <c r="B1667" s="96"/>
      <c r="F1667" s="79"/>
      <c r="I1667" s="8"/>
      <c r="J1667" s="8"/>
    </row>
    <row r="1668" spans="1:10">
      <c r="A1668" s="96"/>
      <c r="B1668" s="96"/>
      <c r="F1668" s="79"/>
      <c r="I1668" s="8"/>
      <c r="J1668" s="8"/>
    </row>
    <row r="1669" spans="1:10">
      <c r="A1669" s="96"/>
      <c r="B1669" s="96"/>
      <c r="F1669" s="79"/>
      <c r="I1669" s="8"/>
      <c r="J1669" s="8"/>
    </row>
    <row r="1670" spans="1:10">
      <c r="A1670" s="96"/>
      <c r="B1670" s="96"/>
      <c r="F1670" s="79"/>
      <c r="I1670" s="8"/>
      <c r="J1670" s="8"/>
    </row>
    <row r="1671" spans="1:10">
      <c r="A1671" s="96"/>
      <c r="B1671" s="96"/>
      <c r="F1671" s="79"/>
      <c r="I1671" s="8"/>
      <c r="J1671" s="8"/>
    </row>
    <row r="1672" spans="1:10">
      <c r="A1672" s="96"/>
      <c r="B1672" s="96"/>
      <c r="F1672" s="79"/>
      <c r="I1672" s="8"/>
      <c r="J1672" s="8"/>
    </row>
    <row r="1673" spans="1:10">
      <c r="A1673" s="96"/>
      <c r="B1673" s="96"/>
      <c r="F1673" s="79"/>
      <c r="I1673" s="8"/>
      <c r="J1673" s="8"/>
    </row>
    <row r="1674" spans="1:10">
      <c r="A1674" s="96"/>
      <c r="B1674" s="96"/>
      <c r="F1674" s="79"/>
      <c r="I1674" s="8"/>
      <c r="J1674" s="8"/>
    </row>
    <row r="1675" spans="1:10">
      <c r="A1675" s="96"/>
      <c r="B1675" s="96"/>
      <c r="F1675" s="79"/>
      <c r="I1675" s="8"/>
      <c r="J1675" s="8"/>
    </row>
    <row r="1676" spans="1:10">
      <c r="A1676" s="96"/>
      <c r="B1676" s="96"/>
      <c r="F1676" s="79"/>
      <c r="I1676" s="8"/>
      <c r="J1676" s="8"/>
    </row>
    <row r="1677" spans="1:10">
      <c r="A1677" s="96"/>
      <c r="B1677" s="96"/>
      <c r="F1677" s="79"/>
      <c r="I1677" s="8"/>
      <c r="J1677" s="8"/>
    </row>
    <row r="1678" spans="1:10">
      <c r="A1678" s="96"/>
      <c r="B1678" s="96"/>
      <c r="F1678" s="79"/>
      <c r="I1678" s="8"/>
      <c r="J1678" s="8"/>
    </row>
    <row r="1679" spans="1:10">
      <c r="A1679" s="96"/>
      <c r="B1679" s="96"/>
      <c r="F1679" s="79"/>
      <c r="I1679" s="8"/>
      <c r="J1679" s="8"/>
    </row>
    <row r="1680" spans="1:10">
      <c r="A1680" s="96"/>
      <c r="B1680" s="96"/>
      <c r="F1680" s="79"/>
      <c r="I1680" s="8"/>
      <c r="J1680" s="8"/>
    </row>
    <row r="1681" spans="1:17">
      <c r="I1681" s="8"/>
      <c r="J1681" s="8"/>
    </row>
    <row r="1682" spans="1:17">
      <c r="I1682" s="8"/>
      <c r="J1682" s="8"/>
      <c r="Q1682" s="6" t="str">
        <f t="shared" ref="Q1682:Q1746" ca="1" si="71">IFERROR(_xludf.IFS($E1682="CSM","Category",$E1682="CSPO","Category", $E1682="PSM","Category",$E1682="PSPO","Category",$E1682="SAFe Agile","SAFe",$E1682="SAFe SSM","SAFe",$E1682="SAFe POPM","SAFe",$E1682="SASM","SAFe",$E1682="PMI-ACP","Category",$E1682="ICP-ACC","Category",$E1682="PSM 2","Category",$E1682="SAFe RTE","SAFe",$E1682="",""),"NonCategory")</f>
        <v>NonCategory</v>
      </c>
    </row>
    <row r="1683" spans="1:17">
      <c r="I1683" s="8"/>
      <c r="J1683" s="8"/>
      <c r="Q1683" s="6" t="str">
        <f t="shared" ca="1" si="71"/>
        <v>NonCategory</v>
      </c>
    </row>
    <row r="1684" spans="1:17">
      <c r="I1684" s="8"/>
      <c r="J1684" s="8"/>
      <c r="P1684" s="6" t="s">
        <v>356</v>
      </c>
      <c r="Q1684" s="6" t="str">
        <f t="shared" ca="1" si="71"/>
        <v>NonCategory</v>
      </c>
    </row>
    <row r="1685" spans="1:17">
      <c r="A1685" s="96"/>
      <c r="B1685" s="96"/>
      <c r="I1685" s="8"/>
      <c r="J1685" s="8"/>
      <c r="Q1685" s="6" t="str">
        <f t="shared" ca="1" si="71"/>
        <v>NonCategory</v>
      </c>
    </row>
    <row r="1686" spans="1:17">
      <c r="A1686" s="96"/>
      <c r="B1686" s="96"/>
      <c r="I1686" s="8"/>
      <c r="J1686" s="8"/>
      <c r="Q1686" s="6" t="str">
        <f t="shared" ca="1" si="71"/>
        <v>NonCategory</v>
      </c>
    </row>
    <row r="1687" spans="1:17">
      <c r="A1687" s="96"/>
      <c r="B1687" s="96"/>
      <c r="I1687" s="8"/>
      <c r="J1687" s="8"/>
      <c r="Q1687" s="6" t="str">
        <f t="shared" ca="1" si="71"/>
        <v>NonCategory</v>
      </c>
    </row>
    <row r="1688" spans="1:17">
      <c r="A1688" s="96"/>
      <c r="B1688" s="96"/>
      <c r="I1688" s="8"/>
      <c r="J1688" s="8"/>
      <c r="Q1688" s="6" t="str">
        <f t="shared" ca="1" si="71"/>
        <v>NonCategory</v>
      </c>
    </row>
    <row r="1689" spans="1:17">
      <c r="A1689" s="96"/>
      <c r="B1689" s="96"/>
      <c r="I1689" s="8"/>
      <c r="J1689" s="8"/>
      <c r="Q1689" s="6" t="str">
        <f t="shared" ca="1" si="71"/>
        <v>NonCategory</v>
      </c>
    </row>
    <row r="1690" spans="1:17">
      <c r="A1690" s="96"/>
      <c r="B1690" s="96"/>
      <c r="I1690" s="8"/>
      <c r="J1690" s="8"/>
      <c r="Q1690" s="6" t="str">
        <f t="shared" ca="1" si="71"/>
        <v>NonCategory</v>
      </c>
    </row>
    <row r="1691" spans="1:17">
      <c r="A1691" s="96"/>
      <c r="B1691" s="96"/>
      <c r="I1691" s="8"/>
      <c r="J1691" s="8"/>
      <c r="Q1691" s="6" t="str">
        <f t="shared" ca="1" si="71"/>
        <v>NonCategory</v>
      </c>
    </row>
    <row r="1692" spans="1:17">
      <c r="A1692" s="96"/>
      <c r="B1692" s="96"/>
      <c r="I1692" s="8"/>
      <c r="J1692" s="8"/>
      <c r="Q1692" s="6" t="str">
        <f t="shared" ca="1" si="71"/>
        <v>NonCategory</v>
      </c>
    </row>
    <row r="1693" spans="1:17">
      <c r="A1693" s="96"/>
      <c r="B1693" s="96"/>
      <c r="I1693" s="8"/>
      <c r="J1693" s="8"/>
      <c r="Q1693" s="6" t="str">
        <f t="shared" ca="1" si="71"/>
        <v>NonCategory</v>
      </c>
    </row>
    <row r="1694" spans="1:17">
      <c r="A1694" s="96"/>
      <c r="B1694" s="96"/>
      <c r="I1694" s="8"/>
      <c r="J1694" s="8"/>
      <c r="Q1694" s="6" t="str">
        <f t="shared" ca="1" si="71"/>
        <v>NonCategory</v>
      </c>
    </row>
    <row r="1695" spans="1:17">
      <c r="A1695" s="96"/>
      <c r="B1695" s="96"/>
      <c r="I1695" s="8"/>
      <c r="J1695" s="8"/>
      <c r="Q1695" s="6" t="str">
        <f t="shared" ca="1" si="71"/>
        <v>NonCategory</v>
      </c>
    </row>
    <row r="1696" spans="1:17">
      <c r="A1696" s="96"/>
      <c r="B1696" s="96"/>
      <c r="I1696" s="8"/>
      <c r="J1696" s="8"/>
      <c r="Q1696" s="6" t="str">
        <f t="shared" ca="1" si="71"/>
        <v>NonCategory</v>
      </c>
    </row>
    <row r="1697" spans="1:17">
      <c r="A1697" s="96"/>
      <c r="B1697" s="96"/>
      <c r="I1697" s="8"/>
      <c r="J1697" s="8"/>
      <c r="Q1697" s="6" t="str">
        <f t="shared" ca="1" si="71"/>
        <v>NonCategory</v>
      </c>
    </row>
    <row r="1698" spans="1:17">
      <c r="A1698" s="96"/>
      <c r="B1698" s="96"/>
      <c r="I1698" s="8"/>
      <c r="J1698" s="8"/>
      <c r="Q1698" s="6" t="str">
        <f t="shared" ca="1" si="71"/>
        <v>NonCategory</v>
      </c>
    </row>
    <row r="1699" spans="1:17">
      <c r="A1699" s="96"/>
      <c r="B1699" s="96"/>
      <c r="I1699" s="8"/>
      <c r="J1699" s="8"/>
      <c r="Q1699" s="6" t="str">
        <f t="shared" ca="1" si="71"/>
        <v>NonCategory</v>
      </c>
    </row>
    <row r="1700" spans="1:17">
      <c r="A1700" s="96"/>
      <c r="B1700" s="96"/>
      <c r="I1700" s="8"/>
      <c r="J1700" s="8"/>
      <c r="Q1700" s="6" t="str">
        <f t="shared" ca="1" si="71"/>
        <v>NonCategory</v>
      </c>
    </row>
    <row r="1701" spans="1:17">
      <c r="A1701" s="96"/>
      <c r="B1701" s="96"/>
      <c r="I1701" s="8"/>
      <c r="J1701" s="8"/>
      <c r="Q1701" s="6" t="str">
        <f t="shared" ca="1" si="71"/>
        <v>NonCategory</v>
      </c>
    </row>
    <row r="1702" spans="1:17">
      <c r="A1702" s="96"/>
      <c r="B1702" s="96"/>
      <c r="I1702" s="8"/>
      <c r="J1702" s="8"/>
      <c r="Q1702" s="6" t="str">
        <f t="shared" ca="1" si="71"/>
        <v>NonCategory</v>
      </c>
    </row>
    <row r="1703" spans="1:17">
      <c r="A1703" s="96"/>
      <c r="B1703" s="96"/>
      <c r="I1703" s="8"/>
      <c r="J1703" s="8"/>
      <c r="Q1703" s="6" t="str">
        <f t="shared" ca="1" si="71"/>
        <v>NonCategory</v>
      </c>
    </row>
    <row r="1704" spans="1:17">
      <c r="A1704" s="96"/>
      <c r="B1704" s="96"/>
      <c r="I1704" s="8"/>
      <c r="J1704" s="8"/>
      <c r="Q1704" s="6" t="str">
        <f t="shared" ca="1" si="71"/>
        <v>NonCategory</v>
      </c>
    </row>
    <row r="1705" spans="1:17">
      <c r="A1705" s="96"/>
      <c r="B1705" s="96"/>
      <c r="I1705" s="8"/>
      <c r="J1705" s="8"/>
      <c r="Q1705" s="6" t="str">
        <f t="shared" ca="1" si="71"/>
        <v>NonCategory</v>
      </c>
    </row>
    <row r="1706" spans="1:17">
      <c r="A1706" s="96"/>
      <c r="B1706" s="96"/>
      <c r="I1706" s="8"/>
      <c r="J1706" s="8"/>
      <c r="Q1706" s="6" t="str">
        <f t="shared" ca="1" si="71"/>
        <v>NonCategory</v>
      </c>
    </row>
    <row r="1707" spans="1:17">
      <c r="A1707" s="96"/>
      <c r="B1707" s="96"/>
      <c r="I1707" s="8"/>
      <c r="J1707" s="8"/>
      <c r="Q1707" s="6" t="str">
        <f t="shared" ca="1" si="71"/>
        <v>NonCategory</v>
      </c>
    </row>
    <row r="1708" spans="1:17">
      <c r="A1708" s="96"/>
      <c r="B1708" s="96"/>
      <c r="I1708" s="8"/>
      <c r="J1708" s="8"/>
      <c r="Q1708" s="6" t="str">
        <f t="shared" ca="1" si="71"/>
        <v>NonCategory</v>
      </c>
    </row>
    <row r="1709" spans="1:17">
      <c r="A1709" s="96"/>
      <c r="B1709" s="96"/>
      <c r="I1709" s="8"/>
      <c r="J1709" s="8"/>
      <c r="Q1709" s="6" t="str">
        <f t="shared" ca="1" si="71"/>
        <v>NonCategory</v>
      </c>
    </row>
    <row r="1710" spans="1:17">
      <c r="A1710" s="96"/>
      <c r="B1710" s="96"/>
      <c r="I1710" s="8"/>
      <c r="J1710" s="8"/>
      <c r="Q1710" s="6" t="str">
        <f t="shared" ca="1" si="71"/>
        <v>NonCategory</v>
      </c>
    </row>
    <row r="1711" spans="1:17">
      <c r="A1711" s="96"/>
      <c r="B1711" s="96"/>
      <c r="I1711" s="8"/>
      <c r="J1711" s="8"/>
      <c r="Q1711" s="6" t="str">
        <f t="shared" ca="1" si="71"/>
        <v>NonCategory</v>
      </c>
    </row>
    <row r="1712" spans="1:17">
      <c r="A1712" s="96"/>
      <c r="B1712" s="96"/>
      <c r="I1712" s="8"/>
      <c r="J1712" s="8"/>
      <c r="Q1712" s="6" t="str">
        <f t="shared" ca="1" si="71"/>
        <v>NonCategory</v>
      </c>
    </row>
    <row r="1713" spans="1:17">
      <c r="A1713" s="96"/>
      <c r="B1713" s="96"/>
      <c r="I1713" s="8"/>
      <c r="J1713" s="8"/>
      <c r="Q1713" s="6" t="str">
        <f t="shared" ca="1" si="71"/>
        <v>NonCategory</v>
      </c>
    </row>
    <row r="1714" spans="1:17">
      <c r="A1714" s="96"/>
      <c r="B1714" s="96"/>
      <c r="I1714" s="8"/>
      <c r="J1714" s="8"/>
      <c r="Q1714" s="6" t="str">
        <f t="shared" ca="1" si="71"/>
        <v>NonCategory</v>
      </c>
    </row>
    <row r="1715" spans="1:17">
      <c r="A1715" s="96"/>
      <c r="B1715" s="96"/>
      <c r="I1715" s="8"/>
      <c r="J1715" s="8"/>
      <c r="Q1715" s="6" t="str">
        <f t="shared" ca="1" si="71"/>
        <v>NonCategory</v>
      </c>
    </row>
    <row r="1716" spans="1:17">
      <c r="A1716" s="96"/>
      <c r="B1716" s="96"/>
      <c r="I1716" s="8"/>
      <c r="J1716" s="8"/>
      <c r="Q1716" s="6" t="str">
        <f t="shared" ca="1" si="71"/>
        <v>NonCategory</v>
      </c>
    </row>
    <row r="1717" spans="1:17">
      <c r="A1717" s="96"/>
      <c r="B1717" s="96"/>
      <c r="I1717" s="8"/>
      <c r="J1717" s="8"/>
      <c r="Q1717" s="6" t="str">
        <f t="shared" ca="1" si="71"/>
        <v>NonCategory</v>
      </c>
    </row>
    <row r="1718" spans="1:17">
      <c r="A1718" s="96"/>
      <c r="B1718" s="96"/>
      <c r="I1718" s="8"/>
      <c r="J1718" s="8"/>
      <c r="Q1718" s="6" t="str">
        <f t="shared" ca="1" si="71"/>
        <v>NonCategory</v>
      </c>
    </row>
    <row r="1719" spans="1:17">
      <c r="A1719" s="96"/>
      <c r="B1719" s="96"/>
      <c r="I1719" s="8"/>
      <c r="J1719" s="8"/>
      <c r="Q1719" s="6" t="str">
        <f t="shared" ca="1" si="71"/>
        <v>NonCategory</v>
      </c>
    </row>
    <row r="1720" spans="1:17">
      <c r="A1720" s="96"/>
      <c r="B1720" s="96"/>
      <c r="I1720" s="8"/>
      <c r="J1720" s="8"/>
      <c r="Q1720" s="6" t="str">
        <f t="shared" ca="1" si="71"/>
        <v>NonCategory</v>
      </c>
    </row>
    <row r="1721" spans="1:17">
      <c r="A1721" s="96"/>
      <c r="B1721" s="96"/>
      <c r="I1721" s="8"/>
      <c r="J1721" s="8"/>
      <c r="Q1721" s="6" t="str">
        <f t="shared" ca="1" si="71"/>
        <v>NonCategory</v>
      </c>
    </row>
    <row r="1722" spans="1:17">
      <c r="A1722" s="96"/>
      <c r="B1722" s="96"/>
      <c r="I1722" s="8"/>
      <c r="J1722" s="8"/>
      <c r="Q1722" s="6" t="str">
        <f t="shared" ca="1" si="71"/>
        <v>NonCategory</v>
      </c>
    </row>
    <row r="1723" spans="1:17">
      <c r="A1723" s="96"/>
      <c r="B1723" s="96"/>
      <c r="I1723" s="8"/>
      <c r="J1723" s="8"/>
      <c r="Q1723" s="6" t="str">
        <f t="shared" ca="1" si="71"/>
        <v>NonCategory</v>
      </c>
    </row>
    <row r="1724" spans="1:17">
      <c r="A1724" s="96"/>
      <c r="B1724" s="96"/>
      <c r="I1724" s="8"/>
      <c r="J1724" s="8"/>
      <c r="Q1724" s="6" t="str">
        <f t="shared" ca="1" si="71"/>
        <v>NonCategory</v>
      </c>
    </row>
    <row r="1725" spans="1:17">
      <c r="A1725" s="96"/>
      <c r="B1725" s="96"/>
      <c r="I1725" s="8"/>
      <c r="J1725" s="8"/>
      <c r="Q1725" s="6" t="str">
        <f t="shared" ca="1" si="71"/>
        <v>NonCategory</v>
      </c>
    </row>
    <row r="1726" spans="1:17">
      <c r="A1726" s="96"/>
      <c r="B1726" s="96"/>
      <c r="I1726" s="8"/>
      <c r="J1726" s="8"/>
      <c r="Q1726" s="6" t="str">
        <f t="shared" ca="1" si="71"/>
        <v>NonCategory</v>
      </c>
    </row>
    <row r="1727" spans="1:17">
      <c r="A1727" s="96"/>
      <c r="B1727" s="96"/>
      <c r="I1727" s="8"/>
      <c r="J1727" s="8"/>
      <c r="Q1727" s="6" t="str">
        <f t="shared" ca="1" si="71"/>
        <v>NonCategory</v>
      </c>
    </row>
    <row r="1728" spans="1:17">
      <c r="A1728" s="96"/>
      <c r="B1728" s="96"/>
      <c r="I1728" s="8"/>
      <c r="J1728" s="8"/>
      <c r="Q1728" s="6" t="str">
        <f t="shared" ca="1" si="71"/>
        <v>NonCategory</v>
      </c>
    </row>
    <row r="1729" spans="1:17">
      <c r="A1729" s="96"/>
      <c r="B1729" s="96"/>
      <c r="I1729" s="8"/>
      <c r="J1729" s="8"/>
      <c r="Q1729" s="6" t="str">
        <f t="shared" ca="1" si="71"/>
        <v>NonCategory</v>
      </c>
    </row>
    <row r="1730" spans="1:17">
      <c r="A1730" s="96"/>
      <c r="B1730" s="96"/>
      <c r="I1730" s="8"/>
      <c r="J1730" s="8"/>
      <c r="Q1730" s="6" t="str">
        <f t="shared" ca="1" si="71"/>
        <v>NonCategory</v>
      </c>
    </row>
    <row r="1731" spans="1:17">
      <c r="A1731" s="96"/>
      <c r="B1731" s="96"/>
      <c r="I1731" s="8"/>
      <c r="J1731" s="8"/>
      <c r="Q1731" s="6" t="str">
        <f t="shared" ca="1" si="71"/>
        <v>NonCategory</v>
      </c>
    </row>
    <row r="1732" spans="1:17">
      <c r="A1732" s="96"/>
      <c r="B1732" s="96"/>
      <c r="I1732" s="8"/>
      <c r="J1732" s="8"/>
      <c r="Q1732" s="6" t="str">
        <f t="shared" ca="1" si="71"/>
        <v>NonCategory</v>
      </c>
    </row>
    <row r="1733" spans="1:17">
      <c r="A1733" s="96"/>
      <c r="B1733" s="96"/>
      <c r="I1733" s="8"/>
      <c r="J1733" s="8"/>
      <c r="Q1733" s="6" t="str">
        <f t="shared" ca="1" si="71"/>
        <v>NonCategory</v>
      </c>
    </row>
    <row r="1734" spans="1:17">
      <c r="A1734" s="96"/>
      <c r="B1734" s="96"/>
      <c r="I1734" s="8"/>
      <c r="J1734" s="8"/>
      <c r="Q1734" s="6" t="str">
        <f t="shared" ca="1" si="71"/>
        <v>NonCategory</v>
      </c>
    </row>
    <row r="1735" spans="1:17">
      <c r="A1735" s="96"/>
      <c r="B1735" s="96"/>
      <c r="I1735" s="8"/>
      <c r="J1735" s="8"/>
      <c r="Q1735" s="6" t="str">
        <f t="shared" ca="1" si="71"/>
        <v>NonCategory</v>
      </c>
    </row>
    <row r="1736" spans="1:17">
      <c r="A1736" s="96"/>
      <c r="B1736" s="96"/>
      <c r="I1736" s="8"/>
      <c r="J1736" s="8"/>
      <c r="Q1736" s="6" t="str">
        <f t="shared" ca="1" si="71"/>
        <v>NonCategory</v>
      </c>
    </row>
    <row r="1737" spans="1:17">
      <c r="A1737" s="96"/>
      <c r="B1737" s="96"/>
      <c r="I1737" s="8"/>
      <c r="J1737" s="8"/>
      <c r="Q1737" s="6" t="str">
        <f t="shared" ca="1" si="71"/>
        <v>NonCategory</v>
      </c>
    </row>
    <row r="1738" spans="1:17">
      <c r="A1738" s="96"/>
      <c r="B1738" s="96"/>
      <c r="I1738" s="8"/>
      <c r="J1738" s="8"/>
      <c r="Q1738" s="6" t="str">
        <f t="shared" ca="1" si="71"/>
        <v>NonCategory</v>
      </c>
    </row>
    <row r="1739" spans="1:17">
      <c r="A1739" s="96"/>
      <c r="B1739" s="96"/>
      <c r="I1739" s="8"/>
      <c r="J1739" s="8"/>
      <c r="Q1739" s="6" t="str">
        <f t="shared" ca="1" si="71"/>
        <v>NonCategory</v>
      </c>
    </row>
    <row r="1740" spans="1:17">
      <c r="A1740" s="96"/>
      <c r="B1740" s="96"/>
      <c r="I1740" s="8"/>
      <c r="J1740" s="8"/>
      <c r="Q1740" s="6" t="str">
        <f t="shared" ca="1" si="71"/>
        <v>NonCategory</v>
      </c>
    </row>
    <row r="1741" spans="1:17">
      <c r="A1741" s="96"/>
      <c r="B1741" s="96"/>
      <c r="I1741" s="8"/>
      <c r="J1741" s="8"/>
      <c r="Q1741" s="6" t="str">
        <f t="shared" ca="1" si="71"/>
        <v>NonCategory</v>
      </c>
    </row>
    <row r="1742" spans="1:17">
      <c r="A1742" s="96"/>
      <c r="B1742" s="96"/>
      <c r="I1742" s="8"/>
      <c r="J1742" s="8"/>
      <c r="Q1742" s="6" t="str">
        <f t="shared" ca="1" si="71"/>
        <v>NonCategory</v>
      </c>
    </row>
    <row r="1743" spans="1:17">
      <c r="A1743" s="96"/>
      <c r="B1743" s="96"/>
      <c r="I1743" s="8"/>
      <c r="J1743" s="8"/>
      <c r="Q1743" s="6" t="str">
        <f t="shared" ca="1" si="71"/>
        <v>NonCategory</v>
      </c>
    </row>
    <row r="1744" spans="1:17">
      <c r="A1744" s="96"/>
      <c r="B1744" s="96"/>
      <c r="I1744" s="8"/>
      <c r="J1744" s="8"/>
      <c r="Q1744" s="6" t="str">
        <f t="shared" ca="1" si="71"/>
        <v>NonCategory</v>
      </c>
    </row>
    <row r="1745" spans="1:17">
      <c r="A1745" s="96"/>
      <c r="B1745" s="96"/>
      <c r="I1745" s="8"/>
      <c r="J1745" s="8"/>
      <c r="Q1745" s="6" t="str">
        <f t="shared" ca="1" si="71"/>
        <v>NonCategory</v>
      </c>
    </row>
    <row r="1746" spans="1:17">
      <c r="A1746" s="96"/>
      <c r="B1746" s="96"/>
      <c r="I1746" s="8"/>
      <c r="J1746" s="8"/>
      <c r="Q1746" s="6" t="str">
        <f t="shared" ca="1" si="71"/>
        <v>NonCategory</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C27D3-A000-49B8-B4E3-911479F1A33D}">
  <dimension ref="A3:G109"/>
  <sheetViews>
    <sheetView topLeftCell="A83" workbookViewId="0">
      <selection activeCell="A74" sqref="A74:D109"/>
    </sheetView>
  </sheetViews>
  <sheetFormatPr defaultRowHeight="13.8"/>
  <cols>
    <col min="1" max="1" width="10.109375" bestFit="1" customWidth="1"/>
    <col min="2" max="2" width="8.88671875" bestFit="1" customWidth="1"/>
    <col min="3" max="4" width="9.88671875" bestFit="1" customWidth="1"/>
    <col min="5" max="11" width="6.88671875" bestFit="1" customWidth="1"/>
    <col min="12" max="94" width="7.88671875" bestFit="1" customWidth="1"/>
    <col min="95" max="103" width="9.33203125" bestFit="1" customWidth="1"/>
  </cols>
  <sheetData>
    <row r="3" spans="1:3">
      <c r="A3" s="179" t="s">
        <v>5202</v>
      </c>
      <c r="B3" s="179" t="s">
        <v>236</v>
      </c>
      <c r="C3" t="s">
        <v>5200</v>
      </c>
    </row>
    <row r="4" spans="1:3">
      <c r="A4" t="s">
        <v>5188</v>
      </c>
      <c r="C4" s="182"/>
    </row>
    <row r="5" spans="1:3">
      <c r="B5" s="187">
        <v>44197</v>
      </c>
      <c r="C5" s="182">
        <v>10308.749427393494</v>
      </c>
    </row>
    <row r="6" spans="1:3">
      <c r="B6" s="187">
        <v>44562</v>
      </c>
      <c r="C6" s="182">
        <v>13944.113605130549</v>
      </c>
    </row>
    <row r="7" spans="1:3">
      <c r="B7" s="187">
        <v>44927</v>
      </c>
      <c r="C7" s="182">
        <v>26181.092533211187</v>
      </c>
    </row>
    <row r="8" spans="1:3">
      <c r="A8" t="s">
        <v>5189</v>
      </c>
      <c r="C8" s="182"/>
    </row>
    <row r="9" spans="1:3">
      <c r="B9" s="187">
        <v>44228</v>
      </c>
      <c r="C9" s="182">
        <v>8237.2652313330273</v>
      </c>
    </row>
    <row r="10" spans="1:3">
      <c r="B10" s="187">
        <v>44593</v>
      </c>
      <c r="C10" s="182">
        <v>15222.113147045344</v>
      </c>
    </row>
    <row r="11" spans="1:3">
      <c r="B11" s="187">
        <v>44958</v>
      </c>
      <c r="C11" s="182">
        <v>19005.691708657814</v>
      </c>
    </row>
    <row r="12" spans="1:3">
      <c r="A12" t="s">
        <v>5190</v>
      </c>
      <c r="C12" s="182"/>
    </row>
    <row r="13" spans="1:3">
      <c r="B13" s="187">
        <v>44256</v>
      </c>
      <c r="C13" s="182">
        <v>13675.549702244612</v>
      </c>
    </row>
    <row r="14" spans="1:3">
      <c r="B14" s="187">
        <v>44621</v>
      </c>
      <c r="C14" s="182">
        <v>14569.972514887762</v>
      </c>
    </row>
    <row r="15" spans="1:3">
      <c r="B15" s="187">
        <v>44986</v>
      </c>
      <c r="C15" s="182">
        <v>21086.898763169953</v>
      </c>
    </row>
    <row r="16" spans="1:3">
      <c r="A16" t="s">
        <v>5191</v>
      </c>
      <c r="C16" s="182"/>
    </row>
    <row r="17" spans="1:7">
      <c r="B17" s="187">
        <v>44287</v>
      </c>
      <c r="C17" s="182">
        <v>11852.954649564819</v>
      </c>
    </row>
    <row r="18" spans="1:7">
      <c r="B18" s="187">
        <v>44652</v>
      </c>
      <c r="C18" s="182">
        <v>14889.383875400819</v>
      </c>
    </row>
    <row r="19" spans="1:7">
      <c r="B19" s="187">
        <v>45017</v>
      </c>
      <c r="C19" s="182">
        <v>5967.2583600549706</v>
      </c>
    </row>
    <row r="20" spans="1:7">
      <c r="A20" t="s">
        <v>5192</v>
      </c>
      <c r="C20" s="182"/>
    </row>
    <row r="21" spans="1:7">
      <c r="B21" s="187">
        <v>44317</v>
      </c>
      <c r="C21" s="182">
        <v>14068.941823179111</v>
      </c>
    </row>
    <row r="22" spans="1:7">
      <c r="B22" s="187">
        <v>44682</v>
      </c>
      <c r="C22" s="182">
        <v>15683.623453962437</v>
      </c>
    </row>
    <row r="23" spans="1:7">
      <c r="B23" s="187">
        <v>45047</v>
      </c>
      <c r="C23" s="182">
        <v>8408.5661933119572</v>
      </c>
      <c r="G23" s="169" t="s">
        <v>5205</v>
      </c>
    </row>
    <row r="24" spans="1:7">
      <c r="A24" t="s">
        <v>5193</v>
      </c>
      <c r="C24" s="182"/>
      <c r="G24" s="169" t="s">
        <v>5207</v>
      </c>
    </row>
    <row r="25" spans="1:7">
      <c r="B25" s="187">
        <v>44348</v>
      </c>
      <c r="C25" s="182">
        <v>15001.14521300962</v>
      </c>
      <c r="G25" s="169" t="s">
        <v>5206</v>
      </c>
    </row>
    <row r="26" spans="1:7">
      <c r="B26" s="187">
        <v>44713</v>
      </c>
      <c r="C26" s="182">
        <v>18344.640403114972</v>
      </c>
      <c r="G26" s="169" t="s">
        <v>5208</v>
      </c>
    </row>
    <row r="27" spans="1:7">
      <c r="A27" t="s">
        <v>5194</v>
      </c>
      <c r="C27" s="182"/>
    </row>
    <row r="28" spans="1:7">
      <c r="B28" s="187">
        <v>44378</v>
      </c>
      <c r="C28" s="182">
        <v>13012.826385707745</v>
      </c>
    </row>
    <row r="29" spans="1:7">
      <c r="B29" s="187">
        <v>44743</v>
      </c>
      <c r="C29" s="182">
        <v>16029.317453046271</v>
      </c>
    </row>
    <row r="30" spans="1:7">
      <c r="A30" t="s">
        <v>5195</v>
      </c>
      <c r="C30" s="182"/>
    </row>
    <row r="31" spans="1:7">
      <c r="B31" s="187">
        <v>44409</v>
      </c>
      <c r="C31" s="182">
        <v>15440.563444800733</v>
      </c>
    </row>
    <row r="32" spans="1:7">
      <c r="B32" s="187">
        <v>44774</v>
      </c>
      <c r="C32" s="182">
        <v>12970.934493815852</v>
      </c>
    </row>
    <row r="33" spans="1:3">
      <c r="A33" t="s">
        <v>5196</v>
      </c>
      <c r="C33" s="182"/>
    </row>
    <row r="34" spans="1:3">
      <c r="B34" s="187">
        <v>44440</v>
      </c>
      <c r="C34" s="182">
        <v>19637.975263399003</v>
      </c>
    </row>
    <row r="35" spans="1:3">
      <c r="B35" s="187">
        <v>44805</v>
      </c>
      <c r="C35" s="182">
        <v>15614.177737059093</v>
      </c>
    </row>
    <row r="36" spans="1:3">
      <c r="A36" t="s">
        <v>5197</v>
      </c>
      <c r="C36" s="182"/>
    </row>
    <row r="37" spans="1:3">
      <c r="B37" s="187">
        <v>44470</v>
      </c>
      <c r="C37" s="182">
        <v>19443.197434722861</v>
      </c>
    </row>
    <row r="38" spans="1:3">
      <c r="B38" s="187">
        <v>44835</v>
      </c>
      <c r="C38" s="182">
        <v>10299.15254237288</v>
      </c>
    </row>
    <row r="39" spans="1:3">
      <c r="A39" t="s">
        <v>5185</v>
      </c>
      <c r="C39" s="182"/>
    </row>
    <row r="40" spans="1:3">
      <c r="B40" s="187">
        <v>44136</v>
      </c>
      <c r="C40" s="182">
        <v>3666.0215300045816</v>
      </c>
    </row>
    <row r="41" spans="1:3">
      <c r="B41" s="187">
        <v>44501</v>
      </c>
      <c r="C41" s="182">
        <v>14963.353183692165</v>
      </c>
    </row>
    <row r="42" spans="1:3">
      <c r="B42" s="187">
        <v>44866</v>
      </c>
      <c r="C42" s="182">
        <v>16478.36692624828</v>
      </c>
    </row>
    <row r="43" spans="1:3">
      <c r="A43" t="s">
        <v>5186</v>
      </c>
      <c r="C43" s="182"/>
    </row>
    <row r="44" spans="1:3">
      <c r="B44" s="187">
        <v>44166</v>
      </c>
      <c r="C44" s="182">
        <v>8594.8236371965177</v>
      </c>
    </row>
    <row r="45" spans="1:3">
      <c r="B45" s="187">
        <v>44531</v>
      </c>
      <c r="C45" s="182">
        <v>16210.49015116812</v>
      </c>
    </row>
    <row r="46" spans="1:3">
      <c r="B46" s="187">
        <v>44896</v>
      </c>
      <c r="C46" s="182">
        <v>16828.412734768674</v>
      </c>
    </row>
    <row r="47" spans="1:3">
      <c r="A47" t="s">
        <v>5183</v>
      </c>
      <c r="C47" s="182">
        <v>445637.5735226752</v>
      </c>
    </row>
    <row r="71" spans="1:4">
      <c r="C71" s="182"/>
      <c r="D71" s="183"/>
    </row>
    <row r="72" spans="1:4">
      <c r="C72" s="182"/>
      <c r="D72" s="183"/>
    </row>
    <row r="73" spans="1:4">
      <c r="C73" s="182"/>
      <c r="D73" s="183"/>
    </row>
    <row r="74" spans="1:4">
      <c r="A74" s="180" t="s">
        <v>5201</v>
      </c>
      <c r="B74" s="180" t="s">
        <v>5202</v>
      </c>
      <c r="C74" s="180" t="s">
        <v>5200</v>
      </c>
      <c r="D74" s="186" t="s">
        <v>34</v>
      </c>
    </row>
    <row r="75" spans="1:4">
      <c r="A75" s="181" t="s">
        <v>5184</v>
      </c>
      <c r="B75" s="181"/>
      <c r="C75" s="185"/>
      <c r="D75" s="183"/>
    </row>
    <row r="76" spans="1:4">
      <c r="B76" t="s">
        <v>5185</v>
      </c>
      <c r="C76" s="182">
        <v>3666.0215300045816</v>
      </c>
      <c r="D76" s="183">
        <v>3061</v>
      </c>
    </row>
    <row r="77" spans="1:4">
      <c r="B77" t="s">
        <v>5186</v>
      </c>
      <c r="C77" s="182">
        <v>8594.8236371965177</v>
      </c>
      <c r="D77" s="183">
        <v>10204</v>
      </c>
    </row>
    <row r="78" spans="1:4">
      <c r="A78" s="181" t="s">
        <v>5187</v>
      </c>
      <c r="B78" s="181"/>
      <c r="C78" s="185"/>
      <c r="D78" s="183"/>
    </row>
    <row r="79" spans="1:4">
      <c r="B79" t="s">
        <v>5188</v>
      </c>
      <c r="C79" s="182">
        <v>10308.749427393494</v>
      </c>
      <c r="D79" s="183">
        <v>10204</v>
      </c>
    </row>
    <row r="80" spans="1:4">
      <c r="B80" t="s">
        <v>5189</v>
      </c>
      <c r="C80" s="182">
        <v>8237.2652313330273</v>
      </c>
      <c r="D80" s="183">
        <v>10204</v>
      </c>
    </row>
    <row r="81" spans="1:4">
      <c r="B81" t="s">
        <v>5190</v>
      </c>
      <c r="C81" s="182">
        <v>13675.549702244612</v>
      </c>
      <c r="D81" s="183">
        <v>10204</v>
      </c>
    </row>
    <row r="82" spans="1:4">
      <c r="B82" t="s">
        <v>5191</v>
      </c>
      <c r="C82" s="182">
        <v>11852.954649564819</v>
      </c>
      <c r="D82" s="183">
        <v>10204</v>
      </c>
    </row>
    <row r="83" spans="1:4">
      <c r="B83" t="s">
        <v>5192</v>
      </c>
      <c r="C83" s="182">
        <v>14068.941823179111</v>
      </c>
      <c r="D83" s="183">
        <v>12093</v>
      </c>
    </row>
    <row r="84" spans="1:4">
      <c r="B84" t="s">
        <v>5193</v>
      </c>
      <c r="C84" s="182">
        <v>15001.14521300962</v>
      </c>
      <c r="D84" s="183">
        <v>12093</v>
      </c>
    </row>
    <row r="85" spans="1:4">
      <c r="B85" t="s">
        <v>5194</v>
      </c>
      <c r="C85" s="182">
        <v>13012.826385707745</v>
      </c>
      <c r="D85" s="183">
        <v>12093</v>
      </c>
    </row>
    <row r="86" spans="1:4">
      <c r="B86" t="s">
        <v>5195</v>
      </c>
      <c r="C86" s="182">
        <v>15440.563444800733</v>
      </c>
      <c r="D86" s="183">
        <v>12093</v>
      </c>
    </row>
    <row r="87" spans="1:4">
      <c r="B87" t="s">
        <v>5196</v>
      </c>
      <c r="C87" s="182">
        <v>19637.975263399003</v>
      </c>
      <c r="D87" s="183">
        <v>13605</v>
      </c>
    </row>
    <row r="88" spans="1:4">
      <c r="B88" t="s">
        <v>5197</v>
      </c>
      <c r="C88" s="182">
        <v>19443.197434722861</v>
      </c>
      <c r="D88" s="183">
        <v>13605</v>
      </c>
    </row>
    <row r="89" spans="1:4">
      <c r="B89" t="s">
        <v>5185</v>
      </c>
      <c r="C89" s="182">
        <v>14963.353183692165</v>
      </c>
      <c r="D89" s="183">
        <v>14292</v>
      </c>
    </row>
    <row r="90" spans="1:4">
      <c r="B90" t="s">
        <v>5186</v>
      </c>
      <c r="C90" s="182">
        <v>16210.49015116812</v>
      </c>
      <c r="D90" s="183">
        <v>14292</v>
      </c>
    </row>
    <row r="91" spans="1:4">
      <c r="A91" s="181" t="s">
        <v>5198</v>
      </c>
      <c r="B91" s="181"/>
      <c r="C91" s="185"/>
    </row>
    <row r="92" spans="1:4">
      <c r="B92" t="s">
        <v>5188</v>
      </c>
      <c r="C92" s="182">
        <v>13944.113605130549</v>
      </c>
      <c r="D92" s="183">
        <v>14292</v>
      </c>
    </row>
    <row r="93" spans="1:4">
      <c r="B93" t="s">
        <v>5189</v>
      </c>
      <c r="C93" s="182">
        <v>15222.113147045344</v>
      </c>
      <c r="D93" s="183">
        <v>14292</v>
      </c>
    </row>
    <row r="94" spans="1:4">
      <c r="B94" t="s">
        <v>5190</v>
      </c>
      <c r="C94" s="182">
        <v>14569.972514887762</v>
      </c>
      <c r="D94" s="183">
        <v>14292</v>
      </c>
    </row>
    <row r="95" spans="1:4">
      <c r="B95" t="s">
        <v>5191</v>
      </c>
      <c r="C95" s="182">
        <v>14639.383875400819</v>
      </c>
      <c r="D95" s="183">
        <v>14292</v>
      </c>
    </row>
    <row r="96" spans="1:4">
      <c r="B96" t="s">
        <v>5192</v>
      </c>
      <c r="C96" s="182">
        <v>15683.623453962437</v>
      </c>
      <c r="D96" s="183">
        <v>14292</v>
      </c>
    </row>
    <row r="97" spans="1:4">
      <c r="B97" t="s">
        <v>5193</v>
      </c>
      <c r="C97" s="182">
        <v>18344.640403114972</v>
      </c>
      <c r="D97" s="183">
        <v>14292</v>
      </c>
    </row>
    <row r="98" spans="1:4">
      <c r="B98" t="s">
        <v>5194</v>
      </c>
      <c r="C98" s="182">
        <v>16029.317453046271</v>
      </c>
      <c r="D98" s="183">
        <v>15392</v>
      </c>
    </row>
    <row r="99" spans="1:4">
      <c r="B99" t="s">
        <v>5195</v>
      </c>
      <c r="C99" s="182">
        <v>12970.934493815852</v>
      </c>
      <c r="D99" s="183">
        <v>14700</v>
      </c>
    </row>
    <row r="100" spans="1:4">
      <c r="B100" t="s">
        <v>5196</v>
      </c>
      <c r="C100" s="182">
        <v>15614.177737059093</v>
      </c>
      <c r="D100" s="183">
        <v>15005</v>
      </c>
    </row>
    <row r="101" spans="1:4">
      <c r="B101" t="s">
        <v>5197</v>
      </c>
      <c r="C101" s="182">
        <v>10299.15254237288</v>
      </c>
      <c r="D101" s="183">
        <v>15005</v>
      </c>
    </row>
    <row r="102" spans="1:4">
      <c r="B102" t="s">
        <v>5185</v>
      </c>
      <c r="C102" s="182">
        <v>16228.366926248282</v>
      </c>
      <c r="D102" s="183">
        <v>16125</v>
      </c>
    </row>
    <row r="103" spans="1:4">
      <c r="B103" t="s">
        <v>5186</v>
      </c>
      <c r="C103" s="182">
        <v>16828.412734768674</v>
      </c>
      <c r="D103" s="183">
        <v>16125</v>
      </c>
    </row>
    <row r="104" spans="1:4">
      <c r="A104" s="181" t="s">
        <v>5199</v>
      </c>
      <c r="B104" s="181"/>
      <c r="C104" s="185"/>
    </row>
    <row r="105" spans="1:4">
      <c r="B105" t="s">
        <v>5188</v>
      </c>
      <c r="C105" s="182">
        <v>26181.092533211187</v>
      </c>
      <c r="D105" s="183">
        <v>17100</v>
      </c>
    </row>
    <row r="106" spans="1:4">
      <c r="B106" t="s">
        <v>5189</v>
      </c>
      <c r="C106" s="182">
        <v>19005.691708657814</v>
      </c>
      <c r="D106" s="183">
        <v>17100</v>
      </c>
    </row>
    <row r="107" spans="1:4">
      <c r="B107" t="s">
        <v>5190</v>
      </c>
      <c r="C107" s="182">
        <v>21086.898763169953</v>
      </c>
      <c r="D107" s="183">
        <v>17100</v>
      </c>
    </row>
    <row r="108" spans="1:4">
      <c r="B108" t="s">
        <v>5191</v>
      </c>
      <c r="C108" s="182">
        <v>5967.2583600549706</v>
      </c>
      <c r="D108" s="183">
        <v>18600</v>
      </c>
    </row>
    <row r="109" spans="1:4">
      <c r="B109" t="s">
        <v>5192</v>
      </c>
      <c r="C109" s="182">
        <v>8408.5661933119572</v>
      </c>
      <c r="D109" s="183">
        <v>18600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CE2E-B929-4932-BCBF-CBB5D884EB1C}">
  <dimension ref="A3:B81"/>
  <sheetViews>
    <sheetView workbookViewId="0">
      <selection activeCell="B5" sqref="B5"/>
    </sheetView>
  </sheetViews>
  <sheetFormatPr defaultRowHeight="13.8"/>
  <cols>
    <col min="1" max="1" width="17.88671875" bestFit="1" customWidth="1"/>
    <col min="2" max="4" width="9.88671875" bestFit="1" customWidth="1"/>
    <col min="5" max="5" width="19.33203125" bestFit="1" customWidth="1"/>
    <col min="6" max="6" width="20.109375" bestFit="1" customWidth="1"/>
    <col min="7" max="7" width="11.77734375" bestFit="1" customWidth="1"/>
    <col min="8" max="8" width="18.21875" bestFit="1" customWidth="1"/>
    <col min="9" max="9" width="9.109375" bestFit="1" customWidth="1"/>
    <col min="10" max="10" width="10.109375" bestFit="1" customWidth="1"/>
    <col min="11" max="11" width="14.21875" bestFit="1" customWidth="1"/>
    <col min="12" max="12" width="5.21875" bestFit="1" customWidth="1"/>
    <col min="13" max="13" width="5" bestFit="1" customWidth="1"/>
    <col min="14" max="14" width="11.77734375" bestFit="1" customWidth="1"/>
    <col min="15" max="15" width="5.33203125" bestFit="1" customWidth="1"/>
    <col min="16" max="16" width="13.109375" bestFit="1" customWidth="1"/>
    <col min="17" max="17" width="5.109375" bestFit="1" customWidth="1"/>
    <col min="18" max="19" width="7.44140625" bestFit="1" customWidth="1"/>
    <col min="20" max="20" width="18" bestFit="1" customWidth="1"/>
    <col min="21" max="21" width="21.33203125" bestFit="1" customWidth="1"/>
    <col min="22" max="22" width="11.77734375" bestFit="1" customWidth="1"/>
    <col min="23" max="23" width="14.6640625" bestFit="1" customWidth="1"/>
    <col min="24" max="24" width="21.77734375" bestFit="1" customWidth="1"/>
    <col min="25" max="25" width="17.77734375" bestFit="1" customWidth="1"/>
    <col min="26" max="26" width="7.109375" bestFit="1" customWidth="1"/>
    <col min="27" max="27" width="7.21875" bestFit="1" customWidth="1"/>
    <col min="28" max="28" width="16.5546875" bestFit="1" customWidth="1"/>
    <col min="29" max="29" width="19" bestFit="1" customWidth="1"/>
    <col min="30" max="30" width="5" bestFit="1" customWidth="1"/>
    <col min="31" max="31" width="5.21875" bestFit="1" customWidth="1"/>
    <col min="32" max="32" width="7.77734375" bestFit="1" customWidth="1"/>
    <col min="33" max="33" width="6.44140625" bestFit="1" customWidth="1"/>
    <col min="34" max="34" width="8.6640625" bestFit="1" customWidth="1"/>
    <col min="35" max="36" width="5.6640625" bestFit="1" customWidth="1"/>
    <col min="37" max="37" width="20.88671875" bestFit="1" customWidth="1"/>
    <col min="38" max="38" width="11.5546875" bestFit="1" customWidth="1"/>
    <col min="39" max="39" width="11" bestFit="1" customWidth="1"/>
    <col min="40" max="40" width="5" bestFit="1" customWidth="1"/>
    <col min="41" max="41" width="6.6640625" bestFit="1" customWidth="1"/>
    <col min="42" max="42" width="12.6640625" bestFit="1" customWidth="1"/>
    <col min="43" max="43" width="6.88671875" bestFit="1" customWidth="1"/>
    <col min="44" max="44" width="9.109375" bestFit="1" customWidth="1"/>
    <col min="45" max="45" width="16.109375" bestFit="1" customWidth="1"/>
    <col min="46" max="46" width="8.77734375" bestFit="1" customWidth="1"/>
    <col min="47" max="47" width="7.33203125" bestFit="1" customWidth="1"/>
    <col min="48" max="48" width="7.88671875" bestFit="1" customWidth="1"/>
    <col min="49" max="49" width="6.44140625" bestFit="1" customWidth="1"/>
    <col min="50" max="50" width="5.109375" bestFit="1" customWidth="1"/>
    <col min="51" max="51" width="17.21875" bestFit="1" customWidth="1"/>
    <col min="52" max="52" width="13.109375" bestFit="1" customWidth="1"/>
    <col min="53" max="53" width="17.77734375" bestFit="1" customWidth="1"/>
    <col min="54" max="54" width="13.6640625" bestFit="1" customWidth="1"/>
    <col min="55" max="55" width="9.33203125" bestFit="1" customWidth="1"/>
    <col min="56" max="56" width="21.5546875" bestFit="1" customWidth="1"/>
    <col min="57" max="57" width="20" bestFit="1" customWidth="1"/>
    <col min="58" max="58" width="8.33203125" bestFit="1" customWidth="1"/>
    <col min="59" max="59" width="25.77734375" bestFit="1" customWidth="1"/>
    <col min="60" max="60" width="26.33203125" bestFit="1" customWidth="1"/>
    <col min="61" max="61" width="16.109375" bestFit="1" customWidth="1"/>
    <col min="62" max="62" width="13.44140625" bestFit="1" customWidth="1"/>
    <col min="63" max="63" width="11" bestFit="1" customWidth="1"/>
    <col min="64" max="64" width="10.5546875" bestFit="1" customWidth="1"/>
    <col min="65" max="65" width="16.33203125" bestFit="1" customWidth="1"/>
    <col min="66" max="66" width="16.6640625" bestFit="1" customWidth="1"/>
    <col min="67" max="69" width="7.44140625" bestFit="1" customWidth="1"/>
    <col min="70" max="70" width="6.6640625" bestFit="1" customWidth="1"/>
    <col min="71" max="71" width="9.21875" bestFit="1" customWidth="1"/>
    <col min="72" max="72" width="18.21875" bestFit="1" customWidth="1"/>
    <col min="73" max="73" width="10.33203125" bestFit="1" customWidth="1"/>
    <col min="74" max="74" width="8.21875" bestFit="1" customWidth="1"/>
    <col min="75" max="75" width="8.77734375" bestFit="1" customWidth="1"/>
    <col min="76" max="76" width="5.5546875" bestFit="1" customWidth="1"/>
    <col min="77" max="77" width="11.33203125" bestFit="1" customWidth="1"/>
    <col min="78" max="78" width="16.6640625" bestFit="1" customWidth="1"/>
    <col min="79" max="79" width="9.44140625" bestFit="1" customWidth="1"/>
    <col min="80" max="80" width="6.44140625" bestFit="1" customWidth="1"/>
    <col min="81" max="81" width="7.6640625" bestFit="1" customWidth="1"/>
    <col min="82" max="94" width="7.88671875" bestFit="1" customWidth="1"/>
    <col min="95" max="103" width="9.33203125" bestFit="1" customWidth="1"/>
  </cols>
  <sheetData>
    <row r="3" spans="1:2">
      <c r="A3" s="179" t="s">
        <v>3</v>
      </c>
      <c r="B3" t="s">
        <v>5200</v>
      </c>
    </row>
    <row r="4" spans="1:2">
      <c r="A4" t="s">
        <v>2375</v>
      </c>
      <c r="B4" s="188">
        <v>1022.1026110856619</v>
      </c>
    </row>
    <row r="5" spans="1:2">
      <c r="A5" t="s">
        <v>5218</v>
      </c>
      <c r="B5" s="188">
        <v>1073.2249198350894</v>
      </c>
    </row>
    <row r="6" spans="1:2">
      <c r="A6" t="s">
        <v>2868</v>
      </c>
      <c r="B6" s="188">
        <v>1145.2130096197893</v>
      </c>
    </row>
    <row r="7" spans="1:2">
      <c r="A7" t="s">
        <v>1582</v>
      </c>
      <c r="B7" s="188">
        <v>1351.3513513513512</v>
      </c>
    </row>
    <row r="8" spans="1:2">
      <c r="A8" t="s">
        <v>1757</v>
      </c>
      <c r="B8" s="188">
        <v>3401.2826385707745</v>
      </c>
    </row>
    <row r="9" spans="1:2">
      <c r="A9" t="s">
        <v>14</v>
      </c>
      <c r="B9" s="188">
        <v>3515.8039395327532</v>
      </c>
    </row>
    <row r="10" spans="1:2">
      <c r="A10" t="s">
        <v>1218</v>
      </c>
      <c r="B10" s="188">
        <v>3950.9848831882732</v>
      </c>
    </row>
    <row r="11" spans="1:2">
      <c r="A11" t="s">
        <v>3845</v>
      </c>
      <c r="B11" s="188">
        <v>4234.4251030691712</v>
      </c>
    </row>
    <row r="12" spans="1:2">
      <c r="A12" t="s">
        <v>1698</v>
      </c>
      <c r="B12" s="188">
        <v>5726.065048098947</v>
      </c>
    </row>
    <row r="13" spans="1:2">
      <c r="A13" t="s">
        <v>72</v>
      </c>
      <c r="B13" s="188">
        <v>5783.3256985799371</v>
      </c>
    </row>
    <row r="14" spans="1:2">
      <c r="A14" t="s">
        <v>976</v>
      </c>
      <c r="B14" s="188">
        <v>5951.2139257901981</v>
      </c>
    </row>
    <row r="15" spans="1:2">
      <c r="A15" t="s">
        <v>1497</v>
      </c>
      <c r="B15" s="188">
        <v>6046.72469079249</v>
      </c>
    </row>
    <row r="16" spans="1:2">
      <c r="A16" t="s">
        <v>538</v>
      </c>
      <c r="B16" s="188">
        <v>6225.0000000000009</v>
      </c>
    </row>
    <row r="17" spans="1:2">
      <c r="A17" t="s">
        <v>73</v>
      </c>
      <c r="B17" s="188">
        <v>7901.9697663765464</v>
      </c>
    </row>
    <row r="18" spans="1:2">
      <c r="A18" t="s">
        <v>7</v>
      </c>
      <c r="B18" s="188">
        <v>8876.7979844251058</v>
      </c>
    </row>
    <row r="19" spans="1:2">
      <c r="A19" t="s">
        <v>97</v>
      </c>
      <c r="B19" s="188">
        <v>26680.943655519906</v>
      </c>
    </row>
    <row r="20" spans="1:2">
      <c r="A20" t="s">
        <v>6</v>
      </c>
      <c r="B20" s="188">
        <v>28702.954649564799</v>
      </c>
    </row>
    <row r="21" spans="1:2">
      <c r="A21" t="s">
        <v>151</v>
      </c>
      <c r="B21" s="188">
        <v>33947.984425103154</v>
      </c>
    </row>
    <row r="22" spans="1:2">
      <c r="A22" t="s">
        <v>1524</v>
      </c>
      <c r="B22" s="188">
        <v>36211.635364177659</v>
      </c>
    </row>
    <row r="23" spans="1:2">
      <c r="A23" t="s">
        <v>96</v>
      </c>
      <c r="B23" s="188">
        <v>68139.567109482581</v>
      </c>
    </row>
    <row r="24" spans="1:2">
      <c r="A24" t="s">
        <v>150</v>
      </c>
      <c r="B24" s="188">
        <v>69707.627118643999</v>
      </c>
    </row>
    <row r="25" spans="1:2">
      <c r="A25" t="s">
        <v>25</v>
      </c>
      <c r="B25" s="188">
        <v>95759.790655061792</v>
      </c>
    </row>
    <row r="26" spans="1:2">
      <c r="A26" t="s">
        <v>5183</v>
      </c>
      <c r="B26" s="188">
        <v>425355.98854787013</v>
      </c>
    </row>
    <row r="38" ht="14.4" thickBot="1"/>
    <row r="39" ht="14.4" thickTop="1"/>
    <row r="80" ht="14.4" thickBot="1"/>
    <row r="81" ht="14.4" thickTop="1"/>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BFFC3-7A3D-4999-8ABB-9F417FE43128}">
  <dimension ref="A3:D81"/>
  <sheetViews>
    <sheetView workbookViewId="0">
      <selection activeCell="H23" sqref="H23"/>
    </sheetView>
  </sheetViews>
  <sheetFormatPr defaultRowHeight="13.8"/>
  <cols>
    <col min="1" max="1" width="13.6640625" bestFit="1" customWidth="1"/>
    <col min="2" max="2" width="10.21875" bestFit="1" customWidth="1"/>
    <col min="3" max="3" width="11.21875" bestFit="1" customWidth="1"/>
    <col min="4" max="5" width="8.33203125" bestFit="1" customWidth="1"/>
    <col min="6" max="8" width="13.6640625" bestFit="1" customWidth="1"/>
    <col min="9" max="9" width="9.109375" bestFit="1" customWidth="1"/>
    <col min="10" max="10" width="10.109375" bestFit="1" customWidth="1"/>
    <col min="11" max="11" width="14.21875" bestFit="1" customWidth="1"/>
    <col min="12" max="12" width="5.21875" bestFit="1" customWidth="1"/>
    <col min="13" max="13" width="5" bestFit="1" customWidth="1"/>
    <col min="14" max="14" width="11.77734375" bestFit="1" customWidth="1"/>
    <col min="15" max="15" width="5.33203125" bestFit="1" customWidth="1"/>
    <col min="16" max="16" width="13.109375" bestFit="1" customWidth="1"/>
    <col min="17" max="17" width="5.109375" bestFit="1" customWidth="1"/>
    <col min="18" max="19" width="7.44140625" bestFit="1" customWidth="1"/>
    <col min="20" max="20" width="18" bestFit="1" customWidth="1"/>
    <col min="21" max="21" width="21.33203125" bestFit="1" customWidth="1"/>
    <col min="22" max="22" width="11.77734375" bestFit="1" customWidth="1"/>
    <col min="23" max="23" width="14.6640625" bestFit="1" customWidth="1"/>
    <col min="24" max="24" width="21.77734375" bestFit="1" customWidth="1"/>
    <col min="25" max="25" width="17.77734375" bestFit="1" customWidth="1"/>
    <col min="26" max="26" width="7.109375" bestFit="1" customWidth="1"/>
    <col min="27" max="27" width="7.21875" bestFit="1" customWidth="1"/>
    <col min="28" max="28" width="16.5546875" bestFit="1" customWidth="1"/>
    <col min="29" max="29" width="19" bestFit="1" customWidth="1"/>
    <col min="30" max="30" width="5" bestFit="1" customWidth="1"/>
    <col min="31" max="31" width="5.21875" bestFit="1" customWidth="1"/>
    <col min="32" max="32" width="7.77734375" bestFit="1" customWidth="1"/>
    <col min="33" max="33" width="6.44140625" bestFit="1" customWidth="1"/>
    <col min="34" max="34" width="8.6640625" bestFit="1" customWidth="1"/>
    <col min="35" max="36" width="5.6640625" bestFit="1" customWidth="1"/>
    <col min="37" max="37" width="20.88671875" bestFit="1" customWidth="1"/>
    <col min="38" max="38" width="11.5546875" bestFit="1" customWidth="1"/>
    <col min="39" max="39" width="11" bestFit="1" customWidth="1"/>
    <col min="40" max="40" width="5" bestFit="1" customWidth="1"/>
    <col min="41" max="41" width="6.6640625" bestFit="1" customWidth="1"/>
    <col min="42" max="42" width="12.6640625" bestFit="1" customWidth="1"/>
    <col min="43" max="43" width="6.88671875" bestFit="1" customWidth="1"/>
    <col min="44" max="44" width="9.109375" bestFit="1" customWidth="1"/>
    <col min="45" max="45" width="16.109375" bestFit="1" customWidth="1"/>
    <col min="46" max="46" width="8.77734375" bestFit="1" customWidth="1"/>
    <col min="47" max="47" width="7.33203125" bestFit="1" customWidth="1"/>
    <col min="48" max="48" width="7.88671875" bestFit="1" customWidth="1"/>
    <col min="49" max="49" width="6.44140625" bestFit="1" customWidth="1"/>
    <col min="50" max="50" width="5.109375" bestFit="1" customWidth="1"/>
    <col min="51" max="51" width="17.21875" bestFit="1" customWidth="1"/>
    <col min="52" max="52" width="13.109375" bestFit="1" customWidth="1"/>
    <col min="53" max="53" width="17.77734375" bestFit="1" customWidth="1"/>
    <col min="54" max="54" width="13.6640625" bestFit="1" customWidth="1"/>
    <col min="55" max="55" width="9.33203125" bestFit="1" customWidth="1"/>
    <col min="56" max="56" width="21.5546875" bestFit="1" customWidth="1"/>
    <col min="57" max="57" width="20" bestFit="1" customWidth="1"/>
    <col min="58" max="58" width="8.33203125" bestFit="1" customWidth="1"/>
    <col min="59" max="59" width="25.77734375" bestFit="1" customWidth="1"/>
    <col min="60" max="60" width="26.33203125" bestFit="1" customWidth="1"/>
    <col min="61" max="61" width="16.109375" bestFit="1" customWidth="1"/>
    <col min="62" max="62" width="13.44140625" bestFit="1" customWidth="1"/>
    <col min="63" max="63" width="11" bestFit="1" customWidth="1"/>
    <col min="64" max="64" width="10.5546875" bestFit="1" customWidth="1"/>
    <col min="65" max="65" width="16.33203125" bestFit="1" customWidth="1"/>
    <col min="66" max="66" width="16.6640625" bestFit="1" customWidth="1"/>
    <col min="67" max="69" width="7.44140625" bestFit="1" customWidth="1"/>
    <col min="70" max="70" width="6.6640625" bestFit="1" customWidth="1"/>
    <col min="71" max="71" width="9.21875" bestFit="1" customWidth="1"/>
    <col min="72" max="72" width="18.21875" bestFit="1" customWidth="1"/>
    <col min="73" max="73" width="10.33203125" bestFit="1" customWidth="1"/>
    <col min="74" max="74" width="8.21875" bestFit="1" customWidth="1"/>
    <col min="75" max="75" width="8.77734375" bestFit="1" customWidth="1"/>
    <col min="76" max="76" width="5.5546875" bestFit="1" customWidth="1"/>
    <col min="77" max="77" width="11.33203125" bestFit="1" customWidth="1"/>
    <col min="78" max="78" width="16.6640625" bestFit="1" customWidth="1"/>
    <col min="79" max="79" width="9.44140625" bestFit="1" customWidth="1"/>
    <col min="80" max="80" width="6.44140625" bestFit="1" customWidth="1"/>
    <col min="81" max="81" width="7.6640625" bestFit="1" customWidth="1"/>
    <col min="82" max="94" width="7.88671875" bestFit="1" customWidth="1"/>
    <col min="95" max="103" width="9.33203125" bestFit="1" customWidth="1"/>
  </cols>
  <sheetData>
    <row r="3" spans="1:4">
      <c r="A3" s="179" t="s">
        <v>5209</v>
      </c>
      <c r="B3" s="179" t="s">
        <v>20</v>
      </c>
    </row>
    <row r="4" spans="1:4">
      <c r="A4" s="179" t="s">
        <v>236</v>
      </c>
      <c r="B4" t="s">
        <v>20</v>
      </c>
      <c r="C4" t="s">
        <v>5204</v>
      </c>
      <c r="D4" t="s">
        <v>5203</v>
      </c>
    </row>
    <row r="5" spans="1:4">
      <c r="A5" s="187">
        <v>44136</v>
      </c>
      <c r="B5">
        <v>16</v>
      </c>
    </row>
    <row r="6" spans="1:4">
      <c r="A6" s="187">
        <v>44166</v>
      </c>
      <c r="B6">
        <v>35</v>
      </c>
      <c r="C6">
        <v>3</v>
      </c>
    </row>
    <row r="7" spans="1:4">
      <c r="A7" s="187">
        <v>44197</v>
      </c>
      <c r="B7">
        <v>39</v>
      </c>
      <c r="C7">
        <v>3</v>
      </c>
      <c r="D7">
        <v>1</v>
      </c>
    </row>
    <row r="8" spans="1:4">
      <c r="A8" s="187">
        <v>44228</v>
      </c>
      <c r="B8">
        <v>16</v>
      </c>
      <c r="C8">
        <v>6</v>
      </c>
      <c r="D8">
        <v>11</v>
      </c>
    </row>
    <row r="9" spans="1:4">
      <c r="A9" s="187">
        <v>44256</v>
      </c>
      <c r="B9">
        <v>12</v>
      </c>
      <c r="C9">
        <v>7</v>
      </c>
      <c r="D9">
        <v>29</v>
      </c>
    </row>
    <row r="10" spans="1:4">
      <c r="A10" s="187">
        <v>44287</v>
      </c>
      <c r="B10">
        <v>8</v>
      </c>
      <c r="C10">
        <v>4</v>
      </c>
      <c r="D10">
        <v>24</v>
      </c>
    </row>
    <row r="11" spans="1:4">
      <c r="A11" s="187">
        <v>44317</v>
      </c>
      <c r="B11">
        <v>10</v>
      </c>
      <c r="C11">
        <v>8</v>
      </c>
      <c r="D11">
        <v>21</v>
      </c>
    </row>
    <row r="12" spans="1:4">
      <c r="A12" s="187">
        <v>44348</v>
      </c>
      <c r="B12">
        <v>15</v>
      </c>
      <c r="C12">
        <v>7</v>
      </c>
      <c r="D12">
        <v>27</v>
      </c>
    </row>
    <row r="13" spans="1:4">
      <c r="A13" s="187">
        <v>44378</v>
      </c>
      <c r="B13">
        <v>11</v>
      </c>
      <c r="C13">
        <v>2</v>
      </c>
      <c r="D13">
        <v>26</v>
      </c>
    </row>
    <row r="14" spans="1:4">
      <c r="A14" s="187">
        <v>44409</v>
      </c>
      <c r="B14">
        <v>15</v>
      </c>
      <c r="C14">
        <v>4</v>
      </c>
      <c r="D14">
        <v>25</v>
      </c>
    </row>
    <row r="15" spans="1:4">
      <c r="A15" s="187">
        <v>44440</v>
      </c>
      <c r="B15">
        <v>44</v>
      </c>
      <c r="C15">
        <v>11</v>
      </c>
      <c r="D15">
        <v>17</v>
      </c>
    </row>
    <row r="16" spans="1:4">
      <c r="A16" s="187">
        <v>44470</v>
      </c>
      <c r="B16">
        <v>14</v>
      </c>
      <c r="C16">
        <v>7</v>
      </c>
      <c r="D16">
        <v>28</v>
      </c>
    </row>
    <row r="17" spans="1:4">
      <c r="A17" s="187">
        <v>44501</v>
      </c>
      <c r="B17">
        <v>8</v>
      </c>
      <c r="C17">
        <v>5</v>
      </c>
      <c r="D17">
        <v>32</v>
      </c>
    </row>
    <row r="18" spans="1:4">
      <c r="A18" s="187">
        <v>44531</v>
      </c>
      <c r="B18">
        <v>15</v>
      </c>
      <c r="C18">
        <v>4</v>
      </c>
      <c r="D18">
        <v>35</v>
      </c>
    </row>
    <row r="19" spans="1:4">
      <c r="A19" s="187">
        <v>44562</v>
      </c>
      <c r="B19">
        <v>18</v>
      </c>
      <c r="C19">
        <v>2</v>
      </c>
      <c r="D19">
        <v>28</v>
      </c>
    </row>
    <row r="20" spans="1:4">
      <c r="A20" s="187">
        <v>44593</v>
      </c>
      <c r="B20">
        <v>19</v>
      </c>
      <c r="C20">
        <v>5</v>
      </c>
      <c r="D20">
        <v>31</v>
      </c>
    </row>
    <row r="21" spans="1:4">
      <c r="A21" s="187">
        <v>44621</v>
      </c>
      <c r="B21">
        <v>10</v>
      </c>
      <c r="C21">
        <v>5</v>
      </c>
      <c r="D21">
        <v>33</v>
      </c>
    </row>
    <row r="22" spans="1:4">
      <c r="A22" s="187">
        <v>44652</v>
      </c>
      <c r="B22">
        <v>10</v>
      </c>
      <c r="C22">
        <v>3</v>
      </c>
      <c r="D22">
        <v>37</v>
      </c>
    </row>
    <row r="23" spans="1:4">
      <c r="A23" s="187">
        <v>44682</v>
      </c>
      <c r="B23">
        <v>12</v>
      </c>
      <c r="C23">
        <v>3</v>
      </c>
      <c r="D23">
        <v>37</v>
      </c>
    </row>
    <row r="24" spans="1:4">
      <c r="A24" s="187">
        <v>44713</v>
      </c>
      <c r="B24">
        <v>5</v>
      </c>
      <c r="C24">
        <v>5</v>
      </c>
      <c r="D24">
        <v>45</v>
      </c>
    </row>
    <row r="25" spans="1:4">
      <c r="A25" s="187">
        <v>44743</v>
      </c>
      <c r="B25">
        <v>12</v>
      </c>
      <c r="C25">
        <v>6</v>
      </c>
      <c r="D25">
        <v>35</v>
      </c>
    </row>
    <row r="26" spans="1:4">
      <c r="A26" s="187">
        <v>44774</v>
      </c>
      <c r="B26">
        <v>8</v>
      </c>
      <c r="C26">
        <v>2</v>
      </c>
      <c r="D26">
        <v>29</v>
      </c>
    </row>
    <row r="27" spans="1:4">
      <c r="A27" s="187">
        <v>44805</v>
      </c>
      <c r="B27">
        <v>12</v>
      </c>
      <c r="C27">
        <v>4</v>
      </c>
      <c r="D27">
        <v>35</v>
      </c>
    </row>
    <row r="28" spans="1:4">
      <c r="A28" s="187">
        <v>44835</v>
      </c>
      <c r="B28">
        <v>5</v>
      </c>
      <c r="C28">
        <v>8</v>
      </c>
      <c r="D28">
        <v>25</v>
      </c>
    </row>
    <row r="29" spans="1:4">
      <c r="A29" s="187">
        <v>44866</v>
      </c>
      <c r="B29">
        <v>7</v>
      </c>
      <c r="C29">
        <v>5</v>
      </c>
      <c r="D29">
        <v>44</v>
      </c>
    </row>
    <row r="30" spans="1:4">
      <c r="A30" s="187">
        <v>44896</v>
      </c>
      <c r="B30">
        <v>10</v>
      </c>
      <c r="C30">
        <v>3</v>
      </c>
      <c r="D30">
        <v>50</v>
      </c>
    </row>
    <row r="31" spans="1:4">
      <c r="A31" s="187">
        <v>44927</v>
      </c>
      <c r="B31">
        <v>5</v>
      </c>
      <c r="C31">
        <v>9</v>
      </c>
      <c r="D31">
        <v>45</v>
      </c>
    </row>
    <row r="32" spans="1:4">
      <c r="A32" s="187">
        <v>44958</v>
      </c>
      <c r="B32">
        <v>9</v>
      </c>
      <c r="C32">
        <v>5</v>
      </c>
      <c r="D32">
        <v>51</v>
      </c>
    </row>
    <row r="33" spans="1:4">
      <c r="A33" s="187">
        <v>44986</v>
      </c>
      <c r="B33">
        <v>6</v>
      </c>
      <c r="C33">
        <v>7</v>
      </c>
      <c r="D33">
        <v>45</v>
      </c>
    </row>
    <row r="34" spans="1:4">
      <c r="A34" s="187">
        <v>45017</v>
      </c>
      <c r="B34">
        <v>6</v>
      </c>
      <c r="C34">
        <v>2</v>
      </c>
      <c r="D34">
        <v>13</v>
      </c>
    </row>
    <row r="35" spans="1:4">
      <c r="A35" s="187">
        <v>45047</v>
      </c>
      <c r="B35">
        <v>8</v>
      </c>
      <c r="C35">
        <v>4</v>
      </c>
      <c r="D35">
        <v>14</v>
      </c>
    </row>
    <row r="36" spans="1:4">
      <c r="A36" s="187" t="s">
        <v>5183</v>
      </c>
      <c r="B36">
        <v>420</v>
      </c>
      <c r="C36">
        <v>149</v>
      </c>
      <c r="D36">
        <v>873</v>
      </c>
    </row>
    <row r="38" spans="1:4" ht="14.4" thickBot="1"/>
    <row r="39" spans="1:4" ht="14.4" thickTop="1"/>
    <row r="80" ht="14.4" thickBot="1"/>
    <row r="81" ht="14.4" thickTop="1"/>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21FAD2-2B10-40A0-8910-6C97407C211A}">
  <dimension ref="A3:B81"/>
  <sheetViews>
    <sheetView workbookViewId="0">
      <selection activeCell="A4" sqref="A4:A15"/>
    </sheetView>
  </sheetViews>
  <sheetFormatPr defaultRowHeight="13.8"/>
  <cols>
    <col min="1" max="1" width="13.77734375" bestFit="1" customWidth="1"/>
    <col min="2" max="3" width="13.6640625" bestFit="1" customWidth="1"/>
    <col min="4" max="4" width="19.33203125" bestFit="1" customWidth="1"/>
    <col min="5" max="5" width="20.1093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9" t="s">
        <v>150</v>
      </c>
      <c r="B3" t="s">
        <v>5209</v>
      </c>
    </row>
    <row r="4" spans="1:2">
      <c r="A4" t="s">
        <v>1291</v>
      </c>
      <c r="B4">
        <v>15</v>
      </c>
    </row>
    <row r="5" spans="1:2">
      <c r="A5" t="s">
        <v>495</v>
      </c>
      <c r="B5">
        <v>15</v>
      </c>
    </row>
    <row r="6" spans="1:2">
      <c r="A6" t="s">
        <v>343</v>
      </c>
      <c r="B6">
        <v>17</v>
      </c>
    </row>
    <row r="7" spans="1:2">
      <c r="A7" t="s">
        <v>297</v>
      </c>
      <c r="B7">
        <v>24</v>
      </c>
    </row>
    <row r="8" spans="1:2">
      <c r="A8" t="s">
        <v>274</v>
      </c>
      <c r="B8">
        <v>41</v>
      </c>
    </row>
    <row r="9" spans="1:2">
      <c r="A9" t="s">
        <v>306</v>
      </c>
      <c r="B9">
        <v>66</v>
      </c>
    </row>
    <row r="10" spans="1:2">
      <c r="A10" t="s">
        <v>291</v>
      </c>
      <c r="B10">
        <v>95</v>
      </c>
    </row>
    <row r="11" spans="1:2">
      <c r="A11" t="s">
        <v>470</v>
      </c>
      <c r="B11">
        <v>98</v>
      </c>
    </row>
    <row r="12" spans="1:2">
      <c r="A12" t="s">
        <v>287</v>
      </c>
      <c r="B12">
        <v>145</v>
      </c>
    </row>
    <row r="13" spans="1:2">
      <c r="A13" t="s">
        <v>319</v>
      </c>
      <c r="B13">
        <v>171</v>
      </c>
    </row>
    <row r="14" spans="1:2">
      <c r="A14" t="s">
        <v>303</v>
      </c>
      <c r="B14">
        <v>199</v>
      </c>
    </row>
    <row r="15" spans="1:2">
      <c r="A15" t="s">
        <v>278</v>
      </c>
      <c r="B15">
        <v>498</v>
      </c>
    </row>
    <row r="16" spans="1:2">
      <c r="A16" t="s">
        <v>5183</v>
      </c>
      <c r="B16">
        <v>1384</v>
      </c>
    </row>
    <row r="38" ht="14.4" thickBot="1"/>
    <row r="39" ht="14.4" thickTop="1"/>
    <row r="80" ht="14.4" thickBot="1"/>
    <row r="81" ht="14.4" thickTop="1"/>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111847-A9F9-4AF2-9DB2-CA132536B045}">
  <dimension ref="A3:B81"/>
  <sheetViews>
    <sheetView workbookViewId="0"/>
  </sheetViews>
  <sheetFormatPr defaultRowHeight="13.8"/>
  <cols>
    <col min="1" max="1" width="16.33203125" bestFit="1" customWidth="1"/>
    <col min="2" max="3" width="9.88671875" bestFit="1" customWidth="1"/>
    <col min="4" max="4" width="12" bestFit="1" customWidth="1"/>
    <col min="5" max="5" width="20.1093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9" t="s">
        <v>5202</v>
      </c>
      <c r="B3" t="s">
        <v>5200</v>
      </c>
    </row>
    <row r="4" spans="1:2">
      <c r="A4" t="s">
        <v>5188</v>
      </c>
      <c r="B4" s="188">
        <v>50433.95556573521</v>
      </c>
    </row>
    <row r="5" spans="1:2">
      <c r="A5" t="s">
        <v>5189</v>
      </c>
      <c r="B5" s="188">
        <v>42465.070087036169</v>
      </c>
    </row>
    <row r="6" spans="1:2">
      <c r="A6" t="s">
        <v>5190</v>
      </c>
      <c r="B6" s="188">
        <v>49332.420980302326</v>
      </c>
    </row>
    <row r="7" spans="1:2">
      <c r="A7" t="s">
        <v>5191</v>
      </c>
      <c r="B7" s="188">
        <v>32709.596885020626</v>
      </c>
    </row>
    <row r="8" spans="1:2">
      <c r="A8" t="s">
        <v>5192</v>
      </c>
      <c r="B8" s="188">
        <v>38161.131470453511</v>
      </c>
    </row>
    <row r="9" spans="1:2">
      <c r="A9" t="s">
        <v>5193</v>
      </c>
      <c r="B9" s="188">
        <v>33345.785616124616</v>
      </c>
    </row>
    <row r="10" spans="1:2">
      <c r="A10" t="s">
        <v>5194</v>
      </c>
      <c r="B10" s="188">
        <v>29042.143838754004</v>
      </c>
    </row>
    <row r="11" spans="1:2">
      <c r="A11" t="s">
        <v>5195</v>
      </c>
      <c r="B11" s="188">
        <v>28411.497938616591</v>
      </c>
    </row>
    <row r="12" spans="1:2">
      <c r="A12" t="s">
        <v>5196</v>
      </c>
      <c r="B12" s="188">
        <v>35252.1530004581</v>
      </c>
    </row>
    <row r="13" spans="1:2">
      <c r="A13" t="s">
        <v>5197</v>
      </c>
      <c r="B13" s="188">
        <v>29742.34997709575</v>
      </c>
    </row>
    <row r="14" spans="1:2">
      <c r="A14" t="s">
        <v>5185</v>
      </c>
      <c r="B14" s="188">
        <v>35107.74163994503</v>
      </c>
    </row>
    <row r="15" spans="1:2">
      <c r="A15" t="s">
        <v>5186</v>
      </c>
      <c r="B15" s="188">
        <v>41633.726523133264</v>
      </c>
    </row>
    <row r="16" spans="1:2">
      <c r="A16" t="s">
        <v>5183</v>
      </c>
      <c r="B16" s="188">
        <v>445637.5735226752</v>
      </c>
    </row>
    <row r="38" ht="14.4" thickBot="1"/>
    <row r="39" ht="14.4" thickTop="1"/>
    <row r="80" ht="14.4" thickBot="1"/>
    <row r="81" ht="14.4" thickTop="1"/>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23EDA-0AB3-494B-B88D-69DE64BE6DBB}">
  <dimension ref="A3:B81"/>
  <sheetViews>
    <sheetView workbookViewId="0"/>
  </sheetViews>
  <sheetFormatPr defaultRowHeight="13.8"/>
  <cols>
    <col min="1" max="1" width="15.6640625" bestFit="1" customWidth="1"/>
    <col min="2" max="3" width="9.8867187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9" t="s">
        <v>5216</v>
      </c>
      <c r="B3" t="s">
        <v>5200</v>
      </c>
    </row>
    <row r="4" spans="1:2">
      <c r="A4" t="s">
        <v>5212</v>
      </c>
      <c r="B4" s="188">
        <v>141870.704535044</v>
      </c>
    </row>
    <row r="5" spans="1:2">
      <c r="A5" t="s">
        <v>5213</v>
      </c>
      <c r="B5" s="188">
        <v>102779.27164452604</v>
      </c>
    </row>
    <row r="6" spans="1:2">
      <c r="A6" t="s">
        <v>5214</v>
      </c>
      <c r="B6" s="188">
        <v>91531.951442968406</v>
      </c>
    </row>
    <row r="7" spans="1:2">
      <c r="A7" t="s">
        <v>5215</v>
      </c>
      <c r="B7" s="188">
        <v>109455.64590013784</v>
      </c>
    </row>
    <row r="8" spans="1:2">
      <c r="A8" t="s">
        <v>5183</v>
      </c>
      <c r="B8" s="188">
        <v>445637.57352267631</v>
      </c>
    </row>
    <row r="38" ht="14.4" thickBot="1"/>
    <row r="39" ht="14.4" thickTop="1"/>
    <row r="80" ht="14.4" thickBot="1"/>
    <row r="81" ht="14.4" thickTop="1"/>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BB886-67A5-4634-B9B5-58B9A3D89042}">
  <dimension ref="A3:B81"/>
  <sheetViews>
    <sheetView workbookViewId="0"/>
  </sheetViews>
  <sheetFormatPr defaultRowHeight="13.8"/>
  <cols>
    <col min="1" max="1" width="20" bestFit="1" customWidth="1"/>
    <col min="2" max="3" width="13.664062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9" t="s">
        <v>3</v>
      </c>
      <c r="B3" t="s">
        <v>5209</v>
      </c>
    </row>
    <row r="4" spans="1:2">
      <c r="A4" t="s">
        <v>96</v>
      </c>
      <c r="B4" s="189">
        <v>297</v>
      </c>
    </row>
    <row r="5" spans="1:2">
      <c r="A5" t="s">
        <v>150</v>
      </c>
      <c r="B5" s="189">
        <v>282</v>
      </c>
    </row>
    <row r="6" spans="1:2">
      <c r="A6" t="s">
        <v>25</v>
      </c>
      <c r="B6" s="189">
        <v>197</v>
      </c>
    </row>
    <row r="7" spans="1:2">
      <c r="A7" t="s">
        <v>151</v>
      </c>
      <c r="B7" s="189">
        <v>141</v>
      </c>
    </row>
    <row r="8" spans="1:2">
      <c r="A8" t="s">
        <v>1524</v>
      </c>
      <c r="B8" s="189">
        <v>132</v>
      </c>
    </row>
    <row r="9" spans="1:2">
      <c r="A9" t="s">
        <v>97</v>
      </c>
      <c r="B9" s="189">
        <v>120</v>
      </c>
    </row>
    <row r="10" spans="1:2">
      <c r="A10" t="s">
        <v>6</v>
      </c>
      <c r="B10" s="189">
        <v>59</v>
      </c>
    </row>
    <row r="11" spans="1:2">
      <c r="A11" t="s">
        <v>538</v>
      </c>
      <c r="B11" s="189">
        <v>30</v>
      </c>
    </row>
    <row r="12" spans="1:2">
      <c r="A12" t="s">
        <v>976</v>
      </c>
      <c r="B12" s="189">
        <v>24</v>
      </c>
    </row>
    <row r="13" spans="1:2">
      <c r="A13" t="s">
        <v>1497</v>
      </c>
      <c r="B13" s="189">
        <v>22</v>
      </c>
    </row>
    <row r="14" spans="1:2">
      <c r="A14" t="s">
        <v>7</v>
      </c>
      <c r="B14" s="189">
        <v>18</v>
      </c>
    </row>
    <row r="15" spans="1:2">
      <c r="A15" t="s">
        <v>1698</v>
      </c>
      <c r="B15" s="189">
        <v>13</v>
      </c>
    </row>
    <row r="16" spans="1:2">
      <c r="A16" t="s">
        <v>14</v>
      </c>
      <c r="B16" s="189">
        <v>10</v>
      </c>
    </row>
    <row r="17" spans="1:2">
      <c r="A17" t="s">
        <v>72</v>
      </c>
      <c r="B17" s="189">
        <v>9</v>
      </c>
    </row>
    <row r="18" spans="1:2">
      <c r="A18" t="s">
        <v>532</v>
      </c>
      <c r="B18" s="189">
        <v>5</v>
      </c>
    </row>
    <row r="19" spans="1:2">
      <c r="A19" t="s">
        <v>5218</v>
      </c>
      <c r="B19" s="189">
        <v>4</v>
      </c>
    </row>
    <row r="20" spans="1:2">
      <c r="A20" t="s">
        <v>1218</v>
      </c>
      <c r="B20" s="189">
        <v>4</v>
      </c>
    </row>
    <row r="21" spans="1:2">
      <c r="A21" t="s">
        <v>3147</v>
      </c>
      <c r="B21" s="189">
        <v>3</v>
      </c>
    </row>
    <row r="22" spans="1:2">
      <c r="A22" t="s">
        <v>402</v>
      </c>
      <c r="B22" s="189">
        <v>3</v>
      </c>
    </row>
    <row r="23" spans="1:2">
      <c r="A23" t="s">
        <v>998</v>
      </c>
      <c r="B23" s="189">
        <v>3</v>
      </c>
    </row>
    <row r="24" spans="1:2">
      <c r="A24" t="s">
        <v>22</v>
      </c>
      <c r="B24" s="189">
        <v>3</v>
      </c>
    </row>
    <row r="25" spans="1:2">
      <c r="A25" t="s">
        <v>5183</v>
      </c>
      <c r="B25" s="189">
        <v>1379</v>
      </c>
    </row>
    <row r="38" ht="14.4" thickBot="1"/>
    <row r="39" ht="14.4" thickTop="1"/>
    <row r="80" ht="14.4" thickBot="1"/>
    <row r="81" ht="14.4" thickTop="1"/>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A2AB4B-58F3-4FD3-A842-86FD78350910}">
  <dimension ref="A3:B81"/>
  <sheetViews>
    <sheetView workbookViewId="0">
      <selection activeCell="B4" sqref="B4:B26"/>
    </sheetView>
  </sheetViews>
  <sheetFormatPr defaultRowHeight="13.8"/>
  <cols>
    <col min="1" max="1" width="17.88671875" bestFit="1" customWidth="1"/>
    <col min="2" max="2" width="9.88671875" bestFit="1" customWidth="1"/>
    <col min="3" max="3" width="13.664062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9" t="s">
        <v>3</v>
      </c>
      <c r="B3" t="s">
        <v>5200</v>
      </c>
    </row>
    <row r="4" spans="1:2">
      <c r="A4" t="s">
        <v>25</v>
      </c>
      <c r="B4" s="188">
        <v>95759.790655061792</v>
      </c>
    </row>
    <row r="5" spans="1:2">
      <c r="A5" t="s">
        <v>150</v>
      </c>
      <c r="B5" s="188">
        <v>69707.627118643999</v>
      </c>
    </row>
    <row r="6" spans="1:2">
      <c r="A6" t="s">
        <v>96</v>
      </c>
      <c r="B6" s="188">
        <v>68139.567109482581</v>
      </c>
    </row>
    <row r="7" spans="1:2">
      <c r="A7" t="s">
        <v>1524</v>
      </c>
      <c r="B7" s="188">
        <v>36211.635364177659</v>
      </c>
    </row>
    <row r="8" spans="1:2">
      <c r="A8" t="s">
        <v>151</v>
      </c>
      <c r="B8" s="188">
        <v>33947.984425103154</v>
      </c>
    </row>
    <row r="9" spans="1:2">
      <c r="A9" t="s">
        <v>6</v>
      </c>
      <c r="B9" s="188">
        <v>28702.954649564799</v>
      </c>
    </row>
    <row r="10" spans="1:2">
      <c r="A10" t="s">
        <v>97</v>
      </c>
      <c r="B10" s="188">
        <v>26680.943655519906</v>
      </c>
    </row>
    <row r="11" spans="1:2">
      <c r="A11" t="s">
        <v>7</v>
      </c>
      <c r="B11" s="188">
        <v>8876.7979844251058</v>
      </c>
    </row>
    <row r="12" spans="1:2">
      <c r="A12" t="s">
        <v>73</v>
      </c>
      <c r="B12" s="188">
        <v>7901.9697663765464</v>
      </c>
    </row>
    <row r="13" spans="1:2">
      <c r="A13" t="s">
        <v>538</v>
      </c>
      <c r="B13" s="188">
        <v>6225.0000000000009</v>
      </c>
    </row>
    <row r="14" spans="1:2">
      <c r="A14" t="s">
        <v>1497</v>
      </c>
      <c r="B14" s="188">
        <v>6046.72469079249</v>
      </c>
    </row>
    <row r="15" spans="1:2">
      <c r="A15" t="s">
        <v>976</v>
      </c>
      <c r="B15" s="188">
        <v>5951.2139257901981</v>
      </c>
    </row>
    <row r="16" spans="1:2">
      <c r="A16" t="s">
        <v>72</v>
      </c>
      <c r="B16" s="188">
        <v>5783.3256985799371</v>
      </c>
    </row>
    <row r="17" spans="1:2">
      <c r="A17" t="s">
        <v>1698</v>
      </c>
      <c r="B17" s="188">
        <v>5726.065048098947</v>
      </c>
    </row>
    <row r="18" spans="1:2">
      <c r="A18" t="s">
        <v>3845</v>
      </c>
      <c r="B18" s="188">
        <v>4234.4251030691712</v>
      </c>
    </row>
    <row r="19" spans="1:2">
      <c r="A19" t="s">
        <v>1218</v>
      </c>
      <c r="B19" s="188">
        <v>3950.9848831882732</v>
      </c>
    </row>
    <row r="20" spans="1:2">
      <c r="A20" t="s">
        <v>14</v>
      </c>
      <c r="B20" s="188">
        <v>3515.8039395327532</v>
      </c>
    </row>
    <row r="21" spans="1:2">
      <c r="A21" t="s">
        <v>1757</v>
      </c>
      <c r="B21" s="188">
        <v>3401.2826385707745</v>
      </c>
    </row>
    <row r="22" spans="1:2">
      <c r="A22" t="s">
        <v>1582</v>
      </c>
      <c r="B22" s="188">
        <v>1351.3513513513512</v>
      </c>
    </row>
    <row r="23" spans="1:2">
      <c r="A23" t="s">
        <v>2868</v>
      </c>
      <c r="B23" s="188">
        <v>1145.2130096197893</v>
      </c>
    </row>
    <row r="24" spans="1:2">
      <c r="A24" t="s">
        <v>5218</v>
      </c>
      <c r="B24" s="188">
        <v>1073.2249198350894</v>
      </c>
    </row>
    <row r="25" spans="1:2">
      <c r="A25" t="s">
        <v>2375</v>
      </c>
      <c r="B25" s="188">
        <v>1022.1026110856619</v>
      </c>
    </row>
    <row r="26" spans="1:2">
      <c r="A26" t="s">
        <v>5183</v>
      </c>
      <c r="B26" s="188">
        <v>425355.98854786996</v>
      </c>
    </row>
    <row r="38" ht="14.4" thickBot="1"/>
    <row r="39" ht="14.4" thickTop="1"/>
    <row r="80" ht="14.4" thickBot="1"/>
    <row r="81" ht="14.4" thickTop="1"/>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B1180-F9B6-4E59-A0E5-FF6CF8DFE9DD}">
  <dimension ref="A3:B81"/>
  <sheetViews>
    <sheetView workbookViewId="0">
      <selection activeCell="A2" sqref="A2"/>
    </sheetView>
  </sheetViews>
  <sheetFormatPr defaultRowHeight="13.8"/>
  <cols>
    <col min="1" max="1" width="10.109375" bestFit="1" customWidth="1"/>
    <col min="2" max="2" width="12.44140625" bestFit="1" customWidth="1"/>
    <col min="3" max="3" width="9.88671875" bestFit="1" customWidth="1"/>
    <col min="4" max="4" width="7" bestFit="1" customWidth="1"/>
    <col min="5" max="5" width="9.88671875" bestFit="1" customWidth="1"/>
    <col min="6" max="6" width="11.77734375" bestFit="1" customWidth="1"/>
    <col min="7" max="7" width="18.21875" bestFit="1" customWidth="1"/>
    <col min="8" max="8" width="9.109375" bestFit="1" customWidth="1"/>
    <col min="9" max="9" width="10.109375" bestFit="1" customWidth="1"/>
    <col min="10" max="10" width="14.21875" bestFit="1" customWidth="1"/>
    <col min="11" max="11" width="5.21875" bestFit="1" customWidth="1"/>
    <col min="12" max="12" width="4.109375" bestFit="1" customWidth="1"/>
    <col min="13" max="13" width="11.77734375" bestFit="1" customWidth="1"/>
    <col min="14" max="14" width="5.33203125" bestFit="1" customWidth="1"/>
    <col min="15" max="15" width="13.109375" bestFit="1" customWidth="1"/>
    <col min="16" max="16" width="5.109375" bestFit="1" customWidth="1"/>
    <col min="17" max="17" width="4.5546875" bestFit="1" customWidth="1"/>
    <col min="18" max="18" width="5.21875" bestFit="1" customWidth="1"/>
    <col min="19" max="19" width="18" bestFit="1" customWidth="1"/>
    <col min="20" max="20" width="21.33203125" bestFit="1" customWidth="1"/>
    <col min="21" max="21" width="11.77734375" bestFit="1" customWidth="1"/>
    <col min="22" max="22" width="14.6640625" bestFit="1" customWidth="1"/>
    <col min="23" max="23" width="21.77734375" bestFit="1" customWidth="1"/>
    <col min="24" max="24" width="17.77734375" bestFit="1" customWidth="1"/>
    <col min="25" max="25" width="7.109375" bestFit="1" customWidth="1"/>
    <col min="26" max="26" width="7.21875" bestFit="1" customWidth="1"/>
    <col min="27" max="27" width="16.5546875" bestFit="1" customWidth="1"/>
    <col min="28" max="28" width="19" bestFit="1" customWidth="1"/>
    <col min="29" max="29" width="3.77734375" bestFit="1" customWidth="1"/>
    <col min="30" max="30" width="5.21875" bestFit="1" customWidth="1"/>
    <col min="31" max="31" width="7.77734375" bestFit="1" customWidth="1"/>
    <col min="32" max="32" width="6.109375" bestFit="1" customWidth="1"/>
    <col min="33" max="33" width="8.6640625" bestFit="1" customWidth="1"/>
    <col min="34" max="35" width="5.6640625" bestFit="1" customWidth="1"/>
    <col min="36" max="36" width="20.88671875" bestFit="1" customWidth="1"/>
    <col min="37" max="37" width="11.5546875" bestFit="1" customWidth="1"/>
    <col min="38" max="38" width="11" bestFit="1" customWidth="1"/>
    <col min="39" max="39" width="4.33203125" bestFit="1" customWidth="1"/>
    <col min="40" max="40" width="6.6640625" bestFit="1" customWidth="1"/>
    <col min="41" max="41" width="12.6640625" bestFit="1" customWidth="1"/>
    <col min="42" max="42" width="6.88671875" bestFit="1" customWidth="1"/>
    <col min="43" max="43" width="9.109375" bestFit="1" customWidth="1"/>
    <col min="44" max="44" width="16.109375" bestFit="1" customWidth="1"/>
    <col min="45" max="45" width="8.77734375" bestFit="1" customWidth="1"/>
    <col min="46" max="46" width="7.33203125" bestFit="1" customWidth="1"/>
    <col min="47" max="47" width="7.88671875" bestFit="1" customWidth="1"/>
    <col min="48" max="48" width="4.6640625" bestFit="1" customWidth="1"/>
    <col min="49" max="49" width="5.109375" bestFit="1" customWidth="1"/>
    <col min="50" max="50" width="17.21875" bestFit="1" customWidth="1"/>
    <col min="51" max="51" width="13.109375" bestFit="1" customWidth="1"/>
    <col min="52" max="52" width="17.77734375" bestFit="1" customWidth="1"/>
    <col min="53" max="53" width="13.6640625" bestFit="1" customWidth="1"/>
    <col min="54" max="54" width="9.33203125" bestFit="1" customWidth="1"/>
    <col min="55" max="55" width="21.5546875" bestFit="1" customWidth="1"/>
    <col min="56" max="56" width="20" bestFit="1" customWidth="1"/>
    <col min="57" max="57" width="8.33203125" bestFit="1" customWidth="1"/>
    <col min="58" max="58" width="25.77734375" bestFit="1" customWidth="1"/>
    <col min="59" max="59" width="26.33203125" bestFit="1" customWidth="1"/>
    <col min="60" max="60" width="16.109375" bestFit="1" customWidth="1"/>
    <col min="61" max="61" width="13.44140625" bestFit="1" customWidth="1"/>
    <col min="62" max="62" width="11" bestFit="1" customWidth="1"/>
    <col min="63" max="63" width="10.5546875" bestFit="1" customWidth="1"/>
    <col min="64" max="64" width="16.33203125" bestFit="1" customWidth="1"/>
    <col min="65" max="65" width="16.6640625" bestFit="1" customWidth="1"/>
    <col min="66" max="66" width="4.5546875" bestFit="1" customWidth="1"/>
    <col min="67" max="67" width="6" bestFit="1" customWidth="1"/>
    <col min="68" max="68" width="5.21875" bestFit="1" customWidth="1"/>
    <col min="69" max="69" width="6.6640625" bestFit="1" customWidth="1"/>
    <col min="70" max="70" width="9.21875" bestFit="1" customWidth="1"/>
    <col min="71" max="71" width="18.21875" bestFit="1" customWidth="1"/>
    <col min="72" max="72" width="10.33203125" bestFit="1" customWidth="1"/>
    <col min="73" max="73" width="8.21875" bestFit="1" customWidth="1"/>
    <col min="74" max="74" width="8.77734375" bestFit="1" customWidth="1"/>
    <col min="75" max="75" width="5.5546875" bestFit="1" customWidth="1"/>
    <col min="76" max="76" width="11.33203125" bestFit="1" customWidth="1"/>
    <col min="77" max="77" width="16.6640625" bestFit="1" customWidth="1"/>
    <col min="78" max="78" width="9.44140625" bestFit="1" customWidth="1"/>
    <col min="79" max="79" width="6.44140625" bestFit="1" customWidth="1"/>
    <col min="80" max="80" width="7.6640625" bestFit="1" customWidth="1"/>
    <col min="81" max="81" width="26.33203125" bestFit="1" customWidth="1"/>
    <col min="82" max="94" width="7.88671875" bestFit="1" customWidth="1"/>
    <col min="95" max="103" width="9.33203125" bestFit="1" customWidth="1"/>
  </cols>
  <sheetData>
    <row r="3" spans="1:2">
      <c r="A3" s="179" t="s">
        <v>5217</v>
      </c>
      <c r="B3" s="184" t="s">
        <v>5200</v>
      </c>
    </row>
    <row r="4" spans="1:2">
      <c r="A4" t="s">
        <v>5184</v>
      </c>
      <c r="B4" s="184">
        <v>12260.845167201103</v>
      </c>
    </row>
    <row r="5" spans="1:2">
      <c r="A5" t="s">
        <v>5187</v>
      </c>
      <c r="B5" s="184">
        <v>171853.01191021572</v>
      </c>
    </row>
    <row r="6" spans="1:2">
      <c r="A6" t="s">
        <v>5198</v>
      </c>
      <c r="B6" s="184">
        <v>180874.2088868538</v>
      </c>
    </row>
    <row r="7" spans="1:2">
      <c r="A7" t="s">
        <v>5199</v>
      </c>
      <c r="B7" s="184">
        <v>80649.507558405865</v>
      </c>
    </row>
    <row r="8" spans="1:2">
      <c r="A8" t="s">
        <v>5183</v>
      </c>
      <c r="B8" s="184">
        <v>445637.57352267648</v>
      </c>
    </row>
    <row r="38" ht="14.4" thickBot="1"/>
    <row r="39" ht="14.4" thickTop="1"/>
    <row r="80" ht="14.4" thickBot="1"/>
    <row r="81" ht="14.4" thickTop="1"/>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987"/>
  <sheetViews>
    <sheetView workbookViewId="0"/>
  </sheetViews>
  <sheetFormatPr defaultRowHeight="13.8"/>
  <sheetData>
    <row r="1" spans="1:38">
      <c r="A1" s="6" t="str">
        <f ca="1">IFERROR(__xludf.DUMMYFUNCTION("QUERY(Opportunities,""Select *"",1)"),"Date")</f>
        <v>Date</v>
      </c>
      <c r="B1" s="6" t="str">
        <f ca="1">IFERROR(__xludf.DUMMYFUNCTION("""COMPUTED_VALUE"""),"Name")</f>
        <v>Name</v>
      </c>
      <c r="C1" s="6" t="str">
        <f ca="1">IFERROR(__xludf.DUMMYFUNCTION("""COMPUTED_VALUE"""),"Email")</f>
        <v>Email</v>
      </c>
      <c r="D1" s="6" t="str">
        <f ca="1">IFERROR(__xludf.DUMMYFUNCTION("""COMPUTED_VALUE"""),"Mob. Number")</f>
        <v>Mob. Number</v>
      </c>
      <c r="E1" s="6" t="str">
        <f ca="1">IFERROR(__xludf.DUMMYFUNCTION("""COMPUTED_VALUE"""),"PSM")</f>
        <v>PSM</v>
      </c>
      <c r="F1" s="6" t="str">
        <f ca="1">IFERROR(__xludf.DUMMYFUNCTION("""COMPUTED_VALUE"""),"Course")</f>
        <v>Course</v>
      </c>
      <c r="G1" s="6" t="str">
        <f ca="1">IFERROR(__xludf.DUMMYFUNCTION("""COMPUTED_VALUE"""),"Month")</f>
        <v>Month</v>
      </c>
      <c r="H1" s="6" t="str">
        <f ca="1">IFERROR(__xludf.DUMMYFUNCTION("""COMPUTED_VALUE"""),"Status")</f>
        <v>Status</v>
      </c>
      <c r="I1" s="6" t="str">
        <f ca="1">IFERROR(__xludf.DUMMYFUNCTION("""COMPUTED_VALUE"""),"Batch")</f>
        <v>Batch</v>
      </c>
      <c r="J1" s="6" t="str">
        <f ca="1">IFERROR(__xludf.DUMMYFUNCTION("""COMPUTED_VALUE"""),"Tickets")</f>
        <v>Tickets</v>
      </c>
      <c r="K1" s="6" t="str">
        <f ca="1">IFERROR(__xludf.DUMMYFUNCTION("""COMPUTED_VALUE"""),"Amount")</f>
        <v>Amount</v>
      </c>
      <c r="L1" s="6" t="str">
        <f ca="1">IFERROR(__xludf.DUMMYFUNCTION("""COMPUTED_VALUE"""),"In $")</f>
        <v>In $</v>
      </c>
      <c r="M1" s="6" t="str">
        <f ca="1">IFERROR(__xludf.DUMMYFUNCTION("""COMPUTED_VALUE"""),"Payment expected Date")</f>
        <v>Payment expected Date</v>
      </c>
      <c r="N1" s="6" t="str">
        <f ca="1">IFERROR(__xludf.DUMMYFUNCTION("""COMPUTED_VALUE"""),"Week")</f>
        <v>Week</v>
      </c>
      <c r="O1" s="6" t="str">
        <f ca="1">IFERROR(__xludf.DUMMYFUNCTION("""COMPUTED_VALUE"""),"Paid On")</f>
        <v>Paid On</v>
      </c>
      <c r="P1" s="6" t="str">
        <f ca="1">IFERROR(__xludf.DUMMYFUNCTION("""COMPUTED_VALUE"""),"Order No.")</f>
        <v>Order No.</v>
      </c>
      <c r="Q1" s="6" t="str">
        <f ca="1">IFERROR(__xludf.DUMMYFUNCTION("""COMPUTED_VALUE"""),"Comments")</f>
        <v>Comments</v>
      </c>
      <c r="R1" s="6" t="str">
        <f ca="1">IFERROR(__xludf.DUMMYFUNCTION("""COMPUTED_VALUE"""),"Program Details")</f>
        <v>Program Details</v>
      </c>
      <c r="S1" s="6" t="str">
        <f ca="1">IFERROR(__xludf.DUMMYFUNCTION("""COMPUTED_VALUE"""),"Category")</f>
        <v>Category</v>
      </c>
      <c r="T1" s="6" t="str">
        <f ca="1">IFERROR(__xludf.DUMMYFUNCTION("""COMPUTED_VALUE"""),"Voucher")</f>
        <v>Voucher</v>
      </c>
      <c r="U1" s="6" t="str">
        <f ca="1">IFERROR(__xludf.DUMMYFUNCTION("""COMPUTED_VALUE"""),"")</f>
        <v/>
      </c>
      <c r="V1" s="6" t="str">
        <f ca="1">IFERROR(__xludf.DUMMYFUNCTION("""COMPUTED_VALUE"""),"")</f>
        <v/>
      </c>
      <c r="W1" s="6" t="str">
        <f ca="1">IFERROR(__xludf.DUMMYFUNCTION("""COMPUTED_VALUE"""),"")</f>
        <v/>
      </c>
      <c r="X1" s="6" t="str">
        <f ca="1">IFERROR(__xludf.DUMMYFUNCTION("""COMPUTED_VALUE"""),"")</f>
        <v/>
      </c>
      <c r="Y1" s="6" t="str">
        <f ca="1">IFERROR(__xludf.DUMMYFUNCTION("""COMPUTED_VALUE"""),"")</f>
        <v/>
      </c>
      <c r="Z1" s="6" t="str">
        <f ca="1">IFERROR(__xludf.DUMMYFUNCTION("""COMPUTED_VALUE"""),"")</f>
        <v/>
      </c>
      <c r="AA1" s="6" t="str">
        <f ca="1">IFERROR(__xludf.DUMMYFUNCTION("""COMPUTED_VALUE"""),"")</f>
        <v/>
      </c>
      <c r="AB1" s="6" t="str">
        <f ca="1">IFERROR(__xludf.DUMMYFUNCTION("""COMPUTED_VALUE"""),"")</f>
        <v/>
      </c>
      <c r="AC1" s="6" t="str">
        <f ca="1">IFERROR(__xludf.DUMMYFUNCTION("""COMPUTED_VALUE"""),"")</f>
        <v/>
      </c>
      <c r="AD1" s="6" t="str">
        <f ca="1">IFERROR(__xludf.DUMMYFUNCTION("""COMPUTED_VALUE"""),"")</f>
        <v/>
      </c>
      <c r="AE1" s="6" t="str">
        <f ca="1">IFERROR(__xludf.DUMMYFUNCTION("""COMPUTED_VALUE"""),"")</f>
        <v/>
      </c>
      <c r="AF1" s="6" t="str">
        <f ca="1">IFERROR(__xludf.DUMMYFUNCTION("""COMPUTED_VALUE"""),"")</f>
        <v/>
      </c>
      <c r="AG1" s="6" t="str">
        <f ca="1">IFERROR(__xludf.DUMMYFUNCTION("""COMPUTED_VALUE"""),"")</f>
        <v/>
      </c>
      <c r="AH1" s="6" t="str">
        <f ca="1">IFERROR(__xludf.DUMMYFUNCTION("""COMPUTED_VALUE"""),"")</f>
        <v/>
      </c>
      <c r="AI1" s="6" t="str">
        <f ca="1">IFERROR(__xludf.DUMMYFUNCTION("""COMPUTED_VALUE"""),"")</f>
        <v/>
      </c>
      <c r="AJ1" s="6" t="str">
        <f ca="1">IFERROR(__xludf.DUMMYFUNCTION("""COMPUTED_VALUE"""),"")</f>
        <v/>
      </c>
      <c r="AK1" s="6" t="str">
        <f ca="1">IFERROR(__xludf.DUMMYFUNCTION("""COMPUTED_VALUE"""),"")</f>
        <v/>
      </c>
      <c r="AL1" s="6" t="str">
        <f ca="1">IFERROR(__xludf.DUMMYFUNCTION("""COMPUTED_VALUE"""),"")</f>
        <v/>
      </c>
    </row>
    <row r="2" spans="1:38">
      <c r="A2" s="96">
        <f ca="1">IFERROR(__xludf.DUMMYFUNCTION("""COMPUTED_VALUE"""),44291)</f>
        <v>44291</v>
      </c>
      <c r="B2" s="6" t="str">
        <f ca="1">IFERROR(__xludf.DUMMYFUNCTION("""COMPUTED_VALUE"""),"Rashmi Lokhande")</f>
        <v>Rashmi Lokhande</v>
      </c>
      <c r="C2" s="6" t="str">
        <f ca="1">IFERROR(__xludf.DUMMYFUNCTION("""COMPUTED_VALUE"""),"rashmilokhande04@gmail.com")</f>
        <v>rashmilokhande04@gmail.com</v>
      </c>
      <c r="D2" s="6">
        <f ca="1">IFERROR(__xludf.DUMMYFUNCTION("""COMPUTED_VALUE"""),9822586335)</f>
        <v>9822586335</v>
      </c>
      <c r="E2" s="6" t="str">
        <f ca="1">IFERROR(__xludf.DUMMYFUNCTION("""COMPUTED_VALUE"""),"Account Repeat")</f>
        <v>Account Repeat</v>
      </c>
      <c r="F2" s="6" t="str">
        <f ca="1">IFERROR(__xludf.DUMMYFUNCTION("""COMPUTED_VALUE"""),"PSM")</f>
        <v>PSM</v>
      </c>
      <c r="G2" s="80"/>
      <c r="H2" s="6" t="str">
        <f ca="1">IFERROR(__xludf.DUMMYFUNCTION("""COMPUTED_VALUE"""),"Won")</f>
        <v>Won</v>
      </c>
      <c r="I2" s="6" t="str">
        <f ca="1">IFERROR(__xludf.DUMMYFUNCTION("""COMPUTED_VALUE"""),"17-18 April 2021")</f>
        <v>17-18 April 2021</v>
      </c>
      <c r="J2" s="6">
        <f ca="1">IFERROR(__xludf.DUMMYFUNCTION("""COMPUTED_VALUE"""),1)</f>
        <v>1</v>
      </c>
      <c r="K2" s="8"/>
      <c r="L2" s="8">
        <f ca="1">IFERROR(__xludf.DUMMYFUNCTION("""COMPUTED_VALUE"""),0)</f>
        <v>0</v>
      </c>
      <c r="M2" s="96"/>
      <c r="N2" s="6"/>
      <c r="O2" s="97"/>
      <c r="P2" s="6"/>
      <c r="Q2" s="6"/>
      <c r="R2" s="6"/>
      <c r="S2" s="6" t="str">
        <f ca="1">IFERROR(__xludf.DUMMYFUNCTION("""COMPUTED_VALUE"""),"SAFe que")</f>
        <v>SAFe que</v>
      </c>
      <c r="T2" s="6"/>
      <c r="U2" s="6"/>
      <c r="V2" s="6"/>
      <c r="W2" s="6" t="str">
        <f ca="1">IFERROR(__xludf.DUMMYFUNCTION("""COMPUTED_VALUE"""),"poojaca2020@gmail.com")</f>
        <v>poojaca2020@gmail.com</v>
      </c>
      <c r="X2" s="6"/>
      <c r="Y2" s="6"/>
      <c r="Z2" s="6"/>
      <c r="AA2" s="6"/>
      <c r="AB2" s="6"/>
      <c r="AC2" s="6"/>
      <c r="AD2" s="6"/>
      <c r="AE2" s="6"/>
      <c r="AF2" s="6"/>
      <c r="AG2" s="6"/>
      <c r="AH2" s="6"/>
      <c r="AI2" s="6"/>
      <c r="AJ2" s="6"/>
      <c r="AK2" s="6"/>
      <c r="AL2" s="6"/>
    </row>
    <row r="3" spans="1:38">
      <c r="A3" s="96">
        <f ca="1">IFERROR(__xludf.DUMMYFUNCTION("""COMPUTED_VALUE"""),44316)</f>
        <v>44316</v>
      </c>
      <c r="B3" s="6" t="str">
        <f ca="1">IFERROR(__xludf.DUMMYFUNCTION("""COMPUTED_VALUE"""),"Sheenu Gupta")</f>
        <v>Sheenu Gupta</v>
      </c>
      <c r="C3" s="6" t="str">
        <f ca="1">IFERROR(__xludf.DUMMYFUNCTION("""COMPUTED_VALUE"""),"sheenugupta1@gmail.com")</f>
        <v>sheenugupta1@gmail.com</v>
      </c>
      <c r="D3" s="6">
        <f ca="1">IFERROR(__xludf.DUMMYFUNCTION("""COMPUTED_VALUE"""),9886626960)</f>
        <v>9886626960</v>
      </c>
      <c r="E3" s="6" t="str">
        <f ca="1">IFERROR(__xludf.DUMMYFUNCTION("""COMPUTED_VALUE"""),"Reference")</f>
        <v>Reference</v>
      </c>
      <c r="F3" s="6" t="str">
        <f ca="1">IFERROR(__xludf.DUMMYFUNCTION("""COMPUTED_VALUE"""),"CSPO")</f>
        <v>CSPO</v>
      </c>
      <c r="G3" s="80">
        <f ca="1">IFERROR(__xludf.DUMMYFUNCTION("""COMPUTED_VALUE"""),44287)</f>
        <v>44287</v>
      </c>
      <c r="H3" s="6" t="str">
        <f ca="1">IFERROR(__xludf.DUMMYFUNCTION("""COMPUTED_VALUE"""),"Won")</f>
        <v>Won</v>
      </c>
      <c r="I3" s="6" t="str">
        <f ca="1">IFERROR(__xludf.DUMMYFUNCTION("""COMPUTED_VALUE"""),"15-16 May 2021")</f>
        <v>15-16 May 2021</v>
      </c>
      <c r="J3" s="6">
        <f ca="1">IFERROR(__xludf.DUMMYFUNCTION("""COMPUTED_VALUE"""),1)</f>
        <v>1</v>
      </c>
      <c r="K3" s="8">
        <f ca="1">IFERROR(__xludf.DUMMYFUNCTION("""COMPUTED_VALUE"""),18000)</f>
        <v>18000</v>
      </c>
      <c r="L3" s="8">
        <f ca="1">IFERROR(__xludf.DUMMYFUNCTION("""COMPUTED_VALUE"""),206.138341731562)</f>
        <v>206.13834173156201</v>
      </c>
      <c r="M3" s="96">
        <f ca="1">IFERROR(__xludf.DUMMYFUNCTION("""COMPUTED_VALUE"""),44316)</f>
        <v>44316</v>
      </c>
      <c r="N3" s="6"/>
      <c r="O3" s="97"/>
      <c r="P3" s="6"/>
      <c r="Q3" s="6"/>
      <c r="R3" s="6" t="str">
        <f ca="1">IFERROR(__xludf.DUMMYFUNCTION("""COMPUTED_VALUE"""),"Done. Good feedback.")</f>
        <v>Done. Good feedback.</v>
      </c>
      <c r="S3" s="6" t="str">
        <f ca="1">IFERROR(__xludf.DUMMYFUNCTION("""COMPUTED_VALUE"""),"Category")</f>
        <v>Category</v>
      </c>
      <c r="T3" s="6"/>
      <c r="U3" s="6"/>
      <c r="V3" s="6"/>
      <c r="W3" s="6" t="str">
        <f ca="1">IFERROR(__xludf.DUMMYFUNCTION("""COMPUTED_VALUE"""),"leanne_dsouza@yahoo.com")</f>
        <v>leanne_dsouza@yahoo.com</v>
      </c>
      <c r="X3" s="6"/>
      <c r="Y3" s="6"/>
      <c r="Z3" s="6"/>
      <c r="AA3" s="6"/>
      <c r="AB3" s="6"/>
      <c r="AC3" s="6"/>
      <c r="AD3" s="6"/>
      <c r="AE3" s="6"/>
      <c r="AF3" s="6"/>
      <c r="AG3" s="6"/>
      <c r="AH3" s="6"/>
      <c r="AI3" s="6"/>
      <c r="AJ3" s="6"/>
      <c r="AK3" s="6"/>
      <c r="AL3" s="6"/>
    </row>
    <row r="4" spans="1:38">
      <c r="A4" s="96">
        <f ca="1">IFERROR(__xludf.DUMMYFUNCTION("""COMPUTED_VALUE"""),44145)</f>
        <v>44145</v>
      </c>
      <c r="B4" s="6" t="str">
        <f ca="1">IFERROR(__xludf.DUMMYFUNCTION("""COMPUTED_VALUE"""),"Pranab Somaraj")</f>
        <v>Pranab Somaraj</v>
      </c>
      <c r="C4" s="6" t="str">
        <f ca="1">IFERROR(__xludf.DUMMYFUNCTION("""COMPUTED_VALUE"""),"pranaabs@hotmail.com")</f>
        <v>pranaabs@hotmail.com</v>
      </c>
      <c r="D4" s="6">
        <f ca="1">IFERROR(__xludf.DUMMYFUNCTION("""COMPUTED_VALUE"""),8008177011)</f>
        <v>8008177011</v>
      </c>
      <c r="E4" s="6" t="str">
        <f ca="1">IFERROR(__xludf.DUMMYFUNCTION("""COMPUTED_VALUE"""),"Reference")</f>
        <v>Reference</v>
      </c>
      <c r="F4" s="6" t="str">
        <f ca="1">IFERROR(__xludf.DUMMYFUNCTION("""COMPUTED_VALUE"""),"CSPO")</f>
        <v>CSPO</v>
      </c>
      <c r="G4" s="80">
        <f ca="1">IFERROR(__xludf.DUMMYFUNCTION("""COMPUTED_VALUE"""),44136)</f>
        <v>44136</v>
      </c>
      <c r="H4" s="6" t="str">
        <f ca="1">IFERROR(__xludf.DUMMYFUNCTION("""COMPUTED_VALUE"""),"Won")</f>
        <v>Won</v>
      </c>
      <c r="I4" s="6" t="str">
        <f ca="1">IFERROR(__xludf.DUMMYFUNCTION("""COMPUTED_VALUE"""),"16-17 Nov 2020")</f>
        <v>16-17 Nov 2020</v>
      </c>
      <c r="J4" s="6">
        <f ca="1">IFERROR(__xludf.DUMMYFUNCTION("""COMPUTED_VALUE"""),1)</f>
        <v>1</v>
      </c>
      <c r="K4" s="8">
        <f ca="1">IFERROR(__xludf.DUMMYFUNCTION("""COMPUTED_VALUE"""),20000)</f>
        <v>20000</v>
      </c>
      <c r="L4" s="8">
        <f ca="1">IFERROR(__xludf.DUMMYFUNCTION("""COMPUTED_VALUE"""),229.042601923957)</f>
        <v>229.04260192395699</v>
      </c>
      <c r="M4" s="96">
        <f ca="1">IFERROR(__xludf.DUMMYFUNCTION("""COMPUTED_VALUE"""),44146)</f>
        <v>44146</v>
      </c>
      <c r="N4" s="6"/>
      <c r="O4" s="97">
        <f ca="1">IFERROR(__xludf.DUMMYFUNCTION("""COMPUTED_VALUE"""),44146)</f>
        <v>44146</v>
      </c>
      <c r="P4" s="6" t="str">
        <f ca="1">IFERROR(__xludf.DUMMYFUNCTION("""COMPUTED_VALUE"""),"CSTM_FXL1AKY107F")</f>
        <v>CSTM_FXL1AKY107F</v>
      </c>
      <c r="Q4" s="6" t="str">
        <f ca="1">IFERROR(__xludf.DUMMYFUNCTION("""COMPUTED_VALUE"""),"By Navya navyaannamraju@gmail.com")</f>
        <v>By Navya navyaannamraju@gmail.com</v>
      </c>
      <c r="R4" s="6" t="str">
        <f ca="1">IFERROR(__xludf.DUMMYFUNCTION("""COMPUTED_VALUE"""),"Done. Good feedback.")</f>
        <v>Done. Good feedback.</v>
      </c>
      <c r="S4" s="6" t="str">
        <f ca="1">IFERROR(__xludf.DUMMYFUNCTION("""COMPUTED_VALUE"""),"Category")</f>
        <v>Category</v>
      </c>
      <c r="T4" s="6" t="str">
        <f ca="1">IFERROR(__xludf.DUMMYFUNCTION("""COMPUTED_VALUE"""),"Sent on 15 Dec 2020.")</f>
        <v>Sent on 15 Dec 2020.</v>
      </c>
      <c r="U4" s="6"/>
      <c r="V4" s="6"/>
      <c r="W4" s="6" t="str">
        <f ca="1">IFERROR(__xludf.DUMMYFUNCTION("""COMPUTED_VALUE"""),"jyothym@gmail.com")</f>
        <v>jyothym@gmail.com</v>
      </c>
      <c r="X4" s="6"/>
      <c r="Y4" s="6"/>
      <c r="Z4" s="6"/>
      <c r="AA4" s="6"/>
      <c r="AB4" s="6"/>
      <c r="AC4" s="6"/>
      <c r="AD4" s="6"/>
      <c r="AE4" s="6"/>
      <c r="AF4" s="6"/>
      <c r="AG4" s="6"/>
      <c r="AH4" s="6"/>
      <c r="AI4" s="6"/>
      <c r="AJ4" s="6"/>
      <c r="AK4" s="6"/>
      <c r="AL4" s="6"/>
    </row>
    <row r="5" spans="1:38">
      <c r="A5" s="96">
        <f ca="1">IFERROR(__xludf.DUMMYFUNCTION("""COMPUTED_VALUE"""),44146)</f>
        <v>44146</v>
      </c>
      <c r="B5" s="6" t="str">
        <f ca="1">IFERROR(__xludf.DUMMYFUNCTION("""COMPUTED_VALUE"""),"Rajkumar")</f>
        <v>Rajkumar</v>
      </c>
      <c r="C5" s="6" t="str">
        <f ca="1">IFERROR(__xludf.DUMMYFUNCTION("""COMPUTED_VALUE"""),"rajchan912@yahoo.com")</f>
        <v>rajchan912@yahoo.com</v>
      </c>
      <c r="D5" s="6">
        <f ca="1">IFERROR(__xludf.DUMMYFUNCTION("""COMPUTED_VALUE"""),9600095627)</f>
        <v>9600095627</v>
      </c>
      <c r="E5" s="6" t="str">
        <f ca="1">IFERROR(__xludf.DUMMYFUNCTION("""COMPUTED_VALUE"""),"chat_initiated")</f>
        <v>chat_initiated</v>
      </c>
      <c r="F5" s="6" t="str">
        <f ca="1">IFERROR(__xludf.DUMMYFUNCTION("""COMPUTED_VALUE"""),"CSM")</f>
        <v>CSM</v>
      </c>
      <c r="G5" s="80">
        <f ca="1">IFERROR(__xludf.DUMMYFUNCTION("""COMPUTED_VALUE"""),44136)</f>
        <v>44136</v>
      </c>
      <c r="H5" s="6" t="str">
        <f ca="1">IFERROR(__xludf.DUMMYFUNCTION("""COMPUTED_VALUE"""),"Won")</f>
        <v>Won</v>
      </c>
      <c r="I5" s="6" t="str">
        <f ca="1">IFERROR(__xludf.DUMMYFUNCTION("""COMPUTED_VALUE"""),"21-22 Nov 2020")</f>
        <v>21-22 Nov 2020</v>
      </c>
      <c r="J5" s="6">
        <f ca="1">IFERROR(__xludf.DUMMYFUNCTION("""COMPUTED_VALUE"""),1)</f>
        <v>1</v>
      </c>
      <c r="K5" s="8">
        <f ca="1">IFERROR(__xludf.DUMMYFUNCTION("""COMPUTED_VALUE"""),20000)</f>
        <v>20000</v>
      </c>
      <c r="L5" s="8">
        <f ca="1">IFERROR(__xludf.DUMMYFUNCTION("""COMPUTED_VALUE"""),229.042601923957)</f>
        <v>229.04260192395699</v>
      </c>
      <c r="M5" s="96">
        <f ca="1">IFERROR(__xludf.DUMMYFUNCTION("""COMPUTED_VALUE"""),44147)</f>
        <v>44147</v>
      </c>
      <c r="N5" s="6"/>
      <c r="O5" s="97">
        <f ca="1">IFERROR(__xludf.DUMMYFUNCTION("""COMPUTED_VALUE"""),44147)</f>
        <v>44147</v>
      </c>
      <c r="P5" s="6" t="str">
        <f ca="1">IFERROR(__xludf.DUMMYFUNCTION("""COMPUTED_VALUE"""),"CSTM_H8OF9AHEUE0")</f>
        <v>CSTM_H8OF9AHEUE0</v>
      </c>
      <c r="Q5" s="6"/>
      <c r="R5" s="6" t="str">
        <f ca="1">IFERROR(__xludf.DUMMYFUNCTION("""COMPUTED_VALUE"""),"Done. Good feedback.")</f>
        <v>Done. Good feedback.</v>
      </c>
      <c r="S5" s="6" t="str">
        <f ca="1">IFERROR(__xludf.DUMMYFUNCTION("""COMPUTED_VALUE"""),"Category")</f>
        <v>Category</v>
      </c>
      <c r="T5" s="6"/>
      <c r="U5" s="6"/>
      <c r="V5" s="6"/>
      <c r="W5" s="6"/>
      <c r="X5" s="6"/>
      <c r="Y5" s="6"/>
      <c r="Z5" s="6"/>
      <c r="AA5" s="6"/>
      <c r="AB5" s="6"/>
      <c r="AC5" s="6"/>
      <c r="AD5" s="6"/>
      <c r="AE5" s="6"/>
      <c r="AF5" s="6"/>
      <c r="AG5" s="6"/>
      <c r="AH5" s="6"/>
      <c r="AI5" s="6"/>
      <c r="AJ5" s="6"/>
      <c r="AK5" s="6"/>
      <c r="AL5" s="6"/>
    </row>
    <row r="6" spans="1:38">
      <c r="A6" s="96">
        <f ca="1">IFERROR(__xludf.DUMMYFUNCTION("""COMPUTED_VALUE"""),44147)</f>
        <v>44147</v>
      </c>
      <c r="B6" s="6" t="str">
        <f ca="1">IFERROR(__xludf.DUMMYFUNCTION("""COMPUTED_VALUE"""),"MamtaSingh")</f>
        <v>MamtaSingh</v>
      </c>
      <c r="C6" s="6" t="str">
        <f ca="1">IFERROR(__xludf.DUMMYFUNCTION("""COMPUTED_VALUE"""),"mamtasingh2k6@gmail.com")</f>
        <v>mamtasingh2k6@gmail.com</v>
      </c>
      <c r="D6" s="6">
        <f ca="1">IFERROR(__xludf.DUMMYFUNCTION("""COMPUTED_VALUE"""),9582118406)</f>
        <v>9582118406</v>
      </c>
      <c r="E6" s="6" t="str">
        <f ca="1">IFERROR(__xludf.DUMMYFUNCTION("""COMPUTED_VALUE"""),"course agenda")</f>
        <v>course agenda</v>
      </c>
      <c r="F6" s="6" t="str">
        <f ca="1">IFERROR(__xludf.DUMMYFUNCTION("""COMPUTED_VALUE"""),"CSM")</f>
        <v>CSM</v>
      </c>
      <c r="G6" s="80">
        <f ca="1">IFERROR(__xludf.DUMMYFUNCTION("""COMPUTED_VALUE"""),44136)</f>
        <v>44136</v>
      </c>
      <c r="H6" s="6" t="str">
        <f ca="1">IFERROR(__xludf.DUMMYFUNCTION("""COMPUTED_VALUE"""),"Won")</f>
        <v>Won</v>
      </c>
      <c r="I6" s="6" t="str">
        <f ca="1">IFERROR(__xludf.DUMMYFUNCTION("""COMPUTED_VALUE"""),"5-6 Dec 2020")</f>
        <v>5-6 Dec 2020</v>
      </c>
      <c r="J6" s="6">
        <f ca="1">IFERROR(__xludf.DUMMYFUNCTION("""COMPUTED_VALUE"""),1)</f>
        <v>1</v>
      </c>
      <c r="K6" s="8">
        <f ca="1">IFERROR(__xludf.DUMMYFUNCTION("""COMPUTED_VALUE"""),20000)</f>
        <v>20000</v>
      </c>
      <c r="L6" s="8">
        <f ca="1">IFERROR(__xludf.DUMMYFUNCTION("""COMPUTED_VALUE"""),229.042601923957)</f>
        <v>229.04260192395699</v>
      </c>
      <c r="M6" s="96">
        <f ca="1">IFERROR(__xludf.DUMMYFUNCTION("""COMPUTED_VALUE"""),44148)</f>
        <v>44148</v>
      </c>
      <c r="N6" s="6"/>
      <c r="O6" s="97">
        <f ca="1">IFERROR(__xludf.DUMMYFUNCTION("""COMPUTED_VALUE"""),44147)</f>
        <v>44147</v>
      </c>
      <c r="P6" s="6" t="str">
        <f ca="1">IFERROR(__xludf.DUMMYFUNCTION("""COMPUTED_VALUE"""),"CSTM_3ZITXTRYLI7")</f>
        <v>CSTM_3ZITXTRYLI7</v>
      </c>
      <c r="Q6" s="6"/>
      <c r="R6" s="6" t="str">
        <f ca="1">IFERROR(__xludf.DUMMYFUNCTION("""COMPUTED_VALUE"""),"Done. Good feedback.")</f>
        <v>Done. Good feedback.</v>
      </c>
      <c r="S6" s="6" t="str">
        <f ca="1">IFERROR(__xludf.DUMMYFUNCTION("""COMPUTED_VALUE"""),"Category")</f>
        <v>Category</v>
      </c>
      <c r="T6" s="6"/>
      <c r="U6" s="6"/>
      <c r="V6" s="6"/>
      <c r="W6" s="6"/>
      <c r="X6" s="6"/>
      <c r="Y6" s="6"/>
      <c r="Z6" s="6"/>
      <c r="AA6" s="6"/>
      <c r="AB6" s="6"/>
      <c r="AC6" s="6"/>
      <c r="AD6" s="6"/>
      <c r="AE6" s="6"/>
      <c r="AF6" s="6"/>
      <c r="AG6" s="6"/>
      <c r="AH6" s="6"/>
      <c r="AI6" s="6"/>
      <c r="AJ6" s="6"/>
      <c r="AK6" s="6"/>
      <c r="AL6" s="6"/>
    </row>
    <row r="7" spans="1:38">
      <c r="A7" s="96">
        <f ca="1">IFERROR(__xludf.DUMMYFUNCTION("""COMPUTED_VALUE"""),44145)</f>
        <v>44145</v>
      </c>
      <c r="B7" s="6" t="str">
        <f ca="1">IFERROR(__xludf.DUMMYFUNCTION("""COMPUTED_VALUE"""),"Ravi")</f>
        <v>Ravi</v>
      </c>
      <c r="C7" s="6" t="str">
        <f ca="1">IFERROR(__xludf.DUMMYFUNCTION("""COMPUTED_VALUE"""),"ravi.speridian@gmail.com")</f>
        <v>ravi.speridian@gmail.com</v>
      </c>
      <c r="D7" s="6">
        <f ca="1">IFERROR(__xludf.DUMMYFUNCTION("""COMPUTED_VALUE"""),9741532089)</f>
        <v>9741532089</v>
      </c>
      <c r="E7" s="6" t="str">
        <f ca="1">IFERROR(__xludf.DUMMYFUNCTION("""COMPUTED_VALUE"""),"course agenda")</f>
        <v>course agenda</v>
      </c>
      <c r="F7" s="6" t="str">
        <f ca="1">IFERROR(__xludf.DUMMYFUNCTION("""COMPUTED_VALUE"""),"CSM")</f>
        <v>CSM</v>
      </c>
      <c r="G7" s="80">
        <f ca="1">IFERROR(__xludf.DUMMYFUNCTION("""COMPUTED_VALUE"""),44136)</f>
        <v>44136</v>
      </c>
      <c r="H7" s="6" t="str">
        <f ca="1">IFERROR(__xludf.DUMMYFUNCTION("""COMPUTED_VALUE"""),"Won")</f>
        <v>Won</v>
      </c>
      <c r="I7" s="6" t="str">
        <f ca="1">IFERROR(__xludf.DUMMYFUNCTION("""COMPUTED_VALUE"""),"3-4 Dec 2020")</f>
        <v>3-4 Dec 2020</v>
      </c>
      <c r="J7" s="6">
        <f ca="1">IFERROR(__xludf.DUMMYFUNCTION("""COMPUTED_VALUE"""),1)</f>
        <v>1</v>
      </c>
      <c r="K7" s="8">
        <f ca="1">IFERROR(__xludf.DUMMYFUNCTION("""COMPUTED_VALUE"""),20000)</f>
        <v>20000</v>
      </c>
      <c r="L7" s="8">
        <f ca="1">IFERROR(__xludf.DUMMYFUNCTION("""COMPUTED_VALUE"""),229.042601923957)</f>
        <v>229.04260192395699</v>
      </c>
      <c r="M7" s="96">
        <f ca="1">IFERROR(__xludf.DUMMYFUNCTION("""COMPUTED_VALUE"""),44149)</f>
        <v>44149</v>
      </c>
      <c r="N7" s="6"/>
      <c r="O7" s="97">
        <f ca="1">IFERROR(__xludf.DUMMYFUNCTION("""COMPUTED_VALUE"""),44147)</f>
        <v>44147</v>
      </c>
      <c r="P7" s="6" t="str">
        <f ca="1">IFERROR(__xludf.DUMMYFUNCTION("""COMPUTED_VALUE"""),"CSTM_6VGDL1OEE95")</f>
        <v>CSTM_6VGDL1OEE95</v>
      </c>
      <c r="Q7" s="6"/>
      <c r="R7" s="6" t="str">
        <f ca="1">IFERROR(__xludf.DUMMYFUNCTION("""COMPUTED_VALUE"""),"Done. Good feedback.")</f>
        <v>Done. Good feedback.</v>
      </c>
      <c r="S7" s="6" t="str">
        <f ca="1">IFERROR(__xludf.DUMMYFUNCTION("""COMPUTED_VALUE"""),"Category")</f>
        <v>Category</v>
      </c>
      <c r="T7" s="6"/>
      <c r="U7" s="6"/>
      <c r="V7" s="6"/>
      <c r="W7" s="6"/>
      <c r="X7" s="6"/>
      <c r="Y7" s="6"/>
      <c r="Z7" s="6"/>
      <c r="AA7" s="6"/>
      <c r="AB7" s="6"/>
      <c r="AC7" s="6"/>
      <c r="AD7" s="6"/>
      <c r="AE7" s="6"/>
      <c r="AF7" s="6"/>
      <c r="AG7" s="6"/>
      <c r="AH7" s="6"/>
      <c r="AI7" s="6"/>
      <c r="AJ7" s="6"/>
      <c r="AK7" s="6"/>
      <c r="AL7" s="6"/>
    </row>
    <row r="8" spans="1:38">
      <c r="A8" s="96">
        <f ca="1">IFERROR(__xludf.DUMMYFUNCTION("""COMPUTED_VALUE"""),44148)</f>
        <v>44148</v>
      </c>
      <c r="B8" s="6" t="str">
        <f ca="1">IFERROR(__xludf.DUMMYFUNCTION("""COMPUTED_VALUE"""),"Prabhu")</f>
        <v>Prabhu</v>
      </c>
      <c r="C8" s="6" t="str">
        <f ca="1">IFERROR(__xludf.DUMMYFUNCTION("""COMPUTED_VALUE"""),"prabhuprakasam@gmail.com")</f>
        <v>prabhuprakasam@gmail.com</v>
      </c>
      <c r="D8" s="6">
        <f ca="1">IFERROR(__xludf.DUMMYFUNCTION("""COMPUTED_VALUE"""),9347504434)</f>
        <v>9347504434</v>
      </c>
      <c r="E8" s="6" t="str">
        <f ca="1">IFERROR(__xludf.DUMMYFUNCTION("""COMPUTED_VALUE"""),"na-payment")</f>
        <v>na-payment</v>
      </c>
      <c r="F8" s="6" t="str">
        <f ca="1">IFERROR(__xludf.DUMMYFUNCTION("""COMPUTED_VALUE"""),"CSPO")</f>
        <v>CSPO</v>
      </c>
      <c r="G8" s="80">
        <f ca="1">IFERROR(__xludf.DUMMYFUNCTION("""COMPUTED_VALUE"""),44136)</f>
        <v>44136</v>
      </c>
      <c r="H8" s="6" t="str">
        <f ca="1">IFERROR(__xludf.DUMMYFUNCTION("""COMPUTED_VALUE"""),"Won")</f>
        <v>Won</v>
      </c>
      <c r="I8" s="6" t="str">
        <f ca="1">IFERROR(__xludf.DUMMYFUNCTION("""COMPUTED_VALUE"""),"21-22 Nov 2020")</f>
        <v>21-22 Nov 2020</v>
      </c>
      <c r="J8" s="6">
        <f ca="1">IFERROR(__xludf.DUMMYFUNCTION("""COMPUTED_VALUE"""),1)</f>
        <v>1</v>
      </c>
      <c r="K8" s="8">
        <f ca="1">IFERROR(__xludf.DUMMYFUNCTION("""COMPUTED_VALUE"""),20000)</f>
        <v>20000</v>
      </c>
      <c r="L8" s="8">
        <f ca="1">IFERROR(__xludf.DUMMYFUNCTION("""COMPUTED_VALUE"""),229.042601923957)</f>
        <v>229.04260192395699</v>
      </c>
      <c r="M8" s="96">
        <f ca="1">IFERROR(__xludf.DUMMYFUNCTION("""COMPUTED_VALUE"""),44152)</f>
        <v>44152</v>
      </c>
      <c r="N8" s="6"/>
      <c r="O8" s="97">
        <f ca="1">IFERROR(__xludf.DUMMYFUNCTION("""COMPUTED_VALUE"""),44152)</f>
        <v>44152</v>
      </c>
      <c r="P8" s="6" t="str">
        <f ca="1">IFERROR(__xludf.DUMMYFUNCTION("""COMPUTED_VALUE"""),"CSTM_AXKRAPSLGED")</f>
        <v>CSTM_AXKRAPSLGED</v>
      </c>
      <c r="Q8" s="6"/>
      <c r="R8" s="6" t="str">
        <f ca="1">IFERROR(__xludf.DUMMYFUNCTION("""COMPUTED_VALUE"""),"Done. Good feedback.")</f>
        <v>Done. Good feedback.</v>
      </c>
      <c r="S8" s="6" t="str">
        <f ca="1">IFERROR(__xludf.DUMMYFUNCTION("""COMPUTED_VALUE"""),"Category")</f>
        <v>Category</v>
      </c>
      <c r="T8" s="6"/>
      <c r="U8" s="6"/>
      <c r="V8" s="6"/>
      <c r="W8" s="6"/>
      <c r="X8" s="6"/>
      <c r="Y8" s="6"/>
      <c r="Z8" s="6"/>
      <c r="AA8" s="6"/>
      <c r="AB8" s="6"/>
      <c r="AC8" s="6"/>
      <c r="AD8" s="6"/>
      <c r="AE8" s="6"/>
      <c r="AF8" s="6"/>
      <c r="AG8" s="6"/>
      <c r="AH8" s="6"/>
      <c r="AI8" s="6"/>
      <c r="AJ8" s="6"/>
      <c r="AK8" s="6"/>
      <c r="AL8" s="6"/>
    </row>
    <row r="9" spans="1:38">
      <c r="A9" s="96">
        <f ca="1">IFERROR(__xludf.DUMMYFUNCTION("""COMPUTED_VALUE"""),44152)</f>
        <v>44152</v>
      </c>
      <c r="B9" s="6" t="str">
        <f ca="1">IFERROR(__xludf.DUMMYFUNCTION("""COMPUTED_VALUE"""),"Santosh Jagannath")</f>
        <v>Santosh Jagannath</v>
      </c>
      <c r="C9" s="6" t="str">
        <f ca="1">IFERROR(__xludf.DUMMYFUNCTION("""COMPUTED_VALUE"""),"santosh.jagannathan@gmail.com")</f>
        <v>santosh.jagannathan@gmail.com</v>
      </c>
      <c r="D9" s="6">
        <f ca="1">IFERROR(__xludf.DUMMYFUNCTION("""COMPUTED_VALUE"""),8008801320)</f>
        <v>8008801320</v>
      </c>
      <c r="E9" s="6" t="str">
        <f ca="1">IFERROR(__xludf.DUMMYFUNCTION("""COMPUTED_VALUE"""),"Reference")</f>
        <v>Reference</v>
      </c>
      <c r="F9" s="6" t="str">
        <f ca="1">IFERROR(__xludf.DUMMYFUNCTION("""COMPUTED_VALUE"""),"CSPO")</f>
        <v>CSPO</v>
      </c>
      <c r="G9" s="80">
        <f ca="1">IFERROR(__xludf.DUMMYFUNCTION("""COMPUTED_VALUE"""),44136)</f>
        <v>44136</v>
      </c>
      <c r="H9" s="6" t="str">
        <f ca="1">IFERROR(__xludf.DUMMYFUNCTION("""COMPUTED_VALUE"""),"Won")</f>
        <v>Won</v>
      </c>
      <c r="I9" s="6" t="str">
        <f ca="1">IFERROR(__xludf.DUMMYFUNCTION("""COMPUTED_VALUE"""),"21-22 Nov 2020")</f>
        <v>21-22 Nov 2020</v>
      </c>
      <c r="J9" s="6">
        <f ca="1">IFERROR(__xludf.DUMMYFUNCTION("""COMPUTED_VALUE"""),1)</f>
        <v>1</v>
      </c>
      <c r="K9" s="8">
        <f ca="1">IFERROR(__xludf.DUMMYFUNCTION("""COMPUTED_VALUE"""),20000)</f>
        <v>20000</v>
      </c>
      <c r="L9" s="8">
        <f ca="1">IFERROR(__xludf.DUMMYFUNCTION("""COMPUTED_VALUE"""),229.042601923957)</f>
        <v>229.04260192395699</v>
      </c>
      <c r="M9" s="96">
        <f ca="1">IFERROR(__xludf.DUMMYFUNCTION("""COMPUTED_VALUE"""),44152)</f>
        <v>44152</v>
      </c>
      <c r="N9" s="6"/>
      <c r="O9" s="97">
        <f ca="1">IFERROR(__xludf.DUMMYFUNCTION("""COMPUTED_VALUE"""),44152)</f>
        <v>44152</v>
      </c>
      <c r="P9" s="6" t="str">
        <f ca="1">IFERROR(__xludf.DUMMYFUNCTION("""COMPUTED_VALUE"""),"CSTM_AI3F9BJA4DK")</f>
        <v>CSTM_AI3F9BJA4DK</v>
      </c>
      <c r="Q9" s="6" t="str">
        <f ca="1">IFERROR(__xludf.DUMMYFUNCTION("""COMPUTED_VALUE"""),"By Prabhu prabhuprakasam@gmail.com")</f>
        <v>By Prabhu prabhuprakasam@gmail.com</v>
      </c>
      <c r="R9" s="6" t="str">
        <f ca="1">IFERROR(__xludf.DUMMYFUNCTION("""COMPUTED_VALUE"""),"Done. Good feedback.")</f>
        <v>Done. Good feedback.</v>
      </c>
      <c r="S9" s="6" t="str">
        <f ca="1">IFERROR(__xludf.DUMMYFUNCTION("""COMPUTED_VALUE"""),"Category")</f>
        <v>Category</v>
      </c>
      <c r="T9" s="6" t="str">
        <f ca="1">IFERROR(__xludf.DUMMYFUNCTION("""COMPUTED_VALUE"""),"Not approved.")</f>
        <v>Not approved.</v>
      </c>
      <c r="U9" s="6"/>
      <c r="V9" s="6"/>
      <c r="W9" s="6"/>
      <c r="X9" s="6"/>
      <c r="Y9" s="6"/>
      <c r="Z9" s="6"/>
      <c r="AA9" s="6"/>
      <c r="AB9" s="6"/>
      <c r="AC9" s="6"/>
      <c r="AD9" s="6"/>
      <c r="AE9" s="6"/>
      <c r="AF9" s="6"/>
      <c r="AG9" s="6"/>
      <c r="AH9" s="6"/>
      <c r="AI9" s="6"/>
      <c r="AJ9" s="6"/>
      <c r="AK9" s="6"/>
      <c r="AL9" s="6"/>
    </row>
    <row r="10" spans="1:38">
      <c r="A10" s="96">
        <f ca="1">IFERROR(__xludf.DUMMYFUNCTION("""COMPUTED_VALUE"""),44153)</f>
        <v>44153</v>
      </c>
      <c r="B10" s="6" t="str">
        <f ca="1">IFERROR(__xludf.DUMMYFUNCTION("""COMPUTED_VALUE"""),"Somnath C")</f>
        <v>Somnath C</v>
      </c>
      <c r="C10" s="6" t="str">
        <f ca="1">IFERROR(__xludf.DUMMYFUNCTION("""COMPUTED_VALUE"""),"somnath.chattopadhyay73@gmail.com")</f>
        <v>somnath.chattopadhyay73@gmail.com</v>
      </c>
      <c r="D10" s="6">
        <f ca="1">IFERROR(__xludf.DUMMYFUNCTION("""COMPUTED_VALUE"""),9830554122)</f>
        <v>9830554122</v>
      </c>
      <c r="E10" s="6" t="str">
        <f ca="1">IFERROR(__xludf.DUMMYFUNCTION("""COMPUTED_VALUE"""),"Chat_triggered")</f>
        <v>Chat_triggered</v>
      </c>
      <c r="F10" s="6" t="str">
        <f ca="1">IFERROR(__xludf.DUMMYFUNCTION("""COMPUTED_VALUE"""),"CSM")</f>
        <v>CSM</v>
      </c>
      <c r="G10" s="80">
        <f ca="1">IFERROR(__xludf.DUMMYFUNCTION("""COMPUTED_VALUE"""),44136)</f>
        <v>44136</v>
      </c>
      <c r="H10" s="6" t="str">
        <f ca="1">IFERROR(__xludf.DUMMYFUNCTION("""COMPUTED_VALUE"""),"Won")</f>
        <v>Won</v>
      </c>
      <c r="I10" s="6" t="str">
        <f ca="1">IFERROR(__xludf.DUMMYFUNCTION("""COMPUTED_VALUE"""),"28-29 Nov 2020")</f>
        <v>28-29 Nov 2020</v>
      </c>
      <c r="J10" s="6">
        <f ca="1">IFERROR(__xludf.DUMMYFUNCTION("""COMPUTED_VALUE"""),1)</f>
        <v>1</v>
      </c>
      <c r="K10" s="8">
        <f ca="1">IFERROR(__xludf.DUMMYFUNCTION("""COMPUTED_VALUE"""),22000)</f>
        <v>22000</v>
      </c>
      <c r="L10" s="8">
        <f ca="1">IFERROR(__xludf.DUMMYFUNCTION("""COMPUTED_VALUE"""),251.946862116353)</f>
        <v>251.946862116353</v>
      </c>
      <c r="M10" s="96">
        <f ca="1">IFERROR(__xludf.DUMMYFUNCTION("""COMPUTED_VALUE"""),44153)</f>
        <v>44153</v>
      </c>
      <c r="N10" s="6"/>
      <c r="O10" s="97">
        <f ca="1">IFERROR(__xludf.DUMMYFUNCTION("""COMPUTED_VALUE"""),44153)</f>
        <v>44153</v>
      </c>
      <c r="P10" s="6" t="str">
        <f ca="1">IFERROR(__xludf.DUMMYFUNCTION("""COMPUTED_VALUE"""),"CSTM_H8MV6TQ7WLD")</f>
        <v>CSTM_H8MV6TQ7WLD</v>
      </c>
      <c r="Q10" s="6"/>
      <c r="R10" s="6" t="str">
        <f ca="1">IFERROR(__xludf.DUMMYFUNCTION("""COMPUTED_VALUE"""),"Done. Good feedback.")</f>
        <v>Done. Good feedback.</v>
      </c>
      <c r="S10" s="6" t="str">
        <f ca="1">IFERROR(__xludf.DUMMYFUNCTION("""COMPUTED_VALUE"""),"Category")</f>
        <v>Category</v>
      </c>
      <c r="T10" s="6"/>
      <c r="U10" s="6"/>
      <c r="V10" s="141" t="str">
        <f ca="1">IFERROR(__xludf.DUMMYFUNCTION("""COMPUTED_VALUE"""),"https://simplilearn.my.salesforce.com/00Q2x000001Ywub")</f>
        <v>https://simplilearn.my.salesforce.com/00Q2x000001Ywub</v>
      </c>
      <c r="W10" s="6"/>
      <c r="X10" s="6"/>
      <c r="Y10" s="6"/>
      <c r="Z10" s="6"/>
      <c r="AA10" s="6"/>
      <c r="AB10" s="6"/>
      <c r="AC10" s="6"/>
      <c r="AD10" s="6"/>
      <c r="AE10" s="6"/>
      <c r="AF10" s="6"/>
      <c r="AG10" s="6"/>
      <c r="AH10" s="6"/>
      <c r="AI10" s="6"/>
      <c r="AJ10" s="6"/>
      <c r="AK10" s="6"/>
      <c r="AL10" s="6"/>
    </row>
    <row r="11" spans="1:38">
      <c r="A11" s="96">
        <f ca="1">IFERROR(__xludf.DUMMYFUNCTION("""COMPUTED_VALUE"""),44153)</f>
        <v>44153</v>
      </c>
      <c r="B11" s="6" t="str">
        <f ca="1">IFERROR(__xludf.DUMMYFUNCTION("""COMPUTED_VALUE"""),"Rajesh Ram N")</f>
        <v>Rajesh Ram N</v>
      </c>
      <c r="C11" s="6" t="str">
        <f ca="1">IFERROR(__xludf.DUMMYFUNCTION("""COMPUTED_VALUE"""),"rajesh.ramnarain@yahoo.co.in")</f>
        <v>rajesh.ramnarain@yahoo.co.in</v>
      </c>
      <c r="D11" s="6">
        <f ca="1">IFERROR(__xludf.DUMMYFUNCTION("""COMPUTED_VALUE"""),9884489486)</f>
        <v>9884489486</v>
      </c>
      <c r="E11" s="6" t="str">
        <f ca="1">IFERROR(__xludf.DUMMYFUNCTION("""COMPUTED_VALUE"""),"Tollfree")</f>
        <v>Tollfree</v>
      </c>
      <c r="F11" s="6" t="str">
        <f ca="1">IFERROR(__xludf.DUMMYFUNCTION("""COMPUTED_VALUE"""),"CSM")</f>
        <v>CSM</v>
      </c>
      <c r="G11" s="80">
        <f ca="1">IFERROR(__xludf.DUMMYFUNCTION("""COMPUTED_VALUE"""),44136)</f>
        <v>44136</v>
      </c>
      <c r="H11" s="6" t="str">
        <f ca="1">IFERROR(__xludf.DUMMYFUNCTION("""COMPUTED_VALUE"""),"Won")</f>
        <v>Won</v>
      </c>
      <c r="I11" s="6" t="str">
        <f ca="1">IFERROR(__xludf.DUMMYFUNCTION("""COMPUTED_VALUE"""),"21-22 Nov 2020")</f>
        <v>21-22 Nov 2020</v>
      </c>
      <c r="J11" s="6">
        <f ca="1">IFERROR(__xludf.DUMMYFUNCTION("""COMPUTED_VALUE"""),1)</f>
        <v>1</v>
      </c>
      <c r="K11" s="8">
        <f ca="1">IFERROR(__xludf.DUMMYFUNCTION("""COMPUTED_VALUE"""),20000)</f>
        <v>20000</v>
      </c>
      <c r="L11" s="8">
        <f ca="1">IFERROR(__xludf.DUMMYFUNCTION("""COMPUTED_VALUE"""),229.042601923957)</f>
        <v>229.04260192395699</v>
      </c>
      <c r="M11" s="96">
        <f ca="1">IFERROR(__xludf.DUMMYFUNCTION("""COMPUTED_VALUE"""),44154)</f>
        <v>44154</v>
      </c>
      <c r="N11" s="6"/>
      <c r="O11" s="97">
        <f ca="1">IFERROR(__xludf.DUMMYFUNCTION("""COMPUTED_VALUE"""),44154)</f>
        <v>44154</v>
      </c>
      <c r="P11" s="6" t="str">
        <f ca="1">IFERROR(__xludf.DUMMYFUNCTION("""COMPUTED_VALUE"""),"CSTM_ESM8TCLIM6J")</f>
        <v>CSTM_ESM8TCLIM6J</v>
      </c>
      <c r="Q11" s="6"/>
      <c r="R11" s="6" t="str">
        <f ca="1">IFERROR(__xludf.DUMMYFUNCTION("""COMPUTED_VALUE"""),"Done. Didn't give Fb.")</f>
        <v>Done. Didn't give Fb.</v>
      </c>
      <c r="S11" s="6" t="str">
        <f ca="1">IFERROR(__xludf.DUMMYFUNCTION("""COMPUTED_VALUE"""),"Category")</f>
        <v>Category</v>
      </c>
      <c r="T11" s="6"/>
      <c r="U11" s="6"/>
      <c r="V11" s="141" t="str">
        <f ca="1">IFERROR(__xludf.DUMMYFUNCTION("""COMPUTED_VALUE"""),"https://simplilearn.my.salesforce.com/00Q2x000001ZL5U")</f>
        <v>https://simplilearn.my.salesforce.com/00Q2x000001ZL5U</v>
      </c>
      <c r="W11" s="6"/>
      <c r="X11" s="6"/>
      <c r="Y11" s="6"/>
      <c r="Z11" s="6"/>
      <c r="AA11" s="6"/>
      <c r="AB11" s="6"/>
      <c r="AC11" s="6"/>
      <c r="AD11" s="6"/>
      <c r="AE11" s="6"/>
      <c r="AF11" s="6"/>
      <c r="AG11" s="6"/>
      <c r="AH11" s="6"/>
      <c r="AI11" s="6"/>
      <c r="AJ11" s="6"/>
      <c r="AK11" s="6"/>
      <c r="AL11" s="6"/>
    </row>
    <row r="12" spans="1:38">
      <c r="A12" s="96">
        <f ca="1">IFERROR(__xludf.DUMMYFUNCTION("""COMPUTED_VALUE"""),44155)</f>
        <v>44155</v>
      </c>
      <c r="B12" s="6" t="str">
        <f ca="1">IFERROR(__xludf.DUMMYFUNCTION("""COMPUTED_VALUE"""),"Jayesh Gangwani")</f>
        <v>Jayesh Gangwani</v>
      </c>
      <c r="C12" s="6" t="str">
        <f ca="1">IFERROR(__xludf.DUMMYFUNCTION("""COMPUTED_VALUE"""),"iniyanoona@gmail.com")</f>
        <v>iniyanoona@gmail.com</v>
      </c>
      <c r="D12" s="6">
        <f ca="1">IFERROR(__xludf.DUMMYFUNCTION("""COMPUTED_VALUE"""),93746515005)</f>
        <v>93746515005</v>
      </c>
      <c r="E12" s="6" t="str">
        <f ca="1">IFERROR(__xludf.DUMMYFUNCTION("""COMPUTED_VALUE"""),"Reference")</f>
        <v>Reference</v>
      </c>
      <c r="F12" s="6" t="str">
        <f ca="1">IFERROR(__xludf.DUMMYFUNCTION("""COMPUTED_VALUE"""),"CSM")</f>
        <v>CSM</v>
      </c>
      <c r="G12" s="80">
        <f ca="1">IFERROR(__xludf.DUMMYFUNCTION("""COMPUTED_VALUE"""),44136)</f>
        <v>44136</v>
      </c>
      <c r="H12" s="6" t="str">
        <f ca="1">IFERROR(__xludf.DUMMYFUNCTION("""COMPUTED_VALUE"""),"Won")</f>
        <v>Won</v>
      </c>
      <c r="I12" s="6" t="str">
        <f ca="1">IFERROR(__xludf.DUMMYFUNCTION("""COMPUTED_VALUE"""),"21-22 Nov 2020")</f>
        <v>21-22 Nov 2020</v>
      </c>
      <c r="J12" s="6">
        <f ca="1">IFERROR(__xludf.DUMMYFUNCTION("""COMPUTED_VALUE"""),1)</f>
        <v>1</v>
      </c>
      <c r="K12" s="8">
        <f ca="1">IFERROR(__xludf.DUMMYFUNCTION("""COMPUTED_VALUE"""),20000)</f>
        <v>20000</v>
      </c>
      <c r="L12" s="8">
        <f ca="1">IFERROR(__xludf.DUMMYFUNCTION("""COMPUTED_VALUE"""),229.042601923957)</f>
        <v>229.04260192395699</v>
      </c>
      <c r="M12" s="96">
        <f ca="1">IFERROR(__xludf.DUMMYFUNCTION("""COMPUTED_VALUE"""),44155)</f>
        <v>44155</v>
      </c>
      <c r="N12" s="6"/>
      <c r="O12" s="97">
        <f ca="1">IFERROR(__xludf.DUMMYFUNCTION("""COMPUTED_VALUE"""),44155)</f>
        <v>44155</v>
      </c>
      <c r="P12" s="6" t="str">
        <f ca="1">IFERROR(__xludf.DUMMYFUNCTION("""COMPUTED_VALUE"""),"CSTM_EG2X5IFWQCU")</f>
        <v>CSTM_EG2X5IFWQCU</v>
      </c>
      <c r="Q12" s="6" t="str">
        <f ca="1">IFERROR(__xludf.DUMMYFUNCTION("""COMPUTED_VALUE"""),"By Divya divyarajivryan@gmail.com")</f>
        <v>By Divya divyarajivryan@gmail.com</v>
      </c>
      <c r="R12" s="6" t="str">
        <f ca="1">IFERROR(__xludf.DUMMYFUNCTION("""COMPUTED_VALUE"""),"Done")</f>
        <v>Done</v>
      </c>
      <c r="S12" s="6" t="str">
        <f ca="1">IFERROR(__xludf.DUMMYFUNCTION("""COMPUTED_VALUE"""),"Category")</f>
        <v>Category</v>
      </c>
      <c r="T12" s="6" t="str">
        <f ca="1">IFERROR(__xludf.DUMMYFUNCTION("""COMPUTED_VALUE"""),"Sent on 15 Dec 2020.")</f>
        <v>Sent on 15 Dec 2020.</v>
      </c>
      <c r="U12" s="6"/>
      <c r="V12" s="141" t="str">
        <f ca="1">IFERROR(__xludf.DUMMYFUNCTION("""COMPUTED_VALUE"""),"https://simplilearn.my.salesforce.com/00Q2x000001YaS4")</f>
        <v>https://simplilearn.my.salesforce.com/00Q2x000001YaS4</v>
      </c>
      <c r="W12" s="6"/>
      <c r="X12" s="6"/>
      <c r="Y12" s="6"/>
      <c r="Z12" s="6"/>
      <c r="AA12" s="6"/>
      <c r="AB12" s="6"/>
      <c r="AC12" s="6"/>
      <c r="AD12" s="6"/>
      <c r="AE12" s="6"/>
      <c r="AF12" s="6"/>
      <c r="AG12" s="6"/>
      <c r="AH12" s="6"/>
      <c r="AI12" s="6"/>
      <c r="AJ12" s="6"/>
      <c r="AK12" s="6"/>
      <c r="AL12" s="6"/>
    </row>
    <row r="13" spans="1:38">
      <c r="A13" s="96">
        <f ca="1">IFERROR(__xludf.DUMMYFUNCTION("""COMPUTED_VALUE"""),44152)</f>
        <v>44152</v>
      </c>
      <c r="B13" s="6" t="str">
        <f ca="1">IFERROR(__xludf.DUMMYFUNCTION("""COMPUTED_VALUE"""),"Abhishek Arora")</f>
        <v>Abhishek Arora</v>
      </c>
      <c r="C13" s="6" t="str">
        <f ca="1">IFERROR(__xludf.DUMMYFUNCTION("""COMPUTED_VALUE"""),"abhi.aroraa30@gmail.com")</f>
        <v>abhi.aroraa30@gmail.com</v>
      </c>
      <c r="D13" s="6">
        <f ca="1">IFERROR(__xludf.DUMMYFUNCTION("""COMPUTED_VALUE"""),9761955899)</f>
        <v>9761955899</v>
      </c>
      <c r="E13" s="6" t="str">
        <f ca="1">IFERROR(__xludf.DUMMYFUNCTION("""COMPUTED_VALUE"""),"Reference")</f>
        <v>Reference</v>
      </c>
      <c r="F13" s="6" t="str">
        <f ca="1">IFERROR(__xludf.DUMMYFUNCTION("""COMPUTED_VALUE"""),"CSM")</f>
        <v>CSM</v>
      </c>
      <c r="G13" s="80">
        <f ca="1">IFERROR(__xludf.DUMMYFUNCTION("""COMPUTED_VALUE"""),44136)</f>
        <v>44136</v>
      </c>
      <c r="H13" s="6" t="str">
        <f ca="1">IFERROR(__xludf.DUMMYFUNCTION("""COMPUTED_VALUE"""),"Won")</f>
        <v>Won</v>
      </c>
      <c r="I13" s="6" t="str">
        <f ca="1">IFERROR(__xludf.DUMMYFUNCTION("""COMPUTED_VALUE"""),"23-24 Nov 2020")</f>
        <v>23-24 Nov 2020</v>
      </c>
      <c r="J13" s="6">
        <f ca="1">IFERROR(__xludf.DUMMYFUNCTION("""COMPUTED_VALUE"""),1)</f>
        <v>1</v>
      </c>
      <c r="K13" s="8">
        <f ca="1">IFERROR(__xludf.DUMMYFUNCTION("""COMPUTED_VALUE"""),19000)</f>
        <v>19000</v>
      </c>
      <c r="L13" s="8">
        <f ca="1">IFERROR(__xludf.DUMMYFUNCTION("""COMPUTED_VALUE"""),217.590471827759)</f>
        <v>217.59047182775899</v>
      </c>
      <c r="M13" s="96"/>
      <c r="N13" s="6"/>
      <c r="O13" s="97">
        <f ca="1">IFERROR(__xludf.DUMMYFUNCTION("""COMPUTED_VALUE"""),44155)</f>
        <v>44155</v>
      </c>
      <c r="P13" s="6" t="str">
        <f ca="1">IFERROR(__xludf.DUMMYFUNCTION("""COMPUTED_VALUE"""),"CSTM_ATXSY7EV0FF")</f>
        <v>CSTM_ATXSY7EV0FF</v>
      </c>
      <c r="Q13" s="6" t="str">
        <f ca="1">IFERROR(__xludf.DUMMYFUNCTION("""COMPUTED_VALUE"""),"By Nidhi nidhi.arora31@gmail.com")</f>
        <v>By Nidhi nidhi.arora31@gmail.com</v>
      </c>
      <c r="R13" s="6" t="str">
        <f ca="1">IFERROR(__xludf.DUMMYFUNCTION("""COMPUTED_VALUE"""),"Done. Didn't give Fb.")</f>
        <v>Done. Didn't give Fb.</v>
      </c>
      <c r="S13" s="6" t="str">
        <f ca="1">IFERROR(__xludf.DUMMYFUNCTION("""COMPUTED_VALUE"""),"Category")</f>
        <v>Category</v>
      </c>
      <c r="T13" s="6" t="str">
        <f ca="1">IFERROR(__xludf.DUMMYFUNCTION("""COMPUTED_VALUE"""),"Sent on 15 Dec 2020.")</f>
        <v>Sent on 15 Dec 2020.</v>
      </c>
      <c r="U13" s="6"/>
      <c r="V13" s="141" t="str">
        <f ca="1">IFERROR(__xludf.DUMMYFUNCTION("""COMPUTED_VALUE"""),"https://simplilearn.my.salesforce.com/00Q2x000001WmxO")</f>
        <v>https://simplilearn.my.salesforce.com/00Q2x000001WmxO</v>
      </c>
      <c r="W13" s="6"/>
      <c r="X13" s="6"/>
      <c r="Y13" s="6"/>
      <c r="Z13" s="6"/>
      <c r="AA13" s="6"/>
      <c r="AB13" s="6"/>
      <c r="AC13" s="6"/>
      <c r="AD13" s="6"/>
      <c r="AE13" s="6"/>
      <c r="AF13" s="6"/>
      <c r="AG13" s="6"/>
      <c r="AH13" s="6"/>
      <c r="AI13" s="6"/>
      <c r="AJ13" s="6"/>
      <c r="AK13" s="6"/>
      <c r="AL13" s="6"/>
    </row>
    <row r="14" spans="1:38">
      <c r="A14" s="96">
        <f ca="1">IFERROR(__xludf.DUMMYFUNCTION("""COMPUTED_VALUE"""),44155)</f>
        <v>44155</v>
      </c>
      <c r="B14" s="6" t="str">
        <f ca="1">IFERROR(__xludf.DUMMYFUNCTION("""COMPUTED_VALUE"""),"SaiRam Srinivas")</f>
        <v>SaiRam Srinivas</v>
      </c>
      <c r="C14" s="6" t="str">
        <f ca="1">IFERROR(__xludf.DUMMYFUNCTION("""COMPUTED_VALUE"""),"raghavapudi.ssd@gmail.com")</f>
        <v>raghavapudi.ssd@gmail.com</v>
      </c>
      <c r="D14" s="6">
        <f ca="1">IFERROR(__xludf.DUMMYFUNCTION("""COMPUTED_VALUE"""),9980504732)</f>
        <v>9980504732</v>
      </c>
      <c r="E14" s="6" t="str">
        <f ca="1">IFERROR(__xludf.DUMMYFUNCTION("""COMPUTED_VALUE"""),"Query box")</f>
        <v>Query box</v>
      </c>
      <c r="F14" s="6" t="str">
        <f ca="1">IFERROR(__xludf.DUMMYFUNCTION("""COMPUTED_VALUE"""),"PMI-ACP")</f>
        <v>PMI-ACP</v>
      </c>
      <c r="G14" s="80">
        <f ca="1">IFERROR(__xludf.DUMMYFUNCTION("""COMPUTED_VALUE"""),44136)</f>
        <v>44136</v>
      </c>
      <c r="H14" s="6" t="str">
        <f ca="1">IFERROR(__xludf.DUMMYFUNCTION("""COMPUTED_VALUE"""),"Won")</f>
        <v>Won</v>
      </c>
      <c r="I14" s="6" t="str">
        <f ca="1">IFERROR(__xludf.DUMMYFUNCTION("""COMPUTED_VALUE"""),"28-29 Nov 2020")</f>
        <v>28-29 Nov 2020</v>
      </c>
      <c r="J14" s="6">
        <f ca="1">IFERROR(__xludf.DUMMYFUNCTION("""COMPUTED_VALUE"""),1)</f>
        <v>1</v>
      </c>
      <c r="K14" s="8">
        <f ca="1">IFERROR(__xludf.DUMMYFUNCTION("""COMPUTED_VALUE"""),14337)</f>
        <v>14337</v>
      </c>
      <c r="L14" s="8">
        <f ca="1">IFERROR(__xludf.DUMMYFUNCTION("""COMPUTED_VALUE"""),164.189189189189)</f>
        <v>164.18918918918899</v>
      </c>
      <c r="M14" s="96">
        <f ca="1">IFERROR(__xludf.DUMMYFUNCTION("""COMPUTED_VALUE"""),44158)</f>
        <v>44158</v>
      </c>
      <c r="N14" s="6"/>
      <c r="O14" s="97">
        <f ca="1">IFERROR(__xludf.DUMMYFUNCTION("""COMPUTED_VALUE"""),44158)</f>
        <v>44158</v>
      </c>
      <c r="P14" s="6" t="str">
        <f ca="1">IFERROR(__xludf.DUMMYFUNCTION("""COMPUTED_VALUE"""),"CSTM_6X2273O39NQ")</f>
        <v>CSTM_6X2273O39NQ</v>
      </c>
      <c r="Q14" s="6"/>
      <c r="R14" s="6" t="str">
        <f ca="1">IFERROR(__xludf.DUMMYFUNCTION("""COMPUTED_VALUE"""),"SL-LVC")</f>
        <v>SL-LVC</v>
      </c>
      <c r="S14" s="6" t="str">
        <f ca="1">IFERROR(__xludf.DUMMYFUNCTION("""COMPUTED_VALUE"""),"Category")</f>
        <v>Category</v>
      </c>
      <c r="T14" s="6"/>
      <c r="U14" s="6"/>
      <c r="V14" s="141" t="str">
        <f ca="1">IFERROR(__xludf.DUMMYFUNCTION("""COMPUTED_VALUE"""),"https://simplilearn.my.salesforce.com/00Q1000000RxFCi")</f>
        <v>https://simplilearn.my.salesforce.com/00Q1000000RxFCi</v>
      </c>
      <c r="W14" s="6"/>
      <c r="X14" s="6"/>
      <c r="Y14" s="6"/>
      <c r="Z14" s="6"/>
      <c r="AA14" s="6"/>
      <c r="AB14" s="6"/>
      <c r="AC14" s="6"/>
      <c r="AD14" s="6"/>
      <c r="AE14" s="6"/>
      <c r="AF14" s="6"/>
      <c r="AG14" s="6"/>
      <c r="AH14" s="6"/>
      <c r="AI14" s="6"/>
      <c r="AJ14" s="6"/>
      <c r="AK14" s="6"/>
      <c r="AL14" s="6"/>
    </row>
    <row r="15" spans="1:38">
      <c r="A15" s="96">
        <f ca="1">IFERROR(__xludf.DUMMYFUNCTION("""COMPUTED_VALUE"""),44159)</f>
        <v>44159</v>
      </c>
      <c r="B15" s="6" t="str">
        <f ca="1">IFERROR(__xludf.DUMMYFUNCTION("""COMPUTED_VALUE"""),"Bikash Satpathy")</f>
        <v>Bikash Satpathy</v>
      </c>
      <c r="C15" s="6" t="str">
        <f ca="1">IFERROR(__xludf.DUMMYFUNCTION("""COMPUTED_VALUE"""),"bikash.satpathy@yahoo.com")</f>
        <v>bikash.satpathy@yahoo.com</v>
      </c>
      <c r="D15" s="6"/>
      <c r="E15" s="6" t="str">
        <f ca="1">IFERROR(__xludf.DUMMYFUNCTION("""COMPUTED_VALUE"""),"PSM")</f>
        <v>PSM</v>
      </c>
      <c r="F15" s="6" t="str">
        <f ca="1">IFERROR(__xludf.DUMMYFUNCTION("""COMPUTED_VALUE"""),"CSM")</f>
        <v>CSM</v>
      </c>
      <c r="G15" s="80">
        <f ca="1">IFERROR(__xludf.DUMMYFUNCTION("""COMPUTED_VALUE"""),44136)</f>
        <v>44136</v>
      </c>
      <c r="H15" s="6" t="str">
        <f ca="1">IFERROR(__xludf.DUMMYFUNCTION("""COMPUTED_VALUE"""),"Won")</f>
        <v>Won</v>
      </c>
      <c r="I15" s="6" t="str">
        <f ca="1">IFERROR(__xludf.DUMMYFUNCTION("""COMPUTED_VALUE"""),"5-6 Dec 2020")</f>
        <v>5-6 Dec 2020</v>
      </c>
      <c r="J15" s="6">
        <f ca="1">IFERROR(__xludf.DUMMYFUNCTION("""COMPUTED_VALUE"""),1)</f>
        <v>1</v>
      </c>
      <c r="K15" s="8">
        <f ca="1">IFERROR(__xludf.DUMMYFUNCTION("""COMPUTED_VALUE"""),24780)</f>
        <v>24780</v>
      </c>
      <c r="L15" s="8">
        <f ca="1">IFERROR(__xludf.DUMMYFUNCTION("""COMPUTED_VALUE"""),283.783783783783)</f>
        <v>283.78378378378301</v>
      </c>
      <c r="M15" s="96">
        <f ca="1">IFERROR(__xludf.DUMMYFUNCTION("""COMPUTED_VALUE"""),44159)</f>
        <v>44159</v>
      </c>
      <c r="N15" s="6"/>
      <c r="O15" s="97">
        <f ca="1">IFERROR(__xludf.DUMMYFUNCTION("""COMPUTED_VALUE"""),44159)</f>
        <v>44159</v>
      </c>
      <c r="P15" s="6" t="str">
        <f ca="1">IFERROR(__xludf.DUMMYFUNCTION("""COMPUTED_VALUE"""),"CSTM_2R59RD825OI")</f>
        <v>CSTM_2R59RD825OI</v>
      </c>
      <c r="Q15" s="6"/>
      <c r="R15" s="6" t="str">
        <f ca="1">IFERROR(__xludf.DUMMYFUNCTION("""COMPUTED_VALUE"""),"Done. Good feedback.")</f>
        <v>Done. Good feedback.</v>
      </c>
      <c r="S15" s="6" t="str">
        <f ca="1">IFERROR(__xludf.DUMMYFUNCTION("""COMPUTED_VALUE"""),"Category")</f>
        <v>Category</v>
      </c>
      <c r="T15" s="6"/>
      <c r="U15" s="6"/>
      <c r="V15" s="141" t="str">
        <f ca="1">IFERROR(__xludf.DUMMYFUNCTION("""COMPUTED_VALUE"""),"https://simplilearn.lightning.force.com/lightning/r/Lead/00Q1000000ROuk0EAD/view")</f>
        <v>https://simplilearn.lightning.force.com/lightning/r/Lead/00Q1000000ROuk0EAD/view</v>
      </c>
      <c r="W15" s="6"/>
      <c r="X15" s="6"/>
      <c r="Y15" s="6"/>
      <c r="Z15" s="6"/>
      <c r="AA15" s="6"/>
      <c r="AB15" s="6"/>
      <c r="AC15" s="6"/>
      <c r="AD15" s="6"/>
      <c r="AE15" s="6"/>
      <c r="AF15" s="6"/>
      <c r="AG15" s="6"/>
      <c r="AH15" s="6"/>
      <c r="AI15" s="6"/>
      <c r="AJ15" s="6"/>
      <c r="AK15" s="6"/>
      <c r="AL15" s="6"/>
    </row>
    <row r="16" spans="1:38">
      <c r="A16" s="96">
        <f ca="1">IFERROR(__xludf.DUMMYFUNCTION("""COMPUTED_VALUE"""),44155)</f>
        <v>44155</v>
      </c>
      <c r="B16" s="6" t="str">
        <f ca="1">IFERROR(__xludf.DUMMYFUNCTION("""COMPUTED_VALUE"""),"Geeta Rajpali")</f>
        <v>Geeta Rajpali</v>
      </c>
      <c r="C16" s="6" t="str">
        <f ca="1">IFERROR(__xludf.DUMMYFUNCTION("""COMPUTED_VALUE"""),"geeta.rajpali@gmail.com")</f>
        <v>geeta.rajpali@gmail.com</v>
      </c>
      <c r="D16" s="6">
        <f ca="1">IFERROR(__xludf.DUMMYFUNCTION("""COMPUTED_VALUE"""),9373937345)</f>
        <v>9373937345</v>
      </c>
      <c r="E16" s="6" t="str">
        <f ca="1">IFERROR(__xludf.DUMMYFUNCTION("""COMPUTED_VALUE"""),"Chat_triggered")</f>
        <v>Chat_triggered</v>
      </c>
      <c r="F16" s="6" t="str">
        <f ca="1">IFERROR(__xludf.DUMMYFUNCTION("""COMPUTED_VALUE"""),"CSM")</f>
        <v>CSM</v>
      </c>
      <c r="G16" s="80">
        <f ca="1">IFERROR(__xludf.DUMMYFUNCTION("""COMPUTED_VALUE"""),44136)</f>
        <v>44136</v>
      </c>
      <c r="H16" s="6" t="str">
        <f ca="1">IFERROR(__xludf.DUMMYFUNCTION("""COMPUTED_VALUE"""),"Won")</f>
        <v>Won</v>
      </c>
      <c r="I16" s="6" t="str">
        <f ca="1">IFERROR(__xludf.DUMMYFUNCTION("""COMPUTED_VALUE"""),"9-10 Jan 2021")</f>
        <v>9-10 Jan 2021</v>
      </c>
      <c r="J16" s="6">
        <f ca="1">IFERROR(__xludf.DUMMYFUNCTION("""COMPUTED_VALUE"""),1)</f>
        <v>1</v>
      </c>
      <c r="K16" s="8">
        <f ca="1">IFERROR(__xludf.DUMMYFUNCTION("""COMPUTED_VALUE"""),20000)</f>
        <v>20000</v>
      </c>
      <c r="L16" s="8">
        <f ca="1">IFERROR(__xludf.DUMMYFUNCTION("""COMPUTED_VALUE"""),229.042601923957)</f>
        <v>229.04260192395699</v>
      </c>
      <c r="M16" s="96">
        <f ca="1">IFERROR(__xludf.DUMMYFUNCTION("""COMPUTED_VALUE"""),44159)</f>
        <v>44159</v>
      </c>
      <c r="N16" s="6"/>
      <c r="O16" s="97">
        <f ca="1">IFERROR(__xludf.DUMMYFUNCTION("""COMPUTED_VALUE"""),44159)</f>
        <v>44159</v>
      </c>
      <c r="P16" s="6" t="str">
        <f ca="1">IFERROR(__xludf.DUMMYFUNCTION("""COMPUTED_VALUE"""),"CSTM_19WIAXN4QLP")</f>
        <v>CSTM_19WIAXN4QLP</v>
      </c>
      <c r="Q16" s="6"/>
      <c r="R16" s="6" t="str">
        <f ca="1">IFERROR(__xludf.DUMMYFUNCTION("""COMPUTED_VALUE"""),"Done. Good feedback.")</f>
        <v>Done. Good feedback.</v>
      </c>
      <c r="S16" s="6" t="str">
        <f ca="1">IFERROR(__xludf.DUMMYFUNCTION("""COMPUTED_VALUE"""),"Category")</f>
        <v>Category</v>
      </c>
      <c r="T16" s="6"/>
      <c r="U16" s="6"/>
      <c r="V16" s="141" t="str">
        <f ca="1">IFERROR(__xludf.DUMMYFUNCTION("""COMPUTED_VALUE"""),"https://simplilearn.my.salesforce.com/00Q1000000RQggM")</f>
        <v>https://simplilearn.my.salesforce.com/00Q1000000RQggM</v>
      </c>
      <c r="W16" s="6"/>
      <c r="X16" s="6"/>
      <c r="Y16" s="6"/>
      <c r="Z16" s="6"/>
      <c r="AA16" s="6"/>
      <c r="AB16" s="6"/>
      <c r="AC16" s="6"/>
      <c r="AD16" s="6"/>
      <c r="AE16" s="6"/>
      <c r="AF16" s="6"/>
      <c r="AG16" s="6"/>
      <c r="AH16" s="6"/>
      <c r="AI16" s="6"/>
      <c r="AJ16" s="6"/>
      <c r="AK16" s="6"/>
      <c r="AL16" s="6"/>
    </row>
    <row r="17" spans="1:38">
      <c r="A17" s="96">
        <f ca="1">IFERROR(__xludf.DUMMYFUNCTION("""COMPUTED_VALUE"""),44146)</f>
        <v>44146</v>
      </c>
      <c r="B17" s="6" t="str">
        <f ca="1">IFERROR(__xludf.DUMMYFUNCTION("""COMPUTED_VALUE"""),"Anusha")</f>
        <v>Anusha</v>
      </c>
      <c r="C17" s="6" t="str">
        <f ca="1">IFERROR(__xludf.DUMMYFUNCTION("""COMPUTED_VALUE"""),"anushavemuri1@gmail.com")</f>
        <v>anushavemuri1@gmail.com</v>
      </c>
      <c r="D17" s="6">
        <f ca="1">IFERROR(__xludf.DUMMYFUNCTION("""COMPUTED_VALUE"""),9550646781)</f>
        <v>9550646781</v>
      </c>
      <c r="E17" s="6" t="str">
        <f ca="1">IFERROR(__xludf.DUMMYFUNCTION("""COMPUTED_VALUE"""),"Course agenda")</f>
        <v>Course agenda</v>
      </c>
      <c r="F17" s="6" t="str">
        <f ca="1">IFERROR(__xludf.DUMMYFUNCTION("""COMPUTED_VALUE"""),"CSM")</f>
        <v>CSM</v>
      </c>
      <c r="G17" s="80">
        <f ca="1">IFERROR(__xludf.DUMMYFUNCTION("""COMPUTED_VALUE"""),44136)</f>
        <v>44136</v>
      </c>
      <c r="H17" s="6" t="str">
        <f ca="1">IFERROR(__xludf.DUMMYFUNCTION("""COMPUTED_VALUE"""),"Won")</f>
        <v>Won</v>
      </c>
      <c r="I17" s="6" t="str">
        <f ca="1">IFERROR(__xludf.DUMMYFUNCTION("""COMPUTED_VALUE"""),"28-29 Nov 2020")</f>
        <v>28-29 Nov 2020</v>
      </c>
      <c r="J17" s="6">
        <f ca="1">IFERROR(__xludf.DUMMYFUNCTION("""COMPUTED_VALUE"""),1)</f>
        <v>1</v>
      </c>
      <c r="K17" s="8">
        <f ca="1">IFERROR(__xludf.DUMMYFUNCTION("""COMPUTED_VALUE"""),20000)</f>
        <v>20000</v>
      </c>
      <c r="L17" s="8">
        <f ca="1">IFERROR(__xludf.DUMMYFUNCTION("""COMPUTED_VALUE"""),229.042601923957)</f>
        <v>229.04260192395699</v>
      </c>
      <c r="M17" s="96"/>
      <c r="N17" s="6"/>
      <c r="O17" s="97">
        <f ca="1">IFERROR(__xludf.DUMMYFUNCTION("""COMPUTED_VALUE"""),44159)</f>
        <v>44159</v>
      </c>
      <c r="P17" s="6" t="str">
        <f ca="1">IFERROR(__xludf.DUMMYFUNCTION("""COMPUTED_VALUE"""),"CSTM_18314OF2FZU")</f>
        <v>CSTM_18314OF2FZU</v>
      </c>
      <c r="Q17" s="6"/>
      <c r="R17" s="6" t="str">
        <f ca="1">IFERROR(__xludf.DUMMYFUNCTION("""COMPUTED_VALUE"""),"Done. Good feedback.")</f>
        <v>Done. Good feedback.</v>
      </c>
      <c r="S17" s="6" t="str">
        <f ca="1">IFERROR(__xludf.DUMMYFUNCTION("""COMPUTED_VALUE"""),"Category")</f>
        <v>Category</v>
      </c>
      <c r="T17" s="6"/>
      <c r="U17" s="6"/>
      <c r="V17" s="141" t="str">
        <f ca="1">IFERROR(__xludf.DUMMYFUNCTION("""COMPUTED_VALUE"""),"https://simplilearn.lightning.force.com/lightning/r/Lead/00Q1000000RdbIzEAJ/view")</f>
        <v>https://simplilearn.lightning.force.com/lightning/r/Lead/00Q1000000RdbIzEAJ/view</v>
      </c>
      <c r="W17" s="6"/>
      <c r="X17" s="6"/>
      <c r="Y17" s="6"/>
      <c r="Z17" s="6"/>
      <c r="AA17" s="6"/>
      <c r="AB17" s="6"/>
      <c r="AC17" s="6"/>
      <c r="AD17" s="6"/>
      <c r="AE17" s="6"/>
      <c r="AF17" s="6"/>
      <c r="AG17" s="6"/>
      <c r="AH17" s="6"/>
      <c r="AI17" s="6"/>
      <c r="AJ17" s="6"/>
      <c r="AK17" s="6"/>
      <c r="AL17" s="6"/>
    </row>
    <row r="18" spans="1:38">
      <c r="A18" s="96">
        <f ca="1">IFERROR(__xludf.DUMMYFUNCTION("""COMPUTED_VALUE"""),44151)</f>
        <v>44151</v>
      </c>
      <c r="B18" s="6" t="str">
        <f ca="1">IFERROR(__xludf.DUMMYFUNCTION("""COMPUTED_VALUE"""),"Malti")</f>
        <v>Malti</v>
      </c>
      <c r="C18" s="6" t="str">
        <f ca="1">IFERROR(__xludf.DUMMYFUNCTION("""COMPUTED_VALUE"""),"malti1810@gmail.com")</f>
        <v>malti1810@gmail.com</v>
      </c>
      <c r="D18" s="6">
        <f ca="1">IFERROR(__xludf.DUMMYFUNCTION("""COMPUTED_VALUE"""),9878440820)</f>
        <v>9878440820</v>
      </c>
      <c r="E18" s="6" t="str">
        <f ca="1">IFERROR(__xludf.DUMMYFUNCTION("""COMPUTED_VALUE"""),"PSM")</f>
        <v>PSM</v>
      </c>
      <c r="F18" s="6" t="str">
        <f ca="1">IFERROR(__xludf.DUMMYFUNCTION("""COMPUTED_VALUE"""),"CSM")</f>
        <v>CSM</v>
      </c>
      <c r="G18" s="80">
        <f ca="1">IFERROR(__xludf.DUMMYFUNCTION("""COMPUTED_VALUE"""),44136)</f>
        <v>44136</v>
      </c>
      <c r="H18" s="6" t="str">
        <f ca="1">IFERROR(__xludf.DUMMYFUNCTION("""COMPUTED_VALUE"""),"Won")</f>
        <v>Won</v>
      </c>
      <c r="I18" s="6" t="str">
        <f ca="1">IFERROR(__xludf.DUMMYFUNCTION("""COMPUTED_VALUE"""),"5-6 Dec 2020")</f>
        <v>5-6 Dec 2020</v>
      </c>
      <c r="J18" s="6">
        <f ca="1">IFERROR(__xludf.DUMMYFUNCTION("""COMPUTED_VALUE"""),1)</f>
        <v>1</v>
      </c>
      <c r="K18" s="8">
        <f ca="1">IFERROR(__xludf.DUMMYFUNCTION("""COMPUTED_VALUE"""),20000)</f>
        <v>20000</v>
      </c>
      <c r="L18" s="8">
        <f ca="1">IFERROR(__xludf.DUMMYFUNCTION("""COMPUTED_VALUE"""),229.042601923957)</f>
        <v>229.04260192395699</v>
      </c>
      <c r="M18" s="96">
        <f ca="1">IFERROR(__xludf.DUMMYFUNCTION("""COMPUTED_VALUE"""),44160)</f>
        <v>44160</v>
      </c>
      <c r="N18" s="6"/>
      <c r="O18" s="97">
        <f ca="1">IFERROR(__xludf.DUMMYFUNCTION("""COMPUTED_VALUE"""),44160)</f>
        <v>44160</v>
      </c>
      <c r="P18" s="6" t="str">
        <f ca="1">IFERROR(__xludf.DUMMYFUNCTION("""COMPUTED_VALUE"""),"CSTM_9IXJ8DASM4Q")</f>
        <v>CSTM_9IXJ8DASM4Q</v>
      </c>
      <c r="Q18" s="6"/>
      <c r="R18" s="6" t="str">
        <f ca="1">IFERROR(__xludf.DUMMYFUNCTION("""COMPUTED_VALUE"""),"Done. Good feedback.")</f>
        <v>Done. Good feedback.</v>
      </c>
      <c r="S18" s="6" t="str">
        <f ca="1">IFERROR(__xludf.DUMMYFUNCTION("""COMPUTED_VALUE"""),"Category")</f>
        <v>Category</v>
      </c>
      <c r="T18" s="6"/>
      <c r="U18" s="6"/>
      <c r="V18" s="141" t="str">
        <f ca="1">IFERROR(__xludf.DUMMYFUNCTION("""COMPUTED_VALUE"""),"https://simplilearn.lightning.force.com/lightning/r/Lead/00Q0I000014pVdEUAU/view")</f>
        <v>https://simplilearn.lightning.force.com/lightning/r/Lead/00Q0I000014pVdEUAU/view</v>
      </c>
      <c r="W18" s="6"/>
      <c r="X18" s="6"/>
      <c r="Y18" s="6"/>
      <c r="Z18" s="6"/>
      <c r="AA18" s="6"/>
      <c r="AB18" s="6"/>
      <c r="AC18" s="6"/>
      <c r="AD18" s="6"/>
      <c r="AE18" s="6"/>
      <c r="AF18" s="6"/>
      <c r="AG18" s="6"/>
      <c r="AH18" s="6"/>
      <c r="AI18" s="6"/>
      <c r="AJ18" s="6"/>
      <c r="AK18" s="6"/>
      <c r="AL18" s="6"/>
    </row>
    <row r="19" spans="1:38">
      <c r="A19" s="96">
        <f ca="1">IFERROR(__xludf.DUMMYFUNCTION("""COMPUTED_VALUE"""),44163)</f>
        <v>44163</v>
      </c>
      <c r="B19" s="6" t="str">
        <f ca="1">IFERROR(__xludf.DUMMYFUNCTION("""COMPUTED_VALUE"""),"Abhinav Banerjee")</f>
        <v>Abhinav Banerjee</v>
      </c>
      <c r="C19" s="6" t="str">
        <f ca="1">IFERROR(__xludf.DUMMYFUNCTION("""COMPUTED_VALUE"""),"abhinavbanerjee@gmail.com")</f>
        <v>abhinavbanerjee@gmail.com</v>
      </c>
      <c r="D19" s="6">
        <f ca="1">IFERROR(__xludf.DUMMYFUNCTION("""COMPUTED_VALUE"""),9008534343)</f>
        <v>9008534343</v>
      </c>
      <c r="E19" s="6" t="str">
        <f ca="1">IFERROR(__xludf.DUMMYFUNCTION("""COMPUTED_VALUE"""),"Chat_triggered")</f>
        <v>Chat_triggered</v>
      </c>
      <c r="F19" s="6" t="str">
        <f ca="1">IFERROR(__xludf.DUMMYFUNCTION("""COMPUTED_VALUE"""),"CSM")</f>
        <v>CSM</v>
      </c>
      <c r="G19" s="80">
        <f ca="1">IFERROR(__xludf.DUMMYFUNCTION("""COMPUTED_VALUE"""),44136)</f>
        <v>44136</v>
      </c>
      <c r="H19" s="6" t="str">
        <f ca="1">IFERROR(__xludf.DUMMYFUNCTION("""COMPUTED_VALUE"""),"Won")</f>
        <v>Won</v>
      </c>
      <c r="I19" s="6" t="str">
        <f ca="1">IFERROR(__xludf.DUMMYFUNCTION("""COMPUTED_VALUE"""),"19-20 Dec 2020")</f>
        <v>19-20 Dec 2020</v>
      </c>
      <c r="J19" s="6">
        <f ca="1">IFERROR(__xludf.DUMMYFUNCTION("""COMPUTED_VALUE"""),1)</f>
        <v>1</v>
      </c>
      <c r="K19" s="8">
        <f ca="1">IFERROR(__xludf.DUMMYFUNCTION("""COMPUTED_VALUE"""),20000)</f>
        <v>20000</v>
      </c>
      <c r="L19" s="8">
        <f ca="1">IFERROR(__xludf.DUMMYFUNCTION("""COMPUTED_VALUE"""),229.042601923957)</f>
        <v>229.04260192395699</v>
      </c>
      <c r="M19" s="96">
        <f ca="1">IFERROR(__xludf.DUMMYFUNCTION("""COMPUTED_VALUE"""),44165)</f>
        <v>44165</v>
      </c>
      <c r="N19" s="6"/>
      <c r="O19" s="97">
        <f ca="1">IFERROR(__xludf.DUMMYFUNCTION("""COMPUTED_VALUE"""),44165)</f>
        <v>44165</v>
      </c>
      <c r="P19" s="6" t="str">
        <f ca="1">IFERROR(__xludf.DUMMYFUNCTION("""COMPUTED_VALUE"""),"CSTM_81VSDV0H3A8")</f>
        <v>CSTM_81VSDV0H3A8</v>
      </c>
      <c r="Q19" s="6"/>
      <c r="R19" s="6" t="str">
        <f ca="1">IFERROR(__xludf.DUMMYFUNCTION("""COMPUTED_VALUE"""),"Done. Good feedback.")</f>
        <v>Done. Good feedback.</v>
      </c>
      <c r="S19" s="6" t="str">
        <f ca="1">IFERROR(__xludf.DUMMYFUNCTION("""COMPUTED_VALUE"""),"Category")</f>
        <v>Category</v>
      </c>
      <c r="T19" s="6"/>
      <c r="U19" s="6"/>
      <c r="V19" s="141" t="str">
        <f ca="1">IFERROR(__xludf.DUMMYFUNCTION("""COMPUTED_VALUE"""),"https://simplilearn.my.salesforce.com/00Q0I000014q3Ip")</f>
        <v>https://simplilearn.my.salesforce.com/00Q0I000014q3Ip</v>
      </c>
      <c r="W19" s="6"/>
      <c r="X19" s="6"/>
      <c r="Y19" s="6"/>
      <c r="Z19" s="6"/>
      <c r="AA19" s="6"/>
      <c r="AB19" s="6"/>
      <c r="AC19" s="6"/>
      <c r="AD19" s="6"/>
      <c r="AE19" s="6"/>
      <c r="AF19" s="6"/>
      <c r="AG19" s="6"/>
      <c r="AH19" s="6"/>
      <c r="AI19" s="6"/>
      <c r="AJ19" s="6"/>
      <c r="AK19" s="6"/>
      <c r="AL19" s="6"/>
    </row>
    <row r="20" spans="1:38">
      <c r="A20" s="96">
        <f ca="1">IFERROR(__xludf.DUMMYFUNCTION("""COMPUTED_VALUE"""),44168)</f>
        <v>44168</v>
      </c>
      <c r="B20" s="6" t="str">
        <f ca="1">IFERROR(__xludf.DUMMYFUNCTION("""COMPUTED_VALUE"""),"Vikram Reddy")</f>
        <v>Vikram Reddy</v>
      </c>
      <c r="C20" s="6" t="str">
        <f ca="1">IFERROR(__xludf.DUMMYFUNCTION("""COMPUTED_VALUE"""),"vikramqa@gmail.com")</f>
        <v>vikramqa@gmail.com</v>
      </c>
      <c r="D20" s="6">
        <f ca="1">IFERROR(__xludf.DUMMYFUNCTION("""COMPUTED_VALUE"""),9901202044)</f>
        <v>9901202044</v>
      </c>
      <c r="E20" s="6" t="str">
        <f ca="1">IFERROR(__xludf.DUMMYFUNCTION("""COMPUTED_VALUE"""),"Query box")</f>
        <v>Query box</v>
      </c>
      <c r="F20" s="6" t="str">
        <f ca="1">IFERROR(__xludf.DUMMYFUNCTION("""COMPUTED_VALUE"""),"CSM")</f>
        <v>CSM</v>
      </c>
      <c r="G20" s="80">
        <f ca="1">IFERROR(__xludf.DUMMYFUNCTION("""COMPUTED_VALUE"""),44166)</f>
        <v>44166</v>
      </c>
      <c r="H20" s="6" t="str">
        <f ca="1">IFERROR(__xludf.DUMMYFUNCTION("""COMPUTED_VALUE"""),"Won")</f>
        <v>Won</v>
      </c>
      <c r="I20" s="6" t="str">
        <f ca="1">IFERROR(__xludf.DUMMYFUNCTION("""COMPUTED_VALUE"""),"19-20 Dec 2020")</f>
        <v>19-20 Dec 2020</v>
      </c>
      <c r="J20" s="6">
        <f ca="1">IFERROR(__xludf.DUMMYFUNCTION("""COMPUTED_VALUE"""),1)</f>
        <v>1</v>
      </c>
      <c r="K20" s="8">
        <f ca="1">IFERROR(__xludf.DUMMYFUNCTION("""COMPUTED_VALUE"""),19000)</f>
        <v>19000</v>
      </c>
      <c r="L20" s="8">
        <f ca="1">IFERROR(__xludf.DUMMYFUNCTION("""COMPUTED_VALUE"""),217.590471827759)</f>
        <v>217.59047182775899</v>
      </c>
      <c r="M20" s="96">
        <f ca="1">IFERROR(__xludf.DUMMYFUNCTION("""COMPUTED_VALUE"""),44168)</f>
        <v>44168</v>
      </c>
      <c r="N20" s="6"/>
      <c r="O20" s="97">
        <f ca="1">IFERROR(__xludf.DUMMYFUNCTION("""COMPUTED_VALUE"""),44168)</f>
        <v>44168</v>
      </c>
      <c r="P20" s="6" t="str">
        <f ca="1">IFERROR(__xludf.DUMMYFUNCTION("""COMPUTED_VALUE"""),"CSTM_CLCXERDSEXI")</f>
        <v>CSTM_CLCXERDSEXI</v>
      </c>
      <c r="Q20" s="6"/>
      <c r="R20" s="6" t="str">
        <f ca="1">IFERROR(__xludf.DUMMYFUNCTION("""COMPUTED_VALUE"""),"Done. Good feedback.")</f>
        <v>Done. Good feedback.</v>
      </c>
      <c r="S20" s="6" t="str">
        <f ca="1">IFERROR(__xludf.DUMMYFUNCTION("""COMPUTED_VALUE"""),"Category")</f>
        <v>Category</v>
      </c>
      <c r="T20" s="6"/>
      <c r="U20" s="6"/>
      <c r="V20" s="141" t="str">
        <f ca="1">IFERROR(__xludf.DUMMYFUNCTION("""COMPUTED_VALUE"""),"https://simplilearn.my.salesforce.com/00Q0I000010RCTb")</f>
        <v>https://simplilearn.my.salesforce.com/00Q0I000010RCTb</v>
      </c>
      <c r="W20" s="6"/>
      <c r="X20" s="6"/>
      <c r="Y20" s="6"/>
      <c r="Z20" s="6"/>
      <c r="AA20" s="6"/>
      <c r="AB20" s="6"/>
      <c r="AC20" s="6"/>
      <c r="AD20" s="6"/>
      <c r="AE20" s="6"/>
      <c r="AF20" s="6"/>
      <c r="AG20" s="6"/>
      <c r="AH20" s="6"/>
      <c r="AI20" s="6"/>
      <c r="AJ20" s="6"/>
      <c r="AK20" s="6"/>
      <c r="AL20" s="6"/>
    </row>
    <row r="21" spans="1:38">
      <c r="A21" s="96">
        <f ca="1">IFERROR(__xludf.DUMMYFUNCTION("""COMPUTED_VALUE"""),44168)</f>
        <v>44168</v>
      </c>
      <c r="B21" s="6" t="str">
        <f ca="1">IFERROR(__xludf.DUMMYFUNCTION("""COMPUTED_VALUE"""),"Nancy Dhruv")</f>
        <v>Nancy Dhruv</v>
      </c>
      <c r="C21" s="6" t="str">
        <f ca="1">IFERROR(__xludf.DUMMYFUNCTION("""COMPUTED_VALUE"""),"dhruvnancy@gmail.com")</f>
        <v>dhruvnancy@gmail.com</v>
      </c>
      <c r="D21" s="6">
        <f ca="1">IFERROR(__xludf.DUMMYFUNCTION("""COMPUTED_VALUE"""),8734849423)</f>
        <v>8734849423</v>
      </c>
      <c r="E21" s="6" t="str">
        <f ca="1">IFERROR(__xludf.DUMMYFUNCTION("""COMPUTED_VALUE"""),"Chat_triggered")</f>
        <v>Chat_triggered</v>
      </c>
      <c r="F21" s="6" t="str">
        <f ca="1">IFERROR(__xludf.DUMMYFUNCTION("""COMPUTED_VALUE"""),"CSM")</f>
        <v>CSM</v>
      </c>
      <c r="G21" s="80">
        <f ca="1">IFERROR(__xludf.DUMMYFUNCTION("""COMPUTED_VALUE"""),44166)</f>
        <v>44166</v>
      </c>
      <c r="H21" s="6" t="str">
        <f ca="1">IFERROR(__xludf.DUMMYFUNCTION("""COMPUTED_VALUE"""),"Won")</f>
        <v>Won</v>
      </c>
      <c r="I21" s="6" t="str">
        <f ca="1">IFERROR(__xludf.DUMMYFUNCTION("""COMPUTED_VALUE"""),"19-20 Dec 2020")</f>
        <v>19-20 Dec 2020</v>
      </c>
      <c r="J21" s="6">
        <f ca="1">IFERROR(__xludf.DUMMYFUNCTION("""COMPUTED_VALUE"""),1)</f>
        <v>1</v>
      </c>
      <c r="K21" s="8">
        <f ca="1">IFERROR(__xludf.DUMMYFUNCTION("""COMPUTED_VALUE"""),19000)</f>
        <v>19000</v>
      </c>
      <c r="L21" s="8">
        <f ca="1">IFERROR(__xludf.DUMMYFUNCTION("""COMPUTED_VALUE"""),217.590471827759)</f>
        <v>217.59047182775899</v>
      </c>
      <c r="M21" s="96">
        <f ca="1">IFERROR(__xludf.DUMMYFUNCTION("""COMPUTED_VALUE"""),44168)</f>
        <v>44168</v>
      </c>
      <c r="N21" s="6"/>
      <c r="O21" s="97">
        <f ca="1">IFERROR(__xludf.DUMMYFUNCTION("""COMPUTED_VALUE"""),44168)</f>
        <v>44168</v>
      </c>
      <c r="P21" s="6" t="str">
        <f ca="1">IFERROR(__xludf.DUMMYFUNCTION("""COMPUTED_VALUE"""),"CSTM_FHHVN1MAZDZ")</f>
        <v>CSTM_FHHVN1MAZDZ</v>
      </c>
      <c r="Q21" s="6"/>
      <c r="R21" s="6" t="str">
        <f ca="1">IFERROR(__xludf.DUMMYFUNCTION("""COMPUTED_VALUE"""),"Done. Asked for Fb.")</f>
        <v>Done. Asked for Fb.</v>
      </c>
      <c r="S21" s="6" t="str">
        <f ca="1">IFERROR(__xludf.DUMMYFUNCTION("""COMPUTED_VALUE"""),"Category")</f>
        <v>Category</v>
      </c>
      <c r="T21" s="6"/>
      <c r="U21" s="6"/>
      <c r="V21" s="141" t="str">
        <f ca="1">IFERROR(__xludf.DUMMYFUNCTION("""COMPUTED_VALUE"""),"https://simplilearn.my.salesforce.com/00Q1000000RPJqV")</f>
        <v>https://simplilearn.my.salesforce.com/00Q1000000RPJqV</v>
      </c>
      <c r="W21" s="6"/>
      <c r="X21" s="6"/>
      <c r="Y21" s="6"/>
      <c r="Z21" s="6"/>
      <c r="AA21" s="6"/>
      <c r="AB21" s="6"/>
      <c r="AC21" s="6"/>
      <c r="AD21" s="6"/>
      <c r="AE21" s="6"/>
      <c r="AF21" s="6"/>
      <c r="AG21" s="6"/>
      <c r="AH21" s="6"/>
      <c r="AI21" s="6"/>
      <c r="AJ21" s="6"/>
      <c r="AK21" s="6"/>
      <c r="AL21" s="6"/>
    </row>
    <row r="22" spans="1:38">
      <c r="A22" s="96">
        <f ca="1">IFERROR(__xludf.DUMMYFUNCTION("""COMPUTED_VALUE"""),44168)</f>
        <v>44168</v>
      </c>
      <c r="B22" s="6" t="str">
        <f ca="1">IFERROR(__xludf.DUMMYFUNCTION("""COMPUTED_VALUE"""),"Ravi Subramanya")</f>
        <v>Ravi Subramanya</v>
      </c>
      <c r="C22" s="6" t="str">
        <f ca="1">IFERROR(__xludf.DUMMYFUNCTION("""COMPUTED_VALUE"""),"rramasub@yahoo.com")</f>
        <v>rramasub@yahoo.com</v>
      </c>
      <c r="D22" s="6">
        <f ca="1">IFERROR(__xludf.DUMMYFUNCTION("""COMPUTED_VALUE"""),9845388557)</f>
        <v>9845388557</v>
      </c>
      <c r="E22" s="6" t="str">
        <f ca="1">IFERROR(__xludf.DUMMYFUNCTION("""COMPUTED_VALUE"""),"chat_initiated")</f>
        <v>chat_initiated</v>
      </c>
      <c r="F22" s="6" t="str">
        <f ca="1">IFERROR(__xludf.DUMMYFUNCTION("""COMPUTED_VALUE"""),"CSM")</f>
        <v>CSM</v>
      </c>
      <c r="G22" s="80">
        <f ca="1">IFERROR(__xludf.DUMMYFUNCTION("""COMPUTED_VALUE"""),44166)</f>
        <v>44166</v>
      </c>
      <c r="H22" s="6" t="str">
        <f ca="1">IFERROR(__xludf.DUMMYFUNCTION("""COMPUTED_VALUE"""),"Won")</f>
        <v>Won</v>
      </c>
      <c r="I22" s="6" t="str">
        <f ca="1">IFERROR(__xludf.DUMMYFUNCTION("""COMPUTED_VALUE"""),"5-6 Dec 2020")</f>
        <v>5-6 Dec 2020</v>
      </c>
      <c r="J22" s="6">
        <f ca="1">IFERROR(__xludf.DUMMYFUNCTION("""COMPUTED_VALUE"""),1)</f>
        <v>1</v>
      </c>
      <c r="K22" s="8">
        <f ca="1">IFERROR(__xludf.DUMMYFUNCTION("""COMPUTED_VALUE"""),20000)</f>
        <v>20000</v>
      </c>
      <c r="L22" s="8">
        <f ca="1">IFERROR(__xludf.DUMMYFUNCTION("""COMPUTED_VALUE"""),229.042601923957)</f>
        <v>229.04260192395699</v>
      </c>
      <c r="M22" s="96">
        <f ca="1">IFERROR(__xludf.DUMMYFUNCTION("""COMPUTED_VALUE"""),44169)</f>
        <v>44169</v>
      </c>
      <c r="N22" s="6"/>
      <c r="O22" s="97">
        <f ca="1">IFERROR(__xludf.DUMMYFUNCTION("""COMPUTED_VALUE"""),44169)</f>
        <v>44169</v>
      </c>
      <c r="P22" s="6" t="str">
        <f ca="1">IFERROR(__xludf.DUMMYFUNCTION("""COMPUTED_VALUE"""),"CSTM_BFK4I6W65EN")</f>
        <v>CSTM_BFK4I6W65EN</v>
      </c>
      <c r="Q22" s="6"/>
      <c r="R22" s="6" t="str">
        <f ca="1">IFERROR(__xludf.DUMMYFUNCTION("""COMPUTED_VALUE"""),"Done. Good feedback.")</f>
        <v>Done. Good feedback.</v>
      </c>
      <c r="S22" s="6" t="str">
        <f ca="1">IFERROR(__xludf.DUMMYFUNCTION("""COMPUTED_VALUE"""),"Category")</f>
        <v>Category</v>
      </c>
      <c r="T22" s="6"/>
      <c r="U22" s="6"/>
      <c r="V22" s="6"/>
      <c r="W22" s="6"/>
      <c r="X22" s="6"/>
      <c r="Y22" s="6"/>
      <c r="Z22" s="6"/>
      <c r="AA22" s="6"/>
      <c r="AB22" s="6"/>
      <c r="AC22" s="6"/>
      <c r="AD22" s="6"/>
      <c r="AE22" s="6"/>
      <c r="AF22" s="6"/>
      <c r="AG22" s="6"/>
      <c r="AH22" s="6"/>
      <c r="AI22" s="6"/>
      <c r="AJ22" s="6"/>
      <c r="AK22" s="6"/>
      <c r="AL22" s="6"/>
    </row>
    <row r="23" spans="1:38">
      <c r="A23" s="96">
        <f ca="1">IFERROR(__xludf.DUMMYFUNCTION("""COMPUTED_VALUE"""),44169)</f>
        <v>44169</v>
      </c>
      <c r="B23" s="6" t="str">
        <f ca="1">IFERROR(__xludf.DUMMYFUNCTION("""COMPUTED_VALUE"""),"Vishwas")</f>
        <v>Vishwas</v>
      </c>
      <c r="C23" s="6" t="str">
        <f ca="1">IFERROR(__xludf.DUMMYFUNCTION("""COMPUTED_VALUE"""),"thevishwas@gmail.com")</f>
        <v>thevishwas@gmail.com</v>
      </c>
      <c r="D23" s="6">
        <f ca="1">IFERROR(__xludf.DUMMYFUNCTION("""COMPUTED_VALUE"""),9888574266)</f>
        <v>9888574266</v>
      </c>
      <c r="E23" s="6" t="str">
        <f ca="1">IFERROR(__xludf.DUMMYFUNCTION("""COMPUTED_VALUE"""),"course preview")</f>
        <v>course preview</v>
      </c>
      <c r="F23" s="6" t="str">
        <f ca="1">IFERROR(__xludf.DUMMYFUNCTION("""COMPUTED_VALUE"""),"CSM")</f>
        <v>CSM</v>
      </c>
      <c r="G23" s="80">
        <f ca="1">IFERROR(__xludf.DUMMYFUNCTION("""COMPUTED_VALUE"""),44166)</f>
        <v>44166</v>
      </c>
      <c r="H23" s="6" t="str">
        <f ca="1">IFERROR(__xludf.DUMMYFUNCTION("""COMPUTED_VALUE"""),"Won")</f>
        <v>Won</v>
      </c>
      <c r="I23" s="6" t="str">
        <f ca="1">IFERROR(__xludf.DUMMYFUNCTION("""COMPUTED_VALUE"""),"5-6 Dec 2020")</f>
        <v>5-6 Dec 2020</v>
      </c>
      <c r="J23" s="6">
        <f ca="1">IFERROR(__xludf.DUMMYFUNCTION("""COMPUTED_VALUE"""),1)</f>
        <v>1</v>
      </c>
      <c r="K23" s="8">
        <f ca="1">IFERROR(__xludf.DUMMYFUNCTION("""COMPUTED_VALUE"""),21000)</f>
        <v>21000</v>
      </c>
      <c r="L23" s="8">
        <f ca="1">IFERROR(__xludf.DUMMYFUNCTION("""COMPUTED_VALUE"""),240.494732020155)</f>
        <v>240.494732020155</v>
      </c>
      <c r="M23" s="96">
        <f ca="1">IFERROR(__xludf.DUMMYFUNCTION("""COMPUTED_VALUE"""),44169)</f>
        <v>44169</v>
      </c>
      <c r="N23" s="6"/>
      <c r="O23" s="97">
        <f ca="1">IFERROR(__xludf.DUMMYFUNCTION("""COMPUTED_VALUE"""),44169)</f>
        <v>44169</v>
      </c>
      <c r="P23" s="6" t="str">
        <f ca="1">IFERROR(__xludf.DUMMYFUNCTION("""COMPUTED_VALUE"""),"CSTM_7E00G52E4H7")</f>
        <v>CSTM_7E00G52E4H7</v>
      </c>
      <c r="Q23" s="6"/>
      <c r="R23" s="6" t="str">
        <f ca="1">IFERROR(__xludf.DUMMYFUNCTION("""COMPUTED_VALUE"""),"Done. Good feedback.")</f>
        <v>Done. Good feedback.</v>
      </c>
      <c r="S23" s="6" t="str">
        <f ca="1">IFERROR(__xludf.DUMMYFUNCTION("""COMPUTED_VALUE"""),"Category")</f>
        <v>Category</v>
      </c>
      <c r="T23" s="6"/>
      <c r="U23" s="6"/>
      <c r="V23" s="6"/>
      <c r="W23" s="6"/>
      <c r="X23" s="6"/>
      <c r="Y23" s="6"/>
      <c r="Z23" s="6"/>
      <c r="AA23" s="6"/>
      <c r="AB23" s="6"/>
      <c r="AC23" s="6"/>
      <c r="AD23" s="6"/>
      <c r="AE23" s="6"/>
      <c r="AF23" s="6"/>
      <c r="AG23" s="6"/>
      <c r="AH23" s="6"/>
      <c r="AI23" s="6"/>
      <c r="AJ23" s="6"/>
      <c r="AK23" s="6"/>
      <c r="AL23" s="6"/>
    </row>
    <row r="24" spans="1:38">
      <c r="A24" s="96">
        <f ca="1">IFERROR(__xludf.DUMMYFUNCTION("""COMPUTED_VALUE"""),44170)</f>
        <v>44170</v>
      </c>
      <c r="B24" s="6" t="str">
        <f ca="1">IFERROR(__xludf.DUMMYFUNCTION("""COMPUTED_VALUE"""),"Vaishali B")</f>
        <v>Vaishali B</v>
      </c>
      <c r="C24" s="6" t="str">
        <f ca="1">IFERROR(__xludf.DUMMYFUNCTION("""COMPUTED_VALUE"""),"vaishali.bl@gmail.com")</f>
        <v>vaishali.bl@gmail.com</v>
      </c>
      <c r="D24" s="6">
        <f ca="1">IFERROR(__xludf.DUMMYFUNCTION("""COMPUTED_VALUE"""),9972523417)</f>
        <v>9972523417</v>
      </c>
      <c r="E24" s="6" t="str">
        <f ca="1">IFERROR(__xludf.DUMMYFUNCTION("""COMPUTED_VALUE"""),"Chat_triggered")</f>
        <v>Chat_triggered</v>
      </c>
      <c r="F24" s="6" t="str">
        <f ca="1">IFERROR(__xludf.DUMMYFUNCTION("""COMPUTED_VALUE"""),"CSPO")</f>
        <v>CSPO</v>
      </c>
      <c r="G24" s="80"/>
      <c r="H24" s="6" t="str">
        <f ca="1">IFERROR(__xludf.DUMMYFUNCTION("""COMPUTED_VALUE"""),"Lost")</f>
        <v>Lost</v>
      </c>
      <c r="I24" s="6" t="str">
        <f ca="1">IFERROR(__xludf.DUMMYFUNCTION("""COMPUTED_VALUE"""),"Dec 2020")</f>
        <v>Dec 2020</v>
      </c>
      <c r="J24" s="6">
        <f ca="1">IFERROR(__xludf.DUMMYFUNCTION("""COMPUTED_VALUE"""),1)</f>
        <v>1</v>
      </c>
      <c r="K24" s="8">
        <f ca="1">IFERROR(__xludf.DUMMYFUNCTION("""COMPUTED_VALUE"""),21000)</f>
        <v>21000</v>
      </c>
      <c r="L24" s="8">
        <f ca="1">IFERROR(__xludf.DUMMYFUNCTION("""COMPUTED_VALUE"""),240.494732020155)</f>
        <v>240.494732020155</v>
      </c>
      <c r="M24" s="96">
        <f ca="1">IFERROR(__xludf.DUMMYFUNCTION("""COMPUTED_VALUE"""),44172)</f>
        <v>44172</v>
      </c>
      <c r="N24" s="6"/>
      <c r="O24" s="97"/>
      <c r="P24" s="6"/>
      <c r="Q24" s="6"/>
      <c r="R24" s="6"/>
      <c r="S24" s="6" t="str">
        <f ca="1">IFERROR(__xludf.DUMMYFUNCTION("""COMPUTED_VALUE"""),"Category")</f>
        <v>Category</v>
      </c>
      <c r="T24" s="6"/>
      <c r="U24" s="6"/>
      <c r="V24" s="6"/>
      <c r="W24" s="6"/>
      <c r="X24" s="6"/>
      <c r="Y24" s="6"/>
      <c r="Z24" s="6"/>
      <c r="AA24" s="6"/>
      <c r="AB24" s="6"/>
      <c r="AC24" s="6"/>
      <c r="AD24" s="6"/>
      <c r="AE24" s="6"/>
      <c r="AF24" s="6"/>
      <c r="AG24" s="6"/>
      <c r="AH24" s="6"/>
      <c r="AI24" s="6"/>
      <c r="AJ24" s="6"/>
      <c r="AK24" s="6"/>
      <c r="AL24" s="6"/>
    </row>
    <row r="25" spans="1:38">
      <c r="A25" s="96">
        <f ca="1">IFERROR(__xludf.DUMMYFUNCTION("""COMPUTED_VALUE"""),44154)</f>
        <v>44154</v>
      </c>
      <c r="B25" s="6" t="str">
        <f ca="1">IFERROR(__xludf.DUMMYFUNCTION("""COMPUTED_VALUE"""),"Swapnesh")</f>
        <v>Swapnesh</v>
      </c>
      <c r="C25" s="6" t="str">
        <f ca="1">IFERROR(__xludf.DUMMYFUNCTION("""COMPUTED_VALUE"""),"swapnesh300@gmail.com")</f>
        <v>swapnesh300@gmail.com</v>
      </c>
      <c r="D25" s="6">
        <f ca="1">IFERROR(__xludf.DUMMYFUNCTION("""COMPUTED_VALUE"""),8600135907)</f>
        <v>8600135907</v>
      </c>
      <c r="E25" s="6" t="str">
        <f ca="1">IFERROR(__xludf.DUMMYFUNCTION("""COMPUTED_VALUE"""),"Reference")</f>
        <v>Reference</v>
      </c>
      <c r="F25" s="6" t="str">
        <f ca="1">IFERROR(__xludf.DUMMYFUNCTION("""COMPUTED_VALUE"""),"CSM")</f>
        <v>CSM</v>
      </c>
      <c r="G25" s="80">
        <f ca="1">IFERROR(__xludf.DUMMYFUNCTION("""COMPUTED_VALUE"""),44166)</f>
        <v>44166</v>
      </c>
      <c r="H25" s="6" t="str">
        <f ca="1">IFERROR(__xludf.DUMMYFUNCTION("""COMPUTED_VALUE"""),"Won")</f>
        <v>Won</v>
      </c>
      <c r="I25" s="6" t="str">
        <f ca="1">IFERROR(__xludf.DUMMYFUNCTION("""COMPUTED_VALUE"""),"9-10 Jan 2021")</f>
        <v>9-10 Jan 2021</v>
      </c>
      <c r="J25" s="6">
        <f ca="1">IFERROR(__xludf.DUMMYFUNCTION("""COMPUTED_VALUE"""),1)</f>
        <v>1</v>
      </c>
      <c r="K25" s="8">
        <f ca="1">IFERROR(__xludf.DUMMYFUNCTION("""COMPUTED_VALUE"""),19000)</f>
        <v>19000</v>
      </c>
      <c r="L25" s="8">
        <f ca="1">IFERROR(__xludf.DUMMYFUNCTION("""COMPUTED_VALUE"""),217.590471827759)</f>
        <v>217.59047182775899</v>
      </c>
      <c r="M25" s="96">
        <f ca="1">IFERROR(__xludf.DUMMYFUNCTION("""COMPUTED_VALUE"""),44170)</f>
        <v>44170</v>
      </c>
      <c r="N25" s="6"/>
      <c r="O25" s="97">
        <f ca="1">IFERROR(__xludf.DUMMYFUNCTION("""COMPUTED_VALUE"""),44170)</f>
        <v>44170</v>
      </c>
      <c r="P25" s="6" t="str">
        <f ca="1">IFERROR(__xludf.DUMMYFUNCTION("""COMPUTED_VALUE"""),"CSTM_DWHVHWLDHJ3")</f>
        <v>CSTM_DWHVHWLDHJ3</v>
      </c>
      <c r="Q25" s="6" t="str">
        <f ca="1">IFERROR(__xludf.DUMMYFUNCTION("""COMPUTED_VALUE"""),"By Chetna chetna.bharekar@gmail.com")</f>
        <v>By Chetna chetna.bharekar@gmail.com</v>
      </c>
      <c r="R25" s="6" t="str">
        <f ca="1">IFERROR(__xludf.DUMMYFUNCTION("""COMPUTED_VALUE"""),"Done. Good feedback.")</f>
        <v>Done. Good feedback.</v>
      </c>
      <c r="S25" s="6" t="str">
        <f ca="1">IFERROR(__xludf.DUMMYFUNCTION("""COMPUTED_VALUE"""),"Category")</f>
        <v>Category</v>
      </c>
      <c r="T25" s="6" t="str">
        <f ca="1">IFERROR(__xludf.DUMMYFUNCTION("""COMPUTED_VALUE"""),"Sent on 1 Jan 2021.")</f>
        <v>Sent on 1 Jan 2021.</v>
      </c>
      <c r="U25" s="6"/>
      <c r="V25" s="6"/>
      <c r="W25" s="6"/>
      <c r="X25" s="6"/>
      <c r="Y25" s="6"/>
      <c r="Z25" s="6"/>
      <c r="AA25" s="6"/>
      <c r="AB25" s="6"/>
      <c r="AC25" s="6"/>
      <c r="AD25" s="6"/>
      <c r="AE25" s="6"/>
      <c r="AF25" s="6"/>
      <c r="AG25" s="6"/>
      <c r="AH25" s="6"/>
      <c r="AI25" s="6"/>
      <c r="AJ25" s="6"/>
      <c r="AK25" s="6"/>
      <c r="AL25" s="6"/>
    </row>
    <row r="26" spans="1:38">
      <c r="A26" s="96">
        <f ca="1">IFERROR(__xludf.DUMMYFUNCTION("""COMPUTED_VALUE"""),44165)</f>
        <v>44165</v>
      </c>
      <c r="B26" s="6" t="str">
        <f ca="1">IFERROR(__xludf.DUMMYFUNCTION("""COMPUTED_VALUE"""),"Pranjali Pore")</f>
        <v>Pranjali Pore</v>
      </c>
      <c r="C26" s="6" t="str">
        <f ca="1">IFERROR(__xludf.DUMMYFUNCTION("""COMPUTED_VALUE"""),"pranjali.pore@gmail.com")</f>
        <v>pranjali.pore@gmail.com</v>
      </c>
      <c r="D26" s="6">
        <f ca="1">IFERROR(__xludf.DUMMYFUNCTION("""COMPUTED_VALUE"""),9822458395)</f>
        <v>9822458395</v>
      </c>
      <c r="E26" s="6" t="str">
        <f ca="1">IFERROR(__xludf.DUMMYFUNCTION("""COMPUTED_VALUE"""),"Reference")</f>
        <v>Reference</v>
      </c>
      <c r="F26" s="6" t="str">
        <f ca="1">IFERROR(__xludf.DUMMYFUNCTION("""COMPUTED_VALUE"""),"CSM")</f>
        <v>CSM</v>
      </c>
      <c r="G26" s="80">
        <f ca="1">IFERROR(__xludf.DUMMYFUNCTION("""COMPUTED_VALUE"""),44166)</f>
        <v>44166</v>
      </c>
      <c r="H26" s="6" t="str">
        <f ca="1">IFERROR(__xludf.DUMMYFUNCTION("""COMPUTED_VALUE"""),"Won")</f>
        <v>Won</v>
      </c>
      <c r="I26" s="6" t="str">
        <f ca="1">IFERROR(__xludf.DUMMYFUNCTION("""COMPUTED_VALUE"""),"9-10 Jan 2021")</f>
        <v>9-10 Jan 2021</v>
      </c>
      <c r="J26" s="6">
        <f ca="1">IFERROR(__xludf.DUMMYFUNCTION("""COMPUTED_VALUE"""),1)</f>
        <v>1</v>
      </c>
      <c r="K26" s="8">
        <f ca="1">IFERROR(__xludf.DUMMYFUNCTION("""COMPUTED_VALUE"""),19000)</f>
        <v>19000</v>
      </c>
      <c r="L26" s="8">
        <f ca="1">IFERROR(__xludf.DUMMYFUNCTION("""COMPUTED_VALUE"""),217.590471827759)</f>
        <v>217.59047182775899</v>
      </c>
      <c r="M26" s="96">
        <f ca="1">IFERROR(__xludf.DUMMYFUNCTION("""COMPUTED_VALUE"""),44170)</f>
        <v>44170</v>
      </c>
      <c r="N26" s="6"/>
      <c r="O26" s="97">
        <f ca="1">IFERROR(__xludf.DUMMYFUNCTION("""COMPUTED_VALUE"""),44170)</f>
        <v>44170</v>
      </c>
      <c r="P26" s="6" t="str">
        <f ca="1">IFERROR(__xludf.DUMMYFUNCTION("""COMPUTED_VALUE"""),"CSTM_53IXUAX8TTX")</f>
        <v>CSTM_53IXUAX8TTX</v>
      </c>
      <c r="Q26" s="6" t="str">
        <f ca="1">IFERROR(__xludf.DUMMYFUNCTION("""COMPUTED_VALUE"""),"By Swapnesh swapnesh300@gmail.com")</f>
        <v>By Swapnesh swapnesh300@gmail.com</v>
      </c>
      <c r="R26" s="6" t="str">
        <f ca="1">IFERROR(__xludf.DUMMYFUNCTION("""COMPUTED_VALUE"""),"Done. Good feedback.")</f>
        <v>Done. Good feedback.</v>
      </c>
      <c r="S26" s="6" t="str">
        <f ca="1">IFERROR(__xludf.DUMMYFUNCTION("""COMPUTED_VALUE"""),"Category")</f>
        <v>Category</v>
      </c>
      <c r="T26" s="6" t="str">
        <f ca="1">IFERROR(__xludf.DUMMYFUNCTION("""COMPUTED_VALUE"""),"Sent on 1 Jan 2021.")</f>
        <v>Sent on 1 Jan 2021.</v>
      </c>
      <c r="U26" s="6"/>
      <c r="V26" s="6"/>
      <c r="W26" s="6"/>
      <c r="X26" s="6"/>
      <c r="Y26" s="6"/>
      <c r="Z26" s="6"/>
      <c r="AA26" s="6"/>
      <c r="AB26" s="6"/>
      <c r="AC26" s="6"/>
      <c r="AD26" s="6"/>
      <c r="AE26" s="6"/>
      <c r="AF26" s="6"/>
      <c r="AG26" s="6"/>
      <c r="AH26" s="6"/>
      <c r="AI26" s="6"/>
      <c r="AJ26" s="6"/>
      <c r="AK26" s="6"/>
      <c r="AL26" s="6"/>
    </row>
    <row r="27" spans="1:38">
      <c r="A27" s="96">
        <f ca="1">IFERROR(__xludf.DUMMYFUNCTION("""COMPUTED_VALUE"""),44166)</f>
        <v>44166</v>
      </c>
      <c r="B27" s="6" t="str">
        <f ca="1">IFERROR(__xludf.DUMMYFUNCTION("""COMPUTED_VALUE"""),"Shailendra")</f>
        <v>Shailendra</v>
      </c>
      <c r="C27" s="6" t="str">
        <f ca="1">IFERROR(__xludf.DUMMYFUNCTION("""COMPUTED_VALUE"""),"shail.rangari@gmail.com")</f>
        <v>shail.rangari@gmail.com</v>
      </c>
      <c r="D27" s="6">
        <f ca="1">IFERROR(__xludf.DUMMYFUNCTION("""COMPUTED_VALUE"""),9970104072)</f>
        <v>9970104072</v>
      </c>
      <c r="E27" s="6" t="str">
        <f ca="1">IFERROR(__xludf.DUMMYFUNCTION("""COMPUTED_VALUE"""),"Chat_triggered")</f>
        <v>Chat_triggered</v>
      </c>
      <c r="F27" s="6" t="str">
        <f ca="1">IFERROR(__xludf.DUMMYFUNCTION("""COMPUTED_VALUE"""),"CSM")</f>
        <v>CSM</v>
      </c>
      <c r="G27" s="80"/>
      <c r="H27" s="6" t="str">
        <f ca="1">IFERROR(__xludf.DUMMYFUNCTION("""COMPUTED_VALUE"""),"Lost")</f>
        <v>Lost</v>
      </c>
      <c r="I27" s="6" t="str">
        <f ca="1">IFERROR(__xludf.DUMMYFUNCTION("""COMPUTED_VALUE"""),"Dec 2020")</f>
        <v>Dec 2020</v>
      </c>
      <c r="J27" s="6">
        <f ca="1">IFERROR(__xludf.DUMMYFUNCTION("""COMPUTED_VALUE"""),1)</f>
        <v>1</v>
      </c>
      <c r="K27" s="8">
        <f ca="1">IFERROR(__xludf.DUMMYFUNCTION("""COMPUTED_VALUE"""),20000)</f>
        <v>20000</v>
      </c>
      <c r="L27" s="8">
        <f ca="1">IFERROR(__xludf.DUMMYFUNCTION("""COMPUTED_VALUE"""),229.042601923957)</f>
        <v>229.04260192395699</v>
      </c>
      <c r="M27" s="96">
        <f ca="1">IFERROR(__xludf.DUMMYFUNCTION("""COMPUTED_VALUE"""),44175)</f>
        <v>44175</v>
      </c>
      <c r="N27" s="6"/>
      <c r="O27" s="97"/>
      <c r="P27" s="6"/>
      <c r="Q27" s="6"/>
      <c r="R27" s="6"/>
      <c r="S27" s="6" t="str">
        <f ca="1">IFERROR(__xludf.DUMMYFUNCTION("""COMPUTED_VALUE"""),"Category")</f>
        <v>Category</v>
      </c>
      <c r="T27" s="6"/>
      <c r="U27" s="6"/>
      <c r="V27" s="6"/>
      <c r="W27" s="6"/>
      <c r="X27" s="6"/>
      <c r="Y27" s="6"/>
      <c r="Z27" s="6"/>
      <c r="AA27" s="6"/>
      <c r="AB27" s="6"/>
      <c r="AC27" s="6"/>
      <c r="AD27" s="6"/>
      <c r="AE27" s="6"/>
      <c r="AF27" s="6"/>
      <c r="AG27" s="6"/>
      <c r="AH27" s="6"/>
      <c r="AI27" s="6"/>
      <c r="AJ27" s="6"/>
      <c r="AK27" s="6"/>
      <c r="AL27" s="6"/>
    </row>
    <row r="28" spans="1:38">
      <c r="A28" s="96">
        <f ca="1">IFERROR(__xludf.DUMMYFUNCTION("""COMPUTED_VALUE"""),44151)</f>
        <v>44151</v>
      </c>
      <c r="B28" s="6" t="str">
        <f ca="1">IFERROR(__xludf.DUMMYFUNCTION("""COMPUTED_VALUE"""),"Surender Rana")</f>
        <v>Surender Rana</v>
      </c>
      <c r="C28" s="6" t="str">
        <f ca="1">IFERROR(__xludf.DUMMYFUNCTION("""COMPUTED_VALUE"""),"surender_rana2002@yahoo.com")</f>
        <v>surender_rana2002@yahoo.com</v>
      </c>
      <c r="D28" s="6">
        <f ca="1">IFERROR(__xludf.DUMMYFUNCTION("""COMPUTED_VALUE"""),9870114573)</f>
        <v>9870114573</v>
      </c>
      <c r="E28" s="6" t="str">
        <f ca="1">IFERROR(__xludf.DUMMYFUNCTION("""COMPUTED_VALUE"""),"Course agenda")</f>
        <v>Course agenda</v>
      </c>
      <c r="F28" s="6" t="str">
        <f ca="1">IFERROR(__xludf.DUMMYFUNCTION("""COMPUTED_VALUE"""),"CSM")</f>
        <v>CSM</v>
      </c>
      <c r="G28" s="80">
        <f ca="1">IFERROR(__xludf.DUMMYFUNCTION("""COMPUTED_VALUE"""),44166)</f>
        <v>44166</v>
      </c>
      <c r="H28" s="6" t="str">
        <f ca="1">IFERROR(__xludf.DUMMYFUNCTION("""COMPUTED_VALUE"""),"Won")</f>
        <v>Won</v>
      </c>
      <c r="I28" s="6" t="str">
        <f ca="1">IFERROR(__xludf.DUMMYFUNCTION("""COMPUTED_VALUE"""),"19-20 Dec 2020")</f>
        <v>19-20 Dec 2020</v>
      </c>
      <c r="J28" s="6">
        <f ca="1">IFERROR(__xludf.DUMMYFUNCTION("""COMPUTED_VALUE"""),1)</f>
        <v>1</v>
      </c>
      <c r="K28" s="8">
        <f ca="1">IFERROR(__xludf.DUMMYFUNCTION("""COMPUTED_VALUE"""),20000)</f>
        <v>20000</v>
      </c>
      <c r="L28" s="8">
        <f ca="1">IFERROR(__xludf.DUMMYFUNCTION("""COMPUTED_VALUE"""),229.042601923957)</f>
        <v>229.04260192395699</v>
      </c>
      <c r="M28" s="96">
        <f ca="1">IFERROR(__xludf.DUMMYFUNCTION("""COMPUTED_VALUE"""),44170)</f>
        <v>44170</v>
      </c>
      <c r="N28" s="6"/>
      <c r="O28" s="97">
        <f ca="1">IFERROR(__xludf.DUMMYFUNCTION("""COMPUTED_VALUE"""),44172)</f>
        <v>44172</v>
      </c>
      <c r="P28" s="6" t="str">
        <f ca="1">IFERROR(__xludf.DUMMYFUNCTION("""COMPUTED_VALUE"""),"CSTM_I07JOKYPA5J")</f>
        <v>CSTM_I07JOKYPA5J</v>
      </c>
      <c r="Q28" s="6"/>
      <c r="R28" s="6" t="str">
        <f ca="1">IFERROR(__xludf.DUMMYFUNCTION("""COMPUTED_VALUE"""),"Pending")</f>
        <v>Pending</v>
      </c>
      <c r="S28" s="6" t="str">
        <f ca="1">IFERROR(__xludf.DUMMYFUNCTION("""COMPUTED_VALUE"""),"Category")</f>
        <v>Category</v>
      </c>
      <c r="T28" s="6"/>
      <c r="U28" s="6"/>
      <c r="V28" s="6"/>
      <c r="W28" s="6"/>
      <c r="X28" s="6"/>
      <c r="Y28" s="6"/>
      <c r="Z28" s="6"/>
      <c r="AA28" s="6"/>
      <c r="AB28" s="6"/>
      <c r="AC28" s="6"/>
      <c r="AD28" s="6"/>
      <c r="AE28" s="6"/>
      <c r="AF28" s="6"/>
      <c r="AG28" s="6"/>
      <c r="AH28" s="6"/>
      <c r="AI28" s="6"/>
      <c r="AJ28" s="6"/>
      <c r="AK28" s="6"/>
      <c r="AL28" s="6"/>
    </row>
    <row r="29" spans="1:38">
      <c r="A29" s="96">
        <f ca="1">IFERROR(__xludf.DUMMYFUNCTION("""COMPUTED_VALUE"""),44167)</f>
        <v>44167</v>
      </c>
      <c r="B29" s="6" t="str">
        <f ca="1">IFERROR(__xludf.DUMMYFUNCTION("""COMPUTED_VALUE"""),"Manisha")</f>
        <v>Manisha</v>
      </c>
      <c r="C29" s="6" t="str">
        <f ca="1">IFERROR(__xludf.DUMMYFUNCTION("""COMPUTED_VALUE"""),"manisha10singh@gmail.com")</f>
        <v>manisha10singh@gmail.com</v>
      </c>
      <c r="D29" s="6">
        <f ca="1">IFERROR(__xludf.DUMMYFUNCTION("""COMPUTED_VALUE"""),9711972284)</f>
        <v>9711972284</v>
      </c>
      <c r="E29" s="6" t="str">
        <f ca="1">IFERROR(__xludf.DUMMYFUNCTION("""COMPUTED_VALUE"""),"Chat_triggered")</f>
        <v>Chat_triggered</v>
      </c>
      <c r="F29" s="6" t="str">
        <f ca="1">IFERROR(__xludf.DUMMYFUNCTION("""COMPUTED_VALUE"""),"CSM")</f>
        <v>CSM</v>
      </c>
      <c r="G29" s="80">
        <f ca="1">IFERROR(__xludf.DUMMYFUNCTION("""COMPUTED_VALUE"""),44166)</f>
        <v>44166</v>
      </c>
      <c r="H29" s="6" t="str">
        <f ca="1">IFERROR(__xludf.DUMMYFUNCTION("""COMPUTED_VALUE"""),"Won")</f>
        <v>Won</v>
      </c>
      <c r="I29" s="6" t="str">
        <f ca="1">IFERROR(__xludf.DUMMYFUNCTION("""COMPUTED_VALUE"""),"12-13 Dec 2020")</f>
        <v>12-13 Dec 2020</v>
      </c>
      <c r="J29" s="6">
        <f ca="1">IFERROR(__xludf.DUMMYFUNCTION("""COMPUTED_VALUE"""),1)</f>
        <v>1</v>
      </c>
      <c r="K29" s="8">
        <f ca="1">IFERROR(__xludf.DUMMYFUNCTION("""COMPUTED_VALUE"""),20000)</f>
        <v>20000</v>
      </c>
      <c r="L29" s="8">
        <f ca="1">IFERROR(__xludf.DUMMYFUNCTION("""COMPUTED_VALUE"""),229.042601923957)</f>
        <v>229.04260192395699</v>
      </c>
      <c r="M29" s="96"/>
      <c r="N29" s="6"/>
      <c r="O29" s="97">
        <f ca="1">IFERROR(__xludf.DUMMYFUNCTION("""COMPUTED_VALUE"""),44172)</f>
        <v>44172</v>
      </c>
      <c r="P29" s="6" t="str">
        <f ca="1">IFERROR(__xludf.DUMMYFUNCTION("""COMPUTED_VALUE"""),"CSTM_FDSL3VRURA6")</f>
        <v>CSTM_FDSL3VRURA6</v>
      </c>
      <c r="Q29" s="6"/>
      <c r="R29" s="6" t="str">
        <f ca="1">IFERROR(__xludf.DUMMYFUNCTION("""COMPUTED_VALUE"""),"Done. Good feedback.")</f>
        <v>Done. Good feedback.</v>
      </c>
      <c r="S29" s="6" t="str">
        <f ca="1">IFERROR(__xludf.DUMMYFUNCTION("""COMPUTED_VALUE"""),"Category")</f>
        <v>Category</v>
      </c>
      <c r="T29" s="6"/>
      <c r="U29" s="6"/>
      <c r="V29" s="6"/>
      <c r="W29" s="6"/>
      <c r="X29" s="6"/>
      <c r="Y29" s="6"/>
      <c r="Z29" s="6"/>
      <c r="AA29" s="6"/>
      <c r="AB29" s="6"/>
      <c r="AC29" s="6"/>
      <c r="AD29" s="6"/>
      <c r="AE29" s="6"/>
      <c r="AF29" s="6"/>
      <c r="AG29" s="6"/>
      <c r="AH29" s="6"/>
      <c r="AI29" s="6"/>
      <c r="AJ29" s="6"/>
      <c r="AK29" s="6"/>
      <c r="AL29" s="6"/>
    </row>
    <row r="30" spans="1:38">
      <c r="A30" s="96">
        <f ca="1">IFERROR(__xludf.DUMMYFUNCTION("""COMPUTED_VALUE"""),44152)</f>
        <v>44152</v>
      </c>
      <c r="B30" s="6" t="str">
        <f ca="1">IFERROR(__xludf.DUMMYFUNCTION("""COMPUTED_VALUE"""),"Shivanee")</f>
        <v>Shivanee</v>
      </c>
      <c r="C30" s="6" t="str">
        <f ca="1">IFERROR(__xludf.DUMMYFUNCTION("""COMPUTED_VALUE"""),"shivanee.salvi@neptune-ubi.com")</f>
        <v>shivanee.salvi@neptune-ubi.com</v>
      </c>
      <c r="D30" s="6">
        <f ca="1">IFERROR(__xludf.DUMMYFUNCTION("""COMPUTED_VALUE"""),8779493115)</f>
        <v>8779493115</v>
      </c>
      <c r="E30" s="6"/>
      <c r="F30" s="6" t="str">
        <f ca="1">IFERROR(__xludf.DUMMYFUNCTION("""COMPUTED_VALUE"""),"CSM")</f>
        <v>CSM</v>
      </c>
      <c r="G30" s="80">
        <f ca="1">IFERROR(__xludf.DUMMYFUNCTION("""COMPUTED_VALUE"""),44166)</f>
        <v>44166</v>
      </c>
      <c r="H30" s="6" t="str">
        <f ca="1">IFERROR(__xludf.DUMMYFUNCTION("""COMPUTED_VALUE"""),"Referral")</f>
        <v>Referral</v>
      </c>
      <c r="I30" s="6" t="str">
        <f ca="1">IFERROR(__xludf.DUMMYFUNCTION("""COMPUTED_VALUE"""),"2nd week of Dec")</f>
        <v>2nd week of Dec</v>
      </c>
      <c r="J30" s="6">
        <f ca="1">IFERROR(__xludf.DUMMYFUNCTION("""COMPUTED_VALUE"""),2)</f>
        <v>2</v>
      </c>
      <c r="K30" s="8">
        <f ca="1">IFERROR(__xludf.DUMMYFUNCTION("""COMPUTED_VALUE"""),21000)</f>
        <v>21000</v>
      </c>
      <c r="L30" s="8">
        <f ca="1">IFERROR(__xludf.DUMMYFUNCTION("""COMPUTED_VALUE"""),240.494732020155)</f>
        <v>240.494732020155</v>
      </c>
      <c r="M30" s="96">
        <f ca="1">IFERROR(__xludf.DUMMYFUNCTION("""COMPUTED_VALUE"""),44175)</f>
        <v>44175</v>
      </c>
      <c r="N30" s="6"/>
      <c r="O30" s="97">
        <f ca="1">IFERROR(__xludf.DUMMYFUNCTION("""COMPUTED_VALUE"""),44174)</f>
        <v>44174</v>
      </c>
      <c r="P30" s="6"/>
      <c r="Q30" s="6"/>
      <c r="R30" s="6"/>
      <c r="S30" s="6" t="str">
        <f ca="1">IFERROR(__xludf.DUMMYFUNCTION("""COMPUTED_VALUE"""),"Category")</f>
        <v>Category</v>
      </c>
      <c r="T30" s="6"/>
      <c r="U30" s="6"/>
      <c r="V30" s="6"/>
      <c r="W30" s="6"/>
      <c r="X30" s="6"/>
      <c r="Y30" s="6"/>
      <c r="Z30" s="6"/>
      <c r="AA30" s="6"/>
      <c r="AB30" s="6"/>
      <c r="AC30" s="6"/>
      <c r="AD30" s="6"/>
      <c r="AE30" s="6"/>
      <c r="AF30" s="6"/>
      <c r="AG30" s="6"/>
      <c r="AH30" s="6"/>
      <c r="AI30" s="6"/>
      <c r="AJ30" s="6"/>
      <c r="AK30" s="6"/>
      <c r="AL30" s="6"/>
    </row>
    <row r="31" spans="1:38">
      <c r="A31" s="96">
        <f ca="1">IFERROR(__xludf.DUMMYFUNCTION("""COMPUTED_VALUE"""),44169)</f>
        <v>44169</v>
      </c>
      <c r="B31" s="6" t="str">
        <f ca="1">IFERROR(__xludf.DUMMYFUNCTION("""COMPUTED_VALUE"""),"Ramneek")</f>
        <v>Ramneek</v>
      </c>
      <c r="C31" s="6" t="str">
        <f ca="1">IFERROR(__xludf.DUMMYFUNCTION("""COMPUTED_VALUE"""),"ramneekbedi27@gmail.com")</f>
        <v>ramneekbedi27@gmail.com</v>
      </c>
      <c r="D31" s="6">
        <f ca="1">IFERROR(__xludf.DUMMYFUNCTION("""COMPUTED_VALUE"""),9888767737)</f>
        <v>9888767737</v>
      </c>
      <c r="E31" s="6" t="str">
        <f ca="1">IFERROR(__xludf.DUMMYFUNCTION("""COMPUTED_VALUE"""),"course preview")</f>
        <v>course preview</v>
      </c>
      <c r="F31" s="6" t="str">
        <f ca="1">IFERROR(__xludf.DUMMYFUNCTION("""COMPUTED_VALUE"""),"CSPO")</f>
        <v>CSPO</v>
      </c>
      <c r="G31" s="80">
        <f ca="1">IFERROR(__xludf.DUMMYFUNCTION("""COMPUTED_VALUE"""),44166)</f>
        <v>44166</v>
      </c>
      <c r="H31" s="6" t="str">
        <f ca="1">IFERROR(__xludf.DUMMYFUNCTION("""COMPUTED_VALUE"""),"Won")</f>
        <v>Won</v>
      </c>
      <c r="I31" s="6" t="str">
        <f ca="1">IFERROR(__xludf.DUMMYFUNCTION("""COMPUTED_VALUE"""),"12-13 Dec 2020")</f>
        <v>12-13 Dec 2020</v>
      </c>
      <c r="J31" s="6">
        <f ca="1">IFERROR(__xludf.DUMMYFUNCTION("""COMPUTED_VALUE"""),1)</f>
        <v>1</v>
      </c>
      <c r="K31" s="8">
        <f ca="1">IFERROR(__xludf.DUMMYFUNCTION("""COMPUTED_VALUE"""),20500)</f>
        <v>20500</v>
      </c>
      <c r="L31" s="8">
        <f ca="1">IFERROR(__xludf.DUMMYFUNCTION("""COMPUTED_VALUE"""),234.768666972056)</f>
        <v>234.768666972056</v>
      </c>
      <c r="M31" s="96">
        <f ca="1">IFERROR(__xludf.DUMMYFUNCTION("""COMPUTED_VALUE"""),44172)</f>
        <v>44172</v>
      </c>
      <c r="N31" s="6"/>
      <c r="O31" s="97">
        <f ca="1">IFERROR(__xludf.DUMMYFUNCTION("""COMPUTED_VALUE"""),44173)</f>
        <v>44173</v>
      </c>
      <c r="P31" s="6" t="str">
        <f ca="1">IFERROR(__xludf.DUMMYFUNCTION("""COMPUTED_VALUE"""),"CSTM_4ZKAKJ5LZK7")</f>
        <v>CSTM_4ZKAKJ5LZK7</v>
      </c>
      <c r="Q31" s="6"/>
      <c r="R31" s="6" t="str">
        <f ca="1">IFERROR(__xludf.DUMMYFUNCTION("""COMPUTED_VALUE"""),"Done. Good feedback.")</f>
        <v>Done. Good feedback.</v>
      </c>
      <c r="S31" s="6" t="str">
        <f ca="1">IFERROR(__xludf.DUMMYFUNCTION("""COMPUTED_VALUE"""),"Category")</f>
        <v>Category</v>
      </c>
      <c r="T31" s="6"/>
      <c r="U31" s="6"/>
      <c r="V31" s="6"/>
      <c r="W31" s="6"/>
      <c r="X31" s="6"/>
      <c r="Y31" s="6"/>
      <c r="Z31" s="6"/>
      <c r="AA31" s="6"/>
      <c r="AB31" s="6"/>
      <c r="AC31" s="6"/>
      <c r="AD31" s="6"/>
      <c r="AE31" s="6"/>
      <c r="AF31" s="6"/>
      <c r="AG31" s="6"/>
      <c r="AH31" s="6"/>
      <c r="AI31" s="6"/>
      <c r="AJ31" s="6"/>
      <c r="AK31" s="6"/>
      <c r="AL31" s="6"/>
    </row>
    <row r="32" spans="1:38">
      <c r="A32" s="96">
        <f ca="1">IFERROR(__xludf.DUMMYFUNCTION("""COMPUTED_VALUE"""),44172)</f>
        <v>44172</v>
      </c>
      <c r="B32" s="6" t="str">
        <f ca="1">IFERROR(__xludf.DUMMYFUNCTION("""COMPUTED_VALUE"""),"Srikanta Jena")</f>
        <v>Srikanta Jena</v>
      </c>
      <c r="C32" s="6" t="str">
        <f ca="1">IFERROR(__xludf.DUMMYFUNCTION("""COMPUTED_VALUE"""),"srikantajena@gmail.com")</f>
        <v>srikantajena@gmail.com</v>
      </c>
      <c r="D32" s="6">
        <f ca="1">IFERROR(__xludf.DUMMYFUNCTION("""COMPUTED_VALUE"""),9867489489)</f>
        <v>9867489489</v>
      </c>
      <c r="E32" s="6" t="str">
        <f ca="1">IFERROR(__xludf.DUMMYFUNCTION("""COMPUTED_VALUE"""),"Chat_triggered")</f>
        <v>Chat_triggered</v>
      </c>
      <c r="F32" s="6" t="str">
        <f ca="1">IFERROR(__xludf.DUMMYFUNCTION("""COMPUTED_VALUE"""),"CSM")</f>
        <v>CSM</v>
      </c>
      <c r="G32" s="80">
        <f ca="1">IFERROR(__xludf.DUMMYFUNCTION("""COMPUTED_VALUE"""),44166)</f>
        <v>44166</v>
      </c>
      <c r="H32" s="6" t="str">
        <f ca="1">IFERROR(__xludf.DUMMYFUNCTION("""COMPUTED_VALUE"""),"Won")</f>
        <v>Won</v>
      </c>
      <c r="I32" s="6" t="str">
        <f ca="1">IFERROR(__xludf.DUMMYFUNCTION("""COMPUTED_VALUE"""),"19-20 Dec 2020")</f>
        <v>19-20 Dec 2020</v>
      </c>
      <c r="J32" s="6">
        <f ca="1">IFERROR(__xludf.DUMMYFUNCTION("""COMPUTED_VALUE"""),1)</f>
        <v>1</v>
      </c>
      <c r="K32" s="8">
        <f ca="1">IFERROR(__xludf.DUMMYFUNCTION("""COMPUTED_VALUE"""),20000)</f>
        <v>20000</v>
      </c>
      <c r="L32" s="8">
        <f ca="1">IFERROR(__xludf.DUMMYFUNCTION("""COMPUTED_VALUE"""),229.042601923957)</f>
        <v>229.04260192395699</v>
      </c>
      <c r="M32" s="96">
        <f ca="1">IFERROR(__xludf.DUMMYFUNCTION("""COMPUTED_VALUE"""),44173)</f>
        <v>44173</v>
      </c>
      <c r="N32" s="6"/>
      <c r="O32" s="97">
        <f ca="1">IFERROR(__xludf.DUMMYFUNCTION("""COMPUTED_VALUE"""),44173)</f>
        <v>44173</v>
      </c>
      <c r="P32" s="6" t="str">
        <f ca="1">IFERROR(__xludf.DUMMYFUNCTION("""COMPUTED_VALUE"""),"CSTM_6O0MJC6XLRY")</f>
        <v>CSTM_6O0MJC6XLRY</v>
      </c>
      <c r="Q32" s="6"/>
      <c r="R32" s="6" t="str">
        <f ca="1">IFERROR(__xludf.DUMMYFUNCTION("""COMPUTED_VALUE"""),"Done. Good feedback.")</f>
        <v>Done. Good feedback.</v>
      </c>
      <c r="S32" s="6" t="str">
        <f ca="1">IFERROR(__xludf.DUMMYFUNCTION("""COMPUTED_VALUE"""),"Category")</f>
        <v>Category</v>
      </c>
      <c r="T32" s="6"/>
      <c r="U32" s="6"/>
      <c r="V32" s="6"/>
      <c r="W32" s="6"/>
      <c r="X32" s="6"/>
      <c r="Y32" s="6"/>
      <c r="Z32" s="6"/>
      <c r="AA32" s="6"/>
      <c r="AB32" s="6"/>
      <c r="AC32" s="6"/>
      <c r="AD32" s="6"/>
      <c r="AE32" s="6"/>
      <c r="AF32" s="6"/>
      <c r="AG32" s="6"/>
      <c r="AH32" s="6"/>
      <c r="AI32" s="6"/>
      <c r="AJ32" s="6"/>
      <c r="AK32" s="6"/>
      <c r="AL32" s="6"/>
    </row>
    <row r="33" spans="1:38">
      <c r="A33" s="96">
        <f ca="1">IFERROR(__xludf.DUMMYFUNCTION("""COMPUTED_VALUE"""),44173)</f>
        <v>44173</v>
      </c>
      <c r="B33" s="6" t="str">
        <f ca="1">IFERROR(__xludf.DUMMYFUNCTION("""COMPUTED_VALUE"""),"Parul Agarwal")</f>
        <v>Parul Agarwal</v>
      </c>
      <c r="C33" s="6" t="str">
        <f ca="1">IFERROR(__xludf.DUMMYFUNCTION("""COMPUTED_VALUE"""),"agarwalparul21@gmail.com")</f>
        <v>agarwalparul21@gmail.com</v>
      </c>
      <c r="D33" s="6">
        <f ca="1">IFERROR(__xludf.DUMMYFUNCTION("""COMPUTED_VALUE"""),9769859929)</f>
        <v>9769859929</v>
      </c>
      <c r="E33" s="6" t="str">
        <f ca="1">IFERROR(__xludf.DUMMYFUNCTION("""COMPUTED_VALUE"""),"chat_initiated")</f>
        <v>chat_initiated</v>
      </c>
      <c r="F33" s="6" t="str">
        <f ca="1">IFERROR(__xludf.DUMMYFUNCTION("""COMPUTED_VALUE"""),"CSM")</f>
        <v>CSM</v>
      </c>
      <c r="G33" s="80">
        <f ca="1">IFERROR(__xludf.DUMMYFUNCTION("""COMPUTED_VALUE"""),44166)</f>
        <v>44166</v>
      </c>
      <c r="H33" s="6" t="str">
        <f ca="1">IFERROR(__xludf.DUMMYFUNCTION("""COMPUTED_VALUE"""),"Won")</f>
        <v>Won</v>
      </c>
      <c r="I33" s="6" t="str">
        <f ca="1">IFERROR(__xludf.DUMMYFUNCTION("""COMPUTED_VALUE"""),"26-27 Dec 2020")</f>
        <v>26-27 Dec 2020</v>
      </c>
      <c r="J33" s="6">
        <f ca="1">IFERROR(__xludf.DUMMYFUNCTION("""COMPUTED_VALUE"""),1)</f>
        <v>1</v>
      </c>
      <c r="K33" s="8">
        <f ca="1">IFERROR(__xludf.DUMMYFUNCTION("""COMPUTED_VALUE"""),20000)</f>
        <v>20000</v>
      </c>
      <c r="L33" s="8">
        <f ca="1">IFERROR(__xludf.DUMMYFUNCTION("""COMPUTED_VALUE"""),229.042601923957)</f>
        <v>229.04260192395699</v>
      </c>
      <c r="M33" s="96">
        <f ca="1">IFERROR(__xludf.DUMMYFUNCTION("""COMPUTED_VALUE"""),44173)</f>
        <v>44173</v>
      </c>
      <c r="N33" s="6"/>
      <c r="O33" s="97">
        <f ca="1">IFERROR(__xludf.DUMMYFUNCTION("""COMPUTED_VALUE"""),44173)</f>
        <v>44173</v>
      </c>
      <c r="P33" s="6" t="str">
        <f ca="1">IFERROR(__xludf.DUMMYFUNCTION("""COMPUTED_VALUE"""),"CSTM_IWZOXMQZHYG")</f>
        <v>CSTM_IWZOXMQZHYG</v>
      </c>
      <c r="Q33" s="6"/>
      <c r="R33" s="6" t="str">
        <f ca="1">IFERROR(__xludf.DUMMYFUNCTION("""COMPUTED_VALUE"""),"Pending")</f>
        <v>Pending</v>
      </c>
      <c r="S33" s="6" t="str">
        <f ca="1">IFERROR(__xludf.DUMMYFUNCTION("""COMPUTED_VALUE"""),"Category")</f>
        <v>Category</v>
      </c>
      <c r="T33" s="6"/>
      <c r="U33" s="6"/>
      <c r="V33" s="6"/>
      <c r="W33" s="6"/>
      <c r="X33" s="6"/>
      <c r="Y33" s="6"/>
      <c r="Z33" s="6"/>
      <c r="AA33" s="6"/>
      <c r="AB33" s="6"/>
      <c r="AC33" s="6"/>
      <c r="AD33" s="6"/>
      <c r="AE33" s="6"/>
      <c r="AF33" s="6"/>
      <c r="AG33" s="6"/>
      <c r="AH33" s="6"/>
      <c r="AI33" s="6"/>
      <c r="AJ33" s="6"/>
      <c r="AK33" s="6"/>
      <c r="AL33" s="6"/>
    </row>
    <row r="34" spans="1:38">
      <c r="A34" s="96">
        <f ca="1">IFERROR(__xludf.DUMMYFUNCTION("""COMPUTED_VALUE"""),44174)</f>
        <v>44174</v>
      </c>
      <c r="B34" s="6" t="str">
        <f ca="1">IFERROR(__xludf.DUMMYFUNCTION("""COMPUTED_VALUE"""),"Sugumar LR")</f>
        <v>Sugumar LR</v>
      </c>
      <c r="C34" s="6" t="str">
        <f ca="1">IFERROR(__xludf.DUMMYFUNCTION("""COMPUTED_VALUE"""),"lrsugumar@gmail.com")</f>
        <v>lrsugumar@gmail.com</v>
      </c>
      <c r="D34" s="6">
        <f ca="1">IFERROR(__xludf.DUMMYFUNCTION("""COMPUTED_VALUE"""),9659648128)</f>
        <v>9659648128</v>
      </c>
      <c r="E34" s="6" t="str">
        <f ca="1">IFERROR(__xludf.DUMMYFUNCTION("""COMPUTED_VALUE"""),"Reference")</f>
        <v>Reference</v>
      </c>
      <c r="F34" s="6" t="str">
        <f ca="1">IFERROR(__xludf.DUMMYFUNCTION("""COMPUTED_VALUE"""),"CSM")</f>
        <v>CSM</v>
      </c>
      <c r="G34" s="80">
        <f ca="1">IFERROR(__xludf.DUMMYFUNCTION("""COMPUTED_VALUE"""),44166)</f>
        <v>44166</v>
      </c>
      <c r="H34" s="6" t="str">
        <f ca="1">IFERROR(__xludf.DUMMYFUNCTION("""COMPUTED_VALUE"""),"Won")</f>
        <v>Won</v>
      </c>
      <c r="I34" s="6" t="str">
        <f ca="1">IFERROR(__xludf.DUMMYFUNCTION("""COMPUTED_VALUE"""),"17-18 Dec 2020")</f>
        <v>17-18 Dec 2020</v>
      </c>
      <c r="J34" s="6">
        <f ca="1">IFERROR(__xludf.DUMMYFUNCTION("""COMPUTED_VALUE"""),1)</f>
        <v>1</v>
      </c>
      <c r="K34" s="8">
        <f ca="1">IFERROR(__xludf.DUMMYFUNCTION("""COMPUTED_VALUE"""),20000)</f>
        <v>20000</v>
      </c>
      <c r="L34" s="8">
        <f ca="1">IFERROR(__xludf.DUMMYFUNCTION("""COMPUTED_VALUE"""),229.042601923957)</f>
        <v>229.04260192395699</v>
      </c>
      <c r="M34" s="96">
        <f ca="1">IFERROR(__xludf.DUMMYFUNCTION("""COMPUTED_VALUE"""),44174)</f>
        <v>44174</v>
      </c>
      <c r="N34" s="6"/>
      <c r="O34" s="97">
        <f ca="1">IFERROR(__xludf.DUMMYFUNCTION("""COMPUTED_VALUE"""),44174)</f>
        <v>44174</v>
      </c>
      <c r="P34" s="6" t="str">
        <f ca="1">IFERROR(__xludf.DUMMYFUNCTION("""COMPUTED_VALUE"""),"CSTM_DRZCPK3XRR5")</f>
        <v>CSTM_DRZCPK3XRR5</v>
      </c>
      <c r="Q34" s="6" t="str">
        <f ca="1">IFERROR(__xludf.DUMMYFUNCTION("""COMPUTED_VALUE"""),"By Ramki Vasagan ramkii96@gmail.com")</f>
        <v>By Ramki Vasagan ramkii96@gmail.com</v>
      </c>
      <c r="R34" s="6" t="str">
        <f ca="1">IFERROR(__xludf.DUMMYFUNCTION("""COMPUTED_VALUE"""),"Done. Good feedback.")</f>
        <v>Done. Good feedback.</v>
      </c>
      <c r="S34" s="6" t="str">
        <f ca="1">IFERROR(__xludf.DUMMYFUNCTION("""COMPUTED_VALUE"""),"Category")</f>
        <v>Category</v>
      </c>
      <c r="T34" s="6" t="str">
        <f ca="1">IFERROR(__xludf.DUMMYFUNCTION("""COMPUTED_VALUE"""),"Sent on 1 Jan 2021.")</f>
        <v>Sent on 1 Jan 2021.</v>
      </c>
      <c r="U34" s="6"/>
      <c r="V34" s="6"/>
      <c r="W34" s="6"/>
      <c r="X34" s="6"/>
      <c r="Y34" s="6"/>
      <c r="Z34" s="6"/>
      <c r="AA34" s="6"/>
      <c r="AB34" s="6"/>
      <c r="AC34" s="6"/>
      <c r="AD34" s="6"/>
      <c r="AE34" s="6"/>
      <c r="AF34" s="6"/>
      <c r="AG34" s="6"/>
      <c r="AH34" s="6"/>
      <c r="AI34" s="6"/>
      <c r="AJ34" s="6"/>
      <c r="AK34" s="6"/>
      <c r="AL34" s="6"/>
    </row>
    <row r="35" spans="1:38">
      <c r="A35" s="96">
        <f ca="1">IFERROR(__xludf.DUMMYFUNCTION("""COMPUTED_VALUE"""),44173)</f>
        <v>44173</v>
      </c>
      <c r="B35" s="6" t="str">
        <f ca="1">IFERROR(__xludf.DUMMYFUNCTION("""COMPUTED_VALUE"""),"Abhishek Singh")</f>
        <v>Abhishek Singh</v>
      </c>
      <c r="C35" s="6" t="str">
        <f ca="1">IFERROR(__xludf.DUMMYFUNCTION("""COMPUTED_VALUE"""),"abhishek.singh@neptune-ubi.com")</f>
        <v>abhishek.singh@neptune-ubi.com</v>
      </c>
      <c r="D35" s="6">
        <f ca="1">IFERROR(__xludf.DUMMYFUNCTION("""COMPUTED_VALUE"""),7417494553)</f>
        <v>7417494553</v>
      </c>
      <c r="E35" s="6" t="str">
        <f ca="1">IFERROR(__xludf.DUMMYFUNCTION("""COMPUTED_VALUE"""),"Reference")</f>
        <v>Reference</v>
      </c>
      <c r="F35" s="6" t="str">
        <f ca="1">IFERROR(__xludf.DUMMYFUNCTION("""COMPUTED_VALUE"""),"CSM")</f>
        <v>CSM</v>
      </c>
      <c r="G35" s="80">
        <f ca="1">IFERROR(__xludf.DUMMYFUNCTION("""COMPUTED_VALUE"""),44166)</f>
        <v>44166</v>
      </c>
      <c r="H35" s="6" t="str">
        <f ca="1">IFERROR(__xludf.DUMMYFUNCTION("""COMPUTED_VALUE"""),"Won")</f>
        <v>Won</v>
      </c>
      <c r="I35" s="6" t="str">
        <f ca="1">IFERROR(__xludf.DUMMYFUNCTION("""COMPUTED_VALUE"""),"9-10 Jan 2021")</f>
        <v>9-10 Jan 2021</v>
      </c>
      <c r="J35" s="6">
        <f ca="1">IFERROR(__xludf.DUMMYFUNCTION("""COMPUTED_VALUE"""),1)</f>
        <v>1</v>
      </c>
      <c r="K35" s="8">
        <f ca="1">IFERROR(__xludf.DUMMYFUNCTION("""COMPUTED_VALUE"""),20000)</f>
        <v>20000</v>
      </c>
      <c r="L35" s="8">
        <f ca="1">IFERROR(__xludf.DUMMYFUNCTION("""COMPUTED_VALUE"""),229.042601923957)</f>
        <v>229.04260192395699</v>
      </c>
      <c r="M35" s="96">
        <f ca="1">IFERROR(__xludf.DUMMYFUNCTION("""COMPUTED_VALUE"""),44174)</f>
        <v>44174</v>
      </c>
      <c r="N35" s="6"/>
      <c r="O35" s="97">
        <f ca="1">IFERROR(__xludf.DUMMYFUNCTION("""COMPUTED_VALUE"""),44174)</f>
        <v>44174</v>
      </c>
      <c r="P35" s="6" t="str">
        <f ca="1">IFERROR(__xludf.DUMMYFUNCTION("""COMPUTED_VALUE"""),"CSTM_J5Q7UAK69Z7")</f>
        <v>CSTM_J5Q7UAK69Z7</v>
      </c>
      <c r="Q35" s="6" t="str">
        <f ca="1">IFERROR(__xludf.DUMMYFUNCTION("""COMPUTED_VALUE"""),"By Shivanee        shivanee.salvi@neptune-ubi.com")</f>
        <v>By Shivanee        shivanee.salvi@neptune-ubi.com</v>
      </c>
      <c r="R35" s="6" t="str">
        <f ca="1">IFERROR(__xludf.DUMMYFUNCTION("""COMPUTED_VALUE"""),"Done. Good feedback.")</f>
        <v>Done. Good feedback.</v>
      </c>
      <c r="S35" s="6" t="str">
        <f ca="1">IFERROR(__xludf.DUMMYFUNCTION("""COMPUTED_VALUE"""),"Category")</f>
        <v>Category</v>
      </c>
      <c r="T35" s="6" t="str">
        <f ca="1">IFERROR(__xludf.DUMMYFUNCTION("""COMPUTED_VALUE"""),"Sent on 1 Jan 2021.")</f>
        <v>Sent on 1 Jan 2021.</v>
      </c>
      <c r="U35" s="6"/>
      <c r="V35" s="6"/>
      <c r="W35" s="6"/>
      <c r="X35" s="6"/>
      <c r="Y35" s="6"/>
      <c r="Z35" s="6"/>
      <c r="AA35" s="6"/>
      <c r="AB35" s="6"/>
      <c r="AC35" s="6"/>
      <c r="AD35" s="6"/>
      <c r="AE35" s="6"/>
      <c r="AF35" s="6"/>
      <c r="AG35" s="6"/>
      <c r="AH35" s="6"/>
      <c r="AI35" s="6"/>
      <c r="AJ35" s="6"/>
      <c r="AK35" s="6"/>
      <c r="AL35" s="6"/>
    </row>
    <row r="36" spans="1:38">
      <c r="A36" s="96">
        <f ca="1">IFERROR(__xludf.DUMMYFUNCTION("""COMPUTED_VALUE"""),44173)</f>
        <v>44173</v>
      </c>
      <c r="B36" s="6" t="str">
        <f ca="1">IFERROR(__xludf.DUMMYFUNCTION("""COMPUTED_VALUE"""),"Anmol Jain")</f>
        <v>Anmol Jain</v>
      </c>
      <c r="C36" s="6" t="str">
        <f ca="1">IFERROR(__xludf.DUMMYFUNCTION("""COMPUTED_VALUE"""),"anmol.jain@neptune-ubi.com")</f>
        <v>anmol.jain@neptune-ubi.com</v>
      </c>
      <c r="D36" s="6">
        <f ca="1">IFERROR(__xludf.DUMMYFUNCTION("""COMPUTED_VALUE"""),8305113331)</f>
        <v>8305113331</v>
      </c>
      <c r="E36" s="6" t="str">
        <f ca="1">IFERROR(__xludf.DUMMYFUNCTION("""COMPUTED_VALUE"""),"Reference")</f>
        <v>Reference</v>
      </c>
      <c r="F36" s="6" t="str">
        <f ca="1">IFERROR(__xludf.DUMMYFUNCTION("""COMPUTED_VALUE"""),"CSM")</f>
        <v>CSM</v>
      </c>
      <c r="G36" s="80">
        <f ca="1">IFERROR(__xludf.DUMMYFUNCTION("""COMPUTED_VALUE"""),44166)</f>
        <v>44166</v>
      </c>
      <c r="H36" s="6" t="str">
        <f ca="1">IFERROR(__xludf.DUMMYFUNCTION("""COMPUTED_VALUE"""),"Won")</f>
        <v>Won</v>
      </c>
      <c r="I36" s="6" t="str">
        <f ca="1">IFERROR(__xludf.DUMMYFUNCTION("""COMPUTED_VALUE"""),"9-10 Jan 2021")</f>
        <v>9-10 Jan 2021</v>
      </c>
      <c r="J36" s="6">
        <f ca="1">IFERROR(__xludf.DUMMYFUNCTION("""COMPUTED_VALUE"""),1)</f>
        <v>1</v>
      </c>
      <c r="K36" s="8">
        <f ca="1">IFERROR(__xludf.DUMMYFUNCTION("""COMPUTED_VALUE"""),20000)</f>
        <v>20000</v>
      </c>
      <c r="L36" s="8">
        <f ca="1">IFERROR(__xludf.DUMMYFUNCTION("""COMPUTED_VALUE"""),229.042601923957)</f>
        <v>229.04260192395699</v>
      </c>
      <c r="M36" s="96">
        <f ca="1">IFERROR(__xludf.DUMMYFUNCTION("""COMPUTED_VALUE"""),44174)</f>
        <v>44174</v>
      </c>
      <c r="N36" s="6"/>
      <c r="O36" s="97">
        <f ca="1">IFERROR(__xludf.DUMMYFUNCTION("""COMPUTED_VALUE"""),44174)</f>
        <v>44174</v>
      </c>
      <c r="P36" s="6" t="str">
        <f ca="1">IFERROR(__xludf.DUMMYFUNCTION("""COMPUTED_VALUE"""),"CSTM_7O9HP4L44HY")</f>
        <v>CSTM_7O9HP4L44HY</v>
      </c>
      <c r="Q36" s="6" t="str">
        <f ca="1">IFERROR(__xludf.DUMMYFUNCTION("""COMPUTED_VALUE"""),"By Shivanee	shivanee.salvi@neptune-ubi.com")</f>
        <v>By Shivanee	shivanee.salvi@neptune-ubi.com</v>
      </c>
      <c r="R36" s="6" t="str">
        <f ca="1">IFERROR(__xludf.DUMMYFUNCTION("""COMPUTED_VALUE"""),"Done. Good feedback.")</f>
        <v>Done. Good feedback.</v>
      </c>
      <c r="S36" s="6" t="str">
        <f ca="1">IFERROR(__xludf.DUMMYFUNCTION("""COMPUTED_VALUE"""),"Category")</f>
        <v>Category</v>
      </c>
      <c r="T36" s="6" t="str">
        <f ca="1">IFERROR(__xludf.DUMMYFUNCTION("""COMPUTED_VALUE"""),"Sent on 1 Jan 2021.")</f>
        <v>Sent on 1 Jan 2021.</v>
      </c>
      <c r="U36" s="6"/>
      <c r="V36" s="6"/>
      <c r="W36" s="6"/>
      <c r="X36" s="6"/>
      <c r="Y36" s="6"/>
      <c r="Z36" s="6"/>
      <c r="AA36" s="6"/>
      <c r="AB36" s="6"/>
      <c r="AC36" s="6"/>
      <c r="AD36" s="6"/>
      <c r="AE36" s="6"/>
      <c r="AF36" s="6"/>
      <c r="AG36" s="6"/>
      <c r="AH36" s="6"/>
      <c r="AI36" s="6"/>
      <c r="AJ36" s="6"/>
      <c r="AK36" s="6"/>
      <c r="AL36" s="6"/>
    </row>
    <row r="37" spans="1:38">
      <c r="A37" s="96">
        <f ca="1">IFERROR(__xludf.DUMMYFUNCTION("""COMPUTED_VALUE"""),44174)</f>
        <v>44174</v>
      </c>
      <c r="B37" s="6" t="str">
        <f ca="1">IFERROR(__xludf.DUMMYFUNCTION("""COMPUTED_VALUE"""),"Floyden Mascarenhas")</f>
        <v>Floyden Mascarenhas</v>
      </c>
      <c r="C37" s="6" t="str">
        <f ca="1">IFERROR(__xludf.DUMMYFUNCTION("""COMPUTED_VALUE"""),"floydos16@gmail.com")</f>
        <v>floydos16@gmail.com</v>
      </c>
      <c r="D37" s="6">
        <f ca="1">IFERROR(__xludf.DUMMYFUNCTION("""COMPUTED_VALUE"""),9845922118)</f>
        <v>9845922118</v>
      </c>
      <c r="E37" s="6" t="str">
        <f ca="1">IFERROR(__xludf.DUMMYFUNCTION("""COMPUTED_VALUE"""),"chat_initiated")</f>
        <v>chat_initiated</v>
      </c>
      <c r="F37" s="6" t="str">
        <f ca="1">IFERROR(__xludf.DUMMYFUNCTION("""COMPUTED_VALUE"""),"CSM")</f>
        <v>CSM</v>
      </c>
      <c r="G37" s="80">
        <f ca="1">IFERROR(__xludf.DUMMYFUNCTION("""COMPUTED_VALUE"""),44166)</f>
        <v>44166</v>
      </c>
      <c r="H37" s="6" t="str">
        <f ca="1">IFERROR(__xludf.DUMMYFUNCTION("""COMPUTED_VALUE"""),"Won")</f>
        <v>Won</v>
      </c>
      <c r="I37" s="6" t="str">
        <f ca="1">IFERROR(__xludf.DUMMYFUNCTION("""COMPUTED_VALUE"""),"26-27 Dec 2020")</f>
        <v>26-27 Dec 2020</v>
      </c>
      <c r="J37" s="6">
        <f ca="1">IFERROR(__xludf.DUMMYFUNCTION("""COMPUTED_VALUE"""),1)</f>
        <v>1</v>
      </c>
      <c r="K37" s="8">
        <f ca="1">IFERROR(__xludf.DUMMYFUNCTION("""COMPUTED_VALUE"""),21000)</f>
        <v>21000</v>
      </c>
      <c r="L37" s="8">
        <f ca="1">IFERROR(__xludf.DUMMYFUNCTION("""COMPUTED_VALUE"""),240.494732020155)</f>
        <v>240.494732020155</v>
      </c>
      <c r="M37" s="96">
        <f ca="1">IFERROR(__xludf.DUMMYFUNCTION("""COMPUTED_VALUE"""),44175)</f>
        <v>44175</v>
      </c>
      <c r="N37" s="6"/>
      <c r="O37" s="97">
        <f ca="1">IFERROR(__xludf.DUMMYFUNCTION("""COMPUTED_VALUE"""),44175)</f>
        <v>44175</v>
      </c>
      <c r="P37" s="6" t="str">
        <f ca="1">IFERROR(__xludf.DUMMYFUNCTION("""COMPUTED_VALUE"""),"CSTM_1FZJPY3T142")</f>
        <v>CSTM_1FZJPY3T142</v>
      </c>
      <c r="Q37" s="6"/>
      <c r="R37" s="6" t="str">
        <f ca="1">IFERROR(__xludf.DUMMYFUNCTION("""COMPUTED_VALUE"""),"Pending")</f>
        <v>Pending</v>
      </c>
      <c r="S37" s="6" t="str">
        <f ca="1">IFERROR(__xludf.DUMMYFUNCTION("""COMPUTED_VALUE"""),"Category")</f>
        <v>Category</v>
      </c>
      <c r="T37" s="6"/>
      <c r="U37" s="6"/>
      <c r="V37" s="6"/>
      <c r="W37" s="6"/>
      <c r="X37" s="6"/>
      <c r="Y37" s="6"/>
      <c r="Z37" s="6"/>
      <c r="AA37" s="6"/>
      <c r="AB37" s="6"/>
      <c r="AC37" s="6"/>
      <c r="AD37" s="6"/>
      <c r="AE37" s="6"/>
      <c r="AF37" s="6"/>
      <c r="AG37" s="6"/>
      <c r="AH37" s="6"/>
      <c r="AI37" s="6"/>
      <c r="AJ37" s="6"/>
      <c r="AK37" s="6"/>
      <c r="AL37" s="6"/>
    </row>
    <row r="38" spans="1:38">
      <c r="A38" s="96">
        <f ca="1">IFERROR(__xludf.DUMMYFUNCTION("""COMPUTED_VALUE"""),44172)</f>
        <v>44172</v>
      </c>
      <c r="B38" s="6" t="str">
        <f ca="1">IFERROR(__xludf.DUMMYFUNCTION("""COMPUTED_VALUE"""),"Anshul")</f>
        <v>Anshul</v>
      </c>
      <c r="C38" s="6" t="str">
        <f ca="1">IFERROR(__xludf.DUMMYFUNCTION("""COMPUTED_VALUE"""),"anshul.0807@gmail.com")</f>
        <v>anshul.0807@gmail.com</v>
      </c>
      <c r="D38" s="6">
        <f ca="1">IFERROR(__xludf.DUMMYFUNCTION("""COMPUTED_VALUE"""),9911821393)</f>
        <v>9911821393</v>
      </c>
      <c r="E38" s="6" t="str">
        <f ca="1">IFERROR(__xludf.DUMMYFUNCTION("""COMPUTED_VALUE"""),"Self-generated")</f>
        <v>Self-generated</v>
      </c>
      <c r="F38" s="6" t="str">
        <f ca="1">IFERROR(__xludf.DUMMYFUNCTION("""COMPUTED_VALUE"""),"CSM")</f>
        <v>CSM</v>
      </c>
      <c r="G38" s="80">
        <f ca="1">IFERROR(__xludf.DUMMYFUNCTION("""COMPUTED_VALUE"""),44166)</f>
        <v>44166</v>
      </c>
      <c r="H38" s="6" t="str">
        <f ca="1">IFERROR(__xludf.DUMMYFUNCTION("""COMPUTED_VALUE"""),"Won")</f>
        <v>Won</v>
      </c>
      <c r="I38" s="6" t="str">
        <f ca="1">IFERROR(__xludf.DUMMYFUNCTION("""COMPUTED_VALUE"""),"12-13 Dec 2020")</f>
        <v>12-13 Dec 2020</v>
      </c>
      <c r="J38" s="6">
        <f ca="1">IFERROR(__xludf.DUMMYFUNCTION("""COMPUTED_VALUE"""),1)</f>
        <v>1</v>
      </c>
      <c r="K38" s="8">
        <f ca="1">IFERROR(__xludf.DUMMYFUNCTION("""COMPUTED_VALUE"""),20000)</f>
        <v>20000</v>
      </c>
      <c r="L38" s="8">
        <f ca="1">IFERROR(__xludf.DUMMYFUNCTION("""COMPUTED_VALUE"""),229.042601923957)</f>
        <v>229.04260192395699</v>
      </c>
      <c r="M38" s="96">
        <f ca="1">IFERROR(__xludf.DUMMYFUNCTION("""COMPUTED_VALUE"""),44174)</f>
        <v>44174</v>
      </c>
      <c r="N38" s="6"/>
      <c r="O38" s="97">
        <f ca="1">IFERROR(__xludf.DUMMYFUNCTION("""COMPUTED_VALUE"""),44176)</f>
        <v>44176</v>
      </c>
      <c r="P38" s="6" t="str">
        <f ca="1">IFERROR(__xludf.DUMMYFUNCTION("""COMPUTED_VALUE"""),"CSTM_4PVV3CLJ4CJ")</f>
        <v>CSTM_4PVV3CLJ4CJ</v>
      </c>
      <c r="Q38" s="6"/>
      <c r="R38" s="6" t="str">
        <f ca="1">IFERROR(__xludf.DUMMYFUNCTION("""COMPUTED_VALUE"""),"Done. Good feedback.")</f>
        <v>Done. Good feedback.</v>
      </c>
      <c r="S38" s="6" t="str">
        <f ca="1">IFERROR(__xludf.DUMMYFUNCTION("""COMPUTED_VALUE"""),"Category")</f>
        <v>Category</v>
      </c>
      <c r="T38" s="6"/>
      <c r="U38" s="6"/>
      <c r="V38" s="6"/>
      <c r="W38" s="6"/>
      <c r="X38" s="6"/>
      <c r="Y38" s="6"/>
      <c r="Z38" s="6"/>
      <c r="AA38" s="6"/>
      <c r="AB38" s="6"/>
      <c r="AC38" s="6"/>
      <c r="AD38" s="6"/>
      <c r="AE38" s="6"/>
      <c r="AF38" s="6"/>
      <c r="AG38" s="6"/>
      <c r="AH38" s="6"/>
      <c r="AI38" s="6"/>
      <c r="AJ38" s="6"/>
      <c r="AK38" s="6"/>
      <c r="AL38" s="6"/>
    </row>
    <row r="39" spans="1:38">
      <c r="A39" s="96">
        <f ca="1">IFERROR(__xludf.DUMMYFUNCTION("""COMPUTED_VALUE"""),44161)</f>
        <v>44161</v>
      </c>
      <c r="B39" s="6" t="str">
        <f ca="1">IFERROR(__xludf.DUMMYFUNCTION("""COMPUTED_VALUE"""),"Chitrabhanu")</f>
        <v>Chitrabhanu</v>
      </c>
      <c r="C39" s="6" t="str">
        <f ca="1">IFERROR(__xludf.DUMMYFUNCTION("""COMPUTED_VALUE"""),"chitrabhanu.s@outlook.com")</f>
        <v>chitrabhanu.s@outlook.com</v>
      </c>
      <c r="D39" s="6">
        <f ca="1">IFERROR(__xludf.DUMMYFUNCTION("""COMPUTED_VALUE"""),9849738232)</f>
        <v>9849738232</v>
      </c>
      <c r="E39" s="6" t="str">
        <f ca="1">IFERROR(__xludf.DUMMYFUNCTION("""COMPUTED_VALUE"""),"course agenda")</f>
        <v>course agenda</v>
      </c>
      <c r="F39" s="6" t="str">
        <f ca="1">IFERROR(__xludf.DUMMYFUNCTION("""COMPUTED_VALUE"""),"CSM")</f>
        <v>CSM</v>
      </c>
      <c r="G39" s="80">
        <f ca="1">IFERROR(__xludf.DUMMYFUNCTION("""COMPUTED_VALUE"""),44166)</f>
        <v>44166</v>
      </c>
      <c r="H39" s="6" t="str">
        <f ca="1">IFERROR(__xludf.DUMMYFUNCTION("""COMPUTED_VALUE"""),"Won")</f>
        <v>Won</v>
      </c>
      <c r="I39" s="6" t="str">
        <f ca="1">IFERROR(__xludf.DUMMYFUNCTION("""COMPUTED_VALUE"""),"2-3 Jan 2021")</f>
        <v>2-3 Jan 2021</v>
      </c>
      <c r="J39" s="6">
        <f ca="1">IFERROR(__xludf.DUMMYFUNCTION("""COMPUTED_VALUE"""),1)</f>
        <v>1</v>
      </c>
      <c r="K39" s="8">
        <f ca="1">IFERROR(__xludf.DUMMYFUNCTION("""COMPUTED_VALUE"""),20000)</f>
        <v>20000</v>
      </c>
      <c r="L39" s="8">
        <f ca="1">IFERROR(__xludf.DUMMYFUNCTION("""COMPUTED_VALUE"""),229.042601923957)</f>
        <v>229.04260192395699</v>
      </c>
      <c r="M39" s="96">
        <f ca="1">IFERROR(__xludf.DUMMYFUNCTION("""COMPUTED_VALUE"""),44200)</f>
        <v>44200</v>
      </c>
      <c r="N39" s="6"/>
      <c r="O39" s="97">
        <f ca="1">IFERROR(__xludf.DUMMYFUNCTION("""COMPUTED_VALUE"""),44179)</f>
        <v>44179</v>
      </c>
      <c r="P39" s="6" t="str">
        <f ca="1">IFERROR(__xludf.DUMMYFUNCTION("""COMPUTED_VALUE"""),"CSTM_1ENZYOXAVP4")</f>
        <v>CSTM_1ENZYOXAVP4</v>
      </c>
      <c r="Q39" s="6"/>
      <c r="R39" s="6" t="str">
        <f ca="1">IFERROR(__xludf.DUMMYFUNCTION("""COMPUTED_VALUE"""),"Pending")</f>
        <v>Pending</v>
      </c>
      <c r="S39" s="6" t="str">
        <f ca="1">IFERROR(__xludf.DUMMYFUNCTION("""COMPUTED_VALUE"""),"Category")</f>
        <v>Category</v>
      </c>
      <c r="T39" s="6"/>
      <c r="U39" s="6"/>
      <c r="V39" s="6"/>
      <c r="W39" s="6"/>
      <c r="X39" s="6"/>
      <c r="Y39" s="6"/>
      <c r="Z39" s="6"/>
      <c r="AA39" s="6"/>
      <c r="AB39" s="6"/>
      <c r="AC39" s="6"/>
      <c r="AD39" s="6"/>
      <c r="AE39" s="6"/>
      <c r="AF39" s="6"/>
      <c r="AG39" s="6"/>
      <c r="AH39" s="6"/>
      <c r="AI39" s="6"/>
      <c r="AJ39" s="6"/>
      <c r="AK39" s="6"/>
      <c r="AL39" s="6"/>
    </row>
    <row r="40" spans="1:38">
      <c r="A40" s="96">
        <f ca="1">IFERROR(__xludf.DUMMYFUNCTION("""COMPUTED_VALUE"""),44162)</f>
        <v>44162</v>
      </c>
      <c r="B40" s="6" t="str">
        <f ca="1">IFERROR(__xludf.DUMMYFUNCTION("""COMPUTED_VALUE"""),"Arthika")</f>
        <v>Arthika</v>
      </c>
      <c r="C40" s="6" t="str">
        <f ca="1">IFERROR(__xludf.DUMMYFUNCTION("""COMPUTED_VALUE"""),"arthikaa1@gmail.com")</f>
        <v>arthikaa1@gmail.com</v>
      </c>
      <c r="D40" s="6">
        <f ca="1">IFERROR(__xludf.DUMMYFUNCTION("""COMPUTED_VALUE"""),8973849849)</f>
        <v>8973849849</v>
      </c>
      <c r="E40" s="6" t="str">
        <f ca="1">IFERROR(__xludf.DUMMYFUNCTION("""COMPUTED_VALUE"""),"R&amp;E")</f>
        <v>R&amp;E</v>
      </c>
      <c r="F40" s="6" t="str">
        <f ca="1">IFERROR(__xludf.DUMMYFUNCTION("""COMPUTED_VALUE"""),"CSM")</f>
        <v>CSM</v>
      </c>
      <c r="G40" s="80"/>
      <c r="H40" s="6" t="str">
        <f ca="1">IFERROR(__xludf.DUMMYFUNCTION("""COMPUTED_VALUE"""),"Lost")</f>
        <v>Lost</v>
      </c>
      <c r="I40" s="6" t="str">
        <f ca="1">IFERROR(__xludf.DUMMYFUNCTION("""COMPUTED_VALUE"""),"DK")</f>
        <v>DK</v>
      </c>
      <c r="J40" s="6">
        <f ca="1">IFERROR(__xludf.DUMMYFUNCTION("""COMPUTED_VALUE"""),1)</f>
        <v>1</v>
      </c>
      <c r="K40" s="8">
        <f ca="1">IFERROR(__xludf.DUMMYFUNCTION("""COMPUTED_VALUE"""),22000)</f>
        <v>22000</v>
      </c>
      <c r="L40" s="8">
        <f ca="1">IFERROR(__xludf.DUMMYFUNCTION("""COMPUTED_VALUE"""),251.946862116353)</f>
        <v>251.946862116353</v>
      </c>
      <c r="M40" s="96"/>
      <c r="N40" s="6"/>
      <c r="O40" s="97"/>
      <c r="P40" s="6"/>
      <c r="Q40" s="6"/>
      <c r="R40" s="6"/>
      <c r="S40" s="6" t="str">
        <f ca="1">IFERROR(__xludf.DUMMYFUNCTION("""COMPUTED_VALUE"""),"Category")</f>
        <v>Category</v>
      </c>
      <c r="T40" s="6"/>
      <c r="U40" s="6"/>
      <c r="V40" s="6"/>
      <c r="W40" s="6"/>
      <c r="X40" s="6"/>
      <c r="Y40" s="6"/>
      <c r="Z40" s="6"/>
      <c r="AA40" s="6"/>
      <c r="AB40" s="6"/>
      <c r="AC40" s="6"/>
      <c r="AD40" s="6"/>
      <c r="AE40" s="6"/>
      <c r="AF40" s="6"/>
      <c r="AG40" s="6"/>
      <c r="AH40" s="6"/>
      <c r="AI40" s="6"/>
      <c r="AJ40" s="6"/>
      <c r="AK40" s="6"/>
      <c r="AL40" s="6"/>
    </row>
    <row r="41" spans="1:38">
      <c r="A41" s="96">
        <f ca="1">IFERROR(__xludf.DUMMYFUNCTION("""COMPUTED_VALUE"""),44192)</f>
        <v>44192</v>
      </c>
      <c r="B41" s="6" t="str">
        <f ca="1">IFERROR(__xludf.DUMMYFUNCTION("""COMPUTED_VALUE"""),"Prashant Joshi")</f>
        <v>Prashant Joshi</v>
      </c>
      <c r="C41" s="6" t="str">
        <f ca="1">IFERROR(__xludf.DUMMYFUNCTION("""COMPUTED_VALUE"""),"pkjoshi2007@gmail.com")</f>
        <v>pkjoshi2007@gmail.com</v>
      </c>
      <c r="D41" s="6">
        <f ca="1">IFERROR(__xludf.DUMMYFUNCTION("""COMPUTED_VALUE"""),9448248163)</f>
        <v>9448248163</v>
      </c>
      <c r="E41" s="6" t="str">
        <f ca="1">IFERROR(__xludf.DUMMYFUNCTION("""COMPUTED_VALUE"""),"Reference")</f>
        <v>Reference</v>
      </c>
      <c r="F41" s="6" t="str">
        <f ca="1">IFERROR(__xludf.DUMMYFUNCTION("""COMPUTED_VALUE"""),"CSM")</f>
        <v>CSM</v>
      </c>
      <c r="G41" s="80">
        <f ca="1">IFERROR(__xludf.DUMMYFUNCTION("""COMPUTED_VALUE"""),44166)</f>
        <v>44166</v>
      </c>
      <c r="H41" s="6" t="str">
        <f ca="1">IFERROR(__xludf.DUMMYFUNCTION("""COMPUTED_VALUE"""),"Lost")</f>
        <v>Lost</v>
      </c>
      <c r="I41" s="6" t="str">
        <f ca="1">IFERROR(__xludf.DUMMYFUNCTION("""COMPUTED_VALUE"""),"2-3 Jan 2021")</f>
        <v>2-3 Jan 2021</v>
      </c>
      <c r="J41" s="6">
        <f ca="1">IFERROR(__xludf.DUMMYFUNCTION("""COMPUTED_VALUE"""),1)</f>
        <v>1</v>
      </c>
      <c r="K41" s="8">
        <f ca="1">IFERROR(__xludf.DUMMYFUNCTION("""COMPUTED_VALUE"""),20000)</f>
        <v>20000</v>
      </c>
      <c r="L41" s="8">
        <f ca="1">IFERROR(__xludf.DUMMYFUNCTION("""COMPUTED_VALUE"""),229.042601923957)</f>
        <v>229.04260192395699</v>
      </c>
      <c r="M41" s="96">
        <f ca="1">IFERROR(__xludf.DUMMYFUNCTION("""COMPUTED_VALUE"""),44194)</f>
        <v>44194</v>
      </c>
      <c r="N41" s="6"/>
      <c r="O41" s="97"/>
      <c r="P41" s="6"/>
      <c r="Q41" s="6" t="str">
        <f ca="1">IFERROR(__xludf.DUMMYFUNCTION("""COMPUTED_VALUE"""),"Pricing issue.")</f>
        <v>Pricing issue.</v>
      </c>
      <c r="R41" s="6"/>
      <c r="S41" s="6" t="str">
        <f ca="1">IFERROR(__xludf.DUMMYFUNCTION("""COMPUTED_VALUE"""),"Category")</f>
        <v>Category</v>
      </c>
      <c r="T41" s="6"/>
      <c r="U41" s="6"/>
      <c r="V41" s="6"/>
      <c r="W41" s="6"/>
      <c r="X41" s="6"/>
      <c r="Y41" s="6"/>
      <c r="Z41" s="6"/>
      <c r="AA41" s="6"/>
      <c r="AB41" s="6"/>
      <c r="AC41" s="6"/>
      <c r="AD41" s="6"/>
      <c r="AE41" s="6"/>
      <c r="AF41" s="6"/>
      <c r="AG41" s="6"/>
      <c r="AH41" s="6"/>
      <c r="AI41" s="6"/>
      <c r="AJ41" s="6"/>
      <c r="AK41" s="6"/>
      <c r="AL41" s="6"/>
    </row>
    <row r="42" spans="1:38">
      <c r="A42" s="96">
        <f ca="1">IFERROR(__xludf.DUMMYFUNCTION("""COMPUTED_VALUE"""),44181)</f>
        <v>44181</v>
      </c>
      <c r="B42" s="6" t="str">
        <f ca="1">IFERROR(__xludf.DUMMYFUNCTION("""COMPUTED_VALUE"""),"Balaji V K")</f>
        <v>Balaji V K</v>
      </c>
      <c r="C42" s="6" t="str">
        <f ca="1">IFERROR(__xludf.DUMMYFUNCTION("""COMPUTED_VALUE"""),"vkbalaji@live.com")</f>
        <v>vkbalaji@live.com</v>
      </c>
      <c r="D42" s="6">
        <f ca="1">IFERROR(__xludf.DUMMYFUNCTION("""COMPUTED_VALUE"""),9791020346)</f>
        <v>9791020346</v>
      </c>
      <c r="E42" s="6" t="str">
        <f ca="1">IFERROR(__xludf.DUMMYFUNCTION("""COMPUTED_VALUE"""),"Auto repeat lead")</f>
        <v>Auto repeat lead</v>
      </c>
      <c r="F42" s="6" t="str">
        <f ca="1">IFERROR(__xludf.DUMMYFUNCTION("""COMPUTED_VALUE"""),"CSM")</f>
        <v>CSM</v>
      </c>
      <c r="G42" s="80">
        <f ca="1">IFERROR(__xludf.DUMMYFUNCTION("""COMPUTED_VALUE"""),44166)</f>
        <v>44166</v>
      </c>
      <c r="H42" s="6" t="str">
        <f ca="1">IFERROR(__xludf.DUMMYFUNCTION("""COMPUTED_VALUE"""),"Won")</f>
        <v>Won</v>
      </c>
      <c r="I42" s="6" t="str">
        <f ca="1">IFERROR(__xludf.DUMMYFUNCTION("""COMPUTED_VALUE"""),"19-20 Dec 2020")</f>
        <v>19-20 Dec 2020</v>
      </c>
      <c r="J42" s="6">
        <f ca="1">IFERROR(__xludf.DUMMYFUNCTION("""COMPUTED_VALUE"""),1)</f>
        <v>1</v>
      </c>
      <c r="K42" s="8">
        <f ca="1">IFERROR(__xludf.DUMMYFUNCTION("""COMPUTED_VALUE"""),19000)</f>
        <v>19000</v>
      </c>
      <c r="L42" s="8">
        <f ca="1">IFERROR(__xludf.DUMMYFUNCTION("""COMPUTED_VALUE"""),217.590471827759)</f>
        <v>217.59047182775899</v>
      </c>
      <c r="M42" s="96">
        <f ca="1">IFERROR(__xludf.DUMMYFUNCTION("""COMPUTED_VALUE"""),44181)</f>
        <v>44181</v>
      </c>
      <c r="N42" s="6"/>
      <c r="O42" s="97">
        <f ca="1">IFERROR(__xludf.DUMMYFUNCTION("""COMPUTED_VALUE"""),44181)</f>
        <v>44181</v>
      </c>
      <c r="P42" s="6" t="str">
        <f ca="1">IFERROR(__xludf.DUMMYFUNCTION("""COMPUTED_VALUE"""),"CSTM_E81CDPVEPZ0")</f>
        <v>CSTM_E81CDPVEPZ0</v>
      </c>
      <c r="Q42" s="6"/>
      <c r="R42" s="6" t="str">
        <f ca="1">IFERROR(__xludf.DUMMYFUNCTION("""COMPUTED_VALUE"""),"Done. Good feedback.")</f>
        <v>Done. Good feedback.</v>
      </c>
      <c r="S42" s="6" t="str">
        <f ca="1">IFERROR(__xludf.DUMMYFUNCTION("""COMPUTED_VALUE"""),"Category")</f>
        <v>Category</v>
      </c>
      <c r="T42" s="6"/>
      <c r="U42" s="6"/>
      <c r="V42" s="6"/>
      <c r="W42" s="6"/>
      <c r="X42" s="6"/>
      <c r="Y42" s="6"/>
      <c r="Z42" s="6"/>
      <c r="AA42" s="6"/>
      <c r="AB42" s="6"/>
      <c r="AC42" s="6"/>
      <c r="AD42" s="6"/>
      <c r="AE42" s="6"/>
      <c r="AF42" s="6"/>
      <c r="AG42" s="6"/>
      <c r="AH42" s="6"/>
      <c r="AI42" s="6"/>
      <c r="AJ42" s="6"/>
      <c r="AK42" s="6"/>
      <c r="AL42" s="6"/>
    </row>
    <row r="43" spans="1:38">
      <c r="A43" s="96">
        <f ca="1">IFERROR(__xludf.DUMMYFUNCTION("""COMPUTED_VALUE"""),44181)</f>
        <v>44181</v>
      </c>
      <c r="B43" s="6" t="str">
        <f ca="1">IFERROR(__xludf.DUMMYFUNCTION("""COMPUTED_VALUE"""),"Gireesh Raju")</f>
        <v>Gireesh Raju</v>
      </c>
      <c r="C43" s="6" t="str">
        <f ca="1">IFERROR(__xludf.DUMMYFUNCTION("""COMPUTED_VALUE"""),"gireeshraju.n@gmail.com")</f>
        <v>gireeshraju.n@gmail.com</v>
      </c>
      <c r="D43" s="6">
        <f ca="1">IFERROR(__xludf.DUMMYFUNCTION("""COMPUTED_VALUE"""),8050905199)</f>
        <v>8050905199</v>
      </c>
      <c r="E43" s="6" t="str">
        <f ca="1">IFERROR(__xludf.DUMMYFUNCTION("""COMPUTED_VALUE"""),"Chat_triggered")</f>
        <v>Chat_triggered</v>
      </c>
      <c r="F43" s="6" t="str">
        <f ca="1">IFERROR(__xludf.DUMMYFUNCTION("""COMPUTED_VALUE"""),"CSM")</f>
        <v>CSM</v>
      </c>
      <c r="G43" s="80">
        <f ca="1">IFERROR(__xludf.DUMMYFUNCTION("""COMPUTED_VALUE"""),44166)</f>
        <v>44166</v>
      </c>
      <c r="H43" s="6" t="str">
        <f ca="1">IFERROR(__xludf.DUMMYFUNCTION("""COMPUTED_VALUE"""),"Won")</f>
        <v>Won</v>
      </c>
      <c r="I43" s="6" t="str">
        <f ca="1">IFERROR(__xludf.DUMMYFUNCTION("""COMPUTED_VALUE"""),"26-27 Dec 2020")</f>
        <v>26-27 Dec 2020</v>
      </c>
      <c r="J43" s="6">
        <f ca="1">IFERROR(__xludf.DUMMYFUNCTION("""COMPUTED_VALUE"""),1)</f>
        <v>1</v>
      </c>
      <c r="K43" s="8">
        <f ca="1">IFERROR(__xludf.DUMMYFUNCTION("""COMPUTED_VALUE"""),21000)</f>
        <v>21000</v>
      </c>
      <c r="L43" s="8">
        <f ca="1">IFERROR(__xludf.DUMMYFUNCTION("""COMPUTED_VALUE"""),240.494732020155)</f>
        <v>240.494732020155</v>
      </c>
      <c r="M43" s="96">
        <f ca="1">IFERROR(__xludf.DUMMYFUNCTION("""COMPUTED_VALUE"""),44181)</f>
        <v>44181</v>
      </c>
      <c r="N43" s="6"/>
      <c r="O43" s="97">
        <f ca="1">IFERROR(__xludf.DUMMYFUNCTION("""COMPUTED_VALUE"""),44182)</f>
        <v>44182</v>
      </c>
      <c r="P43" s="6" t="str">
        <f ca="1">IFERROR(__xludf.DUMMYFUNCTION("""COMPUTED_VALUE"""),"CSTM_3V0PAJEYKBI")</f>
        <v>CSTM_3V0PAJEYKBI</v>
      </c>
      <c r="Q43" s="6"/>
      <c r="R43" s="6" t="str">
        <f ca="1">IFERROR(__xludf.DUMMYFUNCTION("""COMPUTED_VALUE"""),"Pending")</f>
        <v>Pending</v>
      </c>
      <c r="S43" s="6" t="str">
        <f ca="1">IFERROR(__xludf.DUMMYFUNCTION("""COMPUTED_VALUE"""),"Category")</f>
        <v>Category</v>
      </c>
      <c r="T43" s="6"/>
      <c r="U43" s="6"/>
      <c r="V43" s="6"/>
      <c r="W43" s="6"/>
      <c r="X43" s="6"/>
      <c r="Y43" s="6"/>
      <c r="Z43" s="6"/>
      <c r="AA43" s="6"/>
      <c r="AB43" s="6"/>
      <c r="AC43" s="6"/>
      <c r="AD43" s="6"/>
      <c r="AE43" s="6"/>
      <c r="AF43" s="6"/>
      <c r="AG43" s="6"/>
      <c r="AH43" s="6"/>
      <c r="AI43" s="6"/>
      <c r="AJ43" s="6"/>
      <c r="AK43" s="6"/>
      <c r="AL43" s="6"/>
    </row>
    <row r="44" spans="1:38">
      <c r="A44" s="96">
        <f ca="1">IFERROR(__xludf.DUMMYFUNCTION("""COMPUTED_VALUE"""),44151)</f>
        <v>44151</v>
      </c>
      <c r="B44" s="6" t="str">
        <f ca="1">IFERROR(__xludf.DUMMYFUNCTION("""COMPUTED_VALUE"""),"Sanjay Chari")</f>
        <v>Sanjay Chari</v>
      </c>
      <c r="C44" s="6" t="str">
        <f ca="1">IFERROR(__xludf.DUMMYFUNCTION("""COMPUTED_VALUE"""),"sanjayschari@gmail.com")</f>
        <v>sanjayschari@gmail.com</v>
      </c>
      <c r="D44" s="6">
        <f ca="1">IFERROR(__xludf.DUMMYFUNCTION("""COMPUTED_VALUE"""),9922896896)</f>
        <v>9922896896</v>
      </c>
      <c r="E44" s="6"/>
      <c r="F44" s="6" t="str">
        <f ca="1">IFERROR(__xludf.DUMMYFUNCTION("""COMPUTED_VALUE"""),"ASM")</f>
        <v>ASM</v>
      </c>
      <c r="G44" s="80"/>
      <c r="H44" s="6" t="str">
        <f ca="1">IFERROR(__xludf.DUMMYFUNCTION("""COMPUTED_VALUE"""),"Lost")</f>
        <v>Lost</v>
      </c>
      <c r="I44" s="6"/>
      <c r="J44" s="6">
        <f ca="1">IFERROR(__xludf.DUMMYFUNCTION("""COMPUTED_VALUE"""),1)</f>
        <v>1</v>
      </c>
      <c r="K44" s="8">
        <f ca="1">IFERROR(__xludf.DUMMYFUNCTION("""COMPUTED_VALUE"""),20000)</f>
        <v>20000</v>
      </c>
      <c r="L44" s="8">
        <f ca="1">IFERROR(__xludf.DUMMYFUNCTION("""COMPUTED_VALUE"""),229.042601923957)</f>
        <v>229.04260192395699</v>
      </c>
      <c r="M44" s="96"/>
      <c r="N44" s="6"/>
      <c r="O44" s="97"/>
      <c r="P44" s="6"/>
      <c r="Q44" s="6"/>
      <c r="R44" s="6"/>
      <c r="S44" s="6" t="str">
        <f ca="1">IFERROR(__xludf.DUMMYFUNCTION("""COMPUTED_VALUE"""),"NonCategory")</f>
        <v>NonCategory</v>
      </c>
      <c r="T44" s="6"/>
      <c r="U44" s="6"/>
      <c r="V44" s="6"/>
      <c r="W44" s="6"/>
      <c r="X44" s="6"/>
      <c r="Y44" s="6"/>
      <c r="Z44" s="6"/>
      <c r="AA44" s="6"/>
      <c r="AB44" s="6"/>
      <c r="AC44" s="6"/>
      <c r="AD44" s="6"/>
      <c r="AE44" s="6"/>
      <c r="AF44" s="6"/>
      <c r="AG44" s="6"/>
      <c r="AH44" s="6"/>
      <c r="AI44" s="6"/>
      <c r="AJ44" s="6"/>
      <c r="AK44" s="6"/>
      <c r="AL44" s="6"/>
    </row>
    <row r="45" spans="1:38">
      <c r="A45" s="96">
        <f ca="1">IFERROR(__xludf.DUMMYFUNCTION("""COMPUTED_VALUE"""),44147)</f>
        <v>44147</v>
      </c>
      <c r="B45" s="6" t="str">
        <f ca="1">IFERROR(__xludf.DUMMYFUNCTION("""COMPUTED_VALUE"""),"Abhishek Kapil")</f>
        <v>Abhishek Kapil</v>
      </c>
      <c r="C45" s="6" t="str">
        <f ca="1">IFERROR(__xludf.DUMMYFUNCTION("""COMPUTED_VALUE"""),"itsabhishek2308@gmail.com")</f>
        <v>itsabhishek2308@gmail.com</v>
      </c>
      <c r="D45" s="6">
        <f ca="1">IFERROR(__xludf.DUMMYFUNCTION("""COMPUTED_VALUE"""),9720789513)</f>
        <v>9720789513</v>
      </c>
      <c r="E45" s="6"/>
      <c r="F45" s="6" t="str">
        <f ca="1">IFERROR(__xludf.DUMMYFUNCTION("""COMPUTED_VALUE"""),"CSM &amp; Tableu")</f>
        <v>CSM &amp; Tableu</v>
      </c>
      <c r="G45" s="80"/>
      <c r="H45" s="6" t="str">
        <f ca="1">IFERROR(__xludf.DUMMYFUNCTION("""COMPUTED_VALUE"""),"Lost")</f>
        <v>Lost</v>
      </c>
      <c r="I45" s="6" t="str">
        <f ca="1">IFERROR(__xludf.DUMMYFUNCTION("""COMPUTED_VALUE"""),"21-22 Nov 2020")</f>
        <v>21-22 Nov 2020</v>
      </c>
      <c r="J45" s="6">
        <f ca="1">IFERROR(__xludf.DUMMYFUNCTION("""COMPUTED_VALUE"""),2)</f>
        <v>2</v>
      </c>
      <c r="K45" s="8">
        <f ca="1">IFERROR(__xludf.DUMMYFUNCTION("""COMPUTED_VALUE"""),19000)</f>
        <v>19000</v>
      </c>
      <c r="L45" s="8">
        <f ca="1">IFERROR(__xludf.DUMMYFUNCTION("""COMPUTED_VALUE"""),217.590471827759)</f>
        <v>217.59047182775899</v>
      </c>
      <c r="M45" s="96"/>
      <c r="N45" s="6"/>
      <c r="O45" s="97"/>
      <c r="P45" s="6"/>
      <c r="Q45" s="6"/>
      <c r="R45" s="6"/>
      <c r="S45" s="6" t="str">
        <f ca="1">IFERROR(__xludf.DUMMYFUNCTION("""COMPUTED_VALUE"""),"NonCategory")</f>
        <v>NonCategory</v>
      </c>
      <c r="T45" s="6"/>
      <c r="U45" s="6"/>
      <c r="V45" s="6"/>
      <c r="W45" s="6"/>
      <c r="X45" s="6"/>
      <c r="Y45" s="6"/>
      <c r="Z45" s="6"/>
      <c r="AA45" s="6"/>
      <c r="AB45" s="6"/>
      <c r="AC45" s="6"/>
      <c r="AD45" s="6"/>
      <c r="AE45" s="6"/>
      <c r="AF45" s="6"/>
      <c r="AG45" s="6"/>
      <c r="AH45" s="6"/>
      <c r="AI45" s="6"/>
      <c r="AJ45" s="6"/>
      <c r="AK45" s="6"/>
      <c r="AL45" s="6"/>
    </row>
    <row r="46" spans="1:38">
      <c r="A46" s="96">
        <f ca="1">IFERROR(__xludf.DUMMYFUNCTION("""COMPUTED_VALUE"""),44151)</f>
        <v>44151</v>
      </c>
      <c r="B46" s="6" t="str">
        <f ca="1">IFERROR(__xludf.DUMMYFUNCTION("""COMPUTED_VALUE"""),"Krishna")</f>
        <v>Krishna</v>
      </c>
      <c r="C46" s="6"/>
      <c r="D46" s="6"/>
      <c r="E46" s="6"/>
      <c r="F46" s="6" t="str">
        <f ca="1">IFERROR(__xludf.DUMMYFUNCTION("""COMPUTED_VALUE"""),"ASM")</f>
        <v>ASM</v>
      </c>
      <c r="G46" s="80"/>
      <c r="H46" s="6" t="str">
        <f ca="1">IFERROR(__xludf.DUMMYFUNCTION("""COMPUTED_VALUE"""),"Lost")</f>
        <v>Lost</v>
      </c>
      <c r="I46" s="6"/>
      <c r="J46" s="6">
        <f ca="1">IFERROR(__xludf.DUMMYFUNCTION("""COMPUTED_VALUE"""),1)</f>
        <v>1</v>
      </c>
      <c r="K46" s="8">
        <f ca="1">IFERROR(__xludf.DUMMYFUNCTION("""COMPUTED_VALUE"""),20000)</f>
        <v>20000</v>
      </c>
      <c r="L46" s="8">
        <f ca="1">IFERROR(__xludf.DUMMYFUNCTION("""COMPUTED_VALUE"""),229.042601923957)</f>
        <v>229.04260192395699</v>
      </c>
      <c r="M46" s="96"/>
      <c r="N46" s="6"/>
      <c r="O46" s="97"/>
      <c r="P46" s="6"/>
      <c r="Q46" s="6"/>
      <c r="R46" s="6"/>
      <c r="S46" s="6" t="str">
        <f ca="1">IFERROR(__xludf.DUMMYFUNCTION("""COMPUTED_VALUE"""),"NonCategory")</f>
        <v>NonCategory</v>
      </c>
      <c r="T46" s="6"/>
      <c r="U46" s="6"/>
      <c r="V46" s="6"/>
      <c r="W46" s="6"/>
      <c r="X46" s="6"/>
      <c r="Y46" s="6"/>
      <c r="Z46" s="6"/>
      <c r="AA46" s="6"/>
      <c r="AB46" s="6"/>
      <c r="AC46" s="6"/>
      <c r="AD46" s="6"/>
      <c r="AE46" s="6"/>
      <c r="AF46" s="6"/>
      <c r="AG46" s="6"/>
      <c r="AH46" s="6"/>
      <c r="AI46" s="6"/>
      <c r="AJ46" s="6"/>
      <c r="AK46" s="6"/>
      <c r="AL46" s="6"/>
    </row>
    <row r="47" spans="1:38">
      <c r="A47" s="96">
        <f ca="1">IFERROR(__xludf.DUMMYFUNCTION("""COMPUTED_VALUE"""),44175)</f>
        <v>44175</v>
      </c>
      <c r="B47" s="6" t="str">
        <f ca="1">IFERROR(__xludf.DUMMYFUNCTION("""COMPUTED_VALUE"""),"Dushyant Lodaya")</f>
        <v>Dushyant Lodaya</v>
      </c>
      <c r="C47" s="6" t="str">
        <f ca="1">IFERROR(__xludf.DUMMYFUNCTION("""COMPUTED_VALUE"""),"dushyant.lodaya@gmail.com")</f>
        <v>dushyant.lodaya@gmail.com</v>
      </c>
      <c r="D47" s="6">
        <f ca="1">IFERROR(__xludf.DUMMYFUNCTION("""COMPUTED_VALUE"""),9673565408)</f>
        <v>9673565408</v>
      </c>
      <c r="E47" s="6" t="str">
        <f ca="1">IFERROR(__xludf.DUMMYFUNCTION("""COMPUTED_VALUE"""),"chat_initiated")</f>
        <v>chat_initiated</v>
      </c>
      <c r="F47" s="6" t="str">
        <f ca="1">IFERROR(__xludf.DUMMYFUNCTION("""COMPUTED_VALUE"""),"CSM")</f>
        <v>CSM</v>
      </c>
      <c r="G47" s="80">
        <f ca="1">IFERROR(__xludf.DUMMYFUNCTION("""COMPUTED_VALUE"""),44166)</f>
        <v>44166</v>
      </c>
      <c r="H47" s="6" t="str">
        <f ca="1">IFERROR(__xludf.DUMMYFUNCTION("""COMPUTED_VALUE"""),"Lost")</f>
        <v>Lost</v>
      </c>
      <c r="I47" s="6" t="str">
        <f ca="1">IFERROR(__xludf.DUMMYFUNCTION("""COMPUTED_VALUE"""),"Dec 2020")</f>
        <v>Dec 2020</v>
      </c>
      <c r="J47" s="6">
        <f ca="1">IFERROR(__xludf.DUMMYFUNCTION("""COMPUTED_VALUE"""),1)</f>
        <v>1</v>
      </c>
      <c r="K47" s="8">
        <f ca="1">IFERROR(__xludf.DUMMYFUNCTION("""COMPUTED_VALUE"""),21000)</f>
        <v>21000</v>
      </c>
      <c r="L47" s="8">
        <f ca="1">IFERROR(__xludf.DUMMYFUNCTION("""COMPUTED_VALUE"""),240.494732020155)</f>
        <v>240.494732020155</v>
      </c>
      <c r="M47" s="96">
        <f ca="1">IFERROR(__xludf.DUMMYFUNCTION("""COMPUTED_VALUE"""),44186)</f>
        <v>44186</v>
      </c>
      <c r="N47" s="6"/>
      <c r="O47" s="97"/>
      <c r="P47" s="6"/>
      <c r="Q47" s="6" t="str">
        <f ca="1">IFERROR(__xludf.DUMMYFUNCTION("""COMPUTED_VALUE"""),"He says, he has dropped the plan.")</f>
        <v>He says, he has dropped the plan.</v>
      </c>
      <c r="R47" s="6"/>
      <c r="S47" s="6" t="str">
        <f ca="1">IFERROR(__xludf.DUMMYFUNCTION("""COMPUTED_VALUE"""),"Category")</f>
        <v>Category</v>
      </c>
      <c r="T47" s="6"/>
      <c r="U47" s="6"/>
      <c r="V47" s="6"/>
      <c r="W47" s="6"/>
      <c r="X47" s="6"/>
      <c r="Y47" s="6"/>
      <c r="Z47" s="6"/>
      <c r="AA47" s="6"/>
      <c r="AB47" s="6"/>
      <c r="AC47" s="6"/>
      <c r="AD47" s="6"/>
      <c r="AE47" s="6"/>
      <c r="AF47" s="6"/>
      <c r="AG47" s="6"/>
      <c r="AH47" s="6"/>
      <c r="AI47" s="6"/>
      <c r="AJ47" s="6"/>
      <c r="AK47" s="6"/>
      <c r="AL47" s="6"/>
    </row>
    <row r="48" spans="1:38">
      <c r="A48" s="96">
        <f ca="1">IFERROR(__xludf.DUMMYFUNCTION("""COMPUTED_VALUE"""),44154)</f>
        <v>44154</v>
      </c>
      <c r="B48" s="6" t="str">
        <f ca="1">IFERROR(__xludf.DUMMYFUNCTION("""COMPUTED_VALUE"""),"Srinidhi")</f>
        <v>Srinidhi</v>
      </c>
      <c r="C48" s="6" t="str">
        <f ca="1">IFERROR(__xludf.DUMMYFUNCTION("""COMPUTED_VALUE"""),"srinidhiram@gmail.com")</f>
        <v>srinidhiram@gmail.com</v>
      </c>
      <c r="D48" s="6">
        <f ca="1">IFERROR(__xludf.DUMMYFUNCTION("""COMPUTED_VALUE"""),9620104847)</f>
        <v>9620104847</v>
      </c>
      <c r="E48" s="6"/>
      <c r="F48" s="6" t="str">
        <f ca="1">IFERROR(__xludf.DUMMYFUNCTION("""COMPUTED_VALUE"""),"CSM")</f>
        <v>CSM</v>
      </c>
      <c r="G48" s="80">
        <f ca="1">IFERROR(__xludf.DUMMYFUNCTION("""COMPUTED_VALUE"""),44166)</f>
        <v>44166</v>
      </c>
      <c r="H48" s="6" t="str">
        <f ca="1">IFERROR(__xludf.DUMMYFUNCTION("""COMPUTED_VALUE"""),"Lost")</f>
        <v>Lost</v>
      </c>
      <c r="I48" s="6" t="str">
        <f ca="1">IFERROR(__xludf.DUMMYFUNCTION("""COMPUTED_VALUE"""),"Dec 2020")</f>
        <v>Dec 2020</v>
      </c>
      <c r="J48" s="6">
        <f ca="1">IFERROR(__xludf.DUMMYFUNCTION("""COMPUTED_VALUE"""),1)</f>
        <v>1</v>
      </c>
      <c r="K48" s="8">
        <f ca="1">IFERROR(__xludf.DUMMYFUNCTION("""COMPUTED_VALUE"""),20000)</f>
        <v>20000</v>
      </c>
      <c r="L48" s="8">
        <f ca="1">IFERROR(__xludf.DUMMYFUNCTION("""COMPUTED_VALUE"""),229.042601923957)</f>
        <v>229.04260192395699</v>
      </c>
      <c r="M48" s="96">
        <f ca="1">IFERROR(__xludf.DUMMYFUNCTION("""COMPUTED_VALUE"""),44188)</f>
        <v>44188</v>
      </c>
      <c r="N48" s="6"/>
      <c r="O48" s="97"/>
      <c r="P48" s="6"/>
      <c r="Q48" s="6" t="str">
        <f ca="1">IFERROR(__xludf.DUMMYFUNCTION("""COMPUTED_VALUE"""),"Pricing issue.")</f>
        <v>Pricing issue.</v>
      </c>
      <c r="R48" s="6"/>
      <c r="S48" s="6" t="str">
        <f ca="1">IFERROR(__xludf.DUMMYFUNCTION("""COMPUTED_VALUE"""),"Category")</f>
        <v>Category</v>
      </c>
      <c r="T48" s="6"/>
      <c r="U48" s="6"/>
      <c r="V48" s="6"/>
      <c r="W48" s="6"/>
      <c r="X48" s="6"/>
      <c r="Y48" s="6"/>
      <c r="Z48" s="6"/>
      <c r="AA48" s="6"/>
      <c r="AB48" s="6"/>
      <c r="AC48" s="6"/>
      <c r="AD48" s="6"/>
      <c r="AE48" s="6"/>
      <c r="AF48" s="6"/>
      <c r="AG48" s="6"/>
      <c r="AH48" s="6"/>
      <c r="AI48" s="6"/>
      <c r="AJ48" s="6"/>
      <c r="AK48" s="6"/>
      <c r="AL48" s="6"/>
    </row>
    <row r="49" spans="1:38">
      <c r="A49" s="96">
        <f ca="1">IFERROR(__xludf.DUMMYFUNCTION("""COMPUTED_VALUE"""),44158)</f>
        <v>44158</v>
      </c>
      <c r="B49" s="6" t="str">
        <f ca="1">IFERROR(__xludf.DUMMYFUNCTION("""COMPUTED_VALUE"""),"Raja Rajan")</f>
        <v>Raja Rajan</v>
      </c>
      <c r="C49" s="6" t="str">
        <f ca="1">IFERROR(__xludf.DUMMYFUNCTION("""COMPUTED_VALUE"""),"connectrajarajan@gmail.com")</f>
        <v>connectrajarajan@gmail.com</v>
      </c>
      <c r="D49" s="6">
        <f ca="1">IFERROR(__xludf.DUMMYFUNCTION("""COMPUTED_VALUE"""),7904568234)</f>
        <v>7904568234</v>
      </c>
      <c r="E49" s="6" t="str">
        <f ca="1">IFERROR(__xludf.DUMMYFUNCTION("""COMPUTED_VALUE"""),"chat_initiated")</f>
        <v>chat_initiated</v>
      </c>
      <c r="F49" s="6" t="str">
        <f ca="1">IFERROR(__xludf.DUMMYFUNCTION("""COMPUTED_VALUE"""),"CSM")</f>
        <v>CSM</v>
      </c>
      <c r="G49" s="80">
        <f ca="1">IFERROR(__xludf.DUMMYFUNCTION("""COMPUTED_VALUE"""),44166)</f>
        <v>44166</v>
      </c>
      <c r="H49" s="6" t="str">
        <f ca="1">IFERROR(__xludf.DUMMYFUNCTION("""COMPUTED_VALUE"""),"Won")</f>
        <v>Won</v>
      </c>
      <c r="I49" s="6" t="str">
        <f ca="1">IFERROR(__xludf.DUMMYFUNCTION("""COMPUTED_VALUE"""),"26-27 Dec 2020")</f>
        <v>26-27 Dec 2020</v>
      </c>
      <c r="J49" s="6">
        <f ca="1">IFERROR(__xludf.DUMMYFUNCTION("""COMPUTED_VALUE"""),1)</f>
        <v>1</v>
      </c>
      <c r="K49" s="8">
        <f ca="1">IFERROR(__xludf.DUMMYFUNCTION("""COMPUTED_VALUE"""),19000)</f>
        <v>19000</v>
      </c>
      <c r="L49" s="8">
        <f ca="1">IFERROR(__xludf.DUMMYFUNCTION("""COMPUTED_VALUE"""),217.590471827759)</f>
        <v>217.59047182775899</v>
      </c>
      <c r="M49" s="96">
        <f ca="1">IFERROR(__xludf.DUMMYFUNCTION("""COMPUTED_VALUE"""),44183)</f>
        <v>44183</v>
      </c>
      <c r="N49" s="6"/>
      <c r="O49" s="97">
        <f ca="1">IFERROR(__xludf.DUMMYFUNCTION("""COMPUTED_VALUE"""),44182)</f>
        <v>44182</v>
      </c>
      <c r="P49" s="6" t="str">
        <f ca="1">IFERROR(__xludf.DUMMYFUNCTION("""COMPUTED_VALUE"""),"CSTM_4L9TZ26V3JP")</f>
        <v>CSTM_4L9TZ26V3JP</v>
      </c>
      <c r="Q49" s="6"/>
      <c r="R49" s="6" t="str">
        <f ca="1">IFERROR(__xludf.DUMMYFUNCTION("""COMPUTED_VALUE"""),"Pending")</f>
        <v>Pending</v>
      </c>
      <c r="S49" s="6" t="str">
        <f ca="1">IFERROR(__xludf.DUMMYFUNCTION("""COMPUTED_VALUE"""),"Category")</f>
        <v>Category</v>
      </c>
      <c r="T49" s="6"/>
      <c r="U49" s="6"/>
      <c r="V49" s="6"/>
      <c r="W49" s="6"/>
      <c r="X49" s="6"/>
      <c r="Y49" s="6"/>
      <c r="Z49" s="6"/>
      <c r="AA49" s="6"/>
      <c r="AB49" s="6"/>
      <c r="AC49" s="6"/>
      <c r="AD49" s="6"/>
      <c r="AE49" s="6"/>
      <c r="AF49" s="6"/>
      <c r="AG49" s="6"/>
      <c r="AH49" s="6"/>
      <c r="AI49" s="6"/>
      <c r="AJ49" s="6"/>
      <c r="AK49" s="6"/>
      <c r="AL49" s="6"/>
    </row>
    <row r="50" spans="1:38">
      <c r="A50" s="96">
        <f ca="1">IFERROR(__xludf.DUMMYFUNCTION("""COMPUTED_VALUE"""),44181)</f>
        <v>44181</v>
      </c>
      <c r="B50" s="6" t="str">
        <f ca="1">IFERROR(__xludf.DUMMYFUNCTION("""COMPUTED_VALUE"""),"Swati Gupta")</f>
        <v>Swati Gupta</v>
      </c>
      <c r="C50" s="6" t="str">
        <f ca="1">IFERROR(__xludf.DUMMYFUNCTION("""COMPUTED_VALUE"""),"swatigupta.812@gmail.com")</f>
        <v>swatigupta.812@gmail.com</v>
      </c>
      <c r="D50" s="6">
        <f ca="1">IFERROR(__xludf.DUMMYFUNCTION("""COMPUTED_VALUE"""),9958518292)</f>
        <v>9958518292</v>
      </c>
      <c r="E50" s="6" t="str">
        <f ca="1">IFERROR(__xludf.DUMMYFUNCTION("""COMPUTED_VALUE"""),"Reference")</f>
        <v>Reference</v>
      </c>
      <c r="F50" s="6" t="str">
        <f ca="1">IFERROR(__xludf.DUMMYFUNCTION("""COMPUTED_VALUE"""),"CSM")</f>
        <v>CSM</v>
      </c>
      <c r="G50" s="80">
        <f ca="1">IFERROR(__xludf.DUMMYFUNCTION("""COMPUTED_VALUE"""),44166)</f>
        <v>44166</v>
      </c>
      <c r="H50" s="6" t="str">
        <f ca="1">IFERROR(__xludf.DUMMYFUNCTION("""COMPUTED_VALUE"""),"Won")</f>
        <v>Won</v>
      </c>
      <c r="I50" s="6" t="str">
        <f ca="1">IFERROR(__xludf.DUMMYFUNCTION("""COMPUTED_VALUE"""),"26-27 Dec 2020")</f>
        <v>26-27 Dec 2020</v>
      </c>
      <c r="J50" s="6">
        <f ca="1">IFERROR(__xludf.DUMMYFUNCTION("""COMPUTED_VALUE"""),1)</f>
        <v>1</v>
      </c>
      <c r="K50" s="8">
        <f ca="1">IFERROR(__xludf.DUMMYFUNCTION("""COMPUTED_VALUE"""),20000)</f>
        <v>20000</v>
      </c>
      <c r="L50" s="8">
        <f ca="1">IFERROR(__xludf.DUMMYFUNCTION("""COMPUTED_VALUE"""),229.042601923957)</f>
        <v>229.04260192395699</v>
      </c>
      <c r="M50" s="96">
        <f ca="1">IFERROR(__xludf.DUMMYFUNCTION("""COMPUTED_VALUE"""),44183)</f>
        <v>44183</v>
      </c>
      <c r="N50" s="6"/>
      <c r="O50" s="97">
        <f ca="1">IFERROR(__xludf.DUMMYFUNCTION("""COMPUTED_VALUE"""),44183)</f>
        <v>44183</v>
      </c>
      <c r="P50" s="6" t="str">
        <f ca="1">IFERROR(__xludf.DUMMYFUNCTION("""COMPUTED_VALUE"""),"CSTM_HCALPI79ATP")</f>
        <v>CSTM_HCALPI79ATP</v>
      </c>
      <c r="Q50" s="6"/>
      <c r="R50" s="6" t="str">
        <f ca="1">IFERROR(__xludf.DUMMYFUNCTION("""COMPUTED_VALUE"""),"Pending")</f>
        <v>Pending</v>
      </c>
      <c r="S50" s="6" t="str">
        <f ca="1">IFERROR(__xludf.DUMMYFUNCTION("""COMPUTED_VALUE"""),"Category")</f>
        <v>Category</v>
      </c>
      <c r="T50" s="6" t="str">
        <f ca="1">IFERROR(__xludf.DUMMYFUNCTION("""COMPUTED_VALUE"""),"Sent.")</f>
        <v>Sent.</v>
      </c>
      <c r="U50" s="6"/>
      <c r="V50" s="6"/>
      <c r="W50" s="6"/>
      <c r="X50" s="6"/>
      <c r="Y50" s="6"/>
      <c r="Z50" s="6"/>
      <c r="AA50" s="6"/>
      <c r="AB50" s="6"/>
      <c r="AC50" s="6"/>
      <c r="AD50" s="6"/>
      <c r="AE50" s="6"/>
      <c r="AF50" s="6"/>
      <c r="AG50" s="6"/>
      <c r="AH50" s="6"/>
      <c r="AI50" s="6"/>
      <c r="AJ50" s="6"/>
      <c r="AK50" s="6"/>
      <c r="AL50" s="6"/>
    </row>
    <row r="51" spans="1:38">
      <c r="A51" s="96">
        <f ca="1">IFERROR(__xludf.DUMMYFUNCTION("""COMPUTED_VALUE"""),44160)</f>
        <v>44160</v>
      </c>
      <c r="B51" s="6" t="str">
        <f ca="1">IFERROR(__xludf.DUMMYFUNCTION("""COMPUTED_VALUE"""),"Anmol Dhand")</f>
        <v>Anmol Dhand</v>
      </c>
      <c r="C51" s="6" t="str">
        <f ca="1">IFERROR(__xludf.DUMMYFUNCTION("""COMPUTED_VALUE"""),"anmollife26@gmail.com")</f>
        <v>anmollife26@gmail.com</v>
      </c>
      <c r="D51" s="6">
        <f ca="1">IFERROR(__xludf.DUMMYFUNCTION("""COMPUTED_VALUE"""),9888036384)</f>
        <v>9888036384</v>
      </c>
      <c r="E51" s="6" t="str">
        <f ca="1">IFERROR(__xludf.DUMMYFUNCTION("""COMPUTED_VALUE"""),"chat_initiated")</f>
        <v>chat_initiated</v>
      </c>
      <c r="F51" s="6" t="str">
        <f ca="1">IFERROR(__xludf.DUMMYFUNCTION("""COMPUTED_VALUE"""),"CSM")</f>
        <v>CSM</v>
      </c>
      <c r="G51" s="80">
        <f ca="1">IFERROR(__xludf.DUMMYFUNCTION("""COMPUTED_VALUE"""),44166)</f>
        <v>44166</v>
      </c>
      <c r="H51" s="6" t="str">
        <f ca="1">IFERROR(__xludf.DUMMYFUNCTION("""COMPUTED_VALUE"""),"Won")</f>
        <v>Won</v>
      </c>
      <c r="I51" s="6" t="str">
        <f ca="1">IFERROR(__xludf.DUMMYFUNCTION("""COMPUTED_VALUE"""),"22-23 Dec 2020")</f>
        <v>22-23 Dec 2020</v>
      </c>
      <c r="J51" s="6">
        <f ca="1">IFERROR(__xludf.DUMMYFUNCTION("""COMPUTED_VALUE"""),1)</f>
        <v>1</v>
      </c>
      <c r="K51" s="8">
        <f ca="1">IFERROR(__xludf.DUMMYFUNCTION("""COMPUTED_VALUE"""),20000)</f>
        <v>20000</v>
      </c>
      <c r="L51" s="8">
        <f ca="1">IFERROR(__xludf.DUMMYFUNCTION("""COMPUTED_VALUE"""),229.042601923957)</f>
        <v>229.04260192395699</v>
      </c>
      <c r="M51" s="96">
        <f ca="1">IFERROR(__xludf.DUMMYFUNCTION("""COMPUTED_VALUE"""),44184)</f>
        <v>44184</v>
      </c>
      <c r="N51" s="6"/>
      <c r="O51" s="97">
        <f ca="1">IFERROR(__xludf.DUMMYFUNCTION("""COMPUTED_VALUE"""),44184)</f>
        <v>44184</v>
      </c>
      <c r="P51" s="6" t="str">
        <f ca="1">IFERROR(__xludf.DUMMYFUNCTION("""COMPUTED_VALUE"""),"CSTM_7IYILVWDIWJ")</f>
        <v>CSTM_7IYILVWDIWJ</v>
      </c>
      <c r="Q51" s="6"/>
      <c r="R51" s="6" t="str">
        <f ca="1">IFERROR(__xludf.DUMMYFUNCTION("""COMPUTED_VALUE"""),"Done. Asked for Fb.")</f>
        <v>Done. Asked for Fb.</v>
      </c>
      <c r="S51" s="6" t="str">
        <f ca="1">IFERROR(__xludf.DUMMYFUNCTION("""COMPUTED_VALUE"""),"Category")</f>
        <v>Category</v>
      </c>
      <c r="T51" s="6"/>
      <c r="U51" s="6"/>
      <c r="V51" s="6"/>
      <c r="W51" s="6"/>
      <c r="X51" s="6"/>
      <c r="Y51" s="6"/>
      <c r="Z51" s="6"/>
      <c r="AA51" s="6"/>
      <c r="AB51" s="6"/>
      <c r="AC51" s="6"/>
      <c r="AD51" s="6"/>
      <c r="AE51" s="6"/>
      <c r="AF51" s="6"/>
      <c r="AG51" s="6"/>
      <c r="AH51" s="6"/>
      <c r="AI51" s="6"/>
      <c r="AJ51" s="6"/>
      <c r="AK51" s="6"/>
      <c r="AL51" s="6"/>
    </row>
    <row r="52" spans="1:38">
      <c r="A52" s="96">
        <f ca="1">IFERROR(__xludf.DUMMYFUNCTION("""COMPUTED_VALUE"""),44184)</f>
        <v>44184</v>
      </c>
      <c r="B52" s="6" t="str">
        <f ca="1">IFERROR(__xludf.DUMMYFUNCTION("""COMPUTED_VALUE"""),"Yash")</f>
        <v>Yash</v>
      </c>
      <c r="C52" s="6" t="str">
        <f ca="1">IFERROR(__xludf.DUMMYFUNCTION("""COMPUTED_VALUE"""),"yashjuly2@gmail.com")</f>
        <v>yashjuly2@gmail.com</v>
      </c>
      <c r="D52" s="6">
        <f ca="1">IFERROR(__xludf.DUMMYFUNCTION("""COMPUTED_VALUE"""),9424821441)</f>
        <v>9424821441</v>
      </c>
      <c r="E52" s="6" t="str">
        <f ca="1">IFERROR(__xludf.DUMMYFUNCTION("""COMPUTED_VALUE"""),"course-agenda")</f>
        <v>course-agenda</v>
      </c>
      <c r="F52" s="6" t="str">
        <f ca="1">IFERROR(__xludf.DUMMYFUNCTION("""COMPUTED_VALUE"""),"CSM")</f>
        <v>CSM</v>
      </c>
      <c r="G52" s="80">
        <f ca="1">IFERROR(__xludf.DUMMYFUNCTION("""COMPUTED_VALUE"""),44166)</f>
        <v>44166</v>
      </c>
      <c r="H52" s="6" t="str">
        <f ca="1">IFERROR(__xludf.DUMMYFUNCTION("""COMPUTED_VALUE"""),"Won")</f>
        <v>Won</v>
      </c>
      <c r="I52" s="6" t="str">
        <f ca="1">IFERROR(__xludf.DUMMYFUNCTION("""COMPUTED_VALUE"""),"26-27 Dec 2020")</f>
        <v>26-27 Dec 2020</v>
      </c>
      <c r="J52" s="6">
        <f ca="1">IFERROR(__xludf.DUMMYFUNCTION("""COMPUTED_VALUE"""),1)</f>
        <v>1</v>
      </c>
      <c r="K52" s="8">
        <f ca="1">IFERROR(__xludf.DUMMYFUNCTION("""COMPUTED_VALUE"""),21000)</f>
        <v>21000</v>
      </c>
      <c r="L52" s="8">
        <f ca="1">IFERROR(__xludf.DUMMYFUNCTION("""COMPUTED_VALUE"""),240.494732020155)</f>
        <v>240.494732020155</v>
      </c>
      <c r="M52" s="96">
        <f ca="1">IFERROR(__xludf.DUMMYFUNCTION("""COMPUTED_VALUE"""),44184)</f>
        <v>44184</v>
      </c>
      <c r="N52" s="6"/>
      <c r="O52" s="97">
        <f ca="1">IFERROR(__xludf.DUMMYFUNCTION("""COMPUTED_VALUE"""),44184)</f>
        <v>44184</v>
      </c>
      <c r="P52" s="6" t="str">
        <f ca="1">IFERROR(__xludf.DUMMYFUNCTION("""COMPUTED_VALUE"""),"CSTM_7E5UYQUQKI5")</f>
        <v>CSTM_7E5UYQUQKI5</v>
      </c>
      <c r="Q52" s="6"/>
      <c r="R52" s="6" t="str">
        <f ca="1">IFERROR(__xludf.DUMMYFUNCTION("""COMPUTED_VALUE"""),"Pending")</f>
        <v>Pending</v>
      </c>
      <c r="S52" s="6" t="str">
        <f ca="1">IFERROR(__xludf.DUMMYFUNCTION("""COMPUTED_VALUE"""),"Category")</f>
        <v>Category</v>
      </c>
      <c r="T52" s="6"/>
      <c r="U52" s="6"/>
      <c r="V52" s="6"/>
      <c r="W52" s="6"/>
      <c r="X52" s="6"/>
      <c r="Y52" s="6"/>
      <c r="Z52" s="6"/>
      <c r="AA52" s="6"/>
      <c r="AB52" s="6"/>
      <c r="AC52" s="6"/>
      <c r="AD52" s="6"/>
      <c r="AE52" s="6"/>
      <c r="AF52" s="6"/>
      <c r="AG52" s="6"/>
      <c r="AH52" s="6"/>
      <c r="AI52" s="6"/>
      <c r="AJ52" s="6"/>
      <c r="AK52" s="6"/>
      <c r="AL52" s="6"/>
    </row>
    <row r="53" spans="1:38">
      <c r="A53" s="96">
        <f ca="1">IFERROR(__xludf.DUMMYFUNCTION("""COMPUTED_VALUE"""),44183)</f>
        <v>44183</v>
      </c>
      <c r="B53" s="6" t="str">
        <f ca="1">IFERROR(__xludf.DUMMYFUNCTION("""COMPUTED_VALUE"""),"Kavita")</f>
        <v>Kavita</v>
      </c>
      <c r="C53" s="6" t="str">
        <f ca="1">IFERROR(__xludf.DUMMYFUNCTION("""COMPUTED_VALUE"""),"kavita2001@gmail.com")</f>
        <v>kavita2001@gmail.com</v>
      </c>
      <c r="D53" s="6">
        <f ca="1">IFERROR(__xludf.DUMMYFUNCTION("""COMPUTED_VALUE"""),9871113492)</f>
        <v>9871113492</v>
      </c>
      <c r="E53" s="6" t="str">
        <f ca="1">IFERROR(__xludf.DUMMYFUNCTION("""COMPUTED_VALUE"""),"Reference")</f>
        <v>Reference</v>
      </c>
      <c r="F53" s="6" t="str">
        <f ca="1">IFERROR(__xludf.DUMMYFUNCTION("""COMPUTED_VALUE"""),"CSM")</f>
        <v>CSM</v>
      </c>
      <c r="G53" s="80">
        <f ca="1">IFERROR(__xludf.DUMMYFUNCTION("""COMPUTED_VALUE"""),44166)</f>
        <v>44166</v>
      </c>
      <c r="H53" s="6" t="str">
        <f ca="1">IFERROR(__xludf.DUMMYFUNCTION("""COMPUTED_VALUE"""),"Won")</f>
        <v>Won</v>
      </c>
      <c r="I53" s="6" t="str">
        <f ca="1">IFERROR(__xludf.DUMMYFUNCTION("""COMPUTED_VALUE"""),"9-10 Jan 2021")</f>
        <v>9-10 Jan 2021</v>
      </c>
      <c r="J53" s="6">
        <f ca="1">IFERROR(__xludf.DUMMYFUNCTION("""COMPUTED_VALUE"""),1)</f>
        <v>1</v>
      </c>
      <c r="K53" s="8">
        <f ca="1">IFERROR(__xludf.DUMMYFUNCTION("""COMPUTED_VALUE"""),20000)</f>
        <v>20000</v>
      </c>
      <c r="L53" s="8">
        <f ca="1">IFERROR(__xludf.DUMMYFUNCTION("""COMPUTED_VALUE"""),229.042601923957)</f>
        <v>229.04260192395699</v>
      </c>
      <c r="M53" s="96">
        <f ca="1">IFERROR(__xludf.DUMMYFUNCTION("""COMPUTED_VALUE"""),44184)</f>
        <v>44184</v>
      </c>
      <c r="N53" s="6"/>
      <c r="O53" s="97">
        <f ca="1">IFERROR(__xludf.DUMMYFUNCTION("""COMPUTED_VALUE"""),44184)</f>
        <v>44184</v>
      </c>
      <c r="P53" s="6" t="str">
        <f ca="1">IFERROR(__xludf.DUMMYFUNCTION("""COMPUTED_VALUE"""),"CSTM_CQEXUHG2BDT")</f>
        <v>CSTM_CQEXUHG2BDT</v>
      </c>
      <c r="Q53" s="6" t="str">
        <f ca="1">IFERROR(__xludf.DUMMYFUNCTION("""COMPUTED_VALUE"""),"By Nisha Chugh")</f>
        <v>By Nisha Chugh</v>
      </c>
      <c r="R53" s="6" t="str">
        <f ca="1">IFERROR(__xludf.DUMMYFUNCTION("""COMPUTED_VALUE"""),"Done. Good feedback.")</f>
        <v>Done. Good feedback.</v>
      </c>
      <c r="S53" s="6" t="str">
        <f ca="1">IFERROR(__xludf.DUMMYFUNCTION("""COMPUTED_VALUE"""),"Category")</f>
        <v>Category</v>
      </c>
      <c r="T53" s="6" t="str">
        <f ca="1">IFERROR(__xludf.DUMMYFUNCTION("""COMPUTED_VALUE"""),"Referee's email id already present in the system.")</f>
        <v>Referee's email id already present in the system.</v>
      </c>
      <c r="U53" s="6"/>
      <c r="V53" s="6"/>
      <c r="W53" s="6"/>
      <c r="X53" s="6"/>
      <c r="Y53" s="6"/>
      <c r="Z53" s="6"/>
      <c r="AA53" s="6"/>
      <c r="AB53" s="6"/>
      <c r="AC53" s="6"/>
      <c r="AD53" s="6"/>
      <c r="AE53" s="6"/>
      <c r="AF53" s="6"/>
      <c r="AG53" s="6"/>
      <c r="AH53" s="6"/>
      <c r="AI53" s="6"/>
      <c r="AJ53" s="6"/>
      <c r="AK53" s="6"/>
      <c r="AL53" s="6"/>
    </row>
    <row r="54" spans="1:38">
      <c r="A54" s="96">
        <f ca="1">IFERROR(__xludf.DUMMYFUNCTION("""COMPUTED_VALUE"""),44183)</f>
        <v>44183</v>
      </c>
      <c r="B54" s="6" t="str">
        <f ca="1">IFERROR(__xludf.DUMMYFUNCTION("""COMPUTED_VALUE"""),"Amit Ghosh")</f>
        <v>Amit Ghosh</v>
      </c>
      <c r="C54" s="6" t="str">
        <f ca="1">IFERROR(__xludf.DUMMYFUNCTION("""COMPUTED_VALUE"""),"amit_gh@outlook.com")</f>
        <v>amit_gh@outlook.com</v>
      </c>
      <c r="D54" s="6">
        <f ca="1">IFERROR(__xludf.DUMMYFUNCTION("""COMPUTED_VALUE"""),9765203960)</f>
        <v>9765203960</v>
      </c>
      <c r="E54" s="6" t="str">
        <f ca="1">IFERROR(__xludf.DUMMYFUNCTION("""COMPUTED_VALUE"""),"Query box")</f>
        <v>Query box</v>
      </c>
      <c r="F54" s="6" t="str">
        <f ca="1">IFERROR(__xludf.DUMMYFUNCTION("""COMPUTED_VALUE"""),"CSM")</f>
        <v>CSM</v>
      </c>
      <c r="G54" s="80">
        <f ca="1">IFERROR(__xludf.DUMMYFUNCTION("""COMPUTED_VALUE"""),44166)</f>
        <v>44166</v>
      </c>
      <c r="H54" s="6" t="str">
        <f ca="1">IFERROR(__xludf.DUMMYFUNCTION("""COMPUTED_VALUE"""),"Won")</f>
        <v>Won</v>
      </c>
      <c r="I54" s="6" t="str">
        <f ca="1">IFERROR(__xludf.DUMMYFUNCTION("""COMPUTED_VALUE"""),"16-17 Jan 2021")</f>
        <v>16-17 Jan 2021</v>
      </c>
      <c r="J54" s="6">
        <f ca="1">IFERROR(__xludf.DUMMYFUNCTION("""COMPUTED_VALUE"""),1)</f>
        <v>1</v>
      </c>
      <c r="K54" s="8">
        <f ca="1">IFERROR(__xludf.DUMMYFUNCTION("""COMPUTED_VALUE"""),20000)</f>
        <v>20000</v>
      </c>
      <c r="L54" s="8">
        <f ca="1">IFERROR(__xludf.DUMMYFUNCTION("""COMPUTED_VALUE"""),229.042601923957)</f>
        <v>229.04260192395699</v>
      </c>
      <c r="M54" s="96">
        <f ca="1">IFERROR(__xludf.DUMMYFUNCTION("""COMPUTED_VALUE"""),44185)</f>
        <v>44185</v>
      </c>
      <c r="N54" s="6"/>
      <c r="O54" s="97">
        <f ca="1">IFERROR(__xludf.DUMMYFUNCTION("""COMPUTED_VALUE"""),44185)</f>
        <v>44185</v>
      </c>
      <c r="P54" s="6" t="str">
        <f ca="1">IFERROR(__xludf.DUMMYFUNCTION("""COMPUTED_VALUE"""),"CSTM_CHT3D3D2NPN")</f>
        <v>CSTM_CHT3D3D2NPN</v>
      </c>
      <c r="Q54" s="6"/>
      <c r="R54" s="6" t="str">
        <f ca="1">IFERROR(__xludf.DUMMYFUNCTION("""COMPUTED_VALUE"""),"Pending")</f>
        <v>Pending</v>
      </c>
      <c r="S54" s="6" t="str">
        <f ca="1">IFERROR(__xludf.DUMMYFUNCTION("""COMPUTED_VALUE"""),"Category")</f>
        <v>Category</v>
      </c>
      <c r="T54" s="6"/>
      <c r="U54" s="6"/>
      <c r="V54" s="6"/>
      <c r="W54" s="6"/>
      <c r="X54" s="6"/>
      <c r="Y54" s="6"/>
      <c r="Z54" s="6"/>
      <c r="AA54" s="6"/>
      <c r="AB54" s="6"/>
      <c r="AC54" s="6"/>
      <c r="AD54" s="6"/>
      <c r="AE54" s="6"/>
      <c r="AF54" s="6"/>
      <c r="AG54" s="6"/>
      <c r="AH54" s="6"/>
      <c r="AI54" s="6"/>
      <c r="AJ54" s="6"/>
      <c r="AK54" s="6"/>
      <c r="AL54" s="6"/>
    </row>
    <row r="55" spans="1:38">
      <c r="A55" s="96">
        <f ca="1">IFERROR(__xludf.DUMMYFUNCTION("""COMPUTED_VALUE"""),44185)</f>
        <v>44185</v>
      </c>
      <c r="B55" s="6" t="str">
        <f ca="1">IFERROR(__xludf.DUMMYFUNCTION("""COMPUTED_VALUE"""),"Mathews Oomen")</f>
        <v>Mathews Oomen</v>
      </c>
      <c r="C55" s="6" t="str">
        <f ca="1">IFERROR(__xludf.DUMMYFUNCTION("""COMPUTED_VALUE"""),"mathews100@gmail.com")</f>
        <v>mathews100@gmail.com</v>
      </c>
      <c r="D55" s="6">
        <f ca="1">IFERROR(__xludf.DUMMYFUNCTION("""COMPUTED_VALUE"""),7022257897)</f>
        <v>7022257897</v>
      </c>
      <c r="E55" s="6" t="str">
        <f ca="1">IFERROR(__xludf.DUMMYFUNCTION("""COMPUTED_VALUE"""),"Query box")</f>
        <v>Query box</v>
      </c>
      <c r="F55" s="6" t="str">
        <f ca="1">IFERROR(__xludf.DUMMYFUNCTION("""COMPUTED_VALUE"""),"CSM")</f>
        <v>CSM</v>
      </c>
      <c r="G55" s="80">
        <f ca="1">IFERROR(__xludf.DUMMYFUNCTION("""COMPUTED_VALUE"""),44166)</f>
        <v>44166</v>
      </c>
      <c r="H55" s="6" t="str">
        <f ca="1">IFERROR(__xludf.DUMMYFUNCTION("""COMPUTED_VALUE"""),"Won")</f>
        <v>Won</v>
      </c>
      <c r="I55" s="6" t="str">
        <f ca="1">IFERROR(__xludf.DUMMYFUNCTION("""COMPUTED_VALUE"""),"9-10 Jan 2021")</f>
        <v>9-10 Jan 2021</v>
      </c>
      <c r="J55" s="6">
        <f ca="1">IFERROR(__xludf.DUMMYFUNCTION("""COMPUTED_VALUE"""),1)</f>
        <v>1</v>
      </c>
      <c r="K55" s="8">
        <f ca="1">IFERROR(__xludf.DUMMYFUNCTION("""COMPUTED_VALUE"""),20500)</f>
        <v>20500</v>
      </c>
      <c r="L55" s="8">
        <f ca="1">IFERROR(__xludf.DUMMYFUNCTION("""COMPUTED_VALUE"""),234.768666972056)</f>
        <v>234.768666972056</v>
      </c>
      <c r="M55" s="96">
        <f ca="1">IFERROR(__xludf.DUMMYFUNCTION("""COMPUTED_VALUE"""),44189)</f>
        <v>44189</v>
      </c>
      <c r="N55" s="6"/>
      <c r="O55" s="97">
        <f ca="1">IFERROR(__xludf.DUMMYFUNCTION("""COMPUTED_VALUE"""),44186)</f>
        <v>44186</v>
      </c>
      <c r="P55" s="6" t="str">
        <f ca="1">IFERROR(__xludf.DUMMYFUNCTION("""COMPUTED_VALUE"""),"CSTM_JI95IZV75BI")</f>
        <v>CSTM_JI95IZV75BI</v>
      </c>
      <c r="Q55" s="6"/>
      <c r="R55" s="6" t="str">
        <f ca="1">IFERROR(__xludf.DUMMYFUNCTION("""COMPUTED_VALUE"""),"Done. Good feedback.")</f>
        <v>Done. Good feedback.</v>
      </c>
      <c r="S55" s="6" t="str">
        <f ca="1">IFERROR(__xludf.DUMMYFUNCTION("""COMPUTED_VALUE"""),"Category")</f>
        <v>Category</v>
      </c>
      <c r="T55" s="6"/>
      <c r="U55" s="6"/>
      <c r="V55" s="6"/>
      <c r="W55" s="6"/>
      <c r="X55" s="6"/>
      <c r="Y55" s="6"/>
      <c r="Z55" s="6"/>
      <c r="AA55" s="6"/>
      <c r="AB55" s="6"/>
      <c r="AC55" s="6"/>
      <c r="AD55" s="6"/>
      <c r="AE55" s="6"/>
      <c r="AF55" s="6"/>
      <c r="AG55" s="6"/>
      <c r="AH55" s="6"/>
      <c r="AI55" s="6"/>
      <c r="AJ55" s="6"/>
      <c r="AK55" s="6"/>
      <c r="AL55" s="6"/>
    </row>
    <row r="56" spans="1:38">
      <c r="A56" s="96">
        <f ca="1">IFERROR(__xludf.DUMMYFUNCTION("""COMPUTED_VALUE"""),44188)</f>
        <v>44188</v>
      </c>
      <c r="B56" s="6" t="str">
        <f ca="1">IFERROR(__xludf.DUMMYFUNCTION("""COMPUTED_VALUE"""),"Poornima Damaraju")</f>
        <v>Poornima Damaraju</v>
      </c>
      <c r="C56" s="6" t="str">
        <f ca="1">IFERROR(__xludf.DUMMYFUNCTION("""COMPUTED_VALUE"""),"poornimadamaraju.kvnl@gmail.com")</f>
        <v>poornimadamaraju.kvnl@gmail.com</v>
      </c>
      <c r="D56" s="6">
        <f ca="1">IFERROR(__xludf.DUMMYFUNCTION("""COMPUTED_VALUE"""),8106069610)</f>
        <v>8106069610</v>
      </c>
      <c r="E56" s="6" t="str">
        <f ca="1">IFERROR(__xludf.DUMMYFUNCTION("""COMPUTED_VALUE"""),"Chat_triggered")</f>
        <v>Chat_triggered</v>
      </c>
      <c r="F56" s="6" t="str">
        <f ca="1">IFERROR(__xludf.DUMMYFUNCTION("""COMPUTED_VALUE"""),"ASM")</f>
        <v>ASM</v>
      </c>
      <c r="G56" s="80">
        <f ca="1">IFERROR(__xludf.DUMMYFUNCTION("""COMPUTED_VALUE"""),44166)</f>
        <v>44166</v>
      </c>
      <c r="H56" s="6" t="str">
        <f ca="1">IFERROR(__xludf.DUMMYFUNCTION("""COMPUTED_VALUE"""),"Won")</f>
        <v>Won</v>
      </c>
      <c r="I56" s="6" t="str">
        <f ca="1">IFERROR(__xludf.DUMMYFUNCTION("""COMPUTED_VALUE"""),"9 Jan 2021")</f>
        <v>9 Jan 2021</v>
      </c>
      <c r="J56" s="6">
        <f ca="1">IFERROR(__xludf.DUMMYFUNCTION("""COMPUTED_VALUE"""),1)</f>
        <v>1</v>
      </c>
      <c r="K56" s="8">
        <f ca="1">IFERROR(__xludf.DUMMYFUNCTION("""COMPUTED_VALUE"""),18000)</f>
        <v>18000</v>
      </c>
      <c r="L56" s="8">
        <f ca="1">IFERROR(__xludf.DUMMYFUNCTION("""COMPUTED_VALUE"""),206.138341731562)</f>
        <v>206.13834173156201</v>
      </c>
      <c r="M56" s="96">
        <f ca="1">IFERROR(__xludf.DUMMYFUNCTION("""COMPUTED_VALUE"""),44188)</f>
        <v>44188</v>
      </c>
      <c r="N56" s="6"/>
      <c r="O56" s="97">
        <f ca="1">IFERROR(__xludf.DUMMYFUNCTION("""COMPUTED_VALUE"""),44188)</f>
        <v>44188</v>
      </c>
      <c r="P56" s="6" t="str">
        <f ca="1">IFERROR(__xludf.DUMMYFUNCTION("""COMPUTED_VALUE"""),"CSTM_8YJNENRLIXS")</f>
        <v>CSTM_8YJNENRLIXS</v>
      </c>
      <c r="Q56" s="6"/>
      <c r="R56" s="6" t="str">
        <f ca="1">IFERROR(__xludf.DUMMYFUNCTION("""COMPUTED_VALUE"""),"SL - LVC")</f>
        <v>SL - LVC</v>
      </c>
      <c r="S56" s="6" t="str">
        <f ca="1">IFERROR(__xludf.DUMMYFUNCTION("""COMPUTED_VALUE"""),"NonCategory")</f>
        <v>NonCategory</v>
      </c>
      <c r="T56" s="6"/>
      <c r="U56" s="6"/>
      <c r="V56" s="6"/>
      <c r="W56" s="6"/>
      <c r="X56" s="6"/>
      <c r="Y56" s="6"/>
      <c r="Z56" s="6"/>
      <c r="AA56" s="6"/>
      <c r="AB56" s="6"/>
      <c r="AC56" s="6"/>
      <c r="AD56" s="6"/>
      <c r="AE56" s="6"/>
      <c r="AF56" s="6"/>
      <c r="AG56" s="6"/>
      <c r="AH56" s="6"/>
      <c r="AI56" s="6"/>
      <c r="AJ56" s="6"/>
      <c r="AK56" s="6"/>
      <c r="AL56" s="6"/>
    </row>
    <row r="57" spans="1:38">
      <c r="A57" s="96">
        <f ca="1">IFERROR(__xludf.DUMMYFUNCTION("""COMPUTED_VALUE"""),44147)</f>
        <v>44147</v>
      </c>
      <c r="B57" s="6" t="str">
        <f ca="1">IFERROR(__xludf.DUMMYFUNCTION("""COMPUTED_VALUE"""),"Sagar")</f>
        <v>Sagar</v>
      </c>
      <c r="C57" s="6"/>
      <c r="D57" s="6"/>
      <c r="E57" s="6"/>
      <c r="F57" s="6" t="str">
        <f ca="1">IFERROR(__xludf.DUMMYFUNCTION("""COMPUTED_VALUE"""),"CSM")</f>
        <v>CSM</v>
      </c>
      <c r="G57" s="80"/>
      <c r="H57" s="6" t="str">
        <f ca="1">IFERROR(__xludf.DUMMYFUNCTION("""COMPUTED_VALUE"""),"Lost")</f>
        <v>Lost</v>
      </c>
      <c r="I57" s="6"/>
      <c r="J57" s="6">
        <f ca="1">IFERROR(__xludf.DUMMYFUNCTION("""COMPUTED_VALUE"""),1)</f>
        <v>1</v>
      </c>
      <c r="K57" s="8">
        <f ca="1">IFERROR(__xludf.DUMMYFUNCTION("""COMPUTED_VALUE"""),20000)</f>
        <v>20000</v>
      </c>
      <c r="L57" s="8">
        <f ca="1">IFERROR(__xludf.DUMMYFUNCTION("""COMPUTED_VALUE"""),229.042601923957)</f>
        <v>229.04260192395699</v>
      </c>
      <c r="M57" s="96"/>
      <c r="N57" s="6"/>
      <c r="O57" s="97"/>
      <c r="P57" s="6"/>
      <c r="Q57" s="6"/>
      <c r="R57" s="6"/>
      <c r="S57" s="6" t="str">
        <f ca="1">IFERROR(__xludf.DUMMYFUNCTION("""COMPUTED_VALUE"""),"Category")</f>
        <v>Category</v>
      </c>
      <c r="T57" s="6"/>
      <c r="U57" s="6"/>
      <c r="V57" s="6"/>
      <c r="W57" s="6"/>
      <c r="X57" s="6"/>
      <c r="Y57" s="6"/>
      <c r="Z57" s="6"/>
      <c r="AA57" s="6"/>
      <c r="AB57" s="6"/>
      <c r="AC57" s="6"/>
      <c r="AD57" s="6"/>
      <c r="AE57" s="6"/>
      <c r="AF57" s="6"/>
      <c r="AG57" s="6"/>
      <c r="AH57" s="6"/>
      <c r="AI57" s="6"/>
      <c r="AJ57" s="6"/>
      <c r="AK57" s="6"/>
      <c r="AL57" s="6"/>
    </row>
    <row r="58" spans="1:38">
      <c r="A58" s="96">
        <f ca="1">IFERROR(__xludf.DUMMYFUNCTION("""COMPUTED_VALUE"""),44167)</f>
        <v>44167</v>
      </c>
      <c r="B58" s="6" t="str">
        <f ca="1">IFERROR(__xludf.DUMMYFUNCTION("""COMPUTED_VALUE"""),"Swati Subramanya")</f>
        <v>Swati Subramanya</v>
      </c>
      <c r="C58" s="6" t="str">
        <f ca="1">IFERROR(__xludf.DUMMYFUNCTION("""COMPUTED_VALUE"""),"swathisubramanya1611@gmail.com")</f>
        <v>swathisubramanya1611@gmail.com</v>
      </c>
      <c r="D58" s="6">
        <f ca="1">IFERROR(__xludf.DUMMYFUNCTION("""COMPUTED_VALUE"""),8971811096)</f>
        <v>8971811096</v>
      </c>
      <c r="E58" s="6" t="str">
        <f ca="1">IFERROR(__xludf.DUMMYFUNCTION("""COMPUTED_VALUE"""),"fpt-paper")</f>
        <v>fpt-paper</v>
      </c>
      <c r="F58" s="6" t="str">
        <f ca="1">IFERROR(__xludf.DUMMYFUNCTION("""COMPUTED_VALUE"""),"CSM")</f>
        <v>CSM</v>
      </c>
      <c r="G58" s="80">
        <f ca="1">IFERROR(__xludf.DUMMYFUNCTION("""COMPUTED_VALUE"""),44166)</f>
        <v>44166</v>
      </c>
      <c r="H58" s="6" t="str">
        <f ca="1">IFERROR(__xludf.DUMMYFUNCTION("""COMPUTED_VALUE"""),"Lost")</f>
        <v>Lost</v>
      </c>
      <c r="I58" s="6" t="str">
        <f ca="1">IFERROR(__xludf.DUMMYFUNCTION("""COMPUTED_VALUE"""),"Dec 2020")</f>
        <v>Dec 2020</v>
      </c>
      <c r="J58" s="6">
        <f ca="1">IFERROR(__xludf.DUMMYFUNCTION("""COMPUTED_VALUE"""),1)</f>
        <v>1</v>
      </c>
      <c r="K58" s="8">
        <f ca="1">IFERROR(__xludf.DUMMYFUNCTION("""COMPUTED_VALUE"""),20000)</f>
        <v>20000</v>
      </c>
      <c r="L58" s="8">
        <f ca="1">IFERROR(__xludf.DUMMYFUNCTION("""COMPUTED_VALUE"""),229.042601923957)</f>
        <v>229.04260192395699</v>
      </c>
      <c r="M58" s="96"/>
      <c r="N58" s="6"/>
      <c r="O58" s="97"/>
      <c r="P58" s="6"/>
      <c r="Q58" s="6" t="str">
        <f ca="1">IFERROR(__xludf.DUMMYFUNCTION("""COMPUTED_VALUE"""),"Need at 13K.")</f>
        <v>Need at 13K.</v>
      </c>
      <c r="R58" s="6"/>
      <c r="S58" s="6" t="str">
        <f ca="1">IFERROR(__xludf.DUMMYFUNCTION("""COMPUTED_VALUE"""),"Category")</f>
        <v>Category</v>
      </c>
      <c r="T58" s="6"/>
      <c r="U58" s="6"/>
      <c r="V58" s="6"/>
      <c r="W58" s="6"/>
      <c r="X58" s="6"/>
      <c r="Y58" s="6"/>
      <c r="Z58" s="6"/>
      <c r="AA58" s="6"/>
      <c r="AB58" s="6"/>
      <c r="AC58" s="6"/>
      <c r="AD58" s="6"/>
      <c r="AE58" s="6"/>
      <c r="AF58" s="6"/>
      <c r="AG58" s="6"/>
      <c r="AH58" s="6"/>
      <c r="AI58" s="6"/>
      <c r="AJ58" s="6"/>
      <c r="AK58" s="6"/>
      <c r="AL58" s="6"/>
    </row>
    <row r="59" spans="1:38">
      <c r="A59" s="96">
        <f ca="1">IFERROR(__xludf.DUMMYFUNCTION("""COMPUTED_VALUE"""),44190)</f>
        <v>44190</v>
      </c>
      <c r="B59" s="6" t="str">
        <f ca="1">IFERROR(__xludf.DUMMYFUNCTION("""COMPUTED_VALUE"""),"Sandeep Patel")</f>
        <v>Sandeep Patel</v>
      </c>
      <c r="C59" s="6" t="str">
        <f ca="1">IFERROR(__xludf.DUMMYFUNCTION("""COMPUTED_VALUE"""),"smindia1988@gmail.com")</f>
        <v>smindia1988@gmail.com</v>
      </c>
      <c r="D59" s="6">
        <f ca="1">IFERROR(__xludf.DUMMYFUNCTION("""COMPUTED_VALUE"""),9276837658)</f>
        <v>9276837658</v>
      </c>
      <c r="E59" s="6" t="str">
        <f ca="1">IFERROR(__xludf.DUMMYFUNCTION("""COMPUTED_VALUE"""),"Chat_triggered")</f>
        <v>Chat_triggered</v>
      </c>
      <c r="F59" s="6" t="str">
        <f ca="1">IFERROR(__xludf.DUMMYFUNCTION("""COMPUTED_VALUE"""),"CSM")</f>
        <v>CSM</v>
      </c>
      <c r="G59" s="80">
        <f ca="1">IFERROR(__xludf.DUMMYFUNCTION("""COMPUTED_VALUE"""),44197)</f>
        <v>44197</v>
      </c>
      <c r="H59" s="6" t="str">
        <f ca="1">IFERROR(__xludf.DUMMYFUNCTION("""COMPUTED_VALUE"""),"Opportunity")</f>
        <v>Opportunity</v>
      </c>
      <c r="I59" s="6" t="str">
        <f ca="1">IFERROR(__xludf.DUMMYFUNCTION("""COMPUTED_VALUE"""),"16-17 Jan 2021")</f>
        <v>16-17 Jan 2021</v>
      </c>
      <c r="J59" s="6">
        <f ca="1">IFERROR(__xludf.DUMMYFUNCTION("""COMPUTED_VALUE"""),1)</f>
        <v>1</v>
      </c>
      <c r="K59" s="8">
        <f ca="1">IFERROR(__xludf.DUMMYFUNCTION("""COMPUTED_VALUE"""),20000)</f>
        <v>20000</v>
      </c>
      <c r="L59" s="8">
        <f ca="1">IFERROR(__xludf.DUMMYFUNCTION("""COMPUTED_VALUE"""),229.042601923957)</f>
        <v>229.04260192395699</v>
      </c>
      <c r="M59" s="96">
        <f ca="1">IFERROR(__xludf.DUMMYFUNCTION("""COMPUTED_VALUE"""),44204)</f>
        <v>44204</v>
      </c>
      <c r="N59" s="6"/>
      <c r="O59" s="97"/>
      <c r="P59" s="6"/>
      <c r="Q59" s="6"/>
      <c r="R59" s="6"/>
      <c r="S59" s="6" t="str">
        <f ca="1">IFERROR(__xludf.DUMMYFUNCTION("""COMPUTED_VALUE"""),"Category")</f>
        <v>Category</v>
      </c>
      <c r="T59" s="6"/>
      <c r="U59" s="6"/>
      <c r="V59" s="6"/>
      <c r="W59" s="6"/>
      <c r="X59" s="6"/>
      <c r="Y59" s="6"/>
      <c r="Z59" s="6"/>
      <c r="AA59" s="6"/>
      <c r="AB59" s="6"/>
      <c r="AC59" s="6"/>
      <c r="AD59" s="6"/>
      <c r="AE59" s="6"/>
      <c r="AF59" s="6"/>
      <c r="AG59" s="6"/>
      <c r="AH59" s="6"/>
      <c r="AI59" s="6"/>
      <c r="AJ59" s="6"/>
      <c r="AK59" s="6"/>
      <c r="AL59" s="6"/>
    </row>
    <row r="60" spans="1:38">
      <c r="A60" s="96">
        <f ca="1">IFERROR(__xludf.DUMMYFUNCTION("""COMPUTED_VALUE"""),44187)</f>
        <v>44187</v>
      </c>
      <c r="B60" s="6" t="str">
        <f ca="1">IFERROR(__xludf.DUMMYFUNCTION("""COMPUTED_VALUE"""),"Rajesh Mane")</f>
        <v>Rajesh Mane</v>
      </c>
      <c r="C60" s="6" t="str">
        <f ca="1">IFERROR(__xludf.DUMMYFUNCTION("""COMPUTED_VALUE"""),"rajesh.mane4072@gmail.com")</f>
        <v>rajesh.mane4072@gmail.com</v>
      </c>
      <c r="D60" s="6">
        <f ca="1">IFERROR(__xludf.DUMMYFUNCTION("""COMPUTED_VALUE"""),7219662904)</f>
        <v>7219662904</v>
      </c>
      <c r="E60" s="6" t="str">
        <f ca="1">IFERROR(__xludf.DUMMYFUNCTION("""COMPUTED_VALUE"""),"Chat_triggered")</f>
        <v>Chat_triggered</v>
      </c>
      <c r="F60" s="6" t="str">
        <f ca="1">IFERROR(__xludf.DUMMYFUNCTION("""COMPUTED_VALUE"""),"CSPO")</f>
        <v>CSPO</v>
      </c>
      <c r="G60" s="80">
        <f ca="1">IFERROR(__xludf.DUMMYFUNCTION("""COMPUTED_VALUE"""),44166)</f>
        <v>44166</v>
      </c>
      <c r="H60" s="6" t="str">
        <f ca="1">IFERROR(__xludf.DUMMYFUNCTION("""COMPUTED_VALUE"""),"Won")</f>
        <v>Won</v>
      </c>
      <c r="I60" s="6" t="str">
        <f ca="1">IFERROR(__xludf.DUMMYFUNCTION("""COMPUTED_VALUE"""),"26-27 Dec 2020")</f>
        <v>26-27 Dec 2020</v>
      </c>
      <c r="J60" s="6">
        <f ca="1">IFERROR(__xludf.DUMMYFUNCTION("""COMPUTED_VALUE"""),1)</f>
        <v>1</v>
      </c>
      <c r="K60" s="8">
        <f ca="1">IFERROR(__xludf.DUMMYFUNCTION("""COMPUTED_VALUE"""),20000)</f>
        <v>20000</v>
      </c>
      <c r="L60" s="8">
        <f ca="1">IFERROR(__xludf.DUMMYFUNCTION("""COMPUTED_VALUE"""),229.042601923957)</f>
        <v>229.04260192395699</v>
      </c>
      <c r="M60" s="96">
        <f ca="1">IFERROR(__xludf.DUMMYFUNCTION("""COMPUTED_VALUE"""),44188)</f>
        <v>44188</v>
      </c>
      <c r="N60" s="6"/>
      <c r="O60" s="97">
        <f ca="1">IFERROR(__xludf.DUMMYFUNCTION("""COMPUTED_VALUE"""),44188)</f>
        <v>44188</v>
      </c>
      <c r="P60" s="6" t="str">
        <f ca="1">IFERROR(__xludf.DUMMYFUNCTION("""COMPUTED_VALUE"""),"CSTM_3BXZ318E8B2")</f>
        <v>CSTM_3BXZ318E8B2</v>
      </c>
      <c r="Q60" s="6"/>
      <c r="R60" s="6" t="str">
        <f ca="1">IFERROR(__xludf.DUMMYFUNCTION("""COMPUTED_VALUE"""),"Pending")</f>
        <v>Pending</v>
      </c>
      <c r="S60" s="6" t="str">
        <f ca="1">IFERROR(__xludf.DUMMYFUNCTION("""COMPUTED_VALUE"""),"Category")</f>
        <v>Category</v>
      </c>
      <c r="T60" s="6"/>
      <c r="U60" s="6"/>
      <c r="V60" s="6"/>
      <c r="W60" s="6"/>
      <c r="X60" s="6"/>
      <c r="Y60" s="6"/>
      <c r="Z60" s="6"/>
      <c r="AA60" s="6"/>
      <c r="AB60" s="6"/>
      <c r="AC60" s="6"/>
      <c r="AD60" s="6"/>
      <c r="AE60" s="6"/>
      <c r="AF60" s="6"/>
      <c r="AG60" s="6"/>
      <c r="AH60" s="6"/>
      <c r="AI60" s="6"/>
      <c r="AJ60" s="6"/>
      <c r="AK60" s="6"/>
      <c r="AL60" s="6"/>
    </row>
    <row r="61" spans="1:38">
      <c r="A61" s="96">
        <f ca="1">IFERROR(__xludf.DUMMYFUNCTION("""COMPUTED_VALUE"""),44186)</f>
        <v>44186</v>
      </c>
      <c r="B61" s="6" t="str">
        <f ca="1">IFERROR(__xludf.DUMMYFUNCTION("""COMPUTED_VALUE"""),"Firoz Sabaliya")</f>
        <v>Firoz Sabaliya</v>
      </c>
      <c r="C61" s="6" t="str">
        <f ca="1">IFERROR(__xludf.DUMMYFUNCTION("""COMPUTED_VALUE"""),"firoz.sabaliya@gmail.com")</f>
        <v>firoz.sabaliya@gmail.com</v>
      </c>
      <c r="D61" s="6">
        <f ca="1">IFERROR(__xludf.DUMMYFUNCTION("""COMPUTED_VALUE"""),9328030390)</f>
        <v>9328030390</v>
      </c>
      <c r="E61" s="6" t="str">
        <f ca="1">IFERROR(__xludf.DUMMYFUNCTION("""COMPUTED_VALUE"""),"Chat_triggered")</f>
        <v>Chat_triggered</v>
      </c>
      <c r="F61" s="6" t="str">
        <f ca="1">IFERROR(__xludf.DUMMYFUNCTION("""COMPUTED_VALUE"""),"CSM")</f>
        <v>CSM</v>
      </c>
      <c r="G61" s="80">
        <f ca="1">IFERROR(__xludf.DUMMYFUNCTION("""COMPUTED_VALUE"""),44166)</f>
        <v>44166</v>
      </c>
      <c r="H61" s="6" t="str">
        <f ca="1">IFERROR(__xludf.DUMMYFUNCTION("""COMPUTED_VALUE"""),"Won")</f>
        <v>Won</v>
      </c>
      <c r="I61" s="6" t="str">
        <f ca="1">IFERROR(__xludf.DUMMYFUNCTION("""COMPUTED_VALUE"""),"28-29 Dec 2020")</f>
        <v>28-29 Dec 2020</v>
      </c>
      <c r="J61" s="6">
        <f ca="1">IFERROR(__xludf.DUMMYFUNCTION("""COMPUTED_VALUE"""),1)</f>
        <v>1</v>
      </c>
      <c r="K61" s="8">
        <f ca="1">IFERROR(__xludf.DUMMYFUNCTION("""COMPUTED_VALUE"""),20500)</f>
        <v>20500</v>
      </c>
      <c r="L61" s="8">
        <f ca="1">IFERROR(__xludf.DUMMYFUNCTION("""COMPUTED_VALUE"""),234.768666972056)</f>
        <v>234.768666972056</v>
      </c>
      <c r="M61" s="96">
        <f ca="1">IFERROR(__xludf.DUMMYFUNCTION("""COMPUTED_VALUE"""),44188)</f>
        <v>44188</v>
      </c>
      <c r="N61" s="6"/>
      <c r="O61" s="97">
        <f ca="1">IFERROR(__xludf.DUMMYFUNCTION("""COMPUTED_VALUE"""),44188)</f>
        <v>44188</v>
      </c>
      <c r="P61" s="6" t="str">
        <f ca="1">IFERROR(__xludf.DUMMYFUNCTION("""COMPUTED_VALUE"""),"CSTM_9MVSMY3ZTVZ")</f>
        <v>CSTM_9MVSMY3ZTVZ</v>
      </c>
      <c r="Q61" s="6"/>
      <c r="R61" s="6" t="str">
        <f ca="1">IFERROR(__xludf.DUMMYFUNCTION("""COMPUTED_VALUE"""),"Pending")</f>
        <v>Pending</v>
      </c>
      <c r="S61" s="6" t="str">
        <f ca="1">IFERROR(__xludf.DUMMYFUNCTION("""COMPUTED_VALUE"""),"Category")</f>
        <v>Category</v>
      </c>
      <c r="T61" s="6"/>
      <c r="U61" s="6"/>
      <c r="V61" s="6"/>
      <c r="W61" s="6"/>
      <c r="X61" s="6"/>
      <c r="Y61" s="6"/>
      <c r="Z61" s="6"/>
      <c r="AA61" s="6"/>
      <c r="AB61" s="6"/>
      <c r="AC61" s="6"/>
      <c r="AD61" s="6"/>
      <c r="AE61" s="6"/>
      <c r="AF61" s="6"/>
      <c r="AG61" s="6"/>
      <c r="AH61" s="6"/>
      <c r="AI61" s="6"/>
      <c r="AJ61" s="6"/>
      <c r="AK61" s="6"/>
      <c r="AL61" s="6"/>
    </row>
    <row r="62" spans="1:38">
      <c r="A62" s="96">
        <f ca="1">IFERROR(__xludf.DUMMYFUNCTION("""COMPUTED_VALUE"""),44198)</f>
        <v>44198</v>
      </c>
      <c r="B62" s="6" t="str">
        <f ca="1">IFERROR(__xludf.DUMMYFUNCTION("""COMPUTED_VALUE"""),"Vinay Kadu")</f>
        <v>Vinay Kadu</v>
      </c>
      <c r="C62" s="6" t="str">
        <f ca="1">IFERROR(__xludf.DUMMYFUNCTION("""COMPUTED_VALUE"""),"vinaykadu16@yahoo.com")</f>
        <v>vinaykadu16@yahoo.com</v>
      </c>
      <c r="D62" s="6">
        <f ca="1">IFERROR(__xludf.DUMMYFUNCTION("""COMPUTED_VALUE"""),9881956537)</f>
        <v>9881956537</v>
      </c>
      <c r="E62" s="6" t="str">
        <f ca="1">IFERROR(__xludf.DUMMYFUNCTION("""COMPUTED_VALUE"""),"chat_initiated")</f>
        <v>chat_initiated</v>
      </c>
      <c r="F62" s="6" t="str">
        <f ca="1">IFERROR(__xludf.DUMMYFUNCTION("""COMPUTED_VALUE"""),"CSM")</f>
        <v>CSM</v>
      </c>
      <c r="G62" s="80">
        <f ca="1">IFERROR(__xludf.DUMMYFUNCTION("""COMPUTED_VALUE"""),44197)</f>
        <v>44197</v>
      </c>
      <c r="H62" s="6" t="str">
        <f ca="1">IFERROR(__xludf.DUMMYFUNCTION("""COMPUTED_VALUE"""),"Lost")</f>
        <v>Lost</v>
      </c>
      <c r="I62" s="6" t="str">
        <f ca="1">IFERROR(__xludf.DUMMYFUNCTION("""COMPUTED_VALUE"""),"16-17 Jan 2021")</f>
        <v>16-17 Jan 2021</v>
      </c>
      <c r="J62" s="6">
        <f ca="1">IFERROR(__xludf.DUMMYFUNCTION("""COMPUTED_VALUE"""),1)</f>
        <v>1</v>
      </c>
      <c r="K62" s="8">
        <f ca="1">IFERROR(__xludf.DUMMYFUNCTION("""COMPUTED_VALUE"""),19000)</f>
        <v>19000</v>
      </c>
      <c r="L62" s="8">
        <f ca="1">IFERROR(__xludf.DUMMYFUNCTION("""COMPUTED_VALUE"""),217.590471827759)</f>
        <v>217.59047182775899</v>
      </c>
      <c r="M62" s="96">
        <f ca="1">IFERROR(__xludf.DUMMYFUNCTION("""COMPUTED_VALUE"""),44204)</f>
        <v>44204</v>
      </c>
      <c r="N62" s="6"/>
      <c r="O62" s="97"/>
      <c r="P62" s="6"/>
      <c r="Q62" s="6" t="str">
        <f ca="1">IFERROR(__xludf.DUMMYFUNCTION("""COMPUTED_VALUE"""),"No response to calls and messages.")</f>
        <v>No response to calls and messages.</v>
      </c>
      <c r="R62" s="6"/>
      <c r="S62" s="6" t="str">
        <f ca="1">IFERROR(__xludf.DUMMYFUNCTION("""COMPUTED_VALUE"""),"Category")</f>
        <v>Category</v>
      </c>
      <c r="T62" s="6"/>
      <c r="U62" s="6"/>
      <c r="V62" s="6"/>
      <c r="W62" s="6"/>
      <c r="X62" s="6"/>
      <c r="Y62" s="6"/>
      <c r="Z62" s="6"/>
      <c r="AA62" s="6"/>
      <c r="AB62" s="6"/>
      <c r="AC62" s="6"/>
      <c r="AD62" s="6"/>
      <c r="AE62" s="6"/>
      <c r="AF62" s="6"/>
      <c r="AG62" s="6"/>
      <c r="AH62" s="6"/>
      <c r="AI62" s="6"/>
      <c r="AJ62" s="6"/>
      <c r="AK62" s="6"/>
      <c r="AL62" s="6"/>
    </row>
    <row r="63" spans="1:38">
      <c r="A63" s="96">
        <f ca="1">IFERROR(__xludf.DUMMYFUNCTION("""COMPUTED_VALUE"""),44188)</f>
        <v>44188</v>
      </c>
      <c r="B63" s="6" t="str">
        <f ca="1">IFERROR(__xludf.DUMMYFUNCTION("""COMPUTED_VALUE"""),"Apeksha Maheshwari")</f>
        <v>Apeksha Maheshwari</v>
      </c>
      <c r="C63" s="6" t="str">
        <f ca="1">IFERROR(__xludf.DUMMYFUNCTION("""COMPUTED_VALUE"""),"apekshamaheshwari3@gmail.com")</f>
        <v>apekshamaheshwari3@gmail.com</v>
      </c>
      <c r="D63" s="6">
        <f ca="1">IFERROR(__xludf.DUMMYFUNCTION("""COMPUTED_VALUE"""),9413945011)</f>
        <v>9413945011</v>
      </c>
      <c r="E63" s="6" t="str">
        <f ca="1">IFERROR(__xludf.DUMMYFUNCTION("""COMPUTED_VALUE"""),"Reference")</f>
        <v>Reference</v>
      </c>
      <c r="F63" s="6" t="str">
        <f ca="1">IFERROR(__xludf.DUMMYFUNCTION("""COMPUTED_VALUE"""),"CSM")</f>
        <v>CSM</v>
      </c>
      <c r="G63" s="80">
        <f ca="1">IFERROR(__xludf.DUMMYFUNCTION("""COMPUTED_VALUE"""),44166)</f>
        <v>44166</v>
      </c>
      <c r="H63" s="6" t="str">
        <f ca="1">IFERROR(__xludf.DUMMYFUNCTION("""COMPUTED_VALUE"""),"Won")</f>
        <v>Won</v>
      </c>
      <c r="I63" s="6" t="str">
        <f ca="1">IFERROR(__xludf.DUMMYFUNCTION("""COMPUTED_VALUE"""),"28-29 Dec 2020")</f>
        <v>28-29 Dec 2020</v>
      </c>
      <c r="J63" s="6">
        <f ca="1">IFERROR(__xludf.DUMMYFUNCTION("""COMPUTED_VALUE"""),1)</f>
        <v>1</v>
      </c>
      <c r="K63" s="8">
        <f ca="1">IFERROR(__xludf.DUMMYFUNCTION("""COMPUTED_VALUE"""),20500)</f>
        <v>20500</v>
      </c>
      <c r="L63" s="8">
        <f ca="1">IFERROR(__xludf.DUMMYFUNCTION("""COMPUTED_VALUE"""),234.768666972056)</f>
        <v>234.768666972056</v>
      </c>
      <c r="M63" s="96">
        <f ca="1">IFERROR(__xludf.DUMMYFUNCTION("""COMPUTED_VALUE"""),44188)</f>
        <v>44188</v>
      </c>
      <c r="N63" s="6"/>
      <c r="O63" s="97">
        <f ca="1">IFERROR(__xludf.DUMMYFUNCTION("""COMPUTED_VALUE"""),44188)</f>
        <v>44188</v>
      </c>
      <c r="P63" s="6" t="str">
        <f ca="1">IFERROR(__xludf.DUMMYFUNCTION("""COMPUTED_VALUE"""),"CSTM_EQQ1L90U0NO")</f>
        <v>CSTM_EQQ1L90U0NO</v>
      </c>
      <c r="Q63" s="6" t="str">
        <f ca="1">IFERROR(__xludf.DUMMYFUNCTION("""COMPUTED_VALUE"""),"By Firoz")</f>
        <v>By Firoz</v>
      </c>
      <c r="R63" s="6" t="str">
        <f ca="1">IFERROR(__xludf.DUMMYFUNCTION("""COMPUTED_VALUE"""),"Pending")</f>
        <v>Pending</v>
      </c>
      <c r="S63" s="6" t="str">
        <f ca="1">IFERROR(__xludf.DUMMYFUNCTION("""COMPUTED_VALUE"""),"Category")</f>
        <v>Category</v>
      </c>
      <c r="T63" s="6" t="str">
        <f ca="1">IFERROR(__xludf.DUMMYFUNCTION("""COMPUTED_VALUE"""),"Sent.")</f>
        <v>Sent.</v>
      </c>
      <c r="U63" s="6"/>
      <c r="V63" s="6"/>
      <c r="W63" s="6"/>
      <c r="X63" s="6"/>
      <c r="Y63" s="6"/>
      <c r="Z63" s="6"/>
      <c r="AA63" s="6"/>
      <c r="AB63" s="6"/>
      <c r="AC63" s="6"/>
      <c r="AD63" s="6"/>
      <c r="AE63" s="6"/>
      <c r="AF63" s="6"/>
      <c r="AG63" s="6"/>
      <c r="AH63" s="6"/>
      <c r="AI63" s="6"/>
      <c r="AJ63" s="6"/>
      <c r="AK63" s="6"/>
      <c r="AL63" s="6"/>
    </row>
    <row r="64" spans="1:38">
      <c r="A64" s="96">
        <f ca="1">IFERROR(__xludf.DUMMYFUNCTION("""COMPUTED_VALUE"""),44180)</f>
        <v>44180</v>
      </c>
      <c r="B64" s="6" t="str">
        <f ca="1">IFERROR(__xludf.DUMMYFUNCTION("""COMPUTED_VALUE"""),"Bajinder Kaur")</f>
        <v>Bajinder Kaur</v>
      </c>
      <c r="C64" s="6" t="str">
        <f ca="1">IFERROR(__xludf.DUMMYFUNCTION("""COMPUTED_VALUE"""),"bajinder.kaur@gmail.com")</f>
        <v>bajinder.kaur@gmail.com</v>
      </c>
      <c r="D64" s="6">
        <f ca="1">IFERROR(__xludf.DUMMYFUNCTION("""COMPUTED_VALUE"""),9310143226)</f>
        <v>9310143226</v>
      </c>
      <c r="E64" s="6" t="str">
        <f ca="1">IFERROR(__xludf.DUMMYFUNCTION("""COMPUTED_VALUE"""),"Chat_triggered")</f>
        <v>Chat_triggered</v>
      </c>
      <c r="F64" s="6" t="str">
        <f ca="1">IFERROR(__xludf.DUMMYFUNCTION("""COMPUTED_VALUE"""),"CSM")</f>
        <v>CSM</v>
      </c>
      <c r="G64" s="80">
        <f ca="1">IFERROR(__xludf.DUMMYFUNCTION("""COMPUTED_VALUE"""),44166)</f>
        <v>44166</v>
      </c>
      <c r="H64" s="6" t="str">
        <f ca="1">IFERROR(__xludf.DUMMYFUNCTION("""COMPUTED_VALUE"""),"Lost")</f>
        <v>Lost</v>
      </c>
      <c r="I64" s="6" t="str">
        <f ca="1">IFERROR(__xludf.DUMMYFUNCTION("""COMPUTED_VALUE"""),"Dec 2020")</f>
        <v>Dec 2020</v>
      </c>
      <c r="J64" s="6">
        <f ca="1">IFERROR(__xludf.DUMMYFUNCTION("""COMPUTED_VALUE"""),1)</f>
        <v>1</v>
      </c>
      <c r="K64" s="8">
        <f ca="1">IFERROR(__xludf.DUMMYFUNCTION("""COMPUTED_VALUE"""),21000)</f>
        <v>21000</v>
      </c>
      <c r="L64" s="8">
        <f ca="1">IFERROR(__xludf.DUMMYFUNCTION("""COMPUTED_VALUE"""),240.494732020155)</f>
        <v>240.494732020155</v>
      </c>
      <c r="M64" s="96">
        <f ca="1">IFERROR(__xludf.DUMMYFUNCTION("""COMPUTED_VALUE"""),44188)</f>
        <v>44188</v>
      </c>
      <c r="N64" s="6"/>
      <c r="O64" s="97"/>
      <c r="P64" s="6"/>
      <c r="Q64" s="6"/>
      <c r="R64" s="6"/>
      <c r="S64" s="6" t="str">
        <f ca="1">IFERROR(__xludf.DUMMYFUNCTION("""COMPUTED_VALUE"""),"Category")</f>
        <v>Category</v>
      </c>
      <c r="T64" s="6"/>
      <c r="U64" s="6"/>
      <c r="V64" s="6"/>
      <c r="W64" s="6"/>
      <c r="X64" s="6"/>
      <c r="Y64" s="6"/>
      <c r="Z64" s="6"/>
      <c r="AA64" s="6"/>
      <c r="AB64" s="6"/>
      <c r="AC64" s="6"/>
      <c r="AD64" s="6"/>
      <c r="AE64" s="6"/>
      <c r="AF64" s="6"/>
      <c r="AG64" s="6"/>
      <c r="AH64" s="6"/>
      <c r="AI64" s="6"/>
      <c r="AJ64" s="6"/>
      <c r="AK64" s="6"/>
      <c r="AL64" s="6"/>
    </row>
    <row r="65" spans="1:38">
      <c r="A65" s="96">
        <f ca="1">IFERROR(__xludf.DUMMYFUNCTION("""COMPUTED_VALUE"""),44179)</f>
        <v>44179</v>
      </c>
      <c r="B65" s="6" t="str">
        <f ca="1">IFERROR(__xludf.DUMMYFUNCTION("""COMPUTED_VALUE"""),"Pradeep Kumar")</f>
        <v>Pradeep Kumar</v>
      </c>
      <c r="C65" s="6" t="str">
        <f ca="1">IFERROR(__xludf.DUMMYFUNCTION("""COMPUTED_VALUE"""),"m_pradeepkumar7@yahoo.com")</f>
        <v>m_pradeepkumar7@yahoo.com</v>
      </c>
      <c r="D65" s="6">
        <f ca="1">IFERROR(__xludf.DUMMYFUNCTION("""COMPUTED_VALUE"""),9840376660)</f>
        <v>9840376660</v>
      </c>
      <c r="E65" s="6" t="str">
        <f ca="1">IFERROR(__xludf.DUMMYFUNCTION("""COMPUTED_VALUE"""),"chat_initiated")</f>
        <v>chat_initiated</v>
      </c>
      <c r="F65" s="6" t="str">
        <f ca="1">IFERROR(__xludf.DUMMYFUNCTION("""COMPUTED_VALUE"""),"PSM")</f>
        <v>PSM</v>
      </c>
      <c r="G65" s="80">
        <f ca="1">IFERROR(__xludf.DUMMYFUNCTION("""COMPUTED_VALUE"""),44166)</f>
        <v>44166</v>
      </c>
      <c r="H65" s="6" t="str">
        <f ca="1">IFERROR(__xludf.DUMMYFUNCTION("""COMPUTED_VALUE"""),"Opportunity")</f>
        <v>Opportunity</v>
      </c>
      <c r="I65" s="6" t="str">
        <f ca="1">IFERROR(__xludf.DUMMYFUNCTION("""COMPUTED_VALUE"""),"Jan 2021")</f>
        <v>Jan 2021</v>
      </c>
      <c r="J65" s="6">
        <f ca="1">IFERROR(__xludf.DUMMYFUNCTION("""COMPUTED_VALUE"""),1)</f>
        <v>1</v>
      </c>
      <c r="K65" s="8">
        <f ca="1">IFERROR(__xludf.DUMMYFUNCTION("""COMPUTED_VALUE"""),24780)</f>
        <v>24780</v>
      </c>
      <c r="L65" s="8">
        <f ca="1">IFERROR(__xludf.DUMMYFUNCTION("""COMPUTED_VALUE"""),283.783783783783)</f>
        <v>283.78378378378301</v>
      </c>
      <c r="M65" s="96">
        <f ca="1">IFERROR(__xludf.DUMMYFUNCTION("""COMPUTED_VALUE"""),44210)</f>
        <v>44210</v>
      </c>
      <c r="N65" s="6"/>
      <c r="O65" s="97"/>
      <c r="P65" s="6"/>
      <c r="Q65" s="6"/>
      <c r="R65" s="6"/>
      <c r="S65" s="6" t="str">
        <f ca="1">IFERROR(__xludf.DUMMYFUNCTION("""COMPUTED_VALUE"""),"Category")</f>
        <v>Category</v>
      </c>
      <c r="T65" s="6"/>
      <c r="U65" s="6"/>
      <c r="V65" s="6"/>
      <c r="W65" s="6"/>
      <c r="X65" s="6"/>
      <c r="Y65" s="6"/>
      <c r="Z65" s="6"/>
      <c r="AA65" s="6"/>
      <c r="AB65" s="6"/>
      <c r="AC65" s="6"/>
      <c r="AD65" s="6"/>
      <c r="AE65" s="6"/>
      <c r="AF65" s="6"/>
      <c r="AG65" s="6"/>
      <c r="AH65" s="6"/>
      <c r="AI65" s="6"/>
      <c r="AJ65" s="6"/>
      <c r="AK65" s="6"/>
      <c r="AL65" s="6"/>
    </row>
    <row r="66" spans="1:38">
      <c r="A66" s="96">
        <f ca="1">IFERROR(__xludf.DUMMYFUNCTION("""COMPUTED_VALUE"""),44188)</f>
        <v>44188</v>
      </c>
      <c r="B66" s="6" t="str">
        <f ca="1">IFERROR(__xludf.DUMMYFUNCTION("""COMPUTED_VALUE"""),"Julyars Dadhaniya")</f>
        <v>Julyars Dadhaniya</v>
      </c>
      <c r="C66" s="6" t="str">
        <f ca="1">IFERROR(__xludf.DUMMYFUNCTION("""COMPUTED_VALUE"""),"julyars.dadhaniya08@gmail.com")</f>
        <v>julyars.dadhaniya08@gmail.com</v>
      </c>
      <c r="D66" s="6">
        <f ca="1">IFERROR(__xludf.DUMMYFUNCTION("""COMPUTED_VALUE"""),9712193235)</f>
        <v>9712193235</v>
      </c>
      <c r="E66" s="6" t="str">
        <f ca="1">IFERROR(__xludf.DUMMYFUNCTION("""COMPUTED_VALUE"""),"Reference")</f>
        <v>Reference</v>
      </c>
      <c r="F66" s="6" t="str">
        <f ca="1">IFERROR(__xludf.DUMMYFUNCTION("""COMPUTED_VALUE"""),"CSM")</f>
        <v>CSM</v>
      </c>
      <c r="G66" s="80">
        <f ca="1">IFERROR(__xludf.DUMMYFUNCTION("""COMPUTED_VALUE"""),44166)</f>
        <v>44166</v>
      </c>
      <c r="H66" s="6" t="str">
        <f ca="1">IFERROR(__xludf.DUMMYFUNCTION("""COMPUTED_VALUE"""),"Won")</f>
        <v>Won</v>
      </c>
      <c r="I66" s="6" t="str">
        <f ca="1">IFERROR(__xludf.DUMMYFUNCTION("""COMPUTED_VALUE"""),"9-10 Jan 2021")</f>
        <v>9-10 Jan 2021</v>
      </c>
      <c r="J66" s="6">
        <f ca="1">IFERROR(__xludf.DUMMYFUNCTION("""COMPUTED_VALUE"""),1)</f>
        <v>1</v>
      </c>
      <c r="K66" s="8">
        <f ca="1">IFERROR(__xludf.DUMMYFUNCTION("""COMPUTED_VALUE"""),20500)</f>
        <v>20500</v>
      </c>
      <c r="L66" s="8">
        <f ca="1">IFERROR(__xludf.DUMMYFUNCTION("""COMPUTED_VALUE"""),234.768666972056)</f>
        <v>234.768666972056</v>
      </c>
      <c r="M66" s="96">
        <f ca="1">IFERROR(__xludf.DUMMYFUNCTION("""COMPUTED_VALUE"""),44188)</f>
        <v>44188</v>
      </c>
      <c r="N66" s="6"/>
      <c r="O66" s="97">
        <f ca="1">IFERROR(__xludf.DUMMYFUNCTION("""COMPUTED_VALUE"""),44188)</f>
        <v>44188</v>
      </c>
      <c r="P66" s="6" t="str">
        <f ca="1">IFERROR(__xludf.DUMMYFUNCTION("""COMPUTED_VALUE"""),"CSTM_9MDH6U8RY9Q")</f>
        <v>CSTM_9MDH6U8RY9Q</v>
      </c>
      <c r="Q66" s="6" t="str">
        <f ca="1">IFERROR(__xludf.DUMMYFUNCTION("""COMPUTED_VALUE"""),"By Firoz")</f>
        <v>By Firoz</v>
      </c>
      <c r="R66" s="6" t="str">
        <f ca="1">IFERROR(__xludf.DUMMYFUNCTION("""COMPUTED_VALUE"""),"Done. Good feedback.")</f>
        <v>Done. Good feedback.</v>
      </c>
      <c r="S66" s="6" t="str">
        <f ca="1">IFERROR(__xludf.DUMMYFUNCTION("""COMPUTED_VALUE"""),"Category")</f>
        <v>Category</v>
      </c>
      <c r="T66" s="6" t="str">
        <f ca="1">IFERROR(__xludf.DUMMYFUNCTION("""COMPUTED_VALUE"""),"Sent.")</f>
        <v>Sent.</v>
      </c>
      <c r="U66" s="6"/>
      <c r="V66" s="6"/>
      <c r="W66" s="6"/>
      <c r="X66" s="6"/>
      <c r="Y66" s="6"/>
      <c r="Z66" s="6"/>
      <c r="AA66" s="6"/>
      <c r="AB66" s="6"/>
      <c r="AC66" s="6"/>
      <c r="AD66" s="6"/>
      <c r="AE66" s="6"/>
      <c r="AF66" s="6"/>
      <c r="AG66" s="6"/>
      <c r="AH66" s="6"/>
      <c r="AI66" s="6"/>
      <c r="AJ66" s="6"/>
      <c r="AK66" s="6"/>
      <c r="AL66" s="6"/>
    </row>
    <row r="67" spans="1:38">
      <c r="A67" s="96">
        <f ca="1">IFERROR(__xludf.DUMMYFUNCTION("""COMPUTED_VALUE"""),44148)</f>
        <v>44148</v>
      </c>
      <c r="B67" s="6" t="str">
        <f ca="1">IFERROR(__xludf.DUMMYFUNCTION("""COMPUTED_VALUE"""),"Neerav Agarwal")</f>
        <v>Neerav Agarwal</v>
      </c>
      <c r="C67" s="6" t="str">
        <f ca="1">IFERROR(__xludf.DUMMYFUNCTION("""COMPUTED_VALUE"""),"neer.nm@gmail.com")</f>
        <v>neer.nm@gmail.com</v>
      </c>
      <c r="D67" s="6">
        <f ca="1">IFERROR(__xludf.DUMMYFUNCTION("""COMPUTED_VALUE"""),9099146552)</f>
        <v>9099146552</v>
      </c>
      <c r="E67" s="6" t="str">
        <f ca="1">IFERROR(__xludf.DUMMYFUNCTION("""COMPUTED_VALUE"""),"B2C")</f>
        <v>B2C</v>
      </c>
      <c r="F67" s="6" t="str">
        <f ca="1">IFERROR(__xludf.DUMMYFUNCTION("""COMPUTED_VALUE"""),"CSM")</f>
        <v>CSM</v>
      </c>
      <c r="G67" s="80"/>
      <c r="H67" s="6" t="str">
        <f ca="1">IFERROR(__xludf.DUMMYFUNCTION("""COMPUTED_VALUE"""),"Opportunity")</f>
        <v>Opportunity</v>
      </c>
      <c r="I67" s="6" t="str">
        <f ca="1">IFERROR(__xludf.DUMMYFUNCTION("""COMPUTED_VALUE"""),"Jan 2021")</f>
        <v>Jan 2021</v>
      </c>
      <c r="J67" s="6">
        <f ca="1">IFERROR(__xludf.DUMMYFUNCTION("""COMPUTED_VALUE"""),1)</f>
        <v>1</v>
      </c>
      <c r="K67" s="8">
        <f ca="1">IFERROR(__xludf.DUMMYFUNCTION("""COMPUTED_VALUE"""),20000)</f>
        <v>20000</v>
      </c>
      <c r="L67" s="8">
        <f ca="1">IFERROR(__xludf.DUMMYFUNCTION("""COMPUTED_VALUE"""),229.042601923957)</f>
        <v>229.04260192395699</v>
      </c>
      <c r="M67" s="96">
        <f ca="1">IFERROR(__xludf.DUMMYFUNCTION("""COMPUTED_VALUE"""),44205)</f>
        <v>44205</v>
      </c>
      <c r="N67" s="6"/>
      <c r="O67" s="97"/>
      <c r="P67" s="6"/>
      <c r="Q67" s="6"/>
      <c r="R67" s="6"/>
      <c r="S67" s="6" t="str">
        <f ca="1">IFERROR(__xludf.DUMMYFUNCTION("""COMPUTED_VALUE"""),"Category")</f>
        <v>Category</v>
      </c>
      <c r="T67" s="6"/>
      <c r="U67" s="6"/>
      <c r="V67" s="6"/>
      <c r="W67" s="6"/>
      <c r="X67" s="6"/>
      <c r="Y67" s="6"/>
      <c r="Z67" s="6"/>
      <c r="AA67" s="6"/>
      <c r="AB67" s="6"/>
      <c r="AC67" s="6"/>
      <c r="AD67" s="6"/>
      <c r="AE67" s="6"/>
      <c r="AF67" s="6"/>
      <c r="AG67" s="6"/>
      <c r="AH67" s="6"/>
      <c r="AI67" s="6"/>
      <c r="AJ67" s="6"/>
      <c r="AK67" s="6"/>
      <c r="AL67" s="6"/>
    </row>
    <row r="68" spans="1:38">
      <c r="A68" s="96">
        <f ca="1">IFERROR(__xludf.DUMMYFUNCTION("""COMPUTED_VALUE"""),44189)</f>
        <v>44189</v>
      </c>
      <c r="B68" s="6" t="str">
        <f ca="1">IFERROR(__xludf.DUMMYFUNCTION("""COMPUTED_VALUE"""),"Praveen Nair")</f>
        <v>Praveen Nair</v>
      </c>
      <c r="C68" s="6" t="str">
        <f ca="1">IFERROR(__xludf.DUMMYFUNCTION("""COMPUTED_VALUE"""),"praveen.nair86@gmail.com")</f>
        <v>praveen.nair86@gmail.com</v>
      </c>
      <c r="D68" s="6">
        <f ca="1">IFERROR(__xludf.DUMMYFUNCTION("""COMPUTED_VALUE"""),9652911644)</f>
        <v>9652911644</v>
      </c>
      <c r="E68" s="6" t="str">
        <f ca="1">IFERROR(__xludf.DUMMYFUNCTION("""COMPUTED_VALUE"""),"course agenda")</f>
        <v>course agenda</v>
      </c>
      <c r="F68" s="6" t="str">
        <f ca="1">IFERROR(__xludf.DUMMYFUNCTION("""COMPUTED_VALUE"""),"CSM")</f>
        <v>CSM</v>
      </c>
      <c r="G68" s="80">
        <f ca="1">IFERROR(__xludf.DUMMYFUNCTION("""COMPUTED_VALUE"""),44166)</f>
        <v>44166</v>
      </c>
      <c r="H68" s="6" t="str">
        <f ca="1">IFERROR(__xludf.DUMMYFUNCTION("""COMPUTED_VALUE"""),"Won")</f>
        <v>Won</v>
      </c>
      <c r="I68" s="6" t="str">
        <f ca="1">IFERROR(__xludf.DUMMYFUNCTION("""COMPUTED_VALUE"""),"12-13 Jan 2021")</f>
        <v>12-13 Jan 2021</v>
      </c>
      <c r="J68" s="6">
        <f ca="1">IFERROR(__xludf.DUMMYFUNCTION("""COMPUTED_VALUE"""),1)</f>
        <v>1</v>
      </c>
      <c r="K68" s="8">
        <f ca="1">IFERROR(__xludf.DUMMYFUNCTION("""COMPUTED_VALUE"""),20000)</f>
        <v>20000</v>
      </c>
      <c r="L68" s="8">
        <f ca="1">IFERROR(__xludf.DUMMYFUNCTION("""COMPUTED_VALUE"""),229.042601923957)</f>
        <v>229.04260192395699</v>
      </c>
      <c r="M68" s="96">
        <f ca="1">IFERROR(__xludf.DUMMYFUNCTION("""COMPUTED_VALUE"""),44191)</f>
        <v>44191</v>
      </c>
      <c r="N68" s="6"/>
      <c r="O68" s="97">
        <f ca="1">IFERROR(__xludf.DUMMYFUNCTION("""COMPUTED_VALUE"""),44192)</f>
        <v>44192</v>
      </c>
      <c r="P68" s="6" t="str">
        <f ca="1">IFERROR(__xludf.DUMMYFUNCTION("""COMPUTED_VALUE"""),"CSTM_BJV8VDXFB64")</f>
        <v>CSTM_BJV8VDXFB64</v>
      </c>
      <c r="Q68" s="6"/>
      <c r="R68" s="6" t="str">
        <f ca="1">IFERROR(__xludf.DUMMYFUNCTION("""COMPUTED_VALUE"""),"Pending")</f>
        <v>Pending</v>
      </c>
      <c r="S68" s="6" t="str">
        <f ca="1">IFERROR(__xludf.DUMMYFUNCTION("""COMPUTED_VALUE"""),"Category")</f>
        <v>Category</v>
      </c>
      <c r="T68" s="6"/>
      <c r="U68" s="6"/>
      <c r="V68" s="6"/>
      <c r="W68" s="6"/>
      <c r="X68" s="6"/>
      <c r="Y68" s="6"/>
      <c r="Z68" s="6"/>
      <c r="AA68" s="6"/>
      <c r="AB68" s="6"/>
      <c r="AC68" s="6"/>
      <c r="AD68" s="6"/>
      <c r="AE68" s="6"/>
      <c r="AF68" s="6"/>
      <c r="AG68" s="6"/>
      <c r="AH68" s="6"/>
      <c r="AI68" s="6"/>
      <c r="AJ68" s="6"/>
      <c r="AK68" s="6"/>
      <c r="AL68" s="6"/>
    </row>
    <row r="69" spans="1:38">
      <c r="A69" s="96">
        <f ca="1">IFERROR(__xludf.DUMMYFUNCTION("""COMPUTED_VALUE"""),44144)</f>
        <v>44144</v>
      </c>
      <c r="B69" s="6" t="str">
        <f ca="1">IFERROR(__xludf.DUMMYFUNCTION("""COMPUTED_VALUE"""),"Anup Neve")</f>
        <v>Anup Neve</v>
      </c>
      <c r="C69" s="6" t="str">
        <f ca="1">IFERROR(__xludf.DUMMYFUNCTION("""COMPUTED_VALUE"""),"anup.neve123@gmail.com")</f>
        <v>anup.neve123@gmail.com</v>
      </c>
      <c r="D69" s="6">
        <f ca="1">IFERROR(__xludf.DUMMYFUNCTION("""COMPUTED_VALUE"""),9773689945)</f>
        <v>9773689945</v>
      </c>
      <c r="E69" s="6" t="str">
        <f ca="1">IFERROR(__xludf.DUMMYFUNCTION("""COMPUTED_VALUE"""),"Reference")</f>
        <v>Reference</v>
      </c>
      <c r="F69" s="6" t="str">
        <f ca="1">IFERROR(__xludf.DUMMYFUNCTION("""COMPUTED_VALUE"""),"CSM")</f>
        <v>CSM</v>
      </c>
      <c r="G69" s="80"/>
      <c r="H69" s="6" t="str">
        <f ca="1">IFERROR(__xludf.DUMMYFUNCTION("""COMPUTED_VALUE"""),"Opportunity")</f>
        <v>Opportunity</v>
      </c>
      <c r="I69" s="6" t="str">
        <f ca="1">IFERROR(__xludf.DUMMYFUNCTION("""COMPUTED_VALUE"""),"Jan 2021")</f>
        <v>Jan 2021</v>
      </c>
      <c r="J69" s="6">
        <f ca="1">IFERROR(__xludf.DUMMYFUNCTION("""COMPUTED_VALUE"""),1)</f>
        <v>1</v>
      </c>
      <c r="K69" s="8">
        <f ca="1">IFERROR(__xludf.DUMMYFUNCTION("""COMPUTED_VALUE"""),20000)</f>
        <v>20000</v>
      </c>
      <c r="L69" s="8">
        <f ca="1">IFERROR(__xludf.DUMMYFUNCTION("""COMPUTED_VALUE"""),229.042601923957)</f>
        <v>229.04260192395699</v>
      </c>
      <c r="M69" s="96">
        <f ca="1">IFERROR(__xludf.DUMMYFUNCTION("""COMPUTED_VALUE"""),44205)</f>
        <v>44205</v>
      </c>
      <c r="N69" s="6"/>
      <c r="O69" s="97"/>
      <c r="P69" s="6"/>
      <c r="Q69" s="6" t="str">
        <f ca="1">IFERROR(__xludf.DUMMYFUNCTION("""COMPUTED_VALUE"""),"By Tejas Neve t.neve91@gmail.com")</f>
        <v>By Tejas Neve t.neve91@gmail.com</v>
      </c>
      <c r="R69" s="6"/>
      <c r="S69" s="6" t="str">
        <f ca="1">IFERROR(__xludf.DUMMYFUNCTION("""COMPUTED_VALUE"""),"Category")</f>
        <v>Category</v>
      </c>
      <c r="T69" s="6"/>
      <c r="U69" s="6"/>
      <c r="V69" s="6"/>
      <c r="W69" s="6"/>
      <c r="X69" s="6"/>
      <c r="Y69" s="6"/>
      <c r="Z69" s="6"/>
      <c r="AA69" s="6"/>
      <c r="AB69" s="6"/>
      <c r="AC69" s="6"/>
      <c r="AD69" s="6"/>
      <c r="AE69" s="6"/>
      <c r="AF69" s="6"/>
      <c r="AG69" s="6"/>
      <c r="AH69" s="6"/>
      <c r="AI69" s="6"/>
      <c r="AJ69" s="6"/>
      <c r="AK69" s="6"/>
      <c r="AL69" s="6"/>
    </row>
    <row r="70" spans="1:38">
      <c r="A70" s="96">
        <f ca="1">IFERROR(__xludf.DUMMYFUNCTION("""COMPUTED_VALUE"""),44186)</f>
        <v>44186</v>
      </c>
      <c r="B70" s="6" t="str">
        <f ca="1">IFERROR(__xludf.DUMMYFUNCTION("""COMPUTED_VALUE"""),"Ramesh Kumar")</f>
        <v>Ramesh Kumar</v>
      </c>
      <c r="C70" s="6" t="str">
        <f ca="1">IFERROR(__xludf.DUMMYFUNCTION("""COMPUTED_VALUE"""),"rameshkumar254528@gmail.com")</f>
        <v>rameshkumar254528@gmail.com</v>
      </c>
      <c r="D70" s="6">
        <f ca="1">IFERROR(__xludf.DUMMYFUNCTION("""COMPUTED_VALUE"""),8519854604)</f>
        <v>8519854604</v>
      </c>
      <c r="E70" s="6" t="str">
        <f ca="1">IFERROR(__xludf.DUMMYFUNCTION("""COMPUTED_VALUE"""),"course preview")</f>
        <v>course preview</v>
      </c>
      <c r="F70" s="6" t="str">
        <f ca="1">IFERROR(__xludf.DUMMYFUNCTION("""COMPUTED_VALUE"""),"CSM")</f>
        <v>CSM</v>
      </c>
      <c r="G70" s="80">
        <f ca="1">IFERROR(__xludf.DUMMYFUNCTION("""COMPUTED_VALUE"""),44197)</f>
        <v>44197</v>
      </c>
      <c r="H70" s="6" t="str">
        <f ca="1">IFERROR(__xludf.DUMMYFUNCTION("""COMPUTED_VALUE"""),"Opportunity")</f>
        <v>Opportunity</v>
      </c>
      <c r="I70" s="6" t="str">
        <f ca="1">IFERROR(__xludf.DUMMYFUNCTION("""COMPUTED_VALUE"""),"Jan 2021")</f>
        <v>Jan 2021</v>
      </c>
      <c r="J70" s="6">
        <f ca="1">IFERROR(__xludf.DUMMYFUNCTION("""COMPUTED_VALUE"""),1)</f>
        <v>1</v>
      </c>
      <c r="K70" s="8">
        <f ca="1">IFERROR(__xludf.DUMMYFUNCTION("""COMPUTED_VALUE"""),21000)</f>
        <v>21000</v>
      </c>
      <c r="L70" s="8">
        <f ca="1">IFERROR(__xludf.DUMMYFUNCTION("""COMPUTED_VALUE"""),240.494732020155)</f>
        <v>240.494732020155</v>
      </c>
      <c r="M70" s="96">
        <f ca="1">IFERROR(__xludf.DUMMYFUNCTION("""COMPUTED_VALUE"""),44205)</f>
        <v>44205</v>
      </c>
      <c r="N70" s="6"/>
      <c r="O70" s="97"/>
      <c r="P70" s="6"/>
      <c r="Q70" s="6"/>
      <c r="R70" s="6"/>
      <c r="S70" s="6" t="str">
        <f ca="1">IFERROR(__xludf.DUMMYFUNCTION("""COMPUTED_VALUE"""),"Category")</f>
        <v>Category</v>
      </c>
      <c r="T70" s="6"/>
      <c r="U70" s="6"/>
      <c r="V70" s="6"/>
      <c r="W70" s="6"/>
      <c r="X70" s="6"/>
      <c r="Y70" s="6"/>
      <c r="Z70" s="6"/>
      <c r="AA70" s="6"/>
      <c r="AB70" s="6"/>
      <c r="AC70" s="6"/>
      <c r="AD70" s="6"/>
      <c r="AE70" s="6"/>
      <c r="AF70" s="6"/>
      <c r="AG70" s="6"/>
      <c r="AH70" s="6"/>
      <c r="AI70" s="6"/>
      <c r="AJ70" s="6"/>
      <c r="AK70" s="6"/>
      <c r="AL70" s="6"/>
    </row>
    <row r="71" spans="1:38">
      <c r="A71" s="96">
        <f ca="1">IFERROR(__xludf.DUMMYFUNCTION("""COMPUTED_VALUE"""),44168)</f>
        <v>44168</v>
      </c>
      <c r="B71" s="6" t="str">
        <f ca="1">IFERROR(__xludf.DUMMYFUNCTION("""COMPUTED_VALUE"""),"Amit Prasad")</f>
        <v>Amit Prasad</v>
      </c>
      <c r="C71" s="6" t="str">
        <f ca="1">IFERROR(__xludf.DUMMYFUNCTION("""COMPUTED_VALUE"""),"amitprasad16042015@gmail.com/ amit.prasad@hp.com")</f>
        <v>amitprasad16042015@gmail.com/ amit.prasad@hp.com</v>
      </c>
      <c r="D71" s="6">
        <f ca="1">IFERROR(__xludf.DUMMYFUNCTION("""COMPUTED_VALUE"""),9108010863)</f>
        <v>9108010863</v>
      </c>
      <c r="E71" s="6" t="str">
        <f ca="1">IFERROR(__xludf.DUMMYFUNCTION("""COMPUTED_VALUE"""),"Existing Account")</f>
        <v>Existing Account</v>
      </c>
      <c r="F71" s="6" t="str">
        <f ca="1">IFERROR(__xludf.DUMMYFUNCTION("""COMPUTED_VALUE"""),"CSM")</f>
        <v>CSM</v>
      </c>
      <c r="G71" s="80">
        <f ca="1">IFERROR(__xludf.DUMMYFUNCTION("""COMPUTED_VALUE"""),44166)</f>
        <v>44166</v>
      </c>
      <c r="H71" s="6" t="str">
        <f ca="1">IFERROR(__xludf.DUMMYFUNCTION("""COMPUTED_VALUE"""),"Won")</f>
        <v>Won</v>
      </c>
      <c r="I71" s="6" t="str">
        <f ca="1">IFERROR(__xludf.DUMMYFUNCTION("""COMPUTED_VALUE"""),"29-30 Dec 2020")</f>
        <v>29-30 Dec 2020</v>
      </c>
      <c r="J71" s="6">
        <f ca="1">IFERROR(__xludf.DUMMYFUNCTION("""COMPUTED_VALUE"""),1)</f>
        <v>1</v>
      </c>
      <c r="K71" s="8">
        <f ca="1">IFERROR(__xludf.DUMMYFUNCTION("""COMPUTED_VALUE"""),20000)</f>
        <v>20000</v>
      </c>
      <c r="L71" s="8">
        <f ca="1">IFERROR(__xludf.DUMMYFUNCTION("""COMPUTED_VALUE"""),229.042601923957)</f>
        <v>229.04260192395699</v>
      </c>
      <c r="M71" s="96">
        <f ca="1">IFERROR(__xludf.DUMMYFUNCTION("""COMPUTED_VALUE"""),44193)</f>
        <v>44193</v>
      </c>
      <c r="N71" s="6"/>
      <c r="O71" s="97">
        <f ca="1">IFERROR(__xludf.DUMMYFUNCTION("""COMPUTED_VALUE"""),44193)</f>
        <v>44193</v>
      </c>
      <c r="P71" s="6" t="str">
        <f ca="1">IFERROR(__xludf.DUMMYFUNCTION("""COMPUTED_VALUE"""),"CSTM_DYOZUWS03CH")</f>
        <v>CSTM_DYOZUWS03CH</v>
      </c>
      <c r="Q71" s="6"/>
      <c r="R71" s="6" t="str">
        <f ca="1">IFERROR(__xludf.DUMMYFUNCTION("""COMPUTED_VALUE"""),"Pending")</f>
        <v>Pending</v>
      </c>
      <c r="S71" s="6" t="str">
        <f ca="1">IFERROR(__xludf.DUMMYFUNCTION("""COMPUTED_VALUE"""),"Category")</f>
        <v>Category</v>
      </c>
      <c r="T71" s="6"/>
      <c r="U71" s="6"/>
      <c r="V71" s="6"/>
      <c r="W71" s="6"/>
      <c r="X71" s="6"/>
      <c r="Y71" s="6"/>
      <c r="Z71" s="6"/>
      <c r="AA71" s="6"/>
      <c r="AB71" s="6"/>
      <c r="AC71" s="6"/>
      <c r="AD71" s="6"/>
      <c r="AE71" s="6"/>
      <c r="AF71" s="6"/>
      <c r="AG71" s="6"/>
      <c r="AH71" s="6"/>
      <c r="AI71" s="6"/>
      <c r="AJ71" s="6"/>
      <c r="AK71" s="6"/>
      <c r="AL71" s="6"/>
    </row>
    <row r="72" spans="1:38">
      <c r="A72" s="96">
        <f ca="1">IFERROR(__xludf.DUMMYFUNCTION("""COMPUTED_VALUE"""),44198)</f>
        <v>44198</v>
      </c>
      <c r="B72" s="6" t="str">
        <f ca="1">IFERROR(__xludf.DUMMYFUNCTION("""COMPUTED_VALUE"""),"Rajiv Mutalik")</f>
        <v>Rajiv Mutalik</v>
      </c>
      <c r="C72" s="6" t="str">
        <f ca="1">IFERROR(__xludf.DUMMYFUNCTION("""COMPUTED_VALUE"""),"rajmutalik@yahoo.com")</f>
        <v>rajmutalik@yahoo.com</v>
      </c>
      <c r="D72" s="6">
        <f ca="1">IFERROR(__xludf.DUMMYFUNCTION("""COMPUTED_VALUE"""),9845855007)</f>
        <v>9845855007</v>
      </c>
      <c r="E72" s="6" t="str">
        <f ca="1">IFERROR(__xludf.DUMMYFUNCTION("""COMPUTED_VALUE"""),"Chat_triggered")</f>
        <v>Chat_triggered</v>
      </c>
      <c r="F72" s="6" t="str">
        <f ca="1">IFERROR(__xludf.DUMMYFUNCTION("""COMPUTED_VALUE"""),"CSM")</f>
        <v>CSM</v>
      </c>
      <c r="G72" s="80">
        <f ca="1">IFERROR(__xludf.DUMMYFUNCTION("""COMPUTED_VALUE"""),44197)</f>
        <v>44197</v>
      </c>
      <c r="H72" s="6" t="str">
        <f ca="1">IFERROR(__xludf.DUMMYFUNCTION("""COMPUTED_VALUE"""),"Opportunity")</f>
        <v>Opportunity</v>
      </c>
      <c r="I72" s="6" t="str">
        <f ca="1">IFERROR(__xludf.DUMMYFUNCTION("""COMPUTED_VALUE"""),"9-10 Jan 2021")</f>
        <v>9-10 Jan 2021</v>
      </c>
      <c r="J72" s="6">
        <f ca="1">IFERROR(__xludf.DUMMYFUNCTION("""COMPUTED_VALUE"""),1)</f>
        <v>1</v>
      </c>
      <c r="K72" s="8">
        <f ca="1">IFERROR(__xludf.DUMMYFUNCTION("""COMPUTED_VALUE"""),21000)</f>
        <v>21000</v>
      </c>
      <c r="L72" s="8">
        <f ca="1">IFERROR(__xludf.DUMMYFUNCTION("""COMPUTED_VALUE"""),240.494732020155)</f>
        <v>240.494732020155</v>
      </c>
      <c r="M72" s="96">
        <f ca="1">IFERROR(__xludf.DUMMYFUNCTION("""COMPUTED_VALUE"""),44205)</f>
        <v>44205</v>
      </c>
      <c r="N72" s="6"/>
      <c r="O72" s="97"/>
      <c r="P72" s="6"/>
      <c r="Q72" s="6"/>
      <c r="R72" s="6"/>
      <c r="S72" s="6" t="str">
        <f ca="1">IFERROR(__xludf.DUMMYFUNCTION("""COMPUTED_VALUE"""),"Category")</f>
        <v>Category</v>
      </c>
      <c r="T72" s="6"/>
      <c r="U72" s="6"/>
      <c r="V72" s="6"/>
      <c r="W72" s="6"/>
      <c r="X72" s="6"/>
      <c r="Y72" s="6"/>
      <c r="Z72" s="6"/>
      <c r="AA72" s="6"/>
      <c r="AB72" s="6"/>
      <c r="AC72" s="6"/>
      <c r="AD72" s="6"/>
      <c r="AE72" s="6"/>
      <c r="AF72" s="6"/>
      <c r="AG72" s="6"/>
      <c r="AH72" s="6"/>
      <c r="AI72" s="6"/>
      <c r="AJ72" s="6"/>
      <c r="AK72" s="6"/>
      <c r="AL72" s="6"/>
    </row>
    <row r="73" spans="1:38">
      <c r="A73" s="96">
        <f ca="1">IFERROR(__xludf.DUMMYFUNCTION("""COMPUTED_VALUE"""),44174)</f>
        <v>44174</v>
      </c>
      <c r="B73" s="6" t="str">
        <f ca="1">IFERROR(__xludf.DUMMYFUNCTION("""COMPUTED_VALUE"""),"Sridevi Dharani")</f>
        <v>Sridevi Dharani</v>
      </c>
      <c r="C73" s="6" t="str">
        <f ca="1">IFERROR(__xludf.DUMMYFUNCTION("""COMPUTED_VALUE"""),"sridevidharani.ar@gmail.com")</f>
        <v>sridevidharani.ar@gmail.com</v>
      </c>
      <c r="D73" s="6">
        <f ca="1">IFERROR(__xludf.DUMMYFUNCTION("""COMPUTED_VALUE"""),9900061715)</f>
        <v>9900061715</v>
      </c>
      <c r="E73" s="6" t="str">
        <f ca="1">IFERROR(__xludf.DUMMYFUNCTION("""COMPUTED_VALUE"""),"course agenda")</f>
        <v>course agenda</v>
      </c>
      <c r="F73" s="6" t="str">
        <f ca="1">IFERROR(__xludf.DUMMYFUNCTION("""COMPUTED_VALUE"""),"CSM")</f>
        <v>CSM</v>
      </c>
      <c r="G73" s="80"/>
      <c r="H73" s="6" t="str">
        <f ca="1">IFERROR(__xludf.DUMMYFUNCTION("""COMPUTED_VALUE"""),"Opportunity")</f>
        <v>Opportunity</v>
      </c>
      <c r="I73" s="6" t="str">
        <f ca="1">IFERROR(__xludf.DUMMYFUNCTION("""COMPUTED_VALUE"""),"Jan 2021")</f>
        <v>Jan 2021</v>
      </c>
      <c r="J73" s="6">
        <f ca="1">IFERROR(__xludf.DUMMYFUNCTION("""COMPUTED_VALUE"""),1)</f>
        <v>1</v>
      </c>
      <c r="K73" s="8">
        <f ca="1">IFERROR(__xludf.DUMMYFUNCTION("""COMPUTED_VALUE"""),20000)</f>
        <v>20000</v>
      </c>
      <c r="L73" s="8">
        <f ca="1">IFERROR(__xludf.DUMMYFUNCTION("""COMPUTED_VALUE"""),229.042601923957)</f>
        <v>229.04260192395699</v>
      </c>
      <c r="M73" s="96">
        <f ca="1">IFERROR(__xludf.DUMMYFUNCTION("""COMPUTED_VALUE"""),44206)</f>
        <v>44206</v>
      </c>
      <c r="N73" s="6"/>
      <c r="O73" s="97"/>
      <c r="P73" s="6"/>
      <c r="Q73" s="6"/>
      <c r="R73" s="6"/>
      <c r="S73" s="6" t="str">
        <f ca="1">IFERROR(__xludf.DUMMYFUNCTION("""COMPUTED_VALUE"""),"Category")</f>
        <v>Category</v>
      </c>
      <c r="T73" s="6"/>
      <c r="U73" s="6"/>
      <c r="V73" s="6"/>
      <c r="W73" s="6"/>
      <c r="X73" s="6"/>
      <c r="Y73" s="6"/>
      <c r="Z73" s="6"/>
      <c r="AA73" s="6"/>
      <c r="AB73" s="6"/>
      <c r="AC73" s="6"/>
      <c r="AD73" s="6"/>
      <c r="AE73" s="6"/>
      <c r="AF73" s="6"/>
      <c r="AG73" s="6"/>
      <c r="AH73" s="6"/>
      <c r="AI73" s="6"/>
      <c r="AJ73" s="6"/>
      <c r="AK73" s="6"/>
      <c r="AL73" s="6"/>
    </row>
    <row r="74" spans="1:38">
      <c r="A74" s="96">
        <f ca="1">IFERROR(__xludf.DUMMYFUNCTION("""COMPUTED_VALUE"""),44186)</f>
        <v>44186</v>
      </c>
      <c r="B74" s="6" t="str">
        <f ca="1">IFERROR(__xludf.DUMMYFUNCTION("""COMPUTED_VALUE"""),"Reshma Surjiani")</f>
        <v>Reshma Surjiani</v>
      </c>
      <c r="C74" s="6" t="str">
        <f ca="1">IFERROR(__xludf.DUMMYFUNCTION("""COMPUTED_VALUE"""),"rrohra@gmail.com")</f>
        <v>rrohra@gmail.com</v>
      </c>
      <c r="D74" s="6">
        <f ca="1">IFERROR(__xludf.DUMMYFUNCTION("""COMPUTED_VALUE"""),9892368908)</f>
        <v>9892368908</v>
      </c>
      <c r="E74" s="6" t="str">
        <f ca="1">IFERROR(__xludf.DUMMYFUNCTION("""COMPUTED_VALUE"""),"Chat_triggered")</f>
        <v>Chat_triggered</v>
      </c>
      <c r="F74" s="6" t="str">
        <f ca="1">IFERROR(__xludf.DUMMYFUNCTION("""COMPUTED_VALUE"""),"CSM")</f>
        <v>CSM</v>
      </c>
      <c r="G74" s="80">
        <f ca="1">IFERROR(__xludf.DUMMYFUNCTION("""COMPUTED_VALUE"""),44166)</f>
        <v>44166</v>
      </c>
      <c r="H74" s="6" t="str">
        <f ca="1">IFERROR(__xludf.DUMMYFUNCTION("""COMPUTED_VALUE"""),"Won")</f>
        <v>Won</v>
      </c>
      <c r="I74" s="6" t="str">
        <f ca="1">IFERROR(__xludf.DUMMYFUNCTION("""COMPUTED_VALUE"""),"2-3 Jan 2021")</f>
        <v>2-3 Jan 2021</v>
      </c>
      <c r="J74" s="6">
        <f ca="1">IFERROR(__xludf.DUMMYFUNCTION("""COMPUTED_VALUE"""),1)</f>
        <v>1</v>
      </c>
      <c r="K74" s="8">
        <f ca="1">IFERROR(__xludf.DUMMYFUNCTION("""COMPUTED_VALUE"""),20000)</f>
        <v>20000</v>
      </c>
      <c r="L74" s="8">
        <f ca="1">IFERROR(__xludf.DUMMYFUNCTION("""COMPUTED_VALUE"""),229.042601923957)</f>
        <v>229.04260192395699</v>
      </c>
      <c r="M74" s="96">
        <f ca="1">IFERROR(__xludf.DUMMYFUNCTION("""COMPUTED_VALUE"""),44194)</f>
        <v>44194</v>
      </c>
      <c r="N74" s="6"/>
      <c r="O74" s="97">
        <f ca="1">IFERROR(__xludf.DUMMYFUNCTION("""COMPUTED_VALUE"""),44195)</f>
        <v>44195</v>
      </c>
      <c r="P74" s="6" t="str">
        <f ca="1">IFERROR(__xludf.DUMMYFUNCTION("""COMPUTED_VALUE"""),"CSTM_GHYXI3HMNJR")</f>
        <v>CSTM_GHYXI3HMNJR</v>
      </c>
      <c r="Q74" s="6"/>
      <c r="R74" s="6" t="str">
        <f ca="1">IFERROR(__xludf.DUMMYFUNCTION("""COMPUTED_VALUE"""),"Pending")</f>
        <v>Pending</v>
      </c>
      <c r="S74" s="6" t="str">
        <f ca="1">IFERROR(__xludf.DUMMYFUNCTION("""COMPUTED_VALUE"""),"Category")</f>
        <v>Category</v>
      </c>
      <c r="T74" s="6"/>
      <c r="U74" s="6"/>
      <c r="V74" s="6"/>
      <c r="W74" s="6"/>
      <c r="X74" s="6"/>
      <c r="Y74" s="6"/>
      <c r="Z74" s="6"/>
      <c r="AA74" s="6"/>
      <c r="AB74" s="6"/>
      <c r="AC74" s="6"/>
      <c r="AD74" s="6"/>
      <c r="AE74" s="6"/>
      <c r="AF74" s="6"/>
      <c r="AG74" s="6"/>
      <c r="AH74" s="6"/>
      <c r="AI74" s="6"/>
      <c r="AJ74" s="6"/>
      <c r="AK74" s="6"/>
      <c r="AL74" s="6"/>
    </row>
    <row r="75" spans="1:38">
      <c r="A75" s="96">
        <f ca="1">IFERROR(__xludf.DUMMYFUNCTION("""COMPUTED_VALUE"""),44191)</f>
        <v>44191</v>
      </c>
      <c r="B75" s="6" t="str">
        <f ca="1">IFERROR(__xludf.DUMMYFUNCTION("""COMPUTED_VALUE"""),"Tanu HS")</f>
        <v>Tanu HS</v>
      </c>
      <c r="C75" s="6" t="str">
        <f ca="1">IFERROR(__xludf.DUMMYFUNCTION("""COMPUTED_VALUE"""),"tanuhs@gmail.com")</f>
        <v>tanuhs@gmail.com</v>
      </c>
      <c r="D75" s="6">
        <f ca="1">IFERROR(__xludf.DUMMYFUNCTION("""COMPUTED_VALUE"""),8971144466)</f>
        <v>8971144466</v>
      </c>
      <c r="E75" s="6" t="str">
        <f ca="1">IFERROR(__xludf.DUMMYFUNCTION("""COMPUTED_VALUE"""),"course preview")</f>
        <v>course preview</v>
      </c>
      <c r="F75" s="6" t="str">
        <f ca="1">IFERROR(__xludf.DUMMYFUNCTION("""COMPUTED_VALUE"""),"PMI-ACP")</f>
        <v>PMI-ACP</v>
      </c>
      <c r="G75" s="80">
        <f ca="1">IFERROR(__xludf.DUMMYFUNCTION("""COMPUTED_VALUE"""),44166)</f>
        <v>44166</v>
      </c>
      <c r="H75" s="6" t="str">
        <f ca="1">IFERROR(__xludf.DUMMYFUNCTION("""COMPUTED_VALUE"""),"Won")</f>
        <v>Won</v>
      </c>
      <c r="I75" s="6" t="str">
        <f ca="1">IFERROR(__xludf.DUMMYFUNCTION("""COMPUTED_VALUE"""),"LVC")</f>
        <v>LVC</v>
      </c>
      <c r="J75" s="6">
        <f ca="1">IFERROR(__xludf.DUMMYFUNCTION("""COMPUTED_VALUE"""),1)</f>
        <v>1</v>
      </c>
      <c r="K75" s="8">
        <f ca="1">IFERROR(__xludf.DUMMYFUNCTION("""COMPUTED_VALUE"""),10000)</f>
        <v>10000</v>
      </c>
      <c r="L75" s="8">
        <f ca="1">IFERROR(__xludf.DUMMYFUNCTION("""COMPUTED_VALUE"""),114.521300961978)</f>
        <v>114.521300961978</v>
      </c>
      <c r="M75" s="96">
        <f ca="1">IFERROR(__xludf.DUMMYFUNCTION("""COMPUTED_VALUE"""),44195)</f>
        <v>44195</v>
      </c>
      <c r="N75" s="6"/>
      <c r="O75" s="97">
        <f ca="1">IFERROR(__xludf.DUMMYFUNCTION("""COMPUTED_VALUE"""),44195)</f>
        <v>44195</v>
      </c>
      <c r="P75" s="6" t="str">
        <f ca="1">IFERROR(__xludf.DUMMYFUNCTION("""COMPUTED_VALUE"""),"CSTM_IGBHM85YLXE")</f>
        <v>CSTM_IGBHM85YLXE</v>
      </c>
      <c r="Q75" s="6"/>
      <c r="R75" s="6"/>
      <c r="S75" s="6" t="str">
        <f ca="1">IFERROR(__xludf.DUMMYFUNCTION("""COMPUTED_VALUE"""),"Category")</f>
        <v>Category</v>
      </c>
      <c r="T75" s="6"/>
      <c r="U75" s="6"/>
      <c r="V75" s="6"/>
      <c r="W75" s="6"/>
      <c r="X75" s="6"/>
      <c r="Y75" s="6"/>
      <c r="Z75" s="6"/>
      <c r="AA75" s="6"/>
      <c r="AB75" s="6"/>
      <c r="AC75" s="6"/>
      <c r="AD75" s="6"/>
      <c r="AE75" s="6"/>
      <c r="AF75" s="6"/>
      <c r="AG75" s="6"/>
      <c r="AH75" s="6"/>
      <c r="AI75" s="6"/>
      <c r="AJ75" s="6"/>
      <c r="AK75" s="6"/>
      <c r="AL75" s="6"/>
    </row>
    <row r="76" spans="1:38">
      <c r="A76" s="96">
        <f ca="1">IFERROR(__xludf.DUMMYFUNCTION("""COMPUTED_VALUE"""),44195)</f>
        <v>44195</v>
      </c>
      <c r="B76" s="6" t="str">
        <f ca="1">IFERROR(__xludf.DUMMYFUNCTION("""COMPUTED_VALUE"""),"Arushi")</f>
        <v>Arushi</v>
      </c>
      <c r="C76" s="6" t="str">
        <f ca="1">IFERROR(__xludf.DUMMYFUNCTION("""COMPUTED_VALUE"""),"arushi2110@gmail.com")</f>
        <v>arushi2110@gmail.com</v>
      </c>
      <c r="D76" s="6">
        <f ca="1">IFERROR(__xludf.DUMMYFUNCTION("""COMPUTED_VALUE"""),7899737954)</f>
        <v>7899737954</v>
      </c>
      <c r="E76" s="6" t="str">
        <f ca="1">IFERROR(__xludf.DUMMYFUNCTION("""COMPUTED_VALUE"""),"course-agenda")</f>
        <v>course-agenda</v>
      </c>
      <c r="F76" s="6" t="str">
        <f ca="1">IFERROR(__xludf.DUMMYFUNCTION("""COMPUTED_VALUE"""),"DS with Python - OSL")</f>
        <v>DS with Python - OSL</v>
      </c>
      <c r="G76" s="80">
        <f ca="1">IFERROR(__xludf.DUMMYFUNCTION("""COMPUTED_VALUE"""),44166)</f>
        <v>44166</v>
      </c>
      <c r="H76" s="6" t="str">
        <f ca="1">IFERROR(__xludf.DUMMYFUNCTION("""COMPUTED_VALUE"""),"Won")</f>
        <v>Won</v>
      </c>
      <c r="I76" s="6" t="str">
        <f ca="1">IFERROR(__xludf.DUMMYFUNCTION("""COMPUTED_VALUE"""),"23 Jan 2021")</f>
        <v>23 Jan 2021</v>
      </c>
      <c r="J76" s="6">
        <f ca="1">IFERROR(__xludf.DUMMYFUNCTION("""COMPUTED_VALUE"""),1)</f>
        <v>1</v>
      </c>
      <c r="K76" s="8">
        <f ca="1">IFERROR(__xludf.DUMMYFUNCTION("""COMPUTED_VALUE"""),20000)</f>
        <v>20000</v>
      </c>
      <c r="L76" s="8">
        <f ca="1">IFERROR(__xludf.DUMMYFUNCTION("""COMPUTED_VALUE"""),229.042601923957)</f>
        <v>229.04260192395699</v>
      </c>
      <c r="M76" s="96">
        <f ca="1">IFERROR(__xludf.DUMMYFUNCTION("""COMPUTED_VALUE"""),44195)</f>
        <v>44195</v>
      </c>
      <c r="N76" s="6"/>
      <c r="O76" s="97">
        <f ca="1">IFERROR(__xludf.DUMMYFUNCTION("""COMPUTED_VALUE"""),44195)</f>
        <v>44195</v>
      </c>
      <c r="P76" s="6" t="str">
        <f ca="1">IFERROR(__xludf.DUMMYFUNCTION("""COMPUTED_VALUE"""),"CSTM_AYGBYFX8JHP")</f>
        <v>CSTM_AYGBYFX8JHP</v>
      </c>
      <c r="Q76" s="6"/>
      <c r="R76" s="6"/>
      <c r="S76" s="6" t="str">
        <f ca="1">IFERROR(__xludf.DUMMYFUNCTION("""COMPUTED_VALUE"""),"NonCategory")</f>
        <v>NonCategory</v>
      </c>
      <c r="T76" s="6"/>
      <c r="U76" s="6"/>
      <c r="V76" s="6"/>
      <c r="W76" s="6"/>
      <c r="X76" s="6"/>
      <c r="Y76" s="6"/>
      <c r="Z76" s="6"/>
      <c r="AA76" s="6"/>
      <c r="AB76" s="6"/>
      <c r="AC76" s="6"/>
      <c r="AD76" s="6"/>
      <c r="AE76" s="6"/>
      <c r="AF76" s="6"/>
      <c r="AG76" s="6"/>
      <c r="AH76" s="6"/>
      <c r="AI76" s="6"/>
      <c r="AJ76" s="6"/>
      <c r="AK76" s="6"/>
      <c r="AL76" s="6"/>
    </row>
    <row r="77" spans="1:38">
      <c r="A77" s="96">
        <f ca="1">IFERROR(__xludf.DUMMYFUNCTION("""COMPUTED_VALUE"""),44197)</f>
        <v>44197</v>
      </c>
      <c r="B77" s="6" t="str">
        <f ca="1">IFERROR(__xludf.DUMMYFUNCTION("""COMPUTED_VALUE"""),"Sandeep Joglekar")</f>
        <v>Sandeep Joglekar</v>
      </c>
      <c r="C77" s="6" t="str">
        <f ca="1">IFERROR(__xludf.DUMMYFUNCTION("""COMPUTED_VALUE"""),"sandeep48@yahoo.com")</f>
        <v>sandeep48@yahoo.com</v>
      </c>
      <c r="D77" s="6">
        <f ca="1">IFERROR(__xludf.DUMMYFUNCTION("""COMPUTED_VALUE"""),9987657526)</f>
        <v>9987657526</v>
      </c>
      <c r="E77" s="6" t="str">
        <f ca="1">IFERROR(__xludf.DUMMYFUNCTION("""COMPUTED_VALUE"""),"Reference")</f>
        <v>Reference</v>
      </c>
      <c r="F77" s="6" t="str">
        <f ca="1">IFERROR(__xludf.DUMMYFUNCTION("""COMPUTED_VALUE"""),"CSM")</f>
        <v>CSM</v>
      </c>
      <c r="G77" s="80">
        <f ca="1">IFERROR(__xludf.DUMMYFUNCTION("""COMPUTED_VALUE"""),44228)</f>
        <v>44228</v>
      </c>
      <c r="H77" s="6" t="str">
        <f ca="1">IFERROR(__xludf.DUMMYFUNCTION("""COMPUTED_VALUE"""),"Opportunity")</f>
        <v>Opportunity</v>
      </c>
      <c r="I77" s="6" t="str">
        <f ca="1">IFERROR(__xludf.DUMMYFUNCTION("""COMPUTED_VALUE"""),"6-7 Feb 2021")</f>
        <v>6-7 Feb 2021</v>
      </c>
      <c r="J77" s="6">
        <f ca="1">IFERROR(__xludf.DUMMYFUNCTION("""COMPUTED_VALUE"""),1)</f>
        <v>1</v>
      </c>
      <c r="K77" s="8">
        <f ca="1">IFERROR(__xludf.DUMMYFUNCTION("""COMPUTED_VALUE"""),20000)</f>
        <v>20000</v>
      </c>
      <c r="L77" s="8">
        <f ca="1">IFERROR(__xludf.DUMMYFUNCTION("""COMPUTED_VALUE"""),229.042601923957)</f>
        <v>229.04260192395699</v>
      </c>
      <c r="M77" s="96">
        <f ca="1">IFERROR(__xludf.DUMMYFUNCTION("""COMPUTED_VALUE"""),44207)</f>
        <v>44207</v>
      </c>
      <c r="N77" s="6"/>
      <c r="O77" s="97"/>
      <c r="P77" s="6"/>
      <c r="Q77" s="6" t="str">
        <f ca="1">IFERROR(__xludf.DUMMYFUNCTION("""COMPUTED_VALUE"""),"By Srikanta srikantajena@gmail.com.")</f>
        <v>By Srikanta srikantajena@gmail.com.</v>
      </c>
      <c r="R77" s="6"/>
      <c r="S77" s="6" t="str">
        <f ca="1">IFERROR(__xludf.DUMMYFUNCTION("""COMPUTED_VALUE"""),"Category")</f>
        <v>Category</v>
      </c>
      <c r="T77" s="6"/>
      <c r="U77" s="6"/>
      <c r="V77" s="6"/>
      <c r="W77" s="6"/>
      <c r="X77" s="6"/>
      <c r="Y77" s="6"/>
      <c r="Z77" s="6"/>
      <c r="AA77" s="6"/>
      <c r="AB77" s="6"/>
      <c r="AC77" s="6"/>
      <c r="AD77" s="6"/>
      <c r="AE77" s="6"/>
      <c r="AF77" s="6"/>
      <c r="AG77" s="6"/>
      <c r="AH77" s="6"/>
      <c r="AI77" s="6"/>
      <c r="AJ77" s="6"/>
      <c r="AK77" s="6"/>
      <c r="AL77" s="6"/>
    </row>
    <row r="78" spans="1:38">
      <c r="A78" s="96">
        <f ca="1">IFERROR(__xludf.DUMMYFUNCTION("""COMPUTED_VALUE"""),44196)</f>
        <v>44196</v>
      </c>
      <c r="B78" s="6" t="str">
        <f ca="1">IFERROR(__xludf.DUMMYFUNCTION("""COMPUTED_VALUE"""),"Shalini Akki")</f>
        <v>Shalini Akki</v>
      </c>
      <c r="C78" s="6" t="str">
        <f ca="1">IFERROR(__xludf.DUMMYFUNCTION("""COMPUTED_VALUE"""),"shalini.akki02@gmail.com")</f>
        <v>shalini.akki02@gmail.com</v>
      </c>
      <c r="D78" s="6">
        <f ca="1">IFERROR(__xludf.DUMMYFUNCTION("""COMPUTED_VALUE"""),9441222345)</f>
        <v>9441222345</v>
      </c>
      <c r="E78" s="6" t="str">
        <f ca="1">IFERROR(__xludf.DUMMYFUNCTION("""COMPUTED_VALUE"""),"Reference")</f>
        <v>Reference</v>
      </c>
      <c r="F78" s="6" t="str">
        <f ca="1">IFERROR(__xludf.DUMMYFUNCTION("""COMPUTED_VALUE"""),"CSM")</f>
        <v>CSM</v>
      </c>
      <c r="G78" s="80">
        <f ca="1">IFERROR(__xludf.DUMMYFUNCTION("""COMPUTED_VALUE"""),44166)</f>
        <v>44166</v>
      </c>
      <c r="H78" s="6" t="str">
        <f ca="1">IFERROR(__xludf.DUMMYFUNCTION("""COMPUTED_VALUE"""),"Won")</f>
        <v>Won</v>
      </c>
      <c r="I78" s="6" t="str">
        <f ca="1">IFERROR(__xludf.DUMMYFUNCTION("""COMPUTED_VALUE"""),"2-3 Jan 2021")</f>
        <v>2-3 Jan 2021</v>
      </c>
      <c r="J78" s="6">
        <f ca="1">IFERROR(__xludf.DUMMYFUNCTION("""COMPUTED_VALUE"""),1)</f>
        <v>1</v>
      </c>
      <c r="K78" s="8">
        <f ca="1">IFERROR(__xludf.DUMMYFUNCTION("""COMPUTED_VALUE"""),20000)</f>
        <v>20000</v>
      </c>
      <c r="L78" s="8">
        <f ca="1">IFERROR(__xludf.DUMMYFUNCTION("""COMPUTED_VALUE"""),229.042601923957)</f>
        <v>229.04260192395699</v>
      </c>
      <c r="M78" s="96">
        <f ca="1">IFERROR(__xludf.DUMMYFUNCTION("""COMPUTED_VALUE"""),44196)</f>
        <v>44196</v>
      </c>
      <c r="N78" s="6"/>
      <c r="O78" s="97">
        <f ca="1">IFERROR(__xludf.DUMMYFUNCTION("""COMPUTED_VALUE"""),44196)</f>
        <v>44196</v>
      </c>
      <c r="P78" s="6" t="str">
        <f ca="1">IFERROR(__xludf.DUMMYFUNCTION("""COMPUTED_VALUE"""),"CSTM_G8XHSCYF8MI")</f>
        <v>CSTM_G8XHSCYF8MI</v>
      </c>
      <c r="Q78" s="6" t="str">
        <f ca="1">IFERROR(__xludf.DUMMYFUNCTION("""COMPUTED_VALUE"""),"By Chitra Bhanu")</f>
        <v>By Chitra Bhanu</v>
      </c>
      <c r="R78" s="6" t="str">
        <f ca="1">IFERROR(__xludf.DUMMYFUNCTION("""COMPUTED_VALUE"""),"Pending")</f>
        <v>Pending</v>
      </c>
      <c r="S78" s="6" t="str">
        <f ca="1">IFERROR(__xludf.DUMMYFUNCTION("""COMPUTED_VALUE"""),"Category")</f>
        <v>Category</v>
      </c>
      <c r="T78" s="6" t="str">
        <f ca="1">IFERROR(__xludf.DUMMYFUNCTION("""COMPUTED_VALUE"""),"Sent.")</f>
        <v>Sent.</v>
      </c>
      <c r="U78" s="6"/>
      <c r="V78" s="6"/>
      <c r="W78" s="6"/>
      <c r="X78" s="6"/>
      <c r="Y78" s="6"/>
      <c r="Z78" s="6"/>
      <c r="AA78" s="6"/>
      <c r="AB78" s="6"/>
      <c r="AC78" s="6"/>
      <c r="AD78" s="6"/>
      <c r="AE78" s="6"/>
      <c r="AF78" s="6"/>
      <c r="AG78" s="6"/>
      <c r="AH78" s="6"/>
      <c r="AI78" s="6"/>
      <c r="AJ78" s="6"/>
      <c r="AK78" s="6"/>
      <c r="AL78" s="6"/>
    </row>
    <row r="79" spans="1:38">
      <c r="A79" s="96">
        <f ca="1">IFERROR(__xludf.DUMMYFUNCTION("""COMPUTED_VALUE"""),44187)</f>
        <v>44187</v>
      </c>
      <c r="B79" s="6" t="str">
        <f ca="1">IFERROR(__xludf.DUMMYFUNCTION("""COMPUTED_VALUE"""),"Aditya Gajula")</f>
        <v>Aditya Gajula</v>
      </c>
      <c r="C79" s="6" t="str">
        <f ca="1">IFERROR(__xludf.DUMMYFUNCTION("""COMPUTED_VALUE"""),"adityas.gajula@gmail.com")</f>
        <v>adityas.gajula@gmail.com</v>
      </c>
      <c r="D79" s="6">
        <f ca="1">IFERROR(__xludf.DUMMYFUNCTION("""COMPUTED_VALUE"""),9160009221)</f>
        <v>9160009221</v>
      </c>
      <c r="E79" s="6" t="str">
        <f ca="1">IFERROR(__xludf.DUMMYFUNCTION("""COMPUTED_VALUE"""),"Chat_triggered")</f>
        <v>Chat_triggered</v>
      </c>
      <c r="F79" s="6" t="str">
        <f ca="1">IFERROR(__xludf.DUMMYFUNCTION("""COMPUTED_VALUE"""),"ASM")</f>
        <v>ASM</v>
      </c>
      <c r="G79" s="80">
        <f ca="1">IFERROR(__xludf.DUMMYFUNCTION("""COMPUTED_VALUE"""),44197)</f>
        <v>44197</v>
      </c>
      <c r="H79" s="6" t="str">
        <f ca="1">IFERROR(__xludf.DUMMYFUNCTION("""COMPUTED_VALUE"""),"Opportunity")</f>
        <v>Opportunity</v>
      </c>
      <c r="I79" s="6" t="str">
        <f ca="1">IFERROR(__xludf.DUMMYFUNCTION("""COMPUTED_VALUE"""),"9 Jan 2021")</f>
        <v>9 Jan 2021</v>
      </c>
      <c r="J79" s="6">
        <f ca="1">IFERROR(__xludf.DUMMYFUNCTION("""COMPUTED_VALUE"""),1)</f>
        <v>1</v>
      </c>
      <c r="K79" s="8">
        <f ca="1">IFERROR(__xludf.DUMMYFUNCTION("""COMPUTED_VALUE"""),24000)</f>
        <v>24000</v>
      </c>
      <c r="L79" s="8">
        <f ca="1">IFERROR(__xludf.DUMMYFUNCTION("""COMPUTED_VALUE"""),274.851122308749)</f>
        <v>274.85112230874898</v>
      </c>
      <c r="M79" s="96">
        <f ca="1">IFERROR(__xludf.DUMMYFUNCTION("""COMPUTED_VALUE"""),44207)</f>
        <v>44207</v>
      </c>
      <c r="N79" s="6"/>
      <c r="O79" s="97"/>
      <c r="P79" s="6"/>
      <c r="Q79" s="6"/>
      <c r="R79" s="6"/>
      <c r="S79" s="6" t="str">
        <f ca="1">IFERROR(__xludf.DUMMYFUNCTION("""COMPUTED_VALUE"""),"NonCategory")</f>
        <v>NonCategory</v>
      </c>
      <c r="T79" s="6"/>
      <c r="U79" s="6"/>
      <c r="V79" s="6"/>
      <c r="W79" s="6"/>
      <c r="X79" s="6"/>
      <c r="Y79" s="6"/>
      <c r="Z79" s="6"/>
      <c r="AA79" s="6"/>
      <c r="AB79" s="6"/>
      <c r="AC79" s="6"/>
      <c r="AD79" s="6"/>
      <c r="AE79" s="6"/>
      <c r="AF79" s="6"/>
      <c r="AG79" s="6"/>
      <c r="AH79" s="6"/>
      <c r="AI79" s="6"/>
      <c r="AJ79" s="6"/>
      <c r="AK79" s="6"/>
      <c r="AL79" s="6"/>
    </row>
    <row r="80" spans="1:38">
      <c r="A80" s="96">
        <f ca="1">IFERROR(__xludf.DUMMYFUNCTION("""COMPUTED_VALUE"""),44172)</f>
        <v>44172</v>
      </c>
      <c r="B80" s="6" t="str">
        <f ca="1">IFERROR(__xludf.DUMMYFUNCTION("""COMPUTED_VALUE"""),"Essakkiappan")</f>
        <v>Essakkiappan</v>
      </c>
      <c r="C80" s="6" t="str">
        <f ca="1">IFERROR(__xludf.DUMMYFUNCTION("""COMPUTED_VALUE"""),"muthu_vsa@yahoo.co.in")</f>
        <v>muthu_vsa@yahoo.co.in</v>
      </c>
      <c r="D80" s="6">
        <f ca="1">IFERROR(__xludf.DUMMYFUNCTION("""COMPUTED_VALUE"""),9944851660)</f>
        <v>9944851660</v>
      </c>
      <c r="E80" s="6" t="str">
        <f ca="1">IFERROR(__xludf.DUMMYFUNCTION("""COMPUTED_VALUE"""),"Request a call")</f>
        <v>Request a call</v>
      </c>
      <c r="F80" s="6" t="str">
        <f ca="1">IFERROR(__xludf.DUMMYFUNCTION("""COMPUTED_VALUE"""),"CSM")</f>
        <v>CSM</v>
      </c>
      <c r="G80" s="80"/>
      <c r="H80" s="6" t="str">
        <f ca="1">IFERROR(__xludf.DUMMYFUNCTION("""COMPUTED_VALUE"""),"Lost")</f>
        <v>Lost</v>
      </c>
      <c r="I80" s="6" t="str">
        <f ca="1">IFERROR(__xludf.DUMMYFUNCTION("""COMPUTED_VALUE"""),"DK")</f>
        <v>DK</v>
      </c>
      <c r="J80" s="6">
        <f ca="1">IFERROR(__xludf.DUMMYFUNCTION("""COMPUTED_VALUE"""),1)</f>
        <v>1</v>
      </c>
      <c r="K80" s="8">
        <f ca="1">IFERROR(__xludf.DUMMYFUNCTION("""COMPUTED_VALUE"""),22000)</f>
        <v>22000</v>
      </c>
      <c r="L80" s="8">
        <f ca="1">IFERROR(__xludf.DUMMYFUNCTION("""COMPUTED_VALUE"""),251.946862116353)</f>
        <v>251.946862116353</v>
      </c>
      <c r="M80" s="96"/>
      <c r="N80" s="6"/>
      <c r="O80" s="97"/>
      <c r="P80" s="6"/>
      <c r="Q80" s="6"/>
      <c r="R80" s="6"/>
      <c r="S80" s="6" t="str">
        <f ca="1">IFERROR(__xludf.DUMMYFUNCTION("""COMPUTED_VALUE"""),"Category")</f>
        <v>Category</v>
      </c>
      <c r="T80" s="6"/>
      <c r="U80" s="6"/>
      <c r="V80" s="6"/>
      <c r="W80" s="6"/>
      <c r="X80" s="6"/>
      <c r="Y80" s="6"/>
      <c r="Z80" s="6"/>
      <c r="AA80" s="6"/>
      <c r="AB80" s="6"/>
      <c r="AC80" s="6"/>
      <c r="AD80" s="6"/>
      <c r="AE80" s="6"/>
      <c r="AF80" s="6"/>
      <c r="AG80" s="6"/>
      <c r="AH80" s="6"/>
      <c r="AI80" s="6"/>
      <c r="AJ80" s="6"/>
      <c r="AK80" s="6"/>
      <c r="AL80" s="6"/>
    </row>
    <row r="81" spans="1:38">
      <c r="A81" s="96">
        <f ca="1">IFERROR(__xludf.DUMMYFUNCTION("""COMPUTED_VALUE"""),44182)</f>
        <v>44182</v>
      </c>
      <c r="B81" s="6" t="str">
        <f ca="1">IFERROR(__xludf.DUMMYFUNCTION("""COMPUTED_VALUE"""),"Arijit Kapoor")</f>
        <v>Arijit Kapoor</v>
      </c>
      <c r="C81" s="6" t="str">
        <f ca="1">IFERROR(__xludf.DUMMYFUNCTION("""COMPUTED_VALUE"""),"arjit_04@yahoo.com")</f>
        <v>arjit_04@yahoo.com</v>
      </c>
      <c r="D81" s="6">
        <f ca="1">IFERROR(__xludf.DUMMYFUNCTION("""COMPUTED_VALUE"""),9619813261)</f>
        <v>9619813261</v>
      </c>
      <c r="E81" s="6" t="str">
        <f ca="1">IFERROR(__xludf.DUMMYFUNCTION("""COMPUTED_VALUE"""),"Reference")</f>
        <v>Reference</v>
      </c>
      <c r="F81" s="6" t="str">
        <f ca="1">IFERROR(__xludf.DUMMYFUNCTION("""COMPUTED_VALUE"""),"Azure-204")</f>
        <v>Azure-204</v>
      </c>
      <c r="G81" s="80">
        <f ca="1">IFERROR(__xludf.DUMMYFUNCTION("""COMPUTED_VALUE"""),44166)</f>
        <v>44166</v>
      </c>
      <c r="H81" s="6" t="str">
        <f ca="1">IFERROR(__xludf.DUMMYFUNCTION("""COMPUTED_VALUE"""),"Won")</f>
        <v>Won</v>
      </c>
      <c r="I81" s="6" t="str">
        <f ca="1">IFERROR(__xludf.DUMMYFUNCTION("""COMPUTED_VALUE"""),"16 Jan 2021")</f>
        <v>16 Jan 2021</v>
      </c>
      <c r="J81" s="6">
        <f ca="1">IFERROR(__xludf.DUMMYFUNCTION("""COMPUTED_VALUE"""),1)</f>
        <v>1</v>
      </c>
      <c r="K81" s="8">
        <f ca="1">IFERROR(__xludf.DUMMYFUNCTION("""COMPUTED_VALUE"""),22000)</f>
        <v>22000</v>
      </c>
      <c r="L81" s="8">
        <f ca="1">IFERROR(__xludf.DUMMYFUNCTION("""COMPUTED_VALUE"""),251.946862116353)</f>
        <v>251.946862116353</v>
      </c>
      <c r="M81" s="96">
        <f ca="1">IFERROR(__xludf.DUMMYFUNCTION("""COMPUTED_VALUE"""),44186)</f>
        <v>44186</v>
      </c>
      <c r="N81" s="6"/>
      <c r="O81" s="97">
        <f ca="1">IFERROR(__xludf.DUMMYFUNCTION("""COMPUTED_VALUE"""),44216)</f>
        <v>44216</v>
      </c>
      <c r="P81" s="6" t="str">
        <f ca="1">IFERROR(__xludf.DUMMYFUNCTION("""COMPUTED_VALUE"""),"CSTM_92E0A9QO2PE")</f>
        <v>CSTM_92E0A9QO2PE</v>
      </c>
      <c r="Q81" s="6" t="str">
        <f ca="1">IFERROR(__xludf.DUMMYFUNCTION("""COMPUTED_VALUE"""),"By Shivangi Arora")</f>
        <v>By Shivangi Arora</v>
      </c>
      <c r="R81" s="6" t="str">
        <f ca="1">IFERROR(__xludf.DUMMYFUNCTION("""COMPUTED_VALUE"""),"SL - LVC")</f>
        <v>SL - LVC</v>
      </c>
      <c r="S81" s="6" t="str">
        <f ca="1">IFERROR(__xludf.DUMMYFUNCTION("""COMPUTED_VALUE"""),"NonCategory")</f>
        <v>NonCategory</v>
      </c>
      <c r="T81" s="6" t="str">
        <f ca="1">IFERROR(__xludf.DUMMYFUNCTION("""COMPUTED_VALUE"""),"Sent.")</f>
        <v>Sent.</v>
      </c>
      <c r="U81" s="6"/>
      <c r="V81" s="6"/>
      <c r="W81" s="6"/>
      <c r="X81" s="6"/>
      <c r="Y81" s="6"/>
      <c r="Z81" s="6"/>
      <c r="AA81" s="6"/>
      <c r="AB81" s="6"/>
      <c r="AC81" s="6"/>
      <c r="AD81" s="6"/>
      <c r="AE81" s="6"/>
      <c r="AF81" s="6"/>
      <c r="AG81" s="6"/>
      <c r="AH81" s="6"/>
      <c r="AI81" s="6"/>
      <c r="AJ81" s="6"/>
      <c r="AK81" s="6"/>
      <c r="AL81" s="6"/>
    </row>
    <row r="82" spans="1:38">
      <c r="A82" s="96">
        <f ca="1">IFERROR(__xludf.DUMMYFUNCTION("""COMPUTED_VALUE"""),44198)</f>
        <v>44198</v>
      </c>
      <c r="B82" s="6" t="str">
        <f ca="1">IFERROR(__xludf.DUMMYFUNCTION("""COMPUTED_VALUE"""),"Ganesh Rao")</f>
        <v>Ganesh Rao</v>
      </c>
      <c r="C82" s="6" t="str">
        <f ca="1">IFERROR(__xludf.DUMMYFUNCTION("""COMPUTED_VALUE"""),"ganeshugesh@gmail.com")</f>
        <v>ganeshugesh@gmail.com</v>
      </c>
      <c r="D82" s="6">
        <f ca="1">IFERROR(__xludf.DUMMYFUNCTION("""COMPUTED_VALUE"""),9940064832)</f>
        <v>9940064832</v>
      </c>
      <c r="E82" s="6" t="str">
        <f ca="1">IFERROR(__xludf.DUMMYFUNCTION("""COMPUTED_VALUE"""),"course-agenda")</f>
        <v>course-agenda</v>
      </c>
      <c r="F82" s="6" t="str">
        <f ca="1">IFERROR(__xludf.DUMMYFUNCTION("""COMPUTED_VALUE"""),"CSM")</f>
        <v>CSM</v>
      </c>
      <c r="G82" s="80">
        <f ca="1">IFERROR(__xludf.DUMMYFUNCTION("""COMPUTED_VALUE"""),44197)</f>
        <v>44197</v>
      </c>
      <c r="H82" s="6" t="str">
        <f ca="1">IFERROR(__xludf.DUMMYFUNCTION("""COMPUTED_VALUE"""),"Won")</f>
        <v>Won</v>
      </c>
      <c r="I82" s="6" t="str">
        <f ca="1">IFERROR(__xludf.DUMMYFUNCTION("""COMPUTED_VALUE"""),"9-10 Jan 2021")</f>
        <v>9-10 Jan 2021</v>
      </c>
      <c r="J82" s="6">
        <f ca="1">IFERROR(__xludf.DUMMYFUNCTION("""COMPUTED_VALUE"""),1)</f>
        <v>1</v>
      </c>
      <c r="K82" s="8">
        <f ca="1">IFERROR(__xludf.DUMMYFUNCTION("""COMPUTED_VALUE"""),21000)</f>
        <v>21000</v>
      </c>
      <c r="L82" s="8">
        <f ca="1">IFERROR(__xludf.DUMMYFUNCTION("""COMPUTED_VALUE"""),240.494732020155)</f>
        <v>240.494732020155</v>
      </c>
      <c r="M82" s="96">
        <f ca="1">IFERROR(__xludf.DUMMYFUNCTION("""COMPUTED_VALUE"""),44198)</f>
        <v>44198</v>
      </c>
      <c r="N82" s="6" t="str">
        <f ca="1">IFERROR(__xludf.DUMMYFUNCTION("""COMPUTED_VALUE"""),"W1")</f>
        <v>W1</v>
      </c>
      <c r="O82" s="97">
        <f ca="1">IFERROR(__xludf.DUMMYFUNCTION("""COMPUTED_VALUE"""),44198)</f>
        <v>44198</v>
      </c>
      <c r="P82" s="6" t="str">
        <f ca="1">IFERROR(__xludf.DUMMYFUNCTION("""COMPUTED_VALUE"""),"CSTM_DZHG5T891CY")</f>
        <v>CSTM_DZHG5T891CY</v>
      </c>
      <c r="Q82" s="6"/>
      <c r="R82" s="6" t="str">
        <f ca="1">IFERROR(__xludf.DUMMYFUNCTION("""COMPUTED_VALUE"""),"Pending.")</f>
        <v>Pending.</v>
      </c>
      <c r="S82" s="6" t="str">
        <f ca="1">IFERROR(__xludf.DUMMYFUNCTION("""COMPUTED_VALUE"""),"Category")</f>
        <v>Category</v>
      </c>
      <c r="T82" s="6"/>
      <c r="U82" s="6"/>
      <c r="V82" s="6"/>
      <c r="W82" s="6"/>
      <c r="X82" s="6"/>
      <c r="Y82" s="6"/>
      <c r="Z82" s="6"/>
      <c r="AA82" s="6"/>
      <c r="AB82" s="6"/>
      <c r="AC82" s="6"/>
      <c r="AD82" s="6"/>
      <c r="AE82" s="6"/>
      <c r="AF82" s="6"/>
      <c r="AG82" s="6"/>
      <c r="AH82" s="6"/>
      <c r="AI82" s="6"/>
      <c r="AJ82" s="6"/>
      <c r="AK82" s="6"/>
      <c r="AL82" s="6"/>
    </row>
    <row r="83" spans="1:38">
      <c r="A83" s="96">
        <f ca="1">IFERROR(__xludf.DUMMYFUNCTION("""COMPUTED_VALUE"""),44197)</f>
        <v>44197</v>
      </c>
      <c r="B83" s="6" t="str">
        <f ca="1">IFERROR(__xludf.DUMMYFUNCTION("""COMPUTED_VALUE"""),"Dikshita")</f>
        <v>Dikshita</v>
      </c>
      <c r="C83" s="6" t="str">
        <f ca="1">IFERROR(__xludf.DUMMYFUNCTION("""COMPUTED_VALUE"""),"dikshita7284@yahoo.co.in")</f>
        <v>dikshita7284@yahoo.co.in</v>
      </c>
      <c r="D83" s="6">
        <f ca="1">IFERROR(__xludf.DUMMYFUNCTION("""COMPUTED_VALUE"""),9426785736)</f>
        <v>9426785736</v>
      </c>
      <c r="E83" s="6" t="str">
        <f ca="1">IFERROR(__xludf.DUMMYFUNCTION("""COMPUTED_VALUE"""),"Reference")</f>
        <v>Reference</v>
      </c>
      <c r="F83" s="6" t="str">
        <f ca="1">IFERROR(__xludf.DUMMYFUNCTION("""COMPUTED_VALUE"""),"CSM")</f>
        <v>CSM</v>
      </c>
      <c r="G83" s="80">
        <f ca="1">IFERROR(__xludf.DUMMYFUNCTION("""COMPUTED_VALUE"""),44197)</f>
        <v>44197</v>
      </c>
      <c r="H83" s="6" t="str">
        <f ca="1">IFERROR(__xludf.DUMMYFUNCTION("""COMPUTED_VALUE"""),"Opportunity")</f>
        <v>Opportunity</v>
      </c>
      <c r="I83" s="6" t="str">
        <f ca="1">IFERROR(__xludf.DUMMYFUNCTION("""COMPUTED_VALUE"""),"9-10 Jan 2021")</f>
        <v>9-10 Jan 2021</v>
      </c>
      <c r="J83" s="6">
        <f ca="1">IFERROR(__xludf.DUMMYFUNCTION("""COMPUTED_VALUE"""),1)</f>
        <v>1</v>
      </c>
      <c r="K83" s="8">
        <f ca="1">IFERROR(__xludf.DUMMYFUNCTION("""COMPUTED_VALUE"""),20000)</f>
        <v>20000</v>
      </c>
      <c r="L83" s="8">
        <f ca="1">IFERROR(__xludf.DUMMYFUNCTION("""COMPUTED_VALUE"""),229.042601923957)</f>
        <v>229.04260192395699</v>
      </c>
      <c r="M83" s="96">
        <f ca="1">IFERROR(__xludf.DUMMYFUNCTION("""COMPUTED_VALUE"""),44208)</f>
        <v>44208</v>
      </c>
      <c r="N83" s="6"/>
      <c r="O83" s="97"/>
      <c r="P83" s="6"/>
      <c r="Q83" s="6" t="str">
        <f ca="1">IFERROR(__xludf.DUMMYFUNCTION("""COMPUTED_VALUE"""),"By Firoz firoz.sabaliya@gmail.com")</f>
        <v>By Firoz firoz.sabaliya@gmail.com</v>
      </c>
      <c r="R83" s="6"/>
      <c r="S83" s="6" t="str">
        <f ca="1">IFERROR(__xludf.DUMMYFUNCTION("""COMPUTED_VALUE"""),"Category")</f>
        <v>Category</v>
      </c>
      <c r="T83" s="6"/>
      <c r="U83" s="6"/>
      <c r="V83" s="6"/>
      <c r="W83" s="6"/>
      <c r="X83" s="6"/>
      <c r="Y83" s="6"/>
      <c r="Z83" s="6"/>
      <c r="AA83" s="6"/>
      <c r="AB83" s="6"/>
      <c r="AC83" s="6"/>
      <c r="AD83" s="6"/>
      <c r="AE83" s="6"/>
      <c r="AF83" s="6"/>
      <c r="AG83" s="6"/>
      <c r="AH83" s="6"/>
      <c r="AI83" s="6"/>
      <c r="AJ83" s="6"/>
      <c r="AK83" s="6"/>
      <c r="AL83" s="6"/>
    </row>
    <row r="84" spans="1:38">
      <c r="A84" s="96">
        <f ca="1">IFERROR(__xludf.DUMMYFUNCTION("""COMPUTED_VALUE"""),44194)</f>
        <v>44194</v>
      </c>
      <c r="B84" s="6" t="str">
        <f ca="1">IFERROR(__xludf.DUMMYFUNCTION("""COMPUTED_VALUE"""),"Lenin Kumar")</f>
        <v>Lenin Kumar</v>
      </c>
      <c r="C84" s="6" t="str">
        <f ca="1">IFERROR(__xludf.DUMMYFUNCTION("""COMPUTED_VALUE"""),"leniniitkgp14@gmail.com")</f>
        <v>leniniitkgp14@gmail.com</v>
      </c>
      <c r="D84" s="6">
        <f ca="1">IFERROR(__xludf.DUMMYFUNCTION("""COMPUTED_VALUE"""),9093965565)</f>
        <v>9093965565</v>
      </c>
      <c r="E84" s="6" t="str">
        <f ca="1">IFERROR(__xludf.DUMMYFUNCTION("""COMPUTED_VALUE"""),"Reference")</f>
        <v>Reference</v>
      </c>
      <c r="F84" s="6" t="str">
        <f ca="1">IFERROR(__xludf.DUMMYFUNCTION("""COMPUTED_VALUE"""),"Prince 2")</f>
        <v>Prince 2</v>
      </c>
      <c r="G84" s="80">
        <f ca="1">IFERROR(__xludf.DUMMYFUNCTION("""COMPUTED_VALUE"""),44197)</f>
        <v>44197</v>
      </c>
      <c r="H84" s="6" t="str">
        <f ca="1">IFERROR(__xludf.DUMMYFUNCTION("""COMPUTED_VALUE"""),"Lost")</f>
        <v>Lost</v>
      </c>
      <c r="I84" s="6" t="str">
        <f ca="1">IFERROR(__xludf.DUMMYFUNCTION("""COMPUTED_VALUE"""),"Jan 2021")</f>
        <v>Jan 2021</v>
      </c>
      <c r="J84" s="6">
        <f ca="1">IFERROR(__xludf.DUMMYFUNCTION("""COMPUTED_VALUE"""),1)</f>
        <v>1</v>
      </c>
      <c r="K84" s="8">
        <f ca="1">IFERROR(__xludf.DUMMYFUNCTION("""COMPUTED_VALUE"""),11000)</f>
        <v>11000</v>
      </c>
      <c r="L84" s="8">
        <f ca="1">IFERROR(__xludf.DUMMYFUNCTION("""COMPUTED_VALUE"""),125.973431058176)</f>
        <v>125.973431058176</v>
      </c>
      <c r="M84" s="96">
        <f ca="1">IFERROR(__xludf.DUMMYFUNCTION("""COMPUTED_VALUE"""),44208)</f>
        <v>44208</v>
      </c>
      <c r="N84" s="6"/>
      <c r="O84" s="97"/>
      <c r="P84" s="6"/>
      <c r="Q84" s="6" t="str">
        <f ca="1">IFERROR(__xludf.DUMMYFUNCTION("""COMPUTED_VALUE"""),"By Vagdevi vagdevinagbhushan@gmail.com Batch date concerns")</f>
        <v>By Vagdevi vagdevinagbhushan@gmail.com Batch date concerns</v>
      </c>
      <c r="R84" s="6"/>
      <c r="S84" s="6" t="str">
        <f ca="1">IFERROR(__xludf.DUMMYFUNCTION("""COMPUTED_VALUE"""),"NonCategory")</f>
        <v>NonCategory</v>
      </c>
      <c r="T84" s="6"/>
      <c r="U84" s="6"/>
      <c r="V84" s="6"/>
      <c r="W84" s="6"/>
      <c r="X84" s="6"/>
      <c r="Y84" s="6"/>
      <c r="Z84" s="6"/>
      <c r="AA84" s="6"/>
      <c r="AB84" s="6"/>
      <c r="AC84" s="6"/>
      <c r="AD84" s="6"/>
      <c r="AE84" s="6"/>
      <c r="AF84" s="6"/>
      <c r="AG84" s="6"/>
      <c r="AH84" s="6"/>
      <c r="AI84" s="6"/>
      <c r="AJ84" s="6"/>
      <c r="AK84" s="6"/>
      <c r="AL84" s="6"/>
    </row>
    <row r="85" spans="1:38">
      <c r="A85" s="96">
        <f ca="1">IFERROR(__xludf.DUMMYFUNCTION("""COMPUTED_VALUE"""),44177)</f>
        <v>44177</v>
      </c>
      <c r="B85" s="6" t="str">
        <f ca="1">IFERROR(__xludf.DUMMYFUNCTION("""COMPUTED_VALUE"""),"Akshay Verma")</f>
        <v>Akshay Verma</v>
      </c>
      <c r="C85" s="6" t="str">
        <f ca="1">IFERROR(__xludf.DUMMYFUNCTION("""COMPUTED_VALUE"""),"akshayverma485@yahoo.in")</f>
        <v>akshayverma485@yahoo.in</v>
      </c>
      <c r="D85" s="6">
        <f ca="1">IFERROR(__xludf.DUMMYFUNCTION("""COMPUTED_VALUE"""),7838960623)</f>
        <v>7838960623</v>
      </c>
      <c r="E85" s="6" t="str">
        <f ca="1">IFERROR(__xludf.DUMMYFUNCTION("""COMPUTED_VALUE"""),"fpt-paper")</f>
        <v>fpt-paper</v>
      </c>
      <c r="F85" s="6" t="str">
        <f ca="1">IFERROR(__xludf.DUMMYFUNCTION("""COMPUTED_VALUE"""),"CSM")</f>
        <v>CSM</v>
      </c>
      <c r="G85" s="80">
        <f ca="1">IFERROR(__xludf.DUMMYFUNCTION("""COMPUTED_VALUE"""),44166)</f>
        <v>44166</v>
      </c>
      <c r="H85" s="6" t="str">
        <f ca="1">IFERROR(__xludf.DUMMYFUNCTION("""COMPUTED_VALUE"""),"Lost")</f>
        <v>Lost</v>
      </c>
      <c r="I85" s="6" t="str">
        <f ca="1">IFERROR(__xludf.DUMMYFUNCTION("""COMPUTED_VALUE"""),"Jan 2021")</f>
        <v>Jan 2021</v>
      </c>
      <c r="J85" s="6">
        <f ca="1">IFERROR(__xludf.DUMMYFUNCTION("""COMPUTED_VALUE"""),1)</f>
        <v>1</v>
      </c>
      <c r="K85" s="8">
        <f ca="1">IFERROR(__xludf.DUMMYFUNCTION("""COMPUTED_VALUE"""),20000)</f>
        <v>20000</v>
      </c>
      <c r="L85" s="8">
        <f ca="1">IFERROR(__xludf.DUMMYFUNCTION("""COMPUTED_VALUE"""),229.042601923957)</f>
        <v>229.04260192395699</v>
      </c>
      <c r="M85" s="96">
        <f ca="1">IFERROR(__xludf.DUMMYFUNCTION("""COMPUTED_VALUE"""),44208)</f>
        <v>44208</v>
      </c>
      <c r="N85" s="6"/>
      <c r="O85" s="97"/>
      <c r="P85" s="6"/>
      <c r="Q85" s="6" t="str">
        <f ca="1">IFERROR(__xludf.DUMMYFUNCTION("""COMPUTED_VALUE"""),"Dropped the plan")</f>
        <v>Dropped the plan</v>
      </c>
      <c r="R85" s="6"/>
      <c r="S85" s="6" t="str">
        <f ca="1">IFERROR(__xludf.DUMMYFUNCTION("""COMPUTED_VALUE"""),"Category")</f>
        <v>Category</v>
      </c>
      <c r="T85" s="6"/>
      <c r="U85" s="6"/>
      <c r="V85" s="6"/>
      <c r="W85" s="6"/>
      <c r="X85" s="6"/>
      <c r="Y85" s="6"/>
      <c r="Z85" s="6"/>
      <c r="AA85" s="6"/>
      <c r="AB85" s="6"/>
      <c r="AC85" s="6"/>
      <c r="AD85" s="6"/>
      <c r="AE85" s="6"/>
      <c r="AF85" s="6"/>
      <c r="AG85" s="6"/>
      <c r="AH85" s="6"/>
      <c r="AI85" s="6"/>
      <c r="AJ85" s="6"/>
      <c r="AK85" s="6"/>
      <c r="AL85" s="6"/>
    </row>
    <row r="86" spans="1:38">
      <c r="A86" s="96">
        <f ca="1">IFERROR(__xludf.DUMMYFUNCTION("""COMPUTED_VALUE"""),44177)</f>
        <v>44177</v>
      </c>
      <c r="B86" s="6" t="str">
        <f ca="1">IFERROR(__xludf.DUMMYFUNCTION("""COMPUTED_VALUE"""),"Dinesh Khel")</f>
        <v>Dinesh Khel</v>
      </c>
      <c r="C86" s="6" t="str">
        <f ca="1">IFERROR(__xludf.DUMMYFUNCTION("""COMPUTED_VALUE"""),"dinesh.khel18@gmail.com")</f>
        <v>dinesh.khel18@gmail.com</v>
      </c>
      <c r="D86" s="6">
        <f ca="1">IFERROR(__xludf.DUMMYFUNCTION("""COMPUTED_VALUE"""),7888000513)</f>
        <v>7888000513</v>
      </c>
      <c r="E86" s="6" t="str">
        <f ca="1">IFERROR(__xludf.DUMMYFUNCTION("""COMPUTED_VALUE"""),"course agenda")</f>
        <v>course agenda</v>
      </c>
      <c r="F86" s="6" t="str">
        <f ca="1">IFERROR(__xludf.DUMMYFUNCTION("""COMPUTED_VALUE"""),"CSM")</f>
        <v>CSM</v>
      </c>
      <c r="G86" s="80">
        <f ca="1">IFERROR(__xludf.DUMMYFUNCTION("""COMPUTED_VALUE"""),44197)</f>
        <v>44197</v>
      </c>
      <c r="H86" s="6" t="str">
        <f ca="1">IFERROR(__xludf.DUMMYFUNCTION("""COMPUTED_VALUE"""),"Opportunity")</f>
        <v>Opportunity</v>
      </c>
      <c r="I86" s="6" t="str">
        <f ca="1">IFERROR(__xludf.DUMMYFUNCTION("""COMPUTED_VALUE"""),"Jan 2021")</f>
        <v>Jan 2021</v>
      </c>
      <c r="J86" s="6">
        <f ca="1">IFERROR(__xludf.DUMMYFUNCTION("""COMPUTED_VALUE"""),1)</f>
        <v>1</v>
      </c>
      <c r="K86" s="8">
        <f ca="1">IFERROR(__xludf.DUMMYFUNCTION("""COMPUTED_VALUE"""),21000)</f>
        <v>21000</v>
      </c>
      <c r="L86" s="8">
        <f ca="1">IFERROR(__xludf.DUMMYFUNCTION("""COMPUTED_VALUE"""),240.494732020155)</f>
        <v>240.494732020155</v>
      </c>
      <c r="M86" s="96">
        <f ca="1">IFERROR(__xludf.DUMMYFUNCTION("""COMPUTED_VALUE"""),44208)</f>
        <v>44208</v>
      </c>
      <c r="N86" s="6"/>
      <c r="O86" s="97"/>
      <c r="P86" s="6"/>
      <c r="Q86" s="6"/>
      <c r="R86" s="6"/>
      <c r="S86" s="6" t="str">
        <f ca="1">IFERROR(__xludf.DUMMYFUNCTION("""COMPUTED_VALUE"""),"Category")</f>
        <v>Category</v>
      </c>
      <c r="T86" s="6"/>
      <c r="U86" s="6"/>
      <c r="V86" s="6"/>
      <c r="W86" s="6"/>
      <c r="X86" s="6"/>
      <c r="Y86" s="6"/>
      <c r="Z86" s="6"/>
      <c r="AA86" s="6"/>
      <c r="AB86" s="6"/>
      <c r="AC86" s="6"/>
      <c r="AD86" s="6"/>
      <c r="AE86" s="6"/>
      <c r="AF86" s="6"/>
      <c r="AG86" s="6"/>
      <c r="AH86" s="6"/>
      <c r="AI86" s="6"/>
      <c r="AJ86" s="6"/>
      <c r="AK86" s="6"/>
      <c r="AL86" s="6"/>
    </row>
    <row r="87" spans="1:38">
      <c r="A87" s="96">
        <f ca="1">IFERROR(__xludf.DUMMYFUNCTION("""COMPUTED_VALUE"""),44201)</f>
        <v>44201</v>
      </c>
      <c r="B87" s="6" t="str">
        <f ca="1">IFERROR(__xludf.DUMMYFUNCTION("""COMPUTED_VALUE"""),"Kailash Kodag")</f>
        <v>Kailash Kodag</v>
      </c>
      <c r="C87" s="6" t="str">
        <f ca="1">IFERROR(__xludf.DUMMYFUNCTION("""COMPUTED_VALUE"""),"kailashkodag007@gmail.com")</f>
        <v>kailashkodag007@gmail.com</v>
      </c>
      <c r="D87" s="6">
        <f ca="1">IFERROR(__xludf.DUMMYFUNCTION("""COMPUTED_VALUE"""),8657529284)</f>
        <v>8657529284</v>
      </c>
      <c r="E87" s="6" t="str">
        <f ca="1">IFERROR(__xludf.DUMMYFUNCTION("""COMPUTED_VALUE"""),"Reference")</f>
        <v>Reference</v>
      </c>
      <c r="F87" s="6" t="str">
        <f ca="1">IFERROR(__xludf.DUMMYFUNCTION("""COMPUTED_VALUE"""),"Data Scientist Masters")</f>
        <v>Data Scientist Masters</v>
      </c>
      <c r="G87" s="80">
        <f ca="1">IFERROR(__xludf.DUMMYFUNCTION("""COMPUTED_VALUE"""),44197)</f>
        <v>44197</v>
      </c>
      <c r="H87" s="6" t="str">
        <f ca="1">IFERROR(__xludf.DUMMYFUNCTION("""COMPUTED_VALUE"""),"Opportunity")</f>
        <v>Opportunity</v>
      </c>
      <c r="I87" s="6" t="str">
        <f ca="1">IFERROR(__xludf.DUMMYFUNCTION("""COMPUTED_VALUE"""),"Jan 2021")</f>
        <v>Jan 2021</v>
      </c>
      <c r="J87" s="6">
        <f ca="1">IFERROR(__xludf.DUMMYFUNCTION("""COMPUTED_VALUE"""),1)</f>
        <v>1</v>
      </c>
      <c r="K87" s="8">
        <f ca="1">IFERROR(__xludf.DUMMYFUNCTION("""COMPUTED_VALUE"""),58918)</f>
        <v>58918</v>
      </c>
      <c r="L87" s="8">
        <f ca="1">IFERROR(__xludf.DUMMYFUNCTION("""COMPUTED_VALUE"""),674.736601007787)</f>
        <v>674.73660100778704</v>
      </c>
      <c r="M87" s="96">
        <f ca="1">IFERROR(__xludf.DUMMYFUNCTION("""COMPUTED_VALUE"""),44204)</f>
        <v>44204</v>
      </c>
      <c r="N87" s="6"/>
      <c r="O87" s="97"/>
      <c r="P87" s="6"/>
      <c r="Q87" s="6"/>
      <c r="R87" s="6"/>
      <c r="S87" s="6" t="str">
        <f ca="1">IFERROR(__xludf.DUMMYFUNCTION("""COMPUTED_VALUE"""),"NonCategory")</f>
        <v>NonCategory</v>
      </c>
      <c r="T87" s="6"/>
      <c r="U87" s="6"/>
      <c r="V87" s="6"/>
      <c r="W87" s="6"/>
      <c r="X87" s="6"/>
      <c r="Y87" s="6"/>
      <c r="Z87" s="6"/>
      <c r="AA87" s="6"/>
      <c r="AB87" s="6"/>
      <c r="AC87" s="6"/>
      <c r="AD87" s="6"/>
      <c r="AE87" s="6"/>
      <c r="AF87" s="6"/>
      <c r="AG87" s="6"/>
      <c r="AH87" s="6"/>
      <c r="AI87" s="6"/>
      <c r="AJ87" s="6"/>
      <c r="AK87" s="6"/>
      <c r="AL87" s="6"/>
    </row>
    <row r="88" spans="1:38">
      <c r="A88" s="96">
        <f ca="1">IFERROR(__xludf.DUMMYFUNCTION("""COMPUTED_VALUE"""),44159)</f>
        <v>44159</v>
      </c>
      <c r="B88" s="6" t="str">
        <f ca="1">IFERROR(__xludf.DUMMYFUNCTION("""COMPUTED_VALUE"""),"Nisha Chugh")</f>
        <v>Nisha Chugh</v>
      </c>
      <c r="C88" s="6" t="str">
        <f ca="1">IFERROR(__xludf.DUMMYFUNCTION("""COMPUTED_VALUE"""),"nisha.chugh@in.ey.com")</f>
        <v>nisha.chugh@in.ey.com</v>
      </c>
      <c r="D88" s="6">
        <f ca="1">IFERROR(__xludf.DUMMYFUNCTION("""COMPUTED_VALUE"""),9717854590)</f>
        <v>9717854590</v>
      </c>
      <c r="E88" s="6" t="str">
        <f ca="1">IFERROR(__xludf.DUMMYFUNCTION("""COMPUTED_VALUE"""),"Tollfree")</f>
        <v>Tollfree</v>
      </c>
      <c r="F88" s="6" t="str">
        <f ca="1">IFERROR(__xludf.DUMMYFUNCTION("""COMPUTED_VALUE"""),"CSM")</f>
        <v>CSM</v>
      </c>
      <c r="G88" s="80">
        <f ca="1">IFERROR(__xludf.DUMMYFUNCTION("""COMPUTED_VALUE"""),44166)</f>
        <v>44166</v>
      </c>
      <c r="H88" s="6" t="str">
        <f ca="1">IFERROR(__xludf.DUMMYFUNCTION("""COMPUTED_VALUE"""),"Lost")</f>
        <v>Lost</v>
      </c>
      <c r="I88" s="6" t="str">
        <f ca="1">IFERROR(__xludf.DUMMYFUNCTION("""COMPUTED_VALUE"""),"23-24 Jan 2021")</f>
        <v>23-24 Jan 2021</v>
      </c>
      <c r="J88" s="6">
        <f ca="1">IFERROR(__xludf.DUMMYFUNCTION("""COMPUTED_VALUE"""),1)</f>
        <v>1</v>
      </c>
      <c r="K88" s="8">
        <f ca="1">IFERROR(__xludf.DUMMYFUNCTION("""COMPUTED_VALUE"""),20000)</f>
        <v>20000</v>
      </c>
      <c r="L88" s="8">
        <f ca="1">IFERROR(__xludf.DUMMYFUNCTION("""COMPUTED_VALUE"""),229.042601923957)</f>
        <v>229.04260192395699</v>
      </c>
      <c r="M88" s="96">
        <f ca="1">IFERROR(__xludf.DUMMYFUNCTION("""COMPUTED_VALUE"""),44210)</f>
        <v>44210</v>
      </c>
      <c r="N88" s="6"/>
      <c r="O88" s="97"/>
      <c r="P88" s="6"/>
      <c r="Q88" s="6"/>
      <c r="R88" s="6"/>
      <c r="S88" s="6" t="str">
        <f ca="1">IFERROR(__xludf.DUMMYFUNCTION("""COMPUTED_VALUE"""),"Category")</f>
        <v>Category</v>
      </c>
      <c r="T88" s="6"/>
      <c r="U88" s="6"/>
      <c r="V88" s="6"/>
      <c r="W88" s="6"/>
      <c r="X88" s="6"/>
      <c r="Y88" s="6"/>
      <c r="Z88" s="6"/>
      <c r="AA88" s="6"/>
      <c r="AB88" s="6"/>
      <c r="AC88" s="6"/>
      <c r="AD88" s="6"/>
      <c r="AE88" s="6"/>
      <c r="AF88" s="6"/>
      <c r="AG88" s="6"/>
      <c r="AH88" s="6"/>
      <c r="AI88" s="6"/>
      <c r="AJ88" s="6"/>
      <c r="AK88" s="6"/>
      <c r="AL88" s="6"/>
    </row>
    <row r="89" spans="1:38">
      <c r="A89" s="96">
        <f ca="1">IFERROR(__xludf.DUMMYFUNCTION("""COMPUTED_VALUE"""),44177)</f>
        <v>44177</v>
      </c>
      <c r="B89" s="6" t="str">
        <f ca="1">IFERROR(__xludf.DUMMYFUNCTION("""COMPUTED_VALUE"""),"Hitesh Shrimali")</f>
        <v>Hitesh Shrimali</v>
      </c>
      <c r="C89" s="6" t="str">
        <f ca="1">IFERROR(__xludf.DUMMYFUNCTION("""COMPUTED_VALUE"""),"hitesh.shrimali@gmail.com")</f>
        <v>hitesh.shrimali@gmail.com</v>
      </c>
      <c r="D89" s="6">
        <f ca="1">IFERROR(__xludf.DUMMYFUNCTION("""COMPUTED_VALUE"""),9702003513)</f>
        <v>9702003513</v>
      </c>
      <c r="E89" s="6" t="str">
        <f ca="1">IFERROR(__xludf.DUMMYFUNCTION("""COMPUTED_VALUE"""),"Chat_triggered")</f>
        <v>Chat_triggered</v>
      </c>
      <c r="F89" s="6" t="str">
        <f ca="1">IFERROR(__xludf.DUMMYFUNCTION("""COMPUTED_VALUE"""),"CSM")</f>
        <v>CSM</v>
      </c>
      <c r="G89" s="80">
        <f ca="1">IFERROR(__xludf.DUMMYFUNCTION("""COMPUTED_VALUE"""),44197)</f>
        <v>44197</v>
      </c>
      <c r="H89" s="6" t="str">
        <f ca="1">IFERROR(__xludf.DUMMYFUNCTION("""COMPUTED_VALUE"""),"Opportunity")</f>
        <v>Opportunity</v>
      </c>
      <c r="I89" s="6" t="str">
        <f ca="1">IFERROR(__xludf.DUMMYFUNCTION("""COMPUTED_VALUE"""),"Jan 2021")</f>
        <v>Jan 2021</v>
      </c>
      <c r="J89" s="6">
        <f ca="1">IFERROR(__xludf.DUMMYFUNCTION("""COMPUTED_VALUE"""),1)</f>
        <v>1</v>
      </c>
      <c r="K89" s="8">
        <f ca="1">IFERROR(__xludf.DUMMYFUNCTION("""COMPUTED_VALUE"""),21000)</f>
        <v>21000</v>
      </c>
      <c r="L89" s="8">
        <f ca="1">IFERROR(__xludf.DUMMYFUNCTION("""COMPUTED_VALUE"""),240.494732020155)</f>
        <v>240.494732020155</v>
      </c>
      <c r="M89" s="96">
        <f ca="1">IFERROR(__xludf.DUMMYFUNCTION("""COMPUTED_VALUE"""),44210)</f>
        <v>44210</v>
      </c>
      <c r="N89" s="6"/>
      <c r="O89" s="97"/>
      <c r="P89" s="6"/>
      <c r="Q89" s="6"/>
      <c r="R89" s="6"/>
      <c r="S89" s="6" t="str">
        <f ca="1">IFERROR(__xludf.DUMMYFUNCTION("""COMPUTED_VALUE"""),"Category")</f>
        <v>Category</v>
      </c>
      <c r="T89" s="6"/>
      <c r="U89" s="6"/>
      <c r="V89" s="6"/>
      <c r="W89" s="6"/>
      <c r="X89" s="6"/>
      <c r="Y89" s="6"/>
      <c r="Z89" s="6"/>
      <c r="AA89" s="6"/>
      <c r="AB89" s="6"/>
      <c r="AC89" s="6"/>
      <c r="AD89" s="6"/>
      <c r="AE89" s="6"/>
      <c r="AF89" s="6"/>
      <c r="AG89" s="6"/>
      <c r="AH89" s="6"/>
      <c r="AI89" s="6"/>
      <c r="AJ89" s="6"/>
      <c r="AK89" s="6"/>
      <c r="AL89" s="6"/>
    </row>
    <row r="90" spans="1:38">
      <c r="A90" s="96">
        <f ca="1">IFERROR(__xludf.DUMMYFUNCTION("""COMPUTED_VALUE"""),44186)</f>
        <v>44186</v>
      </c>
      <c r="B90" s="6" t="str">
        <f ca="1">IFERROR(__xludf.DUMMYFUNCTION("""COMPUTED_VALUE"""),"Ravindra Purohit")</f>
        <v>Ravindra Purohit</v>
      </c>
      <c r="C90" s="6" t="str">
        <f ca="1">IFERROR(__xludf.DUMMYFUNCTION("""COMPUTED_VALUE"""),"ravindra.purohit3@gmail.com")</f>
        <v>ravindra.purohit3@gmail.com</v>
      </c>
      <c r="D90" s="6">
        <f ca="1">IFERROR(__xludf.DUMMYFUNCTION("""COMPUTED_VALUE"""),9079972181)</f>
        <v>9079972181</v>
      </c>
      <c r="E90" s="6" t="str">
        <f ca="1">IFERROR(__xludf.DUMMYFUNCTION("""COMPUTED_VALUE"""),"course preview")</f>
        <v>course preview</v>
      </c>
      <c r="F90" s="6" t="str">
        <f ca="1">IFERROR(__xludf.DUMMYFUNCTION("""COMPUTED_VALUE"""),"CSPO")</f>
        <v>CSPO</v>
      </c>
      <c r="G90" s="80">
        <f ca="1">IFERROR(__xludf.DUMMYFUNCTION("""COMPUTED_VALUE"""),44197)</f>
        <v>44197</v>
      </c>
      <c r="H90" s="6" t="str">
        <f ca="1">IFERROR(__xludf.DUMMYFUNCTION("""COMPUTED_VALUE"""),"Won")</f>
        <v>Won</v>
      </c>
      <c r="I90" s="6" t="str">
        <f ca="1">IFERROR(__xludf.DUMMYFUNCTION("""COMPUTED_VALUE"""),"6-7 Feb 2021")</f>
        <v>6-7 Feb 2021</v>
      </c>
      <c r="J90" s="6">
        <f ca="1">IFERROR(__xludf.DUMMYFUNCTION("""COMPUTED_VALUE"""),1)</f>
        <v>1</v>
      </c>
      <c r="K90" s="8">
        <f ca="1">IFERROR(__xludf.DUMMYFUNCTION("""COMPUTED_VALUE"""),21000)</f>
        <v>21000</v>
      </c>
      <c r="L90" s="8">
        <f ca="1">IFERROR(__xludf.DUMMYFUNCTION("""COMPUTED_VALUE"""),240.494732020155)</f>
        <v>240.494732020155</v>
      </c>
      <c r="M90" s="96">
        <f ca="1">IFERROR(__xludf.DUMMYFUNCTION("""COMPUTED_VALUE"""),44194)</f>
        <v>44194</v>
      </c>
      <c r="N90" s="6" t="str">
        <f ca="1">IFERROR(__xludf.DUMMYFUNCTION("""COMPUTED_VALUE"""),"W1")</f>
        <v>W1</v>
      </c>
      <c r="O90" s="97">
        <f ca="1">IFERROR(__xludf.DUMMYFUNCTION("""COMPUTED_VALUE"""),44199)</f>
        <v>44199</v>
      </c>
      <c r="P90" s="6" t="str">
        <f ca="1">IFERROR(__xludf.DUMMYFUNCTION("""COMPUTED_VALUE"""),"CSTM_3NEPR34M89K")</f>
        <v>CSTM_3NEPR34M89K</v>
      </c>
      <c r="Q90" s="6"/>
      <c r="R90" s="6" t="str">
        <f ca="1">IFERROR(__xludf.DUMMYFUNCTION("""COMPUTED_VALUE"""),"Pending")</f>
        <v>Pending</v>
      </c>
      <c r="S90" s="6" t="str">
        <f ca="1">IFERROR(__xludf.DUMMYFUNCTION("""COMPUTED_VALUE"""),"Category")</f>
        <v>Category</v>
      </c>
      <c r="T90" s="6"/>
      <c r="U90" s="6"/>
      <c r="V90" s="6"/>
      <c r="W90" s="6"/>
      <c r="X90" s="6"/>
      <c r="Y90" s="6"/>
      <c r="Z90" s="6"/>
      <c r="AA90" s="6"/>
      <c r="AB90" s="6"/>
      <c r="AC90" s="6"/>
      <c r="AD90" s="6"/>
      <c r="AE90" s="6"/>
      <c r="AF90" s="6"/>
      <c r="AG90" s="6"/>
      <c r="AH90" s="6"/>
      <c r="AI90" s="6"/>
      <c r="AJ90" s="6"/>
      <c r="AK90" s="6"/>
      <c r="AL90" s="6"/>
    </row>
    <row r="91" spans="1:38">
      <c r="A91" s="96">
        <f ca="1">IFERROR(__xludf.DUMMYFUNCTION("""COMPUTED_VALUE"""),44161)</f>
        <v>44161</v>
      </c>
      <c r="B91" s="6" t="str">
        <f ca="1">IFERROR(__xludf.DUMMYFUNCTION("""COMPUTED_VALUE"""),"Bhumika")</f>
        <v>Bhumika</v>
      </c>
      <c r="C91" s="6" t="str">
        <f ca="1">IFERROR(__xludf.DUMMYFUNCTION("""COMPUTED_VALUE"""),"bhumikacs0032@gmail.com")</f>
        <v>bhumikacs0032@gmail.com</v>
      </c>
      <c r="D91" s="6">
        <f ca="1">IFERROR(__xludf.DUMMYFUNCTION("""COMPUTED_VALUE"""),9654480338)</f>
        <v>9654480338</v>
      </c>
      <c r="E91" s="6" t="str">
        <f ca="1">IFERROR(__xludf.DUMMYFUNCTION("""COMPUTED_VALUE"""),"fpt-paper")</f>
        <v>fpt-paper</v>
      </c>
      <c r="F91" s="6" t="str">
        <f ca="1">IFERROR(__xludf.DUMMYFUNCTION("""COMPUTED_VALUE"""),"CSM")</f>
        <v>CSM</v>
      </c>
      <c r="G91" s="80"/>
      <c r="H91" s="6" t="str">
        <f ca="1">IFERROR(__xludf.DUMMYFUNCTION("""COMPUTED_VALUE"""),"Lost")</f>
        <v>Lost</v>
      </c>
      <c r="I91" s="6" t="str">
        <f ca="1">IFERROR(__xludf.DUMMYFUNCTION("""COMPUTED_VALUE"""),"Jan 2021")</f>
        <v>Jan 2021</v>
      </c>
      <c r="J91" s="6">
        <f ca="1">IFERROR(__xludf.DUMMYFUNCTION("""COMPUTED_VALUE"""),1)</f>
        <v>1</v>
      </c>
      <c r="K91" s="8">
        <f ca="1">IFERROR(__xludf.DUMMYFUNCTION("""COMPUTED_VALUE"""),20000)</f>
        <v>20000</v>
      </c>
      <c r="L91" s="8">
        <f ca="1">IFERROR(__xludf.DUMMYFUNCTION("""COMPUTED_VALUE"""),229.042601923957)</f>
        <v>229.04260192395699</v>
      </c>
      <c r="M91" s="96">
        <f ca="1">IFERROR(__xludf.DUMMYFUNCTION("""COMPUTED_VALUE"""),44210)</f>
        <v>44210</v>
      </c>
      <c r="N91" s="6"/>
      <c r="O91" s="97"/>
      <c r="P91" s="6"/>
      <c r="Q91" s="6"/>
      <c r="R91" s="6"/>
      <c r="S91" s="6" t="str">
        <f ca="1">IFERROR(__xludf.DUMMYFUNCTION("""COMPUTED_VALUE"""),"Category")</f>
        <v>Category</v>
      </c>
      <c r="T91" s="6"/>
      <c r="U91" s="6"/>
      <c r="V91" s="6"/>
      <c r="W91" s="6"/>
      <c r="X91" s="6"/>
      <c r="Y91" s="6"/>
      <c r="Z91" s="6"/>
      <c r="AA91" s="6"/>
      <c r="AB91" s="6"/>
      <c r="AC91" s="6"/>
      <c r="AD91" s="6"/>
      <c r="AE91" s="6"/>
      <c r="AF91" s="6"/>
      <c r="AG91" s="6"/>
      <c r="AH91" s="6"/>
      <c r="AI91" s="6"/>
      <c r="AJ91" s="6"/>
      <c r="AK91" s="6"/>
      <c r="AL91" s="6"/>
    </row>
    <row r="92" spans="1:38">
      <c r="A92" s="96">
        <f ca="1">IFERROR(__xludf.DUMMYFUNCTION("""COMPUTED_VALUE"""),44179)</f>
        <v>44179</v>
      </c>
      <c r="B92" s="6" t="str">
        <f ca="1">IFERROR(__xludf.DUMMYFUNCTION("""COMPUTED_VALUE"""),"Vinod Shiva Kumar")</f>
        <v>Vinod Shiva Kumar</v>
      </c>
      <c r="C92" s="6" t="str">
        <f ca="1">IFERROR(__xludf.DUMMYFUNCTION("""COMPUTED_VALUE"""),"vinods1982@yahoo.com")</f>
        <v>vinods1982@yahoo.com</v>
      </c>
      <c r="D92" s="6">
        <f ca="1">IFERROR(__xludf.DUMMYFUNCTION("""COMPUTED_VALUE"""),9962179728)</f>
        <v>9962179728</v>
      </c>
      <c r="E92" s="6" t="str">
        <f ca="1">IFERROR(__xludf.DUMMYFUNCTION("""COMPUTED_VALUE"""),"Chat_triggered")</f>
        <v>Chat_triggered</v>
      </c>
      <c r="F92" s="6" t="str">
        <f ca="1">IFERROR(__xludf.DUMMYFUNCTION("""COMPUTED_VALUE"""),"CSPO")</f>
        <v>CSPO</v>
      </c>
      <c r="G92" s="80">
        <f ca="1">IFERROR(__xludf.DUMMYFUNCTION("""COMPUTED_VALUE"""),44166)</f>
        <v>44166</v>
      </c>
      <c r="H92" s="6" t="str">
        <f ca="1">IFERROR(__xludf.DUMMYFUNCTION("""COMPUTED_VALUE"""),"Opportunity")</f>
        <v>Opportunity</v>
      </c>
      <c r="I92" s="6" t="str">
        <f ca="1">IFERROR(__xludf.DUMMYFUNCTION("""COMPUTED_VALUE"""),"Jan 2021")</f>
        <v>Jan 2021</v>
      </c>
      <c r="J92" s="6">
        <f ca="1">IFERROR(__xludf.DUMMYFUNCTION("""COMPUTED_VALUE"""),1)</f>
        <v>1</v>
      </c>
      <c r="K92" s="8">
        <f ca="1">IFERROR(__xludf.DUMMYFUNCTION("""COMPUTED_VALUE"""),20000)</f>
        <v>20000</v>
      </c>
      <c r="L92" s="8">
        <f ca="1">IFERROR(__xludf.DUMMYFUNCTION("""COMPUTED_VALUE"""),229.042601923957)</f>
        <v>229.04260192395699</v>
      </c>
      <c r="M92" s="96">
        <f ca="1">IFERROR(__xludf.DUMMYFUNCTION("""COMPUTED_VALUE"""),44214)</f>
        <v>44214</v>
      </c>
      <c r="N92" s="6"/>
      <c r="O92" s="97"/>
      <c r="P92" s="6"/>
      <c r="Q92" s="6"/>
      <c r="R92" s="6"/>
      <c r="S92" s="6" t="str">
        <f ca="1">IFERROR(__xludf.DUMMYFUNCTION("""COMPUTED_VALUE"""),"Category")</f>
        <v>Category</v>
      </c>
      <c r="T92" s="6"/>
      <c r="U92" s="6"/>
      <c r="V92" s="6"/>
      <c r="W92" s="6"/>
      <c r="X92" s="6"/>
      <c r="Y92" s="6"/>
      <c r="Z92" s="6"/>
      <c r="AA92" s="6"/>
      <c r="AB92" s="6"/>
      <c r="AC92" s="6"/>
      <c r="AD92" s="6"/>
      <c r="AE92" s="6"/>
      <c r="AF92" s="6"/>
      <c r="AG92" s="6"/>
      <c r="AH92" s="6"/>
      <c r="AI92" s="6"/>
      <c r="AJ92" s="6"/>
      <c r="AK92" s="6"/>
      <c r="AL92" s="6"/>
    </row>
    <row r="93" spans="1:38">
      <c r="A93" s="96">
        <f ca="1">IFERROR(__xludf.DUMMYFUNCTION("""COMPUTED_VALUE"""),44188)</f>
        <v>44188</v>
      </c>
      <c r="B93" s="6" t="str">
        <f ca="1">IFERROR(__xludf.DUMMYFUNCTION("""COMPUTED_VALUE"""),"Santosh Dubey")</f>
        <v>Santosh Dubey</v>
      </c>
      <c r="C93" s="6" t="str">
        <f ca="1">IFERROR(__xludf.DUMMYFUNCTION("""COMPUTED_VALUE"""),"skdubey4u@gmail.com")</f>
        <v>skdubey4u@gmail.com</v>
      </c>
      <c r="D93" s="6">
        <f ca="1">IFERROR(__xludf.DUMMYFUNCTION("""COMPUTED_VALUE"""),7674822232)</f>
        <v>7674822232</v>
      </c>
      <c r="E93" s="6" t="str">
        <f ca="1">IFERROR(__xludf.DUMMYFUNCTION("""COMPUTED_VALUE"""),"Reference")</f>
        <v>Reference</v>
      </c>
      <c r="F93" s="6" t="str">
        <f ca="1">IFERROR(__xludf.DUMMYFUNCTION("""COMPUTED_VALUE"""),"CBAP")</f>
        <v>CBAP</v>
      </c>
      <c r="G93" s="80">
        <f ca="1">IFERROR(__xludf.DUMMYFUNCTION("""COMPUTED_VALUE"""),44166)</f>
        <v>44166</v>
      </c>
      <c r="H93" s="6" t="str">
        <f ca="1">IFERROR(__xludf.DUMMYFUNCTION("""COMPUTED_VALUE"""),"Opportunity")</f>
        <v>Opportunity</v>
      </c>
      <c r="I93" s="6" t="str">
        <f ca="1">IFERROR(__xludf.DUMMYFUNCTION("""COMPUTED_VALUE"""),"Jan 2021")</f>
        <v>Jan 2021</v>
      </c>
      <c r="J93" s="6">
        <f ca="1">IFERROR(__xludf.DUMMYFUNCTION("""COMPUTED_VALUE"""),3)</f>
        <v>3</v>
      </c>
      <c r="K93" s="8">
        <f ca="1">IFERROR(__xludf.DUMMYFUNCTION("""COMPUTED_VALUE"""),11000)</f>
        <v>11000</v>
      </c>
      <c r="L93" s="8">
        <f ca="1">IFERROR(__xludf.DUMMYFUNCTION("""COMPUTED_VALUE"""),125.973431058176)</f>
        <v>125.973431058176</v>
      </c>
      <c r="M93" s="96">
        <f ca="1">IFERROR(__xludf.DUMMYFUNCTION("""COMPUTED_VALUE"""),44214)</f>
        <v>44214</v>
      </c>
      <c r="N93" s="6"/>
      <c r="O93" s="97"/>
      <c r="P93" s="6"/>
      <c r="Q93" s="6" t="str">
        <f ca="1">IFERROR(__xludf.DUMMYFUNCTION("""COMPUTED_VALUE"""),"By Santosh Rongali santoshrongali@gmail.com")</f>
        <v>By Santosh Rongali santoshrongali@gmail.com</v>
      </c>
      <c r="R93" s="6"/>
      <c r="S93" s="6" t="str">
        <f ca="1">IFERROR(__xludf.DUMMYFUNCTION("""COMPUTED_VALUE"""),"NonCategory")</f>
        <v>NonCategory</v>
      </c>
      <c r="T93" s="6"/>
      <c r="U93" s="6"/>
      <c r="V93" s="6"/>
      <c r="W93" s="6"/>
      <c r="X93" s="6"/>
      <c r="Y93" s="6"/>
      <c r="Z93" s="6"/>
      <c r="AA93" s="6"/>
      <c r="AB93" s="6"/>
      <c r="AC93" s="6"/>
      <c r="AD93" s="6"/>
      <c r="AE93" s="6"/>
      <c r="AF93" s="6"/>
      <c r="AG93" s="6"/>
      <c r="AH93" s="6"/>
      <c r="AI93" s="6"/>
      <c r="AJ93" s="6"/>
      <c r="AK93" s="6"/>
      <c r="AL93" s="6"/>
    </row>
    <row r="94" spans="1:38">
      <c r="A94" s="96">
        <f ca="1">IFERROR(__xludf.DUMMYFUNCTION("""COMPUTED_VALUE"""),44193)</f>
        <v>44193</v>
      </c>
      <c r="B94" s="6" t="str">
        <f ca="1">IFERROR(__xludf.DUMMYFUNCTION("""COMPUTED_VALUE"""),"Manoj Bhatia")</f>
        <v>Manoj Bhatia</v>
      </c>
      <c r="C94" s="6" t="str">
        <f ca="1">IFERROR(__xludf.DUMMYFUNCTION("""COMPUTED_VALUE"""),"mmanojbhatia@gmail.com")</f>
        <v>mmanojbhatia@gmail.com</v>
      </c>
      <c r="D94" s="6">
        <f ca="1">IFERROR(__xludf.DUMMYFUNCTION("""COMPUTED_VALUE"""),9811997606)</f>
        <v>9811997606</v>
      </c>
      <c r="E94" s="6" t="str">
        <f ca="1">IFERROR(__xludf.DUMMYFUNCTION("""COMPUTED_VALUE"""),"course-agenda")</f>
        <v>course-agenda</v>
      </c>
      <c r="F94" s="6" t="str">
        <f ca="1">IFERROR(__xludf.DUMMYFUNCTION("""COMPUTED_VALUE"""),"CSM")</f>
        <v>CSM</v>
      </c>
      <c r="G94" s="80">
        <f ca="1">IFERROR(__xludf.DUMMYFUNCTION("""COMPUTED_VALUE"""),44197)</f>
        <v>44197</v>
      </c>
      <c r="H94" s="6" t="str">
        <f ca="1">IFERROR(__xludf.DUMMYFUNCTION("""COMPUTED_VALUE"""),"Opportunity")</f>
        <v>Opportunity</v>
      </c>
      <c r="I94" s="6" t="str">
        <f ca="1">IFERROR(__xludf.DUMMYFUNCTION("""COMPUTED_VALUE"""),"30-31 Jan 2021")</f>
        <v>30-31 Jan 2021</v>
      </c>
      <c r="J94" s="6">
        <f ca="1">IFERROR(__xludf.DUMMYFUNCTION("""COMPUTED_VALUE"""),1)</f>
        <v>1</v>
      </c>
      <c r="K94" s="8">
        <f ca="1">IFERROR(__xludf.DUMMYFUNCTION("""COMPUTED_VALUE"""),20000)</f>
        <v>20000</v>
      </c>
      <c r="L94" s="8">
        <f ca="1">IFERROR(__xludf.DUMMYFUNCTION("""COMPUTED_VALUE"""),229.042601923957)</f>
        <v>229.04260192395699</v>
      </c>
      <c r="M94" s="96">
        <f ca="1">IFERROR(__xludf.DUMMYFUNCTION("""COMPUTED_VALUE"""),44215)</f>
        <v>44215</v>
      </c>
      <c r="N94" s="6"/>
      <c r="O94" s="97"/>
      <c r="P94" s="6"/>
      <c r="Q94" s="6"/>
      <c r="R94" s="6"/>
      <c r="S94" s="6" t="str">
        <f ca="1">IFERROR(__xludf.DUMMYFUNCTION("""COMPUTED_VALUE"""),"Category")</f>
        <v>Category</v>
      </c>
      <c r="T94" s="6"/>
      <c r="U94" s="6"/>
      <c r="V94" s="6"/>
      <c r="W94" s="6"/>
      <c r="X94" s="6"/>
      <c r="Y94" s="6"/>
      <c r="Z94" s="6"/>
      <c r="AA94" s="6"/>
      <c r="AB94" s="6"/>
      <c r="AC94" s="6"/>
      <c r="AD94" s="6"/>
      <c r="AE94" s="6"/>
      <c r="AF94" s="6"/>
      <c r="AG94" s="6"/>
      <c r="AH94" s="6"/>
      <c r="AI94" s="6"/>
      <c r="AJ94" s="6"/>
      <c r="AK94" s="6"/>
      <c r="AL94" s="6"/>
    </row>
    <row r="95" spans="1:38">
      <c r="A95" s="96">
        <f ca="1">IFERROR(__xludf.DUMMYFUNCTION("""COMPUTED_VALUE"""),44183)</f>
        <v>44183</v>
      </c>
      <c r="B95" s="6" t="str">
        <f ca="1">IFERROR(__xludf.DUMMYFUNCTION("""COMPUTED_VALUE"""),"Rajkumar C")</f>
        <v>Rajkumar C</v>
      </c>
      <c r="C95" s="6" t="str">
        <f ca="1">IFERROR(__xludf.DUMMYFUNCTION("""COMPUTED_VALUE"""),"rajchan912@yahoo.com")</f>
        <v>rajchan912@yahoo.com</v>
      </c>
      <c r="D95" s="6">
        <f ca="1">IFERROR(__xludf.DUMMYFUNCTION("""COMPUTED_VALUE"""),9600095627)</f>
        <v>9600095627</v>
      </c>
      <c r="E95" s="6" t="str">
        <f ca="1">IFERROR(__xludf.DUMMYFUNCTION("""COMPUTED_VALUE"""),"Chat_triggered")</f>
        <v>Chat_triggered</v>
      </c>
      <c r="F95" s="6" t="str">
        <f ca="1">IFERROR(__xludf.DUMMYFUNCTION("""COMPUTED_VALUE"""),"PMP")</f>
        <v>PMP</v>
      </c>
      <c r="G95" s="80">
        <f ca="1">IFERROR(__xludf.DUMMYFUNCTION("""COMPUTED_VALUE"""),44197)</f>
        <v>44197</v>
      </c>
      <c r="H95" s="6" t="str">
        <f ca="1">IFERROR(__xludf.DUMMYFUNCTION("""COMPUTED_VALUE"""),"Opportunity")</f>
        <v>Opportunity</v>
      </c>
      <c r="I95" s="6" t="str">
        <f ca="1">IFERROR(__xludf.DUMMYFUNCTION("""COMPUTED_VALUE"""),"Jan 2021")</f>
        <v>Jan 2021</v>
      </c>
      <c r="J95" s="6">
        <f ca="1">IFERROR(__xludf.DUMMYFUNCTION("""COMPUTED_VALUE"""),1)</f>
        <v>1</v>
      </c>
      <c r="K95" s="8">
        <f ca="1">IFERROR(__xludf.DUMMYFUNCTION("""COMPUTED_VALUE"""),11000)</f>
        <v>11000</v>
      </c>
      <c r="L95" s="8">
        <f ca="1">IFERROR(__xludf.DUMMYFUNCTION("""COMPUTED_VALUE"""),125.973431058176)</f>
        <v>125.973431058176</v>
      </c>
      <c r="M95" s="96">
        <f ca="1">IFERROR(__xludf.DUMMYFUNCTION("""COMPUTED_VALUE"""),44216)</f>
        <v>44216</v>
      </c>
      <c r="N95" s="6"/>
      <c r="O95" s="97"/>
      <c r="P95" s="6"/>
      <c r="Q95" s="6"/>
      <c r="R95" s="6"/>
      <c r="S95" s="6" t="str">
        <f ca="1">IFERROR(__xludf.DUMMYFUNCTION("""COMPUTED_VALUE"""),"NonCategory")</f>
        <v>NonCategory</v>
      </c>
      <c r="T95" s="6"/>
      <c r="U95" s="6"/>
      <c r="V95" s="6"/>
      <c r="W95" s="6"/>
      <c r="X95" s="6"/>
      <c r="Y95" s="6"/>
      <c r="Z95" s="6"/>
      <c r="AA95" s="6"/>
      <c r="AB95" s="6"/>
      <c r="AC95" s="6"/>
      <c r="AD95" s="6"/>
      <c r="AE95" s="6"/>
      <c r="AF95" s="6"/>
      <c r="AG95" s="6"/>
      <c r="AH95" s="6"/>
      <c r="AI95" s="6"/>
      <c r="AJ95" s="6"/>
      <c r="AK95" s="6"/>
      <c r="AL95" s="6"/>
    </row>
    <row r="96" spans="1:38">
      <c r="A96" s="96">
        <f ca="1">IFERROR(__xludf.DUMMYFUNCTION("""COMPUTED_VALUE"""),44191)</f>
        <v>44191</v>
      </c>
      <c r="B96" s="6" t="str">
        <f ca="1">IFERROR(__xludf.DUMMYFUNCTION("""COMPUTED_VALUE"""),"Dhanapal Angamuthu")</f>
        <v>Dhanapal Angamuthu</v>
      </c>
      <c r="C96" s="6" t="str">
        <f ca="1">IFERROR(__xludf.DUMMYFUNCTION("""COMPUTED_VALUE"""),"dhanapal.ang@gmail.com")</f>
        <v>dhanapal.ang@gmail.com</v>
      </c>
      <c r="D96" s="6">
        <f ca="1">IFERROR(__xludf.DUMMYFUNCTION("""COMPUTED_VALUE"""),9500036879)</f>
        <v>9500036879</v>
      </c>
      <c r="E96" s="6" t="str">
        <f ca="1">IFERROR(__xludf.DUMMYFUNCTION("""COMPUTED_VALUE"""),"Query box")</f>
        <v>Query box</v>
      </c>
      <c r="F96" s="6" t="str">
        <f ca="1">IFERROR(__xludf.DUMMYFUNCTION("""COMPUTED_VALUE"""),"CSM")</f>
        <v>CSM</v>
      </c>
      <c r="G96" s="80">
        <f ca="1">IFERROR(__xludf.DUMMYFUNCTION("""COMPUTED_VALUE"""),44197)</f>
        <v>44197</v>
      </c>
      <c r="H96" s="6" t="str">
        <f ca="1">IFERROR(__xludf.DUMMYFUNCTION("""COMPUTED_VALUE"""),"Won")</f>
        <v>Won</v>
      </c>
      <c r="I96" s="6" t="str">
        <f ca="1">IFERROR(__xludf.DUMMYFUNCTION("""COMPUTED_VALUE"""),"9-10 Jan 2021")</f>
        <v>9-10 Jan 2021</v>
      </c>
      <c r="J96" s="6">
        <f ca="1">IFERROR(__xludf.DUMMYFUNCTION("""COMPUTED_VALUE"""),1)</f>
        <v>1</v>
      </c>
      <c r="K96" s="8">
        <f ca="1">IFERROR(__xludf.DUMMYFUNCTION("""COMPUTED_VALUE"""),19000)</f>
        <v>19000</v>
      </c>
      <c r="L96" s="8">
        <f ca="1">IFERROR(__xludf.DUMMYFUNCTION("""COMPUTED_VALUE"""),217.590471827759)</f>
        <v>217.59047182775899</v>
      </c>
      <c r="M96" s="96">
        <f ca="1">IFERROR(__xludf.DUMMYFUNCTION("""COMPUTED_VALUE"""),44194)</f>
        <v>44194</v>
      </c>
      <c r="N96" s="6" t="str">
        <f ca="1">IFERROR(__xludf.DUMMYFUNCTION("""COMPUTED_VALUE"""),"W1")</f>
        <v>W1</v>
      </c>
      <c r="O96" s="97">
        <f ca="1">IFERROR(__xludf.DUMMYFUNCTION("""COMPUTED_VALUE"""),44200)</f>
        <v>44200</v>
      </c>
      <c r="P96" s="6" t="str">
        <f ca="1">IFERROR(__xludf.DUMMYFUNCTION("""COMPUTED_VALUE"""),"CSTM_6LZQVYN57Y0")</f>
        <v>CSTM_6LZQVYN57Y0</v>
      </c>
      <c r="Q96" s="6"/>
      <c r="R96" s="6" t="str">
        <f ca="1">IFERROR(__xludf.DUMMYFUNCTION("""COMPUTED_VALUE"""),"Done. Good feedback.")</f>
        <v>Done. Good feedback.</v>
      </c>
      <c r="S96" s="6" t="str">
        <f ca="1">IFERROR(__xludf.DUMMYFUNCTION("""COMPUTED_VALUE"""),"Category")</f>
        <v>Category</v>
      </c>
      <c r="T96" s="6"/>
      <c r="U96" s="6"/>
      <c r="V96" s="6"/>
      <c r="W96" s="6"/>
      <c r="X96" s="6"/>
      <c r="Y96" s="6"/>
      <c r="Z96" s="6"/>
      <c r="AA96" s="6"/>
      <c r="AB96" s="6"/>
      <c r="AC96" s="6"/>
      <c r="AD96" s="6"/>
      <c r="AE96" s="6"/>
      <c r="AF96" s="6"/>
      <c r="AG96" s="6"/>
      <c r="AH96" s="6"/>
      <c r="AI96" s="6"/>
      <c r="AJ96" s="6"/>
      <c r="AK96" s="6"/>
      <c r="AL96" s="6"/>
    </row>
    <row r="97" spans="1:38">
      <c r="A97" s="96">
        <f ca="1">IFERROR(__xludf.DUMMYFUNCTION("""COMPUTED_VALUE"""),44179)</f>
        <v>44179</v>
      </c>
      <c r="B97" s="6" t="str">
        <f ca="1">IFERROR(__xludf.DUMMYFUNCTION("""COMPUTED_VALUE"""),"Ajit")</f>
        <v>Ajit</v>
      </c>
      <c r="C97" s="6" t="str">
        <f ca="1">IFERROR(__xludf.DUMMYFUNCTION("""COMPUTED_VALUE"""),"ajit4008@yahoo.com")</f>
        <v>ajit4008@yahoo.com</v>
      </c>
      <c r="D97" s="6">
        <f ca="1">IFERROR(__xludf.DUMMYFUNCTION("""COMPUTED_VALUE"""),9677376987)</f>
        <v>9677376987</v>
      </c>
      <c r="E97" s="6" t="str">
        <f ca="1">IFERROR(__xludf.DUMMYFUNCTION("""COMPUTED_VALUE"""),"Chat_triggered")</f>
        <v>Chat_triggered</v>
      </c>
      <c r="F97" s="6" t="str">
        <f ca="1">IFERROR(__xludf.DUMMYFUNCTION("""COMPUTED_VALUE"""),"CSM")</f>
        <v>CSM</v>
      </c>
      <c r="G97" s="80">
        <f ca="1">IFERROR(__xludf.DUMMYFUNCTION("""COMPUTED_VALUE"""),44197)</f>
        <v>44197</v>
      </c>
      <c r="H97" s="6" t="str">
        <f ca="1">IFERROR(__xludf.DUMMYFUNCTION("""COMPUTED_VALUE"""),"Opportunity")</f>
        <v>Opportunity</v>
      </c>
      <c r="I97" s="6" t="str">
        <f ca="1">IFERROR(__xludf.DUMMYFUNCTION("""COMPUTED_VALUE"""),"Jan 2021")</f>
        <v>Jan 2021</v>
      </c>
      <c r="J97" s="6">
        <f ca="1">IFERROR(__xludf.DUMMYFUNCTION("""COMPUTED_VALUE"""),1)</f>
        <v>1</v>
      </c>
      <c r="K97" s="8">
        <f ca="1">IFERROR(__xludf.DUMMYFUNCTION("""COMPUTED_VALUE"""),22000)</f>
        <v>22000</v>
      </c>
      <c r="L97" s="8">
        <f ca="1">IFERROR(__xludf.DUMMYFUNCTION("""COMPUTED_VALUE"""),251.946862116353)</f>
        <v>251.946862116353</v>
      </c>
      <c r="M97" s="96">
        <f ca="1">IFERROR(__xludf.DUMMYFUNCTION("""COMPUTED_VALUE"""),44220)</f>
        <v>44220</v>
      </c>
      <c r="N97" s="6"/>
      <c r="O97" s="97"/>
      <c r="P97" s="6"/>
      <c r="Q97" s="6"/>
      <c r="R97" s="6"/>
      <c r="S97" s="6" t="str">
        <f ca="1">IFERROR(__xludf.DUMMYFUNCTION("""COMPUTED_VALUE"""),"Category")</f>
        <v>Category</v>
      </c>
      <c r="T97" s="6"/>
      <c r="U97" s="6"/>
      <c r="V97" s="6"/>
      <c r="W97" s="6"/>
      <c r="X97" s="6"/>
      <c r="Y97" s="6"/>
      <c r="Z97" s="6"/>
      <c r="AA97" s="6"/>
      <c r="AB97" s="6"/>
      <c r="AC97" s="6"/>
      <c r="AD97" s="6"/>
      <c r="AE97" s="6"/>
      <c r="AF97" s="6"/>
      <c r="AG97" s="6"/>
      <c r="AH97" s="6"/>
      <c r="AI97" s="6"/>
      <c r="AJ97" s="6"/>
      <c r="AK97" s="6"/>
      <c r="AL97" s="6"/>
    </row>
    <row r="98" spans="1:38">
      <c r="A98" s="96">
        <f ca="1">IFERROR(__xludf.DUMMYFUNCTION("""COMPUTED_VALUE"""),44166)</f>
        <v>44166</v>
      </c>
      <c r="B98" s="6" t="str">
        <f ca="1">IFERROR(__xludf.DUMMYFUNCTION("""COMPUTED_VALUE"""),"Vinod")</f>
        <v>Vinod</v>
      </c>
      <c r="C98" s="6" t="str">
        <f ca="1">IFERROR(__xludf.DUMMYFUNCTION("""COMPUTED_VALUE"""),"vin4642@gmail.com")</f>
        <v>vin4642@gmail.com</v>
      </c>
      <c r="D98" s="6">
        <f ca="1">IFERROR(__xludf.DUMMYFUNCTION("""COMPUTED_VALUE"""),9845234642)</f>
        <v>9845234642</v>
      </c>
      <c r="E98" s="6" t="str">
        <f ca="1">IFERROR(__xludf.DUMMYFUNCTION("""COMPUTED_VALUE"""),"course preview")</f>
        <v>course preview</v>
      </c>
      <c r="F98" s="6" t="str">
        <f ca="1">IFERROR(__xludf.DUMMYFUNCTION("""COMPUTED_VALUE"""),"CSPO")</f>
        <v>CSPO</v>
      </c>
      <c r="G98" s="80">
        <f ca="1">IFERROR(__xludf.DUMMYFUNCTION("""COMPUTED_VALUE"""),44166)</f>
        <v>44166</v>
      </c>
      <c r="H98" s="6" t="str">
        <f ca="1">IFERROR(__xludf.DUMMYFUNCTION("""COMPUTED_VALUE"""),"Opportunity")</f>
        <v>Opportunity</v>
      </c>
      <c r="I98" s="6" t="str">
        <f ca="1">IFERROR(__xludf.DUMMYFUNCTION("""COMPUTED_VALUE"""),"Dec 2020")</f>
        <v>Dec 2020</v>
      </c>
      <c r="J98" s="6">
        <f ca="1">IFERROR(__xludf.DUMMYFUNCTION("""COMPUTED_VALUE"""),1)</f>
        <v>1</v>
      </c>
      <c r="K98" s="8">
        <f ca="1">IFERROR(__xludf.DUMMYFUNCTION("""COMPUTED_VALUE"""),20000)</f>
        <v>20000</v>
      </c>
      <c r="L98" s="8">
        <f ca="1">IFERROR(__xludf.DUMMYFUNCTION("""COMPUTED_VALUE"""),229.042601923957)</f>
        <v>229.04260192395699</v>
      </c>
      <c r="M98" s="96">
        <f ca="1">IFERROR(__xludf.DUMMYFUNCTION("""COMPUTED_VALUE"""),44223)</f>
        <v>44223</v>
      </c>
      <c r="N98" s="6"/>
      <c r="O98" s="97"/>
      <c r="P98" s="6"/>
      <c r="Q98" s="6"/>
      <c r="R98" s="6"/>
      <c r="S98" s="6" t="str">
        <f ca="1">IFERROR(__xludf.DUMMYFUNCTION("""COMPUTED_VALUE"""),"Category")</f>
        <v>Category</v>
      </c>
      <c r="T98" s="6"/>
      <c r="U98" s="6"/>
      <c r="V98" s="6"/>
      <c r="W98" s="6"/>
      <c r="X98" s="6"/>
      <c r="Y98" s="6"/>
      <c r="Z98" s="6"/>
      <c r="AA98" s="6"/>
      <c r="AB98" s="6"/>
      <c r="AC98" s="6"/>
      <c r="AD98" s="6"/>
      <c r="AE98" s="6"/>
      <c r="AF98" s="6"/>
      <c r="AG98" s="6"/>
      <c r="AH98" s="6"/>
      <c r="AI98" s="6"/>
      <c r="AJ98" s="6"/>
      <c r="AK98" s="6"/>
      <c r="AL98" s="6"/>
    </row>
    <row r="99" spans="1:38">
      <c r="A99" s="96">
        <f ca="1">IFERROR(__xludf.DUMMYFUNCTION("""COMPUTED_VALUE"""),44158)</f>
        <v>44158</v>
      </c>
      <c r="B99" s="6" t="str">
        <f ca="1">IFERROR(__xludf.DUMMYFUNCTION("""COMPUTED_VALUE"""),"Ramya Thamarai")</f>
        <v>Ramya Thamarai</v>
      </c>
      <c r="C99" s="6" t="str">
        <f ca="1">IFERROR(__xludf.DUMMYFUNCTION("""COMPUTED_VALUE"""),"ramyathamarai@gmail.com")</f>
        <v>ramyathamarai@gmail.com</v>
      </c>
      <c r="D99" s="6">
        <f ca="1">IFERROR(__xludf.DUMMYFUNCTION("""COMPUTED_VALUE"""),9940292703)</f>
        <v>9940292703</v>
      </c>
      <c r="E99" s="6" t="str">
        <f ca="1">IFERROR(__xludf.DUMMYFUNCTION("""COMPUTED_VALUE"""),"auto-repeat")</f>
        <v>auto-repeat</v>
      </c>
      <c r="F99" s="6" t="str">
        <f ca="1">IFERROR(__xludf.DUMMYFUNCTION("""COMPUTED_VALUE"""),"CSPO")</f>
        <v>CSPO</v>
      </c>
      <c r="G99" s="80">
        <f ca="1">IFERROR(__xludf.DUMMYFUNCTION("""COMPUTED_VALUE"""),44197)</f>
        <v>44197</v>
      </c>
      <c r="H99" s="6" t="str">
        <f ca="1">IFERROR(__xludf.DUMMYFUNCTION("""COMPUTED_VALUE"""),"Opportunity")</f>
        <v>Opportunity</v>
      </c>
      <c r="I99" s="6" t="str">
        <f ca="1">IFERROR(__xludf.DUMMYFUNCTION("""COMPUTED_VALUE"""),"13-14 Feb 2021")</f>
        <v>13-14 Feb 2021</v>
      </c>
      <c r="J99" s="6">
        <f ca="1">IFERROR(__xludf.DUMMYFUNCTION("""COMPUTED_VALUE"""),1)</f>
        <v>1</v>
      </c>
      <c r="K99" s="8">
        <f ca="1">IFERROR(__xludf.DUMMYFUNCTION("""COMPUTED_VALUE"""),20000)</f>
        <v>20000</v>
      </c>
      <c r="L99" s="8">
        <f ca="1">IFERROR(__xludf.DUMMYFUNCTION("""COMPUTED_VALUE"""),229.042601923957)</f>
        <v>229.04260192395699</v>
      </c>
      <c r="M99" s="96">
        <f ca="1">IFERROR(__xludf.DUMMYFUNCTION("""COMPUTED_VALUE"""),44223)</f>
        <v>44223</v>
      </c>
      <c r="N99" s="6"/>
      <c r="O99" s="97"/>
      <c r="P99" s="6"/>
      <c r="Q99" s="6"/>
      <c r="R99" s="6"/>
      <c r="S99" s="6" t="str">
        <f ca="1">IFERROR(__xludf.DUMMYFUNCTION("""COMPUTED_VALUE"""),"Category")</f>
        <v>Category</v>
      </c>
      <c r="T99" s="6"/>
      <c r="U99" s="6"/>
      <c r="V99" s="6"/>
      <c r="W99" s="6"/>
      <c r="X99" s="6"/>
      <c r="Y99" s="6"/>
      <c r="Z99" s="6"/>
      <c r="AA99" s="6"/>
      <c r="AB99" s="6"/>
      <c r="AC99" s="6"/>
      <c r="AD99" s="6"/>
      <c r="AE99" s="6"/>
      <c r="AF99" s="6"/>
      <c r="AG99" s="6"/>
      <c r="AH99" s="6"/>
      <c r="AI99" s="6"/>
      <c r="AJ99" s="6"/>
      <c r="AK99" s="6"/>
      <c r="AL99" s="6"/>
    </row>
    <row r="100" spans="1:38">
      <c r="A100" s="96">
        <f ca="1">IFERROR(__xludf.DUMMYFUNCTION("""COMPUTED_VALUE"""),44182)</f>
        <v>44182</v>
      </c>
      <c r="B100" s="6" t="str">
        <f ca="1">IFERROR(__xludf.DUMMYFUNCTION("""COMPUTED_VALUE"""),"Onkar Agarwal")</f>
        <v>Onkar Agarwal</v>
      </c>
      <c r="C100" s="6" t="str">
        <f ca="1">IFERROR(__xludf.DUMMYFUNCTION("""COMPUTED_VALUE"""),"agarwal.omkar@yahoo.in")</f>
        <v>agarwal.omkar@yahoo.in</v>
      </c>
      <c r="D100" s="6">
        <f ca="1">IFERROR(__xludf.DUMMYFUNCTION("""COMPUTED_VALUE"""),9741713696)</f>
        <v>9741713696</v>
      </c>
      <c r="E100" s="6" t="str">
        <f ca="1">IFERROR(__xludf.DUMMYFUNCTION("""COMPUTED_VALUE"""),"Tollfree")</f>
        <v>Tollfree</v>
      </c>
      <c r="F100" s="6" t="str">
        <f ca="1">IFERROR(__xludf.DUMMYFUNCTION("""COMPUTED_VALUE"""),"CSM")</f>
        <v>CSM</v>
      </c>
      <c r="G100" s="80">
        <f ca="1">IFERROR(__xludf.DUMMYFUNCTION("""COMPUTED_VALUE"""),44166)</f>
        <v>44166</v>
      </c>
      <c r="H100" s="6" t="str">
        <f ca="1">IFERROR(__xludf.DUMMYFUNCTION("""COMPUTED_VALUE"""),"Opportunity")</f>
        <v>Opportunity</v>
      </c>
      <c r="I100" s="6" t="str">
        <f ca="1">IFERROR(__xludf.DUMMYFUNCTION("""COMPUTED_VALUE"""),"9-10 Jan 2021")</f>
        <v>9-10 Jan 2021</v>
      </c>
      <c r="J100" s="6">
        <f ca="1">IFERROR(__xludf.DUMMYFUNCTION("""COMPUTED_VALUE"""),1)</f>
        <v>1</v>
      </c>
      <c r="K100" s="8">
        <f ca="1">IFERROR(__xludf.DUMMYFUNCTION("""COMPUTED_VALUE"""),24780)</f>
        <v>24780</v>
      </c>
      <c r="L100" s="8">
        <f ca="1">IFERROR(__xludf.DUMMYFUNCTION("""COMPUTED_VALUE"""),283.783783783783)</f>
        <v>283.78378378378301</v>
      </c>
      <c r="M100" s="96">
        <f ca="1">IFERROR(__xludf.DUMMYFUNCTION("""COMPUTED_VALUE"""),44224)</f>
        <v>44224</v>
      </c>
      <c r="N100" s="6"/>
      <c r="O100" s="97"/>
      <c r="P100" s="6"/>
      <c r="Q100" s="6"/>
      <c r="R100" s="6"/>
      <c r="S100" s="6" t="str">
        <f ca="1">IFERROR(__xludf.DUMMYFUNCTION("""COMPUTED_VALUE"""),"Category")</f>
        <v>Category</v>
      </c>
      <c r="T100" s="6"/>
      <c r="U100" s="6"/>
      <c r="V100" s="6"/>
      <c r="W100" s="6"/>
      <c r="X100" s="6"/>
      <c r="Y100" s="6"/>
      <c r="Z100" s="6"/>
      <c r="AA100" s="6"/>
      <c r="AB100" s="6"/>
      <c r="AC100" s="6"/>
      <c r="AD100" s="6"/>
      <c r="AE100" s="6"/>
      <c r="AF100" s="6"/>
      <c r="AG100" s="6"/>
      <c r="AH100" s="6"/>
      <c r="AI100" s="6"/>
      <c r="AJ100" s="6"/>
      <c r="AK100" s="6"/>
      <c r="AL100" s="6"/>
    </row>
    <row r="101" spans="1:38">
      <c r="A101" s="96">
        <f ca="1">IFERROR(__xludf.DUMMYFUNCTION("""COMPUTED_VALUE"""),44161)</f>
        <v>44161</v>
      </c>
      <c r="B101" s="6" t="str">
        <f ca="1">IFERROR(__xludf.DUMMYFUNCTION("""COMPUTED_VALUE"""),"Deepti")</f>
        <v>Deepti</v>
      </c>
      <c r="C101" s="6" t="str">
        <f ca="1">IFERROR(__xludf.DUMMYFUNCTION("""COMPUTED_VALUE"""),"deepti1118@yahoo.com")</f>
        <v>deepti1118@yahoo.com</v>
      </c>
      <c r="D101" s="6">
        <f ca="1">IFERROR(__xludf.DUMMYFUNCTION("""COMPUTED_VALUE"""),8585961668)</f>
        <v>8585961668</v>
      </c>
      <c r="E101" s="6"/>
      <c r="F101" s="6" t="str">
        <f ca="1">IFERROR(__xludf.DUMMYFUNCTION("""COMPUTED_VALUE"""),"ASM")</f>
        <v>ASM</v>
      </c>
      <c r="G101" s="80"/>
      <c r="H101" s="6" t="str">
        <f ca="1">IFERROR(__xludf.DUMMYFUNCTION("""COMPUTED_VALUE"""),"Opportunity")</f>
        <v>Opportunity</v>
      </c>
      <c r="I101" s="6"/>
      <c r="J101" s="6">
        <f ca="1">IFERROR(__xludf.DUMMYFUNCTION("""COMPUTED_VALUE"""),10)</f>
        <v>10</v>
      </c>
      <c r="K101" s="8">
        <f ca="1">IFERROR(__xludf.DUMMYFUNCTION("""COMPUTED_VALUE"""),19000)</f>
        <v>19000</v>
      </c>
      <c r="L101" s="8">
        <f ca="1">IFERROR(__xludf.DUMMYFUNCTION("""COMPUTED_VALUE"""),217.590471827759)</f>
        <v>217.59047182775899</v>
      </c>
      <c r="M101" s="96">
        <f ca="1">IFERROR(__xludf.DUMMYFUNCTION("""COMPUTED_VALUE"""),44224)</f>
        <v>44224</v>
      </c>
      <c r="N101" s="6"/>
      <c r="O101" s="97"/>
      <c r="P101" s="6"/>
      <c r="Q101" s="6"/>
      <c r="R101" s="6"/>
      <c r="S101" s="6" t="str">
        <f ca="1">IFERROR(__xludf.DUMMYFUNCTION("""COMPUTED_VALUE"""),"NonCategory")</f>
        <v>NonCategory</v>
      </c>
      <c r="T101" s="6"/>
      <c r="U101" s="6"/>
      <c r="V101" s="6"/>
      <c r="W101" s="6"/>
      <c r="X101" s="6"/>
      <c r="Y101" s="6"/>
      <c r="Z101" s="6"/>
      <c r="AA101" s="6"/>
      <c r="AB101" s="6"/>
      <c r="AC101" s="6"/>
      <c r="AD101" s="6"/>
      <c r="AE101" s="6"/>
      <c r="AF101" s="6"/>
      <c r="AG101" s="6"/>
      <c r="AH101" s="6"/>
      <c r="AI101" s="6"/>
      <c r="AJ101" s="6"/>
      <c r="AK101" s="6"/>
      <c r="AL101" s="6"/>
    </row>
    <row r="102" spans="1:38">
      <c r="A102" s="96">
        <f ca="1">IFERROR(__xludf.DUMMYFUNCTION("""COMPUTED_VALUE"""),44182)</f>
        <v>44182</v>
      </c>
      <c r="B102" s="6" t="str">
        <f ca="1">IFERROR(__xludf.DUMMYFUNCTION("""COMPUTED_VALUE"""),"Garima Gupta")</f>
        <v>Garima Gupta</v>
      </c>
      <c r="C102" s="6" t="str">
        <f ca="1">IFERROR(__xludf.DUMMYFUNCTION("""COMPUTED_VALUE"""),"garima.caprino01@gmail.com")</f>
        <v>garima.caprino01@gmail.com</v>
      </c>
      <c r="D102" s="6">
        <f ca="1">IFERROR(__xludf.DUMMYFUNCTION("""COMPUTED_VALUE"""),9818973806)</f>
        <v>9818973806</v>
      </c>
      <c r="E102" s="6" t="str">
        <f ca="1">IFERROR(__xludf.DUMMYFUNCTION("""COMPUTED_VALUE"""),"Reference")</f>
        <v>Reference</v>
      </c>
      <c r="F102" s="6" t="str">
        <f ca="1">IFERROR(__xludf.DUMMYFUNCTION("""COMPUTED_VALUE"""),"CSM")</f>
        <v>CSM</v>
      </c>
      <c r="G102" s="80">
        <f ca="1">IFERROR(__xludf.DUMMYFUNCTION("""COMPUTED_VALUE"""),44197)</f>
        <v>44197</v>
      </c>
      <c r="H102" s="6" t="str">
        <f ca="1">IFERROR(__xludf.DUMMYFUNCTION("""COMPUTED_VALUE"""),"Won")</f>
        <v>Won</v>
      </c>
      <c r="I102" s="6" t="str">
        <f ca="1">IFERROR(__xludf.DUMMYFUNCTION("""COMPUTED_VALUE"""),"9-10 Jan 2021")</f>
        <v>9-10 Jan 2021</v>
      </c>
      <c r="J102" s="6">
        <f ca="1">IFERROR(__xludf.DUMMYFUNCTION("""COMPUTED_VALUE"""),1)</f>
        <v>1</v>
      </c>
      <c r="K102" s="8">
        <f ca="1">IFERROR(__xludf.DUMMYFUNCTION("""COMPUTED_VALUE"""),20000)</f>
        <v>20000</v>
      </c>
      <c r="L102" s="8">
        <f ca="1">IFERROR(__xludf.DUMMYFUNCTION("""COMPUTED_VALUE"""),229.042601923957)</f>
        <v>229.04260192395699</v>
      </c>
      <c r="M102" s="96">
        <f ca="1">IFERROR(__xludf.DUMMYFUNCTION("""COMPUTED_VALUE"""),44198)</f>
        <v>44198</v>
      </c>
      <c r="N102" s="6" t="str">
        <f ca="1">IFERROR(__xludf.DUMMYFUNCTION("""COMPUTED_VALUE"""),"W1")</f>
        <v>W1</v>
      </c>
      <c r="O102" s="97">
        <f ca="1">IFERROR(__xludf.DUMMYFUNCTION("""COMPUTED_VALUE"""),44200)</f>
        <v>44200</v>
      </c>
      <c r="P102" s="6" t="str">
        <f ca="1">IFERROR(__xludf.DUMMYFUNCTION("""COMPUTED_VALUE"""),"CSTM_E52Y2ZT6NDX")</f>
        <v>CSTM_E52Y2ZT6NDX</v>
      </c>
      <c r="Q102" s="6" t="str">
        <f ca="1">IFERROR(__xludf.DUMMYFUNCTION("""COMPUTED_VALUE"""),"By Vagdevi N vagdevinagbhushan@gmail.com")</f>
        <v>By Vagdevi N vagdevinagbhushan@gmail.com</v>
      </c>
      <c r="R102" s="6" t="str">
        <f ca="1">IFERROR(__xludf.DUMMYFUNCTION("""COMPUTED_VALUE"""),"Done. Good feedback.")</f>
        <v>Done. Good feedback.</v>
      </c>
      <c r="S102" s="6" t="str">
        <f ca="1">IFERROR(__xludf.DUMMYFUNCTION("""COMPUTED_VALUE"""),"Category")</f>
        <v>Category</v>
      </c>
      <c r="T102" s="6" t="str">
        <f ca="1">IFERROR(__xludf.DUMMYFUNCTION("""COMPUTED_VALUE"""),"Sent.")</f>
        <v>Sent.</v>
      </c>
      <c r="U102" s="6"/>
      <c r="V102" s="6"/>
      <c r="W102" s="6"/>
      <c r="X102" s="6"/>
      <c r="Y102" s="6"/>
      <c r="Z102" s="6"/>
      <c r="AA102" s="6"/>
      <c r="AB102" s="6"/>
      <c r="AC102" s="6"/>
      <c r="AD102" s="6"/>
      <c r="AE102" s="6"/>
      <c r="AF102" s="6"/>
      <c r="AG102" s="6"/>
      <c r="AH102" s="6"/>
      <c r="AI102" s="6"/>
      <c r="AJ102" s="6"/>
      <c r="AK102" s="6"/>
      <c r="AL102" s="6"/>
    </row>
    <row r="103" spans="1:38">
      <c r="A103" s="96">
        <f ca="1">IFERROR(__xludf.DUMMYFUNCTION("""COMPUTED_VALUE"""),44196)</f>
        <v>44196</v>
      </c>
      <c r="B103" s="6" t="str">
        <f ca="1">IFERROR(__xludf.DUMMYFUNCTION("""COMPUTED_VALUE"""),"Rima Chavan")</f>
        <v>Rima Chavan</v>
      </c>
      <c r="C103" s="6" t="str">
        <f ca="1">IFERROR(__xludf.DUMMYFUNCTION("""COMPUTED_VALUE"""),"rima.mchavan27@gmail.com")</f>
        <v>rima.mchavan27@gmail.com</v>
      </c>
      <c r="D103" s="6">
        <f ca="1">IFERROR(__xludf.DUMMYFUNCTION("""COMPUTED_VALUE"""),9664823240)</f>
        <v>9664823240</v>
      </c>
      <c r="E103" s="6" t="str">
        <f ca="1">IFERROR(__xludf.DUMMYFUNCTION("""COMPUTED_VALUE"""),"course-agenda")</f>
        <v>course-agenda</v>
      </c>
      <c r="F103" s="6" t="str">
        <f ca="1">IFERROR(__xludf.DUMMYFUNCTION("""COMPUTED_VALUE"""),"CSM")</f>
        <v>CSM</v>
      </c>
      <c r="G103" s="80">
        <f ca="1">IFERROR(__xludf.DUMMYFUNCTION("""COMPUTED_VALUE"""),44197)</f>
        <v>44197</v>
      </c>
      <c r="H103" s="6" t="str">
        <f ca="1">IFERROR(__xludf.DUMMYFUNCTION("""COMPUTED_VALUE"""),"Opportunity")</f>
        <v>Opportunity</v>
      </c>
      <c r="I103" s="6" t="str">
        <f ca="1">IFERROR(__xludf.DUMMYFUNCTION("""COMPUTED_VALUE"""),"1 Feb 2021")</f>
        <v>1 Feb 2021</v>
      </c>
      <c r="J103" s="6">
        <f ca="1">IFERROR(__xludf.DUMMYFUNCTION("""COMPUTED_VALUE"""),1)</f>
        <v>1</v>
      </c>
      <c r="K103" s="8">
        <f ca="1">IFERROR(__xludf.DUMMYFUNCTION("""COMPUTED_VALUE"""),45000)</f>
        <v>45000</v>
      </c>
      <c r="L103" s="8">
        <f ca="1">IFERROR(__xludf.DUMMYFUNCTION("""COMPUTED_VALUE"""),515.345854328905)</f>
        <v>515.34585432890503</v>
      </c>
      <c r="M103" s="96">
        <f ca="1">IFERROR(__xludf.DUMMYFUNCTION("""COMPUTED_VALUE"""),44225)</f>
        <v>44225</v>
      </c>
      <c r="N103" s="6"/>
      <c r="O103" s="97"/>
      <c r="P103" s="6"/>
      <c r="Q103" s="6"/>
      <c r="R103" s="6"/>
      <c r="S103" s="6" t="str">
        <f ca="1">IFERROR(__xludf.DUMMYFUNCTION("""COMPUTED_VALUE"""),"Category")</f>
        <v>Category</v>
      </c>
      <c r="T103" s="6"/>
      <c r="U103" s="6"/>
      <c r="V103" s="6"/>
      <c r="W103" s="6"/>
      <c r="X103" s="6"/>
      <c r="Y103" s="6"/>
      <c r="Z103" s="6"/>
      <c r="AA103" s="6"/>
      <c r="AB103" s="6"/>
      <c r="AC103" s="6"/>
      <c r="AD103" s="6"/>
      <c r="AE103" s="6"/>
      <c r="AF103" s="6"/>
      <c r="AG103" s="6"/>
      <c r="AH103" s="6"/>
      <c r="AI103" s="6"/>
      <c r="AJ103" s="6"/>
      <c r="AK103" s="6"/>
      <c r="AL103" s="6"/>
    </row>
    <row r="104" spans="1:38">
      <c r="A104" s="96">
        <f ca="1">IFERROR(__xludf.DUMMYFUNCTION("""COMPUTED_VALUE"""),44184)</f>
        <v>44184</v>
      </c>
      <c r="B104" s="6" t="str">
        <f ca="1">IFERROR(__xludf.DUMMYFUNCTION("""COMPUTED_VALUE"""),"Abhishek Mohanty")</f>
        <v>Abhishek Mohanty</v>
      </c>
      <c r="C104" s="6" t="str">
        <f ca="1">IFERROR(__xludf.DUMMYFUNCTION("""COMPUTED_VALUE"""),"abishek.mohanty@gmail.com")</f>
        <v>abishek.mohanty@gmail.com</v>
      </c>
      <c r="D104" s="6">
        <f ca="1">IFERROR(__xludf.DUMMYFUNCTION("""COMPUTED_VALUE"""),7026656554)</f>
        <v>7026656554</v>
      </c>
      <c r="E104" s="6" t="str">
        <f ca="1">IFERROR(__xludf.DUMMYFUNCTION("""COMPUTED_VALUE"""),"Chat_triggered")</f>
        <v>Chat_triggered</v>
      </c>
      <c r="F104" s="6" t="str">
        <f ca="1">IFERROR(__xludf.DUMMYFUNCTION("""COMPUTED_VALUE"""),"CSM")</f>
        <v>CSM</v>
      </c>
      <c r="G104" s="80">
        <f ca="1">IFERROR(__xludf.DUMMYFUNCTION("""COMPUTED_VALUE"""),44197)</f>
        <v>44197</v>
      </c>
      <c r="H104" s="6" t="str">
        <f ca="1">IFERROR(__xludf.DUMMYFUNCTION("""COMPUTED_VALUE"""),"Opportunity")</f>
        <v>Opportunity</v>
      </c>
      <c r="I104" s="6" t="str">
        <f ca="1">IFERROR(__xludf.DUMMYFUNCTION("""COMPUTED_VALUE"""),"Jan 2021")</f>
        <v>Jan 2021</v>
      </c>
      <c r="J104" s="6">
        <f ca="1">IFERROR(__xludf.DUMMYFUNCTION("""COMPUTED_VALUE"""),5)</f>
        <v>5</v>
      </c>
      <c r="K104" s="8">
        <f ca="1">IFERROR(__xludf.DUMMYFUNCTION("""COMPUTED_VALUE"""),20000)</f>
        <v>20000</v>
      </c>
      <c r="L104" s="8">
        <f ca="1">IFERROR(__xludf.DUMMYFUNCTION("""COMPUTED_VALUE"""),229.042601923957)</f>
        <v>229.04260192395699</v>
      </c>
      <c r="M104" s="96">
        <f ca="1">IFERROR(__xludf.DUMMYFUNCTION("""COMPUTED_VALUE"""),44226)</f>
        <v>44226</v>
      </c>
      <c r="N104" s="6"/>
      <c r="O104" s="97"/>
      <c r="P104" s="6"/>
      <c r="Q104" s="6"/>
      <c r="R104" s="6"/>
      <c r="S104" s="6" t="str">
        <f ca="1">IFERROR(__xludf.DUMMYFUNCTION("""COMPUTED_VALUE"""),"Category")</f>
        <v>Category</v>
      </c>
      <c r="T104" s="6"/>
      <c r="U104" s="6"/>
      <c r="V104" s="6"/>
      <c r="W104" s="6"/>
      <c r="X104" s="6"/>
      <c r="Y104" s="6"/>
      <c r="Z104" s="6"/>
      <c r="AA104" s="6"/>
      <c r="AB104" s="6"/>
      <c r="AC104" s="6"/>
      <c r="AD104" s="6"/>
      <c r="AE104" s="6"/>
      <c r="AF104" s="6"/>
      <c r="AG104" s="6"/>
      <c r="AH104" s="6"/>
      <c r="AI104" s="6"/>
      <c r="AJ104" s="6"/>
      <c r="AK104" s="6"/>
      <c r="AL104" s="6"/>
    </row>
    <row r="105" spans="1:38">
      <c r="A105" s="96">
        <f ca="1">IFERROR(__xludf.DUMMYFUNCTION("""COMPUTED_VALUE"""),44145)</f>
        <v>44145</v>
      </c>
      <c r="B105" s="6" t="str">
        <f ca="1">IFERROR(__xludf.DUMMYFUNCTION("""COMPUTED_VALUE"""),"Saraswathi K")</f>
        <v>Saraswathi K</v>
      </c>
      <c r="C105" s="6" t="str">
        <f ca="1">IFERROR(__xludf.DUMMYFUNCTION("""COMPUTED_VALUE"""),"saraswathi_k@infosys.com")</f>
        <v>saraswathi_k@infosys.com</v>
      </c>
      <c r="D105" s="6">
        <f ca="1">IFERROR(__xludf.DUMMYFUNCTION("""COMPUTED_VALUE"""),9742559916)</f>
        <v>9742559916</v>
      </c>
      <c r="E105" s="6" t="str">
        <f ca="1">IFERROR(__xludf.DUMMYFUNCTION("""COMPUTED_VALUE"""),"na-payment")</f>
        <v>na-payment</v>
      </c>
      <c r="F105" s="6" t="str">
        <f ca="1">IFERROR(__xludf.DUMMYFUNCTION("""COMPUTED_VALUE"""),"CSM")</f>
        <v>CSM</v>
      </c>
      <c r="G105" s="80">
        <f ca="1">IFERROR(__xludf.DUMMYFUNCTION("""COMPUTED_VALUE"""),44166)</f>
        <v>44166</v>
      </c>
      <c r="H105" s="6" t="str">
        <f ca="1">IFERROR(__xludf.DUMMYFUNCTION("""COMPUTED_VALUE"""),"Opportunity")</f>
        <v>Opportunity</v>
      </c>
      <c r="I105" s="6" t="str">
        <f ca="1">IFERROR(__xludf.DUMMYFUNCTION("""COMPUTED_VALUE"""),"DK")</f>
        <v>DK</v>
      </c>
      <c r="J105" s="6">
        <f ca="1">IFERROR(__xludf.DUMMYFUNCTION("""COMPUTED_VALUE"""),1)</f>
        <v>1</v>
      </c>
      <c r="K105" s="8">
        <f ca="1">IFERROR(__xludf.DUMMYFUNCTION("""COMPUTED_VALUE"""),21000)</f>
        <v>21000</v>
      </c>
      <c r="L105" s="8">
        <f ca="1">IFERROR(__xludf.DUMMYFUNCTION("""COMPUTED_VALUE"""),240.494732020155)</f>
        <v>240.494732020155</v>
      </c>
      <c r="M105" s="96"/>
      <c r="N105" s="6"/>
      <c r="O105" s="97"/>
      <c r="P105" s="6"/>
      <c r="Q105" s="6"/>
      <c r="R105" s="6"/>
      <c r="S105" s="6" t="str">
        <f ca="1">IFERROR(__xludf.DUMMYFUNCTION("""COMPUTED_VALUE"""),"Category")</f>
        <v>Category</v>
      </c>
      <c r="T105" s="6"/>
      <c r="U105" s="6"/>
      <c r="V105" s="6"/>
      <c r="W105" s="6"/>
      <c r="X105" s="6"/>
      <c r="Y105" s="6"/>
      <c r="Z105" s="6"/>
      <c r="AA105" s="6"/>
      <c r="AB105" s="6"/>
      <c r="AC105" s="6"/>
      <c r="AD105" s="6"/>
      <c r="AE105" s="6"/>
      <c r="AF105" s="6"/>
      <c r="AG105" s="6"/>
      <c r="AH105" s="6"/>
      <c r="AI105" s="6"/>
      <c r="AJ105" s="6"/>
      <c r="AK105" s="6"/>
      <c r="AL105" s="6"/>
    </row>
    <row r="106" spans="1:38">
      <c r="A106" s="96">
        <f ca="1">IFERROR(__xludf.DUMMYFUNCTION("""COMPUTED_VALUE"""),44152)</f>
        <v>44152</v>
      </c>
      <c r="B106" s="6" t="str">
        <f ca="1">IFERROR(__xludf.DUMMYFUNCTION("""COMPUTED_VALUE"""),"Mandar T S")</f>
        <v>Mandar T S</v>
      </c>
      <c r="C106" s="6" t="str">
        <f ca="1">IFERROR(__xludf.DUMMYFUNCTION("""COMPUTED_VALUE"""),"ts.mandar@gmail.com")</f>
        <v>ts.mandar@gmail.com</v>
      </c>
      <c r="D106" s="6">
        <f ca="1">IFERROR(__xludf.DUMMYFUNCTION("""COMPUTED_VALUE"""),9987012090)</f>
        <v>9987012090</v>
      </c>
      <c r="E106" s="6" t="str">
        <f ca="1">IFERROR(__xludf.DUMMYFUNCTION("""COMPUTED_VALUE"""),"Auto repeat lead")</f>
        <v>Auto repeat lead</v>
      </c>
      <c r="F106" s="6" t="str">
        <f ca="1">IFERROR(__xludf.DUMMYFUNCTION("""COMPUTED_VALUE"""),"CSM")</f>
        <v>CSM</v>
      </c>
      <c r="G106" s="80">
        <f ca="1">IFERROR(__xludf.DUMMYFUNCTION("""COMPUTED_VALUE"""),44228)</f>
        <v>44228</v>
      </c>
      <c r="H106" s="6" t="str">
        <f ca="1">IFERROR(__xludf.DUMMYFUNCTION("""COMPUTED_VALUE"""),"Opportunity")</f>
        <v>Opportunity</v>
      </c>
      <c r="I106" s="6" t="str">
        <f ca="1">IFERROR(__xludf.DUMMYFUNCTION("""COMPUTED_VALUE"""),"DK")</f>
        <v>DK</v>
      </c>
      <c r="J106" s="6">
        <f ca="1">IFERROR(__xludf.DUMMYFUNCTION("""COMPUTED_VALUE"""),1)</f>
        <v>1</v>
      </c>
      <c r="K106" s="8">
        <f ca="1">IFERROR(__xludf.DUMMYFUNCTION("""COMPUTED_VALUE"""),20000)</f>
        <v>20000</v>
      </c>
      <c r="L106" s="8">
        <f ca="1">IFERROR(__xludf.DUMMYFUNCTION("""COMPUTED_VALUE"""),229.042601923957)</f>
        <v>229.04260192395699</v>
      </c>
      <c r="M106" s="96"/>
      <c r="N106" s="6"/>
      <c r="O106" s="97"/>
      <c r="P106" s="6"/>
      <c r="Q106" s="6"/>
      <c r="R106" s="6"/>
      <c r="S106" s="6" t="str">
        <f ca="1">IFERROR(__xludf.DUMMYFUNCTION("""COMPUTED_VALUE"""),"Category")</f>
        <v>Category</v>
      </c>
      <c r="T106" s="6"/>
      <c r="U106" s="6"/>
      <c r="V106" s="6"/>
      <c r="W106" s="6"/>
      <c r="X106" s="6"/>
      <c r="Y106" s="6"/>
      <c r="Z106" s="6"/>
      <c r="AA106" s="6"/>
      <c r="AB106" s="6"/>
      <c r="AC106" s="6"/>
      <c r="AD106" s="6"/>
      <c r="AE106" s="6"/>
      <c r="AF106" s="6"/>
      <c r="AG106" s="6"/>
      <c r="AH106" s="6"/>
      <c r="AI106" s="6"/>
      <c r="AJ106" s="6"/>
      <c r="AK106" s="6"/>
      <c r="AL106" s="6"/>
    </row>
    <row r="107" spans="1:38">
      <c r="A107" s="96">
        <f ca="1">IFERROR(__xludf.DUMMYFUNCTION("""COMPUTED_VALUE"""),44179)</f>
        <v>44179</v>
      </c>
      <c r="B107" s="6" t="str">
        <f ca="1">IFERROR(__xludf.DUMMYFUNCTION("""COMPUTED_VALUE"""),"Rohit Ranjan")</f>
        <v>Rohit Ranjan</v>
      </c>
      <c r="C107" s="6" t="str">
        <f ca="1">IFERROR(__xludf.DUMMYFUNCTION("""COMPUTED_VALUE"""),"mr.rohit.ranjan@gmail.com")</f>
        <v>mr.rohit.ranjan@gmail.com</v>
      </c>
      <c r="D107" s="6">
        <f ca="1">IFERROR(__xludf.DUMMYFUNCTION("""COMPUTED_VALUE"""),9538224871)</f>
        <v>9538224871</v>
      </c>
      <c r="E107" s="6" t="str">
        <f ca="1">IFERROR(__xludf.DUMMYFUNCTION("""COMPUTED_VALUE"""),"Caht_triggered")</f>
        <v>Caht_triggered</v>
      </c>
      <c r="F107" s="6" t="str">
        <f ca="1">IFERROR(__xludf.DUMMYFUNCTION("""COMPUTED_VALUE"""),"PMI-ACP")</f>
        <v>PMI-ACP</v>
      </c>
      <c r="G107" s="80">
        <f ca="1">IFERROR(__xludf.DUMMYFUNCTION("""COMPUTED_VALUE"""),44228)</f>
        <v>44228</v>
      </c>
      <c r="H107" s="6" t="str">
        <f ca="1">IFERROR(__xludf.DUMMYFUNCTION("""COMPUTED_VALUE"""),"Opportunity")</f>
        <v>Opportunity</v>
      </c>
      <c r="I107" s="6" t="str">
        <f ca="1">IFERROR(__xludf.DUMMYFUNCTION("""COMPUTED_VALUE"""),"Feb 2021")</f>
        <v>Feb 2021</v>
      </c>
      <c r="J107" s="6">
        <f ca="1">IFERROR(__xludf.DUMMYFUNCTION("""COMPUTED_VALUE"""),1)</f>
        <v>1</v>
      </c>
      <c r="K107" s="8">
        <f ca="1">IFERROR(__xludf.DUMMYFUNCTION("""COMPUTED_VALUE"""),11000)</f>
        <v>11000</v>
      </c>
      <c r="L107" s="8">
        <f ca="1">IFERROR(__xludf.DUMMYFUNCTION("""COMPUTED_VALUE"""),125.973431058176)</f>
        <v>125.973431058176</v>
      </c>
      <c r="M107" s="96">
        <f ca="1">IFERROR(__xludf.DUMMYFUNCTION("""COMPUTED_VALUE"""),44228)</f>
        <v>44228</v>
      </c>
      <c r="N107" s="6"/>
      <c r="O107" s="97"/>
      <c r="P107" s="6"/>
      <c r="Q107" s="6"/>
      <c r="R107" s="6"/>
      <c r="S107" s="6" t="str">
        <f ca="1">IFERROR(__xludf.DUMMYFUNCTION("""COMPUTED_VALUE"""),"Category")</f>
        <v>Category</v>
      </c>
      <c r="T107" s="6"/>
      <c r="U107" s="6"/>
      <c r="V107" s="6"/>
      <c r="W107" s="6"/>
      <c r="X107" s="6"/>
      <c r="Y107" s="6"/>
      <c r="Z107" s="6"/>
      <c r="AA107" s="6"/>
      <c r="AB107" s="6"/>
      <c r="AC107" s="6"/>
      <c r="AD107" s="6"/>
      <c r="AE107" s="6"/>
      <c r="AF107" s="6"/>
      <c r="AG107" s="6"/>
      <c r="AH107" s="6"/>
      <c r="AI107" s="6"/>
      <c r="AJ107" s="6"/>
      <c r="AK107" s="6"/>
      <c r="AL107" s="6"/>
    </row>
    <row r="108" spans="1:38">
      <c r="A108" s="96">
        <f ca="1">IFERROR(__xludf.DUMMYFUNCTION("""COMPUTED_VALUE"""),44200)</f>
        <v>44200</v>
      </c>
      <c r="B108" s="6" t="str">
        <f ca="1">IFERROR(__xludf.DUMMYFUNCTION("""COMPUTED_VALUE"""),"Sarath T S")</f>
        <v>Sarath T S</v>
      </c>
      <c r="C108" s="6" t="str">
        <f ca="1">IFERROR(__xludf.DUMMYFUNCTION("""COMPUTED_VALUE"""),"sarath.ts@outlook.com")</f>
        <v>sarath.ts@outlook.com</v>
      </c>
      <c r="D108" s="6">
        <f ca="1">IFERROR(__xludf.DUMMYFUNCTION("""COMPUTED_VALUE"""),8807043133)</f>
        <v>8807043133</v>
      </c>
      <c r="E108" s="6" t="str">
        <f ca="1">IFERROR(__xludf.DUMMYFUNCTION("""COMPUTED_VALUE"""),"chat_initiated")</f>
        <v>chat_initiated</v>
      </c>
      <c r="F108" s="6" t="str">
        <f ca="1">IFERROR(__xludf.DUMMYFUNCTION("""COMPUTED_VALUE"""),"CSM")</f>
        <v>CSM</v>
      </c>
      <c r="G108" s="80">
        <f ca="1">IFERROR(__xludf.DUMMYFUNCTION("""COMPUTED_VALUE"""),44197)</f>
        <v>44197</v>
      </c>
      <c r="H108" s="6" t="str">
        <f ca="1">IFERROR(__xludf.DUMMYFUNCTION("""COMPUTED_VALUE"""),"Won")</f>
        <v>Won</v>
      </c>
      <c r="I108" s="6" t="str">
        <f ca="1">IFERROR(__xludf.DUMMYFUNCTION("""COMPUTED_VALUE"""),"9-10 Jan 2021")</f>
        <v>9-10 Jan 2021</v>
      </c>
      <c r="J108" s="6">
        <f ca="1">IFERROR(__xludf.DUMMYFUNCTION("""COMPUTED_VALUE"""),1)</f>
        <v>1</v>
      </c>
      <c r="K108" s="8">
        <f ca="1">IFERROR(__xludf.DUMMYFUNCTION("""COMPUTED_VALUE"""),22500)</f>
        <v>22500</v>
      </c>
      <c r="L108" s="8">
        <f ca="1">IFERROR(__xludf.DUMMYFUNCTION("""COMPUTED_VALUE"""),257.672927164452)</f>
        <v>257.67292716445201</v>
      </c>
      <c r="M108" s="96">
        <f ca="1">IFERROR(__xludf.DUMMYFUNCTION("""COMPUTED_VALUE"""),44200)</f>
        <v>44200</v>
      </c>
      <c r="N108" s="6" t="str">
        <f ca="1">IFERROR(__xludf.DUMMYFUNCTION("""COMPUTED_VALUE"""),"W1")</f>
        <v>W1</v>
      </c>
      <c r="O108" s="97">
        <f ca="1">IFERROR(__xludf.DUMMYFUNCTION("""COMPUTED_VALUE"""),44200)</f>
        <v>44200</v>
      </c>
      <c r="P108" s="6" t="str">
        <f ca="1">IFERROR(__xludf.DUMMYFUNCTION("""COMPUTED_VALUE"""),"CSTM_JK6X3F74KIQ")</f>
        <v>CSTM_JK6X3F74KIQ</v>
      </c>
      <c r="Q108" s="6"/>
      <c r="R108" s="6" t="str">
        <f ca="1">IFERROR(__xludf.DUMMYFUNCTION("""COMPUTED_VALUE"""),"Done. Good feedback.")</f>
        <v>Done. Good feedback.</v>
      </c>
      <c r="S108" s="6" t="str">
        <f ca="1">IFERROR(__xludf.DUMMYFUNCTION("""COMPUTED_VALUE"""),"Category")</f>
        <v>Category</v>
      </c>
      <c r="T108" s="6"/>
      <c r="U108" s="6"/>
      <c r="V108" s="6"/>
      <c r="W108" s="6"/>
      <c r="X108" s="6"/>
      <c r="Y108" s="6"/>
      <c r="Z108" s="6"/>
      <c r="AA108" s="6"/>
      <c r="AB108" s="6"/>
      <c r="AC108" s="6"/>
      <c r="AD108" s="6"/>
      <c r="AE108" s="6"/>
      <c r="AF108" s="6"/>
      <c r="AG108" s="6"/>
      <c r="AH108" s="6"/>
      <c r="AI108" s="6"/>
      <c r="AJ108" s="6"/>
      <c r="AK108" s="6"/>
      <c r="AL108" s="6"/>
    </row>
    <row r="109" spans="1:38">
      <c r="A109" s="96">
        <f ca="1">IFERROR(__xludf.DUMMYFUNCTION("""COMPUTED_VALUE"""),44194)</f>
        <v>44194</v>
      </c>
      <c r="B109" s="6" t="str">
        <f ca="1">IFERROR(__xludf.DUMMYFUNCTION("""COMPUTED_VALUE"""),"Hemant")</f>
        <v>Hemant</v>
      </c>
      <c r="C109" s="6" t="str">
        <f ca="1">IFERROR(__xludf.DUMMYFUNCTION("""COMPUTED_VALUE"""),"hemant.parashar@wirelessteleinfra.com")</f>
        <v>hemant.parashar@wirelessteleinfra.com</v>
      </c>
      <c r="D109" s="6">
        <f ca="1">IFERROR(__xludf.DUMMYFUNCTION("""COMPUTED_VALUE"""),9737000637)</f>
        <v>9737000637</v>
      </c>
      <c r="E109" s="6" t="str">
        <f ca="1">IFERROR(__xludf.DUMMYFUNCTION("""COMPUTED_VALUE"""),"Account")</f>
        <v>Account</v>
      </c>
      <c r="F109" s="6" t="str">
        <f ca="1">IFERROR(__xludf.DUMMYFUNCTION("""COMPUTED_VALUE"""),"PMP")</f>
        <v>PMP</v>
      </c>
      <c r="G109" s="80">
        <f ca="1">IFERROR(__xludf.DUMMYFUNCTION("""COMPUTED_VALUE"""),44228)</f>
        <v>44228</v>
      </c>
      <c r="H109" s="6" t="str">
        <f ca="1">IFERROR(__xludf.DUMMYFUNCTION("""COMPUTED_VALUE"""),"Opportunity")</f>
        <v>Opportunity</v>
      </c>
      <c r="I109" s="6" t="str">
        <f ca="1">IFERROR(__xludf.DUMMYFUNCTION("""COMPUTED_VALUE"""),"Feb 2021")</f>
        <v>Feb 2021</v>
      </c>
      <c r="J109" s="6">
        <f ca="1">IFERROR(__xludf.DUMMYFUNCTION("""COMPUTED_VALUE"""),1)</f>
        <v>1</v>
      </c>
      <c r="K109" s="8">
        <f ca="1">IFERROR(__xludf.DUMMYFUNCTION("""COMPUTED_VALUE"""),10000)</f>
        <v>10000</v>
      </c>
      <c r="L109" s="8">
        <f ca="1">IFERROR(__xludf.DUMMYFUNCTION("""COMPUTED_VALUE"""),114.521300961978)</f>
        <v>114.521300961978</v>
      </c>
      <c r="M109" s="96">
        <f ca="1">IFERROR(__xludf.DUMMYFUNCTION("""COMPUTED_VALUE"""),44228)</f>
        <v>44228</v>
      </c>
      <c r="N109" s="6"/>
      <c r="O109" s="97"/>
      <c r="P109" s="6"/>
      <c r="Q109" s="6" t="str">
        <f ca="1">IFERROR(__xludf.DUMMYFUNCTION("""COMPUTED_VALUE"""),"Cx says, planning for PMP in Feb 2021.")</f>
        <v>Cx says, planning for PMP in Feb 2021.</v>
      </c>
      <c r="R109" s="6"/>
      <c r="S109" s="6" t="str">
        <f ca="1">IFERROR(__xludf.DUMMYFUNCTION("""COMPUTED_VALUE"""),"NonCategory")</f>
        <v>NonCategory</v>
      </c>
      <c r="T109" s="6"/>
      <c r="U109" s="6"/>
      <c r="V109" s="6"/>
      <c r="W109" s="6"/>
      <c r="X109" s="6"/>
      <c r="Y109" s="6"/>
      <c r="Z109" s="6"/>
      <c r="AA109" s="6"/>
      <c r="AB109" s="6"/>
      <c r="AC109" s="6"/>
      <c r="AD109" s="6"/>
      <c r="AE109" s="6"/>
      <c r="AF109" s="6"/>
      <c r="AG109" s="6"/>
      <c r="AH109" s="6"/>
      <c r="AI109" s="6"/>
      <c r="AJ109" s="6"/>
      <c r="AK109" s="6"/>
      <c r="AL109" s="6"/>
    </row>
    <row r="110" spans="1:38">
      <c r="A110" s="96">
        <f ca="1">IFERROR(__xludf.DUMMYFUNCTION("""COMPUTED_VALUE"""),44183)</f>
        <v>44183</v>
      </c>
      <c r="B110" s="6" t="str">
        <f ca="1">IFERROR(__xludf.DUMMYFUNCTION("""COMPUTED_VALUE"""),"Amit Sharma")</f>
        <v>Amit Sharma</v>
      </c>
      <c r="C110" s="6" t="str">
        <f ca="1">IFERROR(__xludf.DUMMYFUNCTION("""COMPUTED_VALUE"""),"toamitsharma@gmail.com")</f>
        <v>toamitsharma@gmail.com</v>
      </c>
      <c r="D110" s="6">
        <f ca="1">IFERROR(__xludf.DUMMYFUNCTION("""COMPUTED_VALUE"""),9891206462)</f>
        <v>9891206462</v>
      </c>
      <c r="E110" s="6" t="str">
        <f ca="1">IFERROR(__xludf.DUMMYFUNCTION("""COMPUTED_VALUE"""),"Query box")</f>
        <v>Query box</v>
      </c>
      <c r="F110" s="6" t="str">
        <f ca="1">IFERROR(__xludf.DUMMYFUNCTION("""COMPUTED_VALUE"""),"CSM")</f>
        <v>CSM</v>
      </c>
      <c r="G110" s="80">
        <f ca="1">IFERROR(__xludf.DUMMYFUNCTION("""COMPUTED_VALUE"""),44166)</f>
        <v>44166</v>
      </c>
      <c r="H110" s="6" t="str">
        <f ca="1">IFERROR(__xludf.DUMMYFUNCTION("""COMPUTED_VALUE"""),"Lost")</f>
        <v>Lost</v>
      </c>
      <c r="I110" s="6" t="str">
        <f ca="1">IFERROR(__xludf.DUMMYFUNCTION("""COMPUTED_VALUE"""),"Dec 2020")</f>
        <v>Dec 2020</v>
      </c>
      <c r="J110" s="6">
        <f ca="1">IFERROR(__xludf.DUMMYFUNCTION("""COMPUTED_VALUE"""),1)</f>
        <v>1</v>
      </c>
      <c r="K110" s="8">
        <f ca="1">IFERROR(__xludf.DUMMYFUNCTION("""COMPUTED_VALUE"""),60000)</f>
        <v>60000</v>
      </c>
      <c r="L110" s="8">
        <f ca="1">IFERROR(__xludf.DUMMYFUNCTION("""COMPUTED_VALUE"""),687.127805771873)</f>
        <v>687.127805771873</v>
      </c>
      <c r="M110" s="96"/>
      <c r="N110" s="6"/>
      <c r="O110" s="97"/>
      <c r="P110" s="6"/>
      <c r="Q110" s="6" t="str">
        <f ca="1">IFERROR(__xludf.DUMMYFUNCTION("""COMPUTED_VALUE"""),"Pricing.")</f>
        <v>Pricing.</v>
      </c>
      <c r="R110" s="6"/>
      <c r="S110" s="6" t="str">
        <f ca="1">IFERROR(__xludf.DUMMYFUNCTION("""COMPUTED_VALUE"""),"Category")</f>
        <v>Category</v>
      </c>
      <c r="T110" s="6"/>
      <c r="U110" s="6"/>
      <c r="V110" s="6"/>
      <c r="W110" s="6"/>
      <c r="X110" s="6"/>
      <c r="Y110" s="6"/>
      <c r="Z110" s="6"/>
      <c r="AA110" s="6"/>
      <c r="AB110" s="6"/>
      <c r="AC110" s="6"/>
      <c r="AD110" s="6"/>
      <c r="AE110" s="6"/>
      <c r="AF110" s="6"/>
      <c r="AG110" s="6"/>
      <c r="AH110" s="6"/>
      <c r="AI110" s="6"/>
      <c r="AJ110" s="6"/>
      <c r="AK110" s="6"/>
      <c r="AL110" s="6"/>
    </row>
    <row r="111" spans="1:38">
      <c r="A111" s="96">
        <f ca="1">IFERROR(__xludf.DUMMYFUNCTION("""COMPUTED_VALUE"""),44165)</f>
        <v>44165</v>
      </c>
      <c r="B111" s="6" t="str">
        <f ca="1">IFERROR(__xludf.DUMMYFUNCTION("""COMPUTED_VALUE"""),"Keerthana S")</f>
        <v>Keerthana S</v>
      </c>
      <c r="C111" s="6" t="str">
        <f ca="1">IFERROR(__xludf.DUMMYFUNCTION("""COMPUTED_VALUE"""),"skeerthana2@gmail.com")</f>
        <v>skeerthana2@gmail.com</v>
      </c>
      <c r="D111" s="6">
        <f ca="1">IFERROR(__xludf.DUMMYFUNCTION("""COMPUTED_VALUE"""),9900478282)</f>
        <v>9900478282</v>
      </c>
      <c r="E111" s="6" t="str">
        <f ca="1">IFERROR(__xludf.DUMMYFUNCTION("""COMPUTED_VALUE"""),"course-preview")</f>
        <v>course-preview</v>
      </c>
      <c r="F111" s="6" t="str">
        <f ca="1">IFERROR(__xludf.DUMMYFUNCTION("""COMPUTED_VALUE"""),"CSM")</f>
        <v>CSM</v>
      </c>
      <c r="G111" s="80">
        <f ca="1">IFERROR(__xludf.DUMMYFUNCTION("""COMPUTED_VALUE"""),44197)</f>
        <v>44197</v>
      </c>
      <c r="H111" s="6" t="str">
        <f ca="1">IFERROR(__xludf.DUMMYFUNCTION("""COMPUTED_VALUE"""),"Won")</f>
        <v>Won</v>
      </c>
      <c r="I111" s="6" t="str">
        <f ca="1">IFERROR(__xludf.DUMMYFUNCTION("""COMPUTED_VALUE"""),"27-28 Feb 2021")</f>
        <v>27-28 Feb 2021</v>
      </c>
      <c r="J111" s="6">
        <f ca="1">IFERROR(__xludf.DUMMYFUNCTION("""COMPUTED_VALUE"""),1)</f>
        <v>1</v>
      </c>
      <c r="K111" s="8">
        <f ca="1">IFERROR(__xludf.DUMMYFUNCTION("""COMPUTED_VALUE"""),19000)</f>
        <v>19000</v>
      </c>
      <c r="L111" s="8">
        <f ca="1">IFERROR(__xludf.DUMMYFUNCTION("""COMPUTED_VALUE"""),217.590471827759)</f>
        <v>217.59047182775899</v>
      </c>
      <c r="M111" s="96">
        <f ca="1">IFERROR(__xludf.DUMMYFUNCTION("""COMPUTED_VALUE"""),44204)</f>
        <v>44204</v>
      </c>
      <c r="N111" s="6" t="str">
        <f ca="1">IFERROR(__xludf.DUMMYFUNCTION("""COMPUTED_VALUE"""),"W1")</f>
        <v>W1</v>
      </c>
      <c r="O111" s="97">
        <f ca="1">IFERROR(__xludf.DUMMYFUNCTION("""COMPUTED_VALUE"""),44200)</f>
        <v>44200</v>
      </c>
      <c r="P111" s="6" t="str">
        <f ca="1">IFERROR(__xludf.DUMMYFUNCTION("""COMPUTED_VALUE"""),"CSTM_IYCEY4MW0J6")</f>
        <v>CSTM_IYCEY4MW0J6</v>
      </c>
      <c r="Q111" s="6"/>
      <c r="R111" s="6" t="str">
        <f ca="1">IFERROR(__xludf.DUMMYFUNCTION("""COMPUTED_VALUE"""),"Done. Good feedback.")</f>
        <v>Done. Good feedback.</v>
      </c>
      <c r="S111" s="6" t="str">
        <f ca="1">IFERROR(__xludf.DUMMYFUNCTION("""COMPUTED_VALUE"""),"Category")</f>
        <v>Category</v>
      </c>
      <c r="T111" s="6"/>
      <c r="U111" s="6"/>
      <c r="V111" s="6"/>
      <c r="W111" s="6"/>
      <c r="X111" s="6"/>
      <c r="Y111" s="6"/>
      <c r="Z111" s="6"/>
      <c r="AA111" s="6"/>
      <c r="AB111" s="6"/>
      <c r="AC111" s="6"/>
      <c r="AD111" s="6"/>
      <c r="AE111" s="6"/>
      <c r="AF111" s="6"/>
      <c r="AG111" s="6"/>
      <c r="AH111" s="6"/>
      <c r="AI111" s="6"/>
      <c r="AJ111" s="6"/>
      <c r="AK111" s="6"/>
      <c r="AL111" s="6"/>
    </row>
    <row r="112" spans="1:38">
      <c r="A112" s="96">
        <f ca="1">IFERROR(__xludf.DUMMYFUNCTION("""COMPUTED_VALUE"""),44187)</f>
        <v>44187</v>
      </c>
      <c r="B112" s="6" t="str">
        <f ca="1">IFERROR(__xludf.DUMMYFUNCTION("""COMPUTED_VALUE"""),"Sumantra Bhaumik")</f>
        <v>Sumantra Bhaumik</v>
      </c>
      <c r="C112" s="6" t="str">
        <f ca="1">IFERROR(__xludf.DUMMYFUNCTION("""COMPUTED_VALUE"""),"sumantra.bhaumik@gmail.com")</f>
        <v>sumantra.bhaumik@gmail.com</v>
      </c>
      <c r="D112" s="6">
        <f ca="1">IFERROR(__xludf.DUMMYFUNCTION("""COMPUTED_VALUE"""),9959183334)</f>
        <v>9959183334</v>
      </c>
      <c r="E112" s="6" t="str">
        <f ca="1">IFERROR(__xludf.DUMMYFUNCTION("""COMPUTED_VALUE"""),"Account")</f>
        <v>Account</v>
      </c>
      <c r="F112" s="6" t="str">
        <f ca="1">IFERROR(__xludf.DUMMYFUNCTION("""COMPUTED_VALUE"""),"CSPO")</f>
        <v>CSPO</v>
      </c>
      <c r="G112" s="80">
        <f ca="1">IFERROR(__xludf.DUMMYFUNCTION("""COMPUTED_VALUE"""),44197)</f>
        <v>44197</v>
      </c>
      <c r="H112" s="6" t="str">
        <f ca="1">IFERROR(__xludf.DUMMYFUNCTION("""COMPUTED_VALUE"""),"Won")</f>
        <v>Won</v>
      </c>
      <c r="I112" s="6" t="str">
        <f ca="1">IFERROR(__xludf.DUMMYFUNCTION("""COMPUTED_VALUE"""),"16-17 Jan 2021")</f>
        <v>16-17 Jan 2021</v>
      </c>
      <c r="J112" s="6">
        <f ca="1">IFERROR(__xludf.DUMMYFUNCTION("""COMPUTED_VALUE"""),1)</f>
        <v>1</v>
      </c>
      <c r="K112" s="8">
        <f ca="1">IFERROR(__xludf.DUMMYFUNCTION("""COMPUTED_VALUE"""),21000)</f>
        <v>21000</v>
      </c>
      <c r="L112" s="8">
        <f ca="1">IFERROR(__xludf.DUMMYFUNCTION("""COMPUTED_VALUE"""),240.494732020155)</f>
        <v>240.494732020155</v>
      </c>
      <c r="M112" s="96">
        <f ca="1">IFERROR(__xludf.DUMMYFUNCTION("""COMPUTED_VALUE"""),44200)</f>
        <v>44200</v>
      </c>
      <c r="N112" s="6" t="str">
        <f ca="1">IFERROR(__xludf.DUMMYFUNCTION("""COMPUTED_VALUE"""),"W1")</f>
        <v>W1</v>
      </c>
      <c r="O112" s="97">
        <f ca="1">IFERROR(__xludf.DUMMYFUNCTION("""COMPUTED_VALUE"""),44201)</f>
        <v>44201</v>
      </c>
      <c r="P112" s="6" t="str">
        <f ca="1">IFERROR(__xludf.DUMMYFUNCTION("""COMPUTED_VALUE"""),"CSTM_9J3RXZUM8GA")</f>
        <v>CSTM_9J3RXZUM8GA</v>
      </c>
      <c r="Q112" s="6"/>
      <c r="R112" s="6" t="str">
        <f ca="1">IFERROR(__xludf.DUMMYFUNCTION("""COMPUTED_VALUE"""),"Pending")</f>
        <v>Pending</v>
      </c>
      <c r="S112" s="6" t="str">
        <f ca="1">IFERROR(__xludf.DUMMYFUNCTION("""COMPUTED_VALUE"""),"Category")</f>
        <v>Category</v>
      </c>
      <c r="T112" s="6"/>
      <c r="U112" s="6"/>
      <c r="V112" s="6"/>
      <c r="W112" s="6"/>
      <c r="X112" s="6"/>
      <c r="Y112" s="6"/>
      <c r="Z112" s="6"/>
      <c r="AA112" s="6"/>
      <c r="AB112" s="6"/>
      <c r="AC112" s="6"/>
      <c r="AD112" s="6"/>
      <c r="AE112" s="6"/>
      <c r="AF112" s="6"/>
      <c r="AG112" s="6"/>
      <c r="AH112" s="6"/>
      <c r="AI112" s="6"/>
      <c r="AJ112" s="6"/>
      <c r="AK112" s="6"/>
      <c r="AL112" s="6"/>
    </row>
    <row r="113" spans="1:38">
      <c r="A113" s="96">
        <f ca="1">IFERROR(__xludf.DUMMYFUNCTION("""COMPUTED_VALUE"""),44184)</f>
        <v>44184</v>
      </c>
      <c r="B113" s="6" t="str">
        <f ca="1">IFERROR(__xludf.DUMMYFUNCTION("""COMPUTED_VALUE"""),"Usha Rani")</f>
        <v>Usha Rani</v>
      </c>
      <c r="C113" s="6" t="str">
        <f ca="1">IFERROR(__xludf.DUMMYFUNCTION("""COMPUTED_VALUE"""),"usharani.desaboyina@gmail.com")</f>
        <v>usharani.desaboyina@gmail.com</v>
      </c>
      <c r="D113" s="6">
        <f ca="1">IFERROR(__xludf.DUMMYFUNCTION("""COMPUTED_VALUE"""),9885457662)</f>
        <v>9885457662</v>
      </c>
      <c r="E113" s="6" t="str">
        <f ca="1">IFERROR(__xludf.DUMMYFUNCTION("""COMPUTED_VALUE"""),"course-agenda")</f>
        <v>course-agenda</v>
      </c>
      <c r="F113" s="6" t="str">
        <f ca="1">IFERROR(__xludf.DUMMYFUNCTION("""COMPUTED_VALUE"""),"CSM")</f>
        <v>CSM</v>
      </c>
      <c r="G113" s="80">
        <f ca="1">IFERROR(__xludf.DUMMYFUNCTION("""COMPUTED_VALUE"""),44166)</f>
        <v>44166</v>
      </c>
      <c r="H113" s="6" t="str">
        <f ca="1">IFERROR(__xludf.DUMMYFUNCTION("""COMPUTED_VALUE"""),"Opportunity")</f>
        <v>Opportunity</v>
      </c>
      <c r="I113" s="6" t="str">
        <f ca="1">IFERROR(__xludf.DUMMYFUNCTION("""COMPUTED_VALUE"""),"March 2021")</f>
        <v>March 2021</v>
      </c>
      <c r="J113" s="6">
        <f ca="1">IFERROR(__xludf.DUMMYFUNCTION("""COMPUTED_VALUE"""),1)</f>
        <v>1</v>
      </c>
      <c r="K113" s="8">
        <f ca="1">IFERROR(__xludf.DUMMYFUNCTION("""COMPUTED_VALUE"""),20500)</f>
        <v>20500</v>
      </c>
      <c r="L113" s="8">
        <f ca="1">IFERROR(__xludf.DUMMYFUNCTION("""COMPUTED_VALUE"""),234.768666972056)</f>
        <v>234.768666972056</v>
      </c>
      <c r="M113" s="96">
        <f ca="1">IFERROR(__xludf.DUMMYFUNCTION("""COMPUTED_VALUE"""),44258)</f>
        <v>44258</v>
      </c>
      <c r="N113" s="6"/>
      <c r="O113" s="97"/>
      <c r="P113" s="6"/>
      <c r="Q113" s="6"/>
      <c r="R113" s="6"/>
      <c r="S113" s="6" t="str">
        <f ca="1">IFERROR(__xludf.DUMMYFUNCTION("""COMPUTED_VALUE"""),"Category")</f>
        <v>Category</v>
      </c>
      <c r="T113" s="6"/>
      <c r="U113" s="6"/>
      <c r="V113" s="6"/>
      <c r="W113" s="6"/>
      <c r="X113" s="6"/>
      <c r="Y113" s="6"/>
      <c r="Z113" s="6"/>
      <c r="AA113" s="6"/>
      <c r="AB113" s="6"/>
      <c r="AC113" s="6"/>
      <c r="AD113" s="6"/>
      <c r="AE113" s="6"/>
      <c r="AF113" s="6"/>
      <c r="AG113" s="6"/>
      <c r="AH113" s="6"/>
      <c r="AI113" s="6"/>
      <c r="AJ113" s="6"/>
      <c r="AK113" s="6"/>
      <c r="AL113" s="6"/>
    </row>
    <row r="114" spans="1:38">
      <c r="A114" s="96">
        <f ca="1">IFERROR(__xludf.DUMMYFUNCTION("""COMPUTED_VALUE"""),44173)</f>
        <v>44173</v>
      </c>
      <c r="B114" s="6" t="str">
        <f ca="1">IFERROR(__xludf.DUMMYFUNCTION("""COMPUTED_VALUE"""),"Rajesh")</f>
        <v>Rajesh</v>
      </c>
      <c r="C114" s="6" t="str">
        <f ca="1">IFERROR(__xludf.DUMMYFUNCTION("""COMPUTED_VALUE"""),"raj2626esh@gmail.com")</f>
        <v>raj2626esh@gmail.com</v>
      </c>
      <c r="D114" s="6">
        <f ca="1">IFERROR(__xludf.DUMMYFUNCTION("""COMPUTED_VALUE"""),9030811449)</f>
        <v>9030811449</v>
      </c>
      <c r="E114" s="6" t="str">
        <f ca="1">IFERROR(__xludf.DUMMYFUNCTION("""COMPUTED_VALUE"""),"course agenda")</f>
        <v>course agenda</v>
      </c>
      <c r="F114" s="6" t="str">
        <f ca="1">IFERROR(__xludf.DUMMYFUNCTION("""COMPUTED_VALUE"""),"CSM")</f>
        <v>CSM</v>
      </c>
      <c r="G114" s="80"/>
      <c r="H114" s="6" t="str">
        <f ca="1">IFERROR(__xludf.DUMMYFUNCTION("""COMPUTED_VALUE"""),"Opportunity")</f>
        <v>Opportunity</v>
      </c>
      <c r="I114" s="6" t="str">
        <f ca="1">IFERROR(__xludf.DUMMYFUNCTION("""COMPUTED_VALUE"""),"DK")</f>
        <v>DK</v>
      </c>
      <c r="J114" s="6">
        <f ca="1">IFERROR(__xludf.DUMMYFUNCTION("""COMPUTED_VALUE"""),1)</f>
        <v>1</v>
      </c>
      <c r="K114" s="8">
        <f ca="1">IFERROR(__xludf.DUMMYFUNCTION("""COMPUTED_VALUE"""),21000)</f>
        <v>21000</v>
      </c>
      <c r="L114" s="8">
        <f ca="1">IFERROR(__xludf.DUMMYFUNCTION("""COMPUTED_VALUE"""),240.494732020155)</f>
        <v>240.494732020155</v>
      </c>
      <c r="M114" s="96"/>
      <c r="N114" s="6"/>
      <c r="O114" s="97"/>
      <c r="P114" s="6"/>
      <c r="Q114" s="6"/>
      <c r="R114" s="6"/>
      <c r="S114" s="6" t="str">
        <f ca="1">IFERROR(__xludf.DUMMYFUNCTION("""COMPUTED_VALUE"""),"Category")</f>
        <v>Category</v>
      </c>
      <c r="T114" s="6"/>
      <c r="U114" s="6"/>
      <c r="V114" s="6"/>
      <c r="W114" s="6"/>
      <c r="X114" s="6"/>
      <c r="Y114" s="6"/>
      <c r="Z114" s="6"/>
      <c r="AA114" s="6"/>
      <c r="AB114" s="6"/>
      <c r="AC114" s="6"/>
      <c r="AD114" s="6"/>
      <c r="AE114" s="6"/>
      <c r="AF114" s="6"/>
      <c r="AG114" s="6"/>
      <c r="AH114" s="6"/>
      <c r="AI114" s="6"/>
      <c r="AJ114" s="6"/>
      <c r="AK114" s="6"/>
      <c r="AL114" s="6"/>
    </row>
    <row r="115" spans="1:38">
      <c r="A115" s="96">
        <f ca="1">IFERROR(__xludf.DUMMYFUNCTION("""COMPUTED_VALUE"""),44190)</f>
        <v>44190</v>
      </c>
      <c r="B115" s="6" t="str">
        <f ca="1">IFERROR(__xludf.DUMMYFUNCTION("""COMPUTED_VALUE"""),"Niha Rao")</f>
        <v>Niha Rao</v>
      </c>
      <c r="C115" s="6" t="str">
        <f ca="1">IFERROR(__xludf.DUMMYFUNCTION("""COMPUTED_VALUE"""),"niharao1709@gmail.com")</f>
        <v>niharao1709@gmail.com</v>
      </c>
      <c r="D115" s="6">
        <f ca="1">IFERROR(__xludf.DUMMYFUNCTION("""COMPUTED_VALUE"""),9502614668)</f>
        <v>9502614668</v>
      </c>
      <c r="E115" s="6" t="str">
        <f ca="1">IFERROR(__xludf.DUMMYFUNCTION("""COMPUTED_VALUE"""),"fpt-paper")</f>
        <v>fpt-paper</v>
      </c>
      <c r="F115" s="6" t="str">
        <f ca="1">IFERROR(__xludf.DUMMYFUNCTION("""COMPUTED_VALUE"""),"CSM")</f>
        <v>CSM</v>
      </c>
      <c r="G115" s="80">
        <f ca="1">IFERROR(__xludf.DUMMYFUNCTION("""COMPUTED_VALUE"""),44166)</f>
        <v>44166</v>
      </c>
      <c r="H115" s="6" t="str">
        <f ca="1">IFERROR(__xludf.DUMMYFUNCTION("""COMPUTED_VALUE"""),"Opportunity")</f>
        <v>Opportunity</v>
      </c>
      <c r="I115" s="6" t="str">
        <f ca="1">IFERROR(__xludf.DUMMYFUNCTION("""COMPUTED_VALUE"""),"DK")</f>
        <v>DK</v>
      </c>
      <c r="J115" s="6">
        <f ca="1">IFERROR(__xludf.DUMMYFUNCTION("""COMPUTED_VALUE"""),1)</f>
        <v>1</v>
      </c>
      <c r="K115" s="8">
        <f ca="1">IFERROR(__xludf.DUMMYFUNCTION("""COMPUTED_VALUE"""),21000)</f>
        <v>21000</v>
      </c>
      <c r="L115" s="8">
        <f ca="1">IFERROR(__xludf.DUMMYFUNCTION("""COMPUTED_VALUE"""),240.494732020155)</f>
        <v>240.494732020155</v>
      </c>
      <c r="M115" s="96"/>
      <c r="N115" s="6"/>
      <c r="O115" s="97"/>
      <c r="P115" s="6"/>
      <c r="Q115" s="6"/>
      <c r="R115" s="6"/>
      <c r="S115" s="6" t="str">
        <f ca="1">IFERROR(__xludf.DUMMYFUNCTION("""COMPUTED_VALUE"""),"Category")</f>
        <v>Category</v>
      </c>
      <c r="T115" s="6"/>
      <c r="U115" s="6"/>
      <c r="V115" s="6"/>
      <c r="W115" s="6"/>
      <c r="X115" s="6"/>
      <c r="Y115" s="6"/>
      <c r="Z115" s="6"/>
      <c r="AA115" s="6"/>
      <c r="AB115" s="6"/>
      <c r="AC115" s="6"/>
      <c r="AD115" s="6"/>
      <c r="AE115" s="6"/>
      <c r="AF115" s="6"/>
      <c r="AG115" s="6"/>
      <c r="AH115" s="6"/>
      <c r="AI115" s="6"/>
      <c r="AJ115" s="6"/>
      <c r="AK115" s="6"/>
      <c r="AL115" s="6"/>
    </row>
    <row r="116" spans="1:38">
      <c r="A116" s="96">
        <f ca="1">IFERROR(__xludf.DUMMYFUNCTION("""COMPUTED_VALUE"""),44155)</f>
        <v>44155</v>
      </c>
      <c r="B116" s="6" t="str">
        <f ca="1">IFERROR(__xludf.DUMMYFUNCTION("""COMPUTED_VALUE"""),"Anu Subhash")</f>
        <v>Anu Subhash</v>
      </c>
      <c r="C116" s="6" t="str">
        <f ca="1">IFERROR(__xludf.DUMMYFUNCTION("""COMPUTED_VALUE"""),"anusubhash@gmail.com")</f>
        <v>anusubhash@gmail.com</v>
      </c>
      <c r="D116" s="6">
        <f ca="1">IFERROR(__xludf.DUMMYFUNCTION("""COMPUTED_VALUE"""),9663648540)</f>
        <v>9663648540</v>
      </c>
      <c r="E116" s="6"/>
      <c r="F116" s="6" t="str">
        <f ca="1">IFERROR(__xludf.DUMMYFUNCTION("""COMPUTED_VALUE"""),"ASM")</f>
        <v>ASM</v>
      </c>
      <c r="G116" s="80">
        <f ca="1">IFERROR(__xludf.DUMMYFUNCTION("""COMPUTED_VALUE"""),44166)</f>
        <v>44166</v>
      </c>
      <c r="H116" s="6" t="str">
        <f ca="1">IFERROR(__xludf.DUMMYFUNCTION("""COMPUTED_VALUE"""),"Opportunity")</f>
        <v>Opportunity</v>
      </c>
      <c r="I116" s="6" t="str">
        <f ca="1">IFERROR(__xludf.DUMMYFUNCTION("""COMPUTED_VALUE"""),"DK")</f>
        <v>DK</v>
      </c>
      <c r="J116" s="6">
        <f ca="1">IFERROR(__xludf.DUMMYFUNCTION("""COMPUTED_VALUE"""),1)</f>
        <v>1</v>
      </c>
      <c r="K116" s="8">
        <f ca="1">IFERROR(__xludf.DUMMYFUNCTION("""COMPUTED_VALUE"""),20000)</f>
        <v>20000</v>
      </c>
      <c r="L116" s="8">
        <f ca="1">IFERROR(__xludf.DUMMYFUNCTION("""COMPUTED_VALUE"""),229.042601923957)</f>
        <v>229.04260192395699</v>
      </c>
      <c r="M116" s="96"/>
      <c r="N116" s="6"/>
      <c r="O116" s="97"/>
      <c r="P116" s="6"/>
      <c r="Q116" s="6"/>
      <c r="R116" s="6"/>
      <c r="S116" s="6" t="str">
        <f ca="1">IFERROR(__xludf.DUMMYFUNCTION("""COMPUTED_VALUE"""),"NonCategory")</f>
        <v>NonCategory</v>
      </c>
      <c r="T116" s="6"/>
      <c r="U116" s="6"/>
      <c r="V116" s="6"/>
      <c r="W116" s="6"/>
      <c r="X116" s="6"/>
      <c r="Y116" s="6"/>
      <c r="Z116" s="6"/>
      <c r="AA116" s="6"/>
      <c r="AB116" s="6"/>
      <c r="AC116" s="6"/>
      <c r="AD116" s="6"/>
      <c r="AE116" s="6"/>
      <c r="AF116" s="6"/>
      <c r="AG116" s="6"/>
      <c r="AH116" s="6"/>
      <c r="AI116" s="6"/>
      <c r="AJ116" s="6"/>
      <c r="AK116" s="6"/>
      <c r="AL116" s="6"/>
    </row>
    <row r="117" spans="1:38">
      <c r="A117" s="96">
        <f ca="1">IFERROR(__xludf.DUMMYFUNCTION("""COMPUTED_VALUE"""),44170)</f>
        <v>44170</v>
      </c>
      <c r="B117" s="6" t="str">
        <f ca="1">IFERROR(__xludf.DUMMYFUNCTION("""COMPUTED_VALUE"""),"Rasleen Cheema")</f>
        <v>Rasleen Cheema</v>
      </c>
      <c r="C117" s="6" t="str">
        <f ca="1">IFERROR(__xludf.DUMMYFUNCTION("""COMPUTED_VALUE"""),"rasleencheema@gmail.com")</f>
        <v>rasleencheema@gmail.com</v>
      </c>
      <c r="D117" s="6">
        <f ca="1">IFERROR(__xludf.DUMMYFUNCTION("""COMPUTED_VALUE"""),7589375407)</f>
        <v>7589375407</v>
      </c>
      <c r="E117" s="6" t="str">
        <f ca="1">IFERROR(__xludf.DUMMYFUNCTION("""COMPUTED_VALUE"""),"course-agenda")</f>
        <v>course-agenda</v>
      </c>
      <c r="F117" s="6" t="str">
        <f ca="1">IFERROR(__xludf.DUMMYFUNCTION("""COMPUTED_VALUE"""),"CSM")</f>
        <v>CSM</v>
      </c>
      <c r="G117" s="80">
        <f ca="1">IFERROR(__xludf.DUMMYFUNCTION("""COMPUTED_VALUE"""),44166)</f>
        <v>44166</v>
      </c>
      <c r="H117" s="6" t="str">
        <f ca="1">IFERROR(__xludf.DUMMYFUNCTION("""COMPUTED_VALUE"""),"Opportunity")</f>
        <v>Opportunity</v>
      </c>
      <c r="I117" s="6" t="str">
        <f ca="1">IFERROR(__xludf.DUMMYFUNCTION("""COMPUTED_VALUE"""),"DK")</f>
        <v>DK</v>
      </c>
      <c r="J117" s="6">
        <f ca="1">IFERROR(__xludf.DUMMYFUNCTION("""COMPUTED_VALUE"""),5)</f>
        <v>5</v>
      </c>
      <c r="K117" s="8">
        <f ca="1">IFERROR(__xludf.DUMMYFUNCTION("""COMPUTED_VALUE"""),20000)</f>
        <v>20000</v>
      </c>
      <c r="L117" s="8">
        <f ca="1">IFERROR(__xludf.DUMMYFUNCTION("""COMPUTED_VALUE"""),229.042601923957)</f>
        <v>229.04260192395699</v>
      </c>
      <c r="M117" s="96"/>
      <c r="N117" s="6"/>
      <c r="O117" s="97"/>
      <c r="P117" s="6"/>
      <c r="Q117" s="6"/>
      <c r="R117" s="6"/>
      <c r="S117" s="6" t="str">
        <f ca="1">IFERROR(__xludf.DUMMYFUNCTION("""COMPUTED_VALUE"""),"Category")</f>
        <v>Category</v>
      </c>
      <c r="T117" s="6"/>
      <c r="U117" s="6"/>
      <c r="V117" s="6"/>
      <c r="W117" s="6"/>
      <c r="X117" s="6"/>
      <c r="Y117" s="6"/>
      <c r="Z117" s="6"/>
      <c r="AA117" s="6"/>
      <c r="AB117" s="6"/>
      <c r="AC117" s="6"/>
      <c r="AD117" s="6"/>
      <c r="AE117" s="6"/>
      <c r="AF117" s="6"/>
      <c r="AG117" s="6"/>
      <c r="AH117" s="6"/>
      <c r="AI117" s="6"/>
      <c r="AJ117" s="6"/>
      <c r="AK117" s="6"/>
      <c r="AL117" s="6"/>
    </row>
    <row r="118" spans="1:38">
      <c r="A118" s="96">
        <f ca="1">IFERROR(__xludf.DUMMYFUNCTION("""COMPUTED_VALUE"""),44193)</f>
        <v>44193</v>
      </c>
      <c r="B118" s="6" t="str">
        <f ca="1">IFERROR(__xludf.DUMMYFUNCTION("""COMPUTED_VALUE"""),"Nidhi Nupur")</f>
        <v>Nidhi Nupur</v>
      </c>
      <c r="C118" s="6" t="str">
        <f ca="1">IFERROR(__xludf.DUMMYFUNCTION("""COMPUTED_VALUE"""),"nidhinupur88@gmail.com")</f>
        <v>nidhinupur88@gmail.com</v>
      </c>
      <c r="D118" s="6">
        <f ca="1">IFERROR(__xludf.DUMMYFUNCTION("""COMPUTED_VALUE"""),9972263273)</f>
        <v>9972263273</v>
      </c>
      <c r="E118" s="6" t="str">
        <f ca="1">IFERROR(__xludf.DUMMYFUNCTION("""COMPUTED_VALUE"""),"chat_initiated")</f>
        <v>chat_initiated</v>
      </c>
      <c r="F118" s="6" t="str">
        <f ca="1">IFERROR(__xludf.DUMMYFUNCTION("""COMPUTED_VALUE"""),"CSM")</f>
        <v>CSM</v>
      </c>
      <c r="G118" s="80">
        <f ca="1">IFERROR(__xludf.DUMMYFUNCTION("""COMPUTED_VALUE"""),44166)</f>
        <v>44166</v>
      </c>
      <c r="H118" s="6" t="str">
        <f ca="1">IFERROR(__xludf.DUMMYFUNCTION("""COMPUTED_VALUE"""),"Opportunity")</f>
        <v>Opportunity</v>
      </c>
      <c r="I118" s="6" t="str">
        <f ca="1">IFERROR(__xludf.DUMMYFUNCTION("""COMPUTED_VALUE"""),"DK")</f>
        <v>DK</v>
      </c>
      <c r="J118" s="6">
        <f ca="1">IFERROR(__xludf.DUMMYFUNCTION("""COMPUTED_VALUE"""),1)</f>
        <v>1</v>
      </c>
      <c r="K118" s="8">
        <f ca="1">IFERROR(__xludf.DUMMYFUNCTION("""COMPUTED_VALUE"""),20500)</f>
        <v>20500</v>
      </c>
      <c r="L118" s="8">
        <f ca="1">IFERROR(__xludf.DUMMYFUNCTION("""COMPUTED_VALUE"""),234.768666972056)</f>
        <v>234.768666972056</v>
      </c>
      <c r="M118" s="96"/>
      <c r="N118" s="6"/>
      <c r="O118" s="97"/>
      <c r="P118" s="6"/>
      <c r="Q118" s="6"/>
      <c r="R118" s="6"/>
      <c r="S118" s="6" t="str">
        <f ca="1">IFERROR(__xludf.DUMMYFUNCTION("""COMPUTED_VALUE"""),"Category")</f>
        <v>Category</v>
      </c>
      <c r="T118" s="6"/>
      <c r="U118" s="6"/>
      <c r="V118" s="6"/>
      <c r="W118" s="6"/>
      <c r="X118" s="6"/>
      <c r="Y118" s="6"/>
      <c r="Z118" s="6"/>
      <c r="AA118" s="6"/>
      <c r="AB118" s="6"/>
      <c r="AC118" s="6"/>
      <c r="AD118" s="6"/>
      <c r="AE118" s="6"/>
      <c r="AF118" s="6"/>
      <c r="AG118" s="6"/>
      <c r="AH118" s="6"/>
      <c r="AI118" s="6"/>
      <c r="AJ118" s="6"/>
      <c r="AK118" s="6"/>
      <c r="AL118" s="6"/>
    </row>
    <row r="119" spans="1:38">
      <c r="A119" s="96">
        <f ca="1">IFERROR(__xludf.DUMMYFUNCTION("""COMPUTED_VALUE"""),44174)</f>
        <v>44174</v>
      </c>
      <c r="B119" s="6" t="str">
        <f ca="1">IFERROR(__xludf.DUMMYFUNCTION("""COMPUTED_VALUE"""),"Prabhu C")</f>
        <v>Prabhu C</v>
      </c>
      <c r="C119" s="6" t="str">
        <f ca="1">IFERROR(__xludf.DUMMYFUNCTION("""COMPUTED_VALUE"""),"cpirabhu@gmail.com")</f>
        <v>cpirabhu@gmail.com</v>
      </c>
      <c r="D119" s="6">
        <f ca="1">IFERROR(__xludf.DUMMYFUNCTION("""COMPUTED_VALUE"""),9841115636)</f>
        <v>9841115636</v>
      </c>
      <c r="E119" s="6" t="str">
        <f ca="1">IFERROR(__xludf.DUMMYFUNCTION("""COMPUTED_VALUE"""),"course agenda")</f>
        <v>course agenda</v>
      </c>
      <c r="F119" s="6" t="str">
        <f ca="1">IFERROR(__xludf.DUMMYFUNCTION("""COMPUTED_VALUE"""),"CSM")</f>
        <v>CSM</v>
      </c>
      <c r="G119" s="80">
        <f ca="1">IFERROR(__xludf.DUMMYFUNCTION("""COMPUTED_VALUE"""),44166)</f>
        <v>44166</v>
      </c>
      <c r="H119" s="6" t="str">
        <f ca="1">IFERROR(__xludf.DUMMYFUNCTION("""COMPUTED_VALUE"""),"Opportunity")</f>
        <v>Opportunity</v>
      </c>
      <c r="I119" s="6" t="str">
        <f ca="1">IFERROR(__xludf.DUMMYFUNCTION("""COMPUTED_VALUE"""),"DK")</f>
        <v>DK</v>
      </c>
      <c r="J119" s="6">
        <f ca="1">IFERROR(__xludf.DUMMYFUNCTION("""COMPUTED_VALUE"""),1)</f>
        <v>1</v>
      </c>
      <c r="K119" s="8">
        <f ca="1">IFERROR(__xludf.DUMMYFUNCTION("""COMPUTED_VALUE"""),19000)</f>
        <v>19000</v>
      </c>
      <c r="L119" s="8">
        <f ca="1">IFERROR(__xludf.DUMMYFUNCTION("""COMPUTED_VALUE"""),217.590471827759)</f>
        <v>217.59047182775899</v>
      </c>
      <c r="M119" s="96"/>
      <c r="N119" s="6"/>
      <c r="O119" s="97"/>
      <c r="P119" s="6"/>
      <c r="Q119" s="6"/>
      <c r="R119" s="6"/>
      <c r="S119" s="6" t="str">
        <f ca="1">IFERROR(__xludf.DUMMYFUNCTION("""COMPUTED_VALUE"""),"Category")</f>
        <v>Category</v>
      </c>
      <c r="T119" s="6"/>
      <c r="U119" s="6"/>
      <c r="V119" s="6"/>
      <c r="W119" s="6"/>
      <c r="X119" s="6"/>
      <c r="Y119" s="6"/>
      <c r="Z119" s="6"/>
      <c r="AA119" s="6"/>
      <c r="AB119" s="6"/>
      <c r="AC119" s="6"/>
      <c r="AD119" s="6"/>
      <c r="AE119" s="6"/>
      <c r="AF119" s="6"/>
      <c r="AG119" s="6"/>
      <c r="AH119" s="6"/>
      <c r="AI119" s="6"/>
      <c r="AJ119" s="6"/>
      <c r="AK119" s="6"/>
      <c r="AL119" s="6"/>
    </row>
    <row r="120" spans="1:38">
      <c r="A120" s="96">
        <f ca="1">IFERROR(__xludf.DUMMYFUNCTION("""COMPUTED_VALUE"""),44201)</f>
        <v>44201</v>
      </c>
      <c r="B120" s="6" t="str">
        <f ca="1">IFERROR(__xludf.DUMMYFUNCTION("""COMPUTED_VALUE"""),"Mayukh Bhattacharya")</f>
        <v>Mayukh Bhattacharya</v>
      </c>
      <c r="C120" s="6" t="str">
        <f ca="1">IFERROR(__xludf.DUMMYFUNCTION("""COMPUTED_VALUE"""),"mayukh.bhattacharya2017@gmail.com")</f>
        <v>mayukh.bhattacharya2017@gmail.com</v>
      </c>
      <c r="D120" s="6">
        <f ca="1">IFERROR(__xludf.DUMMYFUNCTION("""COMPUTED_VALUE"""),8910299650)</f>
        <v>8910299650</v>
      </c>
      <c r="E120" s="6" t="str">
        <f ca="1">IFERROR(__xludf.DUMMYFUNCTION("""COMPUTED_VALUE"""),"Query box")</f>
        <v>Query box</v>
      </c>
      <c r="F120" s="6" t="str">
        <f ca="1">IFERROR(__xludf.DUMMYFUNCTION("""COMPUTED_VALUE"""),"CSM")</f>
        <v>CSM</v>
      </c>
      <c r="G120" s="80">
        <f ca="1">IFERROR(__xludf.DUMMYFUNCTION("""COMPUTED_VALUE"""),44197)</f>
        <v>44197</v>
      </c>
      <c r="H120" s="6" t="str">
        <f ca="1">IFERROR(__xludf.DUMMYFUNCTION("""COMPUTED_VALUE"""),"Won")</f>
        <v>Won</v>
      </c>
      <c r="I120" s="6" t="str">
        <f ca="1">IFERROR(__xludf.DUMMYFUNCTION("""COMPUTED_VALUE"""),"30-31 Jan 2021")</f>
        <v>30-31 Jan 2021</v>
      </c>
      <c r="J120" s="6">
        <f ca="1">IFERROR(__xludf.DUMMYFUNCTION("""COMPUTED_VALUE"""),1)</f>
        <v>1</v>
      </c>
      <c r="K120" s="8">
        <f ca="1">IFERROR(__xludf.DUMMYFUNCTION("""COMPUTED_VALUE"""),20000)</f>
        <v>20000</v>
      </c>
      <c r="L120" s="8">
        <f ca="1">IFERROR(__xludf.DUMMYFUNCTION("""COMPUTED_VALUE"""),229.042601923957)</f>
        <v>229.04260192395699</v>
      </c>
      <c r="M120" s="96">
        <f ca="1">IFERROR(__xludf.DUMMYFUNCTION("""COMPUTED_VALUE"""),44202)</f>
        <v>44202</v>
      </c>
      <c r="N120" s="6" t="str">
        <f ca="1">IFERROR(__xludf.DUMMYFUNCTION("""COMPUTED_VALUE"""),"W1")</f>
        <v>W1</v>
      </c>
      <c r="O120" s="97">
        <f ca="1">IFERROR(__xludf.DUMMYFUNCTION("""COMPUTED_VALUE"""),44202)</f>
        <v>44202</v>
      </c>
      <c r="P120" s="6" t="str">
        <f ca="1">IFERROR(__xludf.DUMMYFUNCTION("""COMPUTED_VALUE"""),"CSTM_BC1UOWE6THY")</f>
        <v>CSTM_BC1UOWE6THY</v>
      </c>
      <c r="Q120" s="6"/>
      <c r="R120" s="6" t="str">
        <f ca="1">IFERROR(__xludf.DUMMYFUNCTION("""COMPUTED_VALUE"""),"Done. Good feedback.")</f>
        <v>Done. Good feedback.</v>
      </c>
      <c r="S120" s="6" t="str">
        <f ca="1">IFERROR(__xludf.DUMMYFUNCTION("""COMPUTED_VALUE"""),"Category")</f>
        <v>Category</v>
      </c>
      <c r="T120" s="6"/>
      <c r="U120" s="6"/>
      <c r="V120" s="6"/>
      <c r="W120" s="6"/>
      <c r="X120" s="6"/>
      <c r="Y120" s="6"/>
      <c r="Z120" s="6"/>
      <c r="AA120" s="6"/>
      <c r="AB120" s="6"/>
      <c r="AC120" s="6"/>
      <c r="AD120" s="6"/>
      <c r="AE120" s="6"/>
      <c r="AF120" s="6"/>
      <c r="AG120" s="6"/>
      <c r="AH120" s="6"/>
      <c r="AI120" s="6"/>
      <c r="AJ120" s="6"/>
      <c r="AK120" s="6"/>
      <c r="AL120" s="6"/>
    </row>
    <row r="121" spans="1:38">
      <c r="A121" s="96">
        <f ca="1">IFERROR(__xludf.DUMMYFUNCTION("""COMPUTED_VALUE"""),44173)</f>
        <v>44173</v>
      </c>
      <c r="B121" s="6" t="str">
        <f ca="1">IFERROR(__xludf.DUMMYFUNCTION("""COMPUTED_VALUE"""),"Midhlaj")</f>
        <v>Midhlaj</v>
      </c>
      <c r="C121" s="6" t="str">
        <f ca="1">IFERROR(__xludf.DUMMYFUNCTION("""COMPUTED_VALUE"""),"midhlaj@sensotica.in")</f>
        <v>midhlaj@sensotica.in</v>
      </c>
      <c r="D121" s="6">
        <f ca="1">IFERROR(__xludf.DUMMYFUNCTION("""COMPUTED_VALUE"""),9037176973)</f>
        <v>9037176973</v>
      </c>
      <c r="E121" s="6" t="str">
        <f ca="1">IFERROR(__xludf.DUMMYFUNCTION("""COMPUTED_VALUE"""),"Chat_triggered")</f>
        <v>Chat_triggered</v>
      </c>
      <c r="F121" s="6" t="str">
        <f ca="1">IFERROR(__xludf.DUMMYFUNCTION("""COMPUTED_VALUE"""),"CSM")</f>
        <v>CSM</v>
      </c>
      <c r="G121" s="80">
        <f ca="1">IFERROR(__xludf.DUMMYFUNCTION("""COMPUTED_VALUE"""),44166)</f>
        <v>44166</v>
      </c>
      <c r="H121" s="6" t="str">
        <f ca="1">IFERROR(__xludf.DUMMYFUNCTION("""COMPUTED_VALUE"""),"Opportunity")</f>
        <v>Opportunity</v>
      </c>
      <c r="I121" s="6" t="str">
        <f ca="1">IFERROR(__xludf.DUMMYFUNCTION("""COMPUTED_VALUE"""),"DK")</f>
        <v>DK</v>
      </c>
      <c r="J121" s="6">
        <f ca="1">IFERROR(__xludf.DUMMYFUNCTION("""COMPUTED_VALUE"""),5)</f>
        <v>5</v>
      </c>
      <c r="K121" s="8">
        <f ca="1">IFERROR(__xludf.DUMMYFUNCTION("""COMPUTED_VALUE"""),20000)</f>
        <v>20000</v>
      </c>
      <c r="L121" s="8">
        <f ca="1">IFERROR(__xludf.DUMMYFUNCTION("""COMPUTED_VALUE"""),229.042601923957)</f>
        <v>229.04260192395699</v>
      </c>
      <c r="M121" s="96"/>
      <c r="N121" s="6"/>
      <c r="O121" s="97"/>
      <c r="P121" s="6"/>
      <c r="Q121" s="6"/>
      <c r="R121" s="6"/>
      <c r="S121" s="6" t="str">
        <f ca="1">IFERROR(__xludf.DUMMYFUNCTION("""COMPUTED_VALUE"""),"Category")</f>
        <v>Category</v>
      </c>
      <c r="T121" s="6"/>
      <c r="U121" s="6"/>
      <c r="V121" s="6"/>
      <c r="W121" s="6"/>
      <c r="X121" s="6"/>
      <c r="Y121" s="6"/>
      <c r="Z121" s="6"/>
      <c r="AA121" s="6"/>
      <c r="AB121" s="6"/>
      <c r="AC121" s="6"/>
      <c r="AD121" s="6"/>
      <c r="AE121" s="6"/>
      <c r="AF121" s="6"/>
      <c r="AG121" s="6"/>
      <c r="AH121" s="6"/>
      <c r="AI121" s="6"/>
      <c r="AJ121" s="6"/>
      <c r="AK121" s="6"/>
      <c r="AL121" s="6"/>
    </row>
    <row r="122" spans="1:38">
      <c r="A122" s="96">
        <f ca="1">IFERROR(__xludf.DUMMYFUNCTION("""COMPUTED_VALUE"""),44202)</f>
        <v>44202</v>
      </c>
      <c r="B122" s="6" t="str">
        <f ca="1">IFERROR(__xludf.DUMMYFUNCTION("""COMPUTED_VALUE"""),"Kirubagaran")</f>
        <v>Kirubagaran</v>
      </c>
      <c r="C122" s="6" t="str">
        <f ca="1">IFERROR(__xludf.DUMMYFUNCTION("""COMPUTED_VALUE"""),"kirubagaran.r@gmail.com")</f>
        <v>kirubagaran.r@gmail.com</v>
      </c>
      <c r="D122" s="6">
        <f ca="1">IFERROR(__xludf.DUMMYFUNCTION("""COMPUTED_VALUE"""),9884416364)</f>
        <v>9884416364</v>
      </c>
      <c r="E122" s="6" t="str">
        <f ca="1">IFERROR(__xludf.DUMMYFUNCTION("""COMPUTED_VALUE"""),"Query box")</f>
        <v>Query box</v>
      </c>
      <c r="F122" s="6" t="str">
        <f ca="1">IFERROR(__xludf.DUMMYFUNCTION("""COMPUTED_VALUE"""),"CSM")</f>
        <v>CSM</v>
      </c>
      <c r="G122" s="80">
        <f ca="1">IFERROR(__xludf.DUMMYFUNCTION("""COMPUTED_VALUE"""),44197)</f>
        <v>44197</v>
      </c>
      <c r="H122" s="6" t="str">
        <f ca="1">IFERROR(__xludf.DUMMYFUNCTION("""COMPUTED_VALUE"""),"Won")</f>
        <v>Won</v>
      </c>
      <c r="I122" s="6" t="str">
        <f ca="1">IFERROR(__xludf.DUMMYFUNCTION("""COMPUTED_VALUE"""),"16-17 Jan 2021")</f>
        <v>16-17 Jan 2021</v>
      </c>
      <c r="J122" s="6">
        <f ca="1">IFERROR(__xludf.DUMMYFUNCTION("""COMPUTED_VALUE"""),1)</f>
        <v>1</v>
      </c>
      <c r="K122" s="8">
        <f ca="1">IFERROR(__xludf.DUMMYFUNCTION("""COMPUTED_VALUE"""),24780)</f>
        <v>24780</v>
      </c>
      <c r="L122" s="8">
        <f ca="1">IFERROR(__xludf.DUMMYFUNCTION("""COMPUTED_VALUE"""),283.783783783783)</f>
        <v>283.78378378378301</v>
      </c>
      <c r="M122" s="96">
        <f ca="1">IFERROR(__xludf.DUMMYFUNCTION("""COMPUTED_VALUE"""),44202)</f>
        <v>44202</v>
      </c>
      <c r="N122" s="6" t="str">
        <f ca="1">IFERROR(__xludf.DUMMYFUNCTION("""COMPUTED_VALUE"""),"W1")</f>
        <v>W1</v>
      </c>
      <c r="O122" s="97">
        <f ca="1">IFERROR(__xludf.DUMMYFUNCTION("""COMPUTED_VALUE"""),44202)</f>
        <v>44202</v>
      </c>
      <c r="P122" s="6" t="str">
        <f ca="1">IFERROR(__xludf.DUMMYFUNCTION("""COMPUTED_VALUE"""),"CSTM_1T538XE9Q7N")</f>
        <v>CSTM_1T538XE9Q7N</v>
      </c>
      <c r="Q122" s="6"/>
      <c r="R122" s="6" t="str">
        <f ca="1">IFERROR(__xludf.DUMMYFUNCTION("""COMPUTED_VALUE"""),"Pending")</f>
        <v>Pending</v>
      </c>
      <c r="S122" s="6" t="str">
        <f ca="1">IFERROR(__xludf.DUMMYFUNCTION("""COMPUTED_VALUE"""),"Category")</f>
        <v>Category</v>
      </c>
      <c r="T122" s="6"/>
      <c r="U122" s="6"/>
      <c r="V122" s="6"/>
      <c r="W122" s="6"/>
      <c r="X122" s="6"/>
      <c r="Y122" s="6"/>
      <c r="Z122" s="6"/>
      <c r="AA122" s="6"/>
      <c r="AB122" s="6"/>
      <c r="AC122" s="6"/>
      <c r="AD122" s="6"/>
      <c r="AE122" s="6"/>
      <c r="AF122" s="6"/>
      <c r="AG122" s="6"/>
      <c r="AH122" s="6"/>
      <c r="AI122" s="6"/>
      <c r="AJ122" s="6"/>
      <c r="AK122" s="6"/>
      <c r="AL122" s="6"/>
    </row>
    <row r="123" spans="1:38">
      <c r="A123" s="96">
        <f ca="1">IFERROR(__xludf.DUMMYFUNCTION("""COMPUTED_VALUE"""),44166)</f>
        <v>44166</v>
      </c>
      <c r="B123" s="6" t="str">
        <f ca="1">IFERROR(__xludf.DUMMYFUNCTION("""COMPUTED_VALUE"""),"Sundara Pandiyan")</f>
        <v>Sundara Pandiyan</v>
      </c>
      <c r="C123" s="6" t="str">
        <f ca="1">IFERROR(__xludf.DUMMYFUNCTION("""COMPUTED_VALUE"""),"sundarapandiyan.mohan@gmail.com")</f>
        <v>sundarapandiyan.mohan@gmail.com</v>
      </c>
      <c r="D123" s="6">
        <f ca="1">IFERROR(__xludf.DUMMYFUNCTION("""COMPUTED_VALUE"""),9841295566)</f>
        <v>9841295566</v>
      </c>
      <c r="E123" s="6" t="str">
        <f ca="1">IFERROR(__xludf.DUMMYFUNCTION("""COMPUTED_VALUE"""),"Query box")</f>
        <v>Query box</v>
      </c>
      <c r="F123" s="6" t="str">
        <f ca="1">IFERROR(__xludf.DUMMYFUNCTION("""COMPUTED_VALUE"""),"CSPO")</f>
        <v>CSPO</v>
      </c>
      <c r="G123" s="80">
        <f ca="1">IFERROR(__xludf.DUMMYFUNCTION("""COMPUTED_VALUE"""),44166)</f>
        <v>44166</v>
      </c>
      <c r="H123" s="6" t="str">
        <f ca="1">IFERROR(__xludf.DUMMYFUNCTION("""COMPUTED_VALUE"""),"Lost")</f>
        <v>Lost</v>
      </c>
      <c r="I123" s="6" t="str">
        <f ca="1">IFERROR(__xludf.DUMMYFUNCTION("""COMPUTED_VALUE"""),"DK")</f>
        <v>DK</v>
      </c>
      <c r="J123" s="6">
        <f ca="1">IFERROR(__xludf.DUMMYFUNCTION("""COMPUTED_VALUE"""),1)</f>
        <v>1</v>
      </c>
      <c r="K123" s="8">
        <f ca="1">IFERROR(__xludf.DUMMYFUNCTION("""COMPUTED_VALUE"""),20000)</f>
        <v>20000</v>
      </c>
      <c r="L123" s="8">
        <f ca="1">IFERROR(__xludf.DUMMYFUNCTION("""COMPUTED_VALUE"""),229.042601923957)</f>
        <v>229.04260192395699</v>
      </c>
      <c r="M123" s="96"/>
      <c r="N123" s="6"/>
      <c r="O123" s="97"/>
      <c r="P123" s="6"/>
      <c r="Q123" s="6"/>
      <c r="R123" s="6"/>
      <c r="S123" s="6" t="str">
        <f ca="1">IFERROR(__xludf.DUMMYFUNCTION("""COMPUTED_VALUE"""),"Category")</f>
        <v>Category</v>
      </c>
      <c r="T123" s="6"/>
      <c r="U123" s="6"/>
      <c r="V123" s="6"/>
      <c r="W123" s="6"/>
      <c r="X123" s="6"/>
      <c r="Y123" s="6"/>
      <c r="Z123" s="6"/>
      <c r="AA123" s="6"/>
      <c r="AB123" s="6"/>
      <c r="AC123" s="6"/>
      <c r="AD123" s="6"/>
      <c r="AE123" s="6"/>
      <c r="AF123" s="6"/>
      <c r="AG123" s="6"/>
      <c r="AH123" s="6"/>
      <c r="AI123" s="6"/>
      <c r="AJ123" s="6"/>
      <c r="AK123" s="6"/>
      <c r="AL123" s="6"/>
    </row>
    <row r="124" spans="1:38">
      <c r="A124" s="96">
        <f ca="1">IFERROR(__xludf.DUMMYFUNCTION("""COMPUTED_VALUE"""),44195)</f>
        <v>44195</v>
      </c>
      <c r="B124" s="6" t="str">
        <f ca="1">IFERROR(__xludf.DUMMYFUNCTION("""COMPUTED_VALUE"""),"Pragati Kaushik")</f>
        <v>Pragati Kaushik</v>
      </c>
      <c r="C124" s="6" t="str">
        <f ca="1">IFERROR(__xludf.DUMMYFUNCTION("""COMPUTED_VALUE"""),"pragati.kaushik20@gmail.com")</f>
        <v>pragati.kaushik20@gmail.com</v>
      </c>
      <c r="D124" s="6">
        <f ca="1">IFERROR(__xludf.DUMMYFUNCTION("""COMPUTED_VALUE"""),8750345229)</f>
        <v>8750345229</v>
      </c>
      <c r="E124" s="6" t="str">
        <f ca="1">IFERROR(__xludf.DUMMYFUNCTION("""COMPUTED_VALUE"""),"Query box")</f>
        <v>Query box</v>
      </c>
      <c r="F124" s="6" t="str">
        <f ca="1">IFERROR(__xludf.DUMMYFUNCTION("""COMPUTED_VALUE"""),"CSM")</f>
        <v>CSM</v>
      </c>
      <c r="G124" s="80">
        <f ca="1">IFERROR(__xludf.DUMMYFUNCTION("""COMPUTED_VALUE"""),44166)</f>
        <v>44166</v>
      </c>
      <c r="H124" s="6" t="str">
        <f ca="1">IFERROR(__xludf.DUMMYFUNCTION("""COMPUTED_VALUE"""),"Opportunity")</f>
        <v>Opportunity</v>
      </c>
      <c r="I124" s="6" t="str">
        <f ca="1">IFERROR(__xludf.DUMMYFUNCTION("""COMPUTED_VALUE"""),"DK")</f>
        <v>DK</v>
      </c>
      <c r="J124" s="6">
        <f ca="1">IFERROR(__xludf.DUMMYFUNCTION("""COMPUTED_VALUE"""),1)</f>
        <v>1</v>
      </c>
      <c r="K124" s="8">
        <f ca="1">IFERROR(__xludf.DUMMYFUNCTION("""COMPUTED_VALUE"""),20500)</f>
        <v>20500</v>
      </c>
      <c r="L124" s="8">
        <f ca="1">IFERROR(__xludf.DUMMYFUNCTION("""COMPUTED_VALUE"""),234.768666972056)</f>
        <v>234.768666972056</v>
      </c>
      <c r="M124" s="96"/>
      <c r="N124" s="6"/>
      <c r="O124" s="97"/>
      <c r="P124" s="6"/>
      <c r="Q124" s="6"/>
      <c r="R124" s="6"/>
      <c r="S124" s="6" t="str">
        <f ca="1">IFERROR(__xludf.DUMMYFUNCTION("""COMPUTED_VALUE"""),"Category")</f>
        <v>Category</v>
      </c>
      <c r="T124" s="6"/>
      <c r="U124" s="6"/>
      <c r="V124" s="6"/>
      <c r="W124" s="6"/>
      <c r="X124" s="6"/>
      <c r="Y124" s="6"/>
      <c r="Z124" s="6"/>
      <c r="AA124" s="6"/>
      <c r="AB124" s="6"/>
      <c r="AC124" s="6"/>
      <c r="AD124" s="6"/>
      <c r="AE124" s="6"/>
      <c r="AF124" s="6"/>
      <c r="AG124" s="6"/>
      <c r="AH124" s="6"/>
      <c r="AI124" s="6"/>
      <c r="AJ124" s="6"/>
      <c r="AK124" s="6"/>
      <c r="AL124" s="6"/>
    </row>
    <row r="125" spans="1:38">
      <c r="A125" s="96">
        <f ca="1">IFERROR(__xludf.DUMMYFUNCTION("""COMPUTED_VALUE"""),44174)</f>
        <v>44174</v>
      </c>
      <c r="B125" s="6" t="str">
        <f ca="1">IFERROR(__xludf.DUMMYFUNCTION("""COMPUTED_VALUE"""),"Shivangi Arora")</f>
        <v>Shivangi Arora</v>
      </c>
      <c r="C125" s="6" t="str">
        <f ca="1">IFERROR(__xludf.DUMMYFUNCTION("""COMPUTED_VALUE"""),"shivangiarora01@yahoo.com")</f>
        <v>shivangiarora01@yahoo.com</v>
      </c>
      <c r="D125" s="6">
        <f ca="1">IFERROR(__xludf.DUMMYFUNCTION("""COMPUTED_VALUE"""),8879677327)</f>
        <v>8879677327</v>
      </c>
      <c r="E125" s="6" t="str">
        <f ca="1">IFERROR(__xludf.DUMMYFUNCTION("""COMPUTED_VALUE"""),"fpt-paper")</f>
        <v>fpt-paper</v>
      </c>
      <c r="F125" s="6" t="str">
        <f ca="1">IFERROR(__xludf.DUMMYFUNCTION("""COMPUTED_VALUE"""),"CSM")</f>
        <v>CSM</v>
      </c>
      <c r="G125" s="80">
        <f ca="1">IFERROR(__xludf.DUMMYFUNCTION("""COMPUTED_VALUE"""),44228)</f>
        <v>44228</v>
      </c>
      <c r="H125" s="6" t="str">
        <f ca="1">IFERROR(__xludf.DUMMYFUNCTION("""COMPUTED_VALUE"""),"Opportunity")</f>
        <v>Opportunity</v>
      </c>
      <c r="I125" s="6" t="str">
        <f ca="1">IFERROR(__xludf.DUMMYFUNCTION("""COMPUTED_VALUE"""),"DK")</f>
        <v>DK</v>
      </c>
      <c r="J125" s="6">
        <f ca="1">IFERROR(__xludf.DUMMYFUNCTION("""COMPUTED_VALUE"""),1)</f>
        <v>1</v>
      </c>
      <c r="K125" s="8">
        <f ca="1">IFERROR(__xludf.DUMMYFUNCTION("""COMPUTED_VALUE"""),20000)</f>
        <v>20000</v>
      </c>
      <c r="L125" s="8">
        <f ca="1">IFERROR(__xludf.DUMMYFUNCTION("""COMPUTED_VALUE"""),229.042601923957)</f>
        <v>229.04260192395699</v>
      </c>
      <c r="M125" s="96"/>
      <c r="N125" s="6"/>
      <c r="O125" s="97"/>
      <c r="P125" s="6"/>
      <c r="Q125" s="6"/>
      <c r="R125" s="6"/>
      <c r="S125" s="6" t="str">
        <f ca="1">IFERROR(__xludf.DUMMYFUNCTION("""COMPUTED_VALUE"""),"Category")</f>
        <v>Category</v>
      </c>
      <c r="T125" s="6"/>
      <c r="U125" s="6"/>
      <c r="V125" s="6"/>
      <c r="W125" s="6"/>
      <c r="X125" s="6"/>
      <c r="Y125" s="6"/>
      <c r="Z125" s="6"/>
      <c r="AA125" s="6"/>
      <c r="AB125" s="6"/>
      <c r="AC125" s="6"/>
      <c r="AD125" s="6"/>
      <c r="AE125" s="6"/>
      <c r="AF125" s="6"/>
      <c r="AG125" s="6"/>
      <c r="AH125" s="6"/>
      <c r="AI125" s="6"/>
      <c r="AJ125" s="6"/>
      <c r="AK125" s="6"/>
      <c r="AL125" s="6"/>
    </row>
    <row r="126" spans="1:38">
      <c r="A126" s="96">
        <f ca="1">IFERROR(__xludf.DUMMYFUNCTION("""COMPUTED_VALUE"""),44152)</f>
        <v>44152</v>
      </c>
      <c r="B126" s="6" t="str">
        <f ca="1">IFERROR(__xludf.DUMMYFUNCTION("""COMPUTED_VALUE"""),"Sampat Dubbakka")</f>
        <v>Sampat Dubbakka</v>
      </c>
      <c r="C126" s="6" t="str">
        <f ca="1">IFERROR(__xludf.DUMMYFUNCTION("""COMPUTED_VALUE"""),"samdubbaka@gmail.com")</f>
        <v>samdubbaka@gmail.com</v>
      </c>
      <c r="D126" s="6">
        <f ca="1">IFERROR(__xludf.DUMMYFUNCTION("""COMPUTED_VALUE"""),9885906060)</f>
        <v>9885906060</v>
      </c>
      <c r="E126" s="6" t="str">
        <f ca="1">IFERROR(__xludf.DUMMYFUNCTION("""COMPUTED_VALUE"""),"Reference")</f>
        <v>Reference</v>
      </c>
      <c r="F126" s="6" t="str">
        <f ca="1">IFERROR(__xludf.DUMMYFUNCTION("""COMPUTED_VALUE"""),"CSPO")</f>
        <v>CSPO</v>
      </c>
      <c r="G126" s="80">
        <f ca="1">IFERROR(__xludf.DUMMYFUNCTION("""COMPUTED_VALUE"""),44166)</f>
        <v>44166</v>
      </c>
      <c r="H126" s="6" t="str">
        <f ca="1">IFERROR(__xludf.DUMMYFUNCTION("""COMPUTED_VALUE"""),"Lost")</f>
        <v>Lost</v>
      </c>
      <c r="I126" s="6" t="str">
        <f ca="1">IFERROR(__xludf.DUMMYFUNCTION("""COMPUTED_VALUE"""),"DK")</f>
        <v>DK</v>
      </c>
      <c r="J126" s="6">
        <f ca="1">IFERROR(__xludf.DUMMYFUNCTION("""COMPUTED_VALUE"""),1)</f>
        <v>1</v>
      </c>
      <c r="K126" s="8">
        <f ca="1">IFERROR(__xludf.DUMMYFUNCTION("""COMPUTED_VALUE"""),20000)</f>
        <v>20000</v>
      </c>
      <c r="L126" s="8">
        <f ca="1">IFERROR(__xludf.DUMMYFUNCTION("""COMPUTED_VALUE"""),229.042601923957)</f>
        <v>229.04260192395699</v>
      </c>
      <c r="M126" s="96"/>
      <c r="N126" s="6"/>
      <c r="O126" s="97"/>
      <c r="P126" s="6"/>
      <c r="Q126" s="6"/>
      <c r="R126" s="6"/>
      <c r="S126" s="6" t="str">
        <f ca="1">IFERROR(__xludf.DUMMYFUNCTION("""COMPUTED_VALUE"""),"Category")</f>
        <v>Category</v>
      </c>
      <c r="T126" s="6"/>
      <c r="U126" s="6"/>
      <c r="V126" s="6"/>
      <c r="W126" s="6"/>
      <c r="X126" s="6"/>
      <c r="Y126" s="6"/>
      <c r="Z126" s="6"/>
      <c r="AA126" s="6"/>
      <c r="AB126" s="6"/>
      <c r="AC126" s="6"/>
      <c r="AD126" s="6"/>
      <c r="AE126" s="6"/>
      <c r="AF126" s="6"/>
      <c r="AG126" s="6"/>
      <c r="AH126" s="6"/>
      <c r="AI126" s="6"/>
      <c r="AJ126" s="6"/>
      <c r="AK126" s="6"/>
      <c r="AL126" s="6"/>
    </row>
    <row r="127" spans="1:38">
      <c r="A127" s="96">
        <f ca="1">IFERROR(__xludf.DUMMYFUNCTION("""COMPUTED_VALUE"""),44148)</f>
        <v>44148</v>
      </c>
      <c r="B127" s="6" t="str">
        <f ca="1">IFERROR(__xludf.DUMMYFUNCTION("""COMPUTED_VALUE"""),"Rahul Sharma")</f>
        <v>Rahul Sharma</v>
      </c>
      <c r="C127" s="6" t="str">
        <f ca="1">IFERROR(__xludf.DUMMYFUNCTION("""COMPUTED_VALUE"""),"sharma.rs0103@gmail.com")</f>
        <v>sharma.rs0103@gmail.com</v>
      </c>
      <c r="D127" s="6">
        <f ca="1">IFERROR(__xludf.DUMMYFUNCTION("""COMPUTED_VALUE"""),9718080035)</f>
        <v>9718080035</v>
      </c>
      <c r="E127" s="6"/>
      <c r="F127" s="6" t="str">
        <f ca="1">IFERROR(__xludf.DUMMYFUNCTION("""COMPUTED_VALUE"""),"CSM")</f>
        <v>CSM</v>
      </c>
      <c r="G127" s="80">
        <f ca="1">IFERROR(__xludf.DUMMYFUNCTION("""COMPUTED_VALUE"""),44166)</f>
        <v>44166</v>
      </c>
      <c r="H127" s="6" t="str">
        <f ca="1">IFERROR(__xludf.DUMMYFUNCTION("""COMPUTED_VALUE"""),"Opportunity")</f>
        <v>Opportunity</v>
      </c>
      <c r="I127" s="6" t="str">
        <f ca="1">IFERROR(__xludf.DUMMYFUNCTION("""COMPUTED_VALUE"""),"DK")</f>
        <v>DK</v>
      </c>
      <c r="J127" s="6">
        <f ca="1">IFERROR(__xludf.DUMMYFUNCTION("""COMPUTED_VALUE"""),1)</f>
        <v>1</v>
      </c>
      <c r="K127" s="8">
        <f ca="1">IFERROR(__xludf.DUMMYFUNCTION("""COMPUTED_VALUE"""),20000)</f>
        <v>20000</v>
      </c>
      <c r="L127" s="8">
        <f ca="1">IFERROR(__xludf.DUMMYFUNCTION("""COMPUTED_VALUE"""),229.042601923957)</f>
        <v>229.04260192395699</v>
      </c>
      <c r="M127" s="96"/>
      <c r="N127" s="6"/>
      <c r="O127" s="97"/>
      <c r="P127" s="6"/>
      <c r="Q127" s="6"/>
      <c r="R127" s="6"/>
      <c r="S127" s="6" t="str">
        <f ca="1">IFERROR(__xludf.DUMMYFUNCTION("""COMPUTED_VALUE"""),"Category")</f>
        <v>Category</v>
      </c>
      <c r="T127" s="6"/>
      <c r="U127" s="6"/>
      <c r="V127" s="6"/>
      <c r="W127" s="6"/>
      <c r="X127" s="6"/>
      <c r="Y127" s="6"/>
      <c r="Z127" s="6"/>
      <c r="AA127" s="6"/>
      <c r="AB127" s="6"/>
      <c r="AC127" s="6"/>
      <c r="AD127" s="6"/>
      <c r="AE127" s="6"/>
      <c r="AF127" s="6"/>
      <c r="AG127" s="6"/>
      <c r="AH127" s="6"/>
      <c r="AI127" s="6"/>
      <c r="AJ127" s="6"/>
      <c r="AK127" s="6"/>
      <c r="AL127" s="6"/>
    </row>
    <row r="128" spans="1:38">
      <c r="A128" s="96">
        <f ca="1">IFERROR(__xludf.DUMMYFUNCTION("""COMPUTED_VALUE"""),44167)</f>
        <v>44167</v>
      </c>
      <c r="B128" s="6" t="str">
        <f ca="1">IFERROR(__xludf.DUMMYFUNCTION("""COMPUTED_VALUE"""),"Padmashree")</f>
        <v>Padmashree</v>
      </c>
      <c r="C128" s="6" t="str">
        <f ca="1">IFERROR(__xludf.DUMMYFUNCTION("""COMPUTED_VALUE"""),"padmashree85@gmail.com")</f>
        <v>padmashree85@gmail.com</v>
      </c>
      <c r="D128" s="6">
        <f ca="1">IFERROR(__xludf.DUMMYFUNCTION("""COMPUTED_VALUE"""),9844577882)</f>
        <v>9844577882</v>
      </c>
      <c r="E128" s="6" t="str">
        <f ca="1">IFERROR(__xludf.DUMMYFUNCTION("""COMPUTED_VALUE"""),"course preview")</f>
        <v>course preview</v>
      </c>
      <c r="F128" s="6" t="str">
        <f ca="1">IFERROR(__xludf.DUMMYFUNCTION("""COMPUTED_VALUE"""),"CSM")</f>
        <v>CSM</v>
      </c>
      <c r="G128" s="80">
        <f ca="1">IFERROR(__xludf.DUMMYFUNCTION("""COMPUTED_VALUE"""),44166)</f>
        <v>44166</v>
      </c>
      <c r="H128" s="6" t="str">
        <f ca="1">IFERROR(__xludf.DUMMYFUNCTION("""COMPUTED_VALUE"""),"Opportunity")</f>
        <v>Opportunity</v>
      </c>
      <c r="I128" s="6" t="str">
        <f ca="1">IFERROR(__xludf.DUMMYFUNCTION("""COMPUTED_VALUE"""),"DK")</f>
        <v>DK</v>
      </c>
      <c r="J128" s="6">
        <f ca="1">IFERROR(__xludf.DUMMYFUNCTION("""COMPUTED_VALUE"""),1)</f>
        <v>1</v>
      </c>
      <c r="K128" s="8">
        <f ca="1">IFERROR(__xludf.DUMMYFUNCTION("""COMPUTED_VALUE"""),20000)</f>
        <v>20000</v>
      </c>
      <c r="L128" s="8">
        <f ca="1">IFERROR(__xludf.DUMMYFUNCTION("""COMPUTED_VALUE"""),229.042601923957)</f>
        <v>229.04260192395699</v>
      </c>
      <c r="M128" s="96"/>
      <c r="N128" s="6"/>
      <c r="O128" s="97"/>
      <c r="P128" s="6"/>
      <c r="Q128" s="6"/>
      <c r="R128" s="6"/>
      <c r="S128" s="6" t="str">
        <f ca="1">IFERROR(__xludf.DUMMYFUNCTION("""COMPUTED_VALUE"""),"Category")</f>
        <v>Category</v>
      </c>
      <c r="T128" s="6"/>
      <c r="U128" s="6"/>
      <c r="V128" s="6"/>
      <c r="W128" s="6"/>
      <c r="X128" s="6"/>
      <c r="Y128" s="6"/>
      <c r="Z128" s="6"/>
      <c r="AA128" s="6"/>
      <c r="AB128" s="6"/>
      <c r="AC128" s="6"/>
      <c r="AD128" s="6"/>
      <c r="AE128" s="6"/>
      <c r="AF128" s="6"/>
      <c r="AG128" s="6"/>
      <c r="AH128" s="6"/>
      <c r="AI128" s="6"/>
      <c r="AJ128" s="6"/>
      <c r="AK128" s="6"/>
      <c r="AL128" s="6"/>
    </row>
    <row r="129" spans="1:38">
      <c r="A129" s="96">
        <f ca="1">IFERROR(__xludf.DUMMYFUNCTION("""COMPUTED_VALUE"""),44183)</f>
        <v>44183</v>
      </c>
      <c r="B129" s="6" t="str">
        <f ca="1">IFERROR(__xludf.DUMMYFUNCTION("""COMPUTED_VALUE"""),"Spurthi")</f>
        <v>Spurthi</v>
      </c>
      <c r="C129" s="6" t="str">
        <f ca="1">IFERROR(__xludf.DUMMYFUNCTION("""COMPUTED_VALUE"""),"spuport@gmail.com")</f>
        <v>spuport@gmail.com</v>
      </c>
      <c r="D129" s="6">
        <f ca="1">IFERROR(__xludf.DUMMYFUNCTION("""COMPUTED_VALUE"""),9966689211)</f>
        <v>9966689211</v>
      </c>
      <c r="E129" s="6" t="str">
        <f ca="1">IFERROR(__xludf.DUMMYFUNCTION("""COMPUTED_VALUE"""),"course preview")</f>
        <v>course preview</v>
      </c>
      <c r="F129" s="6" t="str">
        <f ca="1">IFERROR(__xludf.DUMMYFUNCTION("""COMPUTED_VALUE"""),"CSM")</f>
        <v>CSM</v>
      </c>
      <c r="G129" s="80">
        <f ca="1">IFERROR(__xludf.DUMMYFUNCTION("""COMPUTED_VALUE"""),44166)</f>
        <v>44166</v>
      </c>
      <c r="H129" s="6" t="str">
        <f ca="1">IFERROR(__xludf.DUMMYFUNCTION("""COMPUTED_VALUE"""),"Opportunity")</f>
        <v>Opportunity</v>
      </c>
      <c r="I129" s="6" t="str">
        <f ca="1">IFERROR(__xludf.DUMMYFUNCTION("""COMPUTED_VALUE"""),"DK")</f>
        <v>DK</v>
      </c>
      <c r="J129" s="6">
        <f ca="1">IFERROR(__xludf.DUMMYFUNCTION("""COMPUTED_VALUE"""),1)</f>
        <v>1</v>
      </c>
      <c r="K129" s="8">
        <f ca="1">IFERROR(__xludf.DUMMYFUNCTION("""COMPUTED_VALUE"""),21000)</f>
        <v>21000</v>
      </c>
      <c r="L129" s="8">
        <f ca="1">IFERROR(__xludf.DUMMYFUNCTION("""COMPUTED_VALUE"""),240.494732020155)</f>
        <v>240.494732020155</v>
      </c>
      <c r="M129" s="96"/>
      <c r="N129" s="6"/>
      <c r="O129" s="97"/>
      <c r="P129" s="6"/>
      <c r="Q129" s="6"/>
      <c r="R129" s="6"/>
      <c r="S129" s="6" t="str">
        <f ca="1">IFERROR(__xludf.DUMMYFUNCTION("""COMPUTED_VALUE"""),"Category")</f>
        <v>Category</v>
      </c>
      <c r="T129" s="6"/>
      <c r="U129" s="6"/>
      <c r="V129" s="6"/>
      <c r="W129" s="6"/>
      <c r="X129" s="6"/>
      <c r="Y129" s="6"/>
      <c r="Z129" s="6"/>
      <c r="AA129" s="6"/>
      <c r="AB129" s="6"/>
      <c r="AC129" s="6"/>
      <c r="AD129" s="6"/>
      <c r="AE129" s="6"/>
      <c r="AF129" s="6"/>
      <c r="AG129" s="6"/>
      <c r="AH129" s="6"/>
      <c r="AI129" s="6"/>
      <c r="AJ129" s="6"/>
      <c r="AK129" s="6"/>
      <c r="AL129" s="6"/>
    </row>
    <row r="130" spans="1:38">
      <c r="A130" s="96">
        <f ca="1">IFERROR(__xludf.DUMMYFUNCTION("""COMPUTED_VALUE"""),44155)</f>
        <v>44155</v>
      </c>
      <c r="B130" s="6" t="str">
        <f ca="1">IFERROR(__xludf.DUMMYFUNCTION("""COMPUTED_VALUE"""),"Rupesh")</f>
        <v>Rupesh</v>
      </c>
      <c r="C130" s="6" t="str">
        <f ca="1">IFERROR(__xludf.DUMMYFUNCTION("""COMPUTED_VALUE"""),"dukerupesh@gmail.com")</f>
        <v>dukerupesh@gmail.com</v>
      </c>
      <c r="D130" s="6">
        <f ca="1">IFERROR(__xludf.DUMMYFUNCTION("""COMPUTED_VALUE"""),8095085848)</f>
        <v>8095085848</v>
      </c>
      <c r="E130" s="6"/>
      <c r="F130" s="6" t="str">
        <f ca="1">IFERROR(__xludf.DUMMYFUNCTION("""COMPUTED_VALUE"""),"CSM")</f>
        <v>CSM</v>
      </c>
      <c r="G130" s="80">
        <f ca="1">IFERROR(__xludf.DUMMYFUNCTION("""COMPUTED_VALUE"""),44166)</f>
        <v>44166</v>
      </c>
      <c r="H130" s="6" t="str">
        <f ca="1">IFERROR(__xludf.DUMMYFUNCTION("""COMPUTED_VALUE"""),"Lost")</f>
        <v>Lost</v>
      </c>
      <c r="I130" s="6" t="str">
        <f ca="1">IFERROR(__xludf.DUMMYFUNCTION("""COMPUTED_VALUE"""),"Dk")</f>
        <v>Dk</v>
      </c>
      <c r="J130" s="6">
        <f ca="1">IFERROR(__xludf.DUMMYFUNCTION("""COMPUTED_VALUE"""),1)</f>
        <v>1</v>
      </c>
      <c r="K130" s="8">
        <f ca="1">IFERROR(__xludf.DUMMYFUNCTION("""COMPUTED_VALUE"""),20000)</f>
        <v>20000</v>
      </c>
      <c r="L130" s="8">
        <f ca="1">IFERROR(__xludf.DUMMYFUNCTION("""COMPUTED_VALUE"""),229.042601923957)</f>
        <v>229.04260192395699</v>
      </c>
      <c r="M130" s="96"/>
      <c r="N130" s="6"/>
      <c r="O130" s="97"/>
      <c r="P130" s="6"/>
      <c r="Q130" s="6"/>
      <c r="R130" s="6"/>
      <c r="S130" s="6" t="str">
        <f ca="1">IFERROR(__xludf.DUMMYFUNCTION("""COMPUTED_VALUE"""),"Category")</f>
        <v>Category</v>
      </c>
      <c r="T130" s="6"/>
      <c r="U130" s="6"/>
      <c r="V130" s="6"/>
      <c r="W130" s="6"/>
      <c r="X130" s="6"/>
      <c r="Y130" s="6"/>
      <c r="Z130" s="6"/>
      <c r="AA130" s="6"/>
      <c r="AB130" s="6"/>
      <c r="AC130" s="6"/>
      <c r="AD130" s="6"/>
      <c r="AE130" s="6"/>
      <c r="AF130" s="6"/>
      <c r="AG130" s="6"/>
      <c r="AH130" s="6"/>
      <c r="AI130" s="6"/>
      <c r="AJ130" s="6"/>
      <c r="AK130" s="6"/>
      <c r="AL130" s="6"/>
    </row>
    <row r="131" spans="1:38">
      <c r="A131" s="96">
        <f ca="1">IFERROR(__xludf.DUMMYFUNCTION("""COMPUTED_VALUE"""),44202)</f>
        <v>44202</v>
      </c>
      <c r="B131" s="6" t="str">
        <f ca="1">IFERROR(__xludf.DUMMYFUNCTION("""COMPUTED_VALUE"""),"Vignesh")</f>
        <v>Vignesh</v>
      </c>
      <c r="C131" s="6" t="str">
        <f ca="1">IFERROR(__xludf.DUMMYFUNCTION("""COMPUTED_VALUE"""),"vigneshmstm@gmail.com")</f>
        <v>vigneshmstm@gmail.com</v>
      </c>
      <c r="D131" s="6">
        <f ca="1">IFERROR(__xludf.DUMMYFUNCTION("""COMPUTED_VALUE"""),9500348633)</f>
        <v>9500348633</v>
      </c>
      <c r="E131" s="6" t="str">
        <f ca="1">IFERROR(__xludf.DUMMYFUNCTION("""COMPUTED_VALUE"""),"Tollfree")</f>
        <v>Tollfree</v>
      </c>
      <c r="F131" s="6" t="str">
        <f ca="1">IFERROR(__xludf.DUMMYFUNCTION("""COMPUTED_VALUE"""),"CSM")</f>
        <v>CSM</v>
      </c>
      <c r="G131" s="80">
        <f ca="1">IFERROR(__xludf.DUMMYFUNCTION("""COMPUTED_VALUE"""),44197)</f>
        <v>44197</v>
      </c>
      <c r="H131" s="6" t="str">
        <f ca="1">IFERROR(__xludf.DUMMYFUNCTION("""COMPUTED_VALUE"""),"Won")</f>
        <v>Won</v>
      </c>
      <c r="I131" s="6" t="str">
        <f ca="1">IFERROR(__xludf.DUMMYFUNCTION("""COMPUTED_VALUE"""),"16-17 Jan 2021")</f>
        <v>16-17 Jan 2021</v>
      </c>
      <c r="J131" s="6">
        <f ca="1">IFERROR(__xludf.DUMMYFUNCTION("""COMPUTED_VALUE"""),1)</f>
        <v>1</v>
      </c>
      <c r="K131" s="8">
        <f ca="1">IFERROR(__xludf.DUMMYFUNCTION("""COMPUTED_VALUE"""),21500)</f>
        <v>21500</v>
      </c>
      <c r="L131" s="8">
        <f ca="1">IFERROR(__xludf.DUMMYFUNCTION("""COMPUTED_VALUE"""),246.220797068254)</f>
        <v>246.220797068254</v>
      </c>
      <c r="M131" s="96">
        <f ca="1">IFERROR(__xludf.DUMMYFUNCTION("""COMPUTED_VALUE"""),44202)</f>
        <v>44202</v>
      </c>
      <c r="N131" s="6" t="str">
        <f ca="1">IFERROR(__xludf.DUMMYFUNCTION("""COMPUTED_VALUE"""),"W1")</f>
        <v>W1</v>
      </c>
      <c r="O131" s="97">
        <f ca="1">IFERROR(__xludf.DUMMYFUNCTION("""COMPUTED_VALUE"""),44202)</f>
        <v>44202</v>
      </c>
      <c r="P131" s="6" t="str">
        <f ca="1">IFERROR(__xludf.DUMMYFUNCTION("""COMPUTED_VALUE"""),"CSTM_EM6CPL0ZCJ6")</f>
        <v>CSTM_EM6CPL0ZCJ6</v>
      </c>
      <c r="Q131" s="6"/>
      <c r="R131" s="6" t="str">
        <f ca="1">IFERROR(__xludf.DUMMYFUNCTION("""COMPUTED_VALUE"""),"Pending")</f>
        <v>Pending</v>
      </c>
      <c r="S131" s="6" t="str">
        <f ca="1">IFERROR(__xludf.DUMMYFUNCTION("""COMPUTED_VALUE"""),"Category")</f>
        <v>Category</v>
      </c>
      <c r="T131" s="6"/>
      <c r="U131" s="6"/>
      <c r="V131" s="6"/>
      <c r="W131" s="6"/>
      <c r="X131" s="6"/>
      <c r="Y131" s="6"/>
      <c r="Z131" s="6"/>
      <c r="AA131" s="6"/>
      <c r="AB131" s="6"/>
      <c r="AC131" s="6"/>
      <c r="AD131" s="6"/>
      <c r="AE131" s="6"/>
      <c r="AF131" s="6"/>
      <c r="AG131" s="6"/>
      <c r="AH131" s="6"/>
      <c r="AI131" s="6"/>
      <c r="AJ131" s="6"/>
      <c r="AK131" s="6"/>
      <c r="AL131" s="6"/>
    </row>
    <row r="132" spans="1:38">
      <c r="A132" s="96">
        <f ca="1">IFERROR(__xludf.DUMMYFUNCTION("""COMPUTED_VALUE"""),44181)</f>
        <v>44181</v>
      </c>
      <c r="B132" s="6" t="str">
        <f ca="1">IFERROR(__xludf.DUMMYFUNCTION("""COMPUTED_VALUE"""),"Diksha Singh")</f>
        <v>Diksha Singh</v>
      </c>
      <c r="C132" s="6" t="str">
        <f ca="1">IFERROR(__xludf.DUMMYFUNCTION("""COMPUTED_VALUE"""),"singh.diksha636@gmail.com")</f>
        <v>singh.diksha636@gmail.com</v>
      </c>
      <c r="D132" s="6">
        <f ca="1">IFERROR(__xludf.DUMMYFUNCTION("""COMPUTED_VALUE"""),8337023601)</f>
        <v>8337023601</v>
      </c>
      <c r="E132" s="6" t="str">
        <f ca="1">IFERROR(__xludf.DUMMYFUNCTION("""COMPUTED_VALUE"""),"Chat_triggered")</f>
        <v>Chat_triggered</v>
      </c>
      <c r="F132" s="6" t="str">
        <f ca="1">IFERROR(__xludf.DUMMYFUNCTION("""COMPUTED_VALUE"""),"ASM")</f>
        <v>ASM</v>
      </c>
      <c r="G132" s="80">
        <f ca="1">IFERROR(__xludf.DUMMYFUNCTION("""COMPUTED_VALUE"""),44166)</f>
        <v>44166</v>
      </c>
      <c r="H132" s="6" t="str">
        <f ca="1">IFERROR(__xludf.DUMMYFUNCTION("""COMPUTED_VALUE"""),"Opportunity")</f>
        <v>Opportunity</v>
      </c>
      <c r="I132" s="6" t="str">
        <f ca="1">IFERROR(__xludf.DUMMYFUNCTION("""COMPUTED_VALUE"""),"DK")</f>
        <v>DK</v>
      </c>
      <c r="J132" s="6">
        <f ca="1">IFERROR(__xludf.DUMMYFUNCTION("""COMPUTED_VALUE"""),1)</f>
        <v>1</v>
      </c>
      <c r="K132" s="8">
        <f ca="1">IFERROR(__xludf.DUMMYFUNCTION("""COMPUTED_VALUE"""),27138)</f>
        <v>27138</v>
      </c>
      <c r="L132" s="8">
        <f ca="1">IFERROR(__xludf.DUMMYFUNCTION("""COMPUTED_VALUE"""),310.787906550618)</f>
        <v>310.787906550618</v>
      </c>
      <c r="M132" s="96"/>
      <c r="N132" s="6"/>
      <c r="O132" s="97"/>
      <c r="P132" s="6"/>
      <c r="Q132" s="6"/>
      <c r="R132" s="6"/>
      <c r="S132" s="6" t="str">
        <f ca="1">IFERROR(__xludf.DUMMYFUNCTION("""COMPUTED_VALUE"""),"NonCategory")</f>
        <v>NonCategory</v>
      </c>
      <c r="T132" s="6"/>
      <c r="U132" s="6"/>
      <c r="V132" s="6"/>
      <c r="W132" s="6"/>
      <c r="X132" s="6"/>
      <c r="Y132" s="6"/>
      <c r="Z132" s="6"/>
      <c r="AA132" s="6"/>
      <c r="AB132" s="6"/>
      <c r="AC132" s="6"/>
      <c r="AD132" s="6"/>
      <c r="AE132" s="6"/>
      <c r="AF132" s="6"/>
      <c r="AG132" s="6"/>
      <c r="AH132" s="6"/>
      <c r="AI132" s="6"/>
      <c r="AJ132" s="6"/>
      <c r="AK132" s="6"/>
      <c r="AL132" s="6"/>
    </row>
    <row r="133" spans="1:38">
      <c r="A133" s="96">
        <f ca="1">IFERROR(__xludf.DUMMYFUNCTION("""COMPUTED_VALUE"""),44177)</f>
        <v>44177</v>
      </c>
      <c r="B133" s="6" t="str">
        <f ca="1">IFERROR(__xludf.DUMMYFUNCTION("""COMPUTED_VALUE"""),"Gaurav Dudgikar")</f>
        <v>Gaurav Dudgikar</v>
      </c>
      <c r="C133" s="6" t="str">
        <f ca="1">IFERROR(__xludf.DUMMYFUNCTION("""COMPUTED_VALUE"""),"gaurav.dudgikar@gmail.com")</f>
        <v>gaurav.dudgikar@gmail.com</v>
      </c>
      <c r="D133" s="6">
        <f ca="1">IFERROR(__xludf.DUMMYFUNCTION("""COMPUTED_VALUE"""),9960109222)</f>
        <v>9960109222</v>
      </c>
      <c r="E133" s="6" t="str">
        <f ca="1">IFERROR(__xludf.DUMMYFUNCTION("""COMPUTED_VALUE"""),"course preview")</f>
        <v>course preview</v>
      </c>
      <c r="F133" s="6" t="str">
        <f ca="1">IFERROR(__xludf.DUMMYFUNCTION("""COMPUTED_VALUE"""),"CSM")</f>
        <v>CSM</v>
      </c>
      <c r="G133" s="80">
        <f ca="1">IFERROR(__xludf.DUMMYFUNCTION("""COMPUTED_VALUE"""),44166)</f>
        <v>44166</v>
      </c>
      <c r="H133" s="6" t="str">
        <f ca="1">IFERROR(__xludf.DUMMYFUNCTION("""COMPUTED_VALUE"""),"Lost")</f>
        <v>Lost</v>
      </c>
      <c r="I133" s="6" t="str">
        <f ca="1">IFERROR(__xludf.DUMMYFUNCTION("""COMPUTED_VALUE"""),"DK")</f>
        <v>DK</v>
      </c>
      <c r="J133" s="6">
        <f ca="1">IFERROR(__xludf.DUMMYFUNCTION("""COMPUTED_VALUE"""),1)</f>
        <v>1</v>
      </c>
      <c r="K133" s="8">
        <f ca="1">IFERROR(__xludf.DUMMYFUNCTION("""COMPUTED_VALUE"""),20000)</f>
        <v>20000</v>
      </c>
      <c r="L133" s="8">
        <f ca="1">IFERROR(__xludf.DUMMYFUNCTION("""COMPUTED_VALUE"""),229.042601923957)</f>
        <v>229.04260192395699</v>
      </c>
      <c r="M133" s="96"/>
      <c r="N133" s="6"/>
      <c r="O133" s="97"/>
      <c r="P133" s="6"/>
      <c r="Q133" s="6"/>
      <c r="R133" s="6"/>
      <c r="S133" s="6" t="str">
        <f ca="1">IFERROR(__xludf.DUMMYFUNCTION("""COMPUTED_VALUE"""),"Category")</f>
        <v>Category</v>
      </c>
      <c r="T133" s="6"/>
      <c r="U133" s="6"/>
      <c r="V133" s="6"/>
      <c r="W133" s="6"/>
      <c r="X133" s="6"/>
      <c r="Y133" s="6"/>
      <c r="Z133" s="6"/>
      <c r="AA133" s="6"/>
      <c r="AB133" s="6"/>
      <c r="AC133" s="6"/>
      <c r="AD133" s="6"/>
      <c r="AE133" s="6"/>
      <c r="AF133" s="6"/>
      <c r="AG133" s="6"/>
      <c r="AH133" s="6"/>
      <c r="AI133" s="6"/>
      <c r="AJ133" s="6"/>
      <c r="AK133" s="6"/>
      <c r="AL133" s="6"/>
    </row>
    <row r="134" spans="1:38">
      <c r="A134" s="96">
        <f ca="1">IFERROR(__xludf.DUMMYFUNCTION("""COMPUTED_VALUE"""),44172)</f>
        <v>44172</v>
      </c>
      <c r="B134" s="6" t="str">
        <f ca="1">IFERROR(__xludf.DUMMYFUNCTION("""COMPUTED_VALUE"""),"Shiva")</f>
        <v>Shiva</v>
      </c>
      <c r="C134" s="6" t="str">
        <f ca="1">IFERROR(__xludf.DUMMYFUNCTION("""COMPUTED_VALUE"""),"shivamupasane@yahoo.com")</f>
        <v>shivamupasane@yahoo.com</v>
      </c>
      <c r="D134" s="6">
        <f ca="1">IFERROR(__xludf.DUMMYFUNCTION("""COMPUTED_VALUE"""),7587110640)</f>
        <v>7587110640</v>
      </c>
      <c r="E134" s="6" t="str">
        <f ca="1">IFERROR(__xludf.DUMMYFUNCTION("""COMPUTED_VALUE"""),"fpt-paper")</f>
        <v>fpt-paper</v>
      </c>
      <c r="F134" s="6" t="str">
        <f ca="1">IFERROR(__xludf.DUMMYFUNCTION("""COMPUTED_VALUE"""),"ASM")</f>
        <v>ASM</v>
      </c>
      <c r="G134" s="80"/>
      <c r="H134" s="6" t="str">
        <f ca="1">IFERROR(__xludf.DUMMYFUNCTION("""COMPUTED_VALUE"""),"Opportunity")</f>
        <v>Opportunity</v>
      </c>
      <c r="I134" s="6" t="str">
        <f ca="1">IFERROR(__xludf.DUMMYFUNCTION("""COMPUTED_VALUE"""),"DK")</f>
        <v>DK</v>
      </c>
      <c r="J134" s="6">
        <f ca="1">IFERROR(__xludf.DUMMYFUNCTION("""COMPUTED_VALUE"""),1)</f>
        <v>1</v>
      </c>
      <c r="K134" s="8">
        <f ca="1">IFERROR(__xludf.DUMMYFUNCTION("""COMPUTED_VALUE"""),22000)</f>
        <v>22000</v>
      </c>
      <c r="L134" s="8">
        <f ca="1">IFERROR(__xludf.DUMMYFUNCTION("""COMPUTED_VALUE"""),251.946862116353)</f>
        <v>251.946862116353</v>
      </c>
      <c r="M134" s="96"/>
      <c r="N134" s="6"/>
      <c r="O134" s="97"/>
      <c r="P134" s="6"/>
      <c r="Q134" s="6"/>
      <c r="R134" s="6"/>
      <c r="S134" s="6" t="str">
        <f ca="1">IFERROR(__xludf.DUMMYFUNCTION("""COMPUTED_VALUE"""),"NonCategory")</f>
        <v>NonCategory</v>
      </c>
      <c r="T134" s="6"/>
      <c r="U134" s="6"/>
      <c r="V134" s="6"/>
      <c r="W134" s="6"/>
      <c r="X134" s="6"/>
      <c r="Y134" s="6"/>
      <c r="Z134" s="6"/>
      <c r="AA134" s="6"/>
      <c r="AB134" s="6"/>
      <c r="AC134" s="6"/>
      <c r="AD134" s="6"/>
      <c r="AE134" s="6"/>
      <c r="AF134" s="6"/>
      <c r="AG134" s="6"/>
      <c r="AH134" s="6"/>
      <c r="AI134" s="6"/>
      <c r="AJ134" s="6"/>
      <c r="AK134" s="6"/>
      <c r="AL134" s="6"/>
    </row>
    <row r="135" spans="1:38">
      <c r="A135" s="96">
        <f ca="1">IFERROR(__xludf.DUMMYFUNCTION("""COMPUTED_VALUE"""),44162)</f>
        <v>44162</v>
      </c>
      <c r="B135" s="6" t="str">
        <f ca="1">IFERROR(__xludf.DUMMYFUNCTION("""COMPUTED_VALUE"""),"Kamal Thakur")</f>
        <v>Kamal Thakur</v>
      </c>
      <c r="C135" s="6" t="str">
        <f ca="1">IFERROR(__xludf.DUMMYFUNCTION("""COMPUTED_VALUE"""),"kamalthakur2305@gmail.com")</f>
        <v>kamalthakur2305@gmail.com</v>
      </c>
      <c r="D135" s="6">
        <f ca="1">IFERROR(__xludf.DUMMYFUNCTION("""COMPUTED_VALUE"""),9888212537)</f>
        <v>9888212537</v>
      </c>
      <c r="E135" s="6" t="str">
        <f ca="1">IFERROR(__xludf.DUMMYFUNCTION("""COMPUTED_VALUE"""),"Chat_triggered")</f>
        <v>Chat_triggered</v>
      </c>
      <c r="F135" s="6" t="str">
        <f ca="1">IFERROR(__xludf.DUMMYFUNCTION("""COMPUTED_VALUE"""),"CSM")</f>
        <v>CSM</v>
      </c>
      <c r="G135" s="80"/>
      <c r="H135" s="6" t="str">
        <f ca="1">IFERROR(__xludf.DUMMYFUNCTION("""COMPUTED_VALUE"""),"Opportunity")</f>
        <v>Opportunity</v>
      </c>
      <c r="I135" s="6" t="str">
        <f ca="1">IFERROR(__xludf.DUMMYFUNCTION("""COMPUTED_VALUE"""),"DK")</f>
        <v>DK</v>
      </c>
      <c r="J135" s="6">
        <f ca="1">IFERROR(__xludf.DUMMYFUNCTION("""COMPUTED_VALUE"""),1)</f>
        <v>1</v>
      </c>
      <c r="K135" s="8">
        <f ca="1">IFERROR(__xludf.DUMMYFUNCTION("""COMPUTED_VALUE"""),21000)</f>
        <v>21000</v>
      </c>
      <c r="L135" s="8">
        <f ca="1">IFERROR(__xludf.DUMMYFUNCTION("""COMPUTED_VALUE"""),240.494732020155)</f>
        <v>240.494732020155</v>
      </c>
      <c r="M135" s="96"/>
      <c r="N135" s="6"/>
      <c r="O135" s="97"/>
      <c r="P135" s="6"/>
      <c r="Q135" s="6"/>
      <c r="R135" s="6"/>
      <c r="S135" s="6" t="str">
        <f ca="1">IFERROR(__xludf.DUMMYFUNCTION("""COMPUTED_VALUE"""),"Category")</f>
        <v>Category</v>
      </c>
      <c r="T135" s="6"/>
      <c r="U135" s="6"/>
      <c r="V135" s="6"/>
      <c r="W135" s="6"/>
      <c r="X135" s="6"/>
      <c r="Y135" s="6"/>
      <c r="Z135" s="6"/>
      <c r="AA135" s="6"/>
      <c r="AB135" s="6"/>
      <c r="AC135" s="6"/>
      <c r="AD135" s="6"/>
      <c r="AE135" s="6"/>
      <c r="AF135" s="6"/>
      <c r="AG135" s="6"/>
      <c r="AH135" s="6"/>
      <c r="AI135" s="6"/>
      <c r="AJ135" s="6"/>
      <c r="AK135" s="6"/>
      <c r="AL135" s="6"/>
    </row>
    <row r="136" spans="1:38">
      <c r="A136" s="96">
        <f ca="1">IFERROR(__xludf.DUMMYFUNCTION("""COMPUTED_VALUE"""),44203)</f>
        <v>44203</v>
      </c>
      <c r="B136" s="6" t="str">
        <f ca="1">IFERROR(__xludf.DUMMYFUNCTION("""COMPUTED_VALUE"""),"Ojas")</f>
        <v>Ojas</v>
      </c>
      <c r="C136" s="6" t="str">
        <f ca="1">IFERROR(__xludf.DUMMYFUNCTION("""COMPUTED_VALUE"""),"ojas54321@gmail.com")</f>
        <v>ojas54321@gmail.com</v>
      </c>
      <c r="D136" s="6">
        <f ca="1">IFERROR(__xludf.DUMMYFUNCTION("""COMPUTED_VALUE"""),9880053421)</f>
        <v>9880053421</v>
      </c>
      <c r="E136" s="6" t="str">
        <f ca="1">IFERROR(__xludf.DUMMYFUNCTION("""COMPUTED_VALUE"""),"Tollfree")</f>
        <v>Tollfree</v>
      </c>
      <c r="F136" s="6" t="str">
        <f ca="1">IFERROR(__xludf.DUMMYFUNCTION("""COMPUTED_VALUE"""),"CSPO")</f>
        <v>CSPO</v>
      </c>
      <c r="G136" s="80">
        <f ca="1">IFERROR(__xludf.DUMMYFUNCTION("""COMPUTED_VALUE"""),44197)</f>
        <v>44197</v>
      </c>
      <c r="H136" s="6" t="str">
        <f ca="1">IFERROR(__xludf.DUMMYFUNCTION("""COMPUTED_VALUE"""),"Won")</f>
        <v>Won</v>
      </c>
      <c r="I136" s="6" t="str">
        <f ca="1">IFERROR(__xludf.DUMMYFUNCTION("""COMPUTED_VALUE"""),"30-31 Jan 2021")</f>
        <v>30-31 Jan 2021</v>
      </c>
      <c r="J136" s="6">
        <f ca="1">IFERROR(__xludf.DUMMYFUNCTION("""COMPUTED_VALUE"""),1)</f>
        <v>1</v>
      </c>
      <c r="K136" s="8">
        <f ca="1">IFERROR(__xludf.DUMMYFUNCTION("""COMPUTED_VALUE"""),22000)</f>
        <v>22000</v>
      </c>
      <c r="L136" s="8">
        <f ca="1">IFERROR(__xludf.DUMMYFUNCTION("""COMPUTED_VALUE"""),251.946862116353)</f>
        <v>251.946862116353</v>
      </c>
      <c r="M136" s="96">
        <f ca="1">IFERROR(__xludf.DUMMYFUNCTION("""COMPUTED_VALUE"""),44203)</f>
        <v>44203</v>
      </c>
      <c r="N136" s="6" t="str">
        <f ca="1">IFERROR(__xludf.DUMMYFUNCTION("""COMPUTED_VALUE"""),"W1")</f>
        <v>W1</v>
      </c>
      <c r="O136" s="97">
        <f ca="1">IFERROR(__xludf.DUMMYFUNCTION("""COMPUTED_VALUE"""),44203)</f>
        <v>44203</v>
      </c>
      <c r="P136" s="6" t="str">
        <f ca="1">IFERROR(__xludf.DUMMYFUNCTION("""COMPUTED_VALUE"""),"CSTM_D0T3IQZ3ETG")</f>
        <v>CSTM_D0T3IQZ3ETG</v>
      </c>
      <c r="Q136" s="6"/>
      <c r="R136" s="6" t="str">
        <f ca="1">IFERROR(__xludf.DUMMYFUNCTION("""COMPUTED_VALUE"""),"Pending")</f>
        <v>Pending</v>
      </c>
      <c r="S136" s="6" t="str">
        <f ca="1">IFERROR(__xludf.DUMMYFUNCTION("""COMPUTED_VALUE"""),"Category")</f>
        <v>Category</v>
      </c>
      <c r="T136" s="6"/>
      <c r="U136" s="6"/>
      <c r="V136" s="6"/>
      <c r="W136" s="6"/>
      <c r="X136" s="6"/>
      <c r="Y136" s="6"/>
      <c r="Z136" s="6"/>
      <c r="AA136" s="6"/>
      <c r="AB136" s="6"/>
      <c r="AC136" s="6"/>
      <c r="AD136" s="6"/>
      <c r="AE136" s="6"/>
      <c r="AF136" s="6"/>
      <c r="AG136" s="6"/>
      <c r="AH136" s="6"/>
      <c r="AI136" s="6"/>
      <c r="AJ136" s="6"/>
      <c r="AK136" s="6"/>
      <c r="AL136" s="6"/>
    </row>
    <row r="137" spans="1:38">
      <c r="A137" s="96">
        <f ca="1">IFERROR(__xludf.DUMMYFUNCTION("""COMPUTED_VALUE"""),44205)</f>
        <v>44205</v>
      </c>
      <c r="B137" s="6" t="str">
        <f ca="1">IFERROR(__xludf.DUMMYFUNCTION("""COMPUTED_VALUE"""),"Amit Shinde")</f>
        <v>Amit Shinde</v>
      </c>
      <c r="C137" s="6" t="str">
        <f ca="1">IFERROR(__xludf.DUMMYFUNCTION("""COMPUTED_VALUE"""),"shindeamit01@gmail.com")</f>
        <v>shindeamit01@gmail.com</v>
      </c>
      <c r="D137" s="6">
        <f ca="1">IFERROR(__xludf.DUMMYFUNCTION("""COMPUTED_VALUE"""),9820507614)</f>
        <v>9820507614</v>
      </c>
      <c r="E137" s="6" t="str">
        <f ca="1">IFERROR(__xludf.DUMMYFUNCTION("""COMPUTED_VALUE"""),"Chat_triggered")</f>
        <v>Chat_triggered</v>
      </c>
      <c r="F137" s="6" t="str">
        <f ca="1">IFERROR(__xludf.DUMMYFUNCTION("""COMPUTED_VALUE"""),"CSM")</f>
        <v>CSM</v>
      </c>
      <c r="G137" s="80">
        <f ca="1">IFERROR(__xludf.DUMMYFUNCTION("""COMPUTED_VALUE"""),44197)</f>
        <v>44197</v>
      </c>
      <c r="H137" s="6" t="str">
        <f ca="1">IFERROR(__xludf.DUMMYFUNCTION("""COMPUTED_VALUE"""),"Won")</f>
        <v>Won</v>
      </c>
      <c r="I137" s="6" t="str">
        <f ca="1">IFERROR(__xludf.DUMMYFUNCTION("""COMPUTED_VALUE"""),"23-24 Jan 2021")</f>
        <v>23-24 Jan 2021</v>
      </c>
      <c r="J137" s="6">
        <f ca="1">IFERROR(__xludf.DUMMYFUNCTION("""COMPUTED_VALUE"""),1)</f>
        <v>1</v>
      </c>
      <c r="K137" s="8">
        <f ca="1">IFERROR(__xludf.DUMMYFUNCTION("""COMPUTED_VALUE"""),20000)</f>
        <v>20000</v>
      </c>
      <c r="L137" s="8">
        <f ca="1">IFERROR(__xludf.DUMMYFUNCTION("""COMPUTED_VALUE"""),229.042601923957)</f>
        <v>229.04260192395699</v>
      </c>
      <c r="M137" s="96">
        <f ca="1">IFERROR(__xludf.DUMMYFUNCTION("""COMPUTED_VALUE"""),44205)</f>
        <v>44205</v>
      </c>
      <c r="N137" s="6" t="str">
        <f ca="1">IFERROR(__xludf.DUMMYFUNCTION("""COMPUTED_VALUE"""),"W1")</f>
        <v>W1</v>
      </c>
      <c r="O137" s="97">
        <f ca="1">IFERROR(__xludf.DUMMYFUNCTION("""COMPUTED_VALUE"""),44205)</f>
        <v>44205</v>
      </c>
      <c r="P137" s="6" t="str">
        <f ca="1">IFERROR(__xludf.DUMMYFUNCTION("""COMPUTED_VALUE"""),"CSTM_5JASVJVAK8W")</f>
        <v>CSTM_5JASVJVAK8W</v>
      </c>
      <c r="Q137" s="6"/>
      <c r="R137" s="6" t="str">
        <f ca="1">IFERROR(__xludf.DUMMYFUNCTION("""COMPUTED_VALUE"""),"Done. Good feedback.")</f>
        <v>Done. Good feedback.</v>
      </c>
      <c r="S137" s="6" t="str">
        <f ca="1">IFERROR(__xludf.DUMMYFUNCTION("""COMPUTED_VALUE"""),"Category")</f>
        <v>Category</v>
      </c>
      <c r="T137" s="6"/>
      <c r="U137" s="6"/>
      <c r="V137" s="6"/>
      <c r="W137" s="6"/>
      <c r="X137" s="6"/>
      <c r="Y137" s="6"/>
      <c r="Z137" s="6"/>
      <c r="AA137" s="6"/>
      <c r="AB137" s="6"/>
      <c r="AC137" s="6"/>
      <c r="AD137" s="6"/>
      <c r="AE137" s="6"/>
      <c r="AF137" s="6"/>
      <c r="AG137" s="6"/>
      <c r="AH137" s="6"/>
      <c r="AI137" s="6"/>
      <c r="AJ137" s="6"/>
      <c r="AK137" s="6"/>
      <c r="AL137" s="6"/>
    </row>
    <row r="138" spans="1:38">
      <c r="A138" s="96">
        <f ca="1">IFERROR(__xludf.DUMMYFUNCTION("""COMPUTED_VALUE"""),44156)</f>
        <v>44156</v>
      </c>
      <c r="B138" s="6" t="str">
        <f ca="1">IFERROR(__xludf.DUMMYFUNCTION("""COMPUTED_VALUE"""),"Ganpat Desai")</f>
        <v>Ganpat Desai</v>
      </c>
      <c r="C138" s="6" t="str">
        <f ca="1">IFERROR(__xludf.DUMMYFUNCTION("""COMPUTED_VALUE"""),"ganpat.desai@gmail.com")</f>
        <v>ganpat.desai@gmail.com</v>
      </c>
      <c r="D138" s="6">
        <f ca="1">IFERROR(__xludf.DUMMYFUNCTION("""COMPUTED_VALUE"""),9870419198)</f>
        <v>9870419198</v>
      </c>
      <c r="E138" s="6"/>
      <c r="F138" s="6" t="str">
        <f ca="1">IFERROR(__xludf.DUMMYFUNCTION("""COMPUTED_VALUE"""),"CSM")</f>
        <v>CSM</v>
      </c>
      <c r="G138" s="80"/>
      <c r="H138" s="6" t="str">
        <f ca="1">IFERROR(__xludf.DUMMYFUNCTION("""COMPUTED_VALUE"""),"Lost")</f>
        <v>Lost</v>
      </c>
      <c r="I138" s="6" t="str">
        <f ca="1">IFERROR(__xludf.DUMMYFUNCTION("""COMPUTED_VALUE"""),"DK")</f>
        <v>DK</v>
      </c>
      <c r="J138" s="6">
        <f ca="1">IFERROR(__xludf.DUMMYFUNCTION("""COMPUTED_VALUE"""),1)</f>
        <v>1</v>
      </c>
      <c r="K138" s="8">
        <f ca="1">IFERROR(__xludf.DUMMYFUNCTION("""COMPUTED_VALUE"""),20000)</f>
        <v>20000</v>
      </c>
      <c r="L138" s="8">
        <f ca="1">IFERROR(__xludf.DUMMYFUNCTION("""COMPUTED_VALUE"""),229.042601923957)</f>
        <v>229.04260192395699</v>
      </c>
      <c r="M138" s="96"/>
      <c r="N138" s="6"/>
      <c r="O138" s="97"/>
      <c r="P138" s="6"/>
      <c r="Q138" s="6"/>
      <c r="R138" s="6"/>
      <c r="S138" s="6" t="str">
        <f ca="1">IFERROR(__xludf.DUMMYFUNCTION("""COMPUTED_VALUE"""),"Category")</f>
        <v>Category</v>
      </c>
      <c r="T138" s="6"/>
      <c r="U138" s="6"/>
      <c r="V138" s="6"/>
      <c r="W138" s="6"/>
      <c r="X138" s="6"/>
      <c r="Y138" s="6"/>
      <c r="Z138" s="6"/>
      <c r="AA138" s="6"/>
      <c r="AB138" s="6"/>
      <c r="AC138" s="6"/>
      <c r="AD138" s="6"/>
      <c r="AE138" s="6"/>
      <c r="AF138" s="6"/>
      <c r="AG138" s="6"/>
      <c r="AH138" s="6"/>
      <c r="AI138" s="6"/>
      <c r="AJ138" s="6"/>
      <c r="AK138" s="6"/>
      <c r="AL138" s="6"/>
    </row>
    <row r="139" spans="1:38">
      <c r="A139" s="96">
        <f ca="1">IFERROR(__xludf.DUMMYFUNCTION("""COMPUTED_VALUE"""),44161)</f>
        <v>44161</v>
      </c>
      <c r="B139" s="6" t="str">
        <f ca="1">IFERROR(__xludf.DUMMYFUNCTION("""COMPUTED_VALUE"""),"Khushboo Tyagi")</f>
        <v>Khushboo Tyagi</v>
      </c>
      <c r="C139" s="6" t="str">
        <f ca="1">IFERROR(__xludf.DUMMYFUNCTION("""COMPUTED_VALUE"""),"tyagi.khushboo@gmail.com")</f>
        <v>tyagi.khushboo@gmail.com</v>
      </c>
      <c r="D139" s="6">
        <f ca="1">IFERROR(__xludf.DUMMYFUNCTION("""COMPUTED_VALUE"""),8968315831)</f>
        <v>8968315831</v>
      </c>
      <c r="E139" s="6" t="str">
        <f ca="1">IFERROR(__xludf.DUMMYFUNCTION("""COMPUTED_VALUE"""),"B2b_query_course_page")</f>
        <v>B2b_query_course_page</v>
      </c>
      <c r="F139" s="6" t="str">
        <f ca="1">IFERROR(__xludf.DUMMYFUNCTION("""COMPUTED_VALUE"""),"CSM")</f>
        <v>CSM</v>
      </c>
      <c r="G139" s="80"/>
      <c r="H139" s="6" t="str">
        <f ca="1">IFERROR(__xludf.DUMMYFUNCTION("""COMPUTED_VALUE"""),"Lost")</f>
        <v>Lost</v>
      </c>
      <c r="I139" s="6" t="str">
        <f ca="1">IFERROR(__xludf.DUMMYFUNCTION("""COMPUTED_VALUE"""),"DK")</f>
        <v>DK</v>
      </c>
      <c r="J139" s="6">
        <f ca="1">IFERROR(__xludf.DUMMYFUNCTION("""COMPUTED_VALUE"""),1)</f>
        <v>1</v>
      </c>
      <c r="K139" s="8">
        <f ca="1">IFERROR(__xludf.DUMMYFUNCTION("""COMPUTED_VALUE"""),20000)</f>
        <v>20000</v>
      </c>
      <c r="L139" s="8">
        <f ca="1">IFERROR(__xludf.DUMMYFUNCTION("""COMPUTED_VALUE"""),229.042601923957)</f>
        <v>229.04260192395699</v>
      </c>
      <c r="M139" s="96"/>
      <c r="N139" s="6"/>
      <c r="O139" s="97"/>
      <c r="P139" s="6"/>
      <c r="Q139" s="6"/>
      <c r="R139" s="6"/>
      <c r="S139" s="6" t="str">
        <f ca="1">IFERROR(__xludf.DUMMYFUNCTION("""COMPUTED_VALUE"""),"Category")</f>
        <v>Category</v>
      </c>
      <c r="T139" s="6"/>
      <c r="U139" s="6"/>
      <c r="V139" s="6"/>
      <c r="W139" s="6"/>
      <c r="X139" s="6"/>
      <c r="Y139" s="6"/>
      <c r="Z139" s="6"/>
      <c r="AA139" s="6"/>
      <c r="AB139" s="6"/>
      <c r="AC139" s="6"/>
      <c r="AD139" s="6"/>
      <c r="AE139" s="6"/>
      <c r="AF139" s="6"/>
      <c r="AG139" s="6"/>
      <c r="AH139" s="6"/>
      <c r="AI139" s="6"/>
      <c r="AJ139" s="6"/>
      <c r="AK139" s="6"/>
      <c r="AL139" s="6"/>
    </row>
    <row r="140" spans="1:38">
      <c r="A140" s="96">
        <f ca="1">IFERROR(__xludf.DUMMYFUNCTION("""COMPUTED_VALUE"""),44166)</f>
        <v>44166</v>
      </c>
      <c r="B140" s="6" t="str">
        <f ca="1">IFERROR(__xludf.DUMMYFUNCTION("""COMPUTED_VALUE"""),"Ashutosh Toshi")</f>
        <v>Ashutosh Toshi</v>
      </c>
      <c r="C140" s="6" t="str">
        <f ca="1">IFERROR(__xludf.DUMMYFUNCTION("""COMPUTED_VALUE"""),"ashutosh.toshi@gmail.com")</f>
        <v>ashutosh.toshi@gmail.com</v>
      </c>
      <c r="D140" s="6">
        <f ca="1">IFERROR(__xludf.DUMMYFUNCTION("""COMPUTED_VALUE"""),8806299788)</f>
        <v>8806299788</v>
      </c>
      <c r="E140" s="6" t="str">
        <f ca="1">IFERROR(__xludf.DUMMYFUNCTION("""COMPUTED_VALUE"""),"fpt-paper")</f>
        <v>fpt-paper</v>
      </c>
      <c r="F140" s="6" t="str">
        <f ca="1">IFERROR(__xludf.DUMMYFUNCTION("""COMPUTED_VALUE"""),"CSM/CSPO")</f>
        <v>CSM/CSPO</v>
      </c>
      <c r="G140" s="80"/>
      <c r="H140" s="6" t="str">
        <f ca="1">IFERROR(__xludf.DUMMYFUNCTION("""COMPUTED_VALUE"""),"Lost")</f>
        <v>Lost</v>
      </c>
      <c r="I140" s="6" t="str">
        <f ca="1">IFERROR(__xludf.DUMMYFUNCTION("""COMPUTED_VALUE"""),"DK")</f>
        <v>DK</v>
      </c>
      <c r="J140" s="6">
        <f ca="1">IFERROR(__xludf.DUMMYFUNCTION("""COMPUTED_VALUE"""),1)</f>
        <v>1</v>
      </c>
      <c r="K140" s="8">
        <f ca="1">IFERROR(__xludf.DUMMYFUNCTION("""COMPUTED_VALUE"""),22000)</f>
        <v>22000</v>
      </c>
      <c r="L140" s="8">
        <f ca="1">IFERROR(__xludf.DUMMYFUNCTION("""COMPUTED_VALUE"""),251.946862116353)</f>
        <v>251.946862116353</v>
      </c>
      <c r="M140" s="96"/>
      <c r="N140" s="6"/>
      <c r="O140" s="97"/>
      <c r="P140" s="6"/>
      <c r="Q140" s="6"/>
      <c r="R140" s="6"/>
      <c r="S140" s="6" t="str">
        <f ca="1">IFERROR(__xludf.DUMMYFUNCTION("""COMPUTED_VALUE"""),"NonCategory")</f>
        <v>NonCategory</v>
      </c>
      <c r="T140" s="6"/>
      <c r="U140" s="6"/>
      <c r="V140" s="6"/>
      <c r="W140" s="6"/>
      <c r="X140" s="6"/>
      <c r="Y140" s="6"/>
      <c r="Z140" s="6"/>
      <c r="AA140" s="6"/>
      <c r="AB140" s="6"/>
      <c r="AC140" s="6"/>
      <c r="AD140" s="6"/>
      <c r="AE140" s="6"/>
      <c r="AF140" s="6"/>
      <c r="AG140" s="6"/>
      <c r="AH140" s="6"/>
      <c r="AI140" s="6"/>
      <c r="AJ140" s="6"/>
      <c r="AK140" s="6"/>
      <c r="AL140" s="6"/>
    </row>
    <row r="141" spans="1:38">
      <c r="A141" s="96">
        <f ca="1">IFERROR(__xludf.DUMMYFUNCTION("""COMPUTED_VALUE"""),44205)</f>
        <v>44205</v>
      </c>
      <c r="B141" s="6" t="str">
        <f ca="1">IFERROR(__xludf.DUMMYFUNCTION("""COMPUTED_VALUE"""),"Apoorva Lakshman")</f>
        <v>Apoorva Lakshman</v>
      </c>
      <c r="C141" s="6" t="str">
        <f ca="1">IFERROR(__xludf.DUMMYFUNCTION("""COMPUTED_VALUE"""),"aps.lak@gmail.com")</f>
        <v>aps.lak@gmail.com</v>
      </c>
      <c r="D141" s="6">
        <f ca="1">IFERROR(__xludf.DUMMYFUNCTION("""COMPUTED_VALUE"""),9880451854)</f>
        <v>9880451854</v>
      </c>
      <c r="E141" s="6" t="str">
        <f ca="1">IFERROR(__xludf.DUMMYFUNCTION("""COMPUTED_VALUE"""),"chat_initiated")</f>
        <v>chat_initiated</v>
      </c>
      <c r="F141" s="6" t="str">
        <f ca="1">IFERROR(__xludf.DUMMYFUNCTION("""COMPUTED_VALUE"""),"CSM")</f>
        <v>CSM</v>
      </c>
      <c r="G141" s="80">
        <f ca="1">IFERROR(__xludf.DUMMYFUNCTION("""COMPUTED_VALUE"""),44197)</f>
        <v>44197</v>
      </c>
      <c r="H141" s="6" t="str">
        <f ca="1">IFERROR(__xludf.DUMMYFUNCTION("""COMPUTED_VALUE"""),"Won")</f>
        <v>Won</v>
      </c>
      <c r="I141" s="6" t="str">
        <f ca="1">IFERROR(__xludf.DUMMYFUNCTION("""COMPUTED_VALUE"""),"16-17 Jan 2021")</f>
        <v>16-17 Jan 2021</v>
      </c>
      <c r="J141" s="6">
        <f ca="1">IFERROR(__xludf.DUMMYFUNCTION("""COMPUTED_VALUE"""),1)</f>
        <v>1</v>
      </c>
      <c r="K141" s="8">
        <f ca="1">IFERROR(__xludf.DUMMYFUNCTION("""COMPUTED_VALUE"""),22500)</f>
        <v>22500</v>
      </c>
      <c r="L141" s="8">
        <f ca="1">IFERROR(__xludf.DUMMYFUNCTION("""COMPUTED_VALUE"""),257.672927164452)</f>
        <v>257.67292716445201</v>
      </c>
      <c r="M141" s="96">
        <f ca="1">IFERROR(__xludf.DUMMYFUNCTION("""COMPUTED_VALUE"""),44206)</f>
        <v>44206</v>
      </c>
      <c r="N141" s="6" t="str">
        <f ca="1">IFERROR(__xludf.DUMMYFUNCTION("""COMPUTED_VALUE"""),"W1")</f>
        <v>W1</v>
      </c>
      <c r="O141" s="97">
        <f ca="1">IFERROR(__xludf.DUMMYFUNCTION("""COMPUTED_VALUE"""),44206)</f>
        <v>44206</v>
      </c>
      <c r="P141" s="6" t="str">
        <f ca="1">IFERROR(__xludf.DUMMYFUNCTION("""COMPUTED_VALUE"""),"CSTM_9ERVMJ4RPDA")</f>
        <v>CSTM_9ERVMJ4RPDA</v>
      </c>
      <c r="Q141" s="6"/>
      <c r="R141" s="6" t="str">
        <f ca="1">IFERROR(__xludf.DUMMYFUNCTION("""COMPUTED_VALUE"""),"Pending")</f>
        <v>Pending</v>
      </c>
      <c r="S141" s="6" t="str">
        <f ca="1">IFERROR(__xludf.DUMMYFUNCTION("""COMPUTED_VALUE"""),"Category")</f>
        <v>Category</v>
      </c>
      <c r="T141" s="6"/>
      <c r="U141" s="6"/>
      <c r="V141" s="6"/>
      <c r="W141" s="6"/>
      <c r="X141" s="6"/>
      <c r="Y141" s="6"/>
      <c r="Z141" s="6"/>
      <c r="AA141" s="6"/>
      <c r="AB141" s="6"/>
      <c r="AC141" s="6"/>
      <c r="AD141" s="6"/>
      <c r="AE141" s="6"/>
      <c r="AF141" s="6"/>
      <c r="AG141" s="6"/>
      <c r="AH141" s="6"/>
      <c r="AI141" s="6"/>
      <c r="AJ141" s="6"/>
      <c r="AK141" s="6"/>
      <c r="AL141" s="6"/>
    </row>
    <row r="142" spans="1:38">
      <c r="A142" s="96">
        <f ca="1">IFERROR(__xludf.DUMMYFUNCTION("""COMPUTED_VALUE"""),44160)</f>
        <v>44160</v>
      </c>
      <c r="B142" s="6" t="str">
        <f ca="1">IFERROR(__xludf.DUMMYFUNCTION("""COMPUTED_VALUE"""),"Rahul Sharma")</f>
        <v>Rahul Sharma</v>
      </c>
      <c r="C142" s="6" t="str">
        <f ca="1">IFERROR(__xludf.DUMMYFUNCTION("""COMPUTED_VALUE"""),"rasharma@mobiquityinc.com")</f>
        <v>rasharma@mobiquityinc.com</v>
      </c>
      <c r="D142" s="6">
        <f ca="1">IFERROR(__xludf.DUMMYFUNCTION("""COMPUTED_VALUE"""),9998602002)</f>
        <v>9998602002</v>
      </c>
      <c r="E142" s="6"/>
      <c r="F142" s="6" t="str">
        <f ca="1">IFERROR(__xludf.DUMMYFUNCTION("""COMPUTED_VALUE"""),"CSM")</f>
        <v>CSM</v>
      </c>
      <c r="G142" s="80"/>
      <c r="H142" s="6" t="str">
        <f ca="1">IFERROR(__xludf.DUMMYFUNCTION("""COMPUTED_VALUE"""),"Lost")</f>
        <v>Lost</v>
      </c>
      <c r="I142" s="6" t="str">
        <f ca="1">IFERROR(__xludf.DUMMYFUNCTION("""COMPUTED_VALUE"""),"DK")</f>
        <v>DK</v>
      </c>
      <c r="J142" s="6">
        <f ca="1">IFERROR(__xludf.DUMMYFUNCTION("""COMPUTED_VALUE"""),1)</f>
        <v>1</v>
      </c>
      <c r="K142" s="8">
        <f ca="1">IFERROR(__xludf.DUMMYFUNCTION("""COMPUTED_VALUE"""),22000)</f>
        <v>22000</v>
      </c>
      <c r="L142" s="8">
        <f ca="1">IFERROR(__xludf.DUMMYFUNCTION("""COMPUTED_VALUE"""),251.946862116353)</f>
        <v>251.946862116353</v>
      </c>
      <c r="M142" s="96"/>
      <c r="N142" s="6"/>
      <c r="O142" s="97"/>
      <c r="P142" s="6"/>
      <c r="Q142" s="6"/>
      <c r="R142" s="6"/>
      <c r="S142" s="6" t="str">
        <f ca="1">IFERROR(__xludf.DUMMYFUNCTION("""COMPUTED_VALUE"""),"Category")</f>
        <v>Category</v>
      </c>
      <c r="T142" s="6"/>
      <c r="U142" s="6"/>
      <c r="V142" s="6"/>
      <c r="W142" s="6"/>
      <c r="X142" s="6"/>
      <c r="Y142" s="6"/>
      <c r="Z142" s="6"/>
      <c r="AA142" s="6"/>
      <c r="AB142" s="6"/>
      <c r="AC142" s="6"/>
      <c r="AD142" s="6"/>
      <c r="AE142" s="6"/>
      <c r="AF142" s="6"/>
      <c r="AG142" s="6"/>
      <c r="AH142" s="6"/>
      <c r="AI142" s="6"/>
      <c r="AJ142" s="6"/>
      <c r="AK142" s="6"/>
      <c r="AL142" s="6"/>
    </row>
    <row r="143" spans="1:38">
      <c r="A143" s="96">
        <f ca="1">IFERROR(__xludf.DUMMYFUNCTION("""COMPUTED_VALUE"""),44148)</f>
        <v>44148</v>
      </c>
      <c r="B143" s="6" t="str">
        <f ca="1">IFERROR(__xludf.DUMMYFUNCTION("""COMPUTED_VALUE"""),"Prince")</f>
        <v>Prince</v>
      </c>
      <c r="C143" s="6" t="str">
        <f ca="1">IFERROR(__xludf.DUMMYFUNCTION("""COMPUTED_VALUE"""),"ritzyenigma24@gmail.com")</f>
        <v>ritzyenigma24@gmail.com</v>
      </c>
      <c r="D143" s="6">
        <f ca="1">IFERROR(__xludf.DUMMYFUNCTION("""COMPUTED_VALUE"""),8050001976)</f>
        <v>8050001976</v>
      </c>
      <c r="E143" s="6"/>
      <c r="F143" s="6" t="str">
        <f ca="1">IFERROR(__xludf.DUMMYFUNCTION("""COMPUTED_VALUE"""),"CSPO")</f>
        <v>CSPO</v>
      </c>
      <c r="G143" s="80"/>
      <c r="H143" s="6" t="str">
        <f ca="1">IFERROR(__xludf.DUMMYFUNCTION("""COMPUTED_VALUE"""),"Lost")</f>
        <v>Lost</v>
      </c>
      <c r="I143" s="6" t="str">
        <f ca="1">IFERROR(__xludf.DUMMYFUNCTION("""COMPUTED_VALUE"""),"DK")</f>
        <v>DK</v>
      </c>
      <c r="J143" s="6">
        <f ca="1">IFERROR(__xludf.DUMMYFUNCTION("""COMPUTED_VALUE"""),1)</f>
        <v>1</v>
      </c>
      <c r="K143" s="8">
        <f ca="1">IFERROR(__xludf.DUMMYFUNCTION("""COMPUTED_VALUE"""),20000)</f>
        <v>20000</v>
      </c>
      <c r="L143" s="8">
        <f ca="1">IFERROR(__xludf.DUMMYFUNCTION("""COMPUTED_VALUE"""),229.042601923957)</f>
        <v>229.04260192395699</v>
      </c>
      <c r="M143" s="96"/>
      <c r="N143" s="6"/>
      <c r="O143" s="97"/>
      <c r="P143" s="6"/>
      <c r="Q143" s="6"/>
      <c r="R143" s="6"/>
      <c r="S143" s="6" t="str">
        <f ca="1">IFERROR(__xludf.DUMMYFUNCTION("""COMPUTED_VALUE"""),"Category")</f>
        <v>Category</v>
      </c>
      <c r="T143" s="6"/>
      <c r="U143" s="6"/>
      <c r="V143" s="6"/>
      <c r="W143" s="6"/>
      <c r="X143" s="6"/>
      <c r="Y143" s="6"/>
      <c r="Z143" s="6"/>
      <c r="AA143" s="6"/>
      <c r="AB143" s="6"/>
      <c r="AC143" s="6"/>
      <c r="AD143" s="6"/>
      <c r="AE143" s="6"/>
      <c r="AF143" s="6"/>
      <c r="AG143" s="6"/>
      <c r="AH143" s="6"/>
      <c r="AI143" s="6"/>
      <c r="AJ143" s="6"/>
      <c r="AK143" s="6"/>
      <c r="AL143" s="6"/>
    </row>
    <row r="144" spans="1:38">
      <c r="A144" s="96">
        <f ca="1">IFERROR(__xludf.DUMMYFUNCTION("""COMPUTED_VALUE"""),44207)</f>
        <v>44207</v>
      </c>
      <c r="B144" s="6" t="str">
        <f ca="1">IFERROR(__xludf.DUMMYFUNCTION("""COMPUTED_VALUE"""),"Uma Yegnya")</f>
        <v>Uma Yegnya</v>
      </c>
      <c r="C144" s="6" t="str">
        <f ca="1">IFERROR(__xludf.DUMMYFUNCTION("""COMPUTED_VALUE"""),"yegnyauma@gmail.com")</f>
        <v>yegnyauma@gmail.com</v>
      </c>
      <c r="D144" s="6">
        <f ca="1">IFERROR(__xludf.DUMMYFUNCTION("""COMPUTED_VALUE"""),9742754546)</f>
        <v>9742754546</v>
      </c>
      <c r="E144" s="6" t="str">
        <f ca="1">IFERROR(__xludf.DUMMYFUNCTION("""COMPUTED_VALUE"""),"Tollfree")</f>
        <v>Tollfree</v>
      </c>
      <c r="F144" s="6" t="str">
        <f ca="1">IFERROR(__xludf.DUMMYFUNCTION("""COMPUTED_VALUE"""),"CSM")</f>
        <v>CSM</v>
      </c>
      <c r="G144" s="80">
        <f ca="1">IFERROR(__xludf.DUMMYFUNCTION("""COMPUTED_VALUE"""),44197)</f>
        <v>44197</v>
      </c>
      <c r="H144" s="6" t="str">
        <f ca="1">IFERROR(__xludf.DUMMYFUNCTION("""COMPUTED_VALUE"""),"Won")</f>
        <v>Won</v>
      </c>
      <c r="I144" s="6" t="str">
        <f ca="1">IFERROR(__xludf.DUMMYFUNCTION("""COMPUTED_VALUE"""),"20-21 Feb 2021")</f>
        <v>20-21 Feb 2021</v>
      </c>
      <c r="J144" s="6">
        <f ca="1">IFERROR(__xludf.DUMMYFUNCTION("""COMPUTED_VALUE"""),1)</f>
        <v>1</v>
      </c>
      <c r="K144" s="8">
        <f ca="1">IFERROR(__xludf.DUMMYFUNCTION("""COMPUTED_VALUE"""),19000)</f>
        <v>19000</v>
      </c>
      <c r="L144" s="8">
        <f ca="1">IFERROR(__xludf.DUMMYFUNCTION("""COMPUTED_VALUE"""),217.590471827759)</f>
        <v>217.59047182775899</v>
      </c>
      <c r="M144" s="96">
        <f ca="1">IFERROR(__xludf.DUMMYFUNCTION("""COMPUTED_VALUE"""),44207)</f>
        <v>44207</v>
      </c>
      <c r="N144" s="6" t="str">
        <f ca="1">IFERROR(__xludf.DUMMYFUNCTION("""COMPUTED_VALUE"""),"W2")</f>
        <v>W2</v>
      </c>
      <c r="O144" s="97">
        <f ca="1">IFERROR(__xludf.DUMMYFUNCTION("""COMPUTED_VALUE"""),44207)</f>
        <v>44207</v>
      </c>
      <c r="P144" s="6" t="str">
        <f ca="1">IFERROR(__xludf.DUMMYFUNCTION("""COMPUTED_VALUE"""),"CSTM_8KTGEUG6T5R")</f>
        <v>CSTM_8KTGEUG6T5R</v>
      </c>
      <c r="Q144" s="6"/>
      <c r="R144" s="6" t="str">
        <f ca="1">IFERROR(__xludf.DUMMYFUNCTION("""COMPUTED_VALUE"""),"Pending")</f>
        <v>Pending</v>
      </c>
      <c r="S144" s="6" t="str">
        <f ca="1">IFERROR(__xludf.DUMMYFUNCTION("""COMPUTED_VALUE"""),"Category")</f>
        <v>Category</v>
      </c>
      <c r="T144" s="6"/>
      <c r="U144" s="6"/>
      <c r="V144" s="6"/>
      <c r="W144" s="6"/>
      <c r="X144" s="6"/>
      <c r="Y144" s="6"/>
      <c r="Z144" s="6"/>
      <c r="AA144" s="6"/>
      <c r="AB144" s="6"/>
      <c r="AC144" s="6"/>
      <c r="AD144" s="6"/>
      <c r="AE144" s="6"/>
      <c r="AF144" s="6"/>
      <c r="AG144" s="6"/>
      <c r="AH144" s="6"/>
      <c r="AI144" s="6"/>
      <c r="AJ144" s="6"/>
      <c r="AK144" s="6"/>
      <c r="AL144" s="6"/>
    </row>
    <row r="145" spans="1:38">
      <c r="A145" s="96">
        <f ca="1">IFERROR(__xludf.DUMMYFUNCTION("""COMPUTED_VALUE"""),44151)</f>
        <v>44151</v>
      </c>
      <c r="B145" s="6" t="str">
        <f ca="1">IFERROR(__xludf.DUMMYFUNCTION("""COMPUTED_VALUE"""),"Rohan Kher")</f>
        <v>Rohan Kher</v>
      </c>
      <c r="C145" s="6" t="str">
        <f ca="1">IFERROR(__xludf.DUMMYFUNCTION("""COMPUTED_VALUE"""),"rohankher27@gmail.com")</f>
        <v>rohankher27@gmail.com</v>
      </c>
      <c r="D145" s="6">
        <f ca="1">IFERROR(__xludf.DUMMYFUNCTION("""COMPUTED_VALUE"""),9096962362)</f>
        <v>9096962362</v>
      </c>
      <c r="E145" s="6"/>
      <c r="F145" s="6" t="str">
        <f ca="1">IFERROR(__xludf.DUMMYFUNCTION("""COMPUTED_VALUE"""),"ASM")</f>
        <v>ASM</v>
      </c>
      <c r="G145" s="80"/>
      <c r="H145" s="6" t="str">
        <f ca="1">IFERROR(__xludf.DUMMYFUNCTION("""COMPUTED_VALUE"""),"Opportunity")</f>
        <v>Opportunity</v>
      </c>
      <c r="I145" s="6" t="str">
        <f ca="1">IFERROR(__xludf.DUMMYFUNCTION("""COMPUTED_VALUE"""),"DK")</f>
        <v>DK</v>
      </c>
      <c r="J145" s="6">
        <f ca="1">IFERROR(__xludf.DUMMYFUNCTION("""COMPUTED_VALUE"""),1)</f>
        <v>1</v>
      </c>
      <c r="K145" s="8">
        <f ca="1">IFERROR(__xludf.DUMMYFUNCTION("""COMPUTED_VALUE"""),20000)</f>
        <v>20000</v>
      </c>
      <c r="L145" s="8">
        <f ca="1">IFERROR(__xludf.DUMMYFUNCTION("""COMPUTED_VALUE"""),229.042601923957)</f>
        <v>229.04260192395699</v>
      </c>
      <c r="M145" s="96"/>
      <c r="N145" s="6"/>
      <c r="O145" s="97"/>
      <c r="P145" s="6"/>
      <c r="Q145" s="6"/>
      <c r="R145" s="6"/>
      <c r="S145" s="6" t="str">
        <f ca="1">IFERROR(__xludf.DUMMYFUNCTION("""COMPUTED_VALUE"""),"NonCategory")</f>
        <v>NonCategory</v>
      </c>
      <c r="T145" s="6"/>
      <c r="U145" s="6"/>
      <c r="V145" s="6"/>
      <c r="W145" s="6"/>
      <c r="X145" s="6"/>
      <c r="Y145" s="6"/>
      <c r="Z145" s="6"/>
      <c r="AA145" s="6"/>
      <c r="AB145" s="6"/>
      <c r="AC145" s="6"/>
      <c r="AD145" s="6"/>
      <c r="AE145" s="6"/>
      <c r="AF145" s="6"/>
      <c r="AG145" s="6"/>
      <c r="AH145" s="6"/>
      <c r="AI145" s="6"/>
      <c r="AJ145" s="6"/>
      <c r="AK145" s="6"/>
      <c r="AL145" s="6"/>
    </row>
    <row r="146" spans="1:38">
      <c r="A146" s="96">
        <f ca="1">IFERROR(__xludf.DUMMYFUNCTION("""COMPUTED_VALUE"""),44158)</f>
        <v>44158</v>
      </c>
      <c r="B146" s="6" t="str">
        <f ca="1">IFERROR(__xludf.DUMMYFUNCTION("""COMPUTED_VALUE"""),"Shefali Verma")</f>
        <v>Shefali Verma</v>
      </c>
      <c r="C146" s="6" t="str">
        <f ca="1">IFERROR(__xludf.DUMMYFUNCTION("""COMPUTED_VALUE"""),"agg.shefali@gmail.com")</f>
        <v>agg.shefali@gmail.com</v>
      </c>
      <c r="D146" s="6">
        <f ca="1">IFERROR(__xludf.DUMMYFUNCTION("""COMPUTED_VALUE"""),8888877983)</f>
        <v>8888877983</v>
      </c>
      <c r="E146" s="6" t="str">
        <f ca="1">IFERROR(__xludf.DUMMYFUNCTION("""COMPUTED_VALUE"""),"fpt-paper")</f>
        <v>fpt-paper</v>
      </c>
      <c r="F146" s="6" t="str">
        <f ca="1">IFERROR(__xludf.DUMMYFUNCTION("""COMPUTED_VALUE"""),"CSM")</f>
        <v>CSM</v>
      </c>
      <c r="G146" s="80"/>
      <c r="H146" s="6" t="str">
        <f ca="1">IFERROR(__xludf.DUMMYFUNCTION("""COMPUTED_VALUE"""),"Opportunity")</f>
        <v>Opportunity</v>
      </c>
      <c r="I146" s="6" t="str">
        <f ca="1">IFERROR(__xludf.DUMMYFUNCTION("""COMPUTED_VALUE"""),"DK")</f>
        <v>DK</v>
      </c>
      <c r="J146" s="6">
        <f ca="1">IFERROR(__xludf.DUMMYFUNCTION("""COMPUTED_VALUE"""),1)</f>
        <v>1</v>
      </c>
      <c r="K146" s="8">
        <f ca="1">IFERROR(__xludf.DUMMYFUNCTION("""COMPUTED_VALUE"""),20000)</f>
        <v>20000</v>
      </c>
      <c r="L146" s="8">
        <f ca="1">IFERROR(__xludf.DUMMYFUNCTION("""COMPUTED_VALUE"""),229.042601923957)</f>
        <v>229.04260192395699</v>
      </c>
      <c r="M146" s="96"/>
      <c r="N146" s="6"/>
      <c r="O146" s="97"/>
      <c r="P146" s="6"/>
      <c r="Q146" s="6"/>
      <c r="R146" s="6"/>
      <c r="S146" s="6" t="str">
        <f ca="1">IFERROR(__xludf.DUMMYFUNCTION("""COMPUTED_VALUE"""),"Category")</f>
        <v>Category</v>
      </c>
      <c r="T146" s="6"/>
      <c r="U146" s="6"/>
      <c r="V146" s="6"/>
      <c r="W146" s="6"/>
      <c r="X146" s="6"/>
      <c r="Y146" s="6"/>
      <c r="Z146" s="6"/>
      <c r="AA146" s="6"/>
      <c r="AB146" s="6"/>
      <c r="AC146" s="6"/>
      <c r="AD146" s="6"/>
      <c r="AE146" s="6"/>
      <c r="AF146" s="6"/>
      <c r="AG146" s="6"/>
      <c r="AH146" s="6"/>
      <c r="AI146" s="6"/>
      <c r="AJ146" s="6"/>
      <c r="AK146" s="6"/>
      <c r="AL146" s="6"/>
    </row>
    <row r="147" spans="1:38">
      <c r="A147" s="96">
        <f ca="1">IFERROR(__xludf.DUMMYFUNCTION("""COMPUTED_VALUE"""),44161)</f>
        <v>44161</v>
      </c>
      <c r="B147" s="6" t="str">
        <f ca="1">IFERROR(__xludf.DUMMYFUNCTION("""COMPUTED_VALUE"""),"Shalu Parshar")</f>
        <v>Shalu Parshar</v>
      </c>
      <c r="C147" s="6" t="str">
        <f ca="1">IFERROR(__xludf.DUMMYFUNCTION("""COMPUTED_VALUE"""),"shalu.parshar@gmail.com")</f>
        <v>shalu.parshar@gmail.com</v>
      </c>
      <c r="D147" s="6">
        <f ca="1">IFERROR(__xludf.DUMMYFUNCTION("""COMPUTED_VALUE"""),8826016189)</f>
        <v>8826016189</v>
      </c>
      <c r="E147" s="6" t="str">
        <f ca="1">IFERROR(__xludf.DUMMYFUNCTION("""COMPUTED_VALUE"""),"course-agenda")</f>
        <v>course-agenda</v>
      </c>
      <c r="F147" s="6" t="str">
        <f ca="1">IFERROR(__xludf.DUMMYFUNCTION("""COMPUTED_VALUE"""),"CSPO")</f>
        <v>CSPO</v>
      </c>
      <c r="G147" s="80"/>
      <c r="H147" s="6" t="str">
        <f ca="1">IFERROR(__xludf.DUMMYFUNCTION("""COMPUTED_VALUE"""),"Opportunity")</f>
        <v>Opportunity</v>
      </c>
      <c r="I147" s="6" t="str">
        <f ca="1">IFERROR(__xludf.DUMMYFUNCTION("""COMPUTED_VALUE"""),"DK")</f>
        <v>DK</v>
      </c>
      <c r="J147" s="6">
        <f ca="1">IFERROR(__xludf.DUMMYFUNCTION("""COMPUTED_VALUE"""),1)</f>
        <v>1</v>
      </c>
      <c r="K147" s="8">
        <f ca="1">IFERROR(__xludf.DUMMYFUNCTION("""COMPUTED_VALUE"""),21000)</f>
        <v>21000</v>
      </c>
      <c r="L147" s="8">
        <f ca="1">IFERROR(__xludf.DUMMYFUNCTION("""COMPUTED_VALUE"""),240.494732020155)</f>
        <v>240.494732020155</v>
      </c>
      <c r="M147" s="96"/>
      <c r="N147" s="6"/>
      <c r="O147" s="97"/>
      <c r="P147" s="6"/>
      <c r="Q147" s="6"/>
      <c r="R147" s="6"/>
      <c r="S147" s="6" t="str">
        <f ca="1">IFERROR(__xludf.DUMMYFUNCTION("""COMPUTED_VALUE"""),"Category")</f>
        <v>Category</v>
      </c>
      <c r="T147" s="6"/>
      <c r="U147" s="6"/>
      <c r="V147" s="6"/>
      <c r="W147" s="6"/>
      <c r="X147" s="6"/>
      <c r="Y147" s="6"/>
      <c r="Z147" s="6"/>
      <c r="AA147" s="6"/>
      <c r="AB147" s="6"/>
      <c r="AC147" s="6"/>
      <c r="AD147" s="6"/>
      <c r="AE147" s="6"/>
      <c r="AF147" s="6"/>
      <c r="AG147" s="6"/>
      <c r="AH147" s="6"/>
      <c r="AI147" s="6"/>
      <c r="AJ147" s="6"/>
      <c r="AK147" s="6"/>
      <c r="AL147" s="6"/>
    </row>
    <row r="148" spans="1:38">
      <c r="A148" s="96">
        <f ca="1">IFERROR(__xludf.DUMMYFUNCTION("""COMPUTED_VALUE"""),44201)</f>
        <v>44201</v>
      </c>
      <c r="B148" s="6" t="str">
        <f ca="1">IFERROR(__xludf.DUMMYFUNCTION("""COMPUTED_VALUE"""),"Aakansha Joglekar")</f>
        <v>Aakansha Joglekar</v>
      </c>
      <c r="C148" s="6" t="str">
        <f ca="1">IFERROR(__xludf.DUMMYFUNCTION("""COMPUTED_VALUE"""),"aakanshajoglekar@yahoo.co.in")</f>
        <v>aakanshajoglekar@yahoo.co.in</v>
      </c>
      <c r="D148" s="6">
        <f ca="1">IFERROR(__xludf.DUMMYFUNCTION("""COMPUTED_VALUE"""),9821687088)</f>
        <v>9821687088</v>
      </c>
      <c r="E148" s="6" t="str">
        <f ca="1">IFERROR(__xludf.DUMMYFUNCTION("""COMPUTED_VALUE"""),"Reference")</f>
        <v>Reference</v>
      </c>
      <c r="F148" s="6" t="str">
        <f ca="1">IFERROR(__xludf.DUMMYFUNCTION("""COMPUTED_VALUE"""),"CSM")</f>
        <v>CSM</v>
      </c>
      <c r="G148" s="80">
        <f ca="1">IFERROR(__xludf.DUMMYFUNCTION("""COMPUTED_VALUE"""),44197)</f>
        <v>44197</v>
      </c>
      <c r="H148" s="6" t="str">
        <f ca="1">IFERROR(__xludf.DUMMYFUNCTION("""COMPUTED_VALUE"""),"Won")</f>
        <v>Won</v>
      </c>
      <c r="I148" s="6" t="str">
        <f ca="1">IFERROR(__xludf.DUMMYFUNCTION("""COMPUTED_VALUE"""),"16-17 Jan 2021")</f>
        <v>16-17 Jan 2021</v>
      </c>
      <c r="J148" s="6">
        <f ca="1">IFERROR(__xludf.DUMMYFUNCTION("""COMPUTED_VALUE"""),1)</f>
        <v>1</v>
      </c>
      <c r="K148" s="8">
        <f ca="1">IFERROR(__xludf.DUMMYFUNCTION("""COMPUTED_VALUE"""),20000)</f>
        <v>20000</v>
      </c>
      <c r="L148" s="8">
        <f ca="1">IFERROR(__xludf.DUMMYFUNCTION("""COMPUTED_VALUE"""),229.042601923957)</f>
        <v>229.04260192395699</v>
      </c>
      <c r="M148" s="96">
        <f ca="1">IFERROR(__xludf.DUMMYFUNCTION("""COMPUTED_VALUE"""),44207)</f>
        <v>44207</v>
      </c>
      <c r="N148" s="6" t="str">
        <f ca="1">IFERROR(__xludf.DUMMYFUNCTION("""COMPUTED_VALUE"""),"W2")</f>
        <v>W2</v>
      </c>
      <c r="O148" s="97">
        <f ca="1">IFERROR(__xludf.DUMMYFUNCTION("""COMPUTED_VALUE"""),44208)</f>
        <v>44208</v>
      </c>
      <c r="P148" s="6" t="str">
        <f ca="1">IFERROR(__xludf.DUMMYFUNCTION("""COMPUTED_VALUE"""),"CSTM_GIEWTIYGYWU")</f>
        <v>CSTM_GIEWTIYGYWU</v>
      </c>
      <c r="Q148" s="6" t="str">
        <f ca="1">IFERROR(__xludf.DUMMYFUNCTION("""COMPUTED_VALUE"""),"By Sandeep Joglekar sandeep48@yahoo.com")</f>
        <v>By Sandeep Joglekar sandeep48@yahoo.com</v>
      </c>
      <c r="R148" s="6" t="str">
        <f ca="1">IFERROR(__xludf.DUMMYFUNCTION("""COMPUTED_VALUE"""),"Pending")</f>
        <v>Pending</v>
      </c>
      <c r="S148" s="6" t="str">
        <f ca="1">IFERROR(__xludf.DUMMYFUNCTION("""COMPUTED_VALUE"""),"Category")</f>
        <v>Category</v>
      </c>
      <c r="T148" s="6" t="str">
        <f ca="1">IFERROR(__xludf.DUMMYFUNCTION("""COMPUTED_VALUE"""),"Sent.")</f>
        <v>Sent.</v>
      </c>
      <c r="U148" s="6"/>
      <c r="V148" s="6"/>
      <c r="W148" s="6"/>
      <c r="X148" s="6"/>
      <c r="Y148" s="6"/>
      <c r="Z148" s="6"/>
      <c r="AA148" s="6"/>
      <c r="AB148" s="6"/>
      <c r="AC148" s="6"/>
      <c r="AD148" s="6"/>
      <c r="AE148" s="6"/>
      <c r="AF148" s="6"/>
      <c r="AG148" s="6"/>
      <c r="AH148" s="6"/>
      <c r="AI148" s="6"/>
      <c r="AJ148" s="6"/>
      <c r="AK148" s="6"/>
      <c r="AL148" s="6"/>
    </row>
    <row r="149" spans="1:38">
      <c r="A149" s="96">
        <f ca="1">IFERROR(__xludf.DUMMYFUNCTION("""COMPUTED_VALUE"""),44207)</f>
        <v>44207</v>
      </c>
      <c r="B149" s="6" t="str">
        <f ca="1">IFERROR(__xludf.DUMMYFUNCTION("""COMPUTED_VALUE"""),"Preethi Prasanna V")</f>
        <v>Preethi Prasanna V</v>
      </c>
      <c r="C149" s="6" t="str">
        <f ca="1">IFERROR(__xludf.DUMMYFUNCTION("""COMPUTED_VALUE"""),"preethipv1@gmail.com")</f>
        <v>preethipv1@gmail.com</v>
      </c>
      <c r="D149" s="6">
        <f ca="1">IFERROR(__xludf.DUMMYFUNCTION("""COMPUTED_VALUE"""),9074185715)</f>
        <v>9074185715</v>
      </c>
      <c r="E149" s="6" t="str">
        <f ca="1">IFERROR(__xludf.DUMMYFUNCTION("""COMPUTED_VALUE"""),"Reference")</f>
        <v>Reference</v>
      </c>
      <c r="F149" s="6" t="str">
        <f ca="1">IFERROR(__xludf.DUMMYFUNCTION("""COMPUTED_VALUE"""),"CSPO")</f>
        <v>CSPO</v>
      </c>
      <c r="G149" s="80">
        <f ca="1">IFERROR(__xludf.DUMMYFUNCTION("""COMPUTED_VALUE"""),44197)</f>
        <v>44197</v>
      </c>
      <c r="H149" s="6" t="str">
        <f ca="1">IFERROR(__xludf.DUMMYFUNCTION("""COMPUTED_VALUE"""),"Won")</f>
        <v>Won</v>
      </c>
      <c r="I149" s="6" t="str">
        <f ca="1">IFERROR(__xludf.DUMMYFUNCTION("""COMPUTED_VALUE"""),"27-28 Feb 2021")</f>
        <v>27-28 Feb 2021</v>
      </c>
      <c r="J149" s="6">
        <f ca="1">IFERROR(__xludf.DUMMYFUNCTION("""COMPUTED_VALUE"""),1)</f>
        <v>1</v>
      </c>
      <c r="K149" s="8">
        <f ca="1">IFERROR(__xludf.DUMMYFUNCTION("""COMPUTED_VALUE"""),18500)</f>
        <v>18500</v>
      </c>
      <c r="L149" s="8">
        <f ca="1">IFERROR(__xludf.DUMMYFUNCTION("""COMPUTED_VALUE"""),211.864406779661)</f>
        <v>211.86440677966101</v>
      </c>
      <c r="M149" s="96">
        <f ca="1">IFERROR(__xludf.DUMMYFUNCTION("""COMPUTED_VALUE"""),44208)</f>
        <v>44208</v>
      </c>
      <c r="N149" s="6" t="str">
        <f ca="1">IFERROR(__xludf.DUMMYFUNCTION("""COMPUTED_VALUE"""),"W2")</f>
        <v>W2</v>
      </c>
      <c r="O149" s="97">
        <f ca="1">IFERROR(__xludf.DUMMYFUNCTION("""COMPUTED_VALUE"""),44208)</f>
        <v>44208</v>
      </c>
      <c r="P149" s="6" t="str">
        <f ca="1">IFERROR(__xludf.DUMMYFUNCTION("""COMPUTED_VALUE"""),"CSTM_96KUB9QKBHK")</f>
        <v>CSTM_96KUB9QKBHK</v>
      </c>
      <c r="Q149" s="6" t="str">
        <f ca="1">IFERROR(__xludf.DUMMYFUNCTION("""COMPUTED_VALUE"""),"By Sunit R")</f>
        <v>By Sunit R</v>
      </c>
      <c r="R149" s="6" t="str">
        <f ca="1">IFERROR(__xludf.DUMMYFUNCTION("""COMPUTED_VALUE"""),"Done. Good feedback.")</f>
        <v>Done. Good feedback.</v>
      </c>
      <c r="S149" s="6" t="str">
        <f ca="1">IFERROR(__xludf.DUMMYFUNCTION("""COMPUTED_VALUE"""),"Category")</f>
        <v>Category</v>
      </c>
      <c r="T149" s="6" t="str">
        <f ca="1">IFERROR(__xludf.DUMMYFUNCTION("""COMPUTED_VALUE"""),"Sent.")</f>
        <v>Sent.</v>
      </c>
      <c r="U149" s="6"/>
      <c r="V149" s="6"/>
      <c r="W149" s="6"/>
      <c r="X149" s="6"/>
      <c r="Y149" s="6"/>
      <c r="Z149" s="6"/>
      <c r="AA149" s="6"/>
      <c r="AB149" s="6"/>
      <c r="AC149" s="6"/>
      <c r="AD149" s="6"/>
      <c r="AE149" s="6"/>
      <c r="AF149" s="6"/>
      <c r="AG149" s="6"/>
      <c r="AH149" s="6"/>
      <c r="AI149" s="6"/>
      <c r="AJ149" s="6"/>
      <c r="AK149" s="6"/>
      <c r="AL149" s="6"/>
    </row>
    <row r="150" spans="1:38">
      <c r="A150" s="96">
        <f ca="1">IFERROR(__xludf.DUMMYFUNCTION("""COMPUTED_VALUE"""),44202)</f>
        <v>44202</v>
      </c>
      <c r="B150" s="6" t="str">
        <f ca="1">IFERROR(__xludf.DUMMYFUNCTION("""COMPUTED_VALUE"""),"Anubha Vajpeyi")</f>
        <v>Anubha Vajpeyi</v>
      </c>
      <c r="C150" s="6" t="str">
        <f ca="1">IFERROR(__xludf.DUMMYFUNCTION("""COMPUTED_VALUE"""),"anubha.vajpeyi@gmail.com")</f>
        <v>anubha.vajpeyi@gmail.com</v>
      </c>
      <c r="D150" s="6">
        <f ca="1">IFERROR(__xludf.DUMMYFUNCTION("""COMPUTED_VALUE"""),8860477748)</f>
        <v>8860477748</v>
      </c>
      <c r="E150" s="6" t="str">
        <f ca="1">IFERROR(__xludf.DUMMYFUNCTION("""COMPUTED_VALUE"""),"Query box")</f>
        <v>Query box</v>
      </c>
      <c r="F150" s="6" t="str">
        <f ca="1">IFERROR(__xludf.DUMMYFUNCTION("""COMPUTED_VALUE"""),"SAFe Agile")</f>
        <v>SAFe Agile</v>
      </c>
      <c r="G150" s="80">
        <f ca="1">IFERROR(__xludf.DUMMYFUNCTION("""COMPUTED_VALUE"""),44197)</f>
        <v>44197</v>
      </c>
      <c r="H150" s="6" t="str">
        <f ca="1">IFERROR(__xludf.DUMMYFUNCTION("""COMPUTED_VALUE"""),"Opportunity")</f>
        <v>Opportunity</v>
      </c>
      <c r="I150" s="6" t="str">
        <f ca="1">IFERROR(__xludf.DUMMYFUNCTION("""COMPUTED_VALUE"""),"16-17 Jan 2021")</f>
        <v>16-17 Jan 2021</v>
      </c>
      <c r="J150" s="6">
        <f ca="1">IFERROR(__xludf.DUMMYFUNCTION("""COMPUTED_VALUE"""),1)</f>
        <v>1</v>
      </c>
      <c r="K150" s="8">
        <f ca="1">IFERROR(__xludf.DUMMYFUNCTION("""COMPUTED_VALUE"""),48000)</f>
        <v>48000</v>
      </c>
      <c r="L150" s="8">
        <f ca="1">IFERROR(__xludf.DUMMYFUNCTION("""COMPUTED_VALUE"""),549.702244617498)</f>
        <v>549.70224461749797</v>
      </c>
      <c r="M150" s="96">
        <f ca="1">IFERROR(__xludf.DUMMYFUNCTION("""COMPUTED_VALUE"""),44210)</f>
        <v>44210</v>
      </c>
      <c r="N150" s="6"/>
      <c r="O150" s="97"/>
      <c r="P150" s="6"/>
      <c r="Q150" s="6"/>
      <c r="R150" s="6"/>
      <c r="S150" s="6" t="str">
        <f ca="1">IFERROR(__xludf.DUMMYFUNCTION("""COMPUTED_VALUE"""),"SAFe")</f>
        <v>SAFe</v>
      </c>
      <c r="T150" s="6"/>
      <c r="U150" s="6"/>
      <c r="V150" s="6"/>
      <c r="W150" s="6"/>
      <c r="X150" s="6"/>
      <c r="Y150" s="6"/>
      <c r="Z150" s="6"/>
      <c r="AA150" s="6"/>
      <c r="AB150" s="6"/>
      <c r="AC150" s="6"/>
      <c r="AD150" s="6"/>
      <c r="AE150" s="6"/>
      <c r="AF150" s="6"/>
      <c r="AG150" s="6"/>
      <c r="AH150" s="6"/>
      <c r="AI150" s="6"/>
      <c r="AJ150" s="6"/>
      <c r="AK150" s="6"/>
      <c r="AL150" s="6"/>
    </row>
    <row r="151" spans="1:38">
      <c r="A151" s="96">
        <f ca="1">IFERROR(__xludf.DUMMYFUNCTION("""COMPUTED_VALUE"""),44207)</f>
        <v>44207</v>
      </c>
      <c r="B151" s="6" t="str">
        <f ca="1">IFERROR(__xludf.DUMMYFUNCTION("""COMPUTED_VALUE"""),"Debidatta Sattapathy")</f>
        <v>Debidatta Sattapathy</v>
      </c>
      <c r="C151" s="6" t="str">
        <f ca="1">IFERROR(__xludf.DUMMYFUNCTION("""COMPUTED_VALUE"""),"debidatta12@gmail.com")</f>
        <v>debidatta12@gmail.com</v>
      </c>
      <c r="D151" s="6">
        <f ca="1">IFERROR(__xludf.DUMMYFUNCTION("""COMPUTED_VALUE"""),9607976125)</f>
        <v>9607976125</v>
      </c>
      <c r="E151" s="6" t="str">
        <f ca="1">IFERROR(__xludf.DUMMYFUNCTION("""COMPUTED_VALUE"""),"Reference")</f>
        <v>Reference</v>
      </c>
      <c r="F151" s="6" t="str">
        <f ca="1">IFERROR(__xludf.DUMMYFUNCTION("""COMPUTED_VALUE"""),"CSPO")</f>
        <v>CSPO</v>
      </c>
      <c r="G151" s="80">
        <f ca="1">IFERROR(__xludf.DUMMYFUNCTION("""COMPUTED_VALUE"""),44197)</f>
        <v>44197</v>
      </c>
      <c r="H151" s="6" t="str">
        <f ca="1">IFERROR(__xludf.DUMMYFUNCTION("""COMPUTED_VALUE"""),"Won")</f>
        <v>Won</v>
      </c>
      <c r="I151" s="6" t="str">
        <f ca="1">IFERROR(__xludf.DUMMYFUNCTION("""COMPUTED_VALUE"""),"27-28 Feb 2021")</f>
        <v>27-28 Feb 2021</v>
      </c>
      <c r="J151" s="6">
        <f ca="1">IFERROR(__xludf.DUMMYFUNCTION("""COMPUTED_VALUE"""),1)</f>
        <v>1</v>
      </c>
      <c r="K151" s="8">
        <f ca="1">IFERROR(__xludf.DUMMYFUNCTION("""COMPUTED_VALUE"""),18500)</f>
        <v>18500</v>
      </c>
      <c r="L151" s="8">
        <f ca="1">IFERROR(__xludf.DUMMYFUNCTION("""COMPUTED_VALUE"""),211.864406779661)</f>
        <v>211.86440677966101</v>
      </c>
      <c r="M151" s="96">
        <f ca="1">IFERROR(__xludf.DUMMYFUNCTION("""COMPUTED_VALUE"""),44208)</f>
        <v>44208</v>
      </c>
      <c r="N151" s="6" t="str">
        <f ca="1">IFERROR(__xludf.DUMMYFUNCTION("""COMPUTED_VALUE"""),"W2")</f>
        <v>W2</v>
      </c>
      <c r="O151" s="97">
        <f ca="1">IFERROR(__xludf.DUMMYFUNCTION("""COMPUTED_VALUE"""),44208)</f>
        <v>44208</v>
      </c>
      <c r="P151" s="6" t="str">
        <f ca="1">IFERROR(__xludf.DUMMYFUNCTION("""COMPUTED_VALUE"""),"CSTM_JMPC8MZ8EHV")</f>
        <v>CSTM_JMPC8MZ8EHV</v>
      </c>
      <c r="Q151" s="6" t="str">
        <f ca="1">IFERROR(__xludf.DUMMYFUNCTION("""COMPUTED_VALUE"""),"By Sunit R")</f>
        <v>By Sunit R</v>
      </c>
      <c r="R151" s="6" t="str">
        <f ca="1">IFERROR(__xludf.DUMMYFUNCTION("""COMPUTED_VALUE"""),"Done. Good feedback.")</f>
        <v>Done. Good feedback.</v>
      </c>
      <c r="S151" s="6" t="str">
        <f ca="1">IFERROR(__xludf.DUMMYFUNCTION("""COMPUTED_VALUE"""),"Category")</f>
        <v>Category</v>
      </c>
      <c r="T151" s="6" t="str">
        <f ca="1">IFERROR(__xludf.DUMMYFUNCTION("""COMPUTED_VALUE"""),"Sent.")</f>
        <v>Sent.</v>
      </c>
      <c r="U151" s="6"/>
      <c r="V151" s="6"/>
      <c r="W151" s="6"/>
      <c r="X151" s="6"/>
      <c r="Y151" s="6"/>
      <c r="Z151" s="6"/>
      <c r="AA151" s="6"/>
      <c r="AB151" s="6"/>
      <c r="AC151" s="6"/>
      <c r="AD151" s="6"/>
      <c r="AE151" s="6"/>
      <c r="AF151" s="6"/>
      <c r="AG151" s="6"/>
      <c r="AH151" s="6"/>
      <c r="AI151" s="6"/>
      <c r="AJ151" s="6"/>
      <c r="AK151" s="6"/>
      <c r="AL151" s="6"/>
    </row>
    <row r="152" spans="1:38">
      <c r="A152" s="96">
        <f ca="1">IFERROR(__xludf.DUMMYFUNCTION("""COMPUTED_VALUE"""),44207)</f>
        <v>44207</v>
      </c>
      <c r="B152" s="6" t="str">
        <f ca="1">IFERROR(__xludf.DUMMYFUNCTION("""COMPUTED_VALUE"""),"Aakash Verma")</f>
        <v>Aakash Verma</v>
      </c>
      <c r="C152" s="6" t="str">
        <f ca="1">IFERROR(__xludf.DUMMYFUNCTION("""COMPUTED_VALUE"""),"aakashverrma@gmail.com")</f>
        <v>aakashverrma@gmail.com</v>
      </c>
      <c r="D152" s="6">
        <f ca="1">IFERROR(__xludf.DUMMYFUNCTION("""COMPUTED_VALUE"""),9910104900)</f>
        <v>9910104900</v>
      </c>
      <c r="E152" s="6" t="str">
        <f ca="1">IFERROR(__xludf.DUMMYFUNCTION("""COMPUTED_VALUE"""),"Reference")</f>
        <v>Reference</v>
      </c>
      <c r="F152" s="6" t="str">
        <f ca="1">IFERROR(__xludf.DUMMYFUNCTION("""COMPUTED_VALUE"""),"CSPO")</f>
        <v>CSPO</v>
      </c>
      <c r="G152" s="80">
        <f ca="1">IFERROR(__xludf.DUMMYFUNCTION("""COMPUTED_VALUE"""),44197)</f>
        <v>44197</v>
      </c>
      <c r="H152" s="6" t="str">
        <f ca="1">IFERROR(__xludf.DUMMYFUNCTION("""COMPUTED_VALUE"""),"Won")</f>
        <v>Won</v>
      </c>
      <c r="I152" s="6" t="str">
        <f ca="1">IFERROR(__xludf.DUMMYFUNCTION("""COMPUTED_VALUE"""),"27-28 Feb 2021")</f>
        <v>27-28 Feb 2021</v>
      </c>
      <c r="J152" s="6">
        <f ca="1">IFERROR(__xludf.DUMMYFUNCTION("""COMPUTED_VALUE"""),1)</f>
        <v>1</v>
      </c>
      <c r="K152" s="8">
        <f ca="1">IFERROR(__xludf.DUMMYFUNCTION("""COMPUTED_VALUE"""),18500)</f>
        <v>18500</v>
      </c>
      <c r="L152" s="8">
        <f ca="1">IFERROR(__xludf.DUMMYFUNCTION("""COMPUTED_VALUE"""),211.864406779661)</f>
        <v>211.86440677966101</v>
      </c>
      <c r="M152" s="96">
        <f ca="1">IFERROR(__xludf.DUMMYFUNCTION("""COMPUTED_VALUE"""),44208)</f>
        <v>44208</v>
      </c>
      <c r="N152" s="6" t="str">
        <f ca="1">IFERROR(__xludf.DUMMYFUNCTION("""COMPUTED_VALUE"""),"W2")</f>
        <v>W2</v>
      </c>
      <c r="O152" s="97">
        <f ca="1">IFERROR(__xludf.DUMMYFUNCTION("""COMPUTED_VALUE"""),44208)</f>
        <v>44208</v>
      </c>
      <c r="P152" s="6" t="str">
        <f ca="1">IFERROR(__xludf.DUMMYFUNCTION("""COMPUTED_VALUE"""),"CSTM_EW3CX4MD726")</f>
        <v>CSTM_EW3CX4MD726</v>
      </c>
      <c r="Q152" s="6" t="str">
        <f ca="1">IFERROR(__xludf.DUMMYFUNCTION("""COMPUTED_VALUE"""),"By Sunit R")</f>
        <v>By Sunit R</v>
      </c>
      <c r="R152" s="6" t="str">
        <f ca="1">IFERROR(__xludf.DUMMYFUNCTION("""COMPUTED_VALUE"""),"Pending")</f>
        <v>Pending</v>
      </c>
      <c r="S152" s="6" t="str">
        <f ca="1">IFERROR(__xludf.DUMMYFUNCTION("""COMPUTED_VALUE"""),"Category")</f>
        <v>Category</v>
      </c>
      <c r="T152" s="6" t="str">
        <f ca="1">IFERROR(__xludf.DUMMYFUNCTION("""COMPUTED_VALUE"""),"Sent.")</f>
        <v>Sent.</v>
      </c>
      <c r="U152" s="6"/>
      <c r="V152" s="6"/>
      <c r="W152" s="6"/>
      <c r="X152" s="6"/>
      <c r="Y152" s="6"/>
      <c r="Z152" s="6"/>
      <c r="AA152" s="6"/>
      <c r="AB152" s="6"/>
      <c r="AC152" s="6"/>
      <c r="AD152" s="6"/>
      <c r="AE152" s="6"/>
      <c r="AF152" s="6"/>
      <c r="AG152" s="6"/>
      <c r="AH152" s="6"/>
      <c r="AI152" s="6"/>
      <c r="AJ152" s="6"/>
      <c r="AK152" s="6"/>
      <c r="AL152" s="6"/>
    </row>
    <row r="153" spans="1:38">
      <c r="A153" s="96">
        <f ca="1">IFERROR(__xludf.DUMMYFUNCTION("""COMPUTED_VALUE"""),44204)</f>
        <v>44204</v>
      </c>
      <c r="B153" s="6" t="str">
        <f ca="1">IFERROR(__xludf.DUMMYFUNCTION("""COMPUTED_VALUE"""),"Faisal")</f>
        <v>Faisal</v>
      </c>
      <c r="C153" s="6" t="str">
        <f ca="1">IFERROR(__xludf.DUMMYFUNCTION("""COMPUTED_VALUE"""),"h.faisal009@gmail.com")</f>
        <v>h.faisal009@gmail.com</v>
      </c>
      <c r="D153" s="6">
        <f ca="1">IFERROR(__xludf.DUMMYFUNCTION("""COMPUTED_VALUE"""),8527575909)</f>
        <v>8527575909</v>
      </c>
      <c r="E153" s="6" t="str">
        <f ca="1">IFERROR(__xludf.DUMMYFUNCTION("""COMPUTED_VALUE"""),"fpt-paper")</f>
        <v>fpt-paper</v>
      </c>
      <c r="F153" s="6" t="str">
        <f ca="1">IFERROR(__xludf.DUMMYFUNCTION("""COMPUTED_VALUE"""),"CSM")</f>
        <v>CSM</v>
      </c>
      <c r="G153" s="80">
        <f ca="1">IFERROR(__xludf.DUMMYFUNCTION("""COMPUTED_VALUE"""),44197)</f>
        <v>44197</v>
      </c>
      <c r="H153" s="6" t="str">
        <f ca="1">IFERROR(__xludf.DUMMYFUNCTION("""COMPUTED_VALUE"""),"Opportunity")</f>
        <v>Opportunity</v>
      </c>
      <c r="I153" s="6" t="str">
        <f ca="1">IFERROR(__xludf.DUMMYFUNCTION("""COMPUTED_VALUE"""),"16-17 Jan 2021")</f>
        <v>16-17 Jan 2021</v>
      </c>
      <c r="J153" s="6">
        <f ca="1">IFERROR(__xludf.DUMMYFUNCTION("""COMPUTED_VALUE"""),1)</f>
        <v>1</v>
      </c>
      <c r="K153" s="8">
        <f ca="1">IFERROR(__xludf.DUMMYFUNCTION("""COMPUTED_VALUE"""),21000)</f>
        <v>21000</v>
      </c>
      <c r="L153" s="8">
        <f ca="1">IFERROR(__xludf.DUMMYFUNCTION("""COMPUTED_VALUE"""),240.494732020155)</f>
        <v>240.494732020155</v>
      </c>
      <c r="M153" s="96">
        <f ca="1">IFERROR(__xludf.DUMMYFUNCTION("""COMPUTED_VALUE"""),44210)</f>
        <v>44210</v>
      </c>
      <c r="N153" s="6"/>
      <c r="O153" s="97"/>
      <c r="P153" s="6"/>
      <c r="Q153" s="6"/>
      <c r="R153" s="6"/>
      <c r="S153" s="6" t="str">
        <f ca="1">IFERROR(__xludf.DUMMYFUNCTION("""COMPUTED_VALUE"""),"Category")</f>
        <v>Category</v>
      </c>
      <c r="T153" s="6"/>
      <c r="U153" s="6"/>
      <c r="V153" s="6"/>
      <c r="W153" s="6"/>
      <c r="X153" s="6"/>
      <c r="Y153" s="6"/>
      <c r="Z153" s="6"/>
      <c r="AA153" s="6"/>
      <c r="AB153" s="6"/>
      <c r="AC153" s="6"/>
      <c r="AD153" s="6"/>
      <c r="AE153" s="6"/>
      <c r="AF153" s="6"/>
      <c r="AG153" s="6"/>
      <c r="AH153" s="6"/>
      <c r="AI153" s="6"/>
      <c r="AJ153" s="6"/>
      <c r="AK153" s="6"/>
      <c r="AL153" s="6"/>
    </row>
    <row r="154" spans="1:38">
      <c r="A154" s="96">
        <f ca="1">IFERROR(__xludf.DUMMYFUNCTION("""COMPUTED_VALUE"""),44154)</f>
        <v>44154</v>
      </c>
      <c r="B154" s="6" t="str">
        <f ca="1">IFERROR(__xludf.DUMMYFUNCTION("""COMPUTED_VALUE"""),"Sunit R")</f>
        <v>Sunit R</v>
      </c>
      <c r="C154" s="6" t="str">
        <f ca="1">IFERROR(__xludf.DUMMYFUNCTION("""COMPUTED_VALUE"""),"sunitrad6@gmail.com")</f>
        <v>sunitrad6@gmail.com</v>
      </c>
      <c r="D154" s="6">
        <f ca="1">IFERROR(__xludf.DUMMYFUNCTION("""COMPUTED_VALUE"""),8893019003)</f>
        <v>8893019003</v>
      </c>
      <c r="E154" s="6" t="str">
        <f ca="1">IFERROR(__xludf.DUMMYFUNCTION("""COMPUTED_VALUE"""),"Auto repeat lead")</f>
        <v>Auto repeat lead</v>
      </c>
      <c r="F154" s="6" t="str">
        <f ca="1">IFERROR(__xludf.DUMMYFUNCTION("""COMPUTED_VALUE"""),"CSPO")</f>
        <v>CSPO</v>
      </c>
      <c r="G154" s="80">
        <f ca="1">IFERROR(__xludf.DUMMYFUNCTION("""COMPUTED_VALUE"""),44197)</f>
        <v>44197</v>
      </c>
      <c r="H154" s="6" t="str">
        <f ca="1">IFERROR(__xludf.DUMMYFUNCTION("""COMPUTED_VALUE"""),"Won")</f>
        <v>Won</v>
      </c>
      <c r="I154" s="6" t="str">
        <f ca="1">IFERROR(__xludf.DUMMYFUNCTION("""COMPUTED_VALUE"""),"27-28 Feb 2021")</f>
        <v>27-28 Feb 2021</v>
      </c>
      <c r="J154" s="6">
        <f ca="1">IFERROR(__xludf.DUMMYFUNCTION("""COMPUTED_VALUE"""),1)</f>
        <v>1</v>
      </c>
      <c r="K154" s="8">
        <f ca="1">IFERROR(__xludf.DUMMYFUNCTION("""COMPUTED_VALUE"""),18500)</f>
        <v>18500</v>
      </c>
      <c r="L154" s="8">
        <f ca="1">IFERROR(__xludf.DUMMYFUNCTION("""COMPUTED_VALUE"""),211.864406779661)</f>
        <v>211.86440677966101</v>
      </c>
      <c r="M154" s="96">
        <f ca="1">IFERROR(__xludf.DUMMYFUNCTION("""COMPUTED_VALUE"""),44228)</f>
        <v>44228</v>
      </c>
      <c r="N154" s="6" t="str">
        <f ca="1">IFERROR(__xludf.DUMMYFUNCTION("""COMPUTED_VALUE"""),"W2")</f>
        <v>W2</v>
      </c>
      <c r="O154" s="97">
        <f ca="1">IFERROR(__xludf.DUMMYFUNCTION("""COMPUTED_VALUE"""),44208)</f>
        <v>44208</v>
      </c>
      <c r="P154" s="6" t="str">
        <f ca="1">IFERROR(__xludf.DUMMYFUNCTION("""COMPUTED_VALUE"""),"CSTM_FI1DCEE4AJS")</f>
        <v>CSTM_FI1DCEE4AJS</v>
      </c>
      <c r="Q154" s="6"/>
      <c r="R154" s="6" t="str">
        <f ca="1">IFERROR(__xludf.DUMMYFUNCTION("""COMPUTED_VALUE"""),"Pending")</f>
        <v>Pending</v>
      </c>
      <c r="S154" s="6" t="str">
        <f ca="1">IFERROR(__xludf.DUMMYFUNCTION("""COMPUTED_VALUE"""),"Category")</f>
        <v>Category</v>
      </c>
      <c r="T154" s="6"/>
      <c r="U154" s="6"/>
      <c r="V154" s="6"/>
      <c r="W154" s="6"/>
      <c r="X154" s="6"/>
      <c r="Y154" s="6"/>
      <c r="Z154" s="6"/>
      <c r="AA154" s="6"/>
      <c r="AB154" s="6"/>
      <c r="AC154" s="6"/>
      <c r="AD154" s="6"/>
      <c r="AE154" s="6"/>
      <c r="AF154" s="6"/>
      <c r="AG154" s="6"/>
      <c r="AH154" s="6"/>
      <c r="AI154" s="6"/>
      <c r="AJ154" s="6"/>
      <c r="AK154" s="6"/>
      <c r="AL154" s="6"/>
    </row>
    <row r="155" spans="1:38">
      <c r="A155" s="96">
        <f ca="1">IFERROR(__xludf.DUMMYFUNCTION("""COMPUTED_VALUE"""),44205)</f>
        <v>44205</v>
      </c>
      <c r="B155" s="6" t="str">
        <f ca="1">IFERROR(__xludf.DUMMYFUNCTION("""COMPUTED_VALUE"""),"Ankita")</f>
        <v>Ankita</v>
      </c>
      <c r="C155" s="6" t="str">
        <f ca="1">IFERROR(__xludf.DUMMYFUNCTION("""COMPUTED_VALUE"""),"257ankita@gmail.com")</f>
        <v>257ankita@gmail.com</v>
      </c>
      <c r="D155" s="6">
        <f ca="1">IFERROR(__xludf.DUMMYFUNCTION("""COMPUTED_VALUE"""),7338710063)</f>
        <v>7338710063</v>
      </c>
      <c r="E155" s="6" t="str">
        <f ca="1">IFERROR(__xludf.DUMMYFUNCTION("""COMPUTED_VALUE"""),"fpt-paper")</f>
        <v>fpt-paper</v>
      </c>
      <c r="F155" s="6" t="str">
        <f ca="1">IFERROR(__xludf.DUMMYFUNCTION("""COMPUTED_VALUE"""),"CSM")</f>
        <v>CSM</v>
      </c>
      <c r="G155" s="80">
        <f ca="1">IFERROR(__xludf.DUMMYFUNCTION("""COMPUTED_VALUE"""),44197)</f>
        <v>44197</v>
      </c>
      <c r="H155" s="6" t="str">
        <f ca="1">IFERROR(__xludf.DUMMYFUNCTION("""COMPUTED_VALUE"""),"Lost")</f>
        <v>Lost</v>
      </c>
      <c r="I155" s="6" t="str">
        <f ca="1">IFERROR(__xludf.DUMMYFUNCTION("""COMPUTED_VALUE"""),"23-24 Jan 2021")</f>
        <v>23-24 Jan 2021</v>
      </c>
      <c r="J155" s="6">
        <f ca="1">IFERROR(__xludf.DUMMYFUNCTION("""COMPUTED_VALUE"""),1)</f>
        <v>1</v>
      </c>
      <c r="K155" s="8">
        <f ca="1">IFERROR(__xludf.DUMMYFUNCTION("""COMPUTED_VALUE"""),22000)</f>
        <v>22000</v>
      </c>
      <c r="L155" s="8">
        <f ca="1">IFERROR(__xludf.DUMMYFUNCTION("""COMPUTED_VALUE"""),251.946862116353)</f>
        <v>251.946862116353</v>
      </c>
      <c r="M155" s="96">
        <f ca="1">IFERROR(__xludf.DUMMYFUNCTION("""COMPUTED_VALUE"""),44214)</f>
        <v>44214</v>
      </c>
      <c r="N155" s="6"/>
      <c r="O155" s="97"/>
      <c r="P155" s="6"/>
      <c r="Q155" s="6"/>
      <c r="R155" s="6"/>
      <c r="S155" s="6" t="str">
        <f ca="1">IFERROR(__xludf.DUMMYFUNCTION("""COMPUTED_VALUE"""),"Category")</f>
        <v>Category</v>
      </c>
      <c r="T155" s="6"/>
      <c r="U155" s="6"/>
      <c r="V155" s="6"/>
      <c r="W155" s="6"/>
      <c r="X155" s="6"/>
      <c r="Y155" s="6"/>
      <c r="Z155" s="6"/>
      <c r="AA155" s="6"/>
      <c r="AB155" s="6"/>
      <c r="AC155" s="6"/>
      <c r="AD155" s="6"/>
      <c r="AE155" s="6"/>
      <c r="AF155" s="6"/>
      <c r="AG155" s="6"/>
      <c r="AH155" s="6"/>
      <c r="AI155" s="6"/>
      <c r="AJ155" s="6"/>
      <c r="AK155" s="6"/>
      <c r="AL155" s="6"/>
    </row>
    <row r="156" spans="1:38">
      <c r="A156" s="96">
        <f ca="1">IFERROR(__xludf.DUMMYFUNCTION("""COMPUTED_VALUE"""),44206)</f>
        <v>44206</v>
      </c>
      <c r="B156" s="6" t="str">
        <f ca="1">IFERROR(__xludf.DUMMYFUNCTION("""COMPUTED_VALUE"""),"Wasim")</f>
        <v>Wasim</v>
      </c>
      <c r="C156" s="6" t="str">
        <f ca="1">IFERROR(__xludf.DUMMYFUNCTION("""COMPUTED_VALUE"""),"wasimbuden@yahoo.com")</f>
        <v>wasimbuden@yahoo.com</v>
      </c>
      <c r="D156" s="6">
        <f ca="1">IFERROR(__xludf.DUMMYFUNCTION("""COMPUTED_VALUE"""),9886633841)</f>
        <v>9886633841</v>
      </c>
      <c r="E156" s="6" t="str">
        <f ca="1">IFERROR(__xludf.DUMMYFUNCTION("""COMPUTED_VALUE"""),"Reference")</f>
        <v>Reference</v>
      </c>
      <c r="F156" s="6" t="str">
        <f ca="1">IFERROR(__xludf.DUMMYFUNCTION("""COMPUTED_VALUE"""),"CSM")</f>
        <v>CSM</v>
      </c>
      <c r="G156" s="80">
        <f ca="1">IFERROR(__xludf.DUMMYFUNCTION("""COMPUTED_VALUE"""),44197)</f>
        <v>44197</v>
      </c>
      <c r="H156" s="6" t="str">
        <f ca="1">IFERROR(__xludf.DUMMYFUNCTION("""COMPUTED_VALUE"""),"Won")</f>
        <v>Won</v>
      </c>
      <c r="I156" s="6" t="str">
        <f ca="1">IFERROR(__xludf.DUMMYFUNCTION("""COMPUTED_VALUE"""),"23-24 Jan 2021")</f>
        <v>23-24 Jan 2021</v>
      </c>
      <c r="J156" s="6">
        <f ca="1">IFERROR(__xludf.DUMMYFUNCTION("""COMPUTED_VALUE"""),1)</f>
        <v>1</v>
      </c>
      <c r="K156" s="8">
        <f ca="1">IFERROR(__xludf.DUMMYFUNCTION("""COMPUTED_VALUE"""),19000)</f>
        <v>19000</v>
      </c>
      <c r="L156" s="8">
        <f ca="1">IFERROR(__xludf.DUMMYFUNCTION("""COMPUTED_VALUE"""),217.590471827759)</f>
        <v>217.59047182775899</v>
      </c>
      <c r="M156" s="96">
        <f ca="1">IFERROR(__xludf.DUMMYFUNCTION("""COMPUTED_VALUE"""),44206)</f>
        <v>44206</v>
      </c>
      <c r="N156" s="6" t="str">
        <f ca="1">IFERROR(__xludf.DUMMYFUNCTION("""COMPUTED_VALUE"""),"W2")</f>
        <v>W2</v>
      </c>
      <c r="O156" s="97">
        <f ca="1">IFERROR(__xludf.DUMMYFUNCTION("""COMPUTED_VALUE"""),44209)</f>
        <v>44209</v>
      </c>
      <c r="P156" s="6" t="str">
        <f ca="1">IFERROR(__xludf.DUMMYFUNCTION("""COMPUTED_VALUE"""),"CSTM_LLJDV4NSQ9")</f>
        <v>CSTM_LLJDV4NSQ9</v>
      </c>
      <c r="Q156" s="6"/>
      <c r="R156" s="6" t="str">
        <f ca="1">IFERROR(__xludf.DUMMYFUNCTION("""COMPUTED_VALUE"""),"Done. Good feedback.")</f>
        <v>Done. Good feedback.</v>
      </c>
      <c r="S156" s="6" t="str">
        <f ca="1">IFERROR(__xludf.DUMMYFUNCTION("""COMPUTED_VALUE"""),"Category")</f>
        <v>Category</v>
      </c>
      <c r="T156" s="6" t="str">
        <f ca="1">IFERROR(__xludf.DUMMYFUNCTION("""COMPUTED_VALUE"""),"Referee's email id already present in the system.")</f>
        <v>Referee's email id already present in the system.</v>
      </c>
      <c r="U156" s="6"/>
      <c r="V156" s="6"/>
      <c r="W156" s="6"/>
      <c r="X156" s="6"/>
      <c r="Y156" s="6"/>
      <c r="Z156" s="6"/>
      <c r="AA156" s="6"/>
      <c r="AB156" s="6"/>
      <c r="AC156" s="6"/>
      <c r="AD156" s="6"/>
      <c r="AE156" s="6"/>
      <c r="AF156" s="6"/>
      <c r="AG156" s="6"/>
      <c r="AH156" s="6"/>
      <c r="AI156" s="6"/>
      <c r="AJ156" s="6"/>
      <c r="AK156" s="6"/>
      <c r="AL156" s="6"/>
    </row>
    <row r="157" spans="1:38">
      <c r="A157" s="96">
        <f ca="1">IFERROR(__xludf.DUMMYFUNCTION("""COMPUTED_VALUE"""),44207)</f>
        <v>44207</v>
      </c>
      <c r="B157" s="6" t="str">
        <f ca="1">IFERROR(__xludf.DUMMYFUNCTION("""COMPUTED_VALUE"""),"Gaurav Deol")</f>
        <v>Gaurav Deol</v>
      </c>
      <c r="C157" s="6" t="str">
        <f ca="1">IFERROR(__xludf.DUMMYFUNCTION("""COMPUTED_VALUE"""),"gaurav.842@gmail.com")</f>
        <v>gaurav.842@gmail.com</v>
      </c>
      <c r="D157" s="6">
        <f ca="1">IFERROR(__xludf.DUMMYFUNCTION("""COMPUTED_VALUE"""),9873089476)</f>
        <v>9873089476</v>
      </c>
      <c r="E157" s="6" t="str">
        <f ca="1">IFERROR(__xludf.DUMMYFUNCTION("""COMPUTED_VALUE"""),"chat_initiated")</f>
        <v>chat_initiated</v>
      </c>
      <c r="F157" s="6" t="str">
        <f ca="1">IFERROR(__xludf.DUMMYFUNCTION("""COMPUTED_VALUE"""),"CSM")</f>
        <v>CSM</v>
      </c>
      <c r="G157" s="80">
        <f ca="1">IFERROR(__xludf.DUMMYFUNCTION("""COMPUTED_VALUE"""),44197)</f>
        <v>44197</v>
      </c>
      <c r="H157" s="6" t="str">
        <f ca="1">IFERROR(__xludf.DUMMYFUNCTION("""COMPUTED_VALUE"""),"Won")</f>
        <v>Won</v>
      </c>
      <c r="I157" s="6" t="str">
        <f ca="1">IFERROR(__xludf.DUMMYFUNCTION("""COMPUTED_VALUE"""),"16-17 Jan 2021")</f>
        <v>16-17 Jan 2021</v>
      </c>
      <c r="J157" s="6">
        <f ca="1">IFERROR(__xludf.DUMMYFUNCTION("""COMPUTED_VALUE"""),1)</f>
        <v>1</v>
      </c>
      <c r="K157" s="8">
        <f ca="1">IFERROR(__xludf.DUMMYFUNCTION("""COMPUTED_VALUE"""),20000)</f>
        <v>20000</v>
      </c>
      <c r="L157" s="8">
        <f ca="1">IFERROR(__xludf.DUMMYFUNCTION("""COMPUTED_VALUE"""),229.042601923957)</f>
        <v>229.04260192395699</v>
      </c>
      <c r="M157" s="96">
        <f ca="1">IFERROR(__xludf.DUMMYFUNCTION("""COMPUTED_VALUE"""),44208)</f>
        <v>44208</v>
      </c>
      <c r="N157" s="6" t="str">
        <f ca="1">IFERROR(__xludf.DUMMYFUNCTION("""COMPUTED_VALUE"""),"W2")</f>
        <v>W2</v>
      </c>
      <c r="O157" s="97">
        <f ca="1">IFERROR(__xludf.DUMMYFUNCTION("""COMPUTED_VALUE"""),44209)</f>
        <v>44209</v>
      </c>
      <c r="P157" s="6" t="str">
        <f ca="1">IFERROR(__xludf.DUMMYFUNCTION("""COMPUTED_VALUE"""),"CSTM_FKLQN5KWFIW")</f>
        <v>CSTM_FKLQN5KWFIW</v>
      </c>
      <c r="Q157" s="6"/>
      <c r="R157" s="6" t="str">
        <f ca="1">IFERROR(__xludf.DUMMYFUNCTION("""COMPUTED_VALUE"""),"Pending")</f>
        <v>Pending</v>
      </c>
      <c r="S157" s="6" t="str">
        <f ca="1">IFERROR(__xludf.DUMMYFUNCTION("""COMPUTED_VALUE"""),"Category")</f>
        <v>Category</v>
      </c>
      <c r="T157" s="6"/>
      <c r="U157" s="6"/>
      <c r="V157" s="6"/>
      <c r="W157" s="6"/>
      <c r="X157" s="6"/>
      <c r="Y157" s="6"/>
      <c r="Z157" s="6"/>
      <c r="AA157" s="6"/>
      <c r="AB157" s="6"/>
      <c r="AC157" s="6"/>
      <c r="AD157" s="6"/>
      <c r="AE157" s="6"/>
      <c r="AF157" s="6"/>
      <c r="AG157" s="6"/>
      <c r="AH157" s="6"/>
      <c r="AI157" s="6"/>
      <c r="AJ157" s="6"/>
      <c r="AK157" s="6"/>
      <c r="AL157" s="6"/>
    </row>
    <row r="158" spans="1:38">
      <c r="A158" s="96">
        <f ca="1">IFERROR(__xludf.DUMMYFUNCTION("""COMPUTED_VALUE"""),44210)</f>
        <v>44210</v>
      </c>
      <c r="B158" s="6" t="str">
        <f ca="1">IFERROR(__xludf.DUMMYFUNCTION("""COMPUTED_VALUE"""),"Mayank KL")</f>
        <v>Mayank KL</v>
      </c>
      <c r="C158" s="6" t="str">
        <f ca="1">IFERROR(__xludf.DUMMYFUNCTION("""COMPUTED_VALUE"""),"klsmayank@outlook.com")</f>
        <v>klsmayank@outlook.com</v>
      </c>
      <c r="D158" s="6"/>
      <c r="E158" s="6" t="str">
        <f ca="1">IFERROR(__xludf.DUMMYFUNCTION("""COMPUTED_VALUE"""),"Chat_triggered")</f>
        <v>Chat_triggered</v>
      </c>
      <c r="F158" s="6" t="str">
        <f ca="1">IFERROR(__xludf.DUMMYFUNCTION("""COMPUTED_VALUE"""),"CSM")</f>
        <v>CSM</v>
      </c>
      <c r="G158" s="80">
        <f ca="1">IFERROR(__xludf.DUMMYFUNCTION("""COMPUTED_VALUE"""),44197)</f>
        <v>44197</v>
      </c>
      <c r="H158" s="6" t="str">
        <f ca="1">IFERROR(__xludf.DUMMYFUNCTION("""COMPUTED_VALUE"""),"Won")</f>
        <v>Won</v>
      </c>
      <c r="I158" s="6" t="str">
        <f ca="1">IFERROR(__xludf.DUMMYFUNCTION("""COMPUTED_VALUE"""),"Jan 2021")</f>
        <v>Jan 2021</v>
      </c>
      <c r="J158" s="6">
        <f ca="1">IFERROR(__xludf.DUMMYFUNCTION("""COMPUTED_VALUE"""),1)</f>
        <v>1</v>
      </c>
      <c r="K158" s="8">
        <f ca="1">IFERROR(__xludf.DUMMYFUNCTION("""COMPUTED_VALUE"""),20000)</f>
        <v>20000</v>
      </c>
      <c r="L158" s="8">
        <f ca="1">IFERROR(__xludf.DUMMYFUNCTION("""COMPUTED_VALUE"""),229.042601923957)</f>
        <v>229.04260192395699</v>
      </c>
      <c r="M158" s="96">
        <f ca="1">IFERROR(__xludf.DUMMYFUNCTION("""COMPUTED_VALUE"""),44210)</f>
        <v>44210</v>
      </c>
      <c r="N158" s="6" t="str">
        <f ca="1">IFERROR(__xludf.DUMMYFUNCTION("""COMPUTED_VALUE"""),"W2")</f>
        <v>W2</v>
      </c>
      <c r="O158" s="97">
        <f ca="1">IFERROR(__xludf.DUMMYFUNCTION("""COMPUTED_VALUE"""),44210)</f>
        <v>44210</v>
      </c>
      <c r="P158" s="6" t="str">
        <f ca="1">IFERROR(__xludf.DUMMYFUNCTION("""COMPUTED_VALUE"""),"CSTM_ATLC8LJ0Z3Z")</f>
        <v>CSTM_ATLC8LJ0Z3Z</v>
      </c>
      <c r="Q158" s="6"/>
      <c r="R158" s="6" t="str">
        <f ca="1">IFERROR(__xludf.DUMMYFUNCTION("""COMPUTED_VALUE"""),"Pending")</f>
        <v>Pending</v>
      </c>
      <c r="S158" s="6" t="str">
        <f ca="1">IFERROR(__xludf.DUMMYFUNCTION("""COMPUTED_VALUE"""),"Category")</f>
        <v>Category</v>
      </c>
      <c r="T158" s="6"/>
      <c r="U158" s="6"/>
      <c r="V158" s="6"/>
      <c r="W158" s="6"/>
      <c r="X158" s="6"/>
      <c r="Y158" s="6"/>
      <c r="Z158" s="6"/>
      <c r="AA158" s="6"/>
      <c r="AB158" s="6"/>
      <c r="AC158" s="6"/>
      <c r="AD158" s="6"/>
      <c r="AE158" s="6"/>
      <c r="AF158" s="6"/>
      <c r="AG158" s="6"/>
      <c r="AH158" s="6"/>
      <c r="AI158" s="6"/>
      <c r="AJ158" s="6"/>
      <c r="AK158" s="6"/>
      <c r="AL158" s="6"/>
    </row>
    <row r="159" spans="1:38">
      <c r="A159" s="96">
        <f ca="1">IFERROR(__xludf.DUMMYFUNCTION("""COMPUTED_VALUE"""),44190)</f>
        <v>44190</v>
      </c>
      <c r="B159" s="6" t="str">
        <f ca="1">IFERROR(__xludf.DUMMYFUNCTION("""COMPUTED_VALUE"""),"Archana Ramane")</f>
        <v>Archana Ramane</v>
      </c>
      <c r="C159" s="6" t="str">
        <f ca="1">IFERROR(__xludf.DUMMYFUNCTION("""COMPUTED_VALUE"""),"archana.ramane14@gmail.com")</f>
        <v>archana.ramane14@gmail.com</v>
      </c>
      <c r="D159" s="6">
        <f ca="1">IFERROR(__xludf.DUMMYFUNCTION("""COMPUTED_VALUE"""),8390601515)</f>
        <v>8390601515</v>
      </c>
      <c r="E159" s="6" t="str">
        <f ca="1">IFERROR(__xludf.DUMMYFUNCTION("""COMPUTED_VALUE"""),"Chat_triggered")</f>
        <v>Chat_triggered</v>
      </c>
      <c r="F159" s="6" t="str">
        <f ca="1">IFERROR(__xludf.DUMMYFUNCTION("""COMPUTED_VALUE"""),"CSM")</f>
        <v>CSM</v>
      </c>
      <c r="G159" s="80">
        <f ca="1">IFERROR(__xludf.DUMMYFUNCTION("""COMPUTED_VALUE"""),44197)</f>
        <v>44197</v>
      </c>
      <c r="H159" s="6" t="str">
        <f ca="1">IFERROR(__xludf.DUMMYFUNCTION("""COMPUTED_VALUE"""),"Won")</f>
        <v>Won</v>
      </c>
      <c r="I159" s="6" t="str">
        <f ca="1">IFERROR(__xludf.DUMMYFUNCTION("""COMPUTED_VALUE"""),"16-17 Jan 2021")</f>
        <v>16-17 Jan 2021</v>
      </c>
      <c r="J159" s="6">
        <f ca="1">IFERROR(__xludf.DUMMYFUNCTION("""COMPUTED_VALUE"""),1)</f>
        <v>1</v>
      </c>
      <c r="K159" s="8">
        <f ca="1">IFERROR(__xludf.DUMMYFUNCTION("""COMPUTED_VALUE"""),20000)</f>
        <v>20000</v>
      </c>
      <c r="L159" s="8">
        <f ca="1">IFERROR(__xludf.DUMMYFUNCTION("""COMPUTED_VALUE"""),229.042601923957)</f>
        <v>229.04260192395699</v>
      </c>
      <c r="M159" s="96">
        <f ca="1">IFERROR(__xludf.DUMMYFUNCTION("""COMPUTED_VALUE"""),44232)</f>
        <v>44232</v>
      </c>
      <c r="N159" s="6" t="str">
        <f ca="1">IFERROR(__xludf.DUMMYFUNCTION("""COMPUTED_VALUE"""),"W2")</f>
        <v>W2</v>
      </c>
      <c r="O159" s="97">
        <f ca="1">IFERROR(__xludf.DUMMYFUNCTION("""COMPUTED_VALUE"""),44210)</f>
        <v>44210</v>
      </c>
      <c r="P159" s="6" t="str">
        <f ca="1">IFERROR(__xludf.DUMMYFUNCTION("""COMPUTED_VALUE"""),"CSTM_8O17M3FTKE9")</f>
        <v>CSTM_8O17M3FTKE9</v>
      </c>
      <c r="Q159" s="6"/>
      <c r="R159" s="6" t="str">
        <f ca="1">IFERROR(__xludf.DUMMYFUNCTION("""COMPUTED_VALUE"""),"Pending")</f>
        <v>Pending</v>
      </c>
      <c r="S159" s="6" t="str">
        <f ca="1">IFERROR(__xludf.DUMMYFUNCTION("""COMPUTED_VALUE"""),"Category")</f>
        <v>Category</v>
      </c>
      <c r="T159" s="6"/>
      <c r="U159" s="6"/>
      <c r="V159" s="6"/>
      <c r="W159" s="6"/>
      <c r="X159" s="6"/>
      <c r="Y159" s="6"/>
      <c r="Z159" s="6"/>
      <c r="AA159" s="6"/>
      <c r="AB159" s="6"/>
      <c r="AC159" s="6"/>
      <c r="AD159" s="6"/>
      <c r="AE159" s="6"/>
      <c r="AF159" s="6"/>
      <c r="AG159" s="6"/>
      <c r="AH159" s="6"/>
      <c r="AI159" s="6"/>
      <c r="AJ159" s="6"/>
      <c r="AK159" s="6"/>
      <c r="AL159" s="6"/>
    </row>
    <row r="160" spans="1:38">
      <c r="A160" s="96">
        <f ca="1">IFERROR(__xludf.DUMMYFUNCTION("""COMPUTED_VALUE"""),44208)</f>
        <v>44208</v>
      </c>
      <c r="B160" s="6" t="str">
        <f ca="1">IFERROR(__xludf.DUMMYFUNCTION("""COMPUTED_VALUE"""),"Prem Kiran")</f>
        <v>Prem Kiran</v>
      </c>
      <c r="C160" s="6" t="str">
        <f ca="1">IFERROR(__xludf.DUMMYFUNCTION("""COMPUTED_VALUE"""),"premkiranpk@gmail.com")</f>
        <v>premkiranpk@gmail.com</v>
      </c>
      <c r="D160" s="6">
        <f ca="1">IFERROR(__xludf.DUMMYFUNCTION("""COMPUTED_VALUE"""),9632768913)</f>
        <v>9632768913</v>
      </c>
      <c r="E160" s="6" t="str">
        <f ca="1">IFERROR(__xludf.DUMMYFUNCTION("""COMPUTED_VALUE"""),"chat_initiated")</f>
        <v>chat_initiated</v>
      </c>
      <c r="F160" s="6" t="str">
        <f ca="1">IFERROR(__xludf.DUMMYFUNCTION("""COMPUTED_VALUE"""),"SAFe Agile")</f>
        <v>SAFe Agile</v>
      </c>
      <c r="G160" s="80">
        <f ca="1">IFERROR(__xludf.DUMMYFUNCTION("""COMPUTED_VALUE"""),44197)</f>
        <v>44197</v>
      </c>
      <c r="H160" s="6" t="str">
        <f ca="1">IFERROR(__xludf.DUMMYFUNCTION("""COMPUTED_VALUE"""),"Opportunity")</f>
        <v>Opportunity</v>
      </c>
      <c r="I160" s="6" t="str">
        <f ca="1">IFERROR(__xludf.DUMMYFUNCTION("""COMPUTED_VALUE"""),"30-31 Jan 2021")</f>
        <v>30-31 Jan 2021</v>
      </c>
      <c r="J160" s="6">
        <f ca="1">IFERROR(__xludf.DUMMYFUNCTION("""COMPUTED_VALUE"""),3)</f>
        <v>3</v>
      </c>
      <c r="K160" s="8">
        <f ca="1">IFERROR(__xludf.DUMMYFUNCTION("""COMPUTED_VALUE"""),48000)</f>
        <v>48000</v>
      </c>
      <c r="L160" s="8">
        <f ca="1">IFERROR(__xludf.DUMMYFUNCTION("""COMPUTED_VALUE"""),549.702244617498)</f>
        <v>549.70224461749797</v>
      </c>
      <c r="M160" s="96">
        <f ca="1">IFERROR(__xludf.DUMMYFUNCTION("""COMPUTED_VALUE"""),44214)</f>
        <v>44214</v>
      </c>
      <c r="N160" s="6"/>
      <c r="O160" s="97"/>
      <c r="P160" s="6"/>
      <c r="Q160" s="6"/>
      <c r="R160" s="6"/>
      <c r="S160" s="6" t="str">
        <f ca="1">IFERROR(__xludf.DUMMYFUNCTION("""COMPUTED_VALUE"""),"SAFe")</f>
        <v>SAFe</v>
      </c>
      <c r="T160" s="6"/>
      <c r="U160" s="6"/>
      <c r="V160" s="6"/>
      <c r="W160" s="6"/>
      <c r="X160" s="6"/>
      <c r="Y160" s="6"/>
      <c r="Z160" s="6"/>
      <c r="AA160" s="6"/>
      <c r="AB160" s="6"/>
      <c r="AC160" s="6"/>
      <c r="AD160" s="6"/>
      <c r="AE160" s="6"/>
      <c r="AF160" s="6"/>
      <c r="AG160" s="6"/>
      <c r="AH160" s="6"/>
      <c r="AI160" s="6"/>
      <c r="AJ160" s="6"/>
      <c r="AK160" s="6"/>
      <c r="AL160" s="6"/>
    </row>
    <row r="161" spans="1:38">
      <c r="A161" s="96">
        <f ca="1">IFERROR(__xludf.DUMMYFUNCTION("""COMPUTED_VALUE"""),44158)</f>
        <v>44158</v>
      </c>
      <c r="B161" s="6" t="str">
        <f ca="1">IFERROR(__xludf.DUMMYFUNCTION("""COMPUTED_VALUE"""),"Arun Pai")</f>
        <v>Arun Pai</v>
      </c>
      <c r="C161" s="6" t="str">
        <f ca="1">IFERROR(__xludf.DUMMYFUNCTION("""COMPUTED_VALUE"""),"arun3.1416@gmail.com")</f>
        <v>arun3.1416@gmail.com</v>
      </c>
      <c r="D161" s="6">
        <f ca="1">IFERROR(__xludf.DUMMYFUNCTION("""COMPUTED_VALUE"""),9060677048)</f>
        <v>9060677048</v>
      </c>
      <c r="E161" s="6" t="str">
        <f ca="1">IFERROR(__xludf.DUMMYFUNCTION("""COMPUTED_VALUE"""),"Reference")</f>
        <v>Reference</v>
      </c>
      <c r="F161" s="6" t="str">
        <f ca="1">IFERROR(__xludf.DUMMYFUNCTION("""COMPUTED_VALUE"""),"PMP")</f>
        <v>PMP</v>
      </c>
      <c r="G161" s="80">
        <f ca="1">IFERROR(__xludf.DUMMYFUNCTION("""COMPUTED_VALUE"""),44197)</f>
        <v>44197</v>
      </c>
      <c r="H161" s="6" t="str">
        <f ca="1">IFERROR(__xludf.DUMMYFUNCTION("""COMPUTED_VALUE"""),"Won")</f>
        <v>Won</v>
      </c>
      <c r="I161" s="6" t="str">
        <f ca="1">IFERROR(__xludf.DUMMYFUNCTION("""COMPUTED_VALUE"""),"Jan 2021")</f>
        <v>Jan 2021</v>
      </c>
      <c r="J161" s="6">
        <f ca="1">IFERROR(__xludf.DUMMYFUNCTION("""COMPUTED_VALUE"""),1)</f>
        <v>1</v>
      </c>
      <c r="K161" s="8">
        <f ca="1">IFERROR(__xludf.DUMMYFUNCTION("""COMPUTED_VALUE"""),12500)</f>
        <v>12500</v>
      </c>
      <c r="L161" s="8">
        <f ca="1">IFERROR(__xludf.DUMMYFUNCTION("""COMPUTED_VALUE"""),143.151626202473)</f>
        <v>143.15162620247301</v>
      </c>
      <c r="M161" s="96">
        <f ca="1">IFERROR(__xludf.DUMMYFUNCTION("""COMPUTED_VALUE"""),44256)</f>
        <v>44256</v>
      </c>
      <c r="N161" s="6" t="str">
        <f ca="1">IFERROR(__xludf.DUMMYFUNCTION("""COMPUTED_VALUE"""),"W2")</f>
        <v>W2</v>
      </c>
      <c r="O161" s="97">
        <f ca="1">IFERROR(__xludf.DUMMYFUNCTION("""COMPUTED_VALUE"""),44210)</f>
        <v>44210</v>
      </c>
      <c r="P161" s="6" t="str">
        <f ca="1">IFERROR(__xludf.DUMMYFUNCTION("""COMPUTED_VALUE"""),"CSTM_85AK90LOJLF")</f>
        <v>CSTM_85AK90LOJLF</v>
      </c>
      <c r="Q161" s="6" t="str">
        <f ca="1">IFERROR(__xludf.DUMMYFUNCTION("""COMPUTED_VALUE"""),"Reference by Aravind Devaraj - aravinddevaraj.mec@gmail.com")</f>
        <v>Reference by Aravind Devaraj - aravinddevaraj.mec@gmail.com</v>
      </c>
      <c r="R161" s="6" t="str">
        <f ca="1">IFERROR(__xludf.DUMMYFUNCTION("""COMPUTED_VALUE"""),"Done.")</f>
        <v>Done.</v>
      </c>
      <c r="S161" s="6" t="str">
        <f ca="1">IFERROR(__xludf.DUMMYFUNCTION("""COMPUTED_VALUE"""),"NonCategory")</f>
        <v>NonCategory</v>
      </c>
      <c r="T161" s="6" t="str">
        <f ca="1">IFERROR(__xludf.DUMMYFUNCTION("""COMPUTED_VALUE"""),"Referee's email id already present in the system.")</f>
        <v>Referee's email id already present in the system.</v>
      </c>
      <c r="U161" s="6"/>
      <c r="V161" s="6"/>
      <c r="W161" s="6"/>
      <c r="X161" s="6"/>
      <c r="Y161" s="6"/>
      <c r="Z161" s="6"/>
      <c r="AA161" s="6"/>
      <c r="AB161" s="6"/>
      <c r="AC161" s="6"/>
      <c r="AD161" s="6"/>
      <c r="AE161" s="6"/>
      <c r="AF161" s="6"/>
      <c r="AG161" s="6"/>
      <c r="AH161" s="6"/>
      <c r="AI161" s="6"/>
      <c r="AJ161" s="6"/>
      <c r="AK161" s="6"/>
      <c r="AL161" s="6"/>
    </row>
    <row r="162" spans="1:38">
      <c r="A162" s="96">
        <f ca="1">IFERROR(__xludf.DUMMYFUNCTION("""COMPUTED_VALUE"""),44213)</f>
        <v>44213</v>
      </c>
      <c r="B162" s="6" t="str">
        <f ca="1">IFERROR(__xludf.DUMMYFUNCTION("""COMPUTED_VALUE"""),"Abhiruchi SV")</f>
        <v>Abhiruchi SV</v>
      </c>
      <c r="C162" s="6" t="str">
        <f ca="1">IFERROR(__xludf.DUMMYFUNCTION("""COMPUTED_VALUE"""),"abhiruchi.sv@gmail.com")</f>
        <v>abhiruchi.sv@gmail.com</v>
      </c>
      <c r="D162" s="6">
        <f ca="1">IFERROR(__xludf.DUMMYFUNCTION("""COMPUTED_VALUE"""),6232767103)</f>
        <v>6232767103</v>
      </c>
      <c r="E162" s="6" t="str">
        <f ca="1">IFERROR(__xludf.DUMMYFUNCTION("""COMPUTED_VALUE"""),"course-preview")</f>
        <v>course-preview</v>
      </c>
      <c r="F162" s="6" t="str">
        <f ca="1">IFERROR(__xludf.DUMMYFUNCTION("""COMPUTED_VALUE"""),"CSM")</f>
        <v>CSM</v>
      </c>
      <c r="G162" s="80">
        <f ca="1">IFERROR(__xludf.DUMMYFUNCTION("""COMPUTED_VALUE"""),44197)</f>
        <v>44197</v>
      </c>
      <c r="H162" s="6" t="str">
        <f ca="1">IFERROR(__xludf.DUMMYFUNCTION("""COMPUTED_VALUE"""),"Won")</f>
        <v>Won</v>
      </c>
      <c r="I162" s="6" t="str">
        <f ca="1">IFERROR(__xludf.DUMMYFUNCTION("""COMPUTED_VALUE"""),"23-24 Jan 2021")</f>
        <v>23-24 Jan 2021</v>
      </c>
      <c r="J162" s="6">
        <f ca="1">IFERROR(__xludf.DUMMYFUNCTION("""COMPUTED_VALUE"""),1)</f>
        <v>1</v>
      </c>
      <c r="K162" s="8">
        <f ca="1">IFERROR(__xludf.DUMMYFUNCTION("""COMPUTED_VALUE"""),21000)</f>
        <v>21000</v>
      </c>
      <c r="L162" s="8">
        <f ca="1">IFERROR(__xludf.DUMMYFUNCTION("""COMPUTED_VALUE"""),240.494732020155)</f>
        <v>240.494732020155</v>
      </c>
      <c r="M162" s="96">
        <f ca="1">IFERROR(__xludf.DUMMYFUNCTION("""COMPUTED_VALUE"""),44213)</f>
        <v>44213</v>
      </c>
      <c r="N162" s="6" t="str">
        <f ca="1">IFERROR(__xludf.DUMMYFUNCTION("""COMPUTED_VALUE"""),"W2")</f>
        <v>W2</v>
      </c>
      <c r="O162" s="97">
        <f ca="1">IFERROR(__xludf.DUMMYFUNCTION("""COMPUTED_VALUE"""),44213)</f>
        <v>44213</v>
      </c>
      <c r="P162" s="6" t="str">
        <f ca="1">IFERROR(__xludf.DUMMYFUNCTION("""COMPUTED_VALUE"""),"CSTM_AG9YCXR00X1")</f>
        <v>CSTM_AG9YCXR00X1</v>
      </c>
      <c r="Q162" s="6"/>
      <c r="R162" s="6" t="str">
        <f ca="1">IFERROR(__xludf.DUMMYFUNCTION("""COMPUTED_VALUE"""),"Done. Good feedback.")</f>
        <v>Done. Good feedback.</v>
      </c>
      <c r="S162" s="6" t="str">
        <f ca="1">IFERROR(__xludf.DUMMYFUNCTION("""COMPUTED_VALUE"""),"Category")</f>
        <v>Category</v>
      </c>
      <c r="T162" s="6"/>
      <c r="U162" s="6"/>
      <c r="V162" s="6"/>
      <c r="W162" s="6"/>
      <c r="X162" s="6"/>
      <c r="Y162" s="6"/>
      <c r="Z162" s="6"/>
      <c r="AA162" s="6"/>
      <c r="AB162" s="6"/>
      <c r="AC162" s="6"/>
      <c r="AD162" s="6"/>
      <c r="AE162" s="6"/>
      <c r="AF162" s="6"/>
      <c r="AG162" s="6"/>
      <c r="AH162" s="6"/>
      <c r="AI162" s="6"/>
      <c r="AJ162" s="6"/>
      <c r="AK162" s="6"/>
      <c r="AL162" s="6"/>
    </row>
    <row r="163" spans="1:38">
      <c r="A163" s="96">
        <f ca="1">IFERROR(__xludf.DUMMYFUNCTION("""COMPUTED_VALUE"""),44212)</f>
        <v>44212</v>
      </c>
      <c r="B163" s="6" t="str">
        <f ca="1">IFERROR(__xludf.DUMMYFUNCTION("""COMPUTED_VALUE"""),"Chayan Giri")</f>
        <v>Chayan Giri</v>
      </c>
      <c r="C163" s="6" t="str">
        <f ca="1">IFERROR(__xludf.DUMMYFUNCTION("""COMPUTED_VALUE"""),"chayan.giri@gmail.com")</f>
        <v>chayan.giri@gmail.com</v>
      </c>
      <c r="D163" s="6">
        <f ca="1">IFERROR(__xludf.DUMMYFUNCTION("""COMPUTED_VALUE"""),9830935286)</f>
        <v>9830935286</v>
      </c>
      <c r="E163" s="6" t="str">
        <f ca="1">IFERROR(__xludf.DUMMYFUNCTION("""COMPUTED_VALUE"""),"Reference")</f>
        <v>Reference</v>
      </c>
      <c r="F163" s="6" t="str">
        <f ca="1">IFERROR(__xludf.DUMMYFUNCTION("""COMPUTED_VALUE"""),"CSM")</f>
        <v>CSM</v>
      </c>
      <c r="G163" s="80">
        <f ca="1">IFERROR(__xludf.DUMMYFUNCTION("""COMPUTED_VALUE"""),44197)</f>
        <v>44197</v>
      </c>
      <c r="H163" s="6" t="str">
        <f ca="1">IFERROR(__xludf.DUMMYFUNCTION("""COMPUTED_VALUE"""),"Won")</f>
        <v>Won</v>
      </c>
      <c r="I163" s="6" t="str">
        <f ca="1">IFERROR(__xludf.DUMMYFUNCTION("""COMPUTED_VALUE"""),"30-31 Jan 2021")</f>
        <v>30-31 Jan 2021</v>
      </c>
      <c r="J163" s="6">
        <f ca="1">IFERROR(__xludf.DUMMYFUNCTION("""COMPUTED_VALUE"""),1)</f>
        <v>1</v>
      </c>
      <c r="K163" s="8">
        <f ca="1">IFERROR(__xludf.DUMMYFUNCTION("""COMPUTED_VALUE"""),19000)</f>
        <v>19000</v>
      </c>
      <c r="L163" s="8">
        <f ca="1">IFERROR(__xludf.DUMMYFUNCTION("""COMPUTED_VALUE"""),217.590471827759)</f>
        <v>217.59047182775899</v>
      </c>
      <c r="M163" s="96">
        <f ca="1">IFERROR(__xludf.DUMMYFUNCTION("""COMPUTED_VALUE"""),44214)</f>
        <v>44214</v>
      </c>
      <c r="N163" s="6" t="str">
        <f ca="1">IFERROR(__xludf.DUMMYFUNCTION("""COMPUTED_VALUE"""),"W2")</f>
        <v>W2</v>
      </c>
      <c r="O163" s="97">
        <f ca="1">IFERROR(__xludf.DUMMYFUNCTION("""COMPUTED_VALUE"""),44213)</f>
        <v>44213</v>
      </c>
      <c r="P163" s="6" t="str">
        <f ca="1">IFERROR(__xludf.DUMMYFUNCTION("""COMPUTED_VALUE"""),"CSTM_96OCN839JEL")</f>
        <v>CSTM_96OCN839JEL</v>
      </c>
      <c r="Q163" s="6" t="str">
        <f ca="1">IFERROR(__xludf.DUMMYFUNCTION("""COMPUTED_VALUE"""),"By Keerti - Somnath C - Used it already on 9 Feb 2021")</f>
        <v>By Keerti - Somnath C - Used it already on 9 Feb 2021</v>
      </c>
      <c r="R163" s="6" t="str">
        <f ca="1">IFERROR(__xludf.DUMMYFUNCTION("""COMPUTED_VALUE"""),"Done. Good feedback.")</f>
        <v>Done. Good feedback.</v>
      </c>
      <c r="S163" s="6" t="str">
        <f ca="1">IFERROR(__xludf.DUMMYFUNCTION("""COMPUTED_VALUE"""),"Category")</f>
        <v>Category</v>
      </c>
      <c r="T163" s="6" t="str">
        <f ca="1">IFERROR(__xludf.DUMMYFUNCTION("""COMPUTED_VALUE"""),"Sent.")</f>
        <v>Sent.</v>
      </c>
      <c r="U163" s="6"/>
      <c r="V163" s="6"/>
      <c r="W163" s="6"/>
      <c r="X163" s="6"/>
      <c r="Y163" s="6"/>
      <c r="Z163" s="6"/>
      <c r="AA163" s="6"/>
      <c r="AB163" s="6"/>
      <c r="AC163" s="6"/>
      <c r="AD163" s="6"/>
      <c r="AE163" s="6"/>
      <c r="AF163" s="6"/>
      <c r="AG163" s="6"/>
      <c r="AH163" s="6"/>
      <c r="AI163" s="6"/>
      <c r="AJ163" s="6"/>
      <c r="AK163" s="6"/>
      <c r="AL163" s="6"/>
    </row>
    <row r="164" spans="1:38">
      <c r="A164" s="96">
        <f ca="1">IFERROR(__xludf.DUMMYFUNCTION("""COMPUTED_VALUE"""),44209)</f>
        <v>44209</v>
      </c>
      <c r="B164" s="6" t="str">
        <f ca="1">IFERROR(__xludf.DUMMYFUNCTION("""COMPUTED_VALUE"""),"Rupa Dutt")</f>
        <v>Rupa Dutt</v>
      </c>
      <c r="C164" s="6" t="str">
        <f ca="1">IFERROR(__xludf.DUMMYFUNCTION("""COMPUTED_VALUE"""),"rupadutt@gmail.com")</f>
        <v>rupadutt@gmail.com</v>
      </c>
      <c r="D164" s="6">
        <f ca="1">IFERROR(__xludf.DUMMYFUNCTION("""COMPUTED_VALUE"""),9836589487)</f>
        <v>9836589487</v>
      </c>
      <c r="E164" s="6" t="str">
        <f ca="1">IFERROR(__xludf.DUMMYFUNCTION("""COMPUTED_VALUE"""),"Query box")</f>
        <v>Query box</v>
      </c>
      <c r="F164" s="6" t="str">
        <f ca="1">IFERROR(__xludf.DUMMYFUNCTION("""COMPUTED_VALUE"""),"SAFe POPM")</f>
        <v>SAFe POPM</v>
      </c>
      <c r="G164" s="80">
        <f ca="1">IFERROR(__xludf.DUMMYFUNCTION("""COMPUTED_VALUE"""),44197)</f>
        <v>44197</v>
      </c>
      <c r="H164" s="6" t="str">
        <f ca="1">IFERROR(__xludf.DUMMYFUNCTION("""COMPUTED_VALUE"""),"Opportunity")</f>
        <v>Opportunity</v>
      </c>
      <c r="I164" s="6" t="str">
        <f ca="1">IFERROR(__xludf.DUMMYFUNCTION("""COMPUTED_VALUE"""),"30-31 Jan 2021")</f>
        <v>30-31 Jan 2021</v>
      </c>
      <c r="J164" s="6">
        <f ca="1">IFERROR(__xludf.DUMMYFUNCTION("""COMPUTED_VALUE"""),1)</f>
        <v>1</v>
      </c>
      <c r="K164" s="8">
        <f ca="1">IFERROR(__xludf.DUMMYFUNCTION("""COMPUTED_VALUE"""),53100)</f>
        <v>53100</v>
      </c>
      <c r="L164" s="8">
        <f ca="1">IFERROR(__xludf.DUMMYFUNCTION("""COMPUTED_VALUE"""),608.108108108108)</f>
        <v>608.10810810810801</v>
      </c>
      <c r="M164" s="96">
        <f ca="1">IFERROR(__xludf.DUMMYFUNCTION("""COMPUTED_VALUE"""),44211)</f>
        <v>44211</v>
      </c>
      <c r="N164" s="6"/>
      <c r="O164" s="97"/>
      <c r="P164" s="6"/>
      <c r="Q164" s="6"/>
      <c r="R164" s="6"/>
      <c r="S164" s="6" t="str">
        <f ca="1">IFERROR(__xludf.DUMMYFUNCTION("""COMPUTED_VALUE"""),"SAFe")</f>
        <v>SAFe</v>
      </c>
      <c r="T164" s="6"/>
      <c r="U164" s="6"/>
      <c r="V164" s="6"/>
      <c r="W164" s="6"/>
      <c r="X164" s="6"/>
      <c r="Y164" s="6"/>
      <c r="Z164" s="6"/>
      <c r="AA164" s="6"/>
      <c r="AB164" s="6"/>
      <c r="AC164" s="6"/>
      <c r="AD164" s="6"/>
      <c r="AE164" s="6"/>
      <c r="AF164" s="6"/>
      <c r="AG164" s="6"/>
      <c r="AH164" s="6"/>
      <c r="AI164" s="6"/>
      <c r="AJ164" s="6"/>
      <c r="AK164" s="6"/>
      <c r="AL164" s="6"/>
    </row>
    <row r="165" spans="1:38">
      <c r="A165" s="96">
        <f ca="1">IFERROR(__xludf.DUMMYFUNCTION("""COMPUTED_VALUE"""),44209)</f>
        <v>44209</v>
      </c>
      <c r="B165" s="6" t="str">
        <f ca="1">IFERROR(__xludf.DUMMYFUNCTION("""COMPUTED_VALUE"""),"Babu Yarra")</f>
        <v>Babu Yarra</v>
      </c>
      <c r="C165" s="6" t="str">
        <f ca="1">IFERROR(__xludf.DUMMYFUNCTION("""COMPUTED_VALUE"""),"yarra_b@yahoo.com")</f>
        <v>yarra_b@yahoo.com</v>
      </c>
      <c r="D165" s="6">
        <f ca="1">IFERROR(__xludf.DUMMYFUNCTION("""COMPUTED_VALUE"""),8884300435)</f>
        <v>8884300435</v>
      </c>
      <c r="E165" s="6" t="str">
        <f ca="1">IFERROR(__xludf.DUMMYFUNCTION("""COMPUTED_VALUE"""),"Request a call")</f>
        <v>Request a call</v>
      </c>
      <c r="F165" s="6" t="str">
        <f ca="1">IFERROR(__xludf.DUMMYFUNCTION("""COMPUTED_VALUE"""),"CSM")</f>
        <v>CSM</v>
      </c>
      <c r="G165" s="80">
        <f ca="1">IFERROR(__xludf.DUMMYFUNCTION("""COMPUTED_VALUE"""),44197)</f>
        <v>44197</v>
      </c>
      <c r="H165" s="6" t="str">
        <f ca="1">IFERROR(__xludf.DUMMYFUNCTION("""COMPUTED_VALUE"""),"Opportunity")</f>
        <v>Opportunity</v>
      </c>
      <c r="I165" s="6" t="str">
        <f ca="1">IFERROR(__xludf.DUMMYFUNCTION("""COMPUTED_VALUE"""),"16-17 Jan 2021")</f>
        <v>16-17 Jan 2021</v>
      </c>
      <c r="J165" s="6">
        <f ca="1">IFERROR(__xludf.DUMMYFUNCTION("""COMPUTED_VALUE"""),1)</f>
        <v>1</v>
      </c>
      <c r="K165" s="8">
        <f ca="1">IFERROR(__xludf.DUMMYFUNCTION("""COMPUTED_VALUE"""),22000)</f>
        <v>22000</v>
      </c>
      <c r="L165" s="8">
        <f ca="1">IFERROR(__xludf.DUMMYFUNCTION("""COMPUTED_VALUE"""),251.946862116353)</f>
        <v>251.946862116353</v>
      </c>
      <c r="M165" s="96">
        <f ca="1">IFERROR(__xludf.DUMMYFUNCTION("""COMPUTED_VALUE"""),44210)</f>
        <v>44210</v>
      </c>
      <c r="N165" s="6"/>
      <c r="O165" s="97"/>
      <c r="P165" s="6"/>
      <c r="Q165" s="6"/>
      <c r="R165" s="6"/>
      <c r="S165" s="6" t="str">
        <f ca="1">IFERROR(__xludf.DUMMYFUNCTION("""COMPUTED_VALUE"""),"Category")</f>
        <v>Category</v>
      </c>
      <c r="T165" s="6"/>
      <c r="U165" s="6"/>
      <c r="V165" s="6"/>
      <c r="W165" s="6"/>
      <c r="X165" s="6"/>
      <c r="Y165" s="6"/>
      <c r="Z165" s="6"/>
      <c r="AA165" s="6"/>
      <c r="AB165" s="6"/>
      <c r="AC165" s="6"/>
      <c r="AD165" s="6"/>
      <c r="AE165" s="6"/>
      <c r="AF165" s="6"/>
      <c r="AG165" s="6"/>
      <c r="AH165" s="6"/>
      <c r="AI165" s="6"/>
      <c r="AJ165" s="6"/>
      <c r="AK165" s="6"/>
      <c r="AL165" s="6"/>
    </row>
    <row r="166" spans="1:38">
      <c r="A166" s="96">
        <f ca="1">IFERROR(__xludf.DUMMYFUNCTION("""COMPUTED_VALUE"""),44213)</f>
        <v>44213</v>
      </c>
      <c r="B166" s="6" t="str">
        <f ca="1">IFERROR(__xludf.DUMMYFUNCTION("""COMPUTED_VALUE"""),"Amarnath Ganesh")</f>
        <v>Amarnath Ganesh</v>
      </c>
      <c r="C166" s="6" t="str">
        <f ca="1">IFERROR(__xludf.DUMMYFUNCTION("""COMPUTED_VALUE"""),"amarganeshamar@gmail.com")</f>
        <v>amarganeshamar@gmail.com</v>
      </c>
      <c r="D166" s="6">
        <f ca="1">IFERROR(__xludf.DUMMYFUNCTION("""COMPUTED_VALUE"""),9035798960)</f>
        <v>9035798960</v>
      </c>
      <c r="E166" s="6" t="str">
        <f ca="1">IFERROR(__xludf.DUMMYFUNCTION("""COMPUTED_VALUE"""),"Query box")</f>
        <v>Query box</v>
      </c>
      <c r="F166" s="6" t="str">
        <f ca="1">IFERROR(__xludf.DUMMYFUNCTION("""COMPUTED_VALUE"""),"CSM")</f>
        <v>CSM</v>
      </c>
      <c r="G166" s="80">
        <f ca="1">IFERROR(__xludf.DUMMYFUNCTION("""COMPUTED_VALUE"""),44197)</f>
        <v>44197</v>
      </c>
      <c r="H166" s="6" t="str">
        <f ca="1">IFERROR(__xludf.DUMMYFUNCTION("""COMPUTED_VALUE"""),"Won")</f>
        <v>Won</v>
      </c>
      <c r="I166" s="6" t="str">
        <f ca="1">IFERROR(__xludf.DUMMYFUNCTION("""COMPUTED_VALUE"""),"23-24 Jan 2021")</f>
        <v>23-24 Jan 2021</v>
      </c>
      <c r="J166" s="6">
        <f ca="1">IFERROR(__xludf.DUMMYFUNCTION("""COMPUTED_VALUE"""),1)</f>
        <v>1</v>
      </c>
      <c r="K166" s="8">
        <f ca="1">IFERROR(__xludf.DUMMYFUNCTION("""COMPUTED_VALUE"""),20000)</f>
        <v>20000</v>
      </c>
      <c r="L166" s="8">
        <f ca="1">IFERROR(__xludf.DUMMYFUNCTION("""COMPUTED_VALUE"""),229.042601923957)</f>
        <v>229.04260192395699</v>
      </c>
      <c r="M166" s="96">
        <f ca="1">IFERROR(__xludf.DUMMYFUNCTION("""COMPUTED_VALUE"""),44215)</f>
        <v>44215</v>
      </c>
      <c r="N166" s="6" t="str">
        <f ca="1">IFERROR(__xludf.DUMMYFUNCTION("""COMPUTED_VALUE"""),"W3")</f>
        <v>W3</v>
      </c>
      <c r="O166" s="97">
        <f ca="1">IFERROR(__xludf.DUMMYFUNCTION("""COMPUTED_VALUE"""),44216)</f>
        <v>44216</v>
      </c>
      <c r="P166" s="6" t="str">
        <f ca="1">IFERROR(__xludf.DUMMYFUNCTION("""COMPUTED_VALUE"""),"CSTM_7YCCJ87F4VK")</f>
        <v>CSTM_7YCCJ87F4VK</v>
      </c>
      <c r="Q166" s="6"/>
      <c r="R166" s="6" t="str">
        <f ca="1">IFERROR(__xludf.DUMMYFUNCTION("""COMPUTED_VALUE"""),"Done. Good feedback.")</f>
        <v>Done. Good feedback.</v>
      </c>
      <c r="S166" s="6" t="str">
        <f ca="1">IFERROR(__xludf.DUMMYFUNCTION("""COMPUTED_VALUE"""),"Category")</f>
        <v>Category</v>
      </c>
      <c r="T166" s="6"/>
      <c r="U166" s="6"/>
      <c r="V166" s="6"/>
      <c r="W166" s="6"/>
      <c r="X166" s="6"/>
      <c r="Y166" s="6"/>
      <c r="Z166" s="6"/>
      <c r="AA166" s="6"/>
      <c r="AB166" s="6"/>
      <c r="AC166" s="6"/>
      <c r="AD166" s="6"/>
      <c r="AE166" s="6"/>
      <c r="AF166" s="6"/>
      <c r="AG166" s="6"/>
      <c r="AH166" s="6"/>
      <c r="AI166" s="6"/>
      <c r="AJ166" s="6"/>
      <c r="AK166" s="6"/>
      <c r="AL166" s="6"/>
    </row>
    <row r="167" spans="1:38">
      <c r="A167" s="96">
        <f ca="1">IFERROR(__xludf.DUMMYFUNCTION("""COMPUTED_VALUE"""),44211)</f>
        <v>44211</v>
      </c>
      <c r="B167" s="6" t="str">
        <f ca="1">IFERROR(__xludf.DUMMYFUNCTION("""COMPUTED_VALUE"""),"Vahini Meka")</f>
        <v>Vahini Meka</v>
      </c>
      <c r="C167" s="6" t="str">
        <f ca="1">IFERROR(__xludf.DUMMYFUNCTION("""COMPUTED_VALUE"""),"vahiniva@gmail.com")</f>
        <v>vahiniva@gmail.com</v>
      </c>
      <c r="D167" s="6">
        <f ca="1">IFERROR(__xludf.DUMMYFUNCTION("""COMPUTED_VALUE"""),9849063535)</f>
        <v>9849063535</v>
      </c>
      <c r="E167" s="6" t="str">
        <f ca="1">IFERROR(__xludf.DUMMYFUNCTION("""COMPUTED_VALUE"""),"Query box")</f>
        <v>Query box</v>
      </c>
      <c r="F167" s="6" t="str">
        <f ca="1">IFERROR(__xludf.DUMMYFUNCTION("""COMPUTED_VALUE"""),"CSM")</f>
        <v>CSM</v>
      </c>
      <c r="G167" s="80">
        <f ca="1">IFERROR(__xludf.DUMMYFUNCTION("""COMPUTED_VALUE"""),44197)</f>
        <v>44197</v>
      </c>
      <c r="H167" s="6" t="str">
        <f ca="1">IFERROR(__xludf.DUMMYFUNCTION("""COMPUTED_VALUE"""),"Opportunity")</f>
        <v>Opportunity</v>
      </c>
      <c r="I167" s="6" t="str">
        <f ca="1">IFERROR(__xludf.DUMMYFUNCTION("""COMPUTED_VALUE"""),"23-24 Jan 2021")</f>
        <v>23-24 Jan 2021</v>
      </c>
      <c r="J167" s="6">
        <f ca="1">IFERROR(__xludf.DUMMYFUNCTION("""COMPUTED_VALUE"""),1)</f>
        <v>1</v>
      </c>
      <c r="K167" s="8">
        <f ca="1">IFERROR(__xludf.DUMMYFUNCTION("""COMPUTED_VALUE"""),22000)</f>
        <v>22000</v>
      </c>
      <c r="L167" s="8">
        <f ca="1">IFERROR(__xludf.DUMMYFUNCTION("""COMPUTED_VALUE"""),251.946862116353)</f>
        <v>251.946862116353</v>
      </c>
      <c r="M167" s="96">
        <f ca="1">IFERROR(__xludf.DUMMYFUNCTION("""COMPUTED_VALUE"""),44214)</f>
        <v>44214</v>
      </c>
      <c r="N167" s="6"/>
      <c r="O167" s="97"/>
      <c r="P167" s="6"/>
      <c r="Q167" s="6"/>
      <c r="R167" s="6"/>
      <c r="S167" s="6" t="str">
        <f ca="1">IFERROR(__xludf.DUMMYFUNCTION("""COMPUTED_VALUE"""),"Category")</f>
        <v>Category</v>
      </c>
      <c r="T167" s="6"/>
      <c r="U167" s="6"/>
      <c r="V167" s="6"/>
      <c r="W167" s="6"/>
      <c r="X167" s="6"/>
      <c r="Y167" s="6"/>
      <c r="Z167" s="6"/>
      <c r="AA167" s="6"/>
      <c r="AB167" s="6"/>
      <c r="AC167" s="6"/>
      <c r="AD167" s="6"/>
      <c r="AE167" s="6"/>
      <c r="AF167" s="6"/>
      <c r="AG167" s="6"/>
      <c r="AH167" s="6"/>
      <c r="AI167" s="6"/>
      <c r="AJ167" s="6"/>
      <c r="AK167" s="6"/>
      <c r="AL167" s="6"/>
    </row>
    <row r="168" spans="1:38">
      <c r="A168" s="96">
        <f ca="1">IFERROR(__xludf.DUMMYFUNCTION("""COMPUTED_VALUE"""),44212)</f>
        <v>44212</v>
      </c>
      <c r="B168" s="6" t="str">
        <f ca="1">IFERROR(__xludf.DUMMYFUNCTION("""COMPUTED_VALUE"""),"Shahin")</f>
        <v>Shahin</v>
      </c>
      <c r="C168" s="6" t="str">
        <f ca="1">IFERROR(__xludf.DUMMYFUNCTION("""COMPUTED_VALUE"""),"shahin9m@yahoo.com/ shahinapps@gmail.com")</f>
        <v>shahin9m@yahoo.com/ shahinapps@gmail.com</v>
      </c>
      <c r="D168" s="6">
        <f ca="1">IFERROR(__xludf.DUMMYFUNCTION("""COMPUTED_VALUE"""),9172613019)</f>
        <v>9172613019</v>
      </c>
      <c r="E168" s="6" t="str">
        <f ca="1">IFERROR(__xludf.DUMMYFUNCTION("""COMPUTED_VALUE"""),"chat_initiated")</f>
        <v>chat_initiated</v>
      </c>
      <c r="F168" s="6" t="str">
        <f ca="1">IFERROR(__xludf.DUMMYFUNCTION("""COMPUTED_VALUE"""),"SAFe Agile")</f>
        <v>SAFe Agile</v>
      </c>
      <c r="G168" s="80">
        <f ca="1">IFERROR(__xludf.DUMMYFUNCTION("""COMPUTED_VALUE"""),44197)</f>
        <v>44197</v>
      </c>
      <c r="H168" s="6" t="str">
        <f ca="1">IFERROR(__xludf.DUMMYFUNCTION("""COMPUTED_VALUE"""),"Opportunity")</f>
        <v>Opportunity</v>
      </c>
      <c r="I168" s="6" t="str">
        <f ca="1">IFERROR(__xludf.DUMMYFUNCTION("""COMPUTED_VALUE"""),"13-14 Feb 2021")</f>
        <v>13-14 Feb 2021</v>
      </c>
      <c r="J168" s="6">
        <f ca="1">IFERROR(__xludf.DUMMYFUNCTION("""COMPUTED_VALUE"""),1)</f>
        <v>1</v>
      </c>
      <c r="K168" s="8">
        <f ca="1">IFERROR(__xludf.DUMMYFUNCTION("""COMPUTED_VALUE"""),53100)</f>
        <v>53100</v>
      </c>
      <c r="L168" s="8">
        <f ca="1">IFERROR(__xludf.DUMMYFUNCTION("""COMPUTED_VALUE"""),608.108108108108)</f>
        <v>608.10810810810801</v>
      </c>
      <c r="M168" s="96">
        <f ca="1">IFERROR(__xludf.DUMMYFUNCTION("""COMPUTED_VALUE"""),44216)</f>
        <v>44216</v>
      </c>
      <c r="N168" s="6"/>
      <c r="O168" s="97"/>
      <c r="P168" s="6"/>
      <c r="Q168" s="6"/>
      <c r="R168" s="6"/>
      <c r="S168" s="6" t="str">
        <f ca="1">IFERROR(__xludf.DUMMYFUNCTION("""COMPUTED_VALUE"""),"SAFe")</f>
        <v>SAFe</v>
      </c>
      <c r="T168" s="6"/>
      <c r="U168" s="6"/>
      <c r="V168" s="6"/>
      <c r="W168" s="6"/>
      <c r="X168" s="6"/>
      <c r="Y168" s="6"/>
      <c r="Z168" s="6"/>
      <c r="AA168" s="6"/>
      <c r="AB168" s="6"/>
      <c r="AC168" s="6"/>
      <c r="AD168" s="6"/>
      <c r="AE168" s="6"/>
      <c r="AF168" s="6"/>
      <c r="AG168" s="6"/>
      <c r="AH168" s="6"/>
      <c r="AI168" s="6"/>
      <c r="AJ168" s="6"/>
      <c r="AK168" s="6"/>
      <c r="AL168" s="6"/>
    </row>
    <row r="169" spans="1:38">
      <c r="A169" s="96">
        <f ca="1">IFERROR(__xludf.DUMMYFUNCTION("""COMPUTED_VALUE"""),44214)</f>
        <v>44214</v>
      </c>
      <c r="B169" s="6" t="str">
        <f ca="1">IFERROR(__xludf.DUMMYFUNCTION("""COMPUTED_VALUE"""),"Praveen Nair")</f>
        <v>Praveen Nair</v>
      </c>
      <c r="C169" s="6" t="str">
        <f ca="1">IFERROR(__xludf.DUMMYFUNCTION("""COMPUTED_VALUE"""),"praveen.nair86@gmail.com")</f>
        <v>praveen.nair86@gmail.com</v>
      </c>
      <c r="D169" s="6">
        <f ca="1">IFERROR(__xludf.DUMMYFUNCTION("""COMPUTED_VALUE"""),9652911644)</f>
        <v>9652911644</v>
      </c>
      <c r="E169" s="6" t="str">
        <f ca="1">IFERROR(__xludf.DUMMYFUNCTION("""COMPUTED_VALUE"""),"Account - Repeat")</f>
        <v>Account - Repeat</v>
      </c>
      <c r="F169" s="6" t="str">
        <f ca="1">IFERROR(__xludf.DUMMYFUNCTION("""COMPUTED_VALUE"""),"KMP1")</f>
        <v>KMP1</v>
      </c>
      <c r="G169" s="80">
        <f ca="1">IFERROR(__xludf.DUMMYFUNCTION("""COMPUTED_VALUE"""),44197)</f>
        <v>44197</v>
      </c>
      <c r="H169" s="6" t="str">
        <f ca="1">IFERROR(__xludf.DUMMYFUNCTION("""COMPUTED_VALUE"""),"Won")</f>
        <v>Won</v>
      </c>
      <c r="I169" s="6" t="str">
        <f ca="1">IFERROR(__xludf.DUMMYFUNCTION("""COMPUTED_VALUE"""),"23-24 Jan 2021")</f>
        <v>23-24 Jan 2021</v>
      </c>
      <c r="J169" s="6">
        <f ca="1">IFERROR(__xludf.DUMMYFUNCTION("""COMPUTED_VALUE"""),1)</f>
        <v>1</v>
      </c>
      <c r="K169" s="8">
        <f ca="1">IFERROR(__xludf.DUMMYFUNCTION("""COMPUTED_VALUE"""),33000)</f>
        <v>33000</v>
      </c>
      <c r="L169" s="8">
        <f ca="1">IFERROR(__xludf.DUMMYFUNCTION("""COMPUTED_VALUE"""),377.92029317453)</f>
        <v>377.92029317453</v>
      </c>
      <c r="M169" s="96">
        <f ca="1">IFERROR(__xludf.DUMMYFUNCTION("""COMPUTED_VALUE"""),44216)</f>
        <v>44216</v>
      </c>
      <c r="N169" s="6" t="str">
        <f ca="1">IFERROR(__xludf.DUMMYFUNCTION("""COMPUTED_VALUE"""),"W3")</f>
        <v>W3</v>
      </c>
      <c r="O169" s="97">
        <f ca="1">IFERROR(__xludf.DUMMYFUNCTION("""COMPUTED_VALUE"""),44216)</f>
        <v>44216</v>
      </c>
      <c r="P169" s="6" t="str">
        <f ca="1">IFERROR(__xludf.DUMMYFUNCTION("""COMPUTED_VALUE"""),"CSTM_J6LEGX14RW7")</f>
        <v>CSTM_J6LEGX14RW7</v>
      </c>
      <c r="Q169" s="6"/>
      <c r="R169" s="6" t="str">
        <f ca="1">IFERROR(__xludf.DUMMYFUNCTION("""COMPUTED_VALUE"""),"Done. Good feedback.")</f>
        <v>Done. Good feedback.</v>
      </c>
      <c r="S169" s="6" t="str">
        <f ca="1">IFERROR(__xludf.DUMMYFUNCTION("""COMPUTED_VALUE"""),"NonCategory")</f>
        <v>NonCategory</v>
      </c>
      <c r="T169" s="6"/>
      <c r="U169" s="6"/>
      <c r="V169" s="6"/>
      <c r="W169" s="6"/>
      <c r="X169" s="6"/>
      <c r="Y169" s="6"/>
      <c r="Z169" s="6"/>
      <c r="AA169" s="6"/>
      <c r="AB169" s="6"/>
      <c r="AC169" s="6"/>
      <c r="AD169" s="6"/>
      <c r="AE169" s="6"/>
      <c r="AF169" s="6"/>
      <c r="AG169" s="6"/>
      <c r="AH169" s="6"/>
      <c r="AI169" s="6"/>
      <c r="AJ169" s="6"/>
      <c r="AK169" s="6"/>
      <c r="AL169" s="6"/>
    </row>
    <row r="170" spans="1:38">
      <c r="A170" s="96">
        <f ca="1">IFERROR(__xludf.DUMMYFUNCTION("""COMPUTED_VALUE"""),44216)</f>
        <v>44216</v>
      </c>
      <c r="B170" s="6" t="str">
        <f ca="1">IFERROR(__xludf.DUMMYFUNCTION("""COMPUTED_VALUE"""),"Prabharan K")</f>
        <v>Prabharan K</v>
      </c>
      <c r="C170" s="6" t="str">
        <f ca="1">IFERROR(__xludf.DUMMYFUNCTION("""COMPUTED_VALUE"""),"kprabaaharan@gmail.com")</f>
        <v>kprabaaharan@gmail.com</v>
      </c>
      <c r="D170" s="6">
        <f ca="1">IFERROR(__xludf.DUMMYFUNCTION("""COMPUTED_VALUE"""),7338818080)</f>
        <v>7338818080</v>
      </c>
      <c r="E170" s="6" t="str">
        <f ca="1">IFERROR(__xludf.DUMMYFUNCTION("""COMPUTED_VALUE"""),"auto-repeat")</f>
        <v>auto-repeat</v>
      </c>
      <c r="F170" s="6" t="str">
        <f ca="1">IFERROR(__xludf.DUMMYFUNCTION("""COMPUTED_VALUE"""),"CSM")</f>
        <v>CSM</v>
      </c>
      <c r="G170" s="80">
        <f ca="1">IFERROR(__xludf.DUMMYFUNCTION("""COMPUTED_VALUE"""),44197)</f>
        <v>44197</v>
      </c>
      <c r="H170" s="6" t="str">
        <f ca="1">IFERROR(__xludf.DUMMYFUNCTION("""COMPUTED_VALUE"""),"Won")</f>
        <v>Won</v>
      </c>
      <c r="I170" s="6" t="str">
        <f ca="1">IFERROR(__xludf.DUMMYFUNCTION("""COMPUTED_VALUE"""),"30-31 Jan 2021")</f>
        <v>30-31 Jan 2021</v>
      </c>
      <c r="J170" s="6">
        <f ca="1">IFERROR(__xludf.DUMMYFUNCTION("""COMPUTED_VALUE"""),1)</f>
        <v>1</v>
      </c>
      <c r="K170" s="8">
        <f ca="1">IFERROR(__xludf.DUMMYFUNCTION("""COMPUTED_VALUE"""),20500)</f>
        <v>20500</v>
      </c>
      <c r="L170" s="8">
        <f ca="1">IFERROR(__xludf.DUMMYFUNCTION("""COMPUTED_VALUE"""),234.768666972056)</f>
        <v>234.768666972056</v>
      </c>
      <c r="M170" s="96">
        <f ca="1">IFERROR(__xludf.DUMMYFUNCTION("""COMPUTED_VALUE"""),44217)</f>
        <v>44217</v>
      </c>
      <c r="N170" s="6" t="str">
        <f ca="1">IFERROR(__xludf.DUMMYFUNCTION("""COMPUTED_VALUE"""),"W3")</f>
        <v>W3</v>
      </c>
      <c r="O170" s="97">
        <f ca="1">IFERROR(__xludf.DUMMYFUNCTION("""COMPUTED_VALUE"""),44217)</f>
        <v>44217</v>
      </c>
      <c r="P170" s="6" t="str">
        <f ca="1">IFERROR(__xludf.DUMMYFUNCTION("""COMPUTED_VALUE"""),"CSTM_3E011MZ40ZF")</f>
        <v>CSTM_3E011MZ40ZF</v>
      </c>
      <c r="Q170" s="6"/>
      <c r="R170" s="6" t="str">
        <f ca="1">IFERROR(__xludf.DUMMYFUNCTION("""COMPUTED_VALUE"""),"Pending")</f>
        <v>Pending</v>
      </c>
      <c r="S170" s="6" t="str">
        <f ca="1">IFERROR(__xludf.DUMMYFUNCTION("""COMPUTED_VALUE"""),"Category")</f>
        <v>Category</v>
      </c>
      <c r="T170" s="6"/>
      <c r="U170" s="6"/>
      <c r="V170" s="6"/>
      <c r="W170" s="6"/>
      <c r="X170" s="6"/>
      <c r="Y170" s="6"/>
      <c r="Z170" s="6"/>
      <c r="AA170" s="6"/>
      <c r="AB170" s="6"/>
      <c r="AC170" s="6"/>
      <c r="AD170" s="6"/>
      <c r="AE170" s="6"/>
      <c r="AF170" s="6"/>
      <c r="AG170" s="6"/>
      <c r="AH170" s="6"/>
      <c r="AI170" s="6"/>
      <c r="AJ170" s="6"/>
      <c r="AK170" s="6"/>
      <c r="AL170" s="6"/>
    </row>
    <row r="171" spans="1:38">
      <c r="A171" s="96">
        <f ca="1">IFERROR(__xludf.DUMMYFUNCTION("""COMPUTED_VALUE"""),44213)</f>
        <v>44213</v>
      </c>
      <c r="B171" s="6" t="str">
        <f ca="1">IFERROR(__xludf.DUMMYFUNCTION("""COMPUTED_VALUE"""),"Sandeep")</f>
        <v>Sandeep</v>
      </c>
      <c r="C171" s="6" t="str">
        <f ca="1">IFERROR(__xludf.DUMMYFUNCTION("""COMPUTED_VALUE"""),"sandeepsan9@gmail.com")</f>
        <v>sandeepsan9@gmail.com</v>
      </c>
      <c r="D171" s="6">
        <f ca="1">IFERROR(__xludf.DUMMYFUNCTION("""COMPUTED_VALUE"""),8099443680)</f>
        <v>8099443680</v>
      </c>
      <c r="E171" s="6" t="str">
        <f ca="1">IFERROR(__xludf.DUMMYFUNCTION("""COMPUTED_VALUE"""),"course-preview")</f>
        <v>course-preview</v>
      </c>
      <c r="F171" s="6" t="str">
        <f ca="1">IFERROR(__xludf.DUMMYFUNCTION("""COMPUTED_VALUE"""),"CSM")</f>
        <v>CSM</v>
      </c>
      <c r="G171" s="80">
        <f ca="1">IFERROR(__xludf.DUMMYFUNCTION("""COMPUTED_VALUE"""),44228)</f>
        <v>44228</v>
      </c>
      <c r="H171" s="6" t="str">
        <f ca="1">IFERROR(__xludf.DUMMYFUNCTION("""COMPUTED_VALUE"""),"Opportunity")</f>
        <v>Opportunity</v>
      </c>
      <c r="I171" s="6" t="str">
        <f ca="1">IFERROR(__xludf.DUMMYFUNCTION("""COMPUTED_VALUE"""),"Feb 2021")</f>
        <v>Feb 2021</v>
      </c>
      <c r="J171" s="6">
        <f ca="1">IFERROR(__xludf.DUMMYFUNCTION("""COMPUTED_VALUE"""),1)</f>
        <v>1</v>
      </c>
      <c r="K171" s="8">
        <f ca="1">IFERROR(__xludf.DUMMYFUNCTION("""COMPUTED_VALUE"""),20000)</f>
        <v>20000</v>
      </c>
      <c r="L171" s="8">
        <f ca="1">IFERROR(__xludf.DUMMYFUNCTION("""COMPUTED_VALUE"""),229.042601923957)</f>
        <v>229.04260192395699</v>
      </c>
      <c r="M171" s="96">
        <f ca="1">IFERROR(__xludf.DUMMYFUNCTION("""COMPUTED_VALUE"""),44233)</f>
        <v>44233</v>
      </c>
      <c r="N171" s="6"/>
      <c r="O171" s="97"/>
      <c r="P171" s="6"/>
      <c r="Q171" s="6"/>
      <c r="R171" s="6"/>
      <c r="S171" s="6" t="str">
        <f ca="1">IFERROR(__xludf.DUMMYFUNCTION("""COMPUTED_VALUE"""),"Category")</f>
        <v>Category</v>
      </c>
      <c r="T171" s="6"/>
      <c r="U171" s="6"/>
      <c r="V171" s="6"/>
      <c r="W171" s="6"/>
      <c r="X171" s="6"/>
      <c r="Y171" s="6"/>
      <c r="Z171" s="6"/>
      <c r="AA171" s="6"/>
      <c r="AB171" s="6"/>
      <c r="AC171" s="6"/>
      <c r="AD171" s="6"/>
      <c r="AE171" s="6"/>
      <c r="AF171" s="6"/>
      <c r="AG171" s="6"/>
      <c r="AH171" s="6"/>
      <c r="AI171" s="6"/>
      <c r="AJ171" s="6"/>
      <c r="AK171" s="6"/>
      <c r="AL171" s="6"/>
    </row>
    <row r="172" spans="1:38">
      <c r="A172" s="96">
        <f ca="1">IFERROR(__xludf.DUMMYFUNCTION("""COMPUTED_VALUE"""),44213)</f>
        <v>44213</v>
      </c>
      <c r="B172" s="6" t="str">
        <f ca="1">IFERROR(__xludf.DUMMYFUNCTION("""COMPUTED_VALUE"""),"Nitin Post")</f>
        <v>Nitin Post</v>
      </c>
      <c r="C172" s="6" t="str">
        <f ca="1">IFERROR(__xludf.DUMMYFUNCTION("""COMPUTED_VALUE"""),"nitinpost@hotmail.com")</f>
        <v>nitinpost@hotmail.com</v>
      </c>
      <c r="D172" s="6">
        <f ca="1">IFERROR(__xludf.DUMMYFUNCTION("""COMPUTED_VALUE"""),9742825375)</f>
        <v>9742825375</v>
      </c>
      <c r="E172" s="6" t="str">
        <f ca="1">IFERROR(__xludf.DUMMYFUNCTION("""COMPUTED_VALUE"""),"Chat_triggered")</f>
        <v>Chat_triggered</v>
      </c>
      <c r="F172" s="6" t="str">
        <f ca="1">IFERROR(__xludf.DUMMYFUNCTION("""COMPUTED_VALUE"""),"CSM")</f>
        <v>CSM</v>
      </c>
      <c r="G172" s="80">
        <f ca="1">IFERROR(__xludf.DUMMYFUNCTION("""COMPUTED_VALUE"""),44197)</f>
        <v>44197</v>
      </c>
      <c r="H172" s="6" t="str">
        <f ca="1">IFERROR(__xludf.DUMMYFUNCTION("""COMPUTED_VALUE"""),"Opportunity")</f>
        <v>Opportunity</v>
      </c>
      <c r="I172" s="6" t="str">
        <f ca="1">IFERROR(__xludf.DUMMYFUNCTION("""COMPUTED_VALUE"""),"23-24 Jan 2021")</f>
        <v>23-24 Jan 2021</v>
      </c>
      <c r="J172" s="6">
        <f ca="1">IFERROR(__xludf.DUMMYFUNCTION("""COMPUTED_VALUE"""),1)</f>
        <v>1</v>
      </c>
      <c r="K172" s="8">
        <f ca="1">IFERROR(__xludf.DUMMYFUNCTION("""COMPUTED_VALUE"""),21000)</f>
        <v>21000</v>
      </c>
      <c r="L172" s="8">
        <f ca="1">IFERROR(__xludf.DUMMYFUNCTION("""COMPUTED_VALUE"""),240.494732020155)</f>
        <v>240.494732020155</v>
      </c>
      <c r="M172" s="96">
        <f ca="1">IFERROR(__xludf.DUMMYFUNCTION("""COMPUTED_VALUE"""),44214)</f>
        <v>44214</v>
      </c>
      <c r="N172" s="6"/>
      <c r="O172" s="97"/>
      <c r="P172" s="6"/>
      <c r="Q172" s="6"/>
      <c r="R172" s="6"/>
      <c r="S172" s="6" t="str">
        <f ca="1">IFERROR(__xludf.DUMMYFUNCTION("""COMPUTED_VALUE"""),"Category")</f>
        <v>Category</v>
      </c>
      <c r="T172" s="6"/>
      <c r="U172" s="6"/>
      <c r="V172" s="6"/>
      <c r="W172" s="6"/>
      <c r="X172" s="6"/>
      <c r="Y172" s="6"/>
      <c r="Z172" s="6"/>
      <c r="AA172" s="6"/>
      <c r="AB172" s="6"/>
      <c r="AC172" s="6"/>
      <c r="AD172" s="6"/>
      <c r="AE172" s="6"/>
      <c r="AF172" s="6"/>
      <c r="AG172" s="6"/>
      <c r="AH172" s="6"/>
      <c r="AI172" s="6"/>
      <c r="AJ172" s="6"/>
      <c r="AK172" s="6"/>
      <c r="AL172" s="6"/>
    </row>
    <row r="173" spans="1:38">
      <c r="A173" s="96">
        <f ca="1">IFERROR(__xludf.DUMMYFUNCTION("""COMPUTED_VALUE"""),44219)</f>
        <v>44219</v>
      </c>
      <c r="B173" s="6" t="str">
        <f ca="1">IFERROR(__xludf.DUMMYFUNCTION("""COMPUTED_VALUE"""),"Gaurav Deol")</f>
        <v>Gaurav Deol</v>
      </c>
      <c r="C173" s="6" t="str">
        <f ca="1">IFERROR(__xludf.DUMMYFUNCTION("""COMPUTED_VALUE"""),"gaurav.842@gmail.com")</f>
        <v>gaurav.842@gmail.com</v>
      </c>
      <c r="D173" s="6">
        <f ca="1">IFERROR(__xludf.DUMMYFUNCTION("""COMPUTED_VALUE"""),9873089476)</f>
        <v>9873089476</v>
      </c>
      <c r="E173" s="6" t="str">
        <f ca="1">IFERROR(__xludf.DUMMYFUNCTION("""COMPUTED_VALUE"""),"Account - Repeat")</f>
        <v>Account - Repeat</v>
      </c>
      <c r="F173" s="6" t="str">
        <f ca="1">IFERROR(__xludf.DUMMYFUNCTION("""COMPUTED_VALUE"""),"CSPO")</f>
        <v>CSPO</v>
      </c>
      <c r="G173" s="80">
        <f ca="1">IFERROR(__xludf.DUMMYFUNCTION("""COMPUTED_VALUE"""),44197)</f>
        <v>44197</v>
      </c>
      <c r="H173" s="6" t="str">
        <f ca="1">IFERROR(__xludf.DUMMYFUNCTION("""COMPUTED_VALUE"""),"Won")</f>
        <v>Won</v>
      </c>
      <c r="I173" s="6" t="str">
        <f ca="1">IFERROR(__xludf.DUMMYFUNCTION("""COMPUTED_VALUE"""),"25-26 Jan 2021")</f>
        <v>25-26 Jan 2021</v>
      </c>
      <c r="J173" s="6">
        <f ca="1">IFERROR(__xludf.DUMMYFUNCTION("""COMPUTED_VALUE"""),1)</f>
        <v>1</v>
      </c>
      <c r="K173" s="8">
        <f ca="1">IFERROR(__xludf.DUMMYFUNCTION("""COMPUTED_VALUE"""),20000)</f>
        <v>20000</v>
      </c>
      <c r="L173" s="8">
        <f ca="1">IFERROR(__xludf.DUMMYFUNCTION("""COMPUTED_VALUE"""),229.042601923957)</f>
        <v>229.04260192395699</v>
      </c>
      <c r="M173" s="96">
        <f ca="1">IFERROR(__xludf.DUMMYFUNCTION("""COMPUTED_VALUE"""),44219)</f>
        <v>44219</v>
      </c>
      <c r="N173" s="6" t="str">
        <f ca="1">IFERROR(__xludf.DUMMYFUNCTION("""COMPUTED_VALUE"""),"W3")</f>
        <v>W3</v>
      </c>
      <c r="O173" s="97">
        <f ca="1">IFERROR(__xludf.DUMMYFUNCTION("""COMPUTED_VALUE"""),44219)</f>
        <v>44219</v>
      </c>
      <c r="P173" s="6" t="str">
        <f ca="1">IFERROR(__xludf.DUMMYFUNCTION("""COMPUTED_VALUE"""),"CSTM_5U1FHBZYART")</f>
        <v>CSTM_5U1FHBZYART</v>
      </c>
      <c r="Q173" s="6"/>
      <c r="R173" s="6" t="str">
        <f ca="1">IFERROR(__xludf.DUMMYFUNCTION("""COMPUTED_VALUE"""),"Pending")</f>
        <v>Pending</v>
      </c>
      <c r="S173" s="6" t="str">
        <f ca="1">IFERROR(__xludf.DUMMYFUNCTION("""COMPUTED_VALUE"""),"Category")</f>
        <v>Category</v>
      </c>
      <c r="T173" s="6"/>
      <c r="U173" s="6"/>
      <c r="V173" s="6"/>
      <c r="W173" s="6"/>
      <c r="X173" s="6"/>
      <c r="Y173" s="6"/>
      <c r="Z173" s="6"/>
      <c r="AA173" s="6"/>
      <c r="AB173" s="6"/>
      <c r="AC173" s="6"/>
      <c r="AD173" s="6"/>
      <c r="AE173" s="6"/>
      <c r="AF173" s="6"/>
      <c r="AG173" s="6"/>
      <c r="AH173" s="6"/>
      <c r="AI173" s="6"/>
      <c r="AJ173" s="6"/>
      <c r="AK173" s="6"/>
      <c r="AL173" s="6"/>
    </row>
    <row r="174" spans="1:38">
      <c r="A174" s="96">
        <f ca="1">IFERROR(__xludf.DUMMYFUNCTION("""COMPUTED_VALUE"""),44214)</f>
        <v>44214</v>
      </c>
      <c r="B174" s="6" t="str">
        <f ca="1">IFERROR(__xludf.DUMMYFUNCTION("""COMPUTED_VALUE"""),"Farooq")</f>
        <v>Farooq</v>
      </c>
      <c r="C174" s="6" t="str">
        <f ca="1">IFERROR(__xludf.DUMMYFUNCTION("""COMPUTED_VALUE"""),"frq1890@gmail.com")</f>
        <v>frq1890@gmail.com</v>
      </c>
      <c r="D174" s="6">
        <f ca="1">IFERROR(__xludf.DUMMYFUNCTION("""COMPUTED_VALUE"""),6387499757)</f>
        <v>6387499757</v>
      </c>
      <c r="E174" s="6" t="str">
        <f ca="1">IFERROR(__xludf.DUMMYFUNCTION("""COMPUTED_VALUE"""),"Account")</f>
        <v>Account</v>
      </c>
      <c r="F174" s="6" t="str">
        <f ca="1">IFERROR(__xludf.DUMMYFUNCTION("""COMPUTED_VALUE"""),"Python")</f>
        <v>Python</v>
      </c>
      <c r="G174" s="80">
        <f ca="1">IFERROR(__xludf.DUMMYFUNCTION("""COMPUTED_VALUE"""),44197)</f>
        <v>44197</v>
      </c>
      <c r="H174" s="6" t="str">
        <f ca="1">IFERROR(__xludf.DUMMYFUNCTION("""COMPUTED_VALUE"""),"Lost")</f>
        <v>Lost</v>
      </c>
      <c r="I174" s="6" t="str">
        <f ca="1">IFERROR(__xludf.DUMMYFUNCTION("""COMPUTED_VALUE"""),"6 Feb 2021")</f>
        <v>6 Feb 2021</v>
      </c>
      <c r="J174" s="6">
        <f ca="1">IFERROR(__xludf.DUMMYFUNCTION("""COMPUTED_VALUE"""),1)</f>
        <v>1</v>
      </c>
      <c r="K174" s="8">
        <f ca="1">IFERROR(__xludf.DUMMYFUNCTION("""COMPUTED_VALUE"""),17000)</f>
        <v>17000</v>
      </c>
      <c r="L174" s="8">
        <f ca="1">IFERROR(__xludf.DUMMYFUNCTION("""COMPUTED_VALUE"""),194.686211635364)</f>
        <v>194.686211635364</v>
      </c>
      <c r="M174" s="96">
        <f ca="1">IFERROR(__xludf.DUMMYFUNCTION("""COMPUTED_VALUE"""),44214)</f>
        <v>44214</v>
      </c>
      <c r="N174" s="6"/>
      <c r="O174" s="97"/>
      <c r="P174" s="6"/>
      <c r="Q174" s="6"/>
      <c r="R174" s="6"/>
      <c r="S174" s="6" t="str">
        <f ca="1">IFERROR(__xludf.DUMMYFUNCTION("""COMPUTED_VALUE"""),"NonCategory")</f>
        <v>NonCategory</v>
      </c>
      <c r="T174" s="6"/>
      <c r="U174" s="6"/>
      <c r="V174" s="6"/>
      <c r="W174" s="6"/>
      <c r="X174" s="6"/>
      <c r="Y174" s="6"/>
      <c r="Z174" s="6"/>
      <c r="AA174" s="6"/>
      <c r="AB174" s="6"/>
      <c r="AC174" s="6"/>
      <c r="AD174" s="6"/>
      <c r="AE174" s="6"/>
      <c r="AF174" s="6"/>
      <c r="AG174" s="6"/>
      <c r="AH174" s="6"/>
      <c r="AI174" s="6"/>
      <c r="AJ174" s="6"/>
      <c r="AK174" s="6"/>
      <c r="AL174" s="6"/>
    </row>
    <row r="175" spans="1:38">
      <c r="A175" s="96">
        <f ca="1">IFERROR(__xludf.DUMMYFUNCTION("""COMPUTED_VALUE"""),44214)</f>
        <v>44214</v>
      </c>
      <c r="B175" s="6" t="str">
        <f ca="1">IFERROR(__xludf.DUMMYFUNCTION("""COMPUTED_VALUE"""),"Riju Pappachan")</f>
        <v>Riju Pappachan</v>
      </c>
      <c r="C175" s="6" t="str">
        <f ca="1">IFERROR(__xludf.DUMMYFUNCTION("""COMPUTED_VALUE"""),"riju_pappachan@agilent.com")</f>
        <v>riju_pappachan@agilent.com</v>
      </c>
      <c r="D175" s="6">
        <f ca="1">IFERROR(__xludf.DUMMYFUNCTION("""COMPUTED_VALUE"""),9873063908)</f>
        <v>9873063908</v>
      </c>
      <c r="E175" s="6" t="str">
        <f ca="1">IFERROR(__xludf.DUMMYFUNCTION("""COMPUTED_VALUE"""),"Chat_triggered")</f>
        <v>Chat_triggered</v>
      </c>
      <c r="F175" s="6" t="str">
        <f ca="1">IFERROR(__xludf.DUMMYFUNCTION("""COMPUTED_VALUE"""),"CSM")</f>
        <v>CSM</v>
      </c>
      <c r="G175" s="80">
        <f ca="1">IFERROR(__xludf.DUMMYFUNCTION("""COMPUTED_VALUE"""),44197)</f>
        <v>44197</v>
      </c>
      <c r="H175" s="6" t="str">
        <f ca="1">IFERROR(__xludf.DUMMYFUNCTION("""COMPUTED_VALUE"""),"Opportunity")</f>
        <v>Opportunity</v>
      </c>
      <c r="I175" s="6" t="str">
        <f ca="1">IFERROR(__xludf.DUMMYFUNCTION("""COMPUTED_VALUE"""),"23-24 Jan 2021")</f>
        <v>23-24 Jan 2021</v>
      </c>
      <c r="J175" s="6">
        <f ca="1">IFERROR(__xludf.DUMMYFUNCTION("""COMPUTED_VALUE"""),1)</f>
        <v>1</v>
      </c>
      <c r="K175" s="8">
        <f ca="1">IFERROR(__xludf.DUMMYFUNCTION("""COMPUTED_VALUE"""),21500)</f>
        <v>21500</v>
      </c>
      <c r="L175" s="8">
        <f ca="1">IFERROR(__xludf.DUMMYFUNCTION("""COMPUTED_VALUE"""),246.220797068254)</f>
        <v>246.220797068254</v>
      </c>
      <c r="M175" s="96">
        <f ca="1">IFERROR(__xludf.DUMMYFUNCTION("""COMPUTED_VALUE"""),44217)</f>
        <v>44217</v>
      </c>
      <c r="N175" s="6"/>
      <c r="O175" s="97"/>
      <c r="P175" s="6"/>
      <c r="Q175" s="6"/>
      <c r="R175" s="6"/>
      <c r="S175" s="6" t="str">
        <f ca="1">IFERROR(__xludf.DUMMYFUNCTION("""COMPUTED_VALUE"""),"Category")</f>
        <v>Category</v>
      </c>
      <c r="T175" s="6"/>
      <c r="U175" s="6"/>
      <c r="V175" s="6"/>
      <c r="W175" s="6"/>
      <c r="X175" s="6"/>
      <c r="Y175" s="6"/>
      <c r="Z175" s="6"/>
      <c r="AA175" s="6"/>
      <c r="AB175" s="6"/>
      <c r="AC175" s="6"/>
      <c r="AD175" s="6"/>
      <c r="AE175" s="6"/>
      <c r="AF175" s="6"/>
      <c r="AG175" s="6"/>
      <c r="AH175" s="6"/>
      <c r="AI175" s="6"/>
      <c r="AJ175" s="6"/>
      <c r="AK175" s="6"/>
      <c r="AL175" s="6"/>
    </row>
    <row r="176" spans="1:38">
      <c r="A176" s="96">
        <f ca="1">IFERROR(__xludf.DUMMYFUNCTION("""COMPUTED_VALUE"""),44214)</f>
        <v>44214</v>
      </c>
      <c r="B176" s="6" t="str">
        <f ca="1">IFERROR(__xludf.DUMMYFUNCTION("""COMPUTED_VALUE"""),"Swarna Latha")</f>
        <v>Swarna Latha</v>
      </c>
      <c r="C176" s="6" t="str">
        <f ca="1">IFERROR(__xludf.DUMMYFUNCTION("""COMPUTED_VALUE"""),"v.swarnalatha9@gmail.com")</f>
        <v>v.swarnalatha9@gmail.com</v>
      </c>
      <c r="D176" s="6">
        <f ca="1">IFERROR(__xludf.DUMMYFUNCTION("""COMPUTED_VALUE"""),9014029331)</f>
        <v>9014029331</v>
      </c>
      <c r="E176" s="6" t="str">
        <f ca="1">IFERROR(__xludf.DUMMYFUNCTION("""COMPUTED_VALUE"""),"Chat_triggered")</f>
        <v>Chat_triggered</v>
      </c>
      <c r="F176" s="6" t="str">
        <f ca="1">IFERROR(__xludf.DUMMYFUNCTION("""COMPUTED_VALUE"""),"SAFe Agile")</f>
        <v>SAFe Agile</v>
      </c>
      <c r="G176" s="80">
        <f ca="1">IFERROR(__xludf.DUMMYFUNCTION("""COMPUTED_VALUE"""),44197)</f>
        <v>44197</v>
      </c>
      <c r="H176" s="6" t="str">
        <f ca="1">IFERROR(__xludf.DUMMYFUNCTION("""COMPUTED_VALUE"""),"Opportunity")</f>
        <v>Opportunity</v>
      </c>
      <c r="I176" s="6" t="str">
        <f ca="1">IFERROR(__xludf.DUMMYFUNCTION("""COMPUTED_VALUE"""),"27-28 Feb 2021")</f>
        <v>27-28 Feb 2021</v>
      </c>
      <c r="J176" s="6">
        <f ca="1">IFERROR(__xludf.DUMMYFUNCTION("""COMPUTED_VALUE"""),1)</f>
        <v>1</v>
      </c>
      <c r="K176" s="8">
        <f ca="1">IFERROR(__xludf.DUMMYFUNCTION("""COMPUTED_VALUE"""),53100)</f>
        <v>53100</v>
      </c>
      <c r="L176" s="8">
        <f ca="1">IFERROR(__xludf.DUMMYFUNCTION("""COMPUTED_VALUE"""),608.108108108108)</f>
        <v>608.10810810810801</v>
      </c>
      <c r="M176" s="96">
        <f ca="1">IFERROR(__xludf.DUMMYFUNCTION("""COMPUTED_VALUE"""),44245)</f>
        <v>44245</v>
      </c>
      <c r="N176" s="6"/>
      <c r="O176" s="97"/>
      <c r="P176" s="6"/>
      <c r="Q176" s="6"/>
      <c r="R176" s="6"/>
      <c r="S176" s="6" t="str">
        <f ca="1">IFERROR(__xludf.DUMMYFUNCTION("""COMPUTED_VALUE"""),"SAFe")</f>
        <v>SAFe</v>
      </c>
      <c r="T176" s="6"/>
      <c r="U176" s="6"/>
      <c r="V176" s="6"/>
      <c r="W176" s="6"/>
      <c r="X176" s="6"/>
      <c r="Y176" s="6"/>
      <c r="Z176" s="6"/>
      <c r="AA176" s="6"/>
      <c r="AB176" s="6"/>
      <c r="AC176" s="6"/>
      <c r="AD176" s="6"/>
      <c r="AE176" s="6"/>
      <c r="AF176" s="6"/>
      <c r="AG176" s="6"/>
      <c r="AH176" s="6"/>
      <c r="AI176" s="6"/>
      <c r="AJ176" s="6"/>
      <c r="AK176" s="6"/>
      <c r="AL176" s="6"/>
    </row>
    <row r="177" spans="1:38">
      <c r="A177" s="96">
        <f ca="1">IFERROR(__xludf.DUMMYFUNCTION("""COMPUTED_VALUE"""),44215)</f>
        <v>44215</v>
      </c>
      <c r="B177" s="6" t="str">
        <f ca="1">IFERROR(__xludf.DUMMYFUNCTION("""COMPUTED_VALUE"""),"Ankush Kukrety")</f>
        <v>Ankush Kukrety</v>
      </c>
      <c r="C177" s="6" t="str">
        <f ca="1">IFERROR(__xludf.DUMMYFUNCTION("""COMPUTED_VALUE"""),"ankushkukrety@gmail.com")</f>
        <v>ankushkukrety@gmail.com</v>
      </c>
      <c r="D177" s="6">
        <f ca="1">IFERROR(__xludf.DUMMYFUNCTION("""COMPUTED_VALUE"""),9773529292)</f>
        <v>9773529292</v>
      </c>
      <c r="E177" s="6" t="str">
        <f ca="1">IFERROR(__xludf.DUMMYFUNCTION("""COMPUTED_VALUE"""),"chat_initiated")</f>
        <v>chat_initiated</v>
      </c>
      <c r="F177" s="6" t="str">
        <f ca="1">IFERROR(__xludf.DUMMYFUNCTION("""COMPUTED_VALUE"""),"CSM")</f>
        <v>CSM</v>
      </c>
      <c r="G177" s="80">
        <f ca="1">IFERROR(__xludf.DUMMYFUNCTION("""COMPUTED_VALUE"""),44197)</f>
        <v>44197</v>
      </c>
      <c r="H177" s="6" t="str">
        <f ca="1">IFERROR(__xludf.DUMMYFUNCTION("""COMPUTED_VALUE"""),"Opportunity")</f>
        <v>Opportunity</v>
      </c>
      <c r="I177" s="6" t="str">
        <f ca="1">IFERROR(__xludf.DUMMYFUNCTION("""COMPUTED_VALUE"""),"23-24 Jan 2021")</f>
        <v>23-24 Jan 2021</v>
      </c>
      <c r="J177" s="6">
        <f ca="1">IFERROR(__xludf.DUMMYFUNCTION("""COMPUTED_VALUE"""),1)</f>
        <v>1</v>
      </c>
      <c r="K177" s="8">
        <f ca="1">IFERROR(__xludf.DUMMYFUNCTION("""COMPUTED_VALUE"""),21500)</f>
        <v>21500</v>
      </c>
      <c r="L177" s="8">
        <f ca="1">IFERROR(__xludf.DUMMYFUNCTION("""COMPUTED_VALUE"""),246.220797068254)</f>
        <v>246.220797068254</v>
      </c>
      <c r="M177" s="96">
        <f ca="1">IFERROR(__xludf.DUMMYFUNCTION("""COMPUTED_VALUE"""),44216)</f>
        <v>44216</v>
      </c>
      <c r="N177" s="6"/>
      <c r="O177" s="97"/>
      <c r="P177" s="6"/>
      <c r="Q177" s="6"/>
      <c r="R177" s="6"/>
      <c r="S177" s="6" t="str">
        <f ca="1">IFERROR(__xludf.DUMMYFUNCTION("""COMPUTED_VALUE"""),"Category")</f>
        <v>Category</v>
      </c>
      <c r="T177" s="6"/>
      <c r="U177" s="6"/>
      <c r="V177" s="6"/>
      <c r="W177" s="6"/>
      <c r="X177" s="6"/>
      <c r="Y177" s="6"/>
      <c r="Z177" s="6"/>
      <c r="AA177" s="6"/>
      <c r="AB177" s="6"/>
      <c r="AC177" s="6"/>
      <c r="AD177" s="6"/>
      <c r="AE177" s="6"/>
      <c r="AF177" s="6"/>
      <c r="AG177" s="6"/>
      <c r="AH177" s="6"/>
      <c r="AI177" s="6"/>
      <c r="AJ177" s="6"/>
      <c r="AK177" s="6"/>
      <c r="AL177" s="6"/>
    </row>
    <row r="178" spans="1:38">
      <c r="A178" s="96">
        <f ca="1">IFERROR(__xludf.DUMMYFUNCTION("""COMPUTED_VALUE"""),44215)</f>
        <v>44215</v>
      </c>
      <c r="B178" s="6" t="str">
        <f ca="1">IFERROR(__xludf.DUMMYFUNCTION("""COMPUTED_VALUE"""),"Abhishek")</f>
        <v>Abhishek</v>
      </c>
      <c r="C178" s="6" t="str">
        <f ca="1">IFERROR(__xludf.DUMMYFUNCTION("""COMPUTED_VALUE"""),"abhi7028@gmail.com")</f>
        <v>abhi7028@gmail.com</v>
      </c>
      <c r="D178" s="6">
        <f ca="1">IFERROR(__xludf.DUMMYFUNCTION("""COMPUTED_VALUE"""),9923422940)</f>
        <v>9923422940</v>
      </c>
      <c r="E178" s="6" t="str">
        <f ca="1">IFERROR(__xludf.DUMMYFUNCTION("""COMPUTED_VALUE"""),"course-preview")</f>
        <v>course-preview</v>
      </c>
      <c r="F178" s="6" t="str">
        <f ca="1">IFERROR(__xludf.DUMMYFUNCTION("""COMPUTED_VALUE"""),"CSM")</f>
        <v>CSM</v>
      </c>
      <c r="G178" s="80">
        <f ca="1">IFERROR(__xludf.DUMMYFUNCTION("""COMPUTED_VALUE"""),44197)</f>
        <v>44197</v>
      </c>
      <c r="H178" s="6" t="str">
        <f ca="1">IFERROR(__xludf.DUMMYFUNCTION("""COMPUTED_VALUE"""),"Opportunity")</f>
        <v>Opportunity</v>
      </c>
      <c r="I178" s="6" t="str">
        <f ca="1">IFERROR(__xludf.DUMMYFUNCTION("""COMPUTED_VALUE"""),"23-24 Jan 2021")</f>
        <v>23-24 Jan 2021</v>
      </c>
      <c r="J178" s="6">
        <f ca="1">IFERROR(__xludf.DUMMYFUNCTION("""COMPUTED_VALUE"""),1)</f>
        <v>1</v>
      </c>
      <c r="K178" s="8">
        <f ca="1">IFERROR(__xludf.DUMMYFUNCTION("""COMPUTED_VALUE"""),21500)</f>
        <v>21500</v>
      </c>
      <c r="L178" s="8">
        <f ca="1">IFERROR(__xludf.DUMMYFUNCTION("""COMPUTED_VALUE"""),246.220797068254)</f>
        <v>246.220797068254</v>
      </c>
      <c r="M178" s="96">
        <f ca="1">IFERROR(__xludf.DUMMYFUNCTION("""COMPUTED_VALUE"""),44216)</f>
        <v>44216</v>
      </c>
      <c r="N178" s="6"/>
      <c r="O178" s="97"/>
      <c r="P178" s="6"/>
      <c r="Q178" s="6"/>
      <c r="R178" s="6"/>
      <c r="S178" s="6" t="str">
        <f ca="1">IFERROR(__xludf.DUMMYFUNCTION("""COMPUTED_VALUE"""),"Category")</f>
        <v>Category</v>
      </c>
      <c r="T178" s="6"/>
      <c r="U178" s="6"/>
      <c r="V178" s="6"/>
      <c r="W178" s="6"/>
      <c r="X178" s="6"/>
      <c r="Y178" s="6"/>
      <c r="Z178" s="6"/>
      <c r="AA178" s="6"/>
      <c r="AB178" s="6"/>
      <c r="AC178" s="6"/>
      <c r="AD178" s="6"/>
      <c r="AE178" s="6"/>
      <c r="AF178" s="6"/>
      <c r="AG178" s="6"/>
      <c r="AH178" s="6"/>
      <c r="AI178" s="6"/>
      <c r="AJ178" s="6"/>
      <c r="AK178" s="6"/>
      <c r="AL178" s="6"/>
    </row>
    <row r="179" spans="1:38">
      <c r="A179" s="96">
        <f ca="1">IFERROR(__xludf.DUMMYFUNCTION("""COMPUTED_VALUE"""),44215)</f>
        <v>44215</v>
      </c>
      <c r="B179" s="6" t="str">
        <f ca="1">IFERROR(__xludf.DUMMYFUNCTION("""COMPUTED_VALUE"""),"Smruti Dash")</f>
        <v>Smruti Dash</v>
      </c>
      <c r="C179" s="6" t="str">
        <f ca="1">IFERROR(__xludf.DUMMYFUNCTION("""COMPUTED_VALUE"""),"smruti.dash@pwc.com")</f>
        <v>smruti.dash@pwc.com</v>
      </c>
      <c r="D179" s="6">
        <f ca="1">IFERROR(__xludf.DUMMYFUNCTION("""COMPUTED_VALUE"""),9776824254)</f>
        <v>9776824254</v>
      </c>
      <c r="E179" s="6" t="str">
        <f ca="1">IFERROR(__xludf.DUMMYFUNCTION("""COMPUTED_VALUE"""),"auto-repeat")</f>
        <v>auto-repeat</v>
      </c>
      <c r="F179" s="6" t="str">
        <f ca="1">IFERROR(__xludf.DUMMYFUNCTION("""COMPUTED_VALUE"""),"CSM")</f>
        <v>CSM</v>
      </c>
      <c r="G179" s="80">
        <f ca="1">IFERROR(__xludf.DUMMYFUNCTION("""COMPUTED_VALUE"""),44197)</f>
        <v>44197</v>
      </c>
      <c r="H179" s="6" t="str">
        <f ca="1">IFERROR(__xludf.DUMMYFUNCTION("""COMPUTED_VALUE"""),"Opportunity")</f>
        <v>Opportunity</v>
      </c>
      <c r="I179" s="6" t="str">
        <f ca="1">IFERROR(__xludf.DUMMYFUNCTION("""COMPUTED_VALUE"""),"6-7 Feb 2021")</f>
        <v>6-7 Feb 2021</v>
      </c>
      <c r="J179" s="6">
        <f ca="1">IFERROR(__xludf.DUMMYFUNCTION("""COMPUTED_VALUE"""),1)</f>
        <v>1</v>
      </c>
      <c r="K179" s="8">
        <f ca="1">IFERROR(__xludf.DUMMYFUNCTION("""COMPUTED_VALUE"""),20000)</f>
        <v>20000</v>
      </c>
      <c r="L179" s="8">
        <f ca="1">IFERROR(__xludf.DUMMYFUNCTION("""COMPUTED_VALUE"""),229.042601923957)</f>
        <v>229.04260192395699</v>
      </c>
      <c r="M179" s="96">
        <f ca="1">IFERROR(__xludf.DUMMYFUNCTION("""COMPUTED_VALUE"""),44226)</f>
        <v>44226</v>
      </c>
      <c r="N179" s="6"/>
      <c r="O179" s="97"/>
      <c r="P179" s="6"/>
      <c r="Q179" s="6"/>
      <c r="R179" s="6"/>
      <c r="S179" s="6" t="str">
        <f ca="1">IFERROR(__xludf.DUMMYFUNCTION("""COMPUTED_VALUE"""),"Category")</f>
        <v>Category</v>
      </c>
      <c r="T179" s="6"/>
      <c r="U179" s="6"/>
      <c r="V179" s="6"/>
      <c r="W179" s="6"/>
      <c r="X179" s="6"/>
      <c r="Y179" s="6"/>
      <c r="Z179" s="6"/>
      <c r="AA179" s="6"/>
      <c r="AB179" s="6"/>
      <c r="AC179" s="6"/>
      <c r="AD179" s="6"/>
      <c r="AE179" s="6"/>
      <c r="AF179" s="6"/>
      <c r="AG179" s="6"/>
      <c r="AH179" s="6"/>
      <c r="AI179" s="6"/>
      <c r="AJ179" s="6"/>
      <c r="AK179" s="6"/>
      <c r="AL179" s="6"/>
    </row>
    <row r="180" spans="1:38">
      <c r="A180" s="96">
        <f ca="1">IFERROR(__xludf.DUMMYFUNCTION("""COMPUTED_VALUE"""),44215)</f>
        <v>44215</v>
      </c>
      <c r="B180" s="6" t="str">
        <f ca="1">IFERROR(__xludf.DUMMYFUNCTION("""COMPUTED_VALUE"""),"Nitin Gupta")</f>
        <v>Nitin Gupta</v>
      </c>
      <c r="C180" s="6" t="str">
        <f ca="1">IFERROR(__xludf.DUMMYFUNCTION("""COMPUTED_VALUE"""),"nitin1800@gmail.com")</f>
        <v>nitin1800@gmail.com</v>
      </c>
      <c r="D180" s="6">
        <f ca="1">IFERROR(__xludf.DUMMYFUNCTION("""COMPUTED_VALUE"""),9321121800)</f>
        <v>9321121800</v>
      </c>
      <c r="E180" s="6" t="str">
        <f ca="1">IFERROR(__xludf.DUMMYFUNCTION("""COMPUTED_VALUE"""),"Query box")</f>
        <v>Query box</v>
      </c>
      <c r="F180" s="6" t="str">
        <f ca="1">IFERROR(__xludf.DUMMYFUNCTION("""COMPUTED_VALUE"""),"PSM")</f>
        <v>PSM</v>
      </c>
      <c r="G180" s="80">
        <f ca="1">IFERROR(__xludf.DUMMYFUNCTION("""COMPUTED_VALUE"""),44197)</f>
        <v>44197</v>
      </c>
      <c r="H180" s="6" t="str">
        <f ca="1">IFERROR(__xludf.DUMMYFUNCTION("""COMPUTED_VALUE"""),"Opportunity")</f>
        <v>Opportunity</v>
      </c>
      <c r="I180" s="6" t="str">
        <f ca="1">IFERROR(__xludf.DUMMYFUNCTION("""COMPUTED_VALUE"""),"23-24 Jan 2021")</f>
        <v>23-24 Jan 2021</v>
      </c>
      <c r="J180" s="6">
        <f ca="1">IFERROR(__xludf.DUMMYFUNCTION("""COMPUTED_VALUE"""),1)</f>
        <v>1</v>
      </c>
      <c r="K180" s="8">
        <f ca="1">IFERROR(__xludf.DUMMYFUNCTION("""COMPUTED_VALUE"""),21500)</f>
        <v>21500</v>
      </c>
      <c r="L180" s="8">
        <f ca="1">IFERROR(__xludf.DUMMYFUNCTION("""COMPUTED_VALUE"""),246.220797068254)</f>
        <v>246.220797068254</v>
      </c>
      <c r="M180" s="96">
        <f ca="1">IFERROR(__xludf.DUMMYFUNCTION("""COMPUTED_VALUE"""),44216)</f>
        <v>44216</v>
      </c>
      <c r="N180" s="6"/>
      <c r="O180" s="97"/>
      <c r="P180" s="6"/>
      <c r="Q180" s="6"/>
      <c r="R180" s="6"/>
      <c r="S180" s="6" t="str">
        <f ca="1">IFERROR(__xludf.DUMMYFUNCTION("""COMPUTED_VALUE"""),"Category")</f>
        <v>Category</v>
      </c>
      <c r="T180" s="6"/>
      <c r="U180" s="6"/>
      <c r="V180" s="6"/>
      <c r="W180" s="6"/>
      <c r="X180" s="6"/>
      <c r="Y180" s="6"/>
      <c r="Z180" s="6"/>
      <c r="AA180" s="6"/>
      <c r="AB180" s="6"/>
      <c r="AC180" s="6"/>
      <c r="AD180" s="6"/>
      <c r="AE180" s="6"/>
      <c r="AF180" s="6"/>
      <c r="AG180" s="6"/>
      <c r="AH180" s="6"/>
      <c r="AI180" s="6"/>
      <c r="AJ180" s="6"/>
      <c r="AK180" s="6"/>
      <c r="AL180" s="6"/>
    </row>
    <row r="181" spans="1:38">
      <c r="A181" s="96">
        <f ca="1">IFERROR(__xludf.DUMMYFUNCTION("""COMPUTED_VALUE"""),44221)</f>
        <v>44221</v>
      </c>
      <c r="B181" s="6" t="str">
        <f ca="1">IFERROR(__xludf.DUMMYFUNCTION("""COMPUTED_VALUE"""),"Jobine")</f>
        <v>Jobine</v>
      </c>
      <c r="C181" s="6" t="str">
        <f ca="1">IFERROR(__xludf.DUMMYFUNCTION("""COMPUTED_VALUE"""),"hannah262022@gmail.com")</f>
        <v>hannah262022@gmail.com</v>
      </c>
      <c r="D181" s="6">
        <f ca="1">IFERROR(__xludf.DUMMYFUNCTION("""COMPUTED_VALUE"""),9790768218)</f>
        <v>9790768218</v>
      </c>
      <c r="E181" s="6" t="str">
        <f ca="1">IFERROR(__xludf.DUMMYFUNCTION("""COMPUTED_VALUE"""),"Reference")</f>
        <v>Reference</v>
      </c>
      <c r="F181" s="6" t="str">
        <f ca="1">IFERROR(__xludf.DUMMYFUNCTION("""COMPUTED_VALUE"""),"CSM")</f>
        <v>CSM</v>
      </c>
      <c r="G181" s="80">
        <f ca="1">IFERROR(__xludf.DUMMYFUNCTION("""COMPUTED_VALUE"""),44197)</f>
        <v>44197</v>
      </c>
      <c r="H181" s="6" t="str">
        <f ca="1">IFERROR(__xludf.DUMMYFUNCTION("""COMPUTED_VALUE"""),"Won")</f>
        <v>Won</v>
      </c>
      <c r="I181" s="6" t="str">
        <f ca="1">IFERROR(__xludf.DUMMYFUNCTION("""COMPUTED_VALUE"""),"30-31 Jan 2021")</f>
        <v>30-31 Jan 2021</v>
      </c>
      <c r="J181" s="6">
        <f ca="1">IFERROR(__xludf.DUMMYFUNCTION("""COMPUTED_VALUE"""),1)</f>
        <v>1</v>
      </c>
      <c r="K181" s="8">
        <f ca="1">IFERROR(__xludf.DUMMYFUNCTION("""COMPUTED_VALUE"""),20000)</f>
        <v>20000</v>
      </c>
      <c r="L181" s="8">
        <f ca="1">IFERROR(__xludf.DUMMYFUNCTION("""COMPUTED_VALUE"""),229.042601923957)</f>
        <v>229.04260192395699</v>
      </c>
      <c r="M181" s="96">
        <f ca="1">IFERROR(__xludf.DUMMYFUNCTION("""COMPUTED_VALUE"""),44221)</f>
        <v>44221</v>
      </c>
      <c r="N181" s="6" t="str">
        <f ca="1">IFERROR(__xludf.DUMMYFUNCTION("""COMPUTED_VALUE"""),"W4")</f>
        <v>W4</v>
      </c>
      <c r="O181" s="97">
        <f ca="1">IFERROR(__xludf.DUMMYFUNCTION("""COMPUTED_VALUE"""),44221)</f>
        <v>44221</v>
      </c>
      <c r="P181" s="6" t="str">
        <f ca="1">IFERROR(__xludf.DUMMYFUNCTION("""COMPUTED_VALUE"""),"CSTM_G3Y7QBRIKDJ")</f>
        <v>CSTM_G3Y7QBRIKDJ</v>
      </c>
      <c r="Q181" s="6" t="str">
        <f ca="1">IFERROR(__xludf.DUMMYFUNCTION("""COMPUTED_VALUE"""),"Reference by Praveen Nair")</f>
        <v>Reference by Praveen Nair</v>
      </c>
      <c r="R181" s="6" t="str">
        <f ca="1">IFERROR(__xludf.DUMMYFUNCTION("""COMPUTED_VALUE"""),"Done. Good feedbak.")</f>
        <v>Done. Good feedbak.</v>
      </c>
      <c r="S181" s="6" t="str">
        <f ca="1">IFERROR(__xludf.DUMMYFUNCTION("""COMPUTED_VALUE"""),"Category")</f>
        <v>Category</v>
      </c>
      <c r="T181" s="6" t="str">
        <f ca="1">IFERROR(__xludf.DUMMYFUNCTION("""COMPUTED_VALUE"""),"Sent.")</f>
        <v>Sent.</v>
      </c>
      <c r="U181" s="6"/>
      <c r="V181" s="6"/>
      <c r="W181" s="6"/>
      <c r="X181" s="6"/>
      <c r="Y181" s="6"/>
      <c r="Z181" s="6"/>
      <c r="AA181" s="6"/>
      <c r="AB181" s="6"/>
      <c r="AC181" s="6"/>
      <c r="AD181" s="6"/>
      <c r="AE181" s="6"/>
      <c r="AF181" s="6"/>
      <c r="AG181" s="6"/>
      <c r="AH181" s="6"/>
      <c r="AI181" s="6"/>
      <c r="AJ181" s="6"/>
      <c r="AK181" s="6"/>
      <c r="AL181" s="6"/>
    </row>
    <row r="182" spans="1:38">
      <c r="A182" s="96">
        <f ca="1">IFERROR(__xludf.DUMMYFUNCTION("""COMPUTED_VALUE"""),44216)</f>
        <v>44216</v>
      </c>
      <c r="B182" s="6" t="str">
        <f ca="1">IFERROR(__xludf.DUMMYFUNCTION("""COMPUTED_VALUE"""),"Anand")</f>
        <v>Anand</v>
      </c>
      <c r="C182" s="6" t="str">
        <f ca="1">IFERROR(__xludf.DUMMYFUNCTION("""COMPUTED_VALUE"""),"anand.mnhr@gmail.com")</f>
        <v>anand.mnhr@gmail.com</v>
      </c>
      <c r="D182" s="6">
        <f ca="1">IFERROR(__xludf.DUMMYFUNCTION("""COMPUTED_VALUE"""),9566254926)</f>
        <v>9566254926</v>
      </c>
      <c r="E182" s="6" t="str">
        <f ca="1">IFERROR(__xludf.DUMMYFUNCTION("""COMPUTED_VALUE"""),"Chat_triggered")</f>
        <v>Chat_triggered</v>
      </c>
      <c r="F182" s="6" t="str">
        <f ca="1">IFERROR(__xludf.DUMMYFUNCTION("""COMPUTED_VALUE"""),"SAFe SSM")</f>
        <v>SAFe SSM</v>
      </c>
      <c r="G182" s="80">
        <f ca="1">IFERROR(__xludf.DUMMYFUNCTION("""COMPUTED_VALUE"""),44228)</f>
        <v>44228</v>
      </c>
      <c r="H182" s="6" t="str">
        <f ca="1">IFERROR(__xludf.DUMMYFUNCTION("""COMPUTED_VALUE"""),"Opportunity")</f>
        <v>Opportunity</v>
      </c>
      <c r="I182" s="6" t="str">
        <f ca="1">IFERROR(__xludf.DUMMYFUNCTION("""COMPUTED_VALUE"""),"13-14 Feb 2021")</f>
        <v>13-14 Feb 2021</v>
      </c>
      <c r="J182" s="6">
        <f ca="1">IFERROR(__xludf.DUMMYFUNCTION("""COMPUTED_VALUE"""),1)</f>
        <v>1</v>
      </c>
      <c r="K182" s="8">
        <f ca="1">IFERROR(__xludf.DUMMYFUNCTION("""COMPUTED_VALUE"""),53100)</f>
        <v>53100</v>
      </c>
      <c r="L182" s="8">
        <f ca="1">IFERROR(__xludf.DUMMYFUNCTION("""COMPUTED_VALUE"""),608.108108108108)</f>
        <v>608.10810810810801</v>
      </c>
      <c r="M182" s="96">
        <f ca="1">IFERROR(__xludf.DUMMYFUNCTION("""COMPUTED_VALUE"""),44230)</f>
        <v>44230</v>
      </c>
      <c r="N182" s="6"/>
      <c r="O182" s="97"/>
      <c r="P182" s="6"/>
      <c r="Q182" s="6"/>
      <c r="R182" s="6"/>
      <c r="S182" s="6" t="str">
        <f ca="1">IFERROR(__xludf.DUMMYFUNCTION("""COMPUTED_VALUE"""),"SAFe")</f>
        <v>SAFe</v>
      </c>
      <c r="T182" s="6"/>
      <c r="U182" s="6"/>
      <c r="V182" s="6"/>
      <c r="W182" s="6"/>
      <c r="X182" s="6"/>
      <c r="Y182" s="6"/>
      <c r="Z182" s="6"/>
      <c r="AA182" s="6"/>
      <c r="AB182" s="6"/>
      <c r="AC182" s="6"/>
      <c r="AD182" s="6"/>
      <c r="AE182" s="6"/>
      <c r="AF182" s="6"/>
      <c r="AG182" s="6"/>
      <c r="AH182" s="6"/>
      <c r="AI182" s="6"/>
      <c r="AJ182" s="6"/>
      <c r="AK182" s="6"/>
      <c r="AL182" s="6"/>
    </row>
    <row r="183" spans="1:38">
      <c r="A183" s="96">
        <f ca="1">IFERROR(__xludf.DUMMYFUNCTION("""COMPUTED_VALUE"""),44221)</f>
        <v>44221</v>
      </c>
      <c r="B183" s="6" t="str">
        <f ca="1">IFERROR(__xludf.DUMMYFUNCTION("""COMPUTED_VALUE"""),"Praveen Nair")</f>
        <v>Praveen Nair</v>
      </c>
      <c r="C183" s="6" t="str">
        <f ca="1">IFERROR(__xludf.DUMMYFUNCTION("""COMPUTED_VALUE"""),"praveen.nair86@gmail.com")</f>
        <v>praveen.nair86@gmail.com</v>
      </c>
      <c r="D183" s="6">
        <f ca="1">IFERROR(__xludf.DUMMYFUNCTION("""COMPUTED_VALUE"""),9652911644)</f>
        <v>9652911644</v>
      </c>
      <c r="E183" s="6" t="str">
        <f ca="1">IFERROR(__xludf.DUMMYFUNCTION("""COMPUTED_VALUE"""),"Account - Repeat2")</f>
        <v>Account - Repeat2</v>
      </c>
      <c r="F183" s="6" t="str">
        <f ca="1">IFERROR(__xludf.DUMMYFUNCTION("""COMPUTED_VALUE"""),"CSPO")</f>
        <v>CSPO</v>
      </c>
      <c r="G183" s="80">
        <f ca="1">IFERROR(__xludf.DUMMYFUNCTION("""COMPUTED_VALUE"""),44197)</f>
        <v>44197</v>
      </c>
      <c r="H183" s="6" t="str">
        <f ca="1">IFERROR(__xludf.DUMMYFUNCTION("""COMPUTED_VALUE"""),"Won")</f>
        <v>Won</v>
      </c>
      <c r="I183" s="6" t="str">
        <f ca="1">IFERROR(__xludf.DUMMYFUNCTION("""COMPUTED_VALUE"""),"27-28 Jan 2021")</f>
        <v>27-28 Jan 2021</v>
      </c>
      <c r="J183" s="6">
        <f ca="1">IFERROR(__xludf.DUMMYFUNCTION("""COMPUTED_VALUE"""),1)</f>
        <v>1</v>
      </c>
      <c r="K183" s="8">
        <f ca="1">IFERROR(__xludf.DUMMYFUNCTION("""COMPUTED_VALUE"""),20000)</f>
        <v>20000</v>
      </c>
      <c r="L183" s="8">
        <f ca="1">IFERROR(__xludf.DUMMYFUNCTION("""COMPUTED_VALUE"""),229.042601923957)</f>
        <v>229.04260192395699</v>
      </c>
      <c r="M183" s="96">
        <f ca="1">IFERROR(__xludf.DUMMYFUNCTION("""COMPUTED_VALUE"""),44221)</f>
        <v>44221</v>
      </c>
      <c r="N183" s="6" t="str">
        <f ca="1">IFERROR(__xludf.DUMMYFUNCTION("""COMPUTED_VALUE"""),"W4")</f>
        <v>W4</v>
      </c>
      <c r="O183" s="97">
        <f ca="1">IFERROR(__xludf.DUMMYFUNCTION("""COMPUTED_VALUE"""),44221)</f>
        <v>44221</v>
      </c>
      <c r="P183" s="6" t="str">
        <f ca="1">IFERROR(__xludf.DUMMYFUNCTION("""COMPUTED_VALUE"""),"CSTM_A7ZSST6VQG8")</f>
        <v>CSTM_A7ZSST6VQG8</v>
      </c>
      <c r="Q183" s="6"/>
      <c r="R183" s="6" t="str">
        <f ca="1">IFERROR(__xludf.DUMMYFUNCTION("""COMPUTED_VALUE"""),"Pending")</f>
        <v>Pending</v>
      </c>
      <c r="S183" s="6" t="str">
        <f ca="1">IFERROR(__xludf.DUMMYFUNCTION("""COMPUTED_VALUE"""),"Category")</f>
        <v>Category</v>
      </c>
      <c r="T183" s="6"/>
      <c r="U183" s="6"/>
      <c r="V183" s="6"/>
      <c r="W183" s="6"/>
      <c r="X183" s="6"/>
      <c r="Y183" s="6"/>
      <c r="Z183" s="6"/>
      <c r="AA183" s="6"/>
      <c r="AB183" s="6"/>
      <c r="AC183" s="6"/>
      <c r="AD183" s="6"/>
      <c r="AE183" s="6"/>
      <c r="AF183" s="6"/>
      <c r="AG183" s="6"/>
      <c r="AH183" s="6"/>
      <c r="AI183" s="6"/>
      <c r="AJ183" s="6"/>
      <c r="AK183" s="6"/>
      <c r="AL183" s="6"/>
    </row>
    <row r="184" spans="1:38">
      <c r="A184" s="96">
        <f ca="1">IFERROR(__xludf.DUMMYFUNCTION("""COMPUTED_VALUE"""),44217)</f>
        <v>44217</v>
      </c>
      <c r="B184" s="6" t="str">
        <f ca="1">IFERROR(__xludf.DUMMYFUNCTION("""COMPUTED_VALUE"""),"Divya")</f>
        <v>Divya</v>
      </c>
      <c r="C184" s="6" t="str">
        <f ca="1">IFERROR(__xludf.DUMMYFUNCTION("""COMPUTED_VALUE"""),"divya.pnd@gmail.com")</f>
        <v>divya.pnd@gmail.com</v>
      </c>
      <c r="D184" s="6">
        <f ca="1">IFERROR(__xludf.DUMMYFUNCTION("""COMPUTED_VALUE"""),9052223169)</f>
        <v>9052223169</v>
      </c>
      <c r="E184" s="6" t="str">
        <f ca="1">IFERROR(__xludf.DUMMYFUNCTION("""COMPUTED_VALUE"""),"Chat_triggered")</f>
        <v>Chat_triggered</v>
      </c>
      <c r="F184" s="6" t="str">
        <f ca="1">IFERROR(__xludf.DUMMYFUNCTION("""COMPUTED_VALUE"""),"CSM")</f>
        <v>CSM</v>
      </c>
      <c r="G184" s="80">
        <f ca="1">IFERROR(__xludf.DUMMYFUNCTION("""COMPUTED_VALUE"""),44197)</f>
        <v>44197</v>
      </c>
      <c r="H184" s="6" t="str">
        <f ca="1">IFERROR(__xludf.DUMMYFUNCTION("""COMPUTED_VALUE"""),"Won")</f>
        <v>Won</v>
      </c>
      <c r="I184" s="6" t="str">
        <f ca="1">IFERROR(__xludf.DUMMYFUNCTION("""COMPUTED_VALUE"""),"6-7 Feb 2021")</f>
        <v>6-7 Feb 2021</v>
      </c>
      <c r="J184" s="6">
        <f ca="1">IFERROR(__xludf.DUMMYFUNCTION("""COMPUTED_VALUE"""),1)</f>
        <v>1</v>
      </c>
      <c r="K184" s="8">
        <f ca="1">IFERROR(__xludf.DUMMYFUNCTION("""COMPUTED_VALUE"""),20000)</f>
        <v>20000</v>
      </c>
      <c r="L184" s="8">
        <f ca="1">IFERROR(__xludf.DUMMYFUNCTION("""COMPUTED_VALUE"""),229.042601923957)</f>
        <v>229.04260192395699</v>
      </c>
      <c r="M184" s="96">
        <f ca="1">IFERROR(__xludf.DUMMYFUNCTION("""COMPUTED_VALUE"""),44218)</f>
        <v>44218</v>
      </c>
      <c r="N184" s="6" t="str">
        <f ca="1">IFERROR(__xludf.DUMMYFUNCTION("""COMPUTED_VALUE"""),"W4")</f>
        <v>W4</v>
      </c>
      <c r="O184" s="97">
        <f ca="1">IFERROR(__xludf.DUMMYFUNCTION("""COMPUTED_VALUE"""),44222)</f>
        <v>44222</v>
      </c>
      <c r="P184" s="6" t="str">
        <f ca="1">IFERROR(__xludf.DUMMYFUNCTION("""COMPUTED_VALUE"""),"CSTM_9HTSD5QALVS")</f>
        <v>CSTM_9HTSD5QALVS</v>
      </c>
      <c r="Q184" s="6"/>
      <c r="R184" s="6" t="str">
        <f ca="1">IFERROR(__xludf.DUMMYFUNCTION("""COMPUTED_VALUE"""),"Done. Good feedback.")</f>
        <v>Done. Good feedback.</v>
      </c>
      <c r="S184" s="6" t="str">
        <f ca="1">IFERROR(__xludf.DUMMYFUNCTION("""COMPUTED_VALUE"""),"Category")</f>
        <v>Category</v>
      </c>
      <c r="T184" s="6"/>
      <c r="U184" s="6"/>
      <c r="V184" s="6"/>
      <c r="W184" s="6"/>
      <c r="X184" s="6"/>
      <c r="Y184" s="6"/>
      <c r="Z184" s="6"/>
      <c r="AA184" s="6"/>
      <c r="AB184" s="6"/>
      <c r="AC184" s="6"/>
      <c r="AD184" s="6"/>
      <c r="AE184" s="6"/>
      <c r="AF184" s="6"/>
      <c r="AG184" s="6"/>
      <c r="AH184" s="6"/>
      <c r="AI184" s="6"/>
      <c r="AJ184" s="6"/>
      <c r="AK184" s="6"/>
      <c r="AL184" s="6"/>
    </row>
    <row r="185" spans="1:38">
      <c r="A185" s="96">
        <f ca="1">IFERROR(__xludf.DUMMYFUNCTION("""COMPUTED_VALUE"""),44223)</f>
        <v>44223</v>
      </c>
      <c r="B185" s="6" t="str">
        <f ca="1">IFERROR(__xludf.DUMMYFUNCTION("""COMPUTED_VALUE"""),"Sheena Thakur")</f>
        <v>Sheena Thakur</v>
      </c>
      <c r="C185" s="6" t="str">
        <f ca="1">IFERROR(__xludf.DUMMYFUNCTION("""COMPUTED_VALUE"""),"sheenathakur93@gmail.com")</f>
        <v>sheenathakur93@gmail.com</v>
      </c>
      <c r="D185" s="6">
        <f ca="1">IFERROR(__xludf.DUMMYFUNCTION("""COMPUTED_VALUE"""),8800337898)</f>
        <v>8800337898</v>
      </c>
      <c r="E185" s="6" t="str">
        <f ca="1">IFERROR(__xludf.DUMMYFUNCTION("""COMPUTED_VALUE"""),"Chat_triggered")</f>
        <v>Chat_triggered</v>
      </c>
      <c r="F185" s="6" t="str">
        <f ca="1">IFERROR(__xludf.DUMMYFUNCTION("""COMPUTED_VALUE"""),"CSM")</f>
        <v>CSM</v>
      </c>
      <c r="G185" s="80">
        <f ca="1">IFERROR(__xludf.DUMMYFUNCTION("""COMPUTED_VALUE"""),44197)</f>
        <v>44197</v>
      </c>
      <c r="H185" s="6" t="str">
        <f ca="1">IFERROR(__xludf.DUMMYFUNCTION("""COMPUTED_VALUE"""),"Won")</f>
        <v>Won</v>
      </c>
      <c r="I185" s="6" t="str">
        <f ca="1">IFERROR(__xludf.DUMMYFUNCTION("""COMPUTED_VALUE"""),"30-31 Jan 2021")</f>
        <v>30-31 Jan 2021</v>
      </c>
      <c r="J185" s="6">
        <f ca="1">IFERROR(__xludf.DUMMYFUNCTION("""COMPUTED_VALUE"""),1)</f>
        <v>1</v>
      </c>
      <c r="K185" s="8">
        <f ca="1">IFERROR(__xludf.DUMMYFUNCTION("""COMPUTED_VALUE"""),20000)</f>
        <v>20000</v>
      </c>
      <c r="L185" s="8">
        <f ca="1">IFERROR(__xludf.DUMMYFUNCTION("""COMPUTED_VALUE"""),229.042601923957)</f>
        <v>229.04260192395699</v>
      </c>
      <c r="M185" s="96">
        <f ca="1">IFERROR(__xludf.DUMMYFUNCTION("""COMPUTED_VALUE"""),44223)</f>
        <v>44223</v>
      </c>
      <c r="N185" s="6" t="str">
        <f ca="1">IFERROR(__xludf.DUMMYFUNCTION("""COMPUTED_VALUE"""),"W4")</f>
        <v>W4</v>
      </c>
      <c r="O185" s="97">
        <f ca="1">IFERROR(__xludf.DUMMYFUNCTION("""COMPUTED_VALUE"""),44223)</f>
        <v>44223</v>
      </c>
      <c r="P185" s="6" t="str">
        <f ca="1">IFERROR(__xludf.DUMMYFUNCTION("""COMPUTED_VALUE"""),"CSTM_3BGTW6G386G")</f>
        <v>CSTM_3BGTW6G386G</v>
      </c>
      <c r="Q185" s="6"/>
      <c r="R185" s="6" t="str">
        <f ca="1">IFERROR(__xludf.DUMMYFUNCTION("""COMPUTED_VALUE"""),"Done. Good feedback.")</f>
        <v>Done. Good feedback.</v>
      </c>
      <c r="S185" s="6" t="str">
        <f ca="1">IFERROR(__xludf.DUMMYFUNCTION("""COMPUTED_VALUE"""),"Category")</f>
        <v>Category</v>
      </c>
      <c r="T185" s="6"/>
      <c r="U185" s="6"/>
      <c r="V185" s="6"/>
      <c r="W185" s="6"/>
      <c r="X185" s="6"/>
      <c r="Y185" s="6"/>
      <c r="Z185" s="6"/>
      <c r="AA185" s="6"/>
      <c r="AB185" s="6"/>
      <c r="AC185" s="6"/>
      <c r="AD185" s="6"/>
      <c r="AE185" s="6"/>
      <c r="AF185" s="6"/>
      <c r="AG185" s="6"/>
      <c r="AH185" s="6"/>
      <c r="AI185" s="6"/>
      <c r="AJ185" s="6"/>
      <c r="AK185" s="6"/>
      <c r="AL185" s="6"/>
    </row>
    <row r="186" spans="1:38">
      <c r="A186" s="96">
        <f ca="1">IFERROR(__xludf.DUMMYFUNCTION("""COMPUTED_VALUE"""),44216)</f>
        <v>44216</v>
      </c>
      <c r="B186" s="6" t="str">
        <f ca="1">IFERROR(__xludf.DUMMYFUNCTION("""COMPUTED_VALUE"""),"Kameshwaran Pandian")</f>
        <v>Kameshwaran Pandian</v>
      </c>
      <c r="C186" s="6" t="str">
        <f ca="1">IFERROR(__xludf.DUMMYFUNCTION("""COMPUTED_VALUE"""),"kamesh82@gmail.com")</f>
        <v>kamesh82@gmail.com</v>
      </c>
      <c r="D186" s="6">
        <f ca="1">IFERROR(__xludf.DUMMYFUNCTION("""COMPUTED_VALUE"""),9003023108)</f>
        <v>9003023108</v>
      </c>
      <c r="E186" s="6" t="str">
        <f ca="1">IFERROR(__xludf.DUMMYFUNCTION("""COMPUTED_VALUE"""),"Chat_triggered")</f>
        <v>Chat_triggered</v>
      </c>
      <c r="F186" s="6" t="str">
        <f ca="1">IFERROR(__xludf.DUMMYFUNCTION("""COMPUTED_VALUE"""),"PMI-ACP")</f>
        <v>PMI-ACP</v>
      </c>
      <c r="G186" s="80">
        <f ca="1">IFERROR(__xludf.DUMMYFUNCTION("""COMPUTED_VALUE"""),44197)</f>
        <v>44197</v>
      </c>
      <c r="H186" s="6" t="str">
        <f ca="1">IFERROR(__xludf.DUMMYFUNCTION("""COMPUTED_VALUE"""),"Opportunity")</f>
        <v>Opportunity</v>
      </c>
      <c r="I186" s="6" t="str">
        <f ca="1">IFERROR(__xludf.DUMMYFUNCTION("""COMPUTED_VALUE"""),"6 Feb 2021")</f>
        <v>6 Feb 2021</v>
      </c>
      <c r="J186" s="6">
        <f ca="1">IFERROR(__xludf.DUMMYFUNCTION("""COMPUTED_VALUE"""),1)</f>
        <v>1</v>
      </c>
      <c r="K186" s="8">
        <f ca="1">IFERROR(__xludf.DUMMYFUNCTION("""COMPUTED_VALUE"""),12000)</f>
        <v>12000</v>
      </c>
      <c r="L186" s="8">
        <f ca="1">IFERROR(__xludf.DUMMYFUNCTION("""COMPUTED_VALUE"""),137.425561154374)</f>
        <v>137.42556115437401</v>
      </c>
      <c r="M186" s="96">
        <f ca="1">IFERROR(__xludf.DUMMYFUNCTION("""COMPUTED_VALUE"""),44221)</f>
        <v>44221</v>
      </c>
      <c r="N186" s="6"/>
      <c r="O186" s="97"/>
      <c r="P186" s="6"/>
      <c r="Q186" s="6"/>
      <c r="R186" s="6"/>
      <c r="S186" s="6" t="str">
        <f ca="1">IFERROR(__xludf.DUMMYFUNCTION("""COMPUTED_VALUE"""),"Category")</f>
        <v>Category</v>
      </c>
      <c r="T186" s="6"/>
      <c r="U186" s="6"/>
      <c r="V186" s="6"/>
      <c r="W186" s="6"/>
      <c r="X186" s="6"/>
      <c r="Y186" s="6"/>
      <c r="Z186" s="6"/>
      <c r="AA186" s="6"/>
      <c r="AB186" s="6"/>
      <c r="AC186" s="6"/>
      <c r="AD186" s="6"/>
      <c r="AE186" s="6"/>
      <c r="AF186" s="6"/>
      <c r="AG186" s="6"/>
      <c r="AH186" s="6"/>
      <c r="AI186" s="6"/>
      <c r="AJ186" s="6"/>
      <c r="AK186" s="6"/>
      <c r="AL186" s="6"/>
    </row>
    <row r="187" spans="1:38">
      <c r="A187" s="96">
        <f ca="1">IFERROR(__xludf.DUMMYFUNCTION("""COMPUTED_VALUE"""),44224)</f>
        <v>44224</v>
      </c>
      <c r="B187" s="6" t="str">
        <f ca="1">IFERROR(__xludf.DUMMYFUNCTION("""COMPUTED_VALUE"""),"Parimala")</f>
        <v>Parimala</v>
      </c>
      <c r="C187" s="6" t="str">
        <f ca="1">IFERROR(__xludf.DUMMYFUNCTION("""COMPUTED_VALUE"""),"chatty.parimala@gmail.com")</f>
        <v>chatty.parimala@gmail.com</v>
      </c>
      <c r="D187" s="6">
        <f ca="1">IFERROR(__xludf.DUMMYFUNCTION("""COMPUTED_VALUE"""),9840847567)</f>
        <v>9840847567</v>
      </c>
      <c r="E187" s="6" t="str">
        <f ca="1">IFERROR(__xludf.DUMMYFUNCTION("""COMPUTED_VALUE"""),"course agenda")</f>
        <v>course agenda</v>
      </c>
      <c r="F187" s="6" t="str">
        <f ca="1">IFERROR(__xludf.DUMMYFUNCTION("""COMPUTED_VALUE"""),"CSM")</f>
        <v>CSM</v>
      </c>
      <c r="G187" s="80">
        <f ca="1">IFERROR(__xludf.DUMMYFUNCTION("""COMPUTED_VALUE"""),44197)</f>
        <v>44197</v>
      </c>
      <c r="H187" s="6" t="str">
        <f ca="1">IFERROR(__xludf.DUMMYFUNCTION("""COMPUTED_VALUE"""),"Won")</f>
        <v>Won</v>
      </c>
      <c r="I187" s="6" t="str">
        <f ca="1">IFERROR(__xludf.DUMMYFUNCTION("""COMPUTED_VALUE"""),"6-7 March 2021")</f>
        <v>6-7 March 2021</v>
      </c>
      <c r="J187" s="6">
        <f ca="1">IFERROR(__xludf.DUMMYFUNCTION("""COMPUTED_VALUE"""),1)</f>
        <v>1</v>
      </c>
      <c r="K187" s="8">
        <f ca="1">IFERROR(__xludf.DUMMYFUNCTION("""COMPUTED_VALUE"""),22000)</f>
        <v>22000</v>
      </c>
      <c r="L187" s="8">
        <f ca="1">IFERROR(__xludf.DUMMYFUNCTION("""COMPUTED_VALUE"""),251.946862116353)</f>
        <v>251.946862116353</v>
      </c>
      <c r="M187" s="96">
        <f ca="1">IFERROR(__xludf.DUMMYFUNCTION("""COMPUTED_VALUE"""),44224)</f>
        <v>44224</v>
      </c>
      <c r="N187" s="6" t="str">
        <f ca="1">IFERROR(__xludf.DUMMYFUNCTION("""COMPUTED_VALUE"""),"W4")</f>
        <v>W4</v>
      </c>
      <c r="O187" s="97">
        <f ca="1">IFERROR(__xludf.DUMMYFUNCTION("""COMPUTED_VALUE"""),44224)</f>
        <v>44224</v>
      </c>
      <c r="P187" s="6" t="str">
        <f ca="1">IFERROR(__xludf.DUMMYFUNCTION("""COMPUTED_VALUE"""),"CSTM_4YXP23HIP3Q")</f>
        <v>CSTM_4YXP23HIP3Q</v>
      </c>
      <c r="Q187" s="6"/>
      <c r="R187" s="6" t="str">
        <f ca="1">IFERROR(__xludf.DUMMYFUNCTION("""COMPUTED_VALUE"""),"Pending")</f>
        <v>Pending</v>
      </c>
      <c r="S187" s="6" t="str">
        <f ca="1">IFERROR(__xludf.DUMMYFUNCTION("""COMPUTED_VALUE"""),"Category")</f>
        <v>Category</v>
      </c>
      <c r="T187" s="6"/>
      <c r="U187" s="6"/>
      <c r="V187" s="6"/>
      <c r="W187" s="6"/>
      <c r="X187" s="6"/>
      <c r="Y187" s="6"/>
      <c r="Z187" s="6"/>
      <c r="AA187" s="6"/>
      <c r="AB187" s="6"/>
      <c r="AC187" s="6"/>
      <c r="AD187" s="6"/>
      <c r="AE187" s="6"/>
      <c r="AF187" s="6"/>
      <c r="AG187" s="6"/>
      <c r="AH187" s="6"/>
      <c r="AI187" s="6"/>
      <c r="AJ187" s="6"/>
      <c r="AK187" s="6"/>
      <c r="AL187" s="6"/>
    </row>
    <row r="188" spans="1:38">
      <c r="A188" s="96">
        <f ca="1">IFERROR(__xludf.DUMMYFUNCTION("""COMPUTED_VALUE"""),44216)</f>
        <v>44216</v>
      </c>
      <c r="B188" s="6" t="str">
        <f ca="1">IFERROR(__xludf.DUMMYFUNCTION("""COMPUTED_VALUE"""),"Humesh Kumar")</f>
        <v>Humesh Kumar</v>
      </c>
      <c r="C188" s="6" t="str">
        <f ca="1">IFERROR(__xludf.DUMMYFUNCTION("""COMPUTED_VALUE"""),"ks_humessh_kumar@yahoo.in")</f>
        <v>ks_humessh_kumar@yahoo.in</v>
      </c>
      <c r="D188" s="6">
        <f ca="1">IFERROR(__xludf.DUMMYFUNCTION("""COMPUTED_VALUE"""),9884492302)</f>
        <v>9884492302</v>
      </c>
      <c r="E188" s="6" t="str">
        <f ca="1">IFERROR(__xludf.DUMMYFUNCTION("""COMPUTED_VALUE"""),"Reference")</f>
        <v>Reference</v>
      </c>
      <c r="F188" s="6" t="str">
        <f ca="1">IFERROR(__xludf.DUMMYFUNCTION("""COMPUTED_VALUE"""),"CSM")</f>
        <v>CSM</v>
      </c>
      <c r="G188" s="80">
        <f ca="1">IFERROR(__xludf.DUMMYFUNCTION("""COMPUTED_VALUE"""),44197)</f>
        <v>44197</v>
      </c>
      <c r="H188" s="6" t="str">
        <f ca="1">IFERROR(__xludf.DUMMYFUNCTION("""COMPUTED_VALUE"""),"W")</f>
        <v>W</v>
      </c>
      <c r="I188" s="6" t="str">
        <f ca="1">IFERROR(__xludf.DUMMYFUNCTION("""COMPUTED_VALUE"""),"23-24 Jan 2021")</f>
        <v>23-24 Jan 2021</v>
      </c>
      <c r="J188" s="6">
        <f ca="1">IFERROR(__xludf.DUMMYFUNCTION("""COMPUTED_VALUE"""),1)</f>
        <v>1</v>
      </c>
      <c r="K188" s="8">
        <f ca="1">IFERROR(__xludf.DUMMYFUNCTION("""COMPUTED_VALUE"""),20500)</f>
        <v>20500</v>
      </c>
      <c r="L188" s="8">
        <f ca="1">IFERROR(__xludf.DUMMYFUNCTION("""COMPUTED_VALUE"""),234.768666972056)</f>
        <v>234.768666972056</v>
      </c>
      <c r="M188" s="96">
        <f ca="1">IFERROR(__xludf.DUMMYFUNCTION("""COMPUTED_VALUE"""),44216)</f>
        <v>44216</v>
      </c>
      <c r="N188" s="6"/>
      <c r="O188" s="97"/>
      <c r="P188" s="6"/>
      <c r="Q188" s="6" t="str">
        <f ca="1">IFERROR(__xludf.DUMMYFUNCTION("""COMPUTED_VALUE"""),"By Swetha mantlegal@gmail.com")</f>
        <v>By Swetha mantlegal@gmail.com</v>
      </c>
      <c r="R188" s="6"/>
      <c r="S188" s="6" t="str">
        <f ca="1">IFERROR(__xludf.DUMMYFUNCTION("""COMPUTED_VALUE"""),"Category")</f>
        <v>Category</v>
      </c>
      <c r="T188" s="6"/>
      <c r="U188" s="6"/>
      <c r="V188" s="6"/>
      <c r="W188" s="6"/>
      <c r="X188" s="6"/>
      <c r="Y188" s="6"/>
      <c r="Z188" s="6"/>
      <c r="AA188" s="6"/>
      <c r="AB188" s="6"/>
      <c r="AC188" s="6"/>
      <c r="AD188" s="6"/>
      <c r="AE188" s="6"/>
      <c r="AF188" s="6"/>
      <c r="AG188" s="6"/>
      <c r="AH188" s="6"/>
      <c r="AI188" s="6"/>
      <c r="AJ188" s="6"/>
      <c r="AK188" s="6"/>
      <c r="AL188" s="6"/>
    </row>
    <row r="189" spans="1:38">
      <c r="A189" s="96">
        <f ca="1">IFERROR(__xludf.DUMMYFUNCTION("""COMPUTED_VALUE"""),44224)</f>
        <v>44224</v>
      </c>
      <c r="B189" s="6" t="str">
        <f ca="1">IFERROR(__xludf.DUMMYFUNCTION("""COMPUTED_VALUE"""),"Pranay Sharma")</f>
        <v>Pranay Sharma</v>
      </c>
      <c r="C189" s="6" t="str">
        <f ca="1">IFERROR(__xludf.DUMMYFUNCTION("""COMPUTED_VALUE"""),"mr.pranay.sharma@gmail.com")</f>
        <v>mr.pranay.sharma@gmail.com</v>
      </c>
      <c r="D189" s="6">
        <f ca="1">IFERROR(__xludf.DUMMYFUNCTION("""COMPUTED_VALUE"""),8750638820)</f>
        <v>8750638820</v>
      </c>
      <c r="E189" s="6" t="str">
        <f ca="1">IFERROR(__xludf.DUMMYFUNCTION("""COMPUTED_VALUE"""),"course agenda")</f>
        <v>course agenda</v>
      </c>
      <c r="F189" s="6" t="str">
        <f ca="1">IFERROR(__xludf.DUMMYFUNCTION("""COMPUTED_VALUE"""),"CSPO")</f>
        <v>CSPO</v>
      </c>
      <c r="G189" s="80">
        <f ca="1">IFERROR(__xludf.DUMMYFUNCTION("""COMPUTED_VALUE"""),44197)</f>
        <v>44197</v>
      </c>
      <c r="H189" s="6" t="str">
        <f ca="1">IFERROR(__xludf.DUMMYFUNCTION("""COMPUTED_VALUE"""),"Won")</f>
        <v>Won</v>
      </c>
      <c r="I189" s="6" t="str">
        <f ca="1">IFERROR(__xludf.DUMMYFUNCTION("""COMPUTED_VALUE"""),"13-14 Feb 2021")</f>
        <v>13-14 Feb 2021</v>
      </c>
      <c r="J189" s="6">
        <f ca="1">IFERROR(__xludf.DUMMYFUNCTION("""COMPUTED_VALUE"""),1)</f>
        <v>1</v>
      </c>
      <c r="K189" s="8">
        <f ca="1">IFERROR(__xludf.DUMMYFUNCTION("""COMPUTED_VALUE"""),24780)</f>
        <v>24780</v>
      </c>
      <c r="L189" s="8">
        <f ca="1">IFERROR(__xludf.DUMMYFUNCTION("""COMPUTED_VALUE"""),283.783783783783)</f>
        <v>283.78378378378301</v>
      </c>
      <c r="M189" s="96">
        <f ca="1">IFERROR(__xludf.DUMMYFUNCTION("""COMPUTED_VALUE"""),44224)</f>
        <v>44224</v>
      </c>
      <c r="N189" s="6" t="str">
        <f ca="1">IFERROR(__xludf.DUMMYFUNCTION("""COMPUTED_VALUE"""),"W4")</f>
        <v>W4</v>
      </c>
      <c r="O189" s="97">
        <f ca="1">IFERROR(__xludf.DUMMYFUNCTION("""COMPUTED_VALUE"""),44224)</f>
        <v>44224</v>
      </c>
      <c r="P189" s="6" t="str">
        <f ca="1">IFERROR(__xludf.DUMMYFUNCTION("""COMPUTED_VALUE"""),"SMPL_6TXTNNAYY1D")</f>
        <v>SMPL_6TXTNNAYY1D</v>
      </c>
      <c r="Q189" s="6"/>
      <c r="R189" s="6" t="str">
        <f ca="1">IFERROR(__xludf.DUMMYFUNCTION("""COMPUTED_VALUE"""),"Pending")</f>
        <v>Pending</v>
      </c>
      <c r="S189" s="6" t="str">
        <f ca="1">IFERROR(__xludf.DUMMYFUNCTION("""COMPUTED_VALUE"""),"Category")</f>
        <v>Category</v>
      </c>
      <c r="T189" s="6"/>
      <c r="U189" s="6"/>
      <c r="V189" s="6"/>
      <c r="W189" s="6"/>
      <c r="X189" s="6"/>
      <c r="Y189" s="6"/>
      <c r="Z189" s="6"/>
      <c r="AA189" s="6"/>
      <c r="AB189" s="6"/>
      <c r="AC189" s="6"/>
      <c r="AD189" s="6"/>
      <c r="AE189" s="6"/>
      <c r="AF189" s="6"/>
      <c r="AG189" s="6"/>
      <c r="AH189" s="6"/>
      <c r="AI189" s="6"/>
      <c r="AJ189" s="6"/>
      <c r="AK189" s="6"/>
      <c r="AL189" s="6"/>
    </row>
    <row r="190" spans="1:38">
      <c r="A190" s="96">
        <f ca="1">IFERROR(__xludf.DUMMYFUNCTION("""COMPUTED_VALUE"""),44217)</f>
        <v>44217</v>
      </c>
      <c r="B190" s="6" t="str">
        <f ca="1">IFERROR(__xludf.DUMMYFUNCTION("""COMPUTED_VALUE"""),"Balasankari")</f>
        <v>Balasankari</v>
      </c>
      <c r="C190" s="6" t="str">
        <f ca="1">IFERROR(__xludf.DUMMYFUNCTION("""COMPUTED_VALUE"""),"balasankari@gmail.com")</f>
        <v>balasankari@gmail.com</v>
      </c>
      <c r="D190" s="6">
        <f ca="1">IFERROR(__xludf.DUMMYFUNCTION("""COMPUTED_VALUE"""),9940490166)</f>
        <v>9940490166</v>
      </c>
      <c r="E190" s="6" t="str">
        <f ca="1">IFERROR(__xludf.DUMMYFUNCTION("""COMPUTED_VALUE"""),"fpt-paper")</f>
        <v>fpt-paper</v>
      </c>
      <c r="F190" s="6" t="str">
        <f ca="1">IFERROR(__xludf.DUMMYFUNCTION("""COMPUTED_VALUE"""),"CSM")</f>
        <v>CSM</v>
      </c>
      <c r="G190" s="80">
        <f ca="1">IFERROR(__xludf.DUMMYFUNCTION("""COMPUTED_VALUE"""),44228)</f>
        <v>44228</v>
      </c>
      <c r="H190" s="6" t="str">
        <f ca="1">IFERROR(__xludf.DUMMYFUNCTION("""COMPUTED_VALUE"""),"Opportunity")</f>
        <v>Opportunity</v>
      </c>
      <c r="I190" s="6" t="str">
        <f ca="1">IFERROR(__xludf.DUMMYFUNCTION("""COMPUTED_VALUE"""),"13-14 Feb 2021")</f>
        <v>13-14 Feb 2021</v>
      </c>
      <c r="J190" s="6">
        <f ca="1">IFERROR(__xludf.DUMMYFUNCTION("""COMPUTED_VALUE"""),1)</f>
        <v>1</v>
      </c>
      <c r="K190" s="8">
        <f ca="1">IFERROR(__xludf.DUMMYFUNCTION("""COMPUTED_VALUE"""),21500)</f>
        <v>21500</v>
      </c>
      <c r="L190" s="8">
        <f ca="1">IFERROR(__xludf.DUMMYFUNCTION("""COMPUTED_VALUE"""),246.220797068254)</f>
        <v>246.220797068254</v>
      </c>
      <c r="M190" s="96">
        <f ca="1">IFERROR(__xludf.DUMMYFUNCTION("""COMPUTED_VALUE"""),44230)</f>
        <v>44230</v>
      </c>
      <c r="N190" s="6"/>
      <c r="O190" s="97"/>
      <c r="P190" s="6"/>
      <c r="Q190" s="6"/>
      <c r="R190" s="6"/>
      <c r="S190" s="6" t="str">
        <f ca="1">IFERROR(__xludf.DUMMYFUNCTION("""COMPUTED_VALUE"""),"Category")</f>
        <v>Category</v>
      </c>
      <c r="T190" s="6"/>
      <c r="U190" s="6"/>
      <c r="V190" s="6"/>
      <c r="W190" s="6"/>
      <c r="X190" s="6"/>
      <c r="Y190" s="6"/>
      <c r="Z190" s="6"/>
      <c r="AA190" s="6"/>
      <c r="AB190" s="6"/>
      <c r="AC190" s="6"/>
      <c r="AD190" s="6"/>
      <c r="AE190" s="6"/>
      <c r="AF190" s="6"/>
      <c r="AG190" s="6"/>
      <c r="AH190" s="6"/>
      <c r="AI190" s="6"/>
      <c r="AJ190" s="6"/>
      <c r="AK190" s="6"/>
      <c r="AL190" s="6"/>
    </row>
    <row r="191" spans="1:38">
      <c r="A191" s="96">
        <f ca="1">IFERROR(__xludf.DUMMYFUNCTION("""COMPUTED_VALUE"""),44224)</f>
        <v>44224</v>
      </c>
      <c r="B191" s="6" t="str">
        <f ca="1">IFERROR(__xludf.DUMMYFUNCTION("""COMPUTED_VALUE"""),"Manjari Saxena")</f>
        <v>Manjari Saxena</v>
      </c>
      <c r="C191" s="6" t="str">
        <f ca="1">IFERROR(__xludf.DUMMYFUNCTION("""COMPUTED_VALUE"""),"saxena.manjari@gmail.com")</f>
        <v>saxena.manjari@gmail.com</v>
      </c>
      <c r="D191" s="6"/>
      <c r="E191" s="6" t="str">
        <f ca="1">IFERROR(__xludf.DUMMYFUNCTION("""COMPUTED_VALUE"""),"Account - Repeat")</f>
        <v>Account - Repeat</v>
      </c>
      <c r="F191" s="6" t="str">
        <f ca="1">IFERROR(__xludf.DUMMYFUNCTION("""COMPUTED_VALUE"""),"SAFe Agile")</f>
        <v>SAFe Agile</v>
      </c>
      <c r="G191" s="80">
        <f ca="1">IFERROR(__xludf.DUMMYFUNCTION("""COMPUTED_VALUE"""),44197)</f>
        <v>44197</v>
      </c>
      <c r="H191" s="6" t="str">
        <f ca="1">IFERROR(__xludf.DUMMYFUNCTION("""COMPUTED_VALUE"""),"Won")</f>
        <v>Won</v>
      </c>
      <c r="I191" s="6" t="str">
        <f ca="1">IFERROR(__xludf.DUMMYFUNCTION("""COMPUTED_VALUE"""),"30-31 Jan 2021")</f>
        <v>30-31 Jan 2021</v>
      </c>
      <c r="J191" s="6">
        <f ca="1">IFERROR(__xludf.DUMMYFUNCTION("""COMPUTED_VALUE"""),1)</f>
        <v>1</v>
      </c>
      <c r="K191" s="8">
        <f ca="1">IFERROR(__xludf.DUMMYFUNCTION("""COMPUTED_VALUE"""),53100)</f>
        <v>53100</v>
      </c>
      <c r="L191" s="8">
        <f ca="1">IFERROR(__xludf.DUMMYFUNCTION("""COMPUTED_VALUE"""),608.108108108108)</f>
        <v>608.10810810810801</v>
      </c>
      <c r="M191" s="96">
        <f ca="1">IFERROR(__xludf.DUMMYFUNCTION("""COMPUTED_VALUE"""),44224)</f>
        <v>44224</v>
      </c>
      <c r="N191" s="6" t="str">
        <f ca="1">IFERROR(__xludf.DUMMYFUNCTION("""COMPUTED_VALUE"""),"W4")</f>
        <v>W4</v>
      </c>
      <c r="O191" s="97">
        <f ca="1">IFERROR(__xludf.DUMMYFUNCTION("""COMPUTED_VALUE"""),44225)</f>
        <v>44225</v>
      </c>
      <c r="P191" s="6" t="str">
        <f ca="1">IFERROR(__xludf.DUMMYFUNCTION("""COMPUTED_VALUE"""),"CSTM_97KB83WLBRG")</f>
        <v>CSTM_97KB83WLBRG</v>
      </c>
      <c r="Q191" s="6"/>
      <c r="R191" s="6" t="str">
        <f ca="1">IFERROR(__xludf.DUMMYFUNCTION("""COMPUTED_VALUE"""),"Done. Good feedback.")</f>
        <v>Done. Good feedback.</v>
      </c>
      <c r="S191" s="6" t="str">
        <f ca="1">IFERROR(__xludf.DUMMYFUNCTION("""COMPUTED_VALUE"""),"SAFe")</f>
        <v>SAFe</v>
      </c>
      <c r="T191" s="6"/>
      <c r="U191" s="6"/>
      <c r="V191" s="6"/>
      <c r="W191" s="6"/>
      <c r="X191" s="6"/>
      <c r="Y191" s="6"/>
      <c r="Z191" s="6"/>
      <c r="AA191" s="6"/>
      <c r="AB191" s="6"/>
      <c r="AC191" s="6"/>
      <c r="AD191" s="6"/>
      <c r="AE191" s="6"/>
      <c r="AF191" s="6"/>
      <c r="AG191" s="6"/>
      <c r="AH191" s="6"/>
      <c r="AI191" s="6"/>
      <c r="AJ191" s="6"/>
      <c r="AK191" s="6"/>
      <c r="AL191" s="6"/>
    </row>
    <row r="192" spans="1:38">
      <c r="A192" s="96">
        <f ca="1">IFERROR(__xludf.DUMMYFUNCTION("""COMPUTED_VALUE"""),44214)</f>
        <v>44214</v>
      </c>
      <c r="B192" s="6" t="str">
        <f ca="1">IFERROR(__xludf.DUMMYFUNCTION("""COMPUTED_VALUE"""),"Suman")</f>
        <v>Suman</v>
      </c>
      <c r="C192" s="6" t="str">
        <f ca="1">IFERROR(__xludf.DUMMYFUNCTION("""COMPUTED_VALUE"""),"suman.kiit999@gmail.com")</f>
        <v>suman.kiit999@gmail.com</v>
      </c>
      <c r="D192" s="6">
        <f ca="1">IFERROR(__xludf.DUMMYFUNCTION("""COMPUTED_VALUE"""),9535359283)</f>
        <v>9535359283</v>
      </c>
      <c r="E192" s="6" t="str">
        <f ca="1">IFERROR(__xludf.DUMMYFUNCTION("""COMPUTED_VALUE"""),"chat_initiated")</f>
        <v>chat_initiated</v>
      </c>
      <c r="F192" s="6" t="str">
        <f ca="1">IFERROR(__xludf.DUMMYFUNCTION("""COMPUTED_VALUE"""),"CSM")</f>
        <v>CSM</v>
      </c>
      <c r="G192" s="80">
        <f ca="1">IFERROR(__xludf.DUMMYFUNCTION("""COMPUTED_VALUE"""),44197)</f>
        <v>44197</v>
      </c>
      <c r="H192" s="6" t="str">
        <f ca="1">IFERROR(__xludf.DUMMYFUNCTION("""COMPUTED_VALUE"""),"Opportunity")</f>
        <v>Opportunity</v>
      </c>
      <c r="I192" s="6" t="str">
        <f ca="1">IFERROR(__xludf.DUMMYFUNCTION("""COMPUTED_VALUE"""),"DK")</f>
        <v>DK</v>
      </c>
      <c r="J192" s="6">
        <f ca="1">IFERROR(__xludf.DUMMYFUNCTION("""COMPUTED_VALUE"""),1)</f>
        <v>1</v>
      </c>
      <c r="K192" s="8">
        <f ca="1">IFERROR(__xludf.DUMMYFUNCTION("""COMPUTED_VALUE"""),21500)</f>
        <v>21500</v>
      </c>
      <c r="L192" s="8">
        <f ca="1">IFERROR(__xludf.DUMMYFUNCTION("""COMPUTED_VALUE"""),246.220797068254)</f>
        <v>246.220797068254</v>
      </c>
      <c r="M192" s="96"/>
      <c r="N192" s="6"/>
      <c r="O192" s="97"/>
      <c r="P192" s="6"/>
      <c r="Q192" s="6"/>
      <c r="R192" s="6"/>
      <c r="S192" s="6" t="str">
        <f ca="1">IFERROR(__xludf.DUMMYFUNCTION("""COMPUTED_VALUE"""),"Category")</f>
        <v>Category</v>
      </c>
      <c r="T192" s="6"/>
      <c r="U192" s="6"/>
      <c r="V192" s="6"/>
      <c r="W192" s="6"/>
      <c r="X192" s="6"/>
      <c r="Y192" s="6"/>
      <c r="Z192" s="6"/>
      <c r="AA192" s="6"/>
      <c r="AB192" s="6"/>
      <c r="AC192" s="6"/>
      <c r="AD192" s="6"/>
      <c r="AE192" s="6"/>
      <c r="AF192" s="6"/>
      <c r="AG192" s="6"/>
      <c r="AH192" s="6"/>
      <c r="AI192" s="6"/>
      <c r="AJ192" s="6"/>
      <c r="AK192" s="6"/>
      <c r="AL192" s="6"/>
    </row>
    <row r="193" spans="1:38">
      <c r="A193" s="96">
        <f ca="1">IFERROR(__xludf.DUMMYFUNCTION("""COMPUTED_VALUE"""),44218)</f>
        <v>44218</v>
      </c>
      <c r="B193" s="6" t="str">
        <f ca="1">IFERROR(__xludf.DUMMYFUNCTION("""COMPUTED_VALUE"""),"Swapnil Shrivastav")</f>
        <v>Swapnil Shrivastav</v>
      </c>
      <c r="C193" s="6" t="str">
        <f ca="1">IFERROR(__xludf.DUMMYFUNCTION("""COMPUTED_VALUE"""),"swap.shrivast91@gmail.com")</f>
        <v>swap.shrivast91@gmail.com</v>
      </c>
      <c r="D193" s="6">
        <f ca="1">IFERROR(__xludf.DUMMYFUNCTION("""COMPUTED_VALUE"""),8451893404)</f>
        <v>8451893404</v>
      </c>
      <c r="E193" s="6" t="str">
        <f ca="1">IFERROR(__xludf.DUMMYFUNCTION("""COMPUTED_VALUE"""),"course-preview")</f>
        <v>course-preview</v>
      </c>
      <c r="F193" s="6" t="str">
        <f ca="1">IFERROR(__xludf.DUMMYFUNCTION("""COMPUTED_VALUE"""),"CSM")</f>
        <v>CSM</v>
      </c>
      <c r="G193" s="80">
        <f ca="1">IFERROR(__xludf.DUMMYFUNCTION("""COMPUTED_VALUE"""),44197)</f>
        <v>44197</v>
      </c>
      <c r="H193" s="6" t="str">
        <f ca="1">IFERROR(__xludf.DUMMYFUNCTION("""COMPUTED_VALUE"""),"Opportunity")</f>
        <v>Opportunity</v>
      </c>
      <c r="I193" s="6" t="str">
        <f ca="1">IFERROR(__xludf.DUMMYFUNCTION("""COMPUTED_VALUE"""),"DK")</f>
        <v>DK</v>
      </c>
      <c r="J193" s="6">
        <f ca="1">IFERROR(__xludf.DUMMYFUNCTION("""COMPUTED_VALUE"""),1)</f>
        <v>1</v>
      </c>
      <c r="K193" s="8">
        <f ca="1">IFERROR(__xludf.DUMMYFUNCTION("""COMPUTED_VALUE"""),21500)</f>
        <v>21500</v>
      </c>
      <c r="L193" s="8">
        <f ca="1">IFERROR(__xludf.DUMMYFUNCTION("""COMPUTED_VALUE"""),246.220797068254)</f>
        <v>246.220797068254</v>
      </c>
      <c r="M193" s="96"/>
      <c r="N193" s="6"/>
      <c r="O193" s="97"/>
      <c r="P193" s="6"/>
      <c r="Q193" s="6"/>
      <c r="R193" s="6"/>
      <c r="S193" s="6" t="str">
        <f ca="1">IFERROR(__xludf.DUMMYFUNCTION("""COMPUTED_VALUE"""),"Category")</f>
        <v>Category</v>
      </c>
      <c r="T193" s="6"/>
      <c r="U193" s="6"/>
      <c r="V193" s="6"/>
      <c r="W193" s="6"/>
      <c r="X193" s="6"/>
      <c r="Y193" s="6"/>
      <c r="Z193" s="6"/>
      <c r="AA193" s="6"/>
      <c r="AB193" s="6"/>
      <c r="AC193" s="6"/>
      <c r="AD193" s="6"/>
      <c r="AE193" s="6"/>
      <c r="AF193" s="6"/>
      <c r="AG193" s="6"/>
      <c r="AH193" s="6"/>
      <c r="AI193" s="6"/>
      <c r="AJ193" s="6"/>
      <c r="AK193" s="6"/>
      <c r="AL193" s="6"/>
    </row>
    <row r="194" spans="1:38">
      <c r="A194" s="96">
        <f ca="1">IFERROR(__xludf.DUMMYFUNCTION("""COMPUTED_VALUE"""),44218)</f>
        <v>44218</v>
      </c>
      <c r="B194" s="6" t="str">
        <f ca="1">IFERROR(__xludf.DUMMYFUNCTION("""COMPUTED_VALUE"""),"Chirantana Dixit")</f>
        <v>Chirantana Dixit</v>
      </c>
      <c r="C194" s="6" t="str">
        <f ca="1">IFERROR(__xludf.DUMMYFUNCTION("""COMPUTED_VALUE"""),"dixitchirantana3@gmail.com")</f>
        <v>dixitchirantana3@gmail.com</v>
      </c>
      <c r="D194" s="6">
        <f ca="1">IFERROR(__xludf.DUMMYFUNCTION("""COMPUTED_VALUE"""),8374513020)</f>
        <v>8374513020</v>
      </c>
      <c r="E194" s="6" t="str">
        <f ca="1">IFERROR(__xludf.DUMMYFUNCTION("""COMPUTED_VALUE"""),"Query box")</f>
        <v>Query box</v>
      </c>
      <c r="F194" s="6" t="str">
        <f ca="1">IFERROR(__xludf.DUMMYFUNCTION("""COMPUTED_VALUE"""),"PMI-ACP")</f>
        <v>PMI-ACP</v>
      </c>
      <c r="G194" s="80">
        <f ca="1">IFERROR(__xludf.DUMMYFUNCTION("""COMPUTED_VALUE"""),44197)</f>
        <v>44197</v>
      </c>
      <c r="H194" s="6" t="str">
        <f ca="1">IFERROR(__xludf.DUMMYFUNCTION("""COMPUTED_VALUE"""),"Lost")</f>
        <v>Lost</v>
      </c>
      <c r="I194" s="6" t="str">
        <f ca="1">IFERROR(__xludf.DUMMYFUNCTION("""COMPUTED_VALUE"""),"6 Feb 2021")</f>
        <v>6 Feb 2021</v>
      </c>
      <c r="J194" s="6">
        <f ca="1">IFERROR(__xludf.DUMMYFUNCTION("""COMPUTED_VALUE"""),1)</f>
        <v>1</v>
      </c>
      <c r="K194" s="8">
        <f ca="1">IFERROR(__xludf.DUMMYFUNCTION("""COMPUTED_VALUE"""),11000)</f>
        <v>11000</v>
      </c>
      <c r="L194" s="8">
        <f ca="1">IFERROR(__xludf.DUMMYFUNCTION("""COMPUTED_VALUE"""),125.973431058176)</f>
        <v>125.973431058176</v>
      </c>
      <c r="M194" s="96">
        <f ca="1">IFERROR(__xludf.DUMMYFUNCTION("""COMPUTED_VALUE"""),44221)</f>
        <v>44221</v>
      </c>
      <c r="N194" s="6"/>
      <c r="O194" s="97"/>
      <c r="P194" s="6"/>
      <c r="Q194" s="6" t="str">
        <f ca="1">IFERROR(__xludf.DUMMYFUNCTION("""COMPUTED_VALUE"""),"Needs only morning batch.")</f>
        <v>Needs only morning batch.</v>
      </c>
      <c r="R194" s="6"/>
      <c r="S194" s="6" t="str">
        <f ca="1">IFERROR(__xludf.DUMMYFUNCTION("""COMPUTED_VALUE"""),"Category")</f>
        <v>Category</v>
      </c>
      <c r="T194" s="6"/>
      <c r="U194" s="6"/>
      <c r="V194" s="6"/>
      <c r="W194" s="6"/>
      <c r="X194" s="6"/>
      <c r="Y194" s="6"/>
      <c r="Z194" s="6"/>
      <c r="AA194" s="6"/>
      <c r="AB194" s="6"/>
      <c r="AC194" s="6"/>
      <c r="AD194" s="6"/>
      <c r="AE194" s="6"/>
      <c r="AF194" s="6"/>
      <c r="AG194" s="6"/>
      <c r="AH194" s="6"/>
      <c r="AI194" s="6"/>
      <c r="AJ194" s="6"/>
      <c r="AK194" s="6"/>
      <c r="AL194" s="6"/>
    </row>
    <row r="195" spans="1:38">
      <c r="A195" s="96">
        <f ca="1">IFERROR(__xludf.DUMMYFUNCTION("""COMPUTED_VALUE"""),44224)</f>
        <v>44224</v>
      </c>
      <c r="B195" s="6" t="str">
        <f ca="1">IFERROR(__xludf.DUMMYFUNCTION("""COMPUTED_VALUE"""),"Manjari Saxena")</f>
        <v>Manjari Saxena</v>
      </c>
      <c r="C195" s="6" t="str">
        <f ca="1">IFERROR(__xludf.DUMMYFUNCTION("""COMPUTED_VALUE"""),"saxena.manjari@gmail.com")</f>
        <v>saxena.manjari@gmail.com</v>
      </c>
      <c r="D195" s="6"/>
      <c r="E195" s="6" t="str">
        <f ca="1">IFERROR(__xludf.DUMMYFUNCTION("""COMPUTED_VALUE"""),"Account - Repeat")</f>
        <v>Account - Repeat</v>
      </c>
      <c r="F195" s="6" t="str">
        <f ca="1">IFERROR(__xludf.DUMMYFUNCTION("""COMPUTED_VALUE"""),"CBAP")</f>
        <v>CBAP</v>
      </c>
      <c r="G195" s="80">
        <f ca="1">IFERROR(__xludf.DUMMYFUNCTION("""COMPUTED_VALUE"""),44197)</f>
        <v>44197</v>
      </c>
      <c r="H195" s="6" t="str">
        <f ca="1">IFERROR(__xludf.DUMMYFUNCTION("""COMPUTED_VALUE"""),"Won")</f>
        <v>Won</v>
      </c>
      <c r="I195" s="6" t="str">
        <f ca="1">IFERROR(__xludf.DUMMYFUNCTION("""COMPUTED_VALUE"""),"6 Feb 2021")</f>
        <v>6 Feb 2021</v>
      </c>
      <c r="J195" s="6">
        <f ca="1">IFERROR(__xludf.DUMMYFUNCTION("""COMPUTED_VALUE"""),1)</f>
        <v>1</v>
      </c>
      <c r="K195" s="8">
        <f ca="1">IFERROR(__xludf.DUMMYFUNCTION("""COMPUTED_VALUE"""),8500)</f>
        <v>8500</v>
      </c>
      <c r="L195" s="8">
        <f ca="1">IFERROR(__xludf.DUMMYFUNCTION("""COMPUTED_VALUE"""),97.343105817682)</f>
        <v>97.343105817682002</v>
      </c>
      <c r="M195" s="96">
        <f ca="1">IFERROR(__xludf.DUMMYFUNCTION("""COMPUTED_VALUE"""),44224)</f>
        <v>44224</v>
      </c>
      <c r="N195" s="6" t="str">
        <f ca="1">IFERROR(__xludf.DUMMYFUNCTION("""COMPUTED_VALUE"""),"W4")</f>
        <v>W4</v>
      </c>
      <c r="O195" s="97">
        <f ca="1">IFERROR(__xludf.DUMMYFUNCTION("""COMPUTED_VALUE"""),44225)</f>
        <v>44225</v>
      </c>
      <c r="P195" s="6" t="str">
        <f ca="1">IFERROR(__xludf.DUMMYFUNCTION("""COMPUTED_VALUE"""),"CSTM_56SNEZNYG8J")</f>
        <v>CSTM_56SNEZNYG8J</v>
      </c>
      <c r="Q195" s="6"/>
      <c r="R195" s="6" t="str">
        <f ca="1">IFERROR(__xludf.DUMMYFUNCTION("""COMPUTED_VALUE"""),"Done.")</f>
        <v>Done.</v>
      </c>
      <c r="S195" s="6" t="str">
        <f ca="1">IFERROR(__xludf.DUMMYFUNCTION("""COMPUTED_VALUE"""),"NonCategory")</f>
        <v>NonCategory</v>
      </c>
      <c r="T195" s="6"/>
      <c r="U195" s="6"/>
      <c r="V195" s="6"/>
      <c r="W195" s="6"/>
      <c r="X195" s="6"/>
      <c r="Y195" s="6"/>
      <c r="Z195" s="6"/>
      <c r="AA195" s="6"/>
      <c r="AB195" s="6"/>
      <c r="AC195" s="6"/>
      <c r="AD195" s="6"/>
      <c r="AE195" s="6"/>
      <c r="AF195" s="6"/>
      <c r="AG195" s="6"/>
      <c r="AH195" s="6"/>
      <c r="AI195" s="6"/>
      <c r="AJ195" s="6"/>
      <c r="AK195" s="6"/>
      <c r="AL195" s="6"/>
    </row>
    <row r="196" spans="1:38">
      <c r="A196" s="96">
        <f ca="1">IFERROR(__xludf.DUMMYFUNCTION("""COMPUTED_VALUE"""),44216)</f>
        <v>44216</v>
      </c>
      <c r="B196" s="6" t="str">
        <f ca="1">IFERROR(__xludf.DUMMYFUNCTION("""COMPUTED_VALUE"""),"Vinaya Karre")</f>
        <v>Vinaya Karre</v>
      </c>
      <c r="C196" s="6" t="str">
        <f ca="1">IFERROR(__xludf.DUMMYFUNCTION("""COMPUTED_VALUE"""),"vinayakarre@gmail.com")</f>
        <v>vinayakarre@gmail.com</v>
      </c>
      <c r="D196" s="6">
        <f ca="1">IFERROR(__xludf.DUMMYFUNCTION("""COMPUTED_VALUE"""),9866552410)</f>
        <v>9866552410</v>
      </c>
      <c r="E196" s="6" t="str">
        <f ca="1">IFERROR(__xludf.DUMMYFUNCTION("""COMPUTED_VALUE"""),"Reference")</f>
        <v>Reference</v>
      </c>
      <c r="F196" s="6" t="str">
        <f ca="1">IFERROR(__xludf.DUMMYFUNCTION("""COMPUTED_VALUE"""),"CSM")</f>
        <v>CSM</v>
      </c>
      <c r="G196" s="80">
        <f ca="1">IFERROR(__xludf.DUMMYFUNCTION("""COMPUTED_VALUE"""),44197)</f>
        <v>44197</v>
      </c>
      <c r="H196" s="6" t="str">
        <f ca="1">IFERROR(__xludf.DUMMYFUNCTION("""COMPUTED_VALUE"""),"Won")</f>
        <v>Won</v>
      </c>
      <c r="I196" s="6" t="str">
        <f ca="1">IFERROR(__xludf.DUMMYFUNCTION("""COMPUTED_VALUE"""),"13-14 Feb 2021")</f>
        <v>13-14 Feb 2021</v>
      </c>
      <c r="J196" s="6">
        <f ca="1">IFERROR(__xludf.DUMMYFUNCTION("""COMPUTED_VALUE"""),1)</f>
        <v>1</v>
      </c>
      <c r="K196" s="8">
        <f ca="1">IFERROR(__xludf.DUMMYFUNCTION("""COMPUTED_VALUE"""),20000)</f>
        <v>20000</v>
      </c>
      <c r="L196" s="8">
        <f ca="1">IFERROR(__xludf.DUMMYFUNCTION("""COMPUTED_VALUE"""),229.042601923957)</f>
        <v>229.04260192395699</v>
      </c>
      <c r="M196" s="96">
        <f ca="1">IFERROR(__xludf.DUMMYFUNCTION("""COMPUTED_VALUE"""),44221)</f>
        <v>44221</v>
      </c>
      <c r="N196" s="6" t="str">
        <f ca="1">IFERROR(__xludf.DUMMYFUNCTION("""COMPUTED_VALUE"""),"W4")</f>
        <v>W4</v>
      </c>
      <c r="O196" s="97">
        <f ca="1">IFERROR(__xludf.DUMMYFUNCTION("""COMPUTED_VALUE"""),44226)</f>
        <v>44226</v>
      </c>
      <c r="P196" s="6" t="str">
        <f ca="1">IFERROR(__xludf.DUMMYFUNCTION("""COMPUTED_VALUE"""),"CSTM_50V2JFVNXOV")</f>
        <v>CSTM_50V2JFVNXOV</v>
      </c>
      <c r="Q196" s="6" t="str">
        <f ca="1">IFERROR(__xludf.DUMMYFUNCTION("""COMPUTED_VALUE"""),"By Manisha Singh")</f>
        <v>By Manisha Singh</v>
      </c>
      <c r="R196" s="6" t="str">
        <f ca="1">IFERROR(__xludf.DUMMYFUNCTION("""COMPUTED_VALUE"""),"Done. Good feedback.")</f>
        <v>Done. Good feedback.</v>
      </c>
      <c r="S196" s="6" t="str">
        <f ca="1">IFERROR(__xludf.DUMMYFUNCTION("""COMPUTED_VALUE"""),"Category")</f>
        <v>Category</v>
      </c>
      <c r="T196" s="6" t="str">
        <f ca="1">IFERROR(__xludf.DUMMYFUNCTION("""COMPUTED_VALUE"""),"Sent.")</f>
        <v>Sent.</v>
      </c>
      <c r="U196" s="6"/>
      <c r="V196" s="6"/>
      <c r="W196" s="6"/>
      <c r="X196" s="6"/>
      <c r="Y196" s="6"/>
      <c r="Z196" s="6"/>
      <c r="AA196" s="6"/>
      <c r="AB196" s="6"/>
      <c r="AC196" s="6"/>
      <c r="AD196" s="6"/>
      <c r="AE196" s="6"/>
      <c r="AF196" s="6"/>
      <c r="AG196" s="6"/>
      <c r="AH196" s="6"/>
      <c r="AI196" s="6"/>
      <c r="AJ196" s="6"/>
      <c r="AK196" s="6"/>
      <c r="AL196" s="6"/>
    </row>
    <row r="197" spans="1:38">
      <c r="A197" s="96">
        <f ca="1">IFERROR(__xludf.DUMMYFUNCTION("""COMPUTED_VALUE"""),44226)</f>
        <v>44226</v>
      </c>
      <c r="B197" s="6" t="str">
        <f ca="1">IFERROR(__xludf.DUMMYFUNCTION("""COMPUTED_VALUE"""),"Sneha Mukadam")</f>
        <v>Sneha Mukadam</v>
      </c>
      <c r="C197" s="6" t="str">
        <f ca="1">IFERROR(__xludf.DUMMYFUNCTION("""COMPUTED_VALUE"""),"sneha.mukadam@gmail.com")</f>
        <v>sneha.mukadam@gmail.com</v>
      </c>
      <c r="D197" s="6">
        <f ca="1">IFERROR(__xludf.DUMMYFUNCTION("""COMPUTED_VALUE"""),9860441504)</f>
        <v>9860441504</v>
      </c>
      <c r="E197" s="6" t="str">
        <f ca="1">IFERROR(__xludf.DUMMYFUNCTION("""COMPUTED_VALUE"""),"Chat_triggered")</f>
        <v>Chat_triggered</v>
      </c>
      <c r="F197" s="6" t="str">
        <f ca="1">IFERROR(__xludf.DUMMYFUNCTION("""COMPUTED_VALUE"""),"CSM")</f>
        <v>CSM</v>
      </c>
      <c r="G197" s="80">
        <f ca="1">IFERROR(__xludf.DUMMYFUNCTION("""COMPUTED_VALUE"""),44197)</f>
        <v>44197</v>
      </c>
      <c r="H197" s="6" t="str">
        <f ca="1">IFERROR(__xludf.DUMMYFUNCTION("""COMPUTED_VALUE"""),"Won")</f>
        <v>Won</v>
      </c>
      <c r="I197" s="6" t="str">
        <f ca="1">IFERROR(__xludf.DUMMYFUNCTION("""COMPUTED_VALUE"""),"6-7 Feb 2021")</f>
        <v>6-7 Feb 2021</v>
      </c>
      <c r="J197" s="6">
        <f ca="1">IFERROR(__xludf.DUMMYFUNCTION("""COMPUTED_VALUE"""),1)</f>
        <v>1</v>
      </c>
      <c r="K197" s="8">
        <f ca="1">IFERROR(__xludf.DUMMYFUNCTION("""COMPUTED_VALUE"""),20000)</f>
        <v>20000</v>
      </c>
      <c r="L197" s="8">
        <f ca="1">IFERROR(__xludf.DUMMYFUNCTION("""COMPUTED_VALUE"""),229.042601923957)</f>
        <v>229.04260192395699</v>
      </c>
      <c r="M197" s="96">
        <f ca="1">IFERROR(__xludf.DUMMYFUNCTION("""COMPUTED_VALUE"""),44226)</f>
        <v>44226</v>
      </c>
      <c r="N197" s="6" t="str">
        <f ca="1">IFERROR(__xludf.DUMMYFUNCTION("""COMPUTED_VALUE"""),"W4")</f>
        <v>W4</v>
      </c>
      <c r="O197" s="97">
        <f ca="1">IFERROR(__xludf.DUMMYFUNCTION("""COMPUTED_VALUE"""),44226)</f>
        <v>44226</v>
      </c>
      <c r="P197" s="6" t="str">
        <f ca="1">IFERROR(__xludf.DUMMYFUNCTION("""COMPUTED_VALUE"""),"CSTM_8EPN5I99GFF")</f>
        <v>CSTM_8EPN5I99GFF</v>
      </c>
      <c r="Q197" s="6"/>
      <c r="R197" s="6" t="str">
        <f ca="1">IFERROR(__xludf.DUMMYFUNCTION("""COMPUTED_VALUE"""),"Pending")</f>
        <v>Pending</v>
      </c>
      <c r="S197" s="6" t="str">
        <f ca="1">IFERROR(__xludf.DUMMYFUNCTION("""COMPUTED_VALUE"""),"Category")</f>
        <v>Category</v>
      </c>
      <c r="T197" s="6"/>
      <c r="U197" s="6"/>
      <c r="V197" s="6"/>
      <c r="W197" s="6"/>
      <c r="X197" s="6"/>
      <c r="Y197" s="6"/>
      <c r="Z197" s="6"/>
      <c r="AA197" s="6"/>
      <c r="AB197" s="6"/>
      <c r="AC197" s="6"/>
      <c r="AD197" s="6"/>
      <c r="AE197" s="6"/>
      <c r="AF197" s="6"/>
      <c r="AG197" s="6"/>
      <c r="AH197" s="6"/>
      <c r="AI197" s="6"/>
      <c r="AJ197" s="6"/>
      <c r="AK197" s="6"/>
      <c r="AL197" s="6"/>
    </row>
    <row r="198" spans="1:38">
      <c r="A198" s="96">
        <f ca="1">IFERROR(__xludf.DUMMYFUNCTION("""COMPUTED_VALUE"""),44222)</f>
        <v>44222</v>
      </c>
      <c r="B198" s="6" t="str">
        <f ca="1">IFERROR(__xludf.DUMMYFUNCTION("""COMPUTED_VALUE"""),"Santosh Iyer")</f>
        <v>Santosh Iyer</v>
      </c>
      <c r="C198" s="6" t="str">
        <f ca="1">IFERROR(__xludf.DUMMYFUNCTION("""COMPUTED_VALUE"""),"santoshvenkat26@gmail.com")</f>
        <v>santoshvenkat26@gmail.com</v>
      </c>
      <c r="D198" s="6">
        <f ca="1">IFERROR(__xludf.DUMMYFUNCTION("""COMPUTED_VALUE"""),9892347185)</f>
        <v>9892347185</v>
      </c>
      <c r="E198" s="6" t="str">
        <f ca="1">IFERROR(__xludf.DUMMYFUNCTION("""COMPUTED_VALUE"""),"Query box")</f>
        <v>Query box</v>
      </c>
      <c r="F198" s="6" t="str">
        <f ca="1">IFERROR(__xludf.DUMMYFUNCTION("""COMPUTED_VALUE"""),"CSPO")</f>
        <v>CSPO</v>
      </c>
      <c r="G198" s="80">
        <f ca="1">IFERROR(__xludf.DUMMYFUNCTION("""COMPUTED_VALUE"""),44197)</f>
        <v>44197</v>
      </c>
      <c r="H198" s="6" t="str">
        <f ca="1">IFERROR(__xludf.DUMMYFUNCTION("""COMPUTED_VALUE"""),"Lost")</f>
        <v>Lost</v>
      </c>
      <c r="I198" s="6" t="str">
        <f ca="1">IFERROR(__xludf.DUMMYFUNCTION("""COMPUTED_VALUE"""),"13-14 Feb 2021")</f>
        <v>13-14 Feb 2021</v>
      </c>
      <c r="J198" s="6">
        <f ca="1">IFERROR(__xludf.DUMMYFUNCTION("""COMPUTED_VALUE"""),1)</f>
        <v>1</v>
      </c>
      <c r="K198" s="8">
        <f ca="1">IFERROR(__xludf.DUMMYFUNCTION("""COMPUTED_VALUE"""),21000)</f>
        <v>21000</v>
      </c>
      <c r="L198" s="8">
        <f ca="1">IFERROR(__xludf.DUMMYFUNCTION("""COMPUTED_VALUE"""),240.494732020155)</f>
        <v>240.494732020155</v>
      </c>
      <c r="M198" s="96">
        <f ca="1">IFERROR(__xludf.DUMMYFUNCTION("""COMPUTED_VALUE"""),44223)</f>
        <v>44223</v>
      </c>
      <c r="N198" s="6"/>
      <c r="O198" s="97"/>
      <c r="P198" s="6"/>
      <c r="Q198" s="6" t="str">
        <f ca="1">IFERROR(__xludf.DUMMYFUNCTION("""COMPUTED_VALUE"""),"Indian trainer requirement.")</f>
        <v>Indian trainer requirement.</v>
      </c>
      <c r="R198" s="6"/>
      <c r="S198" s="6" t="str">
        <f ca="1">IFERROR(__xludf.DUMMYFUNCTION("""COMPUTED_VALUE"""),"Category")</f>
        <v>Category</v>
      </c>
      <c r="T198" s="6"/>
      <c r="U198" s="6"/>
      <c r="V198" s="6"/>
      <c r="W198" s="6"/>
      <c r="X198" s="6"/>
      <c r="Y198" s="6"/>
      <c r="Z198" s="6"/>
      <c r="AA198" s="6"/>
      <c r="AB198" s="6"/>
      <c r="AC198" s="6"/>
      <c r="AD198" s="6"/>
      <c r="AE198" s="6"/>
      <c r="AF198" s="6"/>
      <c r="AG198" s="6"/>
      <c r="AH198" s="6"/>
      <c r="AI198" s="6"/>
      <c r="AJ198" s="6"/>
      <c r="AK198" s="6"/>
      <c r="AL198" s="6"/>
    </row>
    <row r="199" spans="1:38">
      <c r="A199" s="96">
        <f ca="1">IFERROR(__xludf.DUMMYFUNCTION("""COMPUTED_VALUE"""),44223)</f>
        <v>44223</v>
      </c>
      <c r="B199" s="6" t="str">
        <f ca="1">IFERROR(__xludf.DUMMYFUNCTION("""COMPUTED_VALUE"""),"Anish Saini")</f>
        <v>Anish Saini</v>
      </c>
      <c r="C199" s="6" t="str">
        <f ca="1">IFERROR(__xludf.DUMMYFUNCTION("""COMPUTED_VALUE"""),"dr.anishsaini@yahoo.com")</f>
        <v>dr.anishsaini@yahoo.com</v>
      </c>
      <c r="D199" s="6">
        <f ca="1">IFERROR(__xludf.DUMMYFUNCTION("""COMPUTED_VALUE"""),9911384839)</f>
        <v>9911384839</v>
      </c>
      <c r="E199" s="6" t="str">
        <f ca="1">IFERROR(__xludf.DUMMYFUNCTION("""COMPUTED_VALUE"""),"Chat_triggered")</f>
        <v>Chat_triggered</v>
      </c>
      <c r="F199" s="6" t="str">
        <f ca="1">IFERROR(__xludf.DUMMYFUNCTION("""COMPUTED_VALUE"""),"CSM")</f>
        <v>CSM</v>
      </c>
      <c r="G199" s="80">
        <f ca="1">IFERROR(__xludf.DUMMYFUNCTION("""COMPUTED_VALUE"""),44197)</f>
        <v>44197</v>
      </c>
      <c r="H199" s="6" t="str">
        <f ca="1">IFERROR(__xludf.DUMMYFUNCTION("""COMPUTED_VALUE"""),"Opportunity")</f>
        <v>Opportunity</v>
      </c>
      <c r="I199" s="6" t="str">
        <f ca="1">IFERROR(__xludf.DUMMYFUNCTION("""COMPUTED_VALUE"""),"DK")</f>
        <v>DK</v>
      </c>
      <c r="J199" s="6">
        <f ca="1">IFERROR(__xludf.DUMMYFUNCTION("""COMPUTED_VALUE"""),1)</f>
        <v>1</v>
      </c>
      <c r="K199" s="8">
        <f ca="1">IFERROR(__xludf.DUMMYFUNCTION("""COMPUTED_VALUE"""),21500)</f>
        <v>21500</v>
      </c>
      <c r="L199" s="8">
        <f ca="1">IFERROR(__xludf.DUMMYFUNCTION("""COMPUTED_VALUE"""),246.220797068254)</f>
        <v>246.220797068254</v>
      </c>
      <c r="M199" s="96"/>
      <c r="N199" s="6"/>
      <c r="O199" s="97"/>
      <c r="P199" s="6"/>
      <c r="Q199" s="6"/>
      <c r="R199" s="6"/>
      <c r="S199" s="6" t="str">
        <f ca="1">IFERROR(__xludf.DUMMYFUNCTION("""COMPUTED_VALUE"""),"Category")</f>
        <v>Category</v>
      </c>
      <c r="T199" s="6"/>
      <c r="U199" s="6"/>
      <c r="V199" s="6"/>
      <c r="W199" s="6"/>
      <c r="X199" s="6"/>
      <c r="Y199" s="6"/>
      <c r="Z199" s="6"/>
      <c r="AA199" s="6"/>
      <c r="AB199" s="6"/>
      <c r="AC199" s="6"/>
      <c r="AD199" s="6"/>
      <c r="AE199" s="6"/>
      <c r="AF199" s="6"/>
      <c r="AG199" s="6"/>
      <c r="AH199" s="6"/>
      <c r="AI199" s="6"/>
      <c r="AJ199" s="6"/>
      <c r="AK199" s="6"/>
      <c r="AL199" s="6"/>
    </row>
    <row r="200" spans="1:38">
      <c r="A200" s="96">
        <f ca="1">IFERROR(__xludf.DUMMYFUNCTION("""COMPUTED_VALUE"""),44223)</f>
        <v>44223</v>
      </c>
      <c r="B200" s="6" t="str">
        <f ca="1">IFERROR(__xludf.DUMMYFUNCTION("""COMPUTED_VALUE"""),"Jaya Sinha")</f>
        <v>Jaya Sinha</v>
      </c>
      <c r="C200" s="6" t="str">
        <f ca="1">IFERROR(__xludf.DUMMYFUNCTION("""COMPUTED_VALUE"""),"jiasinha@yahoo.co.in")</f>
        <v>jiasinha@yahoo.co.in</v>
      </c>
      <c r="D200" s="6">
        <f ca="1">IFERROR(__xludf.DUMMYFUNCTION("""COMPUTED_VALUE"""),9168876644)</f>
        <v>9168876644</v>
      </c>
      <c r="E200" s="6" t="str">
        <f ca="1">IFERROR(__xludf.DUMMYFUNCTION("""COMPUTED_VALUE"""),"course agenda")</f>
        <v>course agenda</v>
      </c>
      <c r="F200" s="6" t="str">
        <f ca="1">IFERROR(__xludf.DUMMYFUNCTION("""COMPUTED_VALUE"""),"CSM")</f>
        <v>CSM</v>
      </c>
      <c r="G200" s="80">
        <f ca="1">IFERROR(__xludf.DUMMYFUNCTION("""COMPUTED_VALUE"""),44197)</f>
        <v>44197</v>
      </c>
      <c r="H200" s="6" t="str">
        <f ca="1">IFERROR(__xludf.DUMMYFUNCTION("""COMPUTED_VALUE"""),"Opportunity")</f>
        <v>Opportunity</v>
      </c>
      <c r="I200" s="6" t="str">
        <f ca="1">IFERROR(__xludf.DUMMYFUNCTION("""COMPUTED_VALUE"""),"DK")</f>
        <v>DK</v>
      </c>
      <c r="J200" s="6">
        <f ca="1">IFERROR(__xludf.DUMMYFUNCTION("""COMPUTED_VALUE"""),1)</f>
        <v>1</v>
      </c>
      <c r="K200" s="8">
        <f ca="1">IFERROR(__xludf.DUMMYFUNCTION("""COMPUTED_VALUE"""),20500)</f>
        <v>20500</v>
      </c>
      <c r="L200" s="8">
        <f ca="1">IFERROR(__xludf.DUMMYFUNCTION("""COMPUTED_VALUE"""),234.768666972056)</f>
        <v>234.768666972056</v>
      </c>
      <c r="M200" s="96"/>
      <c r="N200" s="6"/>
      <c r="O200" s="97"/>
      <c r="P200" s="6"/>
      <c r="Q200" s="6"/>
      <c r="R200" s="6"/>
      <c r="S200" s="6" t="str">
        <f ca="1">IFERROR(__xludf.DUMMYFUNCTION("""COMPUTED_VALUE"""),"Category")</f>
        <v>Category</v>
      </c>
      <c r="T200" s="6"/>
      <c r="U200" s="6"/>
      <c r="V200" s="6"/>
      <c r="W200" s="6"/>
      <c r="X200" s="6"/>
      <c r="Y200" s="6"/>
      <c r="Z200" s="6"/>
      <c r="AA200" s="6"/>
      <c r="AB200" s="6"/>
      <c r="AC200" s="6"/>
      <c r="AD200" s="6"/>
      <c r="AE200" s="6"/>
      <c r="AF200" s="6"/>
      <c r="AG200" s="6"/>
      <c r="AH200" s="6"/>
      <c r="AI200" s="6"/>
      <c r="AJ200" s="6"/>
      <c r="AK200" s="6"/>
      <c r="AL200" s="6"/>
    </row>
    <row r="201" spans="1:38">
      <c r="A201" s="96">
        <f ca="1">IFERROR(__xludf.DUMMYFUNCTION("""COMPUTED_VALUE"""),44216)</f>
        <v>44216</v>
      </c>
      <c r="B201" s="6" t="str">
        <f ca="1">IFERROR(__xludf.DUMMYFUNCTION("""COMPUTED_VALUE"""),"Rama Devi")</f>
        <v>Rama Devi</v>
      </c>
      <c r="C201" s="6" t="str">
        <f ca="1">IFERROR(__xludf.DUMMYFUNCTION("""COMPUTED_VALUE"""),"rama.pulakandam@gmail.com")</f>
        <v>rama.pulakandam@gmail.com</v>
      </c>
      <c r="D201" s="6">
        <f ca="1">IFERROR(__xludf.DUMMYFUNCTION("""COMPUTED_VALUE"""),8801856386)</f>
        <v>8801856386</v>
      </c>
      <c r="E201" s="6" t="str">
        <f ca="1">IFERROR(__xludf.DUMMYFUNCTION("""COMPUTED_VALUE"""),"Query box")</f>
        <v>Query box</v>
      </c>
      <c r="F201" s="6" t="str">
        <f ca="1">IFERROR(__xludf.DUMMYFUNCTION("""COMPUTED_VALUE"""),"CSM")</f>
        <v>CSM</v>
      </c>
      <c r="G201" s="80">
        <f ca="1">IFERROR(__xludf.DUMMYFUNCTION("""COMPUTED_VALUE"""),44197)</f>
        <v>44197</v>
      </c>
      <c r="H201" s="6" t="str">
        <f ca="1">IFERROR(__xludf.DUMMYFUNCTION("""COMPUTED_VALUE"""),"Won")</f>
        <v>Won</v>
      </c>
      <c r="I201" s="6" t="str">
        <f ca="1">IFERROR(__xludf.DUMMYFUNCTION("""COMPUTED_VALUE"""),"6-7 Feb 2021")</f>
        <v>6-7 Feb 2021</v>
      </c>
      <c r="J201" s="6">
        <f ca="1">IFERROR(__xludf.DUMMYFUNCTION("""COMPUTED_VALUE"""),1)</f>
        <v>1</v>
      </c>
      <c r="K201" s="8">
        <f ca="1">IFERROR(__xludf.DUMMYFUNCTION("""COMPUTED_VALUE"""),19000)</f>
        <v>19000</v>
      </c>
      <c r="L201" s="8">
        <f ca="1">IFERROR(__xludf.DUMMYFUNCTION("""COMPUTED_VALUE"""),217.590471827759)</f>
        <v>217.59047182775899</v>
      </c>
      <c r="M201" s="96">
        <f ca="1">IFERROR(__xludf.DUMMYFUNCTION("""COMPUTED_VALUE"""),44222)</f>
        <v>44222</v>
      </c>
      <c r="N201" s="6" t="str">
        <f ca="1">IFERROR(__xludf.DUMMYFUNCTION("""COMPUTED_VALUE"""),"W4")</f>
        <v>W4</v>
      </c>
      <c r="O201" s="97">
        <f ca="1">IFERROR(__xludf.DUMMYFUNCTION("""COMPUTED_VALUE"""),44227)</f>
        <v>44227</v>
      </c>
      <c r="P201" s="6" t="str">
        <f ca="1">IFERROR(__xludf.DUMMYFUNCTION("""COMPUTED_VALUE"""),"CSTM_GGJ3KKH2UBG")</f>
        <v>CSTM_GGJ3KKH2UBG</v>
      </c>
      <c r="Q201" s="6"/>
      <c r="R201" s="6" t="str">
        <f ca="1">IFERROR(__xludf.DUMMYFUNCTION("""COMPUTED_VALUE"""),"Done. Good feedback.")</f>
        <v>Done. Good feedback.</v>
      </c>
      <c r="S201" s="6" t="str">
        <f ca="1">IFERROR(__xludf.DUMMYFUNCTION("""COMPUTED_VALUE"""),"Category")</f>
        <v>Category</v>
      </c>
      <c r="T201" s="6"/>
      <c r="U201" s="6"/>
      <c r="V201" s="6"/>
      <c r="W201" s="6"/>
      <c r="X201" s="6"/>
      <c r="Y201" s="6"/>
      <c r="Z201" s="6"/>
      <c r="AA201" s="6"/>
      <c r="AB201" s="6"/>
      <c r="AC201" s="6"/>
      <c r="AD201" s="6"/>
      <c r="AE201" s="6"/>
      <c r="AF201" s="6"/>
      <c r="AG201" s="6"/>
      <c r="AH201" s="6"/>
      <c r="AI201" s="6"/>
      <c r="AJ201" s="6"/>
      <c r="AK201" s="6"/>
      <c r="AL201" s="6"/>
    </row>
    <row r="202" spans="1:38">
      <c r="A202" s="96">
        <f ca="1">IFERROR(__xludf.DUMMYFUNCTION("""COMPUTED_VALUE"""),44223)</f>
        <v>44223</v>
      </c>
      <c r="B202" s="6" t="str">
        <f ca="1">IFERROR(__xludf.DUMMYFUNCTION("""COMPUTED_VALUE"""),"Lokesh Sharma")</f>
        <v>Lokesh Sharma</v>
      </c>
      <c r="C202" s="6" t="str">
        <f ca="1">IFERROR(__xludf.DUMMYFUNCTION("""COMPUTED_VALUE"""),"lokeshsharmac255@gmail.com")</f>
        <v>lokeshsharmac255@gmail.com</v>
      </c>
      <c r="D202" s="6">
        <f ca="1">IFERROR(__xludf.DUMMYFUNCTION("""COMPUTED_VALUE"""),9581071895)</f>
        <v>9581071895</v>
      </c>
      <c r="E202" s="6" t="str">
        <f ca="1">IFERROR(__xludf.DUMMYFUNCTION("""COMPUTED_VALUE"""),"chat_Initiated")</f>
        <v>chat_Initiated</v>
      </c>
      <c r="F202" s="6" t="str">
        <f ca="1">IFERROR(__xludf.DUMMYFUNCTION("""COMPUTED_VALUE"""),"CSPO")</f>
        <v>CSPO</v>
      </c>
      <c r="G202" s="80">
        <f ca="1">IFERROR(__xludf.DUMMYFUNCTION("""COMPUTED_VALUE"""),44197)</f>
        <v>44197</v>
      </c>
      <c r="H202" s="6" t="str">
        <f ca="1">IFERROR(__xludf.DUMMYFUNCTION("""COMPUTED_VALUE"""),"Opportunity")</f>
        <v>Opportunity</v>
      </c>
      <c r="I202" s="6" t="str">
        <f ca="1">IFERROR(__xludf.DUMMYFUNCTION("""COMPUTED_VALUE"""),"6-7 Feb 2021")</f>
        <v>6-7 Feb 2021</v>
      </c>
      <c r="J202" s="6">
        <f ca="1">IFERROR(__xludf.DUMMYFUNCTION("""COMPUTED_VALUE"""),1)</f>
        <v>1</v>
      </c>
      <c r="K202" s="8">
        <f ca="1">IFERROR(__xludf.DUMMYFUNCTION("""COMPUTED_VALUE"""),20500)</f>
        <v>20500</v>
      </c>
      <c r="L202" s="8">
        <f ca="1">IFERROR(__xludf.DUMMYFUNCTION("""COMPUTED_VALUE"""),234.768666972056)</f>
        <v>234.768666972056</v>
      </c>
      <c r="M202" s="96">
        <f ca="1">IFERROR(__xludf.DUMMYFUNCTION("""COMPUTED_VALUE"""),44223)</f>
        <v>44223</v>
      </c>
      <c r="N202" s="6"/>
      <c r="O202" s="97"/>
      <c r="P202" s="6"/>
      <c r="Q202" s="6"/>
      <c r="R202" s="6"/>
      <c r="S202" s="6" t="str">
        <f ca="1">IFERROR(__xludf.DUMMYFUNCTION("""COMPUTED_VALUE"""),"Category")</f>
        <v>Category</v>
      </c>
      <c r="T202" s="6"/>
      <c r="U202" s="6"/>
      <c r="V202" s="6"/>
      <c r="W202" s="6"/>
      <c r="X202" s="6"/>
      <c r="Y202" s="6"/>
      <c r="Z202" s="6"/>
      <c r="AA202" s="6"/>
      <c r="AB202" s="6"/>
      <c r="AC202" s="6"/>
      <c r="AD202" s="6"/>
      <c r="AE202" s="6"/>
      <c r="AF202" s="6"/>
      <c r="AG202" s="6"/>
      <c r="AH202" s="6"/>
      <c r="AI202" s="6"/>
      <c r="AJ202" s="6"/>
      <c r="AK202" s="6"/>
      <c r="AL202" s="6"/>
    </row>
    <row r="203" spans="1:38">
      <c r="A203" s="96">
        <f ca="1">IFERROR(__xludf.DUMMYFUNCTION("""COMPUTED_VALUE"""),44224)</f>
        <v>44224</v>
      </c>
      <c r="B203" s="6" t="str">
        <f ca="1">IFERROR(__xludf.DUMMYFUNCTION("""COMPUTED_VALUE"""),"Manmay Mohanty")</f>
        <v>Manmay Mohanty</v>
      </c>
      <c r="C203" s="6" t="str">
        <f ca="1">IFERROR(__xludf.DUMMYFUNCTION("""COMPUTED_VALUE"""),"mohanty.manmay@gmail.com")</f>
        <v>mohanty.manmay@gmail.com</v>
      </c>
      <c r="D203" s="6">
        <f ca="1">IFERROR(__xludf.DUMMYFUNCTION("""COMPUTED_VALUE"""),7829448160)</f>
        <v>7829448160</v>
      </c>
      <c r="E203" s="6" t="str">
        <f ca="1">IFERROR(__xludf.DUMMYFUNCTION("""COMPUTED_VALUE"""),"Chat_triggered")</f>
        <v>Chat_triggered</v>
      </c>
      <c r="F203" s="6" t="str">
        <f ca="1">IFERROR(__xludf.DUMMYFUNCTION("""COMPUTED_VALUE"""),"SAFe Agile")</f>
        <v>SAFe Agile</v>
      </c>
      <c r="G203" s="80">
        <f ca="1">IFERROR(__xludf.DUMMYFUNCTION("""COMPUTED_VALUE"""),44197)</f>
        <v>44197</v>
      </c>
      <c r="H203" s="6" t="str">
        <f ca="1">IFERROR(__xludf.DUMMYFUNCTION("""COMPUTED_VALUE"""),"Opportunity")</f>
        <v>Opportunity</v>
      </c>
      <c r="I203" s="6" t="str">
        <f ca="1">IFERROR(__xludf.DUMMYFUNCTION("""COMPUTED_VALUE"""),"6-7 Feb 2021")</f>
        <v>6-7 Feb 2021</v>
      </c>
      <c r="J203" s="6">
        <f ca="1">IFERROR(__xludf.DUMMYFUNCTION("""COMPUTED_VALUE"""),1)</f>
        <v>1</v>
      </c>
      <c r="K203" s="8">
        <f ca="1">IFERROR(__xludf.DUMMYFUNCTION("""COMPUTED_VALUE"""),50000)</f>
        <v>50000</v>
      </c>
      <c r="L203" s="8">
        <f ca="1">IFERROR(__xludf.DUMMYFUNCTION("""COMPUTED_VALUE"""),572.606504809894)</f>
        <v>572.60650480989398</v>
      </c>
      <c r="M203" s="96">
        <f ca="1">IFERROR(__xludf.DUMMYFUNCTION("""COMPUTED_VALUE"""),44225)</f>
        <v>44225</v>
      </c>
      <c r="N203" s="6"/>
      <c r="O203" s="97"/>
      <c r="P203" s="6"/>
      <c r="Q203" s="6"/>
      <c r="R203" s="6"/>
      <c r="S203" s="6" t="str">
        <f ca="1">IFERROR(__xludf.DUMMYFUNCTION("""COMPUTED_VALUE"""),"SAFe")</f>
        <v>SAFe</v>
      </c>
      <c r="T203" s="6"/>
      <c r="U203" s="6"/>
      <c r="V203" s="6"/>
      <c r="W203" s="6"/>
      <c r="X203" s="6"/>
      <c r="Y203" s="6"/>
      <c r="Z203" s="6"/>
      <c r="AA203" s="6"/>
      <c r="AB203" s="6"/>
      <c r="AC203" s="6"/>
      <c r="AD203" s="6"/>
      <c r="AE203" s="6"/>
      <c r="AF203" s="6"/>
      <c r="AG203" s="6"/>
      <c r="AH203" s="6"/>
      <c r="AI203" s="6"/>
      <c r="AJ203" s="6"/>
      <c r="AK203" s="6"/>
      <c r="AL203" s="6"/>
    </row>
    <row r="204" spans="1:38">
      <c r="A204" s="96">
        <f ca="1">IFERROR(__xludf.DUMMYFUNCTION("""COMPUTED_VALUE"""),44227)</f>
        <v>44227</v>
      </c>
      <c r="B204" s="6" t="str">
        <f ca="1">IFERROR(__xludf.DUMMYFUNCTION("""COMPUTED_VALUE"""),"Sandeep Asrani")</f>
        <v>Sandeep Asrani</v>
      </c>
      <c r="C204" s="6" t="str">
        <f ca="1">IFERROR(__xludf.DUMMYFUNCTION("""COMPUTED_VALUE"""),"sandeepasrani5@gmail.com")</f>
        <v>sandeepasrani5@gmail.com</v>
      </c>
      <c r="D204" s="6">
        <f ca="1">IFERROR(__xludf.DUMMYFUNCTION("""COMPUTED_VALUE"""),9960876433)</f>
        <v>9960876433</v>
      </c>
      <c r="E204" s="6" t="str">
        <f ca="1">IFERROR(__xludf.DUMMYFUNCTION("""COMPUTED_VALUE"""),"Chat_triggered")</f>
        <v>Chat_triggered</v>
      </c>
      <c r="F204" s="6" t="str">
        <f ca="1">IFERROR(__xludf.DUMMYFUNCTION("""COMPUTED_VALUE"""),"CSM")</f>
        <v>CSM</v>
      </c>
      <c r="G204" s="80">
        <f ca="1">IFERROR(__xludf.DUMMYFUNCTION("""COMPUTED_VALUE"""),44197)</f>
        <v>44197</v>
      </c>
      <c r="H204" s="6" t="str">
        <f ca="1">IFERROR(__xludf.DUMMYFUNCTION("""COMPUTED_VALUE"""),"Won")</f>
        <v>Won</v>
      </c>
      <c r="I204" s="6" t="str">
        <f ca="1">IFERROR(__xludf.DUMMYFUNCTION("""COMPUTED_VALUE"""),"6-7 Feb 2021")</f>
        <v>6-7 Feb 2021</v>
      </c>
      <c r="J204" s="6">
        <f ca="1">IFERROR(__xludf.DUMMYFUNCTION("""COMPUTED_VALUE"""),1)</f>
        <v>1</v>
      </c>
      <c r="K204" s="8">
        <f ca="1">IFERROR(__xludf.DUMMYFUNCTION("""COMPUTED_VALUE"""),20000)</f>
        <v>20000</v>
      </c>
      <c r="L204" s="8">
        <f ca="1">IFERROR(__xludf.DUMMYFUNCTION("""COMPUTED_VALUE"""),229.042601923957)</f>
        <v>229.04260192395699</v>
      </c>
      <c r="M204" s="96">
        <f ca="1">IFERROR(__xludf.DUMMYFUNCTION("""COMPUTED_VALUE"""),44227)</f>
        <v>44227</v>
      </c>
      <c r="N204" s="6" t="str">
        <f ca="1">IFERROR(__xludf.DUMMYFUNCTION("""COMPUTED_VALUE"""),"W4")</f>
        <v>W4</v>
      </c>
      <c r="O204" s="97">
        <f ca="1">IFERROR(__xludf.DUMMYFUNCTION("""COMPUTED_VALUE"""),44227)</f>
        <v>44227</v>
      </c>
      <c r="P204" s="6" t="str">
        <f ca="1">IFERROR(__xludf.DUMMYFUNCTION("""COMPUTED_VALUE"""),"CSTM_JCEP28TM7RJ")</f>
        <v>CSTM_JCEP28TM7RJ</v>
      </c>
      <c r="Q204" s="6"/>
      <c r="R204" s="6" t="str">
        <f ca="1">IFERROR(__xludf.DUMMYFUNCTION("""COMPUTED_VALUE"""),"Pending")</f>
        <v>Pending</v>
      </c>
      <c r="S204" s="6" t="str">
        <f ca="1">IFERROR(__xludf.DUMMYFUNCTION("""COMPUTED_VALUE"""),"Category")</f>
        <v>Category</v>
      </c>
      <c r="T204" s="6"/>
      <c r="U204" s="6"/>
      <c r="V204" s="6"/>
      <c r="W204" s="6"/>
      <c r="X204" s="6"/>
      <c r="Y204" s="6"/>
      <c r="Z204" s="6"/>
      <c r="AA204" s="6"/>
      <c r="AB204" s="6"/>
      <c r="AC204" s="6"/>
      <c r="AD204" s="6"/>
      <c r="AE204" s="6"/>
      <c r="AF204" s="6"/>
      <c r="AG204" s="6"/>
      <c r="AH204" s="6"/>
      <c r="AI204" s="6"/>
      <c r="AJ204" s="6"/>
      <c r="AK204" s="6"/>
      <c r="AL204" s="6"/>
    </row>
    <row r="205" spans="1:38">
      <c r="A205" s="96">
        <f ca="1">IFERROR(__xludf.DUMMYFUNCTION("""COMPUTED_VALUE"""),44163)</f>
        <v>44163</v>
      </c>
      <c r="B205" s="6" t="str">
        <f ca="1">IFERROR(__xludf.DUMMYFUNCTION("""COMPUTED_VALUE"""),"Jagadish S")</f>
        <v>Jagadish S</v>
      </c>
      <c r="C205" s="6" t="str">
        <f ca="1">IFERROR(__xludf.DUMMYFUNCTION("""COMPUTED_VALUE"""),"jagdish.suryawanshi@gmail.com")</f>
        <v>jagdish.suryawanshi@gmail.com</v>
      </c>
      <c r="D205" s="6">
        <f ca="1">IFERROR(__xludf.DUMMYFUNCTION("""COMPUTED_VALUE"""),9607931523)</f>
        <v>9607931523</v>
      </c>
      <c r="E205" s="6" t="str">
        <f ca="1">IFERROR(__xludf.DUMMYFUNCTION("""COMPUTED_VALUE"""),"Reference")</f>
        <v>Reference</v>
      </c>
      <c r="F205" s="6" t="str">
        <f ca="1">IFERROR(__xludf.DUMMYFUNCTION("""COMPUTED_VALUE"""),"CSM")</f>
        <v>CSM</v>
      </c>
      <c r="G205" s="80">
        <f ca="1">IFERROR(__xludf.DUMMYFUNCTION("""COMPUTED_VALUE"""),44228)</f>
        <v>44228</v>
      </c>
      <c r="H205" s="6" t="str">
        <f ca="1">IFERROR(__xludf.DUMMYFUNCTION("""COMPUTED_VALUE"""),"Won")</f>
        <v>Won</v>
      </c>
      <c r="I205" s="6" t="str">
        <f ca="1">IFERROR(__xludf.DUMMYFUNCTION("""COMPUTED_VALUE"""),"6-7 Feb 2021")</f>
        <v>6-7 Feb 2021</v>
      </c>
      <c r="J205" s="6">
        <f ca="1">IFERROR(__xludf.DUMMYFUNCTION("""COMPUTED_VALUE"""),1)</f>
        <v>1</v>
      </c>
      <c r="K205" s="8">
        <f ca="1">IFERROR(__xludf.DUMMYFUNCTION("""COMPUTED_VALUE"""),20000)</f>
        <v>20000</v>
      </c>
      <c r="L205" s="8">
        <f ca="1">IFERROR(__xludf.DUMMYFUNCTION("""COMPUTED_VALUE"""),229.042601923957)</f>
        <v>229.04260192395699</v>
      </c>
      <c r="M205" s="96"/>
      <c r="N205" s="6" t="str">
        <f ca="1">IFERROR(__xludf.DUMMYFUNCTION("""COMPUTED_VALUE"""),"W1")</f>
        <v>W1</v>
      </c>
      <c r="O205" s="97">
        <f ca="1">IFERROR(__xludf.DUMMYFUNCTION("""COMPUTED_VALUE"""),44228)</f>
        <v>44228</v>
      </c>
      <c r="P205" s="6" t="str">
        <f ca="1">IFERROR(__xludf.DUMMYFUNCTION("""COMPUTED_VALUE"""),"CSTM_1HOCQSW30AQ")</f>
        <v>CSTM_1HOCQSW30AQ</v>
      </c>
      <c r="Q205" s="6" t="str">
        <f ca="1">IFERROR(__xludf.DUMMYFUNCTION("""COMPUTED_VALUE"""),"Reference by Rathna")</f>
        <v>Reference by Rathna</v>
      </c>
      <c r="R205" s="6" t="str">
        <f ca="1">IFERROR(__xludf.DUMMYFUNCTION("""COMPUTED_VALUE"""),"Done. Good feedback.")</f>
        <v>Done. Good feedback.</v>
      </c>
      <c r="S205" s="6" t="str">
        <f ca="1">IFERROR(__xludf.DUMMYFUNCTION("""COMPUTED_VALUE"""),"Category")</f>
        <v>Category</v>
      </c>
      <c r="T205" s="6" t="str">
        <f ca="1">IFERROR(__xludf.DUMMYFUNCTION("""COMPUTED_VALUE"""),"Sent.")</f>
        <v>Sent.</v>
      </c>
      <c r="U205" s="6"/>
      <c r="V205" s="6"/>
      <c r="W205" s="6"/>
      <c r="X205" s="6"/>
      <c r="Y205" s="6"/>
      <c r="Z205" s="6"/>
      <c r="AA205" s="6"/>
      <c r="AB205" s="6"/>
      <c r="AC205" s="6"/>
      <c r="AD205" s="6"/>
      <c r="AE205" s="6"/>
      <c r="AF205" s="6"/>
      <c r="AG205" s="6"/>
      <c r="AH205" s="6"/>
      <c r="AI205" s="6"/>
      <c r="AJ205" s="6"/>
      <c r="AK205" s="6"/>
      <c r="AL205" s="6"/>
    </row>
    <row r="206" spans="1:38">
      <c r="A206" s="96">
        <f ca="1">IFERROR(__xludf.DUMMYFUNCTION("""COMPUTED_VALUE"""),44216)</f>
        <v>44216</v>
      </c>
      <c r="B206" s="6" t="str">
        <f ca="1">IFERROR(__xludf.DUMMYFUNCTION("""COMPUTED_VALUE"""),"Faizan Mohammad")</f>
        <v>Faizan Mohammad</v>
      </c>
      <c r="C206" s="6" t="str">
        <f ca="1">IFERROR(__xludf.DUMMYFUNCTION("""COMPUTED_VALUE"""),"faizan025@gmail.com")</f>
        <v>faizan025@gmail.com</v>
      </c>
      <c r="D206" s="6">
        <f ca="1">IFERROR(__xludf.DUMMYFUNCTION("""COMPUTED_VALUE"""),9884660225)</f>
        <v>9884660225</v>
      </c>
      <c r="E206" s="6" t="str">
        <f ca="1">IFERROR(__xludf.DUMMYFUNCTION("""COMPUTED_VALUE"""),"Reference")</f>
        <v>Reference</v>
      </c>
      <c r="F206" s="6" t="str">
        <f ca="1">IFERROR(__xludf.DUMMYFUNCTION("""COMPUTED_VALUE"""),"CSM")</f>
        <v>CSM</v>
      </c>
      <c r="G206" s="80">
        <f ca="1">IFERROR(__xludf.DUMMYFUNCTION("""COMPUTED_VALUE"""),44228)</f>
        <v>44228</v>
      </c>
      <c r="H206" s="6" t="str">
        <f ca="1">IFERROR(__xludf.DUMMYFUNCTION("""COMPUTED_VALUE"""),"Won")</f>
        <v>Won</v>
      </c>
      <c r="I206" s="6" t="str">
        <f ca="1">IFERROR(__xludf.DUMMYFUNCTION("""COMPUTED_VALUE"""),"6-7 Feb 2021")</f>
        <v>6-7 Feb 2021</v>
      </c>
      <c r="J206" s="6">
        <f ca="1">IFERROR(__xludf.DUMMYFUNCTION("""COMPUTED_VALUE"""),1)</f>
        <v>1</v>
      </c>
      <c r="K206" s="8">
        <f ca="1">IFERROR(__xludf.DUMMYFUNCTION("""COMPUTED_VALUE"""),20000)</f>
        <v>20000</v>
      </c>
      <c r="L206" s="8">
        <f ca="1">IFERROR(__xludf.DUMMYFUNCTION("""COMPUTED_VALUE"""),229.042601923957)</f>
        <v>229.04260192395699</v>
      </c>
      <c r="M206" s="96">
        <f ca="1">IFERROR(__xludf.DUMMYFUNCTION("""COMPUTED_VALUE"""),44228)</f>
        <v>44228</v>
      </c>
      <c r="N206" s="6" t="str">
        <f ca="1">IFERROR(__xludf.DUMMYFUNCTION("""COMPUTED_VALUE"""),"W1")</f>
        <v>W1</v>
      </c>
      <c r="O206" s="97">
        <f ca="1">IFERROR(__xludf.DUMMYFUNCTION("""COMPUTED_VALUE"""),44229)</f>
        <v>44229</v>
      </c>
      <c r="P206" s="6" t="str">
        <f ca="1">IFERROR(__xludf.DUMMYFUNCTION("""COMPUTED_VALUE"""),"CSTM_BJPEKOMSJ8L")</f>
        <v>CSTM_BJPEKOMSJ8L</v>
      </c>
      <c r="Q206" s="6" t="str">
        <f ca="1">IFERROR(__xludf.DUMMYFUNCTION("""COMPUTED_VALUE"""),"Reference by Praveen Nair")</f>
        <v>Reference by Praveen Nair</v>
      </c>
      <c r="R206" s="6" t="str">
        <f ca="1">IFERROR(__xludf.DUMMYFUNCTION("""COMPUTED_VALUE"""),"Done. Good feedback.")</f>
        <v>Done. Good feedback.</v>
      </c>
      <c r="S206" s="6" t="str">
        <f ca="1">IFERROR(__xludf.DUMMYFUNCTION("""COMPUTED_VALUE"""),"Category")</f>
        <v>Category</v>
      </c>
      <c r="T206" s="6" t="str">
        <f ca="1">IFERROR(__xludf.DUMMYFUNCTION("""COMPUTED_VALUE"""),"Referee's email id already present in the system.")</f>
        <v>Referee's email id already present in the system.</v>
      </c>
      <c r="U206" s="6"/>
      <c r="V206" s="6"/>
      <c r="W206" s="6"/>
      <c r="X206" s="6"/>
      <c r="Y206" s="6"/>
      <c r="Z206" s="6"/>
      <c r="AA206" s="6"/>
      <c r="AB206" s="6"/>
      <c r="AC206" s="6"/>
      <c r="AD206" s="6"/>
      <c r="AE206" s="6"/>
      <c r="AF206" s="6"/>
      <c r="AG206" s="6"/>
      <c r="AH206" s="6"/>
      <c r="AI206" s="6"/>
      <c r="AJ206" s="6"/>
      <c r="AK206" s="6"/>
      <c r="AL206" s="6"/>
    </row>
    <row r="207" spans="1:38">
      <c r="A207" s="96">
        <f ca="1">IFERROR(__xludf.DUMMYFUNCTION("""COMPUTED_VALUE"""),44228)</f>
        <v>44228</v>
      </c>
      <c r="B207" s="6" t="str">
        <f ca="1">IFERROR(__xludf.DUMMYFUNCTION("""COMPUTED_VALUE"""),"Aditya")</f>
        <v>Aditya</v>
      </c>
      <c r="C207" s="6" t="str">
        <f ca="1">IFERROR(__xludf.DUMMYFUNCTION("""COMPUTED_VALUE"""),"adi4group@gmail.com")</f>
        <v>adi4group@gmail.com</v>
      </c>
      <c r="D207" s="6">
        <f ca="1">IFERROR(__xludf.DUMMYFUNCTION("""COMPUTED_VALUE"""),9810789533)</f>
        <v>9810789533</v>
      </c>
      <c r="E207" s="6" t="str">
        <f ca="1">IFERROR(__xludf.DUMMYFUNCTION("""COMPUTED_VALUE"""),"course agenda")</f>
        <v>course agenda</v>
      </c>
      <c r="F207" s="6" t="str">
        <f ca="1">IFERROR(__xludf.DUMMYFUNCTION("""COMPUTED_VALUE"""),"CSM")</f>
        <v>CSM</v>
      </c>
      <c r="G207" s="80">
        <f ca="1">IFERROR(__xludf.DUMMYFUNCTION("""COMPUTED_VALUE"""),44228)</f>
        <v>44228</v>
      </c>
      <c r="H207" s="6" t="str">
        <f ca="1">IFERROR(__xludf.DUMMYFUNCTION("""COMPUTED_VALUE"""),"Won")</f>
        <v>Won</v>
      </c>
      <c r="I207" s="6" t="str">
        <f ca="1">IFERROR(__xludf.DUMMYFUNCTION("""COMPUTED_VALUE"""),"13-14 Feb 2021")</f>
        <v>13-14 Feb 2021</v>
      </c>
      <c r="J207" s="6">
        <f ca="1">IFERROR(__xludf.DUMMYFUNCTION("""COMPUTED_VALUE"""),1)</f>
        <v>1</v>
      </c>
      <c r="K207" s="8">
        <f ca="1">IFERROR(__xludf.DUMMYFUNCTION("""COMPUTED_VALUE"""),20500)</f>
        <v>20500</v>
      </c>
      <c r="L207" s="8">
        <f ca="1">IFERROR(__xludf.DUMMYFUNCTION("""COMPUTED_VALUE"""),234.768666972056)</f>
        <v>234.768666972056</v>
      </c>
      <c r="M207" s="96">
        <f ca="1">IFERROR(__xludf.DUMMYFUNCTION("""COMPUTED_VALUE"""),44229)</f>
        <v>44229</v>
      </c>
      <c r="N207" s="6" t="str">
        <f ca="1">IFERROR(__xludf.DUMMYFUNCTION("""COMPUTED_VALUE"""),"W1")</f>
        <v>W1</v>
      </c>
      <c r="O207" s="97">
        <f ca="1">IFERROR(__xludf.DUMMYFUNCTION("""COMPUTED_VALUE"""),44229)</f>
        <v>44229</v>
      </c>
      <c r="P207" s="6" t="str">
        <f ca="1">IFERROR(__xludf.DUMMYFUNCTION("""COMPUTED_VALUE"""),"CSTM_51WHHVI8J92")</f>
        <v>CSTM_51WHHVI8J92</v>
      </c>
      <c r="Q207" s="6"/>
      <c r="R207" s="6" t="str">
        <f ca="1">IFERROR(__xludf.DUMMYFUNCTION("""COMPUTED_VALUE"""),"Done. Good feedback.")</f>
        <v>Done. Good feedback.</v>
      </c>
      <c r="S207" s="6" t="str">
        <f ca="1">IFERROR(__xludf.DUMMYFUNCTION("""COMPUTED_VALUE"""),"Category")</f>
        <v>Category</v>
      </c>
      <c r="T207" s="6"/>
      <c r="U207" s="6"/>
      <c r="V207" s="6"/>
      <c r="W207" s="6"/>
      <c r="X207" s="6"/>
      <c r="Y207" s="6"/>
      <c r="Z207" s="6"/>
      <c r="AA207" s="6"/>
      <c r="AB207" s="6"/>
      <c r="AC207" s="6"/>
      <c r="AD207" s="6"/>
      <c r="AE207" s="6"/>
      <c r="AF207" s="6"/>
      <c r="AG207" s="6"/>
      <c r="AH207" s="6"/>
      <c r="AI207" s="6"/>
      <c r="AJ207" s="6"/>
      <c r="AK207" s="6"/>
      <c r="AL207" s="6"/>
    </row>
    <row r="208" spans="1:38">
      <c r="A208" s="96">
        <f ca="1">IFERROR(__xludf.DUMMYFUNCTION("""COMPUTED_VALUE"""),44225)</f>
        <v>44225</v>
      </c>
      <c r="B208" s="6" t="str">
        <f ca="1">IFERROR(__xludf.DUMMYFUNCTION("""COMPUTED_VALUE"""),"Revathy T")</f>
        <v>Revathy T</v>
      </c>
      <c r="C208" s="6" t="str">
        <f ca="1">IFERROR(__xludf.DUMMYFUNCTION("""COMPUTED_VALUE"""),"revstraj88@gmail.com")</f>
        <v>revstraj88@gmail.com</v>
      </c>
      <c r="D208" s="6">
        <f ca="1">IFERROR(__xludf.DUMMYFUNCTION("""COMPUTED_VALUE"""),9884848374)</f>
        <v>9884848374</v>
      </c>
      <c r="E208" s="6" t="str">
        <f ca="1">IFERROR(__xludf.DUMMYFUNCTION("""COMPUTED_VALUE"""),"Reference")</f>
        <v>Reference</v>
      </c>
      <c r="F208" s="6" t="str">
        <f ca="1">IFERROR(__xludf.DUMMYFUNCTION("""COMPUTED_VALUE"""),"CSM")</f>
        <v>CSM</v>
      </c>
      <c r="G208" s="80">
        <f ca="1">IFERROR(__xludf.DUMMYFUNCTION("""COMPUTED_VALUE"""),44228)</f>
        <v>44228</v>
      </c>
      <c r="H208" s="6" t="str">
        <f ca="1">IFERROR(__xludf.DUMMYFUNCTION("""COMPUTED_VALUE"""),"Opportunity")</f>
        <v>Opportunity</v>
      </c>
      <c r="I208" s="6" t="str">
        <f ca="1">IFERROR(__xludf.DUMMYFUNCTION("""COMPUTED_VALUE"""),"6-7 March 2021")</f>
        <v>6-7 March 2021</v>
      </c>
      <c r="J208" s="6">
        <f ca="1">IFERROR(__xludf.DUMMYFUNCTION("""COMPUTED_VALUE"""),1)</f>
        <v>1</v>
      </c>
      <c r="K208" s="8">
        <f ca="1">IFERROR(__xludf.DUMMYFUNCTION("""COMPUTED_VALUE"""),20000)</f>
        <v>20000</v>
      </c>
      <c r="L208" s="8">
        <f ca="1">IFERROR(__xludf.DUMMYFUNCTION("""COMPUTED_VALUE"""),229.042601923957)</f>
        <v>229.04260192395699</v>
      </c>
      <c r="M208" s="96">
        <f ca="1">IFERROR(__xludf.DUMMYFUNCTION("""COMPUTED_VALUE"""),44237)</f>
        <v>44237</v>
      </c>
      <c r="N208" s="6"/>
      <c r="O208" s="97"/>
      <c r="P208" s="6"/>
      <c r="Q208" s="6" t="str">
        <f ca="1">IFERROR(__xludf.DUMMYFUNCTION("""COMPUTED_VALUE"""),"By Joby Daniel")</f>
        <v>By Joby Daniel</v>
      </c>
      <c r="R208" s="6"/>
      <c r="S208" s="6" t="str">
        <f ca="1">IFERROR(__xludf.DUMMYFUNCTION("""COMPUTED_VALUE"""),"Category")</f>
        <v>Category</v>
      </c>
      <c r="T208" s="6"/>
      <c r="U208" s="6"/>
      <c r="V208" s="6"/>
      <c r="W208" s="6"/>
      <c r="X208" s="6"/>
      <c r="Y208" s="6"/>
      <c r="Z208" s="6"/>
      <c r="AA208" s="6"/>
      <c r="AB208" s="6"/>
      <c r="AC208" s="6"/>
      <c r="AD208" s="6"/>
      <c r="AE208" s="6"/>
      <c r="AF208" s="6"/>
      <c r="AG208" s="6"/>
      <c r="AH208" s="6"/>
      <c r="AI208" s="6"/>
      <c r="AJ208" s="6"/>
      <c r="AK208" s="6"/>
      <c r="AL208" s="6"/>
    </row>
    <row r="209" spans="1:38">
      <c r="A209" s="96">
        <f ca="1">IFERROR(__xludf.DUMMYFUNCTION("""COMPUTED_VALUE"""),44225)</f>
        <v>44225</v>
      </c>
      <c r="B209" s="6" t="str">
        <f ca="1">IFERROR(__xludf.DUMMYFUNCTION("""COMPUTED_VALUE"""),"Shikha Garg")</f>
        <v>Shikha Garg</v>
      </c>
      <c r="C209" s="6" t="str">
        <f ca="1">IFERROR(__xludf.DUMMYFUNCTION("""COMPUTED_VALUE"""),"shikha.garg4@gmail.com")</f>
        <v>shikha.garg4@gmail.com</v>
      </c>
      <c r="D209" s="6">
        <f ca="1">IFERROR(__xludf.DUMMYFUNCTION("""COMPUTED_VALUE"""),9986619971)</f>
        <v>9986619971</v>
      </c>
      <c r="E209" s="6" t="str">
        <f ca="1">IFERROR(__xludf.DUMMYFUNCTION("""COMPUTED_VALUE"""),"Reference")</f>
        <v>Reference</v>
      </c>
      <c r="F209" s="6" t="str">
        <f ca="1">IFERROR(__xludf.DUMMYFUNCTION("""COMPUTED_VALUE"""),"CSM")</f>
        <v>CSM</v>
      </c>
      <c r="G209" s="80">
        <f ca="1">IFERROR(__xludf.DUMMYFUNCTION("""COMPUTED_VALUE"""),44228)</f>
        <v>44228</v>
      </c>
      <c r="H209" s="6" t="str">
        <f ca="1">IFERROR(__xludf.DUMMYFUNCTION("""COMPUTED_VALUE"""),"Opportunity")</f>
        <v>Opportunity</v>
      </c>
      <c r="I209" s="6" t="str">
        <f ca="1">IFERROR(__xludf.DUMMYFUNCTION("""COMPUTED_VALUE"""),"27-28 Feb 2021")</f>
        <v>27-28 Feb 2021</v>
      </c>
      <c r="J209" s="6">
        <f ca="1">IFERROR(__xludf.DUMMYFUNCTION("""COMPUTED_VALUE"""),1)</f>
        <v>1</v>
      </c>
      <c r="K209" s="8">
        <f ca="1">IFERROR(__xludf.DUMMYFUNCTION("""COMPUTED_VALUE"""),20000)</f>
        <v>20000</v>
      </c>
      <c r="L209" s="8">
        <f ca="1">IFERROR(__xludf.DUMMYFUNCTION("""COMPUTED_VALUE"""),229.042601923957)</f>
        <v>229.04260192395699</v>
      </c>
      <c r="M209" s="96">
        <f ca="1">IFERROR(__xludf.DUMMYFUNCTION("""COMPUTED_VALUE"""),44237)</f>
        <v>44237</v>
      </c>
      <c r="N209" s="6"/>
      <c r="O209" s="97"/>
      <c r="P209" s="6"/>
      <c r="Q209" s="6" t="str">
        <f ca="1">IFERROR(__xludf.DUMMYFUNCTION("""COMPUTED_VALUE"""),"By Joby Daniel")</f>
        <v>By Joby Daniel</v>
      </c>
      <c r="R209" s="6"/>
      <c r="S209" s="6" t="str">
        <f ca="1">IFERROR(__xludf.DUMMYFUNCTION("""COMPUTED_VALUE"""),"Category")</f>
        <v>Category</v>
      </c>
      <c r="T209" s="6"/>
      <c r="U209" s="6"/>
      <c r="V209" s="6"/>
      <c r="W209" s="6"/>
      <c r="X209" s="6"/>
      <c r="Y209" s="6"/>
      <c r="Z209" s="6"/>
      <c r="AA209" s="6"/>
      <c r="AB209" s="6"/>
      <c r="AC209" s="6"/>
      <c r="AD209" s="6"/>
      <c r="AE209" s="6"/>
      <c r="AF209" s="6"/>
      <c r="AG209" s="6"/>
      <c r="AH209" s="6"/>
      <c r="AI209" s="6"/>
      <c r="AJ209" s="6"/>
      <c r="AK209" s="6"/>
      <c r="AL209" s="6"/>
    </row>
    <row r="210" spans="1:38">
      <c r="A210" s="96">
        <f ca="1">IFERROR(__xludf.DUMMYFUNCTION("""COMPUTED_VALUE"""),44226)</f>
        <v>44226</v>
      </c>
      <c r="B210" s="6" t="str">
        <f ca="1">IFERROR(__xludf.DUMMYFUNCTION("""COMPUTED_VALUE"""),"Revathi Harsha")</f>
        <v>Revathi Harsha</v>
      </c>
      <c r="C210" s="6" t="str">
        <f ca="1">IFERROR(__xludf.DUMMYFUNCTION("""COMPUTED_VALUE"""),"revathiharsha81@gmail.com")</f>
        <v>revathiharsha81@gmail.com</v>
      </c>
      <c r="D210" s="6">
        <f ca="1">IFERROR(__xludf.DUMMYFUNCTION("""COMPUTED_VALUE"""),8660155076)</f>
        <v>8660155076</v>
      </c>
      <c r="E210" s="6" t="str">
        <f ca="1">IFERROR(__xludf.DUMMYFUNCTION("""COMPUTED_VALUE"""),"fpt-paper")</f>
        <v>fpt-paper</v>
      </c>
      <c r="F210" s="6" t="str">
        <f ca="1">IFERROR(__xludf.DUMMYFUNCTION("""COMPUTED_VALUE"""),"CSM")</f>
        <v>CSM</v>
      </c>
      <c r="G210" s="80">
        <f ca="1">IFERROR(__xludf.DUMMYFUNCTION("""COMPUTED_VALUE"""),44228)</f>
        <v>44228</v>
      </c>
      <c r="H210" s="6" t="str">
        <f ca="1">IFERROR(__xludf.DUMMYFUNCTION("""COMPUTED_VALUE"""),"Lost")</f>
        <v>Lost</v>
      </c>
      <c r="I210" s="6" t="str">
        <f ca="1">IFERROR(__xludf.DUMMYFUNCTION("""COMPUTED_VALUE"""),"6-7 Feb 2021")</f>
        <v>6-7 Feb 2021</v>
      </c>
      <c r="J210" s="6">
        <f ca="1">IFERROR(__xludf.DUMMYFUNCTION("""COMPUTED_VALUE"""),1)</f>
        <v>1</v>
      </c>
      <c r="K210" s="8">
        <f ca="1">IFERROR(__xludf.DUMMYFUNCTION("""COMPUTED_VALUE"""),20000)</f>
        <v>20000</v>
      </c>
      <c r="L210" s="8">
        <f ca="1">IFERROR(__xludf.DUMMYFUNCTION("""COMPUTED_VALUE"""),229.042601923957)</f>
        <v>229.04260192395699</v>
      </c>
      <c r="M210" s="96">
        <f ca="1">IFERROR(__xludf.DUMMYFUNCTION("""COMPUTED_VALUE"""),44237)</f>
        <v>44237</v>
      </c>
      <c r="N210" s="6"/>
      <c r="O210" s="97"/>
      <c r="P210" s="6"/>
      <c r="Q210" s="6" t="str">
        <f ca="1">IFERROR(__xludf.DUMMYFUNCTION("""COMPUTED_VALUE"""),"Planning for L&amp;D.")</f>
        <v>Planning for L&amp;D.</v>
      </c>
      <c r="R210" s="6"/>
      <c r="S210" s="6" t="str">
        <f ca="1">IFERROR(__xludf.DUMMYFUNCTION("""COMPUTED_VALUE"""),"Category")</f>
        <v>Category</v>
      </c>
      <c r="T210" s="6"/>
      <c r="U210" s="6"/>
      <c r="V210" s="6"/>
      <c r="W210" s="6"/>
      <c r="X210" s="6"/>
      <c r="Y210" s="6"/>
      <c r="Z210" s="6"/>
      <c r="AA210" s="6"/>
      <c r="AB210" s="6"/>
      <c r="AC210" s="6"/>
      <c r="AD210" s="6"/>
      <c r="AE210" s="6"/>
      <c r="AF210" s="6"/>
      <c r="AG210" s="6"/>
      <c r="AH210" s="6"/>
      <c r="AI210" s="6"/>
      <c r="AJ210" s="6"/>
      <c r="AK210" s="6"/>
      <c r="AL210" s="6"/>
    </row>
    <row r="211" spans="1:38">
      <c r="A211" s="96">
        <f ca="1">IFERROR(__xludf.DUMMYFUNCTION("""COMPUTED_VALUE"""),44229)</f>
        <v>44229</v>
      </c>
      <c r="B211" s="6" t="str">
        <f ca="1">IFERROR(__xludf.DUMMYFUNCTION("""COMPUTED_VALUE"""),"Prabhat Ranjan")</f>
        <v>Prabhat Ranjan</v>
      </c>
      <c r="C211" s="6" t="str">
        <f ca="1">IFERROR(__xludf.DUMMYFUNCTION("""COMPUTED_VALUE"""),"prabhatsp94@gmail.com")</f>
        <v>prabhatsp94@gmail.com</v>
      </c>
      <c r="D211" s="6">
        <f ca="1">IFERROR(__xludf.DUMMYFUNCTION("""COMPUTED_VALUE"""),9135590207)</f>
        <v>9135590207</v>
      </c>
      <c r="E211" s="6" t="str">
        <f ca="1">IFERROR(__xludf.DUMMYFUNCTION("""COMPUTED_VALUE"""),"Chat_triggered")</f>
        <v>Chat_triggered</v>
      </c>
      <c r="F211" s="6" t="str">
        <f ca="1">IFERROR(__xludf.DUMMYFUNCTION("""COMPUTED_VALUE"""),"CSM")</f>
        <v>CSM</v>
      </c>
      <c r="G211" s="80">
        <f ca="1">IFERROR(__xludf.DUMMYFUNCTION("""COMPUTED_VALUE"""),44228)</f>
        <v>44228</v>
      </c>
      <c r="H211" s="6" t="str">
        <f ca="1">IFERROR(__xludf.DUMMYFUNCTION("""COMPUTED_VALUE"""),"Won")</f>
        <v>Won</v>
      </c>
      <c r="I211" s="6" t="str">
        <f ca="1">IFERROR(__xludf.DUMMYFUNCTION("""COMPUTED_VALUE"""),"6-7 Feb 2021")</f>
        <v>6-7 Feb 2021</v>
      </c>
      <c r="J211" s="6">
        <f ca="1">IFERROR(__xludf.DUMMYFUNCTION("""COMPUTED_VALUE"""),1)</f>
        <v>1</v>
      </c>
      <c r="K211" s="8">
        <f ca="1">IFERROR(__xludf.DUMMYFUNCTION("""COMPUTED_VALUE"""),20500)</f>
        <v>20500</v>
      </c>
      <c r="L211" s="8">
        <f ca="1">IFERROR(__xludf.DUMMYFUNCTION("""COMPUTED_VALUE"""),234.768666972056)</f>
        <v>234.768666972056</v>
      </c>
      <c r="M211" s="96">
        <f ca="1">IFERROR(__xludf.DUMMYFUNCTION("""COMPUTED_VALUE"""),44230)</f>
        <v>44230</v>
      </c>
      <c r="N211" s="6" t="str">
        <f ca="1">IFERROR(__xludf.DUMMYFUNCTION("""COMPUTED_VALUE"""),"W1")</f>
        <v>W1</v>
      </c>
      <c r="O211" s="97">
        <f ca="1">IFERROR(__xludf.DUMMYFUNCTION("""COMPUTED_VALUE"""),44230)</f>
        <v>44230</v>
      </c>
      <c r="P211" s="6" t="str">
        <f ca="1">IFERROR(__xludf.DUMMYFUNCTION("""COMPUTED_VALUE"""),"CSTM_EIOUWJRA17I")</f>
        <v>CSTM_EIOUWJRA17I</v>
      </c>
      <c r="Q211" s="6"/>
      <c r="R211" s="6" t="str">
        <f ca="1">IFERROR(__xludf.DUMMYFUNCTION("""COMPUTED_VALUE"""),"Done. Good feedback.")</f>
        <v>Done. Good feedback.</v>
      </c>
      <c r="S211" s="6" t="str">
        <f ca="1">IFERROR(__xludf.DUMMYFUNCTION("""COMPUTED_VALUE"""),"Category")</f>
        <v>Category</v>
      </c>
      <c r="T211" s="6"/>
      <c r="U211" s="6"/>
      <c r="V211" s="6"/>
      <c r="W211" s="6"/>
      <c r="X211" s="6"/>
      <c r="Y211" s="6"/>
      <c r="Z211" s="6"/>
      <c r="AA211" s="6"/>
      <c r="AB211" s="6"/>
      <c r="AC211" s="6"/>
      <c r="AD211" s="6"/>
      <c r="AE211" s="6"/>
      <c r="AF211" s="6"/>
      <c r="AG211" s="6"/>
      <c r="AH211" s="6"/>
      <c r="AI211" s="6"/>
      <c r="AJ211" s="6"/>
      <c r="AK211" s="6"/>
      <c r="AL211" s="6"/>
    </row>
    <row r="212" spans="1:38">
      <c r="A212" s="96">
        <f ca="1">IFERROR(__xludf.DUMMYFUNCTION("""COMPUTED_VALUE"""),44227)</f>
        <v>44227</v>
      </c>
      <c r="B212" s="6" t="str">
        <f ca="1">IFERROR(__xludf.DUMMYFUNCTION("""COMPUTED_VALUE"""),"Venu Madhav")</f>
        <v>Venu Madhav</v>
      </c>
      <c r="C212" s="6" t="str">
        <f ca="1">IFERROR(__xludf.DUMMYFUNCTION("""COMPUTED_VALUE"""),"rupakulavenu@gmail.com")</f>
        <v>rupakulavenu@gmail.com</v>
      </c>
      <c r="D212" s="6">
        <f ca="1">IFERROR(__xludf.DUMMYFUNCTION("""COMPUTED_VALUE"""),9160237000)</f>
        <v>9160237000</v>
      </c>
      <c r="E212" s="6" t="str">
        <f ca="1">IFERROR(__xludf.DUMMYFUNCTION("""COMPUTED_VALUE"""),"Chat_triggered")</f>
        <v>Chat_triggered</v>
      </c>
      <c r="F212" s="6" t="str">
        <f ca="1">IFERROR(__xludf.DUMMYFUNCTION("""COMPUTED_VALUE"""),"CSM")</f>
        <v>CSM</v>
      </c>
      <c r="G212" s="80">
        <f ca="1">IFERROR(__xludf.DUMMYFUNCTION("""COMPUTED_VALUE"""),44228)</f>
        <v>44228</v>
      </c>
      <c r="H212" s="6" t="str">
        <f ca="1">IFERROR(__xludf.DUMMYFUNCTION("""COMPUTED_VALUE"""),"Opportunity")</f>
        <v>Opportunity</v>
      </c>
      <c r="I212" s="6" t="str">
        <f ca="1">IFERROR(__xludf.DUMMYFUNCTION("""COMPUTED_VALUE"""),"13-14 Feb 2021")</f>
        <v>13-14 Feb 2021</v>
      </c>
      <c r="J212" s="6">
        <f ca="1">IFERROR(__xludf.DUMMYFUNCTION("""COMPUTED_VALUE"""),1)</f>
        <v>1</v>
      </c>
      <c r="K212" s="8">
        <f ca="1">IFERROR(__xludf.DUMMYFUNCTION("""COMPUTED_VALUE"""),20000)</f>
        <v>20000</v>
      </c>
      <c r="L212" s="8">
        <f ca="1">IFERROR(__xludf.DUMMYFUNCTION("""COMPUTED_VALUE"""),229.042601923957)</f>
        <v>229.04260192395699</v>
      </c>
      <c r="M212" s="96">
        <f ca="1">IFERROR(__xludf.DUMMYFUNCTION("""COMPUTED_VALUE"""),44228)</f>
        <v>44228</v>
      </c>
      <c r="N212" s="6"/>
      <c r="O212" s="97"/>
      <c r="P212" s="6"/>
      <c r="Q212" s="6"/>
      <c r="R212" s="6"/>
      <c r="S212" s="6" t="str">
        <f ca="1">IFERROR(__xludf.DUMMYFUNCTION("""COMPUTED_VALUE"""),"Category")</f>
        <v>Category</v>
      </c>
      <c r="T212" s="6"/>
      <c r="U212" s="6"/>
      <c r="V212" s="6"/>
      <c r="W212" s="6"/>
      <c r="X212" s="6"/>
      <c r="Y212" s="6"/>
      <c r="Z212" s="6"/>
      <c r="AA212" s="6"/>
      <c r="AB212" s="6"/>
      <c r="AC212" s="6"/>
      <c r="AD212" s="6"/>
      <c r="AE212" s="6"/>
      <c r="AF212" s="6"/>
      <c r="AG212" s="6"/>
      <c r="AH212" s="6"/>
      <c r="AI212" s="6"/>
      <c r="AJ212" s="6"/>
      <c r="AK212" s="6"/>
      <c r="AL212" s="6"/>
    </row>
    <row r="213" spans="1:38">
      <c r="A213" s="96">
        <f ca="1">IFERROR(__xludf.DUMMYFUNCTION("""COMPUTED_VALUE"""),44230)</f>
        <v>44230</v>
      </c>
      <c r="B213" s="6" t="str">
        <f ca="1">IFERROR(__xludf.DUMMYFUNCTION("""COMPUTED_VALUE"""),"Priyanka")</f>
        <v>Priyanka</v>
      </c>
      <c r="C213" s="6" t="str">
        <f ca="1">IFERROR(__xludf.DUMMYFUNCTION("""COMPUTED_VALUE"""),"13thjan.priyanka@gmail.com")</f>
        <v>13thjan.priyanka@gmail.com</v>
      </c>
      <c r="D213" s="6">
        <f ca="1">IFERROR(__xludf.DUMMYFUNCTION("""COMPUTED_VALUE"""),8179630511)</f>
        <v>8179630511</v>
      </c>
      <c r="E213" s="6" t="str">
        <f ca="1">IFERROR(__xludf.DUMMYFUNCTION("""COMPUTED_VALUE"""),"fpt-paper")</f>
        <v>fpt-paper</v>
      </c>
      <c r="F213" s="6" t="str">
        <f ca="1">IFERROR(__xludf.DUMMYFUNCTION("""COMPUTED_VALUE"""),"PSM")</f>
        <v>PSM</v>
      </c>
      <c r="G213" s="80">
        <f ca="1">IFERROR(__xludf.DUMMYFUNCTION("""COMPUTED_VALUE"""),44228)</f>
        <v>44228</v>
      </c>
      <c r="H213" s="6" t="str">
        <f ca="1">IFERROR(__xludf.DUMMYFUNCTION("""COMPUTED_VALUE"""),"Won")</f>
        <v>Won</v>
      </c>
      <c r="I213" s="6" t="str">
        <f ca="1">IFERROR(__xludf.DUMMYFUNCTION("""COMPUTED_VALUE"""),"6-7 Feb 2021")</f>
        <v>6-7 Feb 2021</v>
      </c>
      <c r="J213" s="6">
        <f ca="1">IFERROR(__xludf.DUMMYFUNCTION("""COMPUTED_VALUE"""),1)</f>
        <v>1</v>
      </c>
      <c r="K213" s="8">
        <f ca="1">IFERROR(__xludf.DUMMYFUNCTION("""COMPUTED_VALUE"""),20500)</f>
        <v>20500</v>
      </c>
      <c r="L213" s="8">
        <f ca="1">IFERROR(__xludf.DUMMYFUNCTION("""COMPUTED_VALUE"""),234.768666972056)</f>
        <v>234.768666972056</v>
      </c>
      <c r="M213" s="96">
        <f ca="1">IFERROR(__xludf.DUMMYFUNCTION("""COMPUTED_VALUE"""),44230)</f>
        <v>44230</v>
      </c>
      <c r="N213" s="6" t="str">
        <f ca="1">IFERROR(__xludf.DUMMYFUNCTION("""COMPUTED_VALUE"""),"W1")</f>
        <v>W1</v>
      </c>
      <c r="O213" s="97">
        <f ca="1">IFERROR(__xludf.DUMMYFUNCTION("""COMPUTED_VALUE"""),44230)</f>
        <v>44230</v>
      </c>
      <c r="P213" s="6" t="str">
        <f ca="1">IFERROR(__xludf.DUMMYFUNCTION("""COMPUTED_VALUE"""),"CSTM_3H3VXSSKYR0")</f>
        <v>CSTM_3H3VXSSKYR0</v>
      </c>
      <c r="Q213" s="6"/>
      <c r="R213" s="6" t="str">
        <f ca="1">IFERROR(__xludf.DUMMYFUNCTION("""COMPUTED_VALUE"""),"Pending")</f>
        <v>Pending</v>
      </c>
      <c r="S213" s="6" t="str">
        <f ca="1">IFERROR(__xludf.DUMMYFUNCTION("""COMPUTED_VALUE"""),"Category")</f>
        <v>Category</v>
      </c>
      <c r="T213" s="6"/>
      <c r="U213" s="6"/>
      <c r="V213" s="6"/>
      <c r="W213" s="6"/>
      <c r="X213" s="6"/>
      <c r="Y213" s="6"/>
      <c r="Z213" s="6"/>
      <c r="AA213" s="6"/>
      <c r="AB213" s="6"/>
      <c r="AC213" s="6"/>
      <c r="AD213" s="6"/>
      <c r="AE213" s="6"/>
      <c r="AF213" s="6"/>
      <c r="AG213" s="6"/>
      <c r="AH213" s="6"/>
      <c r="AI213" s="6"/>
      <c r="AJ213" s="6"/>
      <c r="AK213" s="6"/>
      <c r="AL213" s="6"/>
    </row>
    <row r="214" spans="1:38">
      <c r="A214" s="96">
        <f ca="1">IFERROR(__xludf.DUMMYFUNCTION("""COMPUTED_VALUE"""),44227)</f>
        <v>44227</v>
      </c>
      <c r="B214" s="6" t="str">
        <f ca="1">IFERROR(__xludf.DUMMYFUNCTION("""COMPUTED_VALUE"""),"Chetan Kumar")</f>
        <v>Chetan Kumar</v>
      </c>
      <c r="C214" s="6" t="str">
        <f ca="1">IFERROR(__xludf.DUMMYFUNCTION("""COMPUTED_VALUE"""),"chetankumarhk@gmail.com")</f>
        <v>chetankumarhk@gmail.com</v>
      </c>
      <c r="D214" s="6">
        <f ca="1">IFERROR(__xludf.DUMMYFUNCTION("""COMPUTED_VALUE"""),9886537754)</f>
        <v>9886537754</v>
      </c>
      <c r="E214" s="6" t="str">
        <f ca="1">IFERROR(__xludf.DUMMYFUNCTION("""COMPUTED_VALUE"""),"Chat_triggered")</f>
        <v>Chat_triggered</v>
      </c>
      <c r="F214" s="6" t="str">
        <f ca="1">IFERROR(__xludf.DUMMYFUNCTION("""COMPUTED_VALUE"""),"CSM")</f>
        <v>CSM</v>
      </c>
      <c r="G214" s="80">
        <f ca="1">IFERROR(__xludf.DUMMYFUNCTION("""COMPUTED_VALUE"""),44197)</f>
        <v>44197</v>
      </c>
      <c r="H214" s="6" t="str">
        <f ca="1">IFERROR(__xludf.DUMMYFUNCTION("""COMPUTED_VALUE"""),"Opportunity")</f>
        <v>Opportunity</v>
      </c>
      <c r="I214" s="6" t="str">
        <f ca="1">IFERROR(__xludf.DUMMYFUNCTION("""COMPUTED_VALUE"""),"6-7 March 2021")</f>
        <v>6-7 March 2021</v>
      </c>
      <c r="J214" s="6">
        <f ca="1">IFERROR(__xludf.DUMMYFUNCTION("""COMPUTED_VALUE"""),1)</f>
        <v>1</v>
      </c>
      <c r="K214" s="8">
        <f ca="1">IFERROR(__xludf.DUMMYFUNCTION("""COMPUTED_VALUE"""),20000)</f>
        <v>20000</v>
      </c>
      <c r="L214" s="8">
        <f ca="1">IFERROR(__xludf.DUMMYFUNCTION("""COMPUTED_VALUE"""),229.042601923957)</f>
        <v>229.04260192395699</v>
      </c>
      <c r="M214" s="96">
        <f ca="1">IFERROR(__xludf.DUMMYFUNCTION("""COMPUTED_VALUE"""),44227)</f>
        <v>44227</v>
      </c>
      <c r="N214" s="6"/>
      <c r="O214" s="97"/>
      <c r="P214" s="6"/>
      <c r="Q214" s="6"/>
      <c r="R214" s="6"/>
      <c r="S214" s="6" t="str">
        <f ca="1">IFERROR(__xludf.DUMMYFUNCTION("""COMPUTED_VALUE"""),"Category")</f>
        <v>Category</v>
      </c>
      <c r="T214" s="6"/>
      <c r="U214" s="6"/>
      <c r="V214" s="6"/>
      <c r="W214" s="6"/>
      <c r="X214" s="6"/>
      <c r="Y214" s="6"/>
      <c r="Z214" s="6"/>
      <c r="AA214" s="6"/>
      <c r="AB214" s="6"/>
      <c r="AC214" s="6"/>
      <c r="AD214" s="6"/>
      <c r="AE214" s="6"/>
      <c r="AF214" s="6"/>
      <c r="AG214" s="6"/>
      <c r="AH214" s="6"/>
      <c r="AI214" s="6"/>
      <c r="AJ214" s="6"/>
      <c r="AK214" s="6"/>
      <c r="AL214" s="6"/>
    </row>
    <row r="215" spans="1:38">
      <c r="A215" s="96">
        <f ca="1">IFERROR(__xludf.DUMMYFUNCTION("""COMPUTED_VALUE"""),44227)</f>
        <v>44227</v>
      </c>
      <c r="B215" s="6" t="str">
        <f ca="1">IFERROR(__xludf.DUMMYFUNCTION("""COMPUTED_VALUE"""),"Suraj Thakur")</f>
        <v>Suraj Thakur</v>
      </c>
      <c r="C215" s="6" t="str">
        <f ca="1">IFERROR(__xludf.DUMMYFUNCTION("""COMPUTED_VALUE"""),"tunein2suraj@gmail.com")</f>
        <v>tunein2suraj@gmail.com</v>
      </c>
      <c r="D215" s="6">
        <f ca="1">IFERROR(__xludf.DUMMYFUNCTION("""COMPUTED_VALUE"""),7020548768)</f>
        <v>7020548768</v>
      </c>
      <c r="E215" s="6" t="str">
        <f ca="1">IFERROR(__xludf.DUMMYFUNCTION("""COMPUTED_VALUE"""),"auto-repeat")</f>
        <v>auto-repeat</v>
      </c>
      <c r="F215" s="6" t="str">
        <f ca="1">IFERROR(__xludf.DUMMYFUNCTION("""COMPUTED_VALUE"""),"Green Belt")</f>
        <v>Green Belt</v>
      </c>
      <c r="G215" s="80">
        <f ca="1">IFERROR(__xludf.DUMMYFUNCTION("""COMPUTED_VALUE"""),44228)</f>
        <v>44228</v>
      </c>
      <c r="H215" s="6" t="str">
        <f ca="1">IFERROR(__xludf.DUMMYFUNCTION("""COMPUTED_VALUE"""),"Opportunity")</f>
        <v>Opportunity</v>
      </c>
      <c r="I215" s="6" t="str">
        <f ca="1">IFERROR(__xludf.DUMMYFUNCTION("""COMPUTED_VALUE"""),"6 Feb 2021")</f>
        <v>6 Feb 2021</v>
      </c>
      <c r="J215" s="6">
        <f ca="1">IFERROR(__xludf.DUMMYFUNCTION("""COMPUTED_VALUE"""),1)</f>
        <v>1</v>
      </c>
      <c r="K215" s="8">
        <f ca="1">IFERROR(__xludf.DUMMYFUNCTION("""COMPUTED_VALUE"""),7500)</f>
        <v>7500</v>
      </c>
      <c r="L215" s="8">
        <f ca="1">IFERROR(__xludf.DUMMYFUNCTION("""COMPUTED_VALUE"""),85.8909757214842)</f>
        <v>85.890975721484196</v>
      </c>
      <c r="M215" s="96">
        <f ca="1">IFERROR(__xludf.DUMMYFUNCTION("""COMPUTED_VALUE"""),44230)</f>
        <v>44230</v>
      </c>
      <c r="N215" s="6"/>
      <c r="O215" s="97"/>
      <c r="P215" s="6"/>
      <c r="Q215" s="6"/>
      <c r="R215" s="6"/>
      <c r="S215" s="6" t="str">
        <f ca="1">IFERROR(__xludf.DUMMYFUNCTION("""COMPUTED_VALUE"""),"NonCategory")</f>
        <v>NonCategory</v>
      </c>
      <c r="T215" s="6"/>
      <c r="U215" s="6"/>
      <c r="V215" s="6"/>
      <c r="W215" s="6"/>
      <c r="X215" s="6"/>
      <c r="Y215" s="6"/>
      <c r="Z215" s="6"/>
      <c r="AA215" s="6"/>
      <c r="AB215" s="6"/>
      <c r="AC215" s="6"/>
      <c r="AD215" s="6"/>
      <c r="AE215" s="6"/>
      <c r="AF215" s="6"/>
      <c r="AG215" s="6"/>
      <c r="AH215" s="6"/>
      <c r="AI215" s="6"/>
      <c r="AJ215" s="6"/>
      <c r="AK215" s="6"/>
      <c r="AL215" s="6"/>
    </row>
    <row r="216" spans="1:38">
      <c r="A216" s="96">
        <f ca="1">IFERROR(__xludf.DUMMYFUNCTION("""COMPUTED_VALUE"""),44228)</f>
        <v>44228</v>
      </c>
      <c r="B216" s="6" t="str">
        <f ca="1">IFERROR(__xludf.DUMMYFUNCTION("""COMPUTED_VALUE"""),"Sanskriti Bharadwaj")</f>
        <v>Sanskriti Bharadwaj</v>
      </c>
      <c r="C216" s="6" t="str">
        <f ca="1">IFERROR(__xludf.DUMMYFUNCTION("""COMPUTED_VALUE"""),"sanskritibhardwaj@gmail.com")</f>
        <v>sanskritibhardwaj@gmail.com</v>
      </c>
      <c r="D216" s="6">
        <f ca="1">IFERROR(__xludf.DUMMYFUNCTION("""COMPUTED_VALUE"""),9868706408)</f>
        <v>9868706408</v>
      </c>
      <c r="E216" s="6" t="str">
        <f ca="1">IFERROR(__xludf.DUMMYFUNCTION("""COMPUTED_VALUE"""),"Chat_initiated")</f>
        <v>Chat_initiated</v>
      </c>
      <c r="F216" s="6" t="str">
        <f ca="1">IFERROR(__xludf.DUMMYFUNCTION("""COMPUTED_VALUE"""),"ICP ACC")</f>
        <v>ICP ACC</v>
      </c>
      <c r="G216" s="80">
        <f ca="1">IFERROR(__xludf.DUMMYFUNCTION("""COMPUTED_VALUE"""),44228)</f>
        <v>44228</v>
      </c>
      <c r="H216" s="6" t="str">
        <f ca="1">IFERROR(__xludf.DUMMYFUNCTION("""COMPUTED_VALUE"""),"Opportunity")</f>
        <v>Opportunity</v>
      </c>
      <c r="I216" s="6" t="str">
        <f ca="1">IFERROR(__xludf.DUMMYFUNCTION("""COMPUTED_VALUE"""),"20-21 Feb 2021")</f>
        <v>20-21 Feb 2021</v>
      </c>
      <c r="J216" s="6">
        <f ca="1">IFERROR(__xludf.DUMMYFUNCTION("""COMPUTED_VALUE"""),1)</f>
        <v>1</v>
      </c>
      <c r="K216" s="8">
        <f ca="1">IFERROR(__xludf.DUMMYFUNCTION("""COMPUTED_VALUE"""),31000)</f>
        <v>31000</v>
      </c>
      <c r="L216" s="8">
        <f ca="1">IFERROR(__xludf.DUMMYFUNCTION("""COMPUTED_VALUE"""),355.016032982134)</f>
        <v>355.01603298213399</v>
      </c>
      <c r="M216" s="96">
        <f ca="1">IFERROR(__xludf.DUMMYFUNCTION("""COMPUTED_VALUE"""),44235)</f>
        <v>44235</v>
      </c>
      <c r="N216" s="6"/>
      <c r="O216" s="97"/>
      <c r="P216" s="6"/>
      <c r="Q216" s="6"/>
      <c r="R216" s="6"/>
      <c r="S216" s="6" t="str">
        <f ca="1">IFERROR(__xludf.DUMMYFUNCTION("""COMPUTED_VALUE"""),"NonCategory")</f>
        <v>NonCategory</v>
      </c>
      <c r="T216" s="6"/>
      <c r="U216" s="6"/>
      <c r="V216" s="6"/>
      <c r="W216" s="6"/>
      <c r="X216" s="6"/>
      <c r="Y216" s="6"/>
      <c r="Z216" s="6"/>
      <c r="AA216" s="6"/>
      <c r="AB216" s="6"/>
      <c r="AC216" s="6"/>
      <c r="AD216" s="6"/>
      <c r="AE216" s="6"/>
      <c r="AF216" s="6"/>
      <c r="AG216" s="6"/>
      <c r="AH216" s="6"/>
      <c r="AI216" s="6"/>
      <c r="AJ216" s="6"/>
      <c r="AK216" s="6"/>
      <c r="AL216" s="6"/>
    </row>
    <row r="217" spans="1:38">
      <c r="A217" s="96">
        <f ca="1">IFERROR(__xludf.DUMMYFUNCTION("""COMPUTED_VALUE"""),44231)</f>
        <v>44231</v>
      </c>
      <c r="B217" s="6" t="str">
        <f ca="1">IFERROR(__xludf.DUMMYFUNCTION("""COMPUTED_VALUE"""),"Subhratan Jena")</f>
        <v>Subhratan Jena</v>
      </c>
      <c r="C217" s="6" t="str">
        <f ca="1">IFERROR(__xludf.DUMMYFUNCTION("""COMPUTED_VALUE"""),"meetbapuni@yahoo.co.in")</f>
        <v>meetbapuni@yahoo.co.in</v>
      </c>
      <c r="D217" s="6">
        <f ca="1">IFERROR(__xludf.DUMMYFUNCTION("""COMPUTED_VALUE"""),9372175539)</f>
        <v>9372175539</v>
      </c>
      <c r="E217" s="6" t="str">
        <f ca="1">IFERROR(__xludf.DUMMYFUNCTION("""COMPUTED_VALUE"""),"Chat_triggered")</f>
        <v>Chat_triggered</v>
      </c>
      <c r="F217" s="6" t="str">
        <f ca="1">IFERROR(__xludf.DUMMYFUNCTION("""COMPUTED_VALUE"""),"CSM")</f>
        <v>CSM</v>
      </c>
      <c r="G217" s="80">
        <f ca="1">IFERROR(__xludf.DUMMYFUNCTION("""COMPUTED_VALUE"""),44228)</f>
        <v>44228</v>
      </c>
      <c r="H217" s="6" t="str">
        <f ca="1">IFERROR(__xludf.DUMMYFUNCTION("""COMPUTED_VALUE"""),"Won")</f>
        <v>Won</v>
      </c>
      <c r="I217" s="6" t="str">
        <f ca="1">IFERROR(__xludf.DUMMYFUNCTION("""COMPUTED_VALUE"""),"6-7 Feb 2021")</f>
        <v>6-7 Feb 2021</v>
      </c>
      <c r="J217" s="6">
        <f ca="1">IFERROR(__xludf.DUMMYFUNCTION("""COMPUTED_VALUE"""),1)</f>
        <v>1</v>
      </c>
      <c r="K217" s="8">
        <f ca="1">IFERROR(__xludf.DUMMYFUNCTION("""COMPUTED_VALUE"""),19000)</f>
        <v>19000</v>
      </c>
      <c r="L217" s="8">
        <f ca="1">IFERROR(__xludf.DUMMYFUNCTION("""COMPUTED_VALUE"""),217.590471827759)</f>
        <v>217.59047182775899</v>
      </c>
      <c r="M217" s="96">
        <f ca="1">IFERROR(__xludf.DUMMYFUNCTION("""COMPUTED_VALUE"""),44231)</f>
        <v>44231</v>
      </c>
      <c r="N217" s="6" t="str">
        <f ca="1">IFERROR(__xludf.DUMMYFUNCTION("""COMPUTED_VALUE"""),"W1")</f>
        <v>W1</v>
      </c>
      <c r="O217" s="97">
        <f ca="1">IFERROR(__xludf.DUMMYFUNCTION("""COMPUTED_VALUE"""),44231)</f>
        <v>44231</v>
      </c>
      <c r="P217" s="6" t="str">
        <f ca="1">IFERROR(__xludf.DUMMYFUNCTION("""COMPUTED_VALUE"""),"CSTM_3RVAJTF2K5D")</f>
        <v>CSTM_3RVAJTF2K5D</v>
      </c>
      <c r="Q217" s="6"/>
      <c r="R217" s="6" t="str">
        <f ca="1">IFERROR(__xludf.DUMMYFUNCTION("""COMPUTED_VALUE"""),"Done. Good feedback.")</f>
        <v>Done. Good feedback.</v>
      </c>
      <c r="S217" s="6" t="str">
        <f ca="1">IFERROR(__xludf.DUMMYFUNCTION("""COMPUTED_VALUE"""),"Category")</f>
        <v>Category</v>
      </c>
      <c r="T217" s="6"/>
      <c r="U217" s="6"/>
      <c r="V217" s="6"/>
      <c r="W217" s="6"/>
      <c r="X217" s="6"/>
      <c r="Y217" s="6"/>
      <c r="Z217" s="6"/>
      <c r="AA217" s="6"/>
      <c r="AB217" s="6"/>
      <c r="AC217" s="6"/>
      <c r="AD217" s="6"/>
      <c r="AE217" s="6"/>
      <c r="AF217" s="6"/>
      <c r="AG217" s="6"/>
      <c r="AH217" s="6"/>
      <c r="AI217" s="6"/>
      <c r="AJ217" s="6"/>
      <c r="AK217" s="6"/>
      <c r="AL217" s="6"/>
    </row>
    <row r="218" spans="1:38">
      <c r="A218" s="96">
        <f ca="1">IFERROR(__xludf.DUMMYFUNCTION("""COMPUTED_VALUE"""),44232)</f>
        <v>44232</v>
      </c>
      <c r="B218" s="6" t="str">
        <f ca="1">IFERROR(__xludf.DUMMYFUNCTION("""COMPUTED_VALUE"""),"Subbarathna")</f>
        <v>Subbarathna</v>
      </c>
      <c r="C218" s="6" t="str">
        <f ca="1">IFERROR(__xludf.DUMMYFUNCTION("""COMPUTED_VALUE"""),"g_subbarathna@yahoo.com")</f>
        <v>g_subbarathna@yahoo.com</v>
      </c>
      <c r="D218" s="6">
        <f ca="1">IFERROR(__xludf.DUMMYFUNCTION("""COMPUTED_VALUE"""),9900962783)</f>
        <v>9900962783</v>
      </c>
      <c r="E218" s="6" t="str">
        <f ca="1">IFERROR(__xludf.DUMMYFUNCTION("""COMPUTED_VALUE"""),"Chat_triggered")</f>
        <v>Chat_triggered</v>
      </c>
      <c r="F218" s="6" t="str">
        <f ca="1">IFERROR(__xludf.DUMMYFUNCTION("""COMPUTED_VALUE"""),"CSM")</f>
        <v>CSM</v>
      </c>
      <c r="G218" s="80">
        <f ca="1">IFERROR(__xludf.DUMMYFUNCTION("""COMPUTED_VALUE"""),44228)</f>
        <v>44228</v>
      </c>
      <c r="H218" s="6" t="str">
        <f ca="1">IFERROR(__xludf.DUMMYFUNCTION("""COMPUTED_VALUE"""),"Won")</f>
        <v>Won</v>
      </c>
      <c r="I218" s="6" t="str">
        <f ca="1">IFERROR(__xludf.DUMMYFUNCTION("""COMPUTED_VALUE"""),"13-14 Feb 2021")</f>
        <v>13-14 Feb 2021</v>
      </c>
      <c r="J218" s="6">
        <f ca="1">IFERROR(__xludf.DUMMYFUNCTION("""COMPUTED_VALUE"""),1)</f>
        <v>1</v>
      </c>
      <c r="K218" s="8">
        <f ca="1">IFERROR(__xludf.DUMMYFUNCTION("""COMPUTED_VALUE"""),20500)</f>
        <v>20500</v>
      </c>
      <c r="L218" s="8">
        <f ca="1">IFERROR(__xludf.DUMMYFUNCTION("""COMPUTED_VALUE"""),234.768666972056)</f>
        <v>234.768666972056</v>
      </c>
      <c r="M218" s="96">
        <f ca="1">IFERROR(__xludf.DUMMYFUNCTION("""COMPUTED_VALUE"""),44232)</f>
        <v>44232</v>
      </c>
      <c r="N218" s="6" t="str">
        <f ca="1">IFERROR(__xludf.DUMMYFUNCTION("""COMPUTED_VALUE"""),"W1")</f>
        <v>W1</v>
      </c>
      <c r="O218" s="97">
        <f ca="1">IFERROR(__xludf.DUMMYFUNCTION("""COMPUTED_VALUE"""),44232)</f>
        <v>44232</v>
      </c>
      <c r="P218" s="6" t="str">
        <f ca="1">IFERROR(__xludf.DUMMYFUNCTION("""COMPUTED_VALUE"""),"CSTM_ASS3ZFDK8LG")</f>
        <v>CSTM_ASS3ZFDK8LG</v>
      </c>
      <c r="Q218" s="6"/>
      <c r="R218" s="6" t="str">
        <f ca="1">IFERROR(__xludf.DUMMYFUNCTION("""COMPUTED_VALUE"""),"Done. Good feedback.")</f>
        <v>Done. Good feedback.</v>
      </c>
      <c r="S218" s="6" t="str">
        <f ca="1">IFERROR(__xludf.DUMMYFUNCTION("""COMPUTED_VALUE"""),"Category")</f>
        <v>Category</v>
      </c>
      <c r="T218" s="6"/>
      <c r="U218" s="6"/>
      <c r="V218" s="6"/>
      <c r="W218" s="6"/>
      <c r="X218" s="6"/>
      <c r="Y218" s="6"/>
      <c r="Z218" s="6"/>
      <c r="AA218" s="6"/>
      <c r="AB218" s="6"/>
      <c r="AC218" s="6"/>
      <c r="AD218" s="6"/>
      <c r="AE218" s="6"/>
      <c r="AF218" s="6"/>
      <c r="AG218" s="6"/>
      <c r="AH218" s="6"/>
      <c r="AI218" s="6"/>
      <c r="AJ218" s="6"/>
      <c r="AK218" s="6"/>
      <c r="AL218" s="6"/>
    </row>
    <row r="219" spans="1:38">
      <c r="A219" s="96">
        <f ca="1">IFERROR(__xludf.DUMMYFUNCTION("""COMPUTED_VALUE"""),44228)</f>
        <v>44228</v>
      </c>
      <c r="B219" s="6" t="str">
        <f ca="1">IFERROR(__xludf.DUMMYFUNCTION("""COMPUTED_VALUE"""),"Pallavi")</f>
        <v>Pallavi</v>
      </c>
      <c r="C219" s="6" t="str">
        <f ca="1">IFERROR(__xludf.DUMMYFUNCTION("""COMPUTED_VALUE"""),"pallogs@gmail.com")</f>
        <v>pallogs@gmail.com</v>
      </c>
      <c r="D219" s="6">
        <f ca="1">IFERROR(__xludf.DUMMYFUNCTION("""COMPUTED_VALUE"""),9480088630)</f>
        <v>9480088630</v>
      </c>
      <c r="E219" s="6" t="str">
        <f ca="1">IFERROR(__xludf.DUMMYFUNCTION("""COMPUTED_VALUE"""),"Chat_triggered")</f>
        <v>Chat_triggered</v>
      </c>
      <c r="F219" s="6" t="str">
        <f ca="1">IFERROR(__xludf.DUMMYFUNCTION("""COMPUTED_VALUE"""),"PMI-ACP")</f>
        <v>PMI-ACP</v>
      </c>
      <c r="G219" s="80">
        <f ca="1">IFERROR(__xludf.DUMMYFUNCTION("""COMPUTED_VALUE"""),44228)</f>
        <v>44228</v>
      </c>
      <c r="H219" s="6" t="str">
        <f ca="1">IFERROR(__xludf.DUMMYFUNCTION("""COMPUTED_VALUE"""),"Opportunity")</f>
        <v>Opportunity</v>
      </c>
      <c r="I219" s="6" t="str">
        <f ca="1">IFERROR(__xludf.DUMMYFUNCTION("""COMPUTED_VALUE"""),"April 2021")</f>
        <v>April 2021</v>
      </c>
      <c r="J219" s="6">
        <f ca="1">IFERROR(__xludf.DUMMYFUNCTION("""COMPUTED_VALUE"""),1)</f>
        <v>1</v>
      </c>
      <c r="K219" s="8">
        <f ca="1">IFERROR(__xludf.DUMMYFUNCTION("""COMPUTED_VALUE"""),12500)</f>
        <v>12500</v>
      </c>
      <c r="L219" s="8">
        <f ca="1">IFERROR(__xludf.DUMMYFUNCTION("""COMPUTED_VALUE"""),143.151626202473)</f>
        <v>143.15162620247301</v>
      </c>
      <c r="M219" s="96">
        <f ca="1">IFERROR(__xludf.DUMMYFUNCTION("""COMPUTED_VALUE"""),44230)</f>
        <v>44230</v>
      </c>
      <c r="N219" s="6"/>
      <c r="O219" s="97"/>
      <c r="P219" s="6"/>
      <c r="Q219" s="6"/>
      <c r="R219" s="6"/>
      <c r="S219" s="6" t="str">
        <f ca="1">IFERROR(__xludf.DUMMYFUNCTION("""COMPUTED_VALUE"""),"Category")</f>
        <v>Category</v>
      </c>
      <c r="T219" s="6"/>
      <c r="U219" s="6"/>
      <c r="V219" s="6"/>
      <c r="W219" s="6"/>
      <c r="X219" s="6"/>
      <c r="Y219" s="6"/>
      <c r="Z219" s="6"/>
      <c r="AA219" s="6"/>
      <c r="AB219" s="6"/>
      <c r="AC219" s="6"/>
      <c r="AD219" s="6"/>
      <c r="AE219" s="6"/>
      <c r="AF219" s="6"/>
      <c r="AG219" s="6"/>
      <c r="AH219" s="6"/>
      <c r="AI219" s="6"/>
      <c r="AJ219" s="6"/>
      <c r="AK219" s="6"/>
      <c r="AL219" s="6"/>
    </row>
    <row r="220" spans="1:38">
      <c r="A220" s="96">
        <f ca="1">IFERROR(__xludf.DUMMYFUNCTION("""COMPUTED_VALUE"""),44232)</f>
        <v>44232</v>
      </c>
      <c r="B220" s="6" t="str">
        <f ca="1">IFERROR(__xludf.DUMMYFUNCTION("""COMPUTED_VALUE"""),"R Tiwari")</f>
        <v>R Tiwari</v>
      </c>
      <c r="C220" s="6" t="str">
        <f ca="1">IFERROR(__xludf.DUMMYFUNCTION("""COMPUTED_VALUE"""),"rdtiwari123@gmail.com")</f>
        <v>rdtiwari123@gmail.com</v>
      </c>
      <c r="D220" s="6">
        <f ca="1">IFERROR(__xludf.DUMMYFUNCTION("""COMPUTED_VALUE"""),7895991460)</f>
        <v>7895991460</v>
      </c>
      <c r="E220" s="6" t="str">
        <f ca="1">IFERROR(__xludf.DUMMYFUNCTION("""COMPUTED_VALUE"""),"Account")</f>
        <v>Account</v>
      </c>
      <c r="F220" s="6" t="str">
        <f ca="1">IFERROR(__xludf.DUMMYFUNCTION("""COMPUTED_VALUE"""),"PMP Exam Practice Test")</f>
        <v>PMP Exam Practice Test</v>
      </c>
      <c r="G220" s="80">
        <f ca="1">IFERROR(__xludf.DUMMYFUNCTION("""COMPUTED_VALUE"""),44228)</f>
        <v>44228</v>
      </c>
      <c r="H220" s="6" t="str">
        <f ca="1">IFERROR(__xludf.DUMMYFUNCTION("""COMPUTED_VALUE"""),"Won")</f>
        <v>Won</v>
      </c>
      <c r="I220" s="6" t="str">
        <f ca="1">IFERROR(__xludf.DUMMYFUNCTION("""COMPUTED_VALUE"""),"Practice Test")</f>
        <v>Practice Test</v>
      </c>
      <c r="J220" s="6">
        <f ca="1">IFERROR(__xludf.DUMMYFUNCTION("""COMPUTED_VALUE"""),1)</f>
        <v>1</v>
      </c>
      <c r="K220" s="8">
        <f ca="1">IFERROR(__xludf.DUMMYFUNCTION("""COMPUTED_VALUE"""),2360)</f>
        <v>2360</v>
      </c>
      <c r="L220" s="8">
        <f ca="1">IFERROR(__xludf.DUMMYFUNCTION("""COMPUTED_VALUE"""),27.027027027027)</f>
        <v>27.027027027027</v>
      </c>
      <c r="M220" s="96">
        <f ca="1">IFERROR(__xludf.DUMMYFUNCTION("""COMPUTED_VALUE"""),44232)</f>
        <v>44232</v>
      </c>
      <c r="N220" s="6" t="str">
        <f ca="1">IFERROR(__xludf.DUMMYFUNCTION("""COMPUTED_VALUE"""),"W1")</f>
        <v>W1</v>
      </c>
      <c r="O220" s="97">
        <f ca="1">IFERROR(__xludf.DUMMYFUNCTION("""COMPUTED_VALUE"""),44232)</f>
        <v>44232</v>
      </c>
      <c r="P220" s="6" t="str">
        <f ca="1">IFERROR(__xludf.DUMMYFUNCTION("""COMPUTED_VALUE"""),"SMPL_HPOQ0TUQ7JP")</f>
        <v>SMPL_HPOQ0TUQ7JP</v>
      </c>
      <c r="Q220" s="6"/>
      <c r="R220" s="6"/>
      <c r="S220" s="6" t="str">
        <f ca="1">IFERROR(__xludf.DUMMYFUNCTION("""COMPUTED_VALUE"""),"NonCategory")</f>
        <v>NonCategory</v>
      </c>
      <c r="T220" s="6"/>
      <c r="U220" s="6"/>
      <c r="V220" s="6"/>
      <c r="W220" s="6"/>
      <c r="X220" s="6"/>
      <c r="Y220" s="6"/>
      <c r="Z220" s="6"/>
      <c r="AA220" s="6"/>
      <c r="AB220" s="6"/>
      <c r="AC220" s="6"/>
      <c r="AD220" s="6"/>
      <c r="AE220" s="6"/>
      <c r="AF220" s="6"/>
      <c r="AG220" s="6"/>
      <c r="AH220" s="6"/>
      <c r="AI220" s="6"/>
      <c r="AJ220" s="6"/>
      <c r="AK220" s="6"/>
      <c r="AL220" s="6"/>
    </row>
    <row r="221" spans="1:38">
      <c r="A221" s="96">
        <f ca="1">IFERROR(__xludf.DUMMYFUNCTION("""COMPUTED_VALUE"""),44230)</f>
        <v>44230</v>
      </c>
      <c r="B221" s="6" t="str">
        <f ca="1">IFERROR(__xludf.DUMMYFUNCTION("""COMPUTED_VALUE"""),"Bhaumik Soni")</f>
        <v>Bhaumik Soni</v>
      </c>
      <c r="C221" s="6" t="str">
        <f ca="1">IFERROR(__xludf.DUMMYFUNCTION("""COMPUTED_VALUE"""),"bhaumiknsoni@gmail.com")</f>
        <v>bhaumiknsoni@gmail.com</v>
      </c>
      <c r="D221" s="6">
        <f ca="1">IFERROR(__xludf.DUMMYFUNCTION("""COMPUTED_VALUE"""),9712768076)</f>
        <v>9712768076</v>
      </c>
      <c r="E221" s="6" t="str">
        <f ca="1">IFERROR(__xludf.DUMMYFUNCTION("""COMPUTED_VALUE"""),"Query box")</f>
        <v>Query box</v>
      </c>
      <c r="F221" s="6" t="str">
        <f ca="1">IFERROR(__xludf.DUMMYFUNCTION("""COMPUTED_VALUE"""),"CSM")</f>
        <v>CSM</v>
      </c>
      <c r="G221" s="80">
        <f ca="1">IFERROR(__xludf.DUMMYFUNCTION("""COMPUTED_VALUE"""),44228)</f>
        <v>44228</v>
      </c>
      <c r="H221" s="6" t="str">
        <f ca="1">IFERROR(__xludf.DUMMYFUNCTION("""COMPUTED_VALUE"""),"Opportunity")</f>
        <v>Opportunity</v>
      </c>
      <c r="I221" s="6" t="str">
        <f ca="1">IFERROR(__xludf.DUMMYFUNCTION("""COMPUTED_VALUE"""),"DK")</f>
        <v>DK</v>
      </c>
      <c r="J221" s="6">
        <f ca="1">IFERROR(__xludf.DUMMYFUNCTION("""COMPUTED_VALUE"""),1)</f>
        <v>1</v>
      </c>
      <c r="K221" s="8">
        <f ca="1">IFERROR(__xludf.DUMMYFUNCTION("""COMPUTED_VALUE"""),20000)</f>
        <v>20000</v>
      </c>
      <c r="L221" s="8">
        <f ca="1">IFERROR(__xludf.DUMMYFUNCTION("""COMPUTED_VALUE"""),229.042601923957)</f>
        <v>229.04260192395699</v>
      </c>
      <c r="M221" s="96"/>
      <c r="N221" s="6"/>
      <c r="O221" s="97"/>
      <c r="P221" s="6"/>
      <c r="Q221" s="6"/>
      <c r="R221" s="6"/>
      <c r="S221" s="6" t="str">
        <f ca="1">IFERROR(__xludf.DUMMYFUNCTION("""COMPUTED_VALUE"""),"Category")</f>
        <v>Category</v>
      </c>
      <c r="T221" s="6"/>
      <c r="U221" s="6"/>
      <c r="V221" s="6"/>
      <c r="W221" s="6"/>
      <c r="X221" s="6"/>
      <c r="Y221" s="6"/>
      <c r="Z221" s="6"/>
      <c r="AA221" s="6"/>
      <c r="AB221" s="6"/>
      <c r="AC221" s="6"/>
      <c r="AD221" s="6"/>
      <c r="AE221" s="6"/>
      <c r="AF221" s="6"/>
      <c r="AG221" s="6"/>
      <c r="AH221" s="6"/>
      <c r="AI221" s="6"/>
      <c r="AJ221" s="6"/>
      <c r="AK221" s="6"/>
      <c r="AL221" s="6"/>
    </row>
    <row r="222" spans="1:38">
      <c r="A222" s="96">
        <f ca="1">IFERROR(__xludf.DUMMYFUNCTION("""COMPUTED_VALUE"""),44232)</f>
        <v>44232</v>
      </c>
      <c r="B222" s="6" t="str">
        <f ca="1">IFERROR(__xludf.DUMMYFUNCTION("""COMPUTED_VALUE"""),"Subbarathna")</f>
        <v>Subbarathna</v>
      </c>
      <c r="C222" s="6" t="str">
        <f ca="1">IFERROR(__xludf.DUMMYFUNCTION("""COMPUTED_VALUE"""),"g_subbarathna@yahoo.com")</f>
        <v>g_subbarathna@yahoo.com</v>
      </c>
      <c r="D222" s="6">
        <f ca="1">IFERROR(__xludf.DUMMYFUNCTION("""COMPUTED_VALUE"""),9900962783)</f>
        <v>9900962783</v>
      </c>
      <c r="E222" s="6" t="str">
        <f ca="1">IFERROR(__xludf.DUMMYFUNCTION("""COMPUTED_VALUE"""),"Account Repeat")</f>
        <v>Account Repeat</v>
      </c>
      <c r="F222" s="6" t="str">
        <f ca="1">IFERROR(__xludf.DUMMYFUNCTION("""COMPUTED_VALUE"""),"CSM")</f>
        <v>CSM</v>
      </c>
      <c r="G222" s="80">
        <f ca="1">IFERROR(__xludf.DUMMYFUNCTION("""COMPUTED_VALUE"""),44228)</f>
        <v>44228</v>
      </c>
      <c r="H222" s="6" t="str">
        <f ca="1">IFERROR(__xludf.DUMMYFUNCTION("""COMPUTED_VALUE"""),"Won")</f>
        <v>Won</v>
      </c>
      <c r="I222" s="6" t="str">
        <f ca="1">IFERROR(__xludf.DUMMYFUNCTION("""COMPUTED_VALUE"""),"13-14 Feb 2021")</f>
        <v>13-14 Feb 2021</v>
      </c>
      <c r="J222" s="6">
        <f ca="1">IFERROR(__xludf.DUMMYFUNCTION("""COMPUTED_VALUE"""),1)</f>
        <v>1</v>
      </c>
      <c r="K222" s="8">
        <f ca="1">IFERROR(__xludf.DUMMYFUNCTION("""COMPUTED_VALUE"""),500)</f>
        <v>500</v>
      </c>
      <c r="L222" s="8">
        <f ca="1">IFERROR(__xludf.DUMMYFUNCTION("""COMPUTED_VALUE"""),5.72606504809894)</f>
        <v>5.7260650480989401</v>
      </c>
      <c r="M222" s="96">
        <f ca="1">IFERROR(__xludf.DUMMYFUNCTION("""COMPUTED_VALUE"""),44232)</f>
        <v>44232</v>
      </c>
      <c r="N222" s="6" t="str">
        <f ca="1">IFERROR(__xludf.DUMMYFUNCTION("""COMPUTED_VALUE"""),"W1")</f>
        <v>W1</v>
      </c>
      <c r="O222" s="97">
        <f ca="1">IFERROR(__xludf.DUMMYFUNCTION("""COMPUTED_VALUE"""),44232)</f>
        <v>44232</v>
      </c>
      <c r="P222" s="6" t="str">
        <f ca="1">IFERROR(__xludf.DUMMYFUNCTION("""COMPUTED_VALUE"""),"CSTM_I5809QJM43B")</f>
        <v>CSTM_I5809QJM43B</v>
      </c>
      <c r="Q222" s="6"/>
      <c r="R222" s="6" t="str">
        <f ca="1">IFERROR(__xludf.DUMMYFUNCTION("""COMPUTED_VALUE"""),"Done. Good feedback.")</f>
        <v>Done. Good feedback.</v>
      </c>
      <c r="S222" s="6" t="str">
        <f ca="1">IFERROR(__xludf.DUMMYFUNCTION("""COMPUTED_VALUE"""),"Category")</f>
        <v>Category</v>
      </c>
      <c r="T222" s="6"/>
      <c r="U222" s="6"/>
      <c r="V222" s="6"/>
      <c r="W222" s="6"/>
      <c r="X222" s="6"/>
      <c r="Y222" s="6"/>
      <c r="Z222" s="6"/>
      <c r="AA222" s="6"/>
      <c r="AB222" s="6"/>
      <c r="AC222" s="6"/>
      <c r="AD222" s="6"/>
      <c r="AE222" s="6"/>
      <c r="AF222" s="6"/>
      <c r="AG222" s="6"/>
      <c r="AH222" s="6"/>
      <c r="AI222" s="6"/>
      <c r="AJ222" s="6"/>
      <c r="AK222" s="6"/>
      <c r="AL222" s="6"/>
    </row>
    <row r="223" spans="1:38">
      <c r="A223" s="96">
        <f ca="1">IFERROR(__xludf.DUMMYFUNCTION("""COMPUTED_VALUE"""),44231)</f>
        <v>44231</v>
      </c>
      <c r="B223" s="6" t="str">
        <f ca="1">IFERROR(__xludf.DUMMYFUNCTION("""COMPUTED_VALUE"""),"Rashmi Lokhande")</f>
        <v>Rashmi Lokhande</v>
      </c>
      <c r="C223" s="6" t="str">
        <f ca="1">IFERROR(__xludf.DUMMYFUNCTION("""COMPUTED_VALUE"""),"rashmilokhande04@gmail.com")</f>
        <v>rashmilokhande04@gmail.com</v>
      </c>
      <c r="D223" s="6">
        <f ca="1">IFERROR(__xludf.DUMMYFUNCTION("""COMPUTED_VALUE"""),9822586335)</f>
        <v>9822586335</v>
      </c>
      <c r="E223" s="6" t="str">
        <f ca="1">IFERROR(__xludf.DUMMYFUNCTION("""COMPUTED_VALUE"""),"Reference")</f>
        <v>Reference</v>
      </c>
      <c r="F223" s="6" t="str">
        <f ca="1">IFERROR(__xludf.DUMMYFUNCTION("""COMPUTED_VALUE"""),"CSM")</f>
        <v>CSM</v>
      </c>
      <c r="G223" s="80">
        <f ca="1">IFERROR(__xludf.DUMMYFUNCTION("""COMPUTED_VALUE"""),44228)</f>
        <v>44228</v>
      </c>
      <c r="H223" s="6" t="str">
        <f ca="1">IFERROR(__xludf.DUMMYFUNCTION("""COMPUTED_VALUE"""),"Lost")</f>
        <v>Lost</v>
      </c>
      <c r="I223" s="6" t="str">
        <f ca="1">IFERROR(__xludf.DUMMYFUNCTION("""COMPUTED_VALUE"""),"6-7 Feb 2021")</f>
        <v>6-7 Feb 2021</v>
      </c>
      <c r="J223" s="6">
        <f ca="1">IFERROR(__xludf.DUMMYFUNCTION("""COMPUTED_VALUE"""),1)</f>
        <v>1</v>
      </c>
      <c r="K223" s="8">
        <f ca="1">IFERROR(__xludf.DUMMYFUNCTION("""COMPUTED_VALUE"""),20000)</f>
        <v>20000</v>
      </c>
      <c r="L223" s="8">
        <f ca="1">IFERROR(__xludf.DUMMYFUNCTION("""COMPUTED_VALUE"""),229.042601923957)</f>
        <v>229.04260192395699</v>
      </c>
      <c r="M223" s="96">
        <f ca="1">IFERROR(__xludf.DUMMYFUNCTION("""COMPUTED_VALUE"""),44231)</f>
        <v>44231</v>
      </c>
      <c r="N223" s="6"/>
      <c r="O223" s="97"/>
      <c r="P223" s="6"/>
      <c r="Q223" s="6" t="str">
        <f ca="1">IFERROR(__xludf.DUMMYFUNCTION("""COMPUTED_VALUE"""),"Reference by Keerti keerti1895@gmail.com")</f>
        <v>Reference by Keerti keerti1895@gmail.com</v>
      </c>
      <c r="R223" s="6"/>
      <c r="S223" s="6" t="str">
        <f ca="1">IFERROR(__xludf.DUMMYFUNCTION("""COMPUTED_VALUE"""),"Category")</f>
        <v>Category</v>
      </c>
      <c r="T223" s="6"/>
      <c r="U223" s="6"/>
      <c r="V223" s="6"/>
      <c r="W223" s="6"/>
      <c r="X223" s="6"/>
      <c r="Y223" s="6"/>
      <c r="Z223" s="6"/>
      <c r="AA223" s="6"/>
      <c r="AB223" s="6"/>
      <c r="AC223" s="6"/>
      <c r="AD223" s="6"/>
      <c r="AE223" s="6"/>
      <c r="AF223" s="6"/>
      <c r="AG223" s="6"/>
      <c r="AH223" s="6"/>
      <c r="AI223" s="6"/>
      <c r="AJ223" s="6"/>
      <c r="AK223" s="6"/>
      <c r="AL223" s="6"/>
    </row>
    <row r="224" spans="1:38">
      <c r="A224" s="96">
        <f ca="1">IFERROR(__xludf.DUMMYFUNCTION("""COMPUTED_VALUE"""),44229)</f>
        <v>44229</v>
      </c>
      <c r="B224" s="6" t="str">
        <f ca="1">IFERROR(__xludf.DUMMYFUNCTION("""COMPUTED_VALUE"""),"Mohan Krishna")</f>
        <v>Mohan Krishna</v>
      </c>
      <c r="C224" s="6" t="str">
        <f ca="1">IFERROR(__xludf.DUMMYFUNCTION("""COMPUTED_VALUE"""),"mohan.krishnar@gmail.com")</f>
        <v>mohan.krishnar@gmail.com</v>
      </c>
      <c r="D224" s="6">
        <f ca="1">IFERROR(__xludf.DUMMYFUNCTION("""COMPUTED_VALUE"""),9886750058)</f>
        <v>9886750058</v>
      </c>
      <c r="E224" s="6" t="str">
        <f ca="1">IFERROR(__xludf.DUMMYFUNCTION("""COMPUTED_VALUE"""),"Chat_triggered")</f>
        <v>Chat_triggered</v>
      </c>
      <c r="F224" s="6" t="str">
        <f ca="1">IFERROR(__xludf.DUMMYFUNCTION("""COMPUTED_VALUE"""),"SAFe Agile")</f>
        <v>SAFe Agile</v>
      </c>
      <c r="G224" s="80">
        <f ca="1">IFERROR(__xludf.DUMMYFUNCTION("""COMPUTED_VALUE"""),44228)</f>
        <v>44228</v>
      </c>
      <c r="H224" s="6" t="str">
        <f ca="1">IFERROR(__xludf.DUMMYFUNCTION("""COMPUTED_VALUE"""),"Won")</f>
        <v>Won</v>
      </c>
      <c r="I224" s="6" t="str">
        <f ca="1">IFERROR(__xludf.DUMMYFUNCTION("""COMPUTED_VALUE"""),"27-28 Feb 2021")</f>
        <v>27-28 Feb 2021</v>
      </c>
      <c r="J224" s="6">
        <f ca="1">IFERROR(__xludf.DUMMYFUNCTION("""COMPUTED_VALUE"""),1)</f>
        <v>1</v>
      </c>
      <c r="K224" s="8">
        <f ca="1">IFERROR(__xludf.DUMMYFUNCTION("""COMPUTED_VALUE"""),48000)</f>
        <v>48000</v>
      </c>
      <c r="L224" s="8">
        <f ca="1">IFERROR(__xludf.DUMMYFUNCTION("""COMPUTED_VALUE"""),549.702244617498)</f>
        <v>549.70224461749797</v>
      </c>
      <c r="M224" s="96">
        <f ca="1">IFERROR(__xludf.DUMMYFUNCTION("""COMPUTED_VALUE"""),44233)</f>
        <v>44233</v>
      </c>
      <c r="N224" s="6" t="str">
        <f ca="1">IFERROR(__xludf.DUMMYFUNCTION("""COMPUTED_VALUE"""),"W1")</f>
        <v>W1</v>
      </c>
      <c r="O224" s="97">
        <f ca="1">IFERROR(__xludf.DUMMYFUNCTION("""COMPUTED_VALUE"""),44233)</f>
        <v>44233</v>
      </c>
      <c r="P224" s="6" t="str">
        <f ca="1">IFERROR(__xludf.DUMMYFUNCTION("""COMPUTED_VALUE"""),"CSTM_5CNI2SA4IUU")</f>
        <v>CSTM_5CNI2SA4IUU</v>
      </c>
      <c r="Q224" s="6"/>
      <c r="R224" s="6" t="str">
        <f ca="1">IFERROR(__xludf.DUMMYFUNCTION("""COMPUTED_VALUE"""),"Done. Good feedback.")</f>
        <v>Done. Good feedback.</v>
      </c>
      <c r="S224" s="6" t="str">
        <f ca="1">IFERROR(__xludf.DUMMYFUNCTION("""COMPUTED_VALUE"""),"SAFe")</f>
        <v>SAFe</v>
      </c>
      <c r="T224" s="6"/>
      <c r="U224" s="6"/>
      <c r="V224" s="6"/>
      <c r="W224" s="6"/>
      <c r="X224" s="6"/>
      <c r="Y224" s="6"/>
      <c r="Z224" s="6"/>
      <c r="AA224" s="6"/>
      <c r="AB224" s="6"/>
      <c r="AC224" s="6"/>
      <c r="AD224" s="6"/>
      <c r="AE224" s="6"/>
      <c r="AF224" s="6"/>
      <c r="AG224" s="6"/>
      <c r="AH224" s="6"/>
      <c r="AI224" s="6"/>
      <c r="AJ224" s="6"/>
      <c r="AK224" s="6"/>
      <c r="AL224" s="6"/>
    </row>
    <row r="225" spans="1:38">
      <c r="A225" s="96">
        <f ca="1">IFERROR(__xludf.DUMMYFUNCTION("""COMPUTED_VALUE"""),44231)</f>
        <v>44231</v>
      </c>
      <c r="B225" s="6" t="str">
        <f ca="1">IFERROR(__xludf.DUMMYFUNCTION("""COMPUTED_VALUE"""),"Harika")</f>
        <v>Harika</v>
      </c>
      <c r="C225" s="6" t="str">
        <f ca="1">IFERROR(__xludf.DUMMYFUNCTION("""COMPUTED_VALUE"""),"g.haarikka@gmail.com")</f>
        <v>g.haarikka@gmail.com</v>
      </c>
      <c r="D225" s="6">
        <f ca="1">IFERROR(__xludf.DUMMYFUNCTION("""COMPUTED_VALUE"""),9632098087)</f>
        <v>9632098087</v>
      </c>
      <c r="E225" s="6" t="str">
        <f ca="1">IFERROR(__xludf.DUMMYFUNCTION("""COMPUTED_VALUE"""),"chat_initiated")</f>
        <v>chat_initiated</v>
      </c>
      <c r="F225" s="6" t="str">
        <f ca="1">IFERROR(__xludf.DUMMYFUNCTION("""COMPUTED_VALUE"""),"PMI-ACP")</f>
        <v>PMI-ACP</v>
      </c>
      <c r="G225" s="80">
        <f ca="1">IFERROR(__xludf.DUMMYFUNCTION("""COMPUTED_VALUE"""),44228)</f>
        <v>44228</v>
      </c>
      <c r="H225" s="6" t="str">
        <f ca="1">IFERROR(__xludf.DUMMYFUNCTION("""COMPUTED_VALUE"""),"Opportunity")</f>
        <v>Opportunity</v>
      </c>
      <c r="I225" s="6" t="str">
        <f ca="1">IFERROR(__xludf.DUMMYFUNCTION("""COMPUTED_VALUE"""),"DK")</f>
        <v>DK</v>
      </c>
      <c r="J225" s="6">
        <f ca="1">IFERROR(__xludf.DUMMYFUNCTION("""COMPUTED_VALUE"""),1)</f>
        <v>1</v>
      </c>
      <c r="K225" s="8">
        <f ca="1">IFERROR(__xludf.DUMMYFUNCTION("""COMPUTED_VALUE"""),8000)</f>
        <v>8000</v>
      </c>
      <c r="L225" s="8">
        <f ca="1">IFERROR(__xludf.DUMMYFUNCTION("""COMPUTED_VALUE"""),91.6170407695831)</f>
        <v>91.617040769583099</v>
      </c>
      <c r="M225" s="96"/>
      <c r="N225" s="6"/>
      <c r="O225" s="97"/>
      <c r="P225" s="6"/>
      <c r="Q225" s="6"/>
      <c r="R225" s="6"/>
      <c r="S225" s="6" t="str">
        <f ca="1">IFERROR(__xludf.DUMMYFUNCTION("""COMPUTED_VALUE"""),"Category")</f>
        <v>Category</v>
      </c>
      <c r="T225" s="6"/>
      <c r="U225" s="6"/>
      <c r="V225" s="6"/>
      <c r="W225" s="6"/>
      <c r="X225" s="6"/>
      <c r="Y225" s="6"/>
      <c r="Z225" s="6"/>
      <c r="AA225" s="6"/>
      <c r="AB225" s="6"/>
      <c r="AC225" s="6"/>
      <c r="AD225" s="6"/>
      <c r="AE225" s="6"/>
      <c r="AF225" s="6"/>
      <c r="AG225" s="6"/>
      <c r="AH225" s="6"/>
      <c r="AI225" s="6"/>
      <c r="AJ225" s="6"/>
      <c r="AK225" s="6"/>
      <c r="AL225" s="6"/>
    </row>
    <row r="226" spans="1:38">
      <c r="A226" s="96">
        <f ca="1">IFERROR(__xludf.DUMMYFUNCTION("""COMPUTED_VALUE"""),44231)</f>
        <v>44231</v>
      </c>
      <c r="B226" s="6" t="str">
        <f ca="1">IFERROR(__xludf.DUMMYFUNCTION("""COMPUTED_VALUE"""),"Nishank Goel")</f>
        <v>Nishank Goel</v>
      </c>
      <c r="C226" s="6" t="str">
        <f ca="1">IFERROR(__xludf.DUMMYFUNCTION("""COMPUTED_VALUE"""),"nishankgoel@yahoo.co.in")</f>
        <v>nishankgoel@yahoo.co.in</v>
      </c>
      <c r="D226" s="6">
        <f ca="1">IFERROR(__xludf.DUMMYFUNCTION("""COMPUTED_VALUE"""),9910007218)</f>
        <v>9910007218</v>
      </c>
      <c r="E226" s="6" t="str">
        <f ca="1">IFERROR(__xludf.DUMMYFUNCTION("""COMPUTED_VALUE"""),"Reference")</f>
        <v>Reference</v>
      </c>
      <c r="F226" s="6" t="str">
        <f ca="1">IFERROR(__xludf.DUMMYFUNCTION("""COMPUTED_VALUE"""),"CSM")</f>
        <v>CSM</v>
      </c>
      <c r="G226" s="80">
        <f ca="1">IFERROR(__xludf.DUMMYFUNCTION("""COMPUTED_VALUE"""),44228)</f>
        <v>44228</v>
      </c>
      <c r="H226" s="6" t="str">
        <f ca="1">IFERROR(__xludf.DUMMYFUNCTION("""COMPUTED_VALUE"""),"Opportunity")</f>
        <v>Opportunity</v>
      </c>
      <c r="I226" s="6" t="str">
        <f ca="1">IFERROR(__xludf.DUMMYFUNCTION("""COMPUTED_VALUE"""),"DK")</f>
        <v>DK</v>
      </c>
      <c r="J226" s="6">
        <f ca="1">IFERROR(__xludf.DUMMYFUNCTION("""COMPUTED_VALUE"""),1)</f>
        <v>1</v>
      </c>
      <c r="K226" s="8">
        <f ca="1">IFERROR(__xludf.DUMMYFUNCTION("""COMPUTED_VALUE"""),20500)</f>
        <v>20500</v>
      </c>
      <c r="L226" s="8">
        <f ca="1">IFERROR(__xludf.DUMMYFUNCTION("""COMPUTED_VALUE"""),234.768666972056)</f>
        <v>234.768666972056</v>
      </c>
      <c r="M226" s="96"/>
      <c r="N226" s="6"/>
      <c r="O226" s="97"/>
      <c r="P226" s="6"/>
      <c r="Q226" s="6"/>
      <c r="R226" s="6"/>
      <c r="S226" s="6" t="str">
        <f ca="1">IFERROR(__xludf.DUMMYFUNCTION("""COMPUTED_VALUE"""),"Category")</f>
        <v>Category</v>
      </c>
      <c r="T226" s="6"/>
      <c r="U226" s="6"/>
      <c r="V226" s="6"/>
      <c r="W226" s="6"/>
      <c r="X226" s="6"/>
      <c r="Y226" s="6"/>
      <c r="Z226" s="6"/>
      <c r="AA226" s="6"/>
      <c r="AB226" s="6"/>
      <c r="AC226" s="6"/>
      <c r="AD226" s="6"/>
      <c r="AE226" s="6"/>
      <c r="AF226" s="6"/>
      <c r="AG226" s="6"/>
      <c r="AH226" s="6"/>
      <c r="AI226" s="6"/>
      <c r="AJ226" s="6"/>
      <c r="AK226" s="6"/>
      <c r="AL226" s="6"/>
    </row>
    <row r="227" spans="1:38">
      <c r="A227" s="96">
        <f ca="1">IFERROR(__xludf.DUMMYFUNCTION("""COMPUTED_VALUE"""),44204)</f>
        <v>44204</v>
      </c>
      <c r="B227" s="6" t="str">
        <f ca="1">IFERROR(__xludf.DUMMYFUNCTION("""COMPUTED_VALUE"""),"Sourav Saw")</f>
        <v>Sourav Saw</v>
      </c>
      <c r="C227" s="6" t="str">
        <f ca="1">IFERROR(__xludf.DUMMYFUNCTION("""COMPUTED_VALUE"""),"alanine121@gmail.com")</f>
        <v>alanine121@gmail.com</v>
      </c>
      <c r="D227" s="6">
        <f ca="1">IFERROR(__xludf.DUMMYFUNCTION("""COMPUTED_VALUE"""),8902251776)</f>
        <v>8902251776</v>
      </c>
      <c r="E227" s="6" t="str">
        <f ca="1">IFERROR(__xludf.DUMMYFUNCTION("""COMPUTED_VALUE"""),"Chat_triggered")</f>
        <v>Chat_triggered</v>
      </c>
      <c r="F227" s="6" t="str">
        <f ca="1">IFERROR(__xludf.DUMMYFUNCTION("""COMPUTED_VALUE"""),"CSM")</f>
        <v>CSM</v>
      </c>
      <c r="G227" s="80">
        <f ca="1">IFERROR(__xludf.DUMMYFUNCTION("""COMPUTED_VALUE"""),44228)</f>
        <v>44228</v>
      </c>
      <c r="H227" s="6" t="str">
        <f ca="1">IFERROR(__xludf.DUMMYFUNCTION("""COMPUTED_VALUE"""),"Won")</f>
        <v>Won</v>
      </c>
      <c r="I227" s="6" t="str">
        <f ca="1">IFERROR(__xludf.DUMMYFUNCTION("""COMPUTED_VALUE"""),"20-21 Feb 2021")</f>
        <v>20-21 Feb 2021</v>
      </c>
      <c r="J227" s="6">
        <f ca="1">IFERROR(__xludf.DUMMYFUNCTION("""COMPUTED_VALUE"""),1)</f>
        <v>1</v>
      </c>
      <c r="K227" s="8">
        <f ca="1">IFERROR(__xludf.DUMMYFUNCTION("""COMPUTED_VALUE"""),19000)</f>
        <v>19000</v>
      </c>
      <c r="L227" s="8">
        <f ca="1">IFERROR(__xludf.DUMMYFUNCTION("""COMPUTED_VALUE"""),217.590471827759)</f>
        <v>217.59047182775899</v>
      </c>
      <c r="M227" s="96">
        <f ca="1">IFERROR(__xludf.DUMMYFUNCTION("""COMPUTED_VALUE"""),44206)</f>
        <v>44206</v>
      </c>
      <c r="N227" s="6" t="str">
        <f ca="1">IFERROR(__xludf.DUMMYFUNCTION("""COMPUTED_VALUE"""),"W2")</f>
        <v>W2</v>
      </c>
      <c r="O227" s="97">
        <f ca="1">IFERROR(__xludf.DUMMYFUNCTION("""COMPUTED_VALUE"""),44236)</f>
        <v>44236</v>
      </c>
      <c r="P227" s="6" t="str">
        <f ca="1">IFERROR(__xludf.DUMMYFUNCTION("""COMPUTED_VALUE"""),"CSTM_HR27ZLIS3WV")</f>
        <v>CSTM_HR27ZLIS3WV</v>
      </c>
      <c r="Q227" s="6"/>
      <c r="R227" s="6" t="str">
        <f ca="1">IFERROR(__xludf.DUMMYFUNCTION("""COMPUTED_VALUE"""),"Pending")</f>
        <v>Pending</v>
      </c>
      <c r="S227" s="6" t="str">
        <f ca="1">IFERROR(__xludf.DUMMYFUNCTION("""COMPUTED_VALUE"""),"Category")</f>
        <v>Category</v>
      </c>
      <c r="T227" s="6"/>
      <c r="U227" s="6"/>
      <c r="V227" s="6"/>
      <c r="W227" s="6"/>
      <c r="X227" s="6"/>
      <c r="Y227" s="6"/>
      <c r="Z227" s="6"/>
      <c r="AA227" s="6"/>
      <c r="AB227" s="6"/>
      <c r="AC227" s="6"/>
      <c r="AD227" s="6"/>
      <c r="AE227" s="6"/>
      <c r="AF227" s="6"/>
      <c r="AG227" s="6"/>
      <c r="AH227" s="6"/>
      <c r="AI227" s="6"/>
      <c r="AJ227" s="6"/>
      <c r="AK227" s="6"/>
      <c r="AL227" s="6"/>
    </row>
    <row r="228" spans="1:38">
      <c r="A228" s="96">
        <f ca="1">IFERROR(__xludf.DUMMYFUNCTION("""COMPUTED_VALUE"""),44233)</f>
        <v>44233</v>
      </c>
      <c r="B228" s="6" t="str">
        <f ca="1">IFERROR(__xludf.DUMMYFUNCTION("""COMPUTED_VALUE"""),"Varsha Naik")</f>
        <v>Varsha Naik</v>
      </c>
      <c r="C228" s="6" t="str">
        <f ca="1">IFERROR(__xludf.DUMMYFUNCTION("""COMPUTED_VALUE"""),"varshanaik1991@gmail.com")</f>
        <v>varshanaik1991@gmail.com</v>
      </c>
      <c r="D228" s="6">
        <f ca="1">IFERROR(__xludf.DUMMYFUNCTION("""COMPUTED_VALUE"""),8139933505)</f>
        <v>8139933505</v>
      </c>
      <c r="E228" s="6" t="str">
        <f ca="1">IFERROR(__xludf.DUMMYFUNCTION("""COMPUTED_VALUE"""),"Chat_triggered")</f>
        <v>Chat_triggered</v>
      </c>
      <c r="F228" s="6" t="str">
        <f ca="1">IFERROR(__xludf.DUMMYFUNCTION("""COMPUTED_VALUE"""),"ASM")</f>
        <v>ASM</v>
      </c>
      <c r="G228" s="80">
        <f ca="1">IFERROR(__xludf.DUMMYFUNCTION("""COMPUTED_VALUE"""),44228)</f>
        <v>44228</v>
      </c>
      <c r="H228" s="6" t="str">
        <f ca="1">IFERROR(__xludf.DUMMYFUNCTION("""COMPUTED_VALUE"""),"Won")</f>
        <v>Won</v>
      </c>
      <c r="I228" s="6" t="str">
        <f ca="1">IFERROR(__xludf.DUMMYFUNCTION("""COMPUTED_VALUE"""),"20 Feb 2021")</f>
        <v>20 Feb 2021</v>
      </c>
      <c r="J228" s="6">
        <f ca="1">IFERROR(__xludf.DUMMYFUNCTION("""COMPUTED_VALUE"""),1)</f>
        <v>1</v>
      </c>
      <c r="K228" s="8">
        <f ca="1">IFERROR(__xludf.DUMMYFUNCTION("""COMPUTED_VALUE"""),22500)</f>
        <v>22500</v>
      </c>
      <c r="L228" s="8">
        <f ca="1">IFERROR(__xludf.DUMMYFUNCTION("""COMPUTED_VALUE"""),257.672927164452)</f>
        <v>257.67292716445201</v>
      </c>
      <c r="M228" s="96">
        <f ca="1">IFERROR(__xludf.DUMMYFUNCTION("""COMPUTED_VALUE"""),44233)</f>
        <v>44233</v>
      </c>
      <c r="N228" s="6" t="str">
        <f ca="1">IFERROR(__xludf.DUMMYFUNCTION("""COMPUTED_VALUE"""),"W2")</f>
        <v>W2</v>
      </c>
      <c r="O228" s="97">
        <f ca="1">IFERROR(__xludf.DUMMYFUNCTION("""COMPUTED_VALUE"""),44237)</f>
        <v>44237</v>
      </c>
      <c r="P228" s="6" t="str">
        <f ca="1">IFERROR(__xludf.DUMMYFUNCTION("""COMPUTED_VALUE"""),"CSTM_43AV2KLX48R")</f>
        <v>CSTM_43AV2KLX48R</v>
      </c>
      <c r="Q228" s="6"/>
      <c r="R228" s="6" t="str">
        <f ca="1">IFERROR(__xludf.DUMMYFUNCTION("""COMPUTED_VALUE"""),"Pending")</f>
        <v>Pending</v>
      </c>
      <c r="S228" s="6" t="str">
        <f ca="1">IFERROR(__xludf.DUMMYFUNCTION("""COMPUTED_VALUE"""),"NonCategory")</f>
        <v>NonCategory</v>
      </c>
      <c r="T228" s="6"/>
      <c r="U228" s="6"/>
      <c r="V228" s="6"/>
      <c r="W228" s="6"/>
      <c r="X228" s="6"/>
      <c r="Y228" s="6"/>
      <c r="Z228" s="6"/>
      <c r="AA228" s="6"/>
      <c r="AB228" s="6"/>
      <c r="AC228" s="6"/>
      <c r="AD228" s="6"/>
      <c r="AE228" s="6"/>
      <c r="AF228" s="6"/>
      <c r="AG228" s="6"/>
      <c r="AH228" s="6"/>
      <c r="AI228" s="6"/>
      <c r="AJ228" s="6"/>
      <c r="AK228" s="6"/>
      <c r="AL228" s="6"/>
    </row>
    <row r="229" spans="1:38">
      <c r="A229" s="96">
        <f ca="1">IFERROR(__xludf.DUMMYFUNCTION("""COMPUTED_VALUE"""),44232)</f>
        <v>44232</v>
      </c>
      <c r="B229" s="6" t="str">
        <f ca="1">IFERROR(__xludf.DUMMYFUNCTION("""COMPUTED_VALUE"""),"Praval Srivastava")</f>
        <v>Praval Srivastava</v>
      </c>
      <c r="C229" s="6" t="str">
        <f ca="1">IFERROR(__xludf.DUMMYFUNCTION("""COMPUTED_VALUE"""),"praval.srivastava@gmail.com")</f>
        <v>praval.srivastava@gmail.com</v>
      </c>
      <c r="D229" s="6">
        <f ca="1">IFERROR(__xludf.DUMMYFUNCTION("""COMPUTED_VALUE"""),7829446499)</f>
        <v>7829446499</v>
      </c>
      <c r="E229" s="6" t="str">
        <f ca="1">IFERROR(__xludf.DUMMYFUNCTION("""COMPUTED_VALUE"""),"chat_initiated")</f>
        <v>chat_initiated</v>
      </c>
      <c r="F229" s="6" t="str">
        <f ca="1">IFERROR(__xludf.DUMMYFUNCTION("""COMPUTED_VALUE"""),"CSPO")</f>
        <v>CSPO</v>
      </c>
      <c r="G229" s="80">
        <f ca="1">IFERROR(__xludf.DUMMYFUNCTION("""COMPUTED_VALUE"""),44228)</f>
        <v>44228</v>
      </c>
      <c r="H229" s="6" t="str">
        <f ca="1">IFERROR(__xludf.DUMMYFUNCTION("""COMPUTED_VALUE"""),"Lost")</f>
        <v>Lost</v>
      </c>
      <c r="I229" s="6" t="str">
        <f ca="1">IFERROR(__xludf.DUMMYFUNCTION("""COMPUTED_VALUE"""),"13-14 Feb 2021")</f>
        <v>13-14 Feb 2021</v>
      </c>
      <c r="J229" s="6">
        <f ca="1">IFERROR(__xludf.DUMMYFUNCTION("""COMPUTED_VALUE"""),1)</f>
        <v>1</v>
      </c>
      <c r="K229" s="8">
        <f ca="1">IFERROR(__xludf.DUMMYFUNCTION("""COMPUTED_VALUE"""),20500)</f>
        <v>20500</v>
      </c>
      <c r="L229" s="8">
        <f ca="1">IFERROR(__xludf.DUMMYFUNCTION("""COMPUTED_VALUE"""),234.768666972056)</f>
        <v>234.768666972056</v>
      </c>
      <c r="M229" s="96">
        <f ca="1">IFERROR(__xludf.DUMMYFUNCTION("""COMPUTED_VALUE"""),44232)</f>
        <v>44232</v>
      </c>
      <c r="N229" s="6"/>
      <c r="O229" s="97"/>
      <c r="P229" s="6"/>
      <c r="Q229" s="6" t="str">
        <f ca="1">IFERROR(__xludf.DUMMYFUNCTION("""COMPUTED_VALUE"""),"Pricing issue.")</f>
        <v>Pricing issue.</v>
      </c>
      <c r="R229" s="6"/>
      <c r="S229" s="6" t="str">
        <f ca="1">IFERROR(__xludf.DUMMYFUNCTION("""COMPUTED_VALUE"""),"Category")</f>
        <v>Category</v>
      </c>
      <c r="T229" s="6"/>
      <c r="U229" s="6"/>
      <c r="V229" s="6"/>
      <c r="W229" s="6"/>
      <c r="X229" s="6"/>
      <c r="Y229" s="6"/>
      <c r="Z229" s="6"/>
      <c r="AA229" s="6"/>
      <c r="AB229" s="6"/>
      <c r="AC229" s="6"/>
      <c r="AD229" s="6"/>
      <c r="AE229" s="6"/>
      <c r="AF229" s="6"/>
      <c r="AG229" s="6"/>
      <c r="AH229" s="6"/>
      <c r="AI229" s="6"/>
      <c r="AJ229" s="6"/>
      <c r="AK229" s="6"/>
      <c r="AL229" s="6"/>
    </row>
    <row r="230" spans="1:38">
      <c r="A230" s="96">
        <f ca="1">IFERROR(__xludf.DUMMYFUNCTION("""COMPUTED_VALUE"""),44237)</f>
        <v>44237</v>
      </c>
      <c r="B230" s="6" t="str">
        <f ca="1">IFERROR(__xludf.DUMMYFUNCTION("""COMPUTED_VALUE"""),"Ambat Vipin")</f>
        <v>Ambat Vipin</v>
      </c>
      <c r="C230" s="6" t="str">
        <f ca="1">IFERROR(__xludf.DUMMYFUNCTION("""COMPUTED_VALUE"""),"ambat.vipu@gmail.com")</f>
        <v>ambat.vipu@gmail.com</v>
      </c>
      <c r="D230" s="6">
        <f ca="1">IFERROR(__xludf.DUMMYFUNCTION("""COMPUTED_VALUE"""),9176397180)</f>
        <v>9176397180</v>
      </c>
      <c r="E230" s="6" t="str">
        <f ca="1">IFERROR(__xludf.DUMMYFUNCTION("""COMPUTED_VALUE"""),"Chat_triggered")</f>
        <v>Chat_triggered</v>
      </c>
      <c r="F230" s="6" t="str">
        <f ca="1">IFERROR(__xludf.DUMMYFUNCTION("""COMPUTED_VALUE"""),"ASM")</f>
        <v>ASM</v>
      </c>
      <c r="G230" s="80">
        <f ca="1">IFERROR(__xludf.DUMMYFUNCTION("""COMPUTED_VALUE"""),44228)</f>
        <v>44228</v>
      </c>
      <c r="H230" s="6" t="str">
        <f ca="1">IFERROR(__xludf.DUMMYFUNCTION("""COMPUTED_VALUE"""),"Won")</f>
        <v>Won</v>
      </c>
      <c r="I230" s="6" t="str">
        <f ca="1">IFERROR(__xludf.DUMMYFUNCTION("""COMPUTED_VALUE"""),"6 March 2021")</f>
        <v>6 March 2021</v>
      </c>
      <c r="J230" s="6">
        <f ca="1">IFERROR(__xludf.DUMMYFUNCTION("""COMPUTED_VALUE"""),1)</f>
        <v>1</v>
      </c>
      <c r="K230" s="8">
        <f ca="1">IFERROR(__xludf.DUMMYFUNCTION("""COMPUTED_VALUE"""),22500)</f>
        <v>22500</v>
      </c>
      <c r="L230" s="8">
        <f ca="1">IFERROR(__xludf.DUMMYFUNCTION("""COMPUTED_VALUE"""),257.672927164452)</f>
        <v>257.67292716445201</v>
      </c>
      <c r="M230" s="96">
        <f ca="1">IFERROR(__xludf.DUMMYFUNCTION("""COMPUTED_VALUE"""),44237)</f>
        <v>44237</v>
      </c>
      <c r="N230" s="6" t="str">
        <f ca="1">IFERROR(__xludf.DUMMYFUNCTION("""COMPUTED_VALUE"""),"W2")</f>
        <v>W2</v>
      </c>
      <c r="O230" s="97">
        <f ca="1">IFERROR(__xludf.DUMMYFUNCTION("""COMPUTED_VALUE"""),44237)</f>
        <v>44237</v>
      </c>
      <c r="P230" s="6" t="str">
        <f ca="1">IFERROR(__xludf.DUMMYFUNCTION("""COMPUTED_VALUE"""),"CSTM_6EJ7VZH4RSR")</f>
        <v>CSTM_6EJ7VZH4RSR</v>
      </c>
      <c r="Q230" s="6"/>
      <c r="R230" s="6" t="str">
        <f ca="1">IFERROR(__xludf.DUMMYFUNCTION("""COMPUTED_VALUE"""),"Pending")</f>
        <v>Pending</v>
      </c>
      <c r="S230" s="6" t="str">
        <f ca="1">IFERROR(__xludf.DUMMYFUNCTION("""COMPUTED_VALUE"""),"NonCategory")</f>
        <v>NonCategory</v>
      </c>
      <c r="T230" s="6"/>
      <c r="U230" s="6"/>
      <c r="V230" s="6"/>
      <c r="W230" s="6"/>
      <c r="X230" s="6"/>
      <c r="Y230" s="6"/>
      <c r="Z230" s="6"/>
      <c r="AA230" s="6"/>
      <c r="AB230" s="6"/>
      <c r="AC230" s="6"/>
      <c r="AD230" s="6"/>
      <c r="AE230" s="6"/>
      <c r="AF230" s="6"/>
      <c r="AG230" s="6"/>
      <c r="AH230" s="6"/>
      <c r="AI230" s="6"/>
      <c r="AJ230" s="6"/>
      <c r="AK230" s="6"/>
      <c r="AL230" s="6"/>
    </row>
    <row r="231" spans="1:38">
      <c r="A231" s="96">
        <f ca="1">IFERROR(__xludf.DUMMYFUNCTION("""COMPUTED_VALUE"""),44239)</f>
        <v>44239</v>
      </c>
      <c r="B231" s="6" t="str">
        <f ca="1">IFERROR(__xludf.DUMMYFUNCTION("""COMPUTED_VALUE"""),"Surender Rana")</f>
        <v>Surender Rana</v>
      </c>
      <c r="C231" s="6" t="str">
        <f ca="1">IFERROR(__xludf.DUMMYFUNCTION("""COMPUTED_VALUE"""),"surender_rana2002@yahoo.com")</f>
        <v>surender_rana2002@yahoo.com</v>
      </c>
      <c r="D231" s="6">
        <f ca="1">IFERROR(__xludf.DUMMYFUNCTION("""COMPUTED_VALUE"""),9870114573)</f>
        <v>9870114573</v>
      </c>
      <c r="E231" s="6" t="str">
        <f ca="1">IFERROR(__xludf.DUMMYFUNCTION("""COMPUTED_VALUE"""),"Account-Repeat")</f>
        <v>Account-Repeat</v>
      </c>
      <c r="F231" s="6" t="str">
        <f ca="1">IFERROR(__xludf.DUMMYFUNCTION("""COMPUTED_VALUE"""),"P2 Practitioner")</f>
        <v>P2 Practitioner</v>
      </c>
      <c r="G231" s="80">
        <f ca="1">IFERROR(__xludf.DUMMYFUNCTION("""COMPUTED_VALUE"""),44228)</f>
        <v>44228</v>
      </c>
      <c r="H231" s="6" t="str">
        <f ca="1">IFERROR(__xludf.DUMMYFUNCTION("""COMPUTED_VALUE"""),"Won")</f>
        <v>Won</v>
      </c>
      <c r="I231" s="6" t="str">
        <f ca="1">IFERROR(__xludf.DUMMYFUNCTION("""COMPUTED_VALUE"""),"OSL")</f>
        <v>OSL</v>
      </c>
      <c r="J231" s="6">
        <f ca="1">IFERROR(__xludf.DUMMYFUNCTION("""COMPUTED_VALUE"""),1)</f>
        <v>1</v>
      </c>
      <c r="K231" s="8">
        <f ca="1">IFERROR(__xludf.DUMMYFUNCTION("""COMPUTED_VALUE"""),26000)</f>
        <v>26000</v>
      </c>
      <c r="L231" s="8">
        <f ca="1">IFERROR(__xludf.DUMMYFUNCTION("""COMPUTED_VALUE"""),297.755382501145)</f>
        <v>297.75538250114499</v>
      </c>
      <c r="M231" s="96">
        <f ca="1">IFERROR(__xludf.DUMMYFUNCTION("""COMPUTED_VALUE"""),44239)</f>
        <v>44239</v>
      </c>
      <c r="N231" s="6" t="str">
        <f ca="1">IFERROR(__xludf.DUMMYFUNCTION("""COMPUTED_VALUE"""),"W2")</f>
        <v>W2</v>
      </c>
      <c r="O231" s="97">
        <f ca="1">IFERROR(__xludf.DUMMYFUNCTION("""COMPUTED_VALUE"""),44239)</f>
        <v>44239</v>
      </c>
      <c r="P231" s="6" t="str">
        <f ca="1">IFERROR(__xludf.DUMMYFUNCTION("""COMPUTED_VALUE"""),"CSTM_J6YNMK2O2LI")</f>
        <v>CSTM_J6YNMK2O2LI</v>
      </c>
      <c r="Q231" s="6"/>
      <c r="R231" s="6" t="str">
        <f ca="1">IFERROR(__xludf.DUMMYFUNCTION("""COMPUTED_VALUE"""),"Pending")</f>
        <v>Pending</v>
      </c>
      <c r="S231" s="6" t="str">
        <f ca="1">IFERROR(__xludf.DUMMYFUNCTION("""COMPUTED_VALUE"""),"NonCategory")</f>
        <v>NonCategory</v>
      </c>
      <c r="T231" s="6"/>
      <c r="U231" s="6"/>
      <c r="V231" s="6"/>
      <c r="W231" s="6"/>
      <c r="X231" s="6"/>
      <c r="Y231" s="6"/>
      <c r="Z231" s="6"/>
      <c r="AA231" s="6"/>
      <c r="AB231" s="6"/>
      <c r="AC231" s="6"/>
      <c r="AD231" s="6"/>
      <c r="AE231" s="6"/>
      <c r="AF231" s="6"/>
      <c r="AG231" s="6"/>
      <c r="AH231" s="6"/>
      <c r="AI231" s="6"/>
      <c r="AJ231" s="6"/>
      <c r="AK231" s="6"/>
      <c r="AL231" s="6"/>
    </row>
    <row r="232" spans="1:38">
      <c r="A232" s="96">
        <f ca="1">IFERROR(__xludf.DUMMYFUNCTION("""COMPUTED_VALUE"""),44235)</f>
        <v>44235</v>
      </c>
      <c r="B232" s="6" t="str">
        <f ca="1">IFERROR(__xludf.DUMMYFUNCTION("""COMPUTED_VALUE"""),"Garvit Pahwa")</f>
        <v>Garvit Pahwa</v>
      </c>
      <c r="C232" s="6" t="str">
        <f ca="1">IFERROR(__xludf.DUMMYFUNCTION("""COMPUTED_VALUE"""),"pahwa.garvit@gmail.com")</f>
        <v>pahwa.garvit@gmail.com</v>
      </c>
      <c r="D232" s="6">
        <f ca="1">IFERROR(__xludf.DUMMYFUNCTION("""COMPUTED_VALUE"""),9711805554)</f>
        <v>9711805554</v>
      </c>
      <c r="E232" s="6" t="str">
        <f ca="1">IFERROR(__xludf.DUMMYFUNCTION("""COMPUTED_VALUE"""),"Reference")</f>
        <v>Reference</v>
      </c>
      <c r="F232" s="6" t="str">
        <f ca="1">IFERROR(__xludf.DUMMYFUNCTION("""COMPUTED_VALUE"""),"CSM")</f>
        <v>CSM</v>
      </c>
      <c r="G232" s="80">
        <f ca="1">IFERROR(__xludf.DUMMYFUNCTION("""COMPUTED_VALUE"""),44228)</f>
        <v>44228</v>
      </c>
      <c r="H232" s="6" t="str">
        <f ca="1">IFERROR(__xludf.DUMMYFUNCTION("""COMPUTED_VALUE"""),"Opportunity")</f>
        <v>Opportunity</v>
      </c>
      <c r="I232" s="6" t="str">
        <f ca="1">IFERROR(__xludf.DUMMYFUNCTION("""COMPUTED_VALUE"""),"20-21 Feb 2021")</f>
        <v>20-21 Feb 2021</v>
      </c>
      <c r="J232" s="6">
        <f ca="1">IFERROR(__xludf.DUMMYFUNCTION("""COMPUTED_VALUE"""),1)</f>
        <v>1</v>
      </c>
      <c r="K232" s="8">
        <f ca="1">IFERROR(__xludf.DUMMYFUNCTION("""COMPUTED_VALUE"""),20000)</f>
        <v>20000</v>
      </c>
      <c r="L232" s="8">
        <f ca="1">IFERROR(__xludf.DUMMYFUNCTION("""COMPUTED_VALUE"""),229.042601923957)</f>
        <v>229.04260192395699</v>
      </c>
      <c r="M232" s="96">
        <f ca="1">IFERROR(__xludf.DUMMYFUNCTION("""COMPUTED_VALUE"""),44240)</f>
        <v>44240</v>
      </c>
      <c r="N232" s="6"/>
      <c r="O232" s="97"/>
      <c r="P232" s="6"/>
      <c r="Q232" s="6" t="str">
        <f ca="1">IFERROR(__xludf.DUMMYFUNCTION("""COMPUTED_VALUE"""),"Reference by Abhishek Arora")</f>
        <v>Reference by Abhishek Arora</v>
      </c>
      <c r="R232" s="6"/>
      <c r="S232" s="6" t="str">
        <f ca="1">IFERROR(__xludf.DUMMYFUNCTION("""COMPUTED_VALUE"""),"Category")</f>
        <v>Category</v>
      </c>
      <c r="T232" s="6"/>
      <c r="U232" s="6"/>
      <c r="V232" s="6"/>
      <c r="W232" s="6"/>
      <c r="X232" s="6"/>
      <c r="Y232" s="6"/>
      <c r="Z232" s="6"/>
      <c r="AA232" s="6"/>
      <c r="AB232" s="6"/>
      <c r="AC232" s="6"/>
      <c r="AD232" s="6"/>
      <c r="AE232" s="6"/>
      <c r="AF232" s="6"/>
      <c r="AG232" s="6"/>
      <c r="AH232" s="6"/>
      <c r="AI232" s="6"/>
      <c r="AJ232" s="6"/>
      <c r="AK232" s="6"/>
      <c r="AL232" s="6"/>
    </row>
    <row r="233" spans="1:38">
      <c r="A233" s="96">
        <f ca="1">IFERROR(__xludf.DUMMYFUNCTION("""COMPUTED_VALUE"""),44236)</f>
        <v>44236</v>
      </c>
      <c r="B233" s="6" t="str">
        <f ca="1">IFERROR(__xludf.DUMMYFUNCTION("""COMPUTED_VALUE"""),"Naresh Para")</f>
        <v>Naresh Para</v>
      </c>
      <c r="C233" s="6" t="str">
        <f ca="1">IFERROR(__xludf.DUMMYFUNCTION("""COMPUTED_VALUE"""),"nareshpara23@gmail.com")</f>
        <v>nareshpara23@gmail.com</v>
      </c>
      <c r="D233" s="6">
        <f ca="1">IFERROR(__xludf.DUMMYFUNCTION("""COMPUTED_VALUE"""),9059048784)</f>
        <v>9059048784</v>
      </c>
      <c r="E233" s="6" t="str">
        <f ca="1">IFERROR(__xludf.DUMMYFUNCTION("""COMPUTED_VALUE"""),"Chat_triggered")</f>
        <v>Chat_triggered</v>
      </c>
      <c r="F233" s="6" t="str">
        <f ca="1">IFERROR(__xludf.DUMMYFUNCTION("""COMPUTED_VALUE"""),"SAFe Agile")</f>
        <v>SAFe Agile</v>
      </c>
      <c r="G233" s="80">
        <f ca="1">IFERROR(__xludf.DUMMYFUNCTION("""COMPUTED_VALUE"""),44228)</f>
        <v>44228</v>
      </c>
      <c r="H233" s="6" t="str">
        <f ca="1">IFERROR(__xludf.DUMMYFUNCTION("""COMPUTED_VALUE"""),"Opportunity")</f>
        <v>Opportunity</v>
      </c>
      <c r="I233" s="6" t="str">
        <f ca="1">IFERROR(__xludf.DUMMYFUNCTION("""COMPUTED_VALUE"""),"20-21 Feb 2021")</f>
        <v>20-21 Feb 2021</v>
      </c>
      <c r="J233" s="6">
        <f ca="1">IFERROR(__xludf.DUMMYFUNCTION("""COMPUTED_VALUE"""),1)</f>
        <v>1</v>
      </c>
      <c r="K233" s="8">
        <f ca="1">IFERROR(__xludf.DUMMYFUNCTION("""COMPUTED_VALUE"""),531000)</f>
        <v>531000</v>
      </c>
      <c r="L233" s="8">
        <f ca="1">IFERROR(__xludf.DUMMYFUNCTION("""COMPUTED_VALUE"""),6081.08108108108)</f>
        <v>6081.0810810810799</v>
      </c>
      <c r="M233" s="96">
        <f ca="1">IFERROR(__xludf.DUMMYFUNCTION("""COMPUTED_VALUE"""),44238)</f>
        <v>44238</v>
      </c>
      <c r="N233" s="6"/>
      <c r="O233" s="97"/>
      <c r="P233" s="6"/>
      <c r="Q233" s="6"/>
      <c r="R233" s="6"/>
      <c r="S233" s="6" t="str">
        <f ca="1">IFERROR(__xludf.DUMMYFUNCTION("""COMPUTED_VALUE"""),"SAFe")</f>
        <v>SAFe</v>
      </c>
      <c r="T233" s="6"/>
      <c r="U233" s="6"/>
      <c r="V233" s="6"/>
      <c r="W233" s="6"/>
      <c r="X233" s="6"/>
      <c r="Y233" s="6"/>
      <c r="Z233" s="6"/>
      <c r="AA233" s="6"/>
      <c r="AB233" s="6"/>
      <c r="AC233" s="6"/>
      <c r="AD233" s="6"/>
      <c r="AE233" s="6"/>
      <c r="AF233" s="6"/>
      <c r="AG233" s="6"/>
      <c r="AH233" s="6"/>
      <c r="AI233" s="6"/>
      <c r="AJ233" s="6"/>
      <c r="AK233" s="6"/>
      <c r="AL233" s="6"/>
    </row>
    <row r="234" spans="1:38">
      <c r="A234" s="96">
        <f ca="1">IFERROR(__xludf.DUMMYFUNCTION("""COMPUTED_VALUE"""),44239)</f>
        <v>44239</v>
      </c>
      <c r="B234" s="6" t="str">
        <f ca="1">IFERROR(__xludf.DUMMYFUNCTION("""COMPUTED_VALUE"""),"Aditya")</f>
        <v>Aditya</v>
      </c>
      <c r="C234" s="6" t="str">
        <f ca="1">IFERROR(__xludf.DUMMYFUNCTION("""COMPUTED_VALUE"""),"adi123tya@gmail.com")</f>
        <v>adi123tya@gmail.com</v>
      </c>
      <c r="D234" s="6">
        <f ca="1">IFERROR(__xludf.DUMMYFUNCTION("""COMPUTED_VALUE"""),9955333998)</f>
        <v>9955333998</v>
      </c>
      <c r="E234" s="6" t="str">
        <f ca="1">IFERROR(__xludf.DUMMYFUNCTION("""COMPUTED_VALUE"""),"Chat_triggered")</f>
        <v>Chat_triggered</v>
      </c>
      <c r="F234" s="6" t="str">
        <f ca="1">IFERROR(__xludf.DUMMYFUNCTION("""COMPUTED_VALUE"""),"PMP Plus")</f>
        <v>PMP Plus</v>
      </c>
      <c r="G234" s="80">
        <f ca="1">IFERROR(__xludf.DUMMYFUNCTION("""COMPUTED_VALUE"""),44228)</f>
        <v>44228</v>
      </c>
      <c r="H234" s="6" t="str">
        <f ca="1">IFERROR(__xludf.DUMMYFUNCTION("""COMPUTED_VALUE"""),"Won")</f>
        <v>Won</v>
      </c>
      <c r="I234" s="6" t="str">
        <f ca="1">IFERROR(__xludf.DUMMYFUNCTION("""COMPUTED_VALUE"""),"21 Feb 2021")</f>
        <v>21 Feb 2021</v>
      </c>
      <c r="J234" s="6">
        <f ca="1">IFERROR(__xludf.DUMMYFUNCTION("""COMPUTED_VALUE"""),1)</f>
        <v>1</v>
      </c>
      <c r="K234" s="8">
        <f ca="1">IFERROR(__xludf.DUMMYFUNCTION("""COMPUTED_VALUE"""),22418)</f>
        <v>22418</v>
      </c>
      <c r="L234" s="8">
        <f ca="1">IFERROR(__xludf.DUMMYFUNCTION("""COMPUTED_VALUE"""),256.733852496564)</f>
        <v>256.733852496564</v>
      </c>
      <c r="M234" s="96">
        <f ca="1">IFERROR(__xludf.DUMMYFUNCTION("""COMPUTED_VALUE"""),44239)</f>
        <v>44239</v>
      </c>
      <c r="N234" s="6" t="str">
        <f ca="1">IFERROR(__xludf.DUMMYFUNCTION("""COMPUTED_VALUE"""),"W1")</f>
        <v>W1</v>
      </c>
      <c r="O234" s="97">
        <f ca="1">IFERROR(__xludf.DUMMYFUNCTION("""COMPUTED_VALUE"""),44239)</f>
        <v>44239</v>
      </c>
      <c r="P234" s="6" t="str">
        <f ca="1">IFERROR(__xludf.DUMMYFUNCTION("""COMPUTED_VALUE"""),"SMPL_6NF767C5G5F")</f>
        <v>SMPL_6NF767C5G5F</v>
      </c>
      <c r="Q234" s="6"/>
      <c r="R234" s="6"/>
      <c r="S234" s="6" t="str">
        <f ca="1">IFERROR(__xludf.DUMMYFUNCTION("""COMPUTED_VALUE"""),"NonCategory")</f>
        <v>NonCategory</v>
      </c>
      <c r="T234" s="6"/>
      <c r="U234" s="6"/>
      <c r="V234" s="6"/>
      <c r="W234" s="6"/>
      <c r="X234" s="6"/>
      <c r="Y234" s="6"/>
      <c r="Z234" s="6"/>
      <c r="AA234" s="6"/>
      <c r="AB234" s="6"/>
      <c r="AC234" s="6"/>
      <c r="AD234" s="6"/>
      <c r="AE234" s="6"/>
      <c r="AF234" s="6"/>
      <c r="AG234" s="6"/>
      <c r="AH234" s="6"/>
      <c r="AI234" s="6"/>
      <c r="AJ234" s="6"/>
      <c r="AK234" s="6"/>
      <c r="AL234" s="6"/>
    </row>
    <row r="235" spans="1:38">
      <c r="A235" s="96">
        <f ca="1">IFERROR(__xludf.DUMMYFUNCTION("""COMPUTED_VALUE"""),44237)</f>
        <v>44237</v>
      </c>
      <c r="B235" s="6" t="str">
        <f ca="1">IFERROR(__xludf.DUMMYFUNCTION("""COMPUTED_VALUE"""),"Sukanya")</f>
        <v>Sukanya</v>
      </c>
      <c r="C235" s="6" t="str">
        <f ca="1">IFERROR(__xludf.DUMMYFUNCTION("""COMPUTED_VALUE"""),"sukanya.luna@gmail.com")</f>
        <v>sukanya.luna@gmail.com</v>
      </c>
      <c r="D235" s="6">
        <f ca="1">IFERROR(__xludf.DUMMYFUNCTION("""COMPUTED_VALUE"""),8902472621)</f>
        <v>8902472621</v>
      </c>
      <c r="E235" s="6" t="str">
        <f ca="1">IFERROR(__xludf.DUMMYFUNCTION("""COMPUTED_VALUE"""),"Reference")</f>
        <v>Reference</v>
      </c>
      <c r="F235" s="6" t="str">
        <f ca="1">IFERROR(__xludf.DUMMYFUNCTION("""COMPUTED_VALUE"""),"CSM")</f>
        <v>CSM</v>
      </c>
      <c r="G235" s="80">
        <f ca="1">IFERROR(__xludf.DUMMYFUNCTION("""COMPUTED_VALUE"""),44228)</f>
        <v>44228</v>
      </c>
      <c r="H235" s="6" t="str">
        <f ca="1">IFERROR(__xludf.DUMMYFUNCTION("""COMPUTED_VALUE"""),"Opportunity")</f>
        <v>Opportunity</v>
      </c>
      <c r="I235" s="6" t="str">
        <f ca="1">IFERROR(__xludf.DUMMYFUNCTION("""COMPUTED_VALUE"""),"27-28 Feb 2021")</f>
        <v>27-28 Feb 2021</v>
      </c>
      <c r="J235" s="6">
        <f ca="1">IFERROR(__xludf.DUMMYFUNCTION("""COMPUTED_VALUE"""),1)</f>
        <v>1</v>
      </c>
      <c r="K235" s="8">
        <f ca="1">IFERROR(__xludf.DUMMYFUNCTION("""COMPUTED_VALUE"""),20000)</f>
        <v>20000</v>
      </c>
      <c r="L235" s="8">
        <f ca="1">IFERROR(__xludf.DUMMYFUNCTION("""COMPUTED_VALUE"""),229.042601923957)</f>
        <v>229.04260192395699</v>
      </c>
      <c r="M235" s="96">
        <f ca="1">IFERROR(__xludf.DUMMYFUNCTION("""COMPUTED_VALUE"""),44242)</f>
        <v>44242</v>
      </c>
      <c r="N235" s="6"/>
      <c r="O235" s="97"/>
      <c r="P235" s="6"/>
      <c r="Q235" s="6"/>
      <c r="R235" s="6"/>
      <c r="S235" s="6" t="str">
        <f ca="1">IFERROR(__xludf.DUMMYFUNCTION("""COMPUTED_VALUE"""),"Category")</f>
        <v>Category</v>
      </c>
      <c r="T235" s="6"/>
      <c r="U235" s="6"/>
      <c r="V235" s="6"/>
      <c r="W235" s="6"/>
      <c r="X235" s="6"/>
      <c r="Y235" s="6"/>
      <c r="Z235" s="6"/>
      <c r="AA235" s="6"/>
      <c r="AB235" s="6"/>
      <c r="AC235" s="6"/>
      <c r="AD235" s="6"/>
      <c r="AE235" s="6"/>
      <c r="AF235" s="6"/>
      <c r="AG235" s="6"/>
      <c r="AH235" s="6"/>
      <c r="AI235" s="6"/>
      <c r="AJ235" s="6"/>
      <c r="AK235" s="6"/>
      <c r="AL235" s="6"/>
    </row>
    <row r="236" spans="1:38">
      <c r="A236" s="96">
        <f ca="1">IFERROR(__xludf.DUMMYFUNCTION("""COMPUTED_VALUE"""),44239)</f>
        <v>44239</v>
      </c>
      <c r="B236" s="6" t="str">
        <f ca="1">IFERROR(__xludf.DUMMYFUNCTION("""COMPUTED_VALUE"""),"Sagar Bhandari")</f>
        <v>Sagar Bhandari</v>
      </c>
      <c r="C236" s="6" t="str">
        <f ca="1">IFERROR(__xludf.DUMMYFUNCTION("""COMPUTED_VALUE"""),"sagarbhandari2011@yahoo.com")</f>
        <v>sagarbhandari2011@yahoo.com</v>
      </c>
      <c r="D236" s="6">
        <f ca="1">IFERROR(__xludf.DUMMYFUNCTION("""COMPUTED_VALUE"""),9855999724)</f>
        <v>9855999724</v>
      </c>
      <c r="E236" s="6" t="str">
        <f ca="1">IFERROR(__xludf.DUMMYFUNCTION("""COMPUTED_VALUE"""),"course agenda")</f>
        <v>course agenda</v>
      </c>
      <c r="F236" s="6" t="str">
        <f ca="1">IFERROR(__xludf.DUMMYFUNCTION("""COMPUTED_VALUE"""),"CSM")</f>
        <v>CSM</v>
      </c>
      <c r="G236" s="80">
        <f ca="1">IFERROR(__xludf.DUMMYFUNCTION("""COMPUTED_VALUE"""),44228)</f>
        <v>44228</v>
      </c>
      <c r="H236" s="6" t="str">
        <f ca="1">IFERROR(__xludf.DUMMYFUNCTION("""COMPUTED_VALUE"""),"Won")</f>
        <v>Won</v>
      </c>
      <c r="I236" s="6" t="str">
        <f ca="1">IFERROR(__xludf.DUMMYFUNCTION("""COMPUTED_VALUE"""),"20-21 Feb 2021")</f>
        <v>20-21 Feb 2021</v>
      </c>
      <c r="J236" s="6">
        <f ca="1">IFERROR(__xludf.DUMMYFUNCTION("""COMPUTED_VALUE"""),1)</f>
        <v>1</v>
      </c>
      <c r="K236" s="8">
        <f ca="1">IFERROR(__xludf.DUMMYFUNCTION("""COMPUTED_VALUE"""),21000)</f>
        <v>21000</v>
      </c>
      <c r="L236" s="8">
        <f ca="1">IFERROR(__xludf.DUMMYFUNCTION("""COMPUTED_VALUE"""),240.494732020155)</f>
        <v>240.494732020155</v>
      </c>
      <c r="M236" s="96">
        <f ca="1">IFERROR(__xludf.DUMMYFUNCTION("""COMPUTED_VALUE"""),44242)</f>
        <v>44242</v>
      </c>
      <c r="N236" s="6" t="str">
        <f ca="1">IFERROR(__xludf.DUMMYFUNCTION("""COMPUTED_VALUE"""),"W3")</f>
        <v>W3</v>
      </c>
      <c r="O236" s="97">
        <f ca="1">IFERROR(__xludf.DUMMYFUNCTION("""COMPUTED_VALUE"""),44243)</f>
        <v>44243</v>
      </c>
      <c r="P236" s="6" t="str">
        <f ca="1">IFERROR(__xludf.DUMMYFUNCTION("""COMPUTED_VALUE"""),"CSTM_4FXP2CZHR0P")</f>
        <v>CSTM_4FXP2CZHR0P</v>
      </c>
      <c r="Q236" s="6"/>
      <c r="R236" s="6" t="str">
        <f ca="1">IFERROR(__xludf.DUMMYFUNCTION("""COMPUTED_VALUE"""),"Pending")</f>
        <v>Pending</v>
      </c>
      <c r="S236" s="6" t="str">
        <f ca="1">IFERROR(__xludf.DUMMYFUNCTION("""COMPUTED_VALUE"""),"Category")</f>
        <v>Category</v>
      </c>
      <c r="T236" s="6"/>
      <c r="U236" s="6"/>
      <c r="V236" s="6"/>
      <c r="W236" s="6"/>
      <c r="X236" s="6"/>
      <c r="Y236" s="6"/>
      <c r="Z236" s="6"/>
      <c r="AA236" s="6"/>
      <c r="AB236" s="6"/>
      <c r="AC236" s="6"/>
      <c r="AD236" s="6"/>
      <c r="AE236" s="6"/>
      <c r="AF236" s="6"/>
      <c r="AG236" s="6"/>
      <c r="AH236" s="6"/>
      <c r="AI236" s="6"/>
      <c r="AJ236" s="6"/>
      <c r="AK236" s="6"/>
      <c r="AL236" s="6"/>
    </row>
    <row r="237" spans="1:38">
      <c r="A237" s="96">
        <f ca="1">IFERROR(__xludf.DUMMYFUNCTION("""COMPUTED_VALUE"""),44237)</f>
        <v>44237</v>
      </c>
      <c r="B237" s="6" t="str">
        <f ca="1">IFERROR(__xludf.DUMMYFUNCTION("""COMPUTED_VALUE"""),"Sanjay Gangurde")</f>
        <v>Sanjay Gangurde</v>
      </c>
      <c r="C237" s="6" t="str">
        <f ca="1">IFERROR(__xludf.DUMMYFUNCTION("""COMPUTED_VALUE"""),"sgangurde05@hotmail.com")</f>
        <v>sgangurde05@hotmail.com</v>
      </c>
      <c r="D237" s="6">
        <f ca="1">IFERROR(__xludf.DUMMYFUNCTION("""COMPUTED_VALUE"""),9029373278)</f>
        <v>9029373278</v>
      </c>
      <c r="E237" s="6" t="str">
        <f ca="1">IFERROR(__xludf.DUMMYFUNCTION("""COMPUTED_VALUE"""),"Chat_triggered")</f>
        <v>Chat_triggered</v>
      </c>
      <c r="F237" s="6" t="str">
        <f ca="1">IFERROR(__xludf.DUMMYFUNCTION("""COMPUTED_VALUE"""),"CSM")</f>
        <v>CSM</v>
      </c>
      <c r="G237" s="80">
        <f ca="1">IFERROR(__xludf.DUMMYFUNCTION("""COMPUTED_VALUE"""),44228)</f>
        <v>44228</v>
      </c>
      <c r="H237" s="6" t="str">
        <f ca="1">IFERROR(__xludf.DUMMYFUNCTION("""COMPUTED_VALUE"""),"Opportunity")</f>
        <v>Opportunity</v>
      </c>
      <c r="I237" s="6" t="str">
        <f ca="1">IFERROR(__xludf.DUMMYFUNCTION("""COMPUTED_VALUE"""),"20-21 Feb 2021")</f>
        <v>20-21 Feb 2021</v>
      </c>
      <c r="J237" s="6">
        <f ca="1">IFERROR(__xludf.DUMMYFUNCTION("""COMPUTED_VALUE"""),1)</f>
        <v>1</v>
      </c>
      <c r="K237" s="8">
        <f ca="1">IFERROR(__xludf.DUMMYFUNCTION("""COMPUTED_VALUE"""),20500)</f>
        <v>20500</v>
      </c>
      <c r="L237" s="8">
        <f ca="1">IFERROR(__xludf.DUMMYFUNCTION("""COMPUTED_VALUE"""),234.768666972056)</f>
        <v>234.768666972056</v>
      </c>
      <c r="M237" s="96">
        <f ca="1">IFERROR(__xludf.DUMMYFUNCTION("""COMPUTED_VALUE"""),44240)</f>
        <v>44240</v>
      </c>
      <c r="N237" s="6"/>
      <c r="O237" s="97"/>
      <c r="P237" s="6"/>
      <c r="Q237" s="6"/>
      <c r="R237" s="6"/>
      <c r="S237" s="6" t="str">
        <f ca="1">IFERROR(__xludf.DUMMYFUNCTION("""COMPUTED_VALUE"""),"Category")</f>
        <v>Category</v>
      </c>
      <c r="T237" s="6"/>
      <c r="U237" s="6"/>
      <c r="V237" s="6"/>
      <c r="W237" s="6"/>
      <c r="X237" s="6"/>
      <c r="Y237" s="6"/>
      <c r="Z237" s="6"/>
      <c r="AA237" s="6"/>
      <c r="AB237" s="6"/>
      <c r="AC237" s="6"/>
      <c r="AD237" s="6"/>
      <c r="AE237" s="6"/>
      <c r="AF237" s="6"/>
      <c r="AG237" s="6"/>
      <c r="AH237" s="6"/>
      <c r="AI237" s="6"/>
      <c r="AJ237" s="6"/>
      <c r="AK237" s="6"/>
      <c r="AL237" s="6"/>
    </row>
    <row r="238" spans="1:38">
      <c r="A238" s="96">
        <f ca="1">IFERROR(__xludf.DUMMYFUNCTION("""COMPUTED_VALUE"""),44238)</f>
        <v>44238</v>
      </c>
      <c r="B238" s="6" t="str">
        <f ca="1">IFERROR(__xludf.DUMMYFUNCTION("""COMPUTED_VALUE"""),"Shamini  Solomon")</f>
        <v>Shamini  Solomon</v>
      </c>
      <c r="C238" s="6" t="str">
        <f ca="1">IFERROR(__xludf.DUMMYFUNCTION("""COMPUTED_VALUE"""),"shaminisolomon@gmail.com")</f>
        <v>shaminisolomon@gmail.com</v>
      </c>
      <c r="D238" s="6">
        <f ca="1">IFERROR(__xludf.DUMMYFUNCTION("""COMPUTED_VALUE"""),7406570570)</f>
        <v>7406570570</v>
      </c>
      <c r="E238" s="6" t="str">
        <f ca="1">IFERROR(__xludf.DUMMYFUNCTION("""COMPUTED_VALUE"""),"Query box")</f>
        <v>Query box</v>
      </c>
      <c r="F238" s="6" t="str">
        <f ca="1">IFERROR(__xludf.DUMMYFUNCTION("""COMPUTED_VALUE"""),"PSM")</f>
        <v>PSM</v>
      </c>
      <c r="G238" s="80">
        <f ca="1">IFERROR(__xludf.DUMMYFUNCTION("""COMPUTED_VALUE"""),44228)</f>
        <v>44228</v>
      </c>
      <c r="H238" s="6" t="str">
        <f ca="1">IFERROR(__xludf.DUMMYFUNCTION("""COMPUTED_VALUE"""),"Opportunity")</f>
        <v>Opportunity</v>
      </c>
      <c r="I238" s="6" t="str">
        <f ca="1">IFERROR(__xludf.DUMMYFUNCTION("""COMPUTED_VALUE"""),"6-7 March 2021")</f>
        <v>6-7 March 2021</v>
      </c>
      <c r="J238" s="6">
        <f ca="1">IFERROR(__xludf.DUMMYFUNCTION("""COMPUTED_VALUE"""),1)</f>
        <v>1</v>
      </c>
      <c r="K238" s="8">
        <f ca="1">IFERROR(__xludf.DUMMYFUNCTION("""COMPUTED_VALUE"""),21000)</f>
        <v>21000</v>
      </c>
      <c r="L238" s="8">
        <f ca="1">IFERROR(__xludf.DUMMYFUNCTION("""COMPUTED_VALUE"""),240.494732020155)</f>
        <v>240.494732020155</v>
      </c>
      <c r="M238" s="96">
        <f ca="1">IFERROR(__xludf.DUMMYFUNCTION("""COMPUTED_VALUE"""),44254)</f>
        <v>44254</v>
      </c>
      <c r="N238" s="6"/>
      <c r="O238" s="97"/>
      <c r="P238" s="6"/>
      <c r="Q238" s="6"/>
      <c r="R238" s="6"/>
      <c r="S238" s="6" t="str">
        <f ca="1">IFERROR(__xludf.DUMMYFUNCTION("""COMPUTED_VALUE"""),"Category")</f>
        <v>Category</v>
      </c>
      <c r="T238" s="6"/>
      <c r="U238" s="6"/>
      <c r="V238" s="6"/>
      <c r="W238" s="6"/>
      <c r="X238" s="6"/>
      <c r="Y238" s="6"/>
      <c r="Z238" s="6"/>
      <c r="AA238" s="6"/>
      <c r="AB238" s="6"/>
      <c r="AC238" s="6"/>
      <c r="AD238" s="6"/>
      <c r="AE238" s="6"/>
      <c r="AF238" s="6"/>
      <c r="AG238" s="6"/>
      <c r="AH238" s="6"/>
      <c r="AI238" s="6"/>
      <c r="AJ238" s="6"/>
      <c r="AK238" s="6"/>
      <c r="AL238" s="6"/>
    </row>
    <row r="239" spans="1:38">
      <c r="A239" s="96">
        <f ca="1">IFERROR(__xludf.DUMMYFUNCTION("""COMPUTED_VALUE"""),44242)</f>
        <v>44242</v>
      </c>
      <c r="B239" s="6" t="str">
        <f ca="1">IFERROR(__xludf.DUMMYFUNCTION("""COMPUTED_VALUE"""),"Nikhil Doshi")</f>
        <v>Nikhil Doshi</v>
      </c>
      <c r="C239" s="6" t="str">
        <f ca="1">IFERROR(__xludf.DUMMYFUNCTION("""COMPUTED_VALUE"""),"nikhildoshi84@gmail.com")</f>
        <v>nikhildoshi84@gmail.com</v>
      </c>
      <c r="D239" s="6">
        <f ca="1">IFERROR(__xludf.DUMMYFUNCTION("""COMPUTED_VALUE"""),9152998013)</f>
        <v>9152998013</v>
      </c>
      <c r="E239" s="6" t="str">
        <f ca="1">IFERROR(__xludf.DUMMYFUNCTION("""COMPUTED_VALUE"""),"Reference")</f>
        <v>Reference</v>
      </c>
      <c r="F239" s="6" t="str">
        <f ca="1">IFERROR(__xludf.DUMMYFUNCTION("""COMPUTED_VALUE"""),"PSPO")</f>
        <v>PSPO</v>
      </c>
      <c r="G239" s="80">
        <f ca="1">IFERROR(__xludf.DUMMYFUNCTION("""COMPUTED_VALUE"""),44228)</f>
        <v>44228</v>
      </c>
      <c r="H239" s="6" t="str">
        <f ca="1">IFERROR(__xludf.DUMMYFUNCTION("""COMPUTED_VALUE"""),"Won")</f>
        <v>Won</v>
      </c>
      <c r="I239" s="6" t="str">
        <f ca="1">IFERROR(__xludf.DUMMYFUNCTION("""COMPUTED_VALUE"""),"20-21 Feb 2021")</f>
        <v>20-21 Feb 2021</v>
      </c>
      <c r="J239" s="6">
        <f ca="1">IFERROR(__xludf.DUMMYFUNCTION("""COMPUTED_VALUE"""),1)</f>
        <v>1</v>
      </c>
      <c r="K239" s="8">
        <f ca="1">IFERROR(__xludf.DUMMYFUNCTION("""COMPUTED_VALUE"""),20500)</f>
        <v>20500</v>
      </c>
      <c r="L239" s="8">
        <f ca="1">IFERROR(__xludf.DUMMYFUNCTION("""COMPUTED_VALUE"""),234.768666972056)</f>
        <v>234.768666972056</v>
      </c>
      <c r="M239" s="96">
        <f ca="1">IFERROR(__xludf.DUMMYFUNCTION("""COMPUTED_VALUE"""),44245)</f>
        <v>44245</v>
      </c>
      <c r="N239" s="6" t="str">
        <f ca="1">IFERROR(__xludf.DUMMYFUNCTION("""COMPUTED_VALUE"""),"W3")</f>
        <v>W3</v>
      </c>
      <c r="O239" s="97">
        <f ca="1">IFERROR(__xludf.DUMMYFUNCTION("""COMPUTED_VALUE"""),44243)</f>
        <v>44243</v>
      </c>
      <c r="P239" s="6" t="str">
        <f ca="1">IFERROR(__xludf.DUMMYFUNCTION("""COMPUTED_VALUE"""),"CSTM_J5ZKUS2W9JV")</f>
        <v>CSTM_J5ZKUS2W9JV</v>
      </c>
      <c r="Q239" s="6" t="str">
        <f ca="1">IFERROR(__xludf.DUMMYFUNCTION("""COMPUTED_VALUE"""),"Reference by Keerti keerti1895@gmail.com")</f>
        <v>Reference by Keerti keerti1895@gmail.com</v>
      </c>
      <c r="R239" s="6" t="str">
        <f ca="1">IFERROR(__xludf.DUMMYFUNCTION("""COMPUTED_VALUE"""),"Pending")</f>
        <v>Pending</v>
      </c>
      <c r="S239" s="6" t="str">
        <f ca="1">IFERROR(__xludf.DUMMYFUNCTION("""COMPUTED_VALUE"""),"Category")</f>
        <v>Category</v>
      </c>
      <c r="T239" s="6" t="str">
        <f ca="1">IFERROR(__xludf.DUMMYFUNCTION("""COMPUTED_VALUE"""),"Sent.")</f>
        <v>Sent.</v>
      </c>
      <c r="U239" s="6"/>
      <c r="V239" s="6"/>
      <c r="W239" s="6"/>
      <c r="X239" s="6"/>
      <c r="Y239" s="6"/>
      <c r="Z239" s="6"/>
      <c r="AA239" s="6"/>
      <c r="AB239" s="6"/>
      <c r="AC239" s="6"/>
      <c r="AD239" s="6"/>
      <c r="AE239" s="6"/>
      <c r="AF239" s="6"/>
      <c r="AG239" s="6"/>
      <c r="AH239" s="6"/>
      <c r="AI239" s="6"/>
      <c r="AJ239" s="6"/>
      <c r="AK239" s="6"/>
      <c r="AL239" s="6"/>
    </row>
    <row r="240" spans="1:38">
      <c r="A240" s="96">
        <f ca="1">IFERROR(__xludf.DUMMYFUNCTION("""COMPUTED_VALUE"""),44239)</f>
        <v>44239</v>
      </c>
      <c r="B240" s="6" t="str">
        <f ca="1">IFERROR(__xludf.DUMMYFUNCTION("""COMPUTED_VALUE"""),"B Suresh")</f>
        <v>B Suresh</v>
      </c>
      <c r="C240" s="6" t="str">
        <f ca="1">IFERROR(__xludf.DUMMYFUNCTION("""COMPUTED_VALUE"""),"bsureshanalyst@gmail.com")</f>
        <v>bsureshanalyst@gmail.com</v>
      </c>
      <c r="D240" s="6">
        <f ca="1">IFERROR(__xludf.DUMMYFUNCTION("""COMPUTED_VALUE"""),8886144499)</f>
        <v>8886144499</v>
      </c>
      <c r="E240" s="6" t="str">
        <f ca="1">IFERROR(__xludf.DUMMYFUNCTION("""COMPUTED_VALUE"""),"chat_initiated")</f>
        <v>chat_initiated</v>
      </c>
      <c r="F240" s="6" t="str">
        <f ca="1">IFERROR(__xludf.DUMMYFUNCTION("""COMPUTED_VALUE"""),"PSPO")</f>
        <v>PSPO</v>
      </c>
      <c r="G240" s="80">
        <f ca="1">IFERROR(__xludf.DUMMYFUNCTION("""COMPUTED_VALUE"""),44228)</f>
        <v>44228</v>
      </c>
      <c r="H240" s="6" t="str">
        <f ca="1">IFERROR(__xludf.DUMMYFUNCTION("""COMPUTED_VALUE"""),"Opportunity")</f>
        <v>Opportunity</v>
      </c>
      <c r="I240" s="6" t="str">
        <f ca="1">IFERROR(__xludf.DUMMYFUNCTION("""COMPUTED_VALUE"""),"20-21 Feb 2021")</f>
        <v>20-21 Feb 2021</v>
      </c>
      <c r="J240" s="6">
        <f ca="1">IFERROR(__xludf.DUMMYFUNCTION("""COMPUTED_VALUE"""),1)</f>
        <v>1</v>
      </c>
      <c r="K240" s="8">
        <f ca="1">IFERROR(__xludf.DUMMYFUNCTION("""COMPUTED_VALUE"""),21000)</f>
        <v>21000</v>
      </c>
      <c r="L240" s="8">
        <f ca="1">IFERROR(__xludf.DUMMYFUNCTION("""COMPUTED_VALUE"""),240.494732020155)</f>
        <v>240.494732020155</v>
      </c>
      <c r="M240" s="96">
        <f ca="1">IFERROR(__xludf.DUMMYFUNCTION("""COMPUTED_VALUE"""),44242)</f>
        <v>44242</v>
      </c>
      <c r="N240" s="6"/>
      <c r="O240" s="97"/>
      <c r="P240" s="6"/>
      <c r="Q240" s="6"/>
      <c r="R240" s="6"/>
      <c r="S240" s="6" t="str">
        <f ca="1">IFERROR(__xludf.DUMMYFUNCTION("""COMPUTED_VALUE"""),"Category")</f>
        <v>Category</v>
      </c>
      <c r="T240" s="6"/>
      <c r="U240" s="6"/>
      <c r="V240" s="6"/>
      <c r="W240" s="6"/>
      <c r="X240" s="6"/>
      <c r="Y240" s="6"/>
      <c r="Z240" s="6"/>
      <c r="AA240" s="6"/>
      <c r="AB240" s="6"/>
      <c r="AC240" s="6"/>
      <c r="AD240" s="6"/>
      <c r="AE240" s="6"/>
      <c r="AF240" s="6"/>
      <c r="AG240" s="6"/>
      <c r="AH240" s="6"/>
      <c r="AI240" s="6"/>
      <c r="AJ240" s="6"/>
      <c r="AK240" s="6"/>
      <c r="AL240" s="6"/>
    </row>
    <row r="241" spans="1:38">
      <c r="A241" s="96">
        <f ca="1">IFERROR(__xludf.DUMMYFUNCTION("""COMPUTED_VALUE"""),44244)</f>
        <v>44244</v>
      </c>
      <c r="B241" s="6" t="str">
        <f ca="1">IFERROR(__xludf.DUMMYFUNCTION("""COMPUTED_VALUE"""),"Suvashree")</f>
        <v>Suvashree</v>
      </c>
      <c r="C241" s="6" t="str">
        <f ca="1">IFERROR(__xludf.DUMMYFUNCTION("""COMPUTED_VALUE"""),"suvashreec@gmail.com")</f>
        <v>suvashreec@gmail.com</v>
      </c>
      <c r="D241" s="6">
        <f ca="1">IFERROR(__xludf.DUMMYFUNCTION("""COMPUTED_VALUE"""),9986019328)</f>
        <v>9986019328</v>
      </c>
      <c r="E241" s="6" t="str">
        <f ca="1">IFERROR(__xludf.DUMMYFUNCTION("""COMPUTED_VALUE"""),"chat_initiated")</f>
        <v>chat_initiated</v>
      </c>
      <c r="F241" s="6" t="str">
        <f ca="1">IFERROR(__xludf.DUMMYFUNCTION("""COMPUTED_VALUE"""),"PSPO")</f>
        <v>PSPO</v>
      </c>
      <c r="G241" s="80">
        <f ca="1">IFERROR(__xludf.DUMMYFUNCTION("""COMPUTED_VALUE"""),44228)</f>
        <v>44228</v>
      </c>
      <c r="H241" s="6" t="str">
        <f ca="1">IFERROR(__xludf.DUMMYFUNCTION("""COMPUTED_VALUE"""),"Won")</f>
        <v>Won</v>
      </c>
      <c r="I241" s="6" t="str">
        <f ca="1">IFERROR(__xludf.DUMMYFUNCTION("""COMPUTED_VALUE"""),"20-21 Feb 2021")</f>
        <v>20-21 Feb 2021</v>
      </c>
      <c r="J241" s="6">
        <f ca="1">IFERROR(__xludf.DUMMYFUNCTION("""COMPUTED_VALUE"""),1)</f>
        <v>1</v>
      </c>
      <c r="K241" s="8">
        <f ca="1">IFERROR(__xludf.DUMMYFUNCTION("""COMPUTED_VALUE"""),21000)</f>
        <v>21000</v>
      </c>
      <c r="L241" s="8">
        <f ca="1">IFERROR(__xludf.DUMMYFUNCTION("""COMPUTED_VALUE"""),240.494732020155)</f>
        <v>240.494732020155</v>
      </c>
      <c r="M241" s="96">
        <f ca="1">IFERROR(__xludf.DUMMYFUNCTION("""COMPUTED_VALUE"""),44244)</f>
        <v>44244</v>
      </c>
      <c r="N241" s="6" t="str">
        <f ca="1">IFERROR(__xludf.DUMMYFUNCTION("""COMPUTED_VALUE"""),"W3")</f>
        <v>W3</v>
      </c>
      <c r="O241" s="97">
        <f ca="1">IFERROR(__xludf.DUMMYFUNCTION("""COMPUTED_VALUE"""),44244)</f>
        <v>44244</v>
      </c>
      <c r="P241" s="6" t="str">
        <f ca="1">IFERROR(__xludf.DUMMYFUNCTION("""COMPUTED_VALUE"""),"CSTM_9T34I4APXSY")</f>
        <v>CSTM_9T34I4APXSY</v>
      </c>
      <c r="Q241" s="6"/>
      <c r="R241" s="6" t="str">
        <f ca="1">IFERROR(__xludf.DUMMYFUNCTION("""COMPUTED_VALUE"""),"Pending")</f>
        <v>Pending</v>
      </c>
      <c r="S241" s="6" t="str">
        <f ca="1">IFERROR(__xludf.DUMMYFUNCTION("""COMPUTED_VALUE"""),"Category")</f>
        <v>Category</v>
      </c>
      <c r="T241" s="6"/>
      <c r="U241" s="6"/>
      <c r="V241" s="6"/>
      <c r="W241" s="6"/>
      <c r="X241" s="6"/>
      <c r="Y241" s="6"/>
      <c r="Z241" s="6"/>
      <c r="AA241" s="6"/>
      <c r="AB241" s="6"/>
      <c r="AC241" s="6"/>
      <c r="AD241" s="6"/>
      <c r="AE241" s="6"/>
      <c r="AF241" s="6"/>
      <c r="AG241" s="6"/>
      <c r="AH241" s="6"/>
      <c r="AI241" s="6"/>
      <c r="AJ241" s="6"/>
      <c r="AK241" s="6"/>
      <c r="AL241" s="6"/>
    </row>
    <row r="242" spans="1:38">
      <c r="A242" s="96">
        <f ca="1">IFERROR(__xludf.DUMMYFUNCTION("""COMPUTED_VALUE"""),44240)</f>
        <v>44240</v>
      </c>
      <c r="B242" s="6" t="str">
        <f ca="1">IFERROR(__xludf.DUMMYFUNCTION("""COMPUTED_VALUE"""),"Mayank Sengar")</f>
        <v>Mayank Sengar</v>
      </c>
      <c r="C242" s="6" t="str">
        <f ca="1">IFERROR(__xludf.DUMMYFUNCTION("""COMPUTED_VALUE"""),"mayank.sengar@gmail.com")</f>
        <v>mayank.sengar@gmail.com</v>
      </c>
      <c r="D242" s="6">
        <f ca="1">IFERROR(__xludf.DUMMYFUNCTION("""COMPUTED_VALUE"""),9953447720)</f>
        <v>9953447720</v>
      </c>
      <c r="E242" s="6" t="str">
        <f ca="1">IFERROR(__xludf.DUMMYFUNCTION("""COMPUTED_VALUE"""),"Chat_triggered")</f>
        <v>Chat_triggered</v>
      </c>
      <c r="F242" s="6" t="str">
        <f ca="1">IFERROR(__xludf.DUMMYFUNCTION("""COMPUTED_VALUE"""),"SAFe Agile")</f>
        <v>SAFe Agile</v>
      </c>
      <c r="G242" s="80">
        <f ca="1">IFERROR(__xludf.DUMMYFUNCTION("""COMPUTED_VALUE"""),44228)</f>
        <v>44228</v>
      </c>
      <c r="H242" s="6" t="str">
        <f ca="1">IFERROR(__xludf.DUMMYFUNCTION("""COMPUTED_VALUE"""),"Opportunity")</f>
        <v>Opportunity</v>
      </c>
      <c r="I242" s="6" t="str">
        <f ca="1">IFERROR(__xludf.DUMMYFUNCTION("""COMPUTED_VALUE"""),"DK")</f>
        <v>DK</v>
      </c>
      <c r="J242" s="6">
        <f ca="1">IFERROR(__xludf.DUMMYFUNCTION("""COMPUTED_VALUE"""),1)</f>
        <v>1</v>
      </c>
      <c r="K242" s="8">
        <f ca="1">IFERROR(__xludf.DUMMYFUNCTION("""COMPUTED_VALUE"""),45000)</f>
        <v>45000</v>
      </c>
      <c r="L242" s="8">
        <f ca="1">IFERROR(__xludf.DUMMYFUNCTION("""COMPUTED_VALUE"""),515.345854328905)</f>
        <v>515.34585432890503</v>
      </c>
      <c r="M242" s="96"/>
      <c r="N242" s="6"/>
      <c r="O242" s="97"/>
      <c r="P242" s="6"/>
      <c r="Q242" s="6"/>
      <c r="R242" s="6"/>
      <c r="S242" s="6" t="str">
        <f ca="1">IFERROR(__xludf.DUMMYFUNCTION("""COMPUTED_VALUE"""),"SAFe")</f>
        <v>SAFe</v>
      </c>
      <c r="T242" s="6"/>
      <c r="U242" s="6"/>
      <c r="V242" s="6"/>
      <c r="W242" s="6"/>
      <c r="X242" s="6"/>
      <c r="Y242" s="6"/>
      <c r="Z242" s="6"/>
      <c r="AA242" s="6"/>
      <c r="AB242" s="6"/>
      <c r="AC242" s="6"/>
      <c r="AD242" s="6"/>
      <c r="AE242" s="6"/>
      <c r="AF242" s="6"/>
      <c r="AG242" s="6"/>
      <c r="AH242" s="6"/>
      <c r="AI242" s="6"/>
      <c r="AJ242" s="6"/>
      <c r="AK242" s="6"/>
      <c r="AL242" s="6"/>
    </row>
    <row r="243" spans="1:38">
      <c r="A243" s="96">
        <f ca="1">IFERROR(__xludf.DUMMYFUNCTION("""COMPUTED_VALUE"""),44241)</f>
        <v>44241</v>
      </c>
      <c r="B243" s="6" t="str">
        <f ca="1">IFERROR(__xludf.DUMMYFUNCTION("""COMPUTED_VALUE"""),"Durga Baluswamy")</f>
        <v>Durga Baluswamy</v>
      </c>
      <c r="C243" s="6" t="str">
        <f ca="1">IFERROR(__xludf.DUMMYFUNCTION("""COMPUTED_VALUE"""),"durga.baluswamy@gmail.com")</f>
        <v>durga.baluswamy@gmail.com</v>
      </c>
      <c r="D243" s="6">
        <f ca="1">IFERROR(__xludf.DUMMYFUNCTION("""COMPUTED_VALUE"""),9674174170)</f>
        <v>9674174170</v>
      </c>
      <c r="E243" s="6" t="str">
        <f ca="1">IFERROR(__xludf.DUMMYFUNCTION("""COMPUTED_VALUE"""),"chat_initiated")</f>
        <v>chat_initiated</v>
      </c>
      <c r="F243" s="6" t="str">
        <f ca="1">IFERROR(__xludf.DUMMYFUNCTION("""COMPUTED_VALUE"""),"ASM")</f>
        <v>ASM</v>
      </c>
      <c r="G243" s="80">
        <f ca="1">IFERROR(__xludf.DUMMYFUNCTION("""COMPUTED_VALUE"""),44228)</f>
        <v>44228</v>
      </c>
      <c r="H243" s="6" t="str">
        <f ca="1">IFERROR(__xludf.DUMMYFUNCTION("""COMPUTED_VALUE"""),"Opportunity")</f>
        <v>Opportunity</v>
      </c>
      <c r="I243" s="6" t="str">
        <f ca="1">IFERROR(__xludf.DUMMYFUNCTION("""COMPUTED_VALUE"""),"20 Feb 2021")</f>
        <v>20 Feb 2021</v>
      </c>
      <c r="J243" s="6">
        <f ca="1">IFERROR(__xludf.DUMMYFUNCTION("""COMPUTED_VALUE"""),1)</f>
        <v>1</v>
      </c>
      <c r="K243" s="8">
        <f ca="1">IFERROR(__xludf.DUMMYFUNCTION("""COMPUTED_VALUE"""),22500)</f>
        <v>22500</v>
      </c>
      <c r="L243" s="8">
        <f ca="1">IFERROR(__xludf.DUMMYFUNCTION("""COMPUTED_VALUE"""),257.672927164452)</f>
        <v>257.67292716445201</v>
      </c>
      <c r="M243" s="96">
        <f ca="1">IFERROR(__xludf.DUMMYFUNCTION("""COMPUTED_VALUE"""),44244)</f>
        <v>44244</v>
      </c>
      <c r="N243" s="6"/>
      <c r="O243" s="97"/>
      <c r="P243" s="6"/>
      <c r="Q243" s="6"/>
      <c r="R243" s="6"/>
      <c r="S243" s="6" t="str">
        <f ca="1">IFERROR(__xludf.DUMMYFUNCTION("""COMPUTED_VALUE"""),"NonCategory")</f>
        <v>NonCategory</v>
      </c>
      <c r="T243" s="6"/>
      <c r="U243" s="6"/>
      <c r="V243" s="6"/>
      <c r="W243" s="6"/>
      <c r="X243" s="6"/>
      <c r="Y243" s="6"/>
      <c r="Z243" s="6"/>
      <c r="AA243" s="6"/>
      <c r="AB243" s="6"/>
      <c r="AC243" s="6"/>
      <c r="AD243" s="6"/>
      <c r="AE243" s="6"/>
      <c r="AF243" s="6"/>
      <c r="AG243" s="6"/>
      <c r="AH243" s="6"/>
      <c r="AI243" s="6"/>
      <c r="AJ243" s="6"/>
      <c r="AK243" s="6"/>
      <c r="AL243" s="6"/>
    </row>
    <row r="244" spans="1:38">
      <c r="A244" s="96">
        <f ca="1">IFERROR(__xludf.DUMMYFUNCTION("""COMPUTED_VALUE"""),44243)</f>
        <v>44243</v>
      </c>
      <c r="B244" s="6" t="str">
        <f ca="1">IFERROR(__xludf.DUMMYFUNCTION("""COMPUTED_VALUE"""),"Saritha Gorla")</f>
        <v>Saritha Gorla</v>
      </c>
      <c r="C244" s="6" t="str">
        <f ca="1">IFERROR(__xludf.DUMMYFUNCTION("""COMPUTED_VALUE"""),"saritha.gorla@gmail.com")</f>
        <v>saritha.gorla@gmail.com</v>
      </c>
      <c r="D244" s="6"/>
      <c r="E244" s="6" t="str">
        <f ca="1">IFERROR(__xludf.DUMMYFUNCTION("""COMPUTED_VALUE"""),"Query box")</f>
        <v>Query box</v>
      </c>
      <c r="F244" s="6" t="str">
        <f ca="1">IFERROR(__xludf.DUMMYFUNCTION("""COMPUTED_VALUE"""),"SASM")</f>
        <v>SASM</v>
      </c>
      <c r="G244" s="80">
        <f ca="1">IFERROR(__xludf.DUMMYFUNCTION("""COMPUTED_VALUE"""),44228)</f>
        <v>44228</v>
      </c>
      <c r="H244" s="6" t="str">
        <f ca="1">IFERROR(__xludf.DUMMYFUNCTION("""COMPUTED_VALUE"""),"Won")</f>
        <v>Won</v>
      </c>
      <c r="I244" s="6" t="str">
        <f ca="1">IFERROR(__xludf.DUMMYFUNCTION("""COMPUTED_VALUE"""),"6-7 March 2021")</f>
        <v>6-7 March 2021</v>
      </c>
      <c r="J244" s="6">
        <f ca="1">IFERROR(__xludf.DUMMYFUNCTION("""COMPUTED_VALUE"""),1)</f>
        <v>1</v>
      </c>
      <c r="K244" s="8">
        <f ca="1">IFERROR(__xludf.DUMMYFUNCTION("""COMPUTED_VALUE"""),50000)</f>
        <v>50000</v>
      </c>
      <c r="L244" s="8">
        <f ca="1">IFERROR(__xludf.DUMMYFUNCTION("""COMPUTED_VALUE"""),572.606504809894)</f>
        <v>572.60650480989398</v>
      </c>
      <c r="M244" s="96">
        <f ca="1">IFERROR(__xludf.DUMMYFUNCTION("""COMPUTED_VALUE"""),44244)</f>
        <v>44244</v>
      </c>
      <c r="N244" s="6" t="str">
        <f ca="1">IFERROR(__xludf.DUMMYFUNCTION("""COMPUTED_VALUE"""),"W3")</f>
        <v>W3</v>
      </c>
      <c r="O244" s="97">
        <f ca="1">IFERROR(__xludf.DUMMYFUNCTION("""COMPUTED_VALUE"""),44245)</f>
        <v>44245</v>
      </c>
      <c r="P244" s="6" t="str">
        <f ca="1">IFERROR(__xludf.DUMMYFUNCTION("""COMPUTED_VALUE"""),"CSTM_IJYG6N1YN3Y")</f>
        <v>CSTM_IJYG6N1YN3Y</v>
      </c>
      <c r="Q244" s="6"/>
      <c r="R244" s="6" t="str">
        <f ca="1">IFERROR(__xludf.DUMMYFUNCTION("""COMPUTED_VALUE"""),"Done. Good feedback.")</f>
        <v>Done. Good feedback.</v>
      </c>
      <c r="S244" s="6" t="str">
        <f ca="1">IFERROR(__xludf.DUMMYFUNCTION("""COMPUTED_VALUE"""),"SAFe")</f>
        <v>SAFe</v>
      </c>
      <c r="T244" s="6"/>
      <c r="U244" s="6"/>
      <c r="V244" s="6"/>
      <c r="W244" s="6"/>
      <c r="X244" s="6"/>
      <c r="Y244" s="6"/>
      <c r="Z244" s="6"/>
      <c r="AA244" s="6"/>
      <c r="AB244" s="6"/>
      <c r="AC244" s="6"/>
      <c r="AD244" s="6"/>
      <c r="AE244" s="6"/>
      <c r="AF244" s="6"/>
      <c r="AG244" s="6"/>
      <c r="AH244" s="6"/>
      <c r="AI244" s="6"/>
      <c r="AJ244" s="6"/>
      <c r="AK244" s="6"/>
      <c r="AL244" s="6"/>
    </row>
    <row r="245" spans="1:38">
      <c r="A245" s="96">
        <f ca="1">IFERROR(__xludf.DUMMYFUNCTION("""COMPUTED_VALUE"""),44242)</f>
        <v>44242</v>
      </c>
      <c r="B245" s="6" t="str">
        <f ca="1">IFERROR(__xludf.DUMMYFUNCTION("""COMPUTED_VALUE"""),"Shantha M")</f>
        <v>Shantha M</v>
      </c>
      <c r="C245" s="6" t="str">
        <f ca="1">IFERROR(__xludf.DUMMYFUNCTION("""COMPUTED_VALUE"""),"shanthameenav@yahoo.com")</f>
        <v>shanthameenav@yahoo.com</v>
      </c>
      <c r="D245" s="6">
        <f ca="1">IFERROR(__xludf.DUMMYFUNCTION("""COMPUTED_VALUE"""),9940132140)</f>
        <v>9940132140</v>
      </c>
      <c r="E245" s="6" t="str">
        <f ca="1">IFERROR(__xludf.DUMMYFUNCTION("""COMPUTED_VALUE"""),"Chat_triggered")</f>
        <v>Chat_triggered</v>
      </c>
      <c r="F245" s="6" t="str">
        <f ca="1">IFERROR(__xludf.DUMMYFUNCTION("""COMPUTED_VALUE"""),"SAFe Agile")</f>
        <v>SAFe Agile</v>
      </c>
      <c r="G245" s="80">
        <f ca="1">IFERROR(__xludf.DUMMYFUNCTION("""COMPUTED_VALUE"""),44228)</f>
        <v>44228</v>
      </c>
      <c r="H245" s="6" t="str">
        <f ca="1">IFERROR(__xludf.DUMMYFUNCTION("""COMPUTED_VALUE"""),"Opportunity")</f>
        <v>Opportunity</v>
      </c>
      <c r="I245" s="6" t="str">
        <f ca="1">IFERROR(__xludf.DUMMYFUNCTION("""COMPUTED_VALUE"""),"27-28 Feb 2021")</f>
        <v>27-28 Feb 2021</v>
      </c>
      <c r="J245" s="6">
        <f ca="1">IFERROR(__xludf.DUMMYFUNCTION("""COMPUTED_VALUE"""),1)</f>
        <v>1</v>
      </c>
      <c r="K245" s="8">
        <f ca="1">IFERROR(__xludf.DUMMYFUNCTION("""COMPUTED_VALUE"""),53100)</f>
        <v>53100</v>
      </c>
      <c r="L245" s="8">
        <f ca="1">IFERROR(__xludf.DUMMYFUNCTION("""COMPUTED_VALUE"""),608.108108108108)</f>
        <v>608.10810810810801</v>
      </c>
      <c r="M245" s="96">
        <f ca="1">IFERROR(__xludf.DUMMYFUNCTION("""COMPUTED_VALUE"""),44245)</f>
        <v>44245</v>
      </c>
      <c r="N245" s="6"/>
      <c r="O245" s="97"/>
      <c r="P245" s="6"/>
      <c r="Q245" s="6"/>
      <c r="R245" s="6"/>
      <c r="S245" s="6" t="str">
        <f ca="1">IFERROR(__xludf.DUMMYFUNCTION("""COMPUTED_VALUE"""),"SAFe")</f>
        <v>SAFe</v>
      </c>
      <c r="T245" s="6"/>
      <c r="U245" s="6"/>
      <c r="V245" s="6"/>
      <c r="W245" s="6"/>
      <c r="X245" s="6"/>
      <c r="Y245" s="6"/>
      <c r="Z245" s="6"/>
      <c r="AA245" s="6"/>
      <c r="AB245" s="6"/>
      <c r="AC245" s="6"/>
      <c r="AD245" s="6"/>
      <c r="AE245" s="6"/>
      <c r="AF245" s="6"/>
      <c r="AG245" s="6"/>
      <c r="AH245" s="6"/>
      <c r="AI245" s="6"/>
      <c r="AJ245" s="6"/>
      <c r="AK245" s="6"/>
      <c r="AL245" s="6"/>
    </row>
    <row r="246" spans="1:38">
      <c r="A246" s="96">
        <f ca="1">IFERROR(__xludf.DUMMYFUNCTION("""COMPUTED_VALUE"""),44242)</f>
        <v>44242</v>
      </c>
      <c r="B246" s="6" t="str">
        <f ca="1">IFERROR(__xludf.DUMMYFUNCTION("""COMPUTED_VALUE"""),"Suresh Nair")</f>
        <v>Suresh Nair</v>
      </c>
      <c r="C246" s="6" t="str">
        <f ca="1">IFERROR(__xludf.DUMMYFUNCTION("""COMPUTED_VALUE"""),"sureshnair3697@gmail.com")</f>
        <v>sureshnair3697@gmail.com</v>
      </c>
      <c r="D246" s="6">
        <f ca="1">IFERROR(__xludf.DUMMYFUNCTION("""COMPUTED_VALUE"""),8197429898)</f>
        <v>8197429898</v>
      </c>
      <c r="E246" s="6" t="str">
        <f ca="1">IFERROR(__xludf.DUMMYFUNCTION("""COMPUTED_VALUE"""),"Query box")</f>
        <v>Query box</v>
      </c>
      <c r="F246" s="6" t="str">
        <f ca="1">IFERROR(__xludf.DUMMYFUNCTION("""COMPUTED_VALUE"""),"SAFe POPM")</f>
        <v>SAFe POPM</v>
      </c>
      <c r="G246" s="80">
        <f ca="1">IFERROR(__xludf.DUMMYFUNCTION("""COMPUTED_VALUE"""),44228)</f>
        <v>44228</v>
      </c>
      <c r="H246" s="6" t="str">
        <f ca="1">IFERROR(__xludf.DUMMYFUNCTION("""COMPUTED_VALUE"""),"Lost")</f>
        <v>Lost</v>
      </c>
      <c r="I246" s="6" t="str">
        <f ca="1">IFERROR(__xludf.DUMMYFUNCTION("""COMPUTED_VALUE"""),"DK")</f>
        <v>DK</v>
      </c>
      <c r="J246" s="6">
        <f ca="1">IFERROR(__xludf.DUMMYFUNCTION("""COMPUTED_VALUE"""),1)</f>
        <v>1</v>
      </c>
      <c r="K246" s="8">
        <f ca="1">IFERROR(__xludf.DUMMYFUNCTION("""COMPUTED_VALUE"""),50000)</f>
        <v>50000</v>
      </c>
      <c r="L246" s="8">
        <f ca="1">IFERROR(__xludf.DUMMYFUNCTION("""COMPUTED_VALUE"""),572.606504809894)</f>
        <v>572.60650480989398</v>
      </c>
      <c r="M246" s="96"/>
      <c r="N246" s="6"/>
      <c r="O246" s="97"/>
      <c r="P246" s="6"/>
      <c r="Q246" s="6"/>
      <c r="R246" s="6"/>
      <c r="S246" s="6" t="str">
        <f ca="1">IFERROR(__xludf.DUMMYFUNCTION("""COMPUTED_VALUE"""),"SAFe")</f>
        <v>SAFe</v>
      </c>
      <c r="T246" s="6"/>
      <c r="U246" s="6"/>
      <c r="V246" s="6"/>
      <c r="W246" s="6"/>
      <c r="X246" s="6"/>
      <c r="Y246" s="6"/>
      <c r="Z246" s="6"/>
      <c r="AA246" s="6"/>
      <c r="AB246" s="6"/>
      <c r="AC246" s="6"/>
      <c r="AD246" s="6"/>
      <c r="AE246" s="6"/>
      <c r="AF246" s="6"/>
      <c r="AG246" s="6"/>
      <c r="AH246" s="6"/>
      <c r="AI246" s="6"/>
      <c r="AJ246" s="6"/>
      <c r="AK246" s="6"/>
      <c r="AL246" s="6"/>
    </row>
    <row r="247" spans="1:38">
      <c r="A247" s="96">
        <f ca="1">IFERROR(__xludf.DUMMYFUNCTION("""COMPUTED_VALUE"""),44245)</f>
        <v>44245</v>
      </c>
      <c r="B247" s="6" t="str">
        <f ca="1">IFERROR(__xludf.DUMMYFUNCTION("""COMPUTED_VALUE"""),"Ajit Halappanavar")</f>
        <v>Ajit Halappanavar</v>
      </c>
      <c r="C247" s="6" t="str">
        <f ca="1">IFERROR(__xludf.DUMMYFUNCTION("""COMPUTED_VALUE"""),"ajitch008@gmail.com")</f>
        <v>ajitch008@gmail.com</v>
      </c>
      <c r="D247" s="6">
        <f ca="1">IFERROR(__xludf.DUMMYFUNCTION("""COMPUTED_VALUE"""),9964566792)</f>
        <v>9964566792</v>
      </c>
      <c r="E247" s="6" t="str">
        <f ca="1">IFERROR(__xludf.DUMMYFUNCTION("""COMPUTED_VALUE"""),"chat_initiated")</f>
        <v>chat_initiated</v>
      </c>
      <c r="F247" s="6" t="str">
        <f ca="1">IFERROR(__xludf.DUMMYFUNCTION("""COMPUTED_VALUE"""),"PMP")</f>
        <v>PMP</v>
      </c>
      <c r="G247" s="80">
        <f ca="1">IFERROR(__xludf.DUMMYFUNCTION("""COMPUTED_VALUE"""),44228)</f>
        <v>44228</v>
      </c>
      <c r="H247" s="6" t="str">
        <f ca="1">IFERROR(__xludf.DUMMYFUNCTION("""COMPUTED_VALUE"""),"Won")</f>
        <v>Won</v>
      </c>
      <c r="I247" s="6" t="str">
        <f ca="1">IFERROR(__xludf.DUMMYFUNCTION("""COMPUTED_VALUE"""),"March 2021")</f>
        <v>March 2021</v>
      </c>
      <c r="J247" s="6">
        <f ca="1">IFERROR(__xludf.DUMMYFUNCTION("""COMPUTED_VALUE"""),1)</f>
        <v>1</v>
      </c>
      <c r="K247" s="8">
        <f ca="1">IFERROR(__xludf.DUMMYFUNCTION("""COMPUTED_VALUE"""),13500)</f>
        <v>13500</v>
      </c>
      <c r="L247" s="8">
        <f ca="1">IFERROR(__xludf.DUMMYFUNCTION("""COMPUTED_VALUE"""),154.603756298671)</f>
        <v>154.60375629867099</v>
      </c>
      <c r="M247" s="96">
        <f ca="1">IFERROR(__xludf.DUMMYFUNCTION("""COMPUTED_VALUE"""),44247)</f>
        <v>44247</v>
      </c>
      <c r="N247" s="6" t="str">
        <f ca="1">IFERROR(__xludf.DUMMYFUNCTION("""COMPUTED_VALUE"""),"W3")</f>
        <v>W3</v>
      </c>
      <c r="O247" s="97">
        <f ca="1">IFERROR(__xludf.DUMMYFUNCTION("""COMPUTED_VALUE"""),44248)</f>
        <v>44248</v>
      </c>
      <c r="P247" s="6" t="str">
        <f ca="1">IFERROR(__xludf.DUMMYFUNCTION("""COMPUTED_VALUE"""),"CSTM_3E69PAJ9BDR")</f>
        <v>CSTM_3E69PAJ9BDR</v>
      </c>
      <c r="Q247" s="6"/>
      <c r="R247" s="6" t="str">
        <f ca="1">IFERROR(__xludf.DUMMYFUNCTION("""COMPUTED_VALUE"""),"Pending")</f>
        <v>Pending</v>
      </c>
      <c r="S247" s="6" t="str">
        <f ca="1">IFERROR(__xludf.DUMMYFUNCTION("""COMPUTED_VALUE"""),"NonCategory")</f>
        <v>NonCategory</v>
      </c>
      <c r="T247" s="6"/>
      <c r="U247" s="6"/>
      <c r="V247" s="6"/>
      <c r="W247" s="6"/>
      <c r="X247" s="6"/>
      <c r="Y247" s="6"/>
      <c r="Z247" s="6"/>
      <c r="AA247" s="6"/>
      <c r="AB247" s="6"/>
      <c r="AC247" s="6"/>
      <c r="AD247" s="6"/>
      <c r="AE247" s="6"/>
      <c r="AF247" s="6"/>
      <c r="AG247" s="6"/>
      <c r="AH247" s="6"/>
      <c r="AI247" s="6"/>
      <c r="AJ247" s="6"/>
      <c r="AK247" s="6"/>
      <c r="AL247" s="6"/>
    </row>
    <row r="248" spans="1:38">
      <c r="A248" s="96">
        <f ca="1">IFERROR(__xludf.DUMMYFUNCTION("""COMPUTED_VALUE"""),44243)</f>
        <v>44243</v>
      </c>
      <c r="B248" s="6" t="str">
        <f ca="1">IFERROR(__xludf.DUMMYFUNCTION("""COMPUTED_VALUE"""),"Nikesh Kumar")</f>
        <v>Nikesh Kumar</v>
      </c>
      <c r="C248" s="6" t="str">
        <f ca="1">IFERROR(__xludf.DUMMYFUNCTION("""COMPUTED_VALUE"""),"nik2007.rai@gmail.com")</f>
        <v>nik2007.rai@gmail.com</v>
      </c>
      <c r="D248" s="6">
        <f ca="1">IFERROR(__xludf.DUMMYFUNCTION("""COMPUTED_VALUE"""),9561869409)</f>
        <v>9561869409</v>
      </c>
      <c r="E248" s="6" t="str">
        <f ca="1">IFERROR(__xludf.DUMMYFUNCTION("""COMPUTED_VALUE"""),"Chat_triggered")</f>
        <v>Chat_triggered</v>
      </c>
      <c r="F248" s="6" t="str">
        <f ca="1">IFERROR(__xludf.DUMMYFUNCTION("""COMPUTED_VALUE"""),"PSPO")</f>
        <v>PSPO</v>
      </c>
      <c r="G248" s="80">
        <f ca="1">IFERROR(__xludf.DUMMYFUNCTION("""COMPUTED_VALUE"""),44228)</f>
        <v>44228</v>
      </c>
      <c r="H248" s="6" t="str">
        <f ca="1">IFERROR(__xludf.DUMMYFUNCTION("""COMPUTED_VALUE"""),"Opportunity")</f>
        <v>Opportunity</v>
      </c>
      <c r="I248" s="6" t="str">
        <f ca="1">IFERROR(__xludf.DUMMYFUNCTION("""COMPUTED_VALUE"""),"6-7 March 2021")</f>
        <v>6-7 March 2021</v>
      </c>
      <c r="J248" s="6">
        <f ca="1">IFERROR(__xludf.DUMMYFUNCTION("""COMPUTED_VALUE"""),1)</f>
        <v>1</v>
      </c>
      <c r="K248" s="8">
        <f ca="1">IFERROR(__xludf.DUMMYFUNCTION("""COMPUTED_VALUE"""),21000)</f>
        <v>21000</v>
      </c>
      <c r="L248" s="8">
        <f ca="1">IFERROR(__xludf.DUMMYFUNCTION("""COMPUTED_VALUE"""),240.494732020155)</f>
        <v>240.494732020155</v>
      </c>
      <c r="M248" s="96">
        <f ca="1">IFERROR(__xludf.DUMMYFUNCTION("""COMPUTED_VALUE"""),44249)</f>
        <v>44249</v>
      </c>
      <c r="N248" s="6"/>
      <c r="O248" s="97"/>
      <c r="P248" s="6"/>
      <c r="Q248" s="6"/>
      <c r="R248" s="6"/>
      <c r="S248" s="6" t="str">
        <f ca="1">IFERROR(__xludf.DUMMYFUNCTION("""COMPUTED_VALUE"""),"Category")</f>
        <v>Category</v>
      </c>
      <c r="T248" s="6"/>
      <c r="U248" s="6"/>
      <c r="V248" s="6"/>
      <c r="W248" s="6"/>
      <c r="X248" s="6"/>
      <c r="Y248" s="6"/>
      <c r="Z248" s="6"/>
      <c r="AA248" s="6"/>
      <c r="AB248" s="6"/>
      <c r="AC248" s="6"/>
      <c r="AD248" s="6"/>
      <c r="AE248" s="6"/>
      <c r="AF248" s="6"/>
      <c r="AG248" s="6"/>
      <c r="AH248" s="6"/>
      <c r="AI248" s="6"/>
      <c r="AJ248" s="6"/>
      <c r="AK248" s="6"/>
      <c r="AL248" s="6"/>
    </row>
    <row r="249" spans="1:38">
      <c r="A249" s="96">
        <f ca="1">IFERROR(__xludf.DUMMYFUNCTION("""COMPUTED_VALUE"""),44243)</f>
        <v>44243</v>
      </c>
      <c r="B249" s="6" t="str">
        <f ca="1">IFERROR(__xludf.DUMMYFUNCTION("""COMPUTED_VALUE"""),"Shankar Kumar")</f>
        <v>Shankar Kumar</v>
      </c>
      <c r="C249" s="6" t="str">
        <f ca="1">IFERROR(__xludf.DUMMYFUNCTION("""COMPUTED_VALUE"""),"shankarkumar21@gmail.com")</f>
        <v>shankarkumar21@gmail.com</v>
      </c>
      <c r="D249" s="6">
        <f ca="1">IFERROR(__xludf.DUMMYFUNCTION("""COMPUTED_VALUE"""),7799000312)</f>
        <v>7799000312</v>
      </c>
      <c r="E249" s="6" t="str">
        <f ca="1">IFERROR(__xludf.DUMMYFUNCTION("""COMPUTED_VALUE"""),"Chat_triggered")</f>
        <v>Chat_triggered</v>
      </c>
      <c r="F249" s="6" t="str">
        <f ca="1">IFERROR(__xludf.DUMMYFUNCTION("""COMPUTED_VALUE"""),"SAFe Agile")</f>
        <v>SAFe Agile</v>
      </c>
      <c r="G249" s="80">
        <f ca="1">IFERROR(__xludf.DUMMYFUNCTION("""COMPUTED_VALUE"""),44228)</f>
        <v>44228</v>
      </c>
      <c r="H249" s="6" t="str">
        <f ca="1">IFERROR(__xludf.DUMMYFUNCTION("""COMPUTED_VALUE"""),"Opportunity")</f>
        <v>Opportunity</v>
      </c>
      <c r="I249" s="6" t="str">
        <f ca="1">IFERROR(__xludf.DUMMYFUNCTION("""COMPUTED_VALUE"""),"13-14 Feb 2021")</f>
        <v>13-14 Feb 2021</v>
      </c>
      <c r="J249" s="6">
        <f ca="1">IFERROR(__xludf.DUMMYFUNCTION("""COMPUTED_VALUE"""),1)</f>
        <v>1</v>
      </c>
      <c r="K249" s="8">
        <f ca="1">IFERROR(__xludf.DUMMYFUNCTION("""COMPUTED_VALUE"""),45000)</f>
        <v>45000</v>
      </c>
      <c r="L249" s="8">
        <f ca="1">IFERROR(__xludf.DUMMYFUNCTION("""COMPUTED_VALUE"""),515.345854328905)</f>
        <v>515.34585432890503</v>
      </c>
      <c r="M249" s="96"/>
      <c r="N249" s="6"/>
      <c r="O249" s="97"/>
      <c r="P249" s="6"/>
      <c r="Q249" s="6"/>
      <c r="R249" s="6"/>
      <c r="S249" s="6" t="str">
        <f ca="1">IFERROR(__xludf.DUMMYFUNCTION("""COMPUTED_VALUE"""),"SAFe")</f>
        <v>SAFe</v>
      </c>
      <c r="T249" s="6"/>
      <c r="U249" s="6"/>
      <c r="V249" s="6"/>
      <c r="W249" s="6"/>
      <c r="X249" s="6"/>
      <c r="Y249" s="6"/>
      <c r="Z249" s="6"/>
      <c r="AA249" s="6"/>
      <c r="AB249" s="6"/>
      <c r="AC249" s="6"/>
      <c r="AD249" s="6"/>
      <c r="AE249" s="6"/>
      <c r="AF249" s="6"/>
      <c r="AG249" s="6"/>
      <c r="AH249" s="6"/>
      <c r="AI249" s="6"/>
      <c r="AJ249" s="6"/>
      <c r="AK249" s="6"/>
      <c r="AL249" s="6"/>
    </row>
    <row r="250" spans="1:38">
      <c r="A250" s="96">
        <f ca="1">IFERROR(__xludf.DUMMYFUNCTION("""COMPUTED_VALUE"""),44245)</f>
        <v>44245</v>
      </c>
      <c r="B250" s="6" t="str">
        <f ca="1">IFERROR(__xludf.DUMMYFUNCTION("""COMPUTED_VALUE"""),"Devi Das")</f>
        <v>Devi Das</v>
      </c>
      <c r="C250" s="6" t="str">
        <f ca="1">IFERROR(__xludf.DUMMYFUNCTION("""COMPUTED_VALUE"""),"devidas17@gmail.com")</f>
        <v>devidas17@gmail.com</v>
      </c>
      <c r="D250" s="6">
        <f ca="1">IFERROR(__xludf.DUMMYFUNCTION("""COMPUTED_VALUE"""),8121845899)</f>
        <v>8121845899</v>
      </c>
      <c r="E250" s="6" t="str">
        <f ca="1">IFERROR(__xludf.DUMMYFUNCTION("""COMPUTED_VALUE"""),"chat_initiated")</f>
        <v>chat_initiated</v>
      </c>
      <c r="F250" s="6" t="str">
        <f ca="1">IFERROR(__xludf.DUMMYFUNCTION("""COMPUTED_VALUE"""),"CSPO")</f>
        <v>CSPO</v>
      </c>
      <c r="G250" s="80">
        <f ca="1">IFERROR(__xludf.DUMMYFUNCTION("""COMPUTED_VALUE"""),44228)</f>
        <v>44228</v>
      </c>
      <c r="H250" s="6" t="str">
        <f ca="1">IFERROR(__xludf.DUMMYFUNCTION("""COMPUTED_VALUE"""),"Won")</f>
        <v>Won</v>
      </c>
      <c r="I250" s="6" t="str">
        <f ca="1">IFERROR(__xludf.DUMMYFUNCTION("""COMPUTED_VALUE"""),"17-18 April 2021")</f>
        <v>17-18 April 2021</v>
      </c>
      <c r="J250" s="6">
        <f ca="1">IFERROR(__xludf.DUMMYFUNCTION("""COMPUTED_VALUE"""),1)</f>
        <v>1</v>
      </c>
      <c r="K250" s="8">
        <f ca="1">IFERROR(__xludf.DUMMYFUNCTION("""COMPUTED_VALUE"""),20000)</f>
        <v>20000</v>
      </c>
      <c r="L250" s="8">
        <f ca="1">IFERROR(__xludf.DUMMYFUNCTION("""COMPUTED_VALUE"""),229.042601923957)</f>
        <v>229.04260192395699</v>
      </c>
      <c r="M250" s="96">
        <f ca="1">IFERROR(__xludf.DUMMYFUNCTION("""COMPUTED_VALUE"""),44246)</f>
        <v>44246</v>
      </c>
      <c r="N250" s="6" t="str">
        <f ca="1">IFERROR(__xludf.DUMMYFUNCTION("""COMPUTED_VALUE"""),"W4")</f>
        <v>W4</v>
      </c>
      <c r="O250" s="97">
        <f ca="1">IFERROR(__xludf.DUMMYFUNCTION("""COMPUTED_VALUE"""),44250)</f>
        <v>44250</v>
      </c>
      <c r="P250" s="6" t="str">
        <f ca="1">IFERROR(__xludf.DUMMYFUNCTION("""COMPUTED_VALUE"""),"CSTM_9LGQVL3GEN6")</f>
        <v>CSTM_9LGQVL3GEN6</v>
      </c>
      <c r="Q250" s="6"/>
      <c r="R250" s="6" t="str">
        <f ca="1">IFERROR(__xludf.DUMMYFUNCTION("""COMPUTED_VALUE"""),"Done. Good feedback.")</f>
        <v>Done. Good feedback.</v>
      </c>
      <c r="S250" s="6" t="str">
        <f ca="1">IFERROR(__xludf.DUMMYFUNCTION("""COMPUTED_VALUE"""),"Category")</f>
        <v>Category</v>
      </c>
      <c r="T250" s="6"/>
      <c r="U250" s="6"/>
      <c r="V250" s="6"/>
      <c r="W250" s="6"/>
      <c r="X250" s="6"/>
      <c r="Y250" s="6"/>
      <c r="Z250" s="6"/>
      <c r="AA250" s="6"/>
      <c r="AB250" s="6"/>
      <c r="AC250" s="6"/>
      <c r="AD250" s="6"/>
      <c r="AE250" s="6"/>
      <c r="AF250" s="6"/>
      <c r="AG250" s="6"/>
      <c r="AH250" s="6"/>
      <c r="AI250" s="6"/>
      <c r="AJ250" s="6"/>
      <c r="AK250" s="6"/>
      <c r="AL250" s="6"/>
    </row>
    <row r="251" spans="1:38">
      <c r="A251" s="96">
        <f ca="1">IFERROR(__xludf.DUMMYFUNCTION("""COMPUTED_VALUE"""),44244)</f>
        <v>44244</v>
      </c>
      <c r="B251" s="6" t="str">
        <f ca="1">IFERROR(__xludf.DUMMYFUNCTION("""COMPUTED_VALUE"""),"Bhavesh Wadhwani")</f>
        <v>Bhavesh Wadhwani</v>
      </c>
      <c r="C251" s="6" t="str">
        <f ca="1">IFERROR(__xludf.DUMMYFUNCTION("""COMPUTED_VALUE"""),"bhavesh.wadhwani@hotmail.com")</f>
        <v>bhavesh.wadhwani@hotmail.com</v>
      </c>
      <c r="D251" s="6">
        <f ca="1">IFERROR(__xludf.DUMMYFUNCTION("""COMPUTED_VALUE"""),9901977148)</f>
        <v>9901977148</v>
      </c>
      <c r="E251" s="6" t="str">
        <f ca="1">IFERROR(__xludf.DUMMYFUNCTION("""COMPUTED_VALUE"""),"Reference")</f>
        <v>Reference</v>
      </c>
      <c r="F251" s="6" t="str">
        <f ca="1">IFERROR(__xludf.DUMMYFUNCTION("""COMPUTED_VALUE"""),"CSM")</f>
        <v>CSM</v>
      </c>
      <c r="G251" s="80">
        <f ca="1">IFERROR(__xludf.DUMMYFUNCTION("""COMPUTED_VALUE"""),44228)</f>
        <v>44228</v>
      </c>
      <c r="H251" s="6" t="str">
        <f ca="1">IFERROR(__xludf.DUMMYFUNCTION("""COMPUTED_VALUE"""),"Opportunity")</f>
        <v>Opportunity</v>
      </c>
      <c r="I251" s="6" t="str">
        <f ca="1">IFERROR(__xludf.DUMMYFUNCTION("""COMPUTED_VALUE"""),"20-21 Feb 2021")</f>
        <v>20-21 Feb 2021</v>
      </c>
      <c r="J251" s="6">
        <f ca="1">IFERROR(__xludf.DUMMYFUNCTION("""COMPUTED_VALUE"""),1)</f>
        <v>1</v>
      </c>
      <c r="K251" s="8">
        <f ca="1">IFERROR(__xludf.DUMMYFUNCTION("""COMPUTED_VALUE"""),20000)</f>
        <v>20000</v>
      </c>
      <c r="L251" s="8">
        <f ca="1">IFERROR(__xludf.DUMMYFUNCTION("""COMPUTED_VALUE"""),229.042601923957)</f>
        <v>229.04260192395699</v>
      </c>
      <c r="M251" s="96">
        <f ca="1">IFERROR(__xludf.DUMMYFUNCTION("""COMPUTED_VALUE"""),44244)</f>
        <v>44244</v>
      </c>
      <c r="N251" s="6"/>
      <c r="O251" s="97"/>
      <c r="P251" s="6"/>
      <c r="Q251" s="6"/>
      <c r="R251" s="6"/>
      <c r="S251" s="6" t="str">
        <f ca="1">IFERROR(__xludf.DUMMYFUNCTION("""COMPUTED_VALUE"""),"Category")</f>
        <v>Category</v>
      </c>
      <c r="T251" s="6"/>
      <c r="U251" s="6"/>
      <c r="V251" s="6"/>
      <c r="W251" s="6"/>
      <c r="X251" s="6"/>
      <c r="Y251" s="6"/>
      <c r="Z251" s="6"/>
      <c r="AA251" s="6"/>
      <c r="AB251" s="6"/>
      <c r="AC251" s="6"/>
      <c r="AD251" s="6"/>
      <c r="AE251" s="6"/>
      <c r="AF251" s="6"/>
      <c r="AG251" s="6"/>
      <c r="AH251" s="6"/>
      <c r="AI251" s="6"/>
      <c r="AJ251" s="6"/>
      <c r="AK251" s="6"/>
      <c r="AL251" s="6"/>
    </row>
    <row r="252" spans="1:38">
      <c r="A252" s="96">
        <f ca="1">IFERROR(__xludf.DUMMYFUNCTION("""COMPUTED_VALUE"""),44250)</f>
        <v>44250</v>
      </c>
      <c r="B252" s="6" t="str">
        <f ca="1">IFERROR(__xludf.DUMMYFUNCTION("""COMPUTED_VALUE"""),"Mary Ceci")</f>
        <v>Mary Ceci</v>
      </c>
      <c r="C252" s="6" t="str">
        <f ca="1">IFERROR(__xludf.DUMMYFUNCTION("""COMPUTED_VALUE"""),"ceci.mary@gmail.com")</f>
        <v>ceci.mary@gmail.com</v>
      </c>
      <c r="D252" s="6">
        <f ca="1">IFERROR(__xludf.DUMMYFUNCTION("""COMPUTED_VALUE"""),9941709016)</f>
        <v>9941709016</v>
      </c>
      <c r="E252" s="6" t="str">
        <f ca="1">IFERROR(__xludf.DUMMYFUNCTION("""COMPUTED_VALUE"""),"Tollfree")</f>
        <v>Tollfree</v>
      </c>
      <c r="F252" s="6" t="str">
        <f ca="1">IFERROR(__xludf.DUMMYFUNCTION("""COMPUTED_VALUE"""),"SAFe Agile")</f>
        <v>SAFe Agile</v>
      </c>
      <c r="G252" s="80">
        <f ca="1">IFERROR(__xludf.DUMMYFUNCTION("""COMPUTED_VALUE"""),44228)</f>
        <v>44228</v>
      </c>
      <c r="H252" s="6" t="str">
        <f ca="1">IFERROR(__xludf.DUMMYFUNCTION("""COMPUTED_VALUE"""),"Won")</f>
        <v>Won</v>
      </c>
      <c r="I252" s="6" t="str">
        <f ca="1">IFERROR(__xludf.DUMMYFUNCTION("""COMPUTED_VALUE"""),"6-7 March 2021")</f>
        <v>6-7 March 2021</v>
      </c>
      <c r="J252" s="6">
        <f ca="1">IFERROR(__xludf.DUMMYFUNCTION("""COMPUTED_VALUE"""),1)</f>
        <v>1</v>
      </c>
      <c r="K252" s="8">
        <f ca="1">IFERROR(__xludf.DUMMYFUNCTION("""COMPUTED_VALUE"""),45000)</f>
        <v>45000</v>
      </c>
      <c r="L252" s="8">
        <f ca="1">IFERROR(__xludf.DUMMYFUNCTION("""COMPUTED_VALUE"""),515.345854328905)</f>
        <v>515.34585432890503</v>
      </c>
      <c r="M252" s="96">
        <f ca="1">IFERROR(__xludf.DUMMYFUNCTION("""COMPUTED_VALUE"""),44250)</f>
        <v>44250</v>
      </c>
      <c r="N252" s="6" t="str">
        <f ca="1">IFERROR(__xludf.DUMMYFUNCTION("""COMPUTED_VALUE"""),"W4")</f>
        <v>W4</v>
      </c>
      <c r="O252" s="97">
        <f ca="1">IFERROR(__xludf.DUMMYFUNCTION("""COMPUTED_VALUE"""),44250)</f>
        <v>44250</v>
      </c>
      <c r="P252" s="6" t="str">
        <f ca="1">IFERROR(__xludf.DUMMYFUNCTION("""COMPUTED_VALUE"""),"CSTM_79LEAQ9J3FI")</f>
        <v>CSTM_79LEAQ9J3FI</v>
      </c>
      <c r="Q252" s="6"/>
      <c r="R252" s="6" t="str">
        <f ca="1">IFERROR(__xludf.DUMMYFUNCTION("""COMPUTED_VALUE"""),"Done. Good feedback.")</f>
        <v>Done. Good feedback.</v>
      </c>
      <c r="S252" s="6" t="str">
        <f ca="1">IFERROR(__xludf.DUMMYFUNCTION("""COMPUTED_VALUE"""),"SAFe")</f>
        <v>SAFe</v>
      </c>
      <c r="T252" s="6"/>
      <c r="U252" s="6"/>
      <c r="V252" s="6"/>
      <c r="W252" s="6"/>
      <c r="X252" s="6"/>
      <c r="Y252" s="6"/>
      <c r="Z252" s="6"/>
      <c r="AA252" s="6"/>
      <c r="AB252" s="6"/>
      <c r="AC252" s="6"/>
      <c r="AD252" s="6"/>
      <c r="AE252" s="6"/>
      <c r="AF252" s="6"/>
      <c r="AG252" s="6"/>
      <c r="AH252" s="6"/>
      <c r="AI252" s="6"/>
      <c r="AJ252" s="6"/>
      <c r="AK252" s="6"/>
      <c r="AL252" s="6"/>
    </row>
    <row r="253" spans="1:38">
      <c r="A253" s="96">
        <f ca="1">IFERROR(__xludf.DUMMYFUNCTION("""COMPUTED_VALUE"""),44244)</f>
        <v>44244</v>
      </c>
      <c r="B253" s="6" t="str">
        <f ca="1">IFERROR(__xludf.DUMMYFUNCTION("""COMPUTED_VALUE"""),"Samsitha")</f>
        <v>Samsitha</v>
      </c>
      <c r="C253" s="6" t="str">
        <f ca="1">IFERROR(__xludf.DUMMYFUNCTION("""COMPUTED_VALUE"""),"samsitha2014@gmail.com")</f>
        <v>samsitha2014@gmail.com</v>
      </c>
      <c r="D253" s="6">
        <f ca="1">IFERROR(__xludf.DUMMYFUNCTION("""COMPUTED_VALUE"""),9791012862)</f>
        <v>9791012862</v>
      </c>
      <c r="E253" s="6" t="str">
        <f ca="1">IFERROR(__xludf.DUMMYFUNCTION("""COMPUTED_VALUE"""),"course agenda")</f>
        <v>course agenda</v>
      </c>
      <c r="F253" s="6" t="str">
        <f ca="1">IFERROR(__xludf.DUMMYFUNCTION("""COMPUTED_VALUE"""),"SAFe Agile")</f>
        <v>SAFe Agile</v>
      </c>
      <c r="G253" s="80">
        <f ca="1">IFERROR(__xludf.DUMMYFUNCTION("""COMPUTED_VALUE"""),44256)</f>
        <v>44256</v>
      </c>
      <c r="H253" s="6" t="str">
        <f ca="1">IFERROR(__xludf.DUMMYFUNCTION("""COMPUTED_VALUE"""),"Opportunity")</f>
        <v>Opportunity</v>
      </c>
      <c r="I253" s="6" t="str">
        <f ca="1">IFERROR(__xludf.DUMMYFUNCTION("""COMPUTED_VALUE"""),"6-7 March 2021")</f>
        <v>6-7 March 2021</v>
      </c>
      <c r="J253" s="6">
        <f ca="1">IFERROR(__xludf.DUMMYFUNCTION("""COMPUTED_VALUE"""),1)</f>
        <v>1</v>
      </c>
      <c r="K253" s="8">
        <f ca="1">IFERROR(__xludf.DUMMYFUNCTION("""COMPUTED_VALUE"""),48000)</f>
        <v>48000</v>
      </c>
      <c r="L253" s="8">
        <f ca="1">IFERROR(__xludf.DUMMYFUNCTION("""COMPUTED_VALUE"""),549.702244617498)</f>
        <v>549.70224461749797</v>
      </c>
      <c r="M253" s="96">
        <f ca="1">IFERROR(__xludf.DUMMYFUNCTION("""COMPUTED_VALUE"""),44258)</f>
        <v>44258</v>
      </c>
      <c r="N253" s="6"/>
      <c r="O253" s="97"/>
      <c r="P253" s="6"/>
      <c r="Q253" s="6"/>
      <c r="R253" s="6"/>
      <c r="S253" s="6" t="str">
        <f ca="1">IFERROR(__xludf.DUMMYFUNCTION("""COMPUTED_VALUE"""),"SAFe")</f>
        <v>SAFe</v>
      </c>
      <c r="T253" s="6"/>
      <c r="U253" s="6"/>
      <c r="V253" s="6"/>
      <c r="W253" s="6"/>
      <c r="X253" s="6"/>
      <c r="Y253" s="6"/>
      <c r="Z253" s="6"/>
      <c r="AA253" s="6"/>
      <c r="AB253" s="6"/>
      <c r="AC253" s="6"/>
      <c r="AD253" s="6"/>
      <c r="AE253" s="6"/>
      <c r="AF253" s="6"/>
      <c r="AG253" s="6"/>
      <c r="AH253" s="6"/>
      <c r="AI253" s="6"/>
      <c r="AJ253" s="6"/>
      <c r="AK253" s="6"/>
      <c r="AL253" s="6"/>
    </row>
    <row r="254" spans="1:38">
      <c r="A254" s="96">
        <f ca="1">IFERROR(__xludf.DUMMYFUNCTION("""COMPUTED_VALUE"""),44244)</f>
        <v>44244</v>
      </c>
      <c r="B254" s="6" t="str">
        <f ca="1">IFERROR(__xludf.DUMMYFUNCTION("""COMPUTED_VALUE"""),"Kiran Patel")</f>
        <v>Kiran Patel</v>
      </c>
      <c r="C254" s="6" t="str">
        <f ca="1">IFERROR(__xludf.DUMMYFUNCTION("""COMPUTED_VALUE"""),"kirankutch@gmail.com")</f>
        <v>kirankutch@gmail.com</v>
      </c>
      <c r="D254" s="6">
        <f ca="1">IFERROR(__xludf.DUMMYFUNCTION("""COMPUTED_VALUE"""),9769297941)</f>
        <v>9769297941</v>
      </c>
      <c r="E254" s="6" t="str">
        <f ca="1">IFERROR(__xludf.DUMMYFUNCTION("""COMPUTED_VALUE"""),"Reference")</f>
        <v>Reference</v>
      </c>
      <c r="F254" s="6" t="str">
        <f ca="1">IFERROR(__xludf.DUMMYFUNCTION("""COMPUTED_VALUE"""),"CSPO")</f>
        <v>CSPO</v>
      </c>
      <c r="G254" s="80">
        <f ca="1">IFERROR(__xludf.DUMMYFUNCTION("""COMPUTED_VALUE"""),44228)</f>
        <v>44228</v>
      </c>
      <c r="H254" s="6" t="str">
        <f ca="1">IFERROR(__xludf.DUMMYFUNCTION("""COMPUTED_VALUE"""),"Opportunity")</f>
        <v>Opportunity</v>
      </c>
      <c r="I254" s="6" t="str">
        <f ca="1">IFERROR(__xludf.DUMMYFUNCTION("""COMPUTED_VALUE"""),"27-28 March 2021")</f>
        <v>27-28 March 2021</v>
      </c>
      <c r="J254" s="6">
        <f ca="1">IFERROR(__xludf.DUMMYFUNCTION("""COMPUTED_VALUE"""),1)</f>
        <v>1</v>
      </c>
      <c r="K254" s="8">
        <f ca="1">IFERROR(__xludf.DUMMYFUNCTION("""COMPUTED_VALUE"""),21000)</f>
        <v>21000</v>
      </c>
      <c r="L254" s="8">
        <f ca="1">IFERROR(__xludf.DUMMYFUNCTION("""COMPUTED_VALUE"""),240.494732020155)</f>
        <v>240.494732020155</v>
      </c>
      <c r="M254" s="96">
        <f ca="1">IFERROR(__xludf.DUMMYFUNCTION("""COMPUTED_VALUE"""),44244)</f>
        <v>44244</v>
      </c>
      <c r="N254" s="6"/>
      <c r="O254" s="97"/>
      <c r="P254" s="6"/>
      <c r="Q254" s="6"/>
      <c r="R254" s="6"/>
      <c r="S254" s="6" t="str">
        <f ca="1">IFERROR(__xludf.DUMMYFUNCTION("""COMPUTED_VALUE"""),"Category")</f>
        <v>Category</v>
      </c>
      <c r="T254" s="6"/>
      <c r="U254" s="6"/>
      <c r="V254" s="6"/>
      <c r="W254" s="6"/>
      <c r="X254" s="6"/>
      <c r="Y254" s="6"/>
      <c r="Z254" s="6"/>
      <c r="AA254" s="6"/>
      <c r="AB254" s="6"/>
      <c r="AC254" s="6"/>
      <c r="AD254" s="6"/>
      <c r="AE254" s="6"/>
      <c r="AF254" s="6"/>
      <c r="AG254" s="6"/>
      <c r="AH254" s="6"/>
      <c r="AI254" s="6"/>
      <c r="AJ254" s="6"/>
      <c r="AK254" s="6"/>
      <c r="AL254" s="6"/>
    </row>
    <row r="255" spans="1:38">
      <c r="A255" s="96">
        <f ca="1">IFERROR(__xludf.DUMMYFUNCTION("""COMPUTED_VALUE"""),44245)</f>
        <v>44245</v>
      </c>
      <c r="B255" s="6" t="str">
        <f ca="1">IFERROR(__xludf.DUMMYFUNCTION("""COMPUTED_VALUE"""),"Sagar Sahasrabuddhe")</f>
        <v>Sagar Sahasrabuddhe</v>
      </c>
      <c r="C255" s="6" t="str">
        <f ca="1">IFERROR(__xludf.DUMMYFUNCTION("""COMPUTED_VALUE"""),"sagar.sahasrabuddhe@gmail.com")</f>
        <v>sagar.sahasrabuddhe@gmail.com</v>
      </c>
      <c r="D255" s="6">
        <f ca="1">IFERROR(__xludf.DUMMYFUNCTION("""COMPUTED_VALUE"""),9850841229)</f>
        <v>9850841229</v>
      </c>
      <c r="E255" s="6" t="str">
        <f ca="1">IFERROR(__xludf.DUMMYFUNCTION("""COMPUTED_VALUE"""),"Chat_triggered")</f>
        <v>Chat_triggered</v>
      </c>
      <c r="F255" s="6" t="str">
        <f ca="1">IFERROR(__xludf.DUMMYFUNCTION("""COMPUTED_VALUE"""),"SAFe Agile")</f>
        <v>SAFe Agile</v>
      </c>
      <c r="G255" s="80">
        <f ca="1">IFERROR(__xludf.DUMMYFUNCTION("""COMPUTED_VALUE"""),44228)</f>
        <v>44228</v>
      </c>
      <c r="H255" s="6" t="str">
        <f ca="1">IFERROR(__xludf.DUMMYFUNCTION("""COMPUTED_VALUE"""),"Opportunity")</f>
        <v>Opportunity</v>
      </c>
      <c r="I255" s="6" t="str">
        <f ca="1">IFERROR(__xludf.DUMMYFUNCTION("""COMPUTED_VALUE"""),"6-7 March 2021")</f>
        <v>6-7 March 2021</v>
      </c>
      <c r="J255" s="6">
        <f ca="1">IFERROR(__xludf.DUMMYFUNCTION("""COMPUTED_VALUE"""),1)</f>
        <v>1</v>
      </c>
      <c r="K255" s="8">
        <f ca="1">IFERROR(__xludf.DUMMYFUNCTION("""COMPUTED_VALUE"""),53100)</f>
        <v>53100</v>
      </c>
      <c r="L255" s="8">
        <f ca="1">IFERROR(__xludf.DUMMYFUNCTION("""COMPUTED_VALUE"""),608.108108108108)</f>
        <v>608.10810810810801</v>
      </c>
      <c r="M255" s="96">
        <f ca="1">IFERROR(__xludf.DUMMYFUNCTION("""COMPUTED_VALUE"""),44252)</f>
        <v>44252</v>
      </c>
      <c r="N255" s="6"/>
      <c r="O255" s="97"/>
      <c r="P255" s="6"/>
      <c r="Q255" s="6"/>
      <c r="R255" s="6"/>
      <c r="S255" s="6" t="str">
        <f ca="1">IFERROR(__xludf.DUMMYFUNCTION("""COMPUTED_VALUE"""),"SAFe")</f>
        <v>SAFe</v>
      </c>
      <c r="T255" s="6"/>
      <c r="U255" s="6"/>
      <c r="V255" s="6"/>
      <c r="W255" s="6"/>
      <c r="X255" s="6"/>
      <c r="Y255" s="6"/>
      <c r="Z255" s="6"/>
      <c r="AA255" s="6"/>
      <c r="AB255" s="6"/>
      <c r="AC255" s="6"/>
      <c r="AD255" s="6"/>
      <c r="AE255" s="6"/>
      <c r="AF255" s="6"/>
      <c r="AG255" s="6"/>
      <c r="AH255" s="6"/>
      <c r="AI255" s="6"/>
      <c r="AJ255" s="6"/>
      <c r="AK255" s="6"/>
      <c r="AL255" s="6"/>
    </row>
    <row r="256" spans="1:38">
      <c r="A256" s="96">
        <f ca="1">IFERROR(__xludf.DUMMYFUNCTION("""COMPUTED_VALUE"""),44245)</f>
        <v>44245</v>
      </c>
      <c r="B256" s="6" t="str">
        <f ca="1">IFERROR(__xludf.DUMMYFUNCTION("""COMPUTED_VALUE"""),"Binoj Varghese")</f>
        <v>Binoj Varghese</v>
      </c>
      <c r="C256" s="6" t="str">
        <f ca="1">IFERROR(__xludf.DUMMYFUNCTION("""COMPUTED_VALUE"""),"binoj_varghese@ymail.com")</f>
        <v>binoj_varghese@ymail.com</v>
      </c>
      <c r="D256" s="6">
        <f ca="1">IFERROR(__xludf.DUMMYFUNCTION("""COMPUTED_VALUE"""),9739430954)</f>
        <v>9739430954</v>
      </c>
      <c r="E256" s="6" t="str">
        <f ca="1">IFERROR(__xludf.DUMMYFUNCTION("""COMPUTED_VALUE"""),"Chat_triggered")</f>
        <v>Chat_triggered</v>
      </c>
      <c r="F256" s="6" t="str">
        <f ca="1">IFERROR(__xludf.DUMMYFUNCTION("""COMPUTED_VALUE"""),"SAFe Agile")</f>
        <v>SAFe Agile</v>
      </c>
      <c r="G256" s="80">
        <f ca="1">IFERROR(__xludf.DUMMYFUNCTION("""COMPUTED_VALUE"""),44228)</f>
        <v>44228</v>
      </c>
      <c r="H256" s="6" t="str">
        <f ca="1">IFERROR(__xludf.DUMMYFUNCTION("""COMPUTED_VALUE"""),"Opportunity")</f>
        <v>Opportunity</v>
      </c>
      <c r="I256" s="6" t="str">
        <f ca="1">IFERROR(__xludf.DUMMYFUNCTION("""COMPUTED_VALUE"""),"27-28 Feb 2021")</f>
        <v>27-28 Feb 2021</v>
      </c>
      <c r="J256" s="6">
        <f ca="1">IFERROR(__xludf.DUMMYFUNCTION("""COMPUTED_VALUE"""),1)</f>
        <v>1</v>
      </c>
      <c r="K256" s="8">
        <f ca="1">IFERROR(__xludf.DUMMYFUNCTION("""COMPUTED_VALUE"""),53100)</f>
        <v>53100</v>
      </c>
      <c r="L256" s="8">
        <f ca="1">IFERROR(__xludf.DUMMYFUNCTION("""COMPUTED_VALUE"""),608.108108108108)</f>
        <v>608.10810810810801</v>
      </c>
      <c r="M256" s="96">
        <f ca="1">IFERROR(__xludf.DUMMYFUNCTION("""COMPUTED_VALUE"""),44247)</f>
        <v>44247</v>
      </c>
      <c r="N256" s="6"/>
      <c r="O256" s="97"/>
      <c r="P256" s="6"/>
      <c r="Q256" s="6"/>
      <c r="R256" s="6"/>
      <c r="S256" s="6" t="str">
        <f ca="1">IFERROR(__xludf.DUMMYFUNCTION("""COMPUTED_VALUE"""),"SAFe")</f>
        <v>SAFe</v>
      </c>
      <c r="T256" s="6"/>
      <c r="U256" s="6"/>
      <c r="V256" s="6"/>
      <c r="W256" s="6"/>
      <c r="X256" s="6"/>
      <c r="Y256" s="6"/>
      <c r="Z256" s="6"/>
      <c r="AA256" s="6"/>
      <c r="AB256" s="6"/>
      <c r="AC256" s="6"/>
      <c r="AD256" s="6"/>
      <c r="AE256" s="6"/>
      <c r="AF256" s="6"/>
      <c r="AG256" s="6"/>
      <c r="AH256" s="6"/>
      <c r="AI256" s="6"/>
      <c r="AJ256" s="6"/>
      <c r="AK256" s="6"/>
      <c r="AL256" s="6"/>
    </row>
    <row r="257" spans="1:38">
      <c r="A257" s="96">
        <f ca="1">IFERROR(__xludf.DUMMYFUNCTION("""COMPUTED_VALUE"""),44247)</f>
        <v>44247</v>
      </c>
      <c r="B257" s="6" t="str">
        <f ca="1">IFERROR(__xludf.DUMMYFUNCTION("""COMPUTED_VALUE"""),"Kaushal Bhatt")</f>
        <v>Kaushal Bhatt</v>
      </c>
      <c r="C257" s="6" t="str">
        <f ca="1">IFERROR(__xludf.DUMMYFUNCTION("""COMPUTED_VALUE"""),"kaushal.bhatt@bt.com")</f>
        <v>kaushal.bhatt@bt.com</v>
      </c>
      <c r="D257" s="6">
        <f ca="1">IFERROR(__xludf.DUMMYFUNCTION("""COMPUTED_VALUE"""),9960733231)</f>
        <v>9960733231</v>
      </c>
      <c r="E257" s="6" t="str">
        <f ca="1">IFERROR(__xludf.DUMMYFUNCTION("""COMPUTED_VALUE"""),"Chat_triggered")</f>
        <v>Chat_triggered</v>
      </c>
      <c r="F257" s="6" t="str">
        <f ca="1">IFERROR(__xludf.DUMMYFUNCTION("""COMPUTED_VALUE"""),"PSPO")</f>
        <v>PSPO</v>
      </c>
      <c r="G257" s="80">
        <f ca="1">IFERROR(__xludf.DUMMYFUNCTION("""COMPUTED_VALUE"""),44228)</f>
        <v>44228</v>
      </c>
      <c r="H257" s="6" t="str">
        <f ca="1">IFERROR(__xludf.DUMMYFUNCTION("""COMPUTED_VALUE"""),"Won")</f>
        <v>Won</v>
      </c>
      <c r="I257" s="6" t="str">
        <f ca="1">IFERROR(__xludf.DUMMYFUNCTION("""COMPUTED_VALUE"""),"1-2 March 2021")</f>
        <v>1-2 March 2021</v>
      </c>
      <c r="J257" s="6">
        <f ca="1">IFERROR(__xludf.DUMMYFUNCTION("""COMPUTED_VALUE"""),1)</f>
        <v>1</v>
      </c>
      <c r="K257" s="8">
        <f ca="1">IFERROR(__xludf.DUMMYFUNCTION("""COMPUTED_VALUE"""),21000)</f>
        <v>21000</v>
      </c>
      <c r="L257" s="8">
        <f ca="1">IFERROR(__xludf.DUMMYFUNCTION("""COMPUTED_VALUE"""),240.494732020155)</f>
        <v>240.494732020155</v>
      </c>
      <c r="M257" s="96">
        <f ca="1">IFERROR(__xludf.DUMMYFUNCTION("""COMPUTED_VALUE"""),44249)</f>
        <v>44249</v>
      </c>
      <c r="N257" s="6" t="str">
        <f ca="1">IFERROR(__xludf.DUMMYFUNCTION("""COMPUTED_VALUE"""),"W4")</f>
        <v>W4</v>
      </c>
      <c r="O257" s="97">
        <f ca="1">IFERROR(__xludf.DUMMYFUNCTION("""COMPUTED_VALUE"""),44251)</f>
        <v>44251</v>
      </c>
      <c r="P257" s="6" t="str">
        <f ca="1">IFERROR(__xludf.DUMMYFUNCTION("""COMPUTED_VALUE"""),"CSTM_9U4XJMNZLUI")</f>
        <v>CSTM_9U4XJMNZLUI</v>
      </c>
      <c r="Q257" s="6"/>
      <c r="R257" s="6" t="str">
        <f ca="1">IFERROR(__xludf.DUMMYFUNCTION("""COMPUTED_VALUE"""),"Pending")</f>
        <v>Pending</v>
      </c>
      <c r="S257" s="6" t="str">
        <f ca="1">IFERROR(__xludf.DUMMYFUNCTION("""COMPUTED_VALUE"""),"Category")</f>
        <v>Category</v>
      </c>
      <c r="T257" s="6"/>
      <c r="U257" s="6"/>
      <c r="V257" s="6"/>
      <c r="W257" s="6"/>
      <c r="X257" s="6"/>
      <c r="Y257" s="6"/>
      <c r="Z257" s="6"/>
      <c r="AA257" s="6"/>
      <c r="AB257" s="6"/>
      <c r="AC257" s="6"/>
      <c r="AD257" s="6"/>
      <c r="AE257" s="6"/>
      <c r="AF257" s="6"/>
      <c r="AG257" s="6"/>
      <c r="AH257" s="6"/>
      <c r="AI257" s="6"/>
      <c r="AJ257" s="6"/>
      <c r="AK257" s="6"/>
      <c r="AL257" s="6"/>
    </row>
    <row r="258" spans="1:38">
      <c r="A258" s="96">
        <f ca="1">IFERROR(__xludf.DUMMYFUNCTION("""COMPUTED_VALUE"""),44246)</f>
        <v>44246</v>
      </c>
      <c r="B258" s="6" t="str">
        <f ca="1">IFERROR(__xludf.DUMMYFUNCTION("""COMPUTED_VALUE"""),"Prem Raj")</f>
        <v>Prem Raj</v>
      </c>
      <c r="C258" s="6" t="str">
        <f ca="1">IFERROR(__xludf.DUMMYFUNCTION("""COMPUTED_VALUE"""),"premsmailbox@yahoo.com")</f>
        <v>premsmailbox@yahoo.com</v>
      </c>
      <c r="D258" s="6">
        <f ca="1">IFERROR(__xludf.DUMMYFUNCTION("""COMPUTED_VALUE"""),9686679821)</f>
        <v>9686679821</v>
      </c>
      <c r="E258" s="6" t="str">
        <f ca="1">IFERROR(__xludf.DUMMYFUNCTION("""COMPUTED_VALUE"""),"Tollfree")</f>
        <v>Tollfree</v>
      </c>
      <c r="F258" s="6" t="str">
        <f ca="1">IFERROR(__xludf.DUMMYFUNCTION("""COMPUTED_VALUE"""),"SAFe Agile")</f>
        <v>SAFe Agile</v>
      </c>
      <c r="G258" s="80">
        <f ca="1">IFERROR(__xludf.DUMMYFUNCTION("""COMPUTED_VALUE"""),44228)</f>
        <v>44228</v>
      </c>
      <c r="H258" s="6" t="str">
        <f ca="1">IFERROR(__xludf.DUMMYFUNCTION("""COMPUTED_VALUE"""),"Opportunity")</f>
        <v>Opportunity</v>
      </c>
      <c r="I258" s="6" t="str">
        <f ca="1">IFERROR(__xludf.DUMMYFUNCTION("""COMPUTED_VALUE"""),"27-28 Feb 2021")</f>
        <v>27-28 Feb 2021</v>
      </c>
      <c r="J258" s="6">
        <f ca="1">IFERROR(__xludf.DUMMYFUNCTION("""COMPUTED_VALUE"""),1)</f>
        <v>1</v>
      </c>
      <c r="K258" s="8">
        <f ca="1">IFERROR(__xludf.DUMMYFUNCTION("""COMPUTED_VALUE"""),45000)</f>
        <v>45000</v>
      </c>
      <c r="L258" s="8">
        <f ca="1">IFERROR(__xludf.DUMMYFUNCTION("""COMPUTED_VALUE"""),515.345854328905)</f>
        <v>515.34585432890503</v>
      </c>
      <c r="M258" s="96">
        <f ca="1">IFERROR(__xludf.DUMMYFUNCTION("""COMPUTED_VALUE"""),44247)</f>
        <v>44247</v>
      </c>
      <c r="N258" s="6"/>
      <c r="O258" s="97"/>
      <c r="P258" s="6"/>
      <c r="Q258" s="6"/>
      <c r="R258" s="6"/>
      <c r="S258" s="6" t="str">
        <f ca="1">IFERROR(__xludf.DUMMYFUNCTION("""COMPUTED_VALUE"""),"SAFe")</f>
        <v>SAFe</v>
      </c>
      <c r="T258" s="6"/>
      <c r="U258" s="6"/>
      <c r="V258" s="6"/>
      <c r="W258" s="6"/>
      <c r="X258" s="6"/>
      <c r="Y258" s="6"/>
      <c r="Z258" s="6"/>
      <c r="AA258" s="6"/>
      <c r="AB258" s="6"/>
      <c r="AC258" s="6"/>
      <c r="AD258" s="6"/>
      <c r="AE258" s="6"/>
      <c r="AF258" s="6"/>
      <c r="AG258" s="6"/>
      <c r="AH258" s="6"/>
      <c r="AI258" s="6"/>
      <c r="AJ258" s="6"/>
      <c r="AK258" s="6"/>
      <c r="AL258" s="6"/>
    </row>
    <row r="259" spans="1:38">
      <c r="A259" s="96">
        <f ca="1">IFERROR(__xludf.DUMMYFUNCTION("""COMPUTED_VALUE"""),44251)</f>
        <v>44251</v>
      </c>
      <c r="B259" s="6" t="str">
        <f ca="1">IFERROR(__xludf.DUMMYFUNCTION("""COMPUTED_VALUE"""),"Balaji Gopal")</f>
        <v>Balaji Gopal</v>
      </c>
      <c r="C259" s="6" t="str">
        <f ca="1">IFERROR(__xludf.DUMMYFUNCTION("""COMPUTED_VALUE"""),"balaji_gopal@yahoo.com")</f>
        <v>balaji_gopal@yahoo.com</v>
      </c>
      <c r="D259" s="6">
        <f ca="1">IFERROR(__xludf.DUMMYFUNCTION("""COMPUTED_VALUE"""),9444453687)</f>
        <v>9444453687</v>
      </c>
      <c r="E259" s="6" t="str">
        <f ca="1">IFERROR(__xludf.DUMMYFUNCTION("""COMPUTED_VALUE"""),"refer and earn")</f>
        <v>refer and earn</v>
      </c>
      <c r="F259" s="6" t="str">
        <f ca="1">IFERROR(__xludf.DUMMYFUNCTION("""COMPUTED_VALUE"""),"CSM")</f>
        <v>CSM</v>
      </c>
      <c r="G259" s="80">
        <f ca="1">IFERROR(__xludf.DUMMYFUNCTION("""COMPUTED_VALUE"""),44228)</f>
        <v>44228</v>
      </c>
      <c r="H259" s="6" t="str">
        <f ca="1">IFERROR(__xludf.DUMMYFUNCTION("""COMPUTED_VALUE"""),"Won")</f>
        <v>Won</v>
      </c>
      <c r="I259" s="6" t="str">
        <f ca="1">IFERROR(__xludf.DUMMYFUNCTION("""COMPUTED_VALUE"""),"27-28 Feb 2021")</f>
        <v>27-28 Feb 2021</v>
      </c>
      <c r="J259" s="6">
        <f ca="1">IFERROR(__xludf.DUMMYFUNCTION("""COMPUTED_VALUE"""),1)</f>
        <v>1</v>
      </c>
      <c r="K259" s="8">
        <f ca="1">IFERROR(__xludf.DUMMYFUNCTION("""COMPUTED_VALUE"""),20000)</f>
        <v>20000</v>
      </c>
      <c r="L259" s="8">
        <f ca="1">IFERROR(__xludf.DUMMYFUNCTION("""COMPUTED_VALUE"""),229.042601923957)</f>
        <v>229.04260192395699</v>
      </c>
      <c r="M259" s="96">
        <f ca="1">IFERROR(__xludf.DUMMYFUNCTION("""COMPUTED_VALUE"""),44251)</f>
        <v>44251</v>
      </c>
      <c r="N259" s="6" t="str">
        <f ca="1">IFERROR(__xludf.DUMMYFUNCTION("""COMPUTED_VALUE"""),"W4")</f>
        <v>W4</v>
      </c>
      <c r="O259" s="97">
        <f ca="1">IFERROR(__xludf.DUMMYFUNCTION("""COMPUTED_VALUE"""),44251)</f>
        <v>44251</v>
      </c>
      <c r="P259" s="6" t="str">
        <f ca="1">IFERROR(__xludf.DUMMYFUNCTION("""COMPUTED_VALUE"""),"CSTM_5WAI1UPF4M2")</f>
        <v>CSTM_5WAI1UPF4M2</v>
      </c>
      <c r="Q259" s="6"/>
      <c r="R259" s="6" t="str">
        <f ca="1">IFERROR(__xludf.DUMMYFUNCTION("""COMPUTED_VALUE"""),"Done. Good feedback.")</f>
        <v>Done. Good feedback.</v>
      </c>
      <c r="S259" s="6" t="str">
        <f ca="1">IFERROR(__xludf.DUMMYFUNCTION("""COMPUTED_VALUE"""),"Category")</f>
        <v>Category</v>
      </c>
      <c r="T259" s="6"/>
      <c r="U259" s="6"/>
      <c r="V259" s="6"/>
      <c r="W259" s="6"/>
      <c r="X259" s="6"/>
      <c r="Y259" s="6"/>
      <c r="Z259" s="6"/>
      <c r="AA259" s="6"/>
      <c r="AB259" s="6"/>
      <c r="AC259" s="6"/>
      <c r="AD259" s="6"/>
      <c r="AE259" s="6"/>
      <c r="AF259" s="6"/>
      <c r="AG259" s="6"/>
      <c r="AH259" s="6"/>
      <c r="AI259" s="6"/>
      <c r="AJ259" s="6"/>
      <c r="AK259" s="6"/>
      <c r="AL259" s="6"/>
    </row>
    <row r="260" spans="1:38">
      <c r="A260" s="96">
        <f ca="1">IFERROR(__xludf.DUMMYFUNCTION("""COMPUTED_VALUE"""),44247)</f>
        <v>44247</v>
      </c>
      <c r="B260" s="6" t="str">
        <f ca="1">IFERROR(__xludf.DUMMYFUNCTION("""COMPUTED_VALUE"""),"Kruthika")</f>
        <v>Kruthika</v>
      </c>
      <c r="C260" s="6" t="str">
        <f ca="1">IFERROR(__xludf.DUMMYFUNCTION("""COMPUTED_VALUE"""),"er.kruthikan@gmail.com")</f>
        <v>er.kruthikan@gmail.com</v>
      </c>
      <c r="D260" s="6">
        <f ca="1">IFERROR(__xludf.DUMMYFUNCTION("""COMPUTED_VALUE"""),9535733841)</f>
        <v>9535733841</v>
      </c>
      <c r="E260" s="6" t="str">
        <f ca="1">IFERROR(__xludf.DUMMYFUNCTION("""COMPUTED_VALUE"""),"Chat_triggered")</f>
        <v>Chat_triggered</v>
      </c>
      <c r="F260" s="6" t="str">
        <f ca="1">IFERROR(__xludf.DUMMYFUNCTION("""COMPUTED_VALUE"""),"CSM")</f>
        <v>CSM</v>
      </c>
      <c r="G260" s="80">
        <f ca="1">IFERROR(__xludf.DUMMYFUNCTION("""COMPUTED_VALUE"""),44256)</f>
        <v>44256</v>
      </c>
      <c r="H260" s="6" t="str">
        <f ca="1">IFERROR(__xludf.DUMMYFUNCTION("""COMPUTED_VALUE"""),"Opportunity")</f>
        <v>Opportunity</v>
      </c>
      <c r="I260" s="6" t="str">
        <f ca="1">IFERROR(__xludf.DUMMYFUNCTION("""COMPUTED_VALUE"""),"6-7 March 2021")</f>
        <v>6-7 March 2021</v>
      </c>
      <c r="J260" s="6">
        <f ca="1">IFERROR(__xludf.DUMMYFUNCTION("""COMPUTED_VALUE"""),1)</f>
        <v>1</v>
      </c>
      <c r="K260" s="8">
        <f ca="1">IFERROR(__xludf.DUMMYFUNCTION("""COMPUTED_VALUE"""),20500)</f>
        <v>20500</v>
      </c>
      <c r="L260" s="8">
        <f ca="1">IFERROR(__xludf.DUMMYFUNCTION("""COMPUTED_VALUE"""),234.768666972056)</f>
        <v>234.768666972056</v>
      </c>
      <c r="M260" s="96">
        <f ca="1">IFERROR(__xludf.DUMMYFUNCTION("""COMPUTED_VALUE"""),44259)</f>
        <v>44259</v>
      </c>
      <c r="N260" s="6"/>
      <c r="O260" s="97"/>
      <c r="P260" s="6"/>
      <c r="Q260" s="6"/>
      <c r="R260" s="6"/>
      <c r="S260" s="6" t="str">
        <f ca="1">IFERROR(__xludf.DUMMYFUNCTION("""COMPUTED_VALUE"""),"Category")</f>
        <v>Category</v>
      </c>
      <c r="T260" s="6"/>
      <c r="U260" s="6"/>
      <c r="V260" s="6"/>
      <c r="W260" s="6"/>
      <c r="X260" s="6"/>
      <c r="Y260" s="6"/>
      <c r="Z260" s="6"/>
      <c r="AA260" s="6"/>
      <c r="AB260" s="6"/>
      <c r="AC260" s="6"/>
      <c r="AD260" s="6"/>
      <c r="AE260" s="6"/>
      <c r="AF260" s="6"/>
      <c r="AG260" s="6"/>
      <c r="AH260" s="6"/>
      <c r="AI260" s="6"/>
      <c r="AJ260" s="6"/>
      <c r="AK260" s="6"/>
      <c r="AL260" s="6"/>
    </row>
    <row r="261" spans="1:38">
      <c r="A261" s="96">
        <f ca="1">IFERROR(__xludf.DUMMYFUNCTION("""COMPUTED_VALUE"""),44249)</f>
        <v>44249</v>
      </c>
      <c r="B261" s="6" t="str">
        <f ca="1">IFERROR(__xludf.DUMMYFUNCTION("""COMPUTED_VALUE"""),"Sripriya")</f>
        <v>Sripriya</v>
      </c>
      <c r="C261" s="6" t="str">
        <f ca="1">IFERROR(__xludf.DUMMYFUNCTION("""COMPUTED_VALUE"""),"sripriya15@gmail.com")</f>
        <v>sripriya15@gmail.com</v>
      </c>
      <c r="D261" s="6">
        <f ca="1">IFERROR(__xludf.DUMMYFUNCTION("""COMPUTED_VALUE"""),9986507321)</f>
        <v>9986507321</v>
      </c>
      <c r="E261" s="6" t="str">
        <f ca="1">IFERROR(__xludf.DUMMYFUNCTION("""COMPUTED_VALUE"""),"chat_initiated")</f>
        <v>chat_initiated</v>
      </c>
      <c r="F261" s="6" t="str">
        <f ca="1">IFERROR(__xludf.DUMMYFUNCTION("""COMPUTED_VALUE"""),"PSM")</f>
        <v>PSM</v>
      </c>
      <c r="G261" s="80">
        <f ca="1">IFERROR(__xludf.DUMMYFUNCTION("""COMPUTED_VALUE"""),44228)</f>
        <v>44228</v>
      </c>
      <c r="H261" s="6" t="str">
        <f ca="1">IFERROR(__xludf.DUMMYFUNCTION("""COMPUTED_VALUE"""),"Won")</f>
        <v>Won</v>
      </c>
      <c r="I261" s="6" t="str">
        <f ca="1">IFERROR(__xludf.DUMMYFUNCTION("""COMPUTED_VALUE"""),"13-14 March 2021")</f>
        <v>13-14 March 2021</v>
      </c>
      <c r="J261" s="6">
        <f ca="1">IFERROR(__xludf.DUMMYFUNCTION("""COMPUTED_VALUE"""),1)</f>
        <v>1</v>
      </c>
      <c r="K261" s="8">
        <f ca="1">IFERROR(__xludf.DUMMYFUNCTION("""COMPUTED_VALUE"""),20500)</f>
        <v>20500</v>
      </c>
      <c r="L261" s="8">
        <f ca="1">IFERROR(__xludf.DUMMYFUNCTION("""COMPUTED_VALUE"""),234.768666972056)</f>
        <v>234.768666972056</v>
      </c>
      <c r="M261" s="96">
        <f ca="1">IFERROR(__xludf.DUMMYFUNCTION("""COMPUTED_VALUE"""),44251)</f>
        <v>44251</v>
      </c>
      <c r="N261" s="6" t="str">
        <f ca="1">IFERROR(__xludf.DUMMYFUNCTION("""COMPUTED_VALUE"""),"W4")</f>
        <v>W4</v>
      </c>
      <c r="O261" s="97">
        <f ca="1">IFERROR(__xludf.DUMMYFUNCTION("""COMPUTED_VALUE"""),44251)</f>
        <v>44251</v>
      </c>
      <c r="P261" s="6" t="str">
        <f ca="1">IFERROR(__xludf.DUMMYFUNCTION("""COMPUTED_VALUE"""),"CSTM_8HJRBXAR9ZJ")</f>
        <v>CSTM_8HJRBXAR9ZJ</v>
      </c>
      <c r="Q261" s="6"/>
      <c r="R261" s="6" t="str">
        <f ca="1">IFERROR(__xludf.DUMMYFUNCTION("""COMPUTED_VALUE"""),"Done. Good feedback.")</f>
        <v>Done. Good feedback.</v>
      </c>
      <c r="S261" s="6" t="str">
        <f ca="1">IFERROR(__xludf.DUMMYFUNCTION("""COMPUTED_VALUE"""),"Category")</f>
        <v>Category</v>
      </c>
      <c r="T261" s="6"/>
      <c r="U261" s="6"/>
      <c r="V261" s="6"/>
      <c r="W261" s="6"/>
      <c r="X261" s="6"/>
      <c r="Y261" s="6"/>
      <c r="Z261" s="6"/>
      <c r="AA261" s="6"/>
      <c r="AB261" s="6"/>
      <c r="AC261" s="6"/>
      <c r="AD261" s="6"/>
      <c r="AE261" s="6"/>
      <c r="AF261" s="6"/>
      <c r="AG261" s="6"/>
      <c r="AH261" s="6"/>
      <c r="AI261" s="6"/>
      <c r="AJ261" s="6"/>
      <c r="AK261" s="6"/>
      <c r="AL261" s="6"/>
    </row>
    <row r="262" spans="1:38">
      <c r="A262" s="96">
        <f ca="1">IFERROR(__xludf.DUMMYFUNCTION("""COMPUTED_VALUE"""),44247)</f>
        <v>44247</v>
      </c>
      <c r="B262" s="6" t="str">
        <f ca="1">IFERROR(__xludf.DUMMYFUNCTION("""COMPUTED_VALUE"""),"Arjun Gupta")</f>
        <v>Arjun Gupta</v>
      </c>
      <c r="C262" s="6" t="str">
        <f ca="1">IFERROR(__xludf.DUMMYFUNCTION("""COMPUTED_VALUE"""),"arjunmpgupta@gmail.com")</f>
        <v>arjunmpgupta@gmail.com</v>
      </c>
      <c r="D262" s="6">
        <f ca="1">IFERROR(__xludf.DUMMYFUNCTION("""COMPUTED_VALUE"""),8073749074)</f>
        <v>8073749074</v>
      </c>
      <c r="E262" s="6" t="str">
        <f ca="1">IFERROR(__xludf.DUMMYFUNCTION("""COMPUTED_VALUE"""),"Query box")</f>
        <v>Query box</v>
      </c>
      <c r="F262" s="6" t="str">
        <f ca="1">IFERROR(__xludf.DUMMYFUNCTION("""COMPUTED_VALUE"""),"CSM")</f>
        <v>CSM</v>
      </c>
      <c r="G262" s="80">
        <f ca="1">IFERROR(__xludf.DUMMYFUNCTION("""COMPUTED_VALUE"""),44228)</f>
        <v>44228</v>
      </c>
      <c r="H262" s="6" t="str">
        <f ca="1">IFERROR(__xludf.DUMMYFUNCTION("""COMPUTED_VALUE"""),"Opportunity")</f>
        <v>Opportunity</v>
      </c>
      <c r="I262" s="6" t="str">
        <f ca="1">IFERROR(__xludf.DUMMYFUNCTION("""COMPUTED_VALUE"""),"6-7 March 2021")</f>
        <v>6-7 March 2021</v>
      </c>
      <c r="J262" s="6">
        <f ca="1">IFERROR(__xludf.DUMMYFUNCTION("""COMPUTED_VALUE"""),1)</f>
        <v>1</v>
      </c>
      <c r="K262" s="8">
        <f ca="1">IFERROR(__xludf.DUMMYFUNCTION("""COMPUTED_VALUE"""),20500)</f>
        <v>20500</v>
      </c>
      <c r="L262" s="8">
        <f ca="1">IFERROR(__xludf.DUMMYFUNCTION("""COMPUTED_VALUE"""),234.768666972056)</f>
        <v>234.768666972056</v>
      </c>
      <c r="M262" s="96">
        <f ca="1">IFERROR(__xludf.DUMMYFUNCTION("""COMPUTED_VALUE"""),44255)</f>
        <v>44255</v>
      </c>
      <c r="N262" s="6"/>
      <c r="O262" s="97"/>
      <c r="P262" s="6"/>
      <c r="Q262" s="6"/>
      <c r="R262" s="6"/>
      <c r="S262" s="6" t="str">
        <f ca="1">IFERROR(__xludf.DUMMYFUNCTION("""COMPUTED_VALUE"""),"Category")</f>
        <v>Category</v>
      </c>
      <c r="T262" s="6"/>
      <c r="U262" s="6"/>
      <c r="V262" s="6"/>
      <c r="W262" s="6"/>
      <c r="X262" s="6"/>
      <c r="Y262" s="6"/>
      <c r="Z262" s="6"/>
      <c r="AA262" s="6"/>
      <c r="AB262" s="6"/>
      <c r="AC262" s="6"/>
      <c r="AD262" s="6"/>
      <c r="AE262" s="6"/>
      <c r="AF262" s="6"/>
      <c r="AG262" s="6"/>
      <c r="AH262" s="6"/>
      <c r="AI262" s="6"/>
      <c r="AJ262" s="6"/>
      <c r="AK262" s="6"/>
      <c r="AL262" s="6"/>
    </row>
    <row r="263" spans="1:38">
      <c r="A263" s="96">
        <f ca="1">IFERROR(__xludf.DUMMYFUNCTION("""COMPUTED_VALUE"""),44246)</f>
        <v>44246</v>
      </c>
      <c r="B263" s="6" t="str">
        <f ca="1">IFERROR(__xludf.DUMMYFUNCTION("""COMPUTED_VALUE"""),"Shivam Nandi")</f>
        <v>Shivam Nandi</v>
      </c>
      <c r="C263" s="6" t="str">
        <f ca="1">IFERROR(__xludf.DUMMYFUNCTION("""COMPUTED_VALUE"""),"shivam.nandi15@nmims.edu.in")</f>
        <v>shivam.nandi15@nmims.edu.in</v>
      </c>
      <c r="D263" s="6">
        <f ca="1">IFERROR(__xludf.DUMMYFUNCTION("""COMPUTED_VALUE"""),9909348866)</f>
        <v>9909348866</v>
      </c>
      <c r="E263" s="6" t="str">
        <f ca="1">IFERROR(__xludf.DUMMYFUNCTION("""COMPUTED_VALUE"""),"Query box")</f>
        <v>Query box</v>
      </c>
      <c r="F263" s="6" t="str">
        <f ca="1">IFERROR(__xludf.DUMMYFUNCTION("""COMPUTED_VALUE"""),"CSM")</f>
        <v>CSM</v>
      </c>
      <c r="G263" s="80">
        <f ca="1">IFERROR(__xludf.DUMMYFUNCTION("""COMPUTED_VALUE"""),44228)</f>
        <v>44228</v>
      </c>
      <c r="H263" s="6" t="str">
        <f ca="1">IFERROR(__xludf.DUMMYFUNCTION("""COMPUTED_VALUE"""),"Won")</f>
        <v>Won</v>
      </c>
      <c r="I263" s="6" t="str">
        <f ca="1">IFERROR(__xludf.DUMMYFUNCTION("""COMPUTED_VALUE"""),"27-28 Feb 2021")</f>
        <v>27-28 Feb 2021</v>
      </c>
      <c r="J263" s="6">
        <f ca="1">IFERROR(__xludf.DUMMYFUNCTION("""COMPUTED_VALUE"""),1)</f>
        <v>1</v>
      </c>
      <c r="K263" s="8">
        <f ca="1">IFERROR(__xludf.DUMMYFUNCTION("""COMPUTED_VALUE"""),20000)</f>
        <v>20000</v>
      </c>
      <c r="L263" s="8">
        <f ca="1">IFERROR(__xludf.DUMMYFUNCTION("""COMPUTED_VALUE"""),229.042601923957)</f>
        <v>229.04260192395699</v>
      </c>
      <c r="M263" s="96">
        <f ca="1">IFERROR(__xludf.DUMMYFUNCTION("""COMPUTED_VALUE"""),44249)</f>
        <v>44249</v>
      </c>
      <c r="N263" s="6" t="str">
        <f ca="1">IFERROR(__xludf.DUMMYFUNCTION("""COMPUTED_VALUE"""),"W4")</f>
        <v>W4</v>
      </c>
      <c r="O263" s="97">
        <f ca="1">IFERROR(__xludf.DUMMYFUNCTION("""COMPUTED_VALUE"""),44252)</f>
        <v>44252</v>
      </c>
      <c r="P263" s="6" t="str">
        <f ca="1">IFERROR(__xludf.DUMMYFUNCTION("""COMPUTED_VALUE"""),"CSTM_66VO64QJ1EC")</f>
        <v>CSTM_66VO64QJ1EC</v>
      </c>
      <c r="Q263" s="6"/>
      <c r="R263" s="6" t="str">
        <f ca="1">IFERROR(__xludf.DUMMYFUNCTION("""COMPUTED_VALUE"""),"Pending")</f>
        <v>Pending</v>
      </c>
      <c r="S263" s="6" t="str">
        <f ca="1">IFERROR(__xludf.DUMMYFUNCTION("""COMPUTED_VALUE"""),"Category")</f>
        <v>Category</v>
      </c>
      <c r="T263" s="6"/>
      <c r="U263" s="6"/>
      <c r="V263" s="6"/>
      <c r="W263" s="6"/>
      <c r="X263" s="6"/>
      <c r="Y263" s="6"/>
      <c r="Z263" s="6"/>
      <c r="AA263" s="6"/>
      <c r="AB263" s="6"/>
      <c r="AC263" s="6"/>
      <c r="AD263" s="6"/>
      <c r="AE263" s="6"/>
      <c r="AF263" s="6"/>
      <c r="AG263" s="6"/>
      <c r="AH263" s="6"/>
      <c r="AI263" s="6"/>
      <c r="AJ263" s="6"/>
      <c r="AK263" s="6"/>
      <c r="AL263" s="6"/>
    </row>
    <row r="264" spans="1:38">
      <c r="A264" s="96">
        <f ca="1">IFERROR(__xludf.DUMMYFUNCTION("""COMPUTED_VALUE"""),44252)</f>
        <v>44252</v>
      </c>
      <c r="B264" s="6" t="str">
        <f ca="1">IFERROR(__xludf.DUMMYFUNCTION("""COMPUTED_VALUE"""),"Santosh More")</f>
        <v>Santosh More</v>
      </c>
      <c r="C264" s="6" t="str">
        <f ca="1">IFERROR(__xludf.DUMMYFUNCTION("""COMPUTED_VALUE"""),"santoshnmore@gmail.com")</f>
        <v>santoshnmore@gmail.com</v>
      </c>
      <c r="D264" s="6">
        <f ca="1">IFERROR(__xludf.DUMMYFUNCTION("""COMPUTED_VALUE"""),9970098408)</f>
        <v>9970098408</v>
      </c>
      <c r="E264" s="6" t="str">
        <f ca="1">IFERROR(__xludf.DUMMYFUNCTION("""COMPUTED_VALUE"""),"Reference")</f>
        <v>Reference</v>
      </c>
      <c r="F264" s="6" t="str">
        <f ca="1">IFERROR(__xludf.DUMMYFUNCTION("""COMPUTED_VALUE"""),"CSM")</f>
        <v>CSM</v>
      </c>
      <c r="G264" s="80">
        <f ca="1">IFERROR(__xludf.DUMMYFUNCTION("""COMPUTED_VALUE"""),44228)</f>
        <v>44228</v>
      </c>
      <c r="H264" s="6" t="str">
        <f ca="1">IFERROR(__xludf.DUMMYFUNCTION("""COMPUTED_VALUE"""),"Won")</f>
        <v>Won</v>
      </c>
      <c r="I264" s="6" t="str">
        <f ca="1">IFERROR(__xludf.DUMMYFUNCTION("""COMPUTED_VALUE"""),"6-7 March 2021")</f>
        <v>6-7 March 2021</v>
      </c>
      <c r="J264" s="6">
        <f ca="1">IFERROR(__xludf.DUMMYFUNCTION("""COMPUTED_VALUE"""),1)</f>
        <v>1</v>
      </c>
      <c r="K264" s="8">
        <f ca="1">IFERROR(__xludf.DUMMYFUNCTION("""COMPUTED_VALUE"""),20000)</f>
        <v>20000</v>
      </c>
      <c r="L264" s="8">
        <f ca="1">IFERROR(__xludf.DUMMYFUNCTION("""COMPUTED_VALUE"""),229.042601923957)</f>
        <v>229.04260192395699</v>
      </c>
      <c r="M264" s="96">
        <f ca="1">IFERROR(__xludf.DUMMYFUNCTION("""COMPUTED_VALUE"""),44253)</f>
        <v>44253</v>
      </c>
      <c r="N264" s="6" t="str">
        <f ca="1">IFERROR(__xludf.DUMMYFUNCTION("""COMPUTED_VALUE"""),"W4")</f>
        <v>W4</v>
      </c>
      <c r="O264" s="97">
        <f ca="1">IFERROR(__xludf.DUMMYFUNCTION("""COMPUTED_VALUE"""),44253)</f>
        <v>44253</v>
      </c>
      <c r="P264" s="6" t="str">
        <f ca="1">IFERROR(__xludf.DUMMYFUNCTION("""COMPUTED_VALUE"""),"CSTM_9NQLCEOWLNU")</f>
        <v>CSTM_9NQLCEOWLNU</v>
      </c>
      <c r="Q264" s="6" t="str">
        <f ca="1">IFERROR(__xludf.DUMMYFUNCTION("""COMPUTED_VALUE"""),"Reference by Jagdish Suryawanshi")</f>
        <v>Reference by Jagdish Suryawanshi</v>
      </c>
      <c r="R264" s="6" t="str">
        <f ca="1">IFERROR(__xludf.DUMMYFUNCTION("""COMPUTED_VALUE"""),"Done. Good feedback.")</f>
        <v>Done. Good feedback.</v>
      </c>
      <c r="S264" s="6" t="str">
        <f ca="1">IFERROR(__xludf.DUMMYFUNCTION("""COMPUTED_VALUE"""),"Category")</f>
        <v>Category</v>
      </c>
      <c r="T264" s="6" t="str">
        <f ca="1">IFERROR(__xludf.DUMMYFUNCTION("""COMPUTED_VALUE"""),"Sent.")</f>
        <v>Sent.</v>
      </c>
      <c r="U264" s="6"/>
      <c r="V264" s="6"/>
      <c r="W264" s="6"/>
      <c r="X264" s="6"/>
      <c r="Y264" s="6"/>
      <c r="Z264" s="6"/>
      <c r="AA264" s="6"/>
      <c r="AB264" s="6"/>
      <c r="AC264" s="6"/>
      <c r="AD264" s="6"/>
      <c r="AE264" s="6"/>
      <c r="AF264" s="6"/>
      <c r="AG264" s="6"/>
      <c r="AH264" s="6"/>
      <c r="AI264" s="6"/>
      <c r="AJ264" s="6"/>
      <c r="AK264" s="6"/>
      <c r="AL264" s="6"/>
    </row>
    <row r="265" spans="1:38">
      <c r="A265" s="96">
        <f ca="1">IFERROR(__xludf.DUMMYFUNCTION("""COMPUTED_VALUE"""),44249)</f>
        <v>44249</v>
      </c>
      <c r="B265" s="6" t="str">
        <f ca="1">IFERROR(__xludf.DUMMYFUNCTION("""COMPUTED_VALUE"""),"Nivedita G")</f>
        <v>Nivedita G</v>
      </c>
      <c r="C265" s="6" t="str">
        <f ca="1">IFERROR(__xludf.DUMMYFUNCTION("""COMPUTED_VALUE"""),"nivedita_g1006@yahoo.co.in")</f>
        <v>nivedita_g1006@yahoo.co.in</v>
      </c>
      <c r="D265" s="6">
        <f ca="1">IFERROR(__xludf.DUMMYFUNCTION("""COMPUTED_VALUE"""),9833916897)</f>
        <v>9833916897</v>
      </c>
      <c r="E265" s="6" t="str">
        <f ca="1">IFERROR(__xludf.DUMMYFUNCTION("""COMPUTED_VALUE"""),"Chat_triggered")</f>
        <v>Chat_triggered</v>
      </c>
      <c r="F265" s="6" t="str">
        <f ca="1">IFERROR(__xludf.DUMMYFUNCTION("""COMPUTED_VALUE"""),"PSM")</f>
        <v>PSM</v>
      </c>
      <c r="G265" s="80">
        <f ca="1">IFERROR(__xludf.DUMMYFUNCTION("""COMPUTED_VALUE"""),44256)</f>
        <v>44256</v>
      </c>
      <c r="H265" s="6" t="str">
        <f ca="1">IFERROR(__xludf.DUMMYFUNCTION("""COMPUTED_VALUE"""),"Opportunity")</f>
        <v>Opportunity</v>
      </c>
      <c r="I265" s="6" t="str">
        <f ca="1">IFERROR(__xludf.DUMMYFUNCTION("""COMPUTED_VALUE"""),"March 2021")</f>
        <v>March 2021</v>
      </c>
      <c r="J265" s="6">
        <f ca="1">IFERROR(__xludf.DUMMYFUNCTION("""COMPUTED_VALUE"""),1)</f>
        <v>1</v>
      </c>
      <c r="K265" s="8">
        <f ca="1">IFERROR(__xludf.DUMMYFUNCTION("""COMPUTED_VALUE"""),21000)</f>
        <v>21000</v>
      </c>
      <c r="L265" s="8">
        <f ca="1">IFERROR(__xludf.DUMMYFUNCTION("""COMPUTED_VALUE"""),240.494732020155)</f>
        <v>240.494732020155</v>
      </c>
      <c r="M265" s="96">
        <f ca="1">IFERROR(__xludf.DUMMYFUNCTION("""COMPUTED_VALUE"""),44273)</f>
        <v>44273</v>
      </c>
      <c r="N265" s="6"/>
      <c r="O265" s="97"/>
      <c r="P265" s="6"/>
      <c r="Q265" s="6"/>
      <c r="R265" s="6"/>
      <c r="S265" s="6" t="str">
        <f ca="1">IFERROR(__xludf.DUMMYFUNCTION("""COMPUTED_VALUE"""),"Category")</f>
        <v>Category</v>
      </c>
      <c r="T265" s="6"/>
      <c r="U265" s="6"/>
      <c r="V265" s="6"/>
      <c r="W265" s="6"/>
      <c r="X265" s="6"/>
      <c r="Y265" s="6"/>
      <c r="Z265" s="6"/>
      <c r="AA265" s="6"/>
      <c r="AB265" s="6"/>
      <c r="AC265" s="6"/>
      <c r="AD265" s="6"/>
      <c r="AE265" s="6"/>
      <c r="AF265" s="6"/>
      <c r="AG265" s="6"/>
      <c r="AH265" s="6"/>
      <c r="AI265" s="6"/>
      <c r="AJ265" s="6"/>
      <c r="AK265" s="6"/>
      <c r="AL265" s="6"/>
    </row>
    <row r="266" spans="1:38">
      <c r="A266" s="96">
        <f ca="1">IFERROR(__xludf.DUMMYFUNCTION("""COMPUTED_VALUE"""),44251)</f>
        <v>44251</v>
      </c>
      <c r="B266" s="6" t="str">
        <f ca="1">IFERROR(__xludf.DUMMYFUNCTION("""COMPUTED_VALUE"""),"Bishakha")</f>
        <v>Bishakha</v>
      </c>
      <c r="C266" s="6" t="str">
        <f ca="1">IFERROR(__xludf.DUMMYFUNCTION("""COMPUTED_VALUE"""),"bishakhacool@gmail.com")</f>
        <v>bishakhacool@gmail.com</v>
      </c>
      <c r="D266" s="6">
        <f ca="1">IFERROR(__xludf.DUMMYFUNCTION("""COMPUTED_VALUE"""),8095316960)</f>
        <v>8095316960</v>
      </c>
      <c r="E266" s="6" t="str">
        <f ca="1">IFERROR(__xludf.DUMMYFUNCTION("""COMPUTED_VALUE"""),"Chat_triggered")</f>
        <v>Chat_triggered</v>
      </c>
      <c r="F266" s="6" t="str">
        <f ca="1">IFERROR(__xludf.DUMMYFUNCTION("""COMPUTED_VALUE"""),"CSM")</f>
        <v>CSM</v>
      </c>
      <c r="G266" s="80">
        <f ca="1">IFERROR(__xludf.DUMMYFUNCTION("""COMPUTED_VALUE"""),44228)</f>
        <v>44228</v>
      </c>
      <c r="H266" s="6" t="str">
        <f ca="1">IFERROR(__xludf.DUMMYFUNCTION("""COMPUTED_VALUE"""),"Won")</f>
        <v>Won</v>
      </c>
      <c r="I266" s="6" t="str">
        <f ca="1">IFERROR(__xludf.DUMMYFUNCTION("""COMPUTED_VALUE"""),"6-7 March 2021")</f>
        <v>6-7 March 2021</v>
      </c>
      <c r="J266" s="6">
        <f ca="1">IFERROR(__xludf.DUMMYFUNCTION("""COMPUTED_VALUE"""),1)</f>
        <v>1</v>
      </c>
      <c r="K266" s="8">
        <f ca="1">IFERROR(__xludf.DUMMYFUNCTION("""COMPUTED_VALUE"""),18500)</f>
        <v>18500</v>
      </c>
      <c r="L266" s="8">
        <f ca="1">IFERROR(__xludf.DUMMYFUNCTION("""COMPUTED_VALUE"""),211.864406779661)</f>
        <v>211.86440677966101</v>
      </c>
      <c r="M266" s="96">
        <f ca="1">IFERROR(__xludf.DUMMYFUNCTION("""COMPUTED_VALUE"""),44253)</f>
        <v>44253</v>
      </c>
      <c r="N266" s="6" t="str">
        <f ca="1">IFERROR(__xludf.DUMMYFUNCTION("""COMPUTED_VALUE"""),"W4")</f>
        <v>W4</v>
      </c>
      <c r="O266" s="97">
        <f ca="1">IFERROR(__xludf.DUMMYFUNCTION("""COMPUTED_VALUE"""),44253)</f>
        <v>44253</v>
      </c>
      <c r="P266" s="6" t="str">
        <f ca="1">IFERROR(__xludf.DUMMYFUNCTION("""COMPUTED_VALUE"""),"CSTM_79EDQRWXLY7")</f>
        <v>CSTM_79EDQRWXLY7</v>
      </c>
      <c r="Q266" s="6"/>
      <c r="R266" s="6" t="str">
        <f ca="1">IFERROR(__xludf.DUMMYFUNCTION("""COMPUTED_VALUE"""),"Done. Good feedback.")</f>
        <v>Done. Good feedback.</v>
      </c>
      <c r="S266" s="6" t="str">
        <f ca="1">IFERROR(__xludf.DUMMYFUNCTION("""COMPUTED_VALUE"""),"Category")</f>
        <v>Category</v>
      </c>
      <c r="T266" s="6"/>
      <c r="U266" s="6"/>
      <c r="V266" s="6"/>
      <c r="W266" s="6"/>
      <c r="X266" s="6"/>
      <c r="Y266" s="6"/>
      <c r="Z266" s="6"/>
      <c r="AA266" s="6"/>
      <c r="AB266" s="6"/>
      <c r="AC266" s="6"/>
      <c r="AD266" s="6"/>
      <c r="AE266" s="6"/>
      <c r="AF266" s="6"/>
      <c r="AG266" s="6"/>
      <c r="AH266" s="6"/>
      <c r="AI266" s="6"/>
      <c r="AJ266" s="6"/>
      <c r="AK266" s="6"/>
      <c r="AL266" s="6"/>
    </row>
    <row r="267" spans="1:38">
      <c r="A267" s="96">
        <f ca="1">IFERROR(__xludf.DUMMYFUNCTION("""COMPUTED_VALUE"""),44252)</f>
        <v>44252</v>
      </c>
      <c r="B267" s="6" t="str">
        <f ca="1">IFERROR(__xludf.DUMMYFUNCTION("""COMPUTED_VALUE"""),"Kanika")</f>
        <v>Kanika</v>
      </c>
      <c r="C267" s="6" t="str">
        <f ca="1">IFERROR(__xludf.DUMMYFUNCTION("""COMPUTED_VALUE"""),"kanikagugnani01@gmail.com")</f>
        <v>kanikagugnani01@gmail.com</v>
      </c>
      <c r="D267" s="6">
        <f ca="1">IFERROR(__xludf.DUMMYFUNCTION("""COMPUTED_VALUE"""),9538849481)</f>
        <v>9538849481</v>
      </c>
      <c r="E267" s="6" t="str">
        <f ca="1">IFERROR(__xludf.DUMMYFUNCTION("""COMPUTED_VALUE"""),"Chat_triggered")</f>
        <v>Chat_triggered</v>
      </c>
      <c r="F267" s="6" t="str">
        <f ca="1">IFERROR(__xludf.DUMMYFUNCTION("""COMPUTED_VALUE"""),"SAFe Agile")</f>
        <v>SAFe Agile</v>
      </c>
      <c r="G267" s="80">
        <f ca="1">IFERROR(__xludf.DUMMYFUNCTION("""COMPUTED_VALUE"""),44228)</f>
        <v>44228</v>
      </c>
      <c r="H267" s="6" t="str">
        <f ca="1">IFERROR(__xludf.DUMMYFUNCTION("""COMPUTED_VALUE"""),"Won")</f>
        <v>Won</v>
      </c>
      <c r="I267" s="6" t="str">
        <f ca="1">IFERROR(__xludf.DUMMYFUNCTION("""COMPUTED_VALUE"""),"6-7 March 2021")</f>
        <v>6-7 March 2021</v>
      </c>
      <c r="J267" s="6">
        <f ca="1">IFERROR(__xludf.DUMMYFUNCTION("""COMPUTED_VALUE"""),1)</f>
        <v>1</v>
      </c>
      <c r="K267" s="8">
        <f ca="1">IFERROR(__xludf.DUMMYFUNCTION("""COMPUTED_VALUE"""),45000)</f>
        <v>45000</v>
      </c>
      <c r="L267" s="8">
        <f ca="1">IFERROR(__xludf.DUMMYFUNCTION("""COMPUTED_VALUE"""),515.345854328905)</f>
        <v>515.34585432890503</v>
      </c>
      <c r="M267" s="96">
        <f ca="1">IFERROR(__xludf.DUMMYFUNCTION("""COMPUTED_VALUE"""),44253)</f>
        <v>44253</v>
      </c>
      <c r="N267" s="6" t="str">
        <f ca="1">IFERROR(__xludf.DUMMYFUNCTION("""COMPUTED_VALUE"""),"W4")</f>
        <v>W4</v>
      </c>
      <c r="O267" s="97">
        <f ca="1">IFERROR(__xludf.DUMMYFUNCTION("""COMPUTED_VALUE"""),44253)</f>
        <v>44253</v>
      </c>
      <c r="P267" s="6" t="str">
        <f ca="1">IFERROR(__xludf.DUMMYFUNCTION("""COMPUTED_VALUE"""),"CSTM_7SSEWEFNQ4Y")</f>
        <v>CSTM_7SSEWEFNQ4Y</v>
      </c>
      <c r="Q267" s="6"/>
      <c r="R267" s="6" t="str">
        <f ca="1">IFERROR(__xludf.DUMMYFUNCTION("""COMPUTED_VALUE"""),"Done. Good feedback.")</f>
        <v>Done. Good feedback.</v>
      </c>
      <c r="S267" s="6" t="str">
        <f ca="1">IFERROR(__xludf.DUMMYFUNCTION("""COMPUTED_VALUE"""),"SAFe")</f>
        <v>SAFe</v>
      </c>
      <c r="T267" s="6"/>
      <c r="U267" s="6"/>
      <c r="V267" s="6"/>
      <c r="W267" s="6"/>
      <c r="X267" s="6"/>
      <c r="Y267" s="6"/>
      <c r="Z267" s="6"/>
      <c r="AA267" s="6"/>
      <c r="AB267" s="6"/>
      <c r="AC267" s="6"/>
      <c r="AD267" s="6"/>
      <c r="AE267" s="6"/>
      <c r="AF267" s="6"/>
      <c r="AG267" s="6"/>
      <c r="AH267" s="6"/>
      <c r="AI267" s="6"/>
      <c r="AJ267" s="6"/>
      <c r="AK267" s="6"/>
      <c r="AL267" s="6"/>
    </row>
    <row r="268" spans="1:38">
      <c r="A268" s="96">
        <f ca="1">IFERROR(__xludf.DUMMYFUNCTION("""COMPUTED_VALUE"""),44249)</f>
        <v>44249</v>
      </c>
      <c r="B268" s="6" t="str">
        <f ca="1">IFERROR(__xludf.DUMMYFUNCTION("""COMPUTED_VALUE"""),"Appu Sindhe")</f>
        <v>Appu Sindhe</v>
      </c>
      <c r="C268" s="6" t="str">
        <f ca="1">IFERROR(__xludf.DUMMYFUNCTION("""COMPUTED_VALUE"""),"appu.sindhe@gmail.com")</f>
        <v>appu.sindhe@gmail.com</v>
      </c>
      <c r="D268" s="6"/>
      <c r="E268" s="6" t="str">
        <f ca="1">IFERROR(__xludf.DUMMYFUNCTION("""COMPUTED_VALUE"""),"Reference")</f>
        <v>Reference</v>
      </c>
      <c r="F268" s="6" t="str">
        <f ca="1">IFERROR(__xludf.DUMMYFUNCTION("""COMPUTED_VALUE"""),"CSM")</f>
        <v>CSM</v>
      </c>
      <c r="G268" s="80">
        <f ca="1">IFERROR(__xludf.DUMMYFUNCTION("""COMPUTED_VALUE"""),44228)</f>
        <v>44228</v>
      </c>
      <c r="H268" s="6" t="str">
        <f ca="1">IFERROR(__xludf.DUMMYFUNCTION("""COMPUTED_VALUE"""),"Opportunity")</f>
        <v>Opportunity</v>
      </c>
      <c r="I268" s="6" t="str">
        <f ca="1">IFERROR(__xludf.DUMMYFUNCTION("""COMPUTED_VALUE"""),"6-7 March 2021")</f>
        <v>6-7 March 2021</v>
      </c>
      <c r="J268" s="6">
        <f ca="1">IFERROR(__xludf.DUMMYFUNCTION("""COMPUTED_VALUE"""),1)</f>
        <v>1</v>
      </c>
      <c r="K268" s="8">
        <f ca="1">IFERROR(__xludf.DUMMYFUNCTION("""COMPUTED_VALUE"""),20000)</f>
        <v>20000</v>
      </c>
      <c r="L268" s="8">
        <f ca="1">IFERROR(__xludf.DUMMYFUNCTION("""COMPUTED_VALUE"""),229.042601923957)</f>
        <v>229.04260192395699</v>
      </c>
      <c r="M268" s="96">
        <f ca="1">IFERROR(__xludf.DUMMYFUNCTION("""COMPUTED_VALUE"""),44252)</f>
        <v>44252</v>
      </c>
      <c r="N268" s="6"/>
      <c r="O268" s="97"/>
      <c r="P268" s="6"/>
      <c r="Q268" s="6" t="str">
        <f ca="1">IFERROR(__xludf.DUMMYFUNCTION("""COMPUTED_VALUE"""),"Reference by Preeti Poojari")</f>
        <v>Reference by Preeti Poojari</v>
      </c>
      <c r="R268" s="6"/>
      <c r="S268" s="6" t="str">
        <f ca="1">IFERROR(__xludf.DUMMYFUNCTION("""COMPUTED_VALUE"""),"Category")</f>
        <v>Category</v>
      </c>
      <c r="T268" s="6"/>
      <c r="U268" s="6"/>
      <c r="V268" s="6"/>
      <c r="W268" s="6"/>
      <c r="X268" s="6"/>
      <c r="Y268" s="6"/>
      <c r="Z268" s="6"/>
      <c r="AA268" s="6"/>
      <c r="AB268" s="6"/>
      <c r="AC268" s="6"/>
      <c r="AD268" s="6"/>
      <c r="AE268" s="6"/>
      <c r="AF268" s="6"/>
      <c r="AG268" s="6"/>
      <c r="AH268" s="6"/>
      <c r="AI268" s="6"/>
      <c r="AJ268" s="6"/>
      <c r="AK268" s="6"/>
      <c r="AL268" s="6"/>
    </row>
    <row r="269" spans="1:38">
      <c r="A269" s="96">
        <f ca="1">IFERROR(__xludf.DUMMYFUNCTION("""COMPUTED_VALUE"""),44253)</f>
        <v>44253</v>
      </c>
      <c r="B269" s="6" t="str">
        <f ca="1">IFERROR(__xludf.DUMMYFUNCTION("""COMPUTED_VALUE"""),"Shrikant Zawar")</f>
        <v>Shrikant Zawar</v>
      </c>
      <c r="C269" s="6" t="str">
        <f ca="1">IFERROR(__xludf.DUMMYFUNCTION("""COMPUTED_VALUE"""),"shrikant.zawar@cognizant.com")</f>
        <v>shrikant.zawar@cognizant.com</v>
      </c>
      <c r="D269" s="6">
        <f ca="1">IFERROR(__xludf.DUMMYFUNCTION("""COMPUTED_VALUE"""),9765000509)</f>
        <v>9765000509</v>
      </c>
      <c r="E269" s="6" t="str">
        <f ca="1">IFERROR(__xludf.DUMMYFUNCTION("""COMPUTED_VALUE"""),"Query box")</f>
        <v>Query box</v>
      </c>
      <c r="F269" s="6" t="str">
        <f ca="1">IFERROR(__xludf.DUMMYFUNCTION("""COMPUTED_VALUE"""),"PSM")</f>
        <v>PSM</v>
      </c>
      <c r="G269" s="80">
        <f ca="1">IFERROR(__xludf.DUMMYFUNCTION("""COMPUTED_VALUE"""),44228)</f>
        <v>44228</v>
      </c>
      <c r="H269" s="6" t="str">
        <f ca="1">IFERROR(__xludf.DUMMYFUNCTION("""COMPUTED_VALUE"""),"Won")</f>
        <v>Won</v>
      </c>
      <c r="I269" s="6" t="str">
        <f ca="1">IFERROR(__xludf.DUMMYFUNCTION("""COMPUTED_VALUE"""),"27-28 Feb 2021")</f>
        <v>27-28 Feb 2021</v>
      </c>
      <c r="J269" s="6">
        <f ca="1">IFERROR(__xludf.DUMMYFUNCTION("""COMPUTED_VALUE"""),1)</f>
        <v>1</v>
      </c>
      <c r="K269" s="8">
        <f ca="1">IFERROR(__xludf.DUMMYFUNCTION("""COMPUTED_VALUE"""),21000)</f>
        <v>21000</v>
      </c>
      <c r="L269" s="8">
        <f ca="1">IFERROR(__xludf.DUMMYFUNCTION("""COMPUTED_VALUE"""),240.494732020155)</f>
        <v>240.494732020155</v>
      </c>
      <c r="M269" s="96">
        <f ca="1">IFERROR(__xludf.DUMMYFUNCTION("""COMPUTED_VALUE"""),44253)</f>
        <v>44253</v>
      </c>
      <c r="N269" s="6" t="str">
        <f ca="1">IFERROR(__xludf.DUMMYFUNCTION("""COMPUTED_VALUE"""),"W4")</f>
        <v>W4</v>
      </c>
      <c r="O269" s="97">
        <f ca="1">IFERROR(__xludf.DUMMYFUNCTION("""COMPUTED_VALUE"""),44253)</f>
        <v>44253</v>
      </c>
      <c r="P269" s="6" t="str">
        <f ca="1">IFERROR(__xludf.DUMMYFUNCTION("""COMPUTED_VALUE"""),"CSTM_73QXO1T8Z6N")</f>
        <v>CSTM_73QXO1T8Z6N</v>
      </c>
      <c r="Q269" s="6"/>
      <c r="R269" s="6" t="str">
        <f ca="1">IFERROR(__xludf.DUMMYFUNCTION("""COMPUTED_VALUE"""),"Done. Avg. feedback.")</f>
        <v>Done. Avg. feedback.</v>
      </c>
      <c r="S269" s="6" t="str">
        <f ca="1">IFERROR(__xludf.DUMMYFUNCTION("""COMPUTED_VALUE"""),"Category")</f>
        <v>Category</v>
      </c>
      <c r="T269" s="6"/>
      <c r="U269" s="6"/>
      <c r="V269" s="6"/>
      <c r="W269" s="6"/>
      <c r="X269" s="6"/>
      <c r="Y269" s="6"/>
      <c r="Z269" s="6"/>
      <c r="AA269" s="6"/>
      <c r="AB269" s="6"/>
      <c r="AC269" s="6"/>
      <c r="AD269" s="6"/>
      <c r="AE269" s="6"/>
      <c r="AF269" s="6"/>
      <c r="AG269" s="6"/>
      <c r="AH269" s="6"/>
      <c r="AI269" s="6"/>
      <c r="AJ269" s="6"/>
      <c r="AK269" s="6"/>
      <c r="AL269" s="6"/>
    </row>
    <row r="270" spans="1:38">
      <c r="A270" s="96">
        <f ca="1">IFERROR(__xludf.DUMMYFUNCTION("""COMPUTED_VALUE"""),44250)</f>
        <v>44250</v>
      </c>
      <c r="B270" s="6" t="str">
        <f ca="1">IFERROR(__xludf.DUMMYFUNCTION("""COMPUTED_VALUE"""),"Shweta Ramesh")</f>
        <v>Shweta Ramesh</v>
      </c>
      <c r="C270" s="6" t="str">
        <f ca="1">IFERROR(__xludf.DUMMYFUNCTION("""COMPUTED_VALUE"""),"shvetar9@yahoo.com")</f>
        <v>shvetar9@yahoo.com</v>
      </c>
      <c r="D270" s="6">
        <f ca="1">IFERROR(__xludf.DUMMYFUNCTION("""COMPUTED_VALUE"""),9742070432)</f>
        <v>9742070432</v>
      </c>
      <c r="E270" s="6" t="str">
        <f ca="1">IFERROR(__xludf.DUMMYFUNCTION("""COMPUTED_VALUE"""),"Bundle Agenda")</f>
        <v>Bundle Agenda</v>
      </c>
      <c r="F270" s="6" t="str">
        <f ca="1">IFERROR(__xludf.DUMMYFUNCTION("""COMPUTED_VALUE"""),"CSM")</f>
        <v>CSM</v>
      </c>
      <c r="G270" s="80">
        <f ca="1">IFERROR(__xludf.DUMMYFUNCTION("""COMPUTED_VALUE"""),44228)</f>
        <v>44228</v>
      </c>
      <c r="H270" s="6" t="str">
        <f ca="1">IFERROR(__xludf.DUMMYFUNCTION("""COMPUTED_VALUE"""),"Won")</f>
        <v>Won</v>
      </c>
      <c r="I270" s="6" t="str">
        <f ca="1">IFERROR(__xludf.DUMMYFUNCTION("""COMPUTED_VALUE"""),"17-18 April 2021")</f>
        <v>17-18 April 2021</v>
      </c>
      <c r="J270" s="6">
        <f ca="1">IFERROR(__xludf.DUMMYFUNCTION("""COMPUTED_VALUE"""),1)</f>
        <v>1</v>
      </c>
      <c r="K270" s="8">
        <f ca="1">IFERROR(__xludf.DUMMYFUNCTION("""COMPUTED_VALUE"""),20000)</f>
        <v>20000</v>
      </c>
      <c r="L270" s="8">
        <f ca="1">IFERROR(__xludf.DUMMYFUNCTION("""COMPUTED_VALUE"""),229.042601923957)</f>
        <v>229.04260192395699</v>
      </c>
      <c r="M270" s="96">
        <f ca="1">IFERROR(__xludf.DUMMYFUNCTION("""COMPUTED_VALUE"""),44259)</f>
        <v>44259</v>
      </c>
      <c r="N270" s="6" t="str">
        <f ca="1">IFERROR(__xludf.DUMMYFUNCTION("""COMPUTED_VALUE"""),"W4")</f>
        <v>W4</v>
      </c>
      <c r="O270" s="97">
        <f ca="1">IFERROR(__xludf.DUMMYFUNCTION("""COMPUTED_VALUE"""),44253)</f>
        <v>44253</v>
      </c>
      <c r="P270" s="6" t="str">
        <f ca="1">IFERROR(__xludf.DUMMYFUNCTION("""COMPUTED_VALUE"""),"CSTM_8YLLU2UZ019")</f>
        <v>CSTM_8YLLU2UZ019</v>
      </c>
      <c r="Q270" s="6"/>
      <c r="R270" s="6" t="str">
        <f ca="1">IFERROR(__xludf.DUMMYFUNCTION("""COMPUTED_VALUE"""),"Done. Good feedback.")</f>
        <v>Done. Good feedback.</v>
      </c>
      <c r="S270" s="6" t="str">
        <f ca="1">IFERROR(__xludf.DUMMYFUNCTION("""COMPUTED_VALUE"""),"Category")</f>
        <v>Category</v>
      </c>
      <c r="T270" s="6"/>
      <c r="U270" s="6"/>
      <c r="V270" s="6"/>
      <c r="W270" s="6"/>
      <c r="X270" s="6"/>
      <c r="Y270" s="6"/>
      <c r="Z270" s="6"/>
      <c r="AA270" s="6"/>
      <c r="AB270" s="6"/>
      <c r="AC270" s="6"/>
      <c r="AD270" s="6"/>
      <c r="AE270" s="6"/>
      <c r="AF270" s="6"/>
      <c r="AG270" s="6"/>
      <c r="AH270" s="6"/>
      <c r="AI270" s="6"/>
      <c r="AJ270" s="6"/>
      <c r="AK270" s="6"/>
      <c r="AL270" s="6"/>
    </row>
    <row r="271" spans="1:38">
      <c r="A271" s="96">
        <f ca="1">IFERROR(__xludf.DUMMYFUNCTION("""COMPUTED_VALUE"""),44230)</f>
        <v>44230</v>
      </c>
      <c r="B271" s="6" t="str">
        <f ca="1">IFERROR(__xludf.DUMMYFUNCTION("""COMPUTED_VALUE"""),"Amber Nagpal")</f>
        <v>Amber Nagpal</v>
      </c>
      <c r="C271" s="6" t="str">
        <f ca="1">IFERROR(__xludf.DUMMYFUNCTION("""COMPUTED_VALUE"""),"amber.nagpal.work@gmail.com/ nagpal.amber@yahoo.com")</f>
        <v>amber.nagpal.work@gmail.com/ nagpal.amber@yahoo.com</v>
      </c>
      <c r="D271" s="6">
        <f ca="1">IFERROR(__xludf.DUMMYFUNCTION("""COMPUTED_VALUE"""),7014281717)</f>
        <v>7014281717</v>
      </c>
      <c r="E271" s="6" t="str">
        <f ca="1">IFERROR(__xludf.DUMMYFUNCTION("""COMPUTED_VALUE"""),"Query box")</f>
        <v>Query box</v>
      </c>
      <c r="F271" s="6" t="str">
        <f ca="1">IFERROR(__xludf.DUMMYFUNCTION("""COMPUTED_VALUE"""),"CSM")</f>
        <v>CSM</v>
      </c>
      <c r="G271" s="80">
        <f ca="1">IFERROR(__xludf.DUMMYFUNCTION("""COMPUTED_VALUE"""),44228)</f>
        <v>44228</v>
      </c>
      <c r="H271" s="6" t="str">
        <f ca="1">IFERROR(__xludf.DUMMYFUNCTION("""COMPUTED_VALUE"""),"Won")</f>
        <v>Won</v>
      </c>
      <c r="I271" s="6" t="str">
        <f ca="1">IFERROR(__xludf.DUMMYFUNCTION("""COMPUTED_VALUE"""),"20-21 March 2021")</f>
        <v>20-21 March 2021</v>
      </c>
      <c r="J271" s="6">
        <f ca="1">IFERROR(__xludf.DUMMYFUNCTION("""COMPUTED_VALUE"""),1)</f>
        <v>1</v>
      </c>
      <c r="K271" s="8">
        <f ca="1">IFERROR(__xludf.DUMMYFUNCTION("""COMPUTED_VALUE"""),18000)</f>
        <v>18000</v>
      </c>
      <c r="L271" s="8">
        <f ca="1">IFERROR(__xludf.DUMMYFUNCTION("""COMPUTED_VALUE"""),206.138341731562)</f>
        <v>206.13834173156201</v>
      </c>
      <c r="M271" s="96">
        <f ca="1">IFERROR(__xludf.DUMMYFUNCTION("""COMPUTED_VALUE"""),44230)</f>
        <v>44230</v>
      </c>
      <c r="N271" s="6" t="str">
        <f ca="1">IFERROR(__xludf.DUMMYFUNCTION("""COMPUTED_VALUE"""),"W4")</f>
        <v>W4</v>
      </c>
      <c r="O271" s="97">
        <f ca="1">IFERROR(__xludf.DUMMYFUNCTION("""COMPUTED_VALUE"""),44254)</f>
        <v>44254</v>
      </c>
      <c r="P271" s="6" t="str">
        <f ca="1">IFERROR(__xludf.DUMMYFUNCTION("""COMPUTED_VALUE"""),"CSTM_CFBUN1VOX5K")</f>
        <v>CSTM_CFBUN1VOX5K</v>
      </c>
      <c r="Q271" s="6"/>
      <c r="R271" s="6"/>
      <c r="S271" s="6" t="str">
        <f ca="1">IFERROR(__xludf.DUMMYFUNCTION("""COMPUTED_VALUE"""),"Category")</f>
        <v>Category</v>
      </c>
      <c r="T271" s="6"/>
      <c r="U271" s="6"/>
      <c r="V271" s="6"/>
      <c r="W271" s="6"/>
      <c r="X271" s="6"/>
      <c r="Y271" s="6"/>
      <c r="Z271" s="6"/>
      <c r="AA271" s="6"/>
      <c r="AB271" s="6"/>
      <c r="AC271" s="6"/>
      <c r="AD271" s="6"/>
      <c r="AE271" s="6"/>
      <c r="AF271" s="6"/>
      <c r="AG271" s="6"/>
      <c r="AH271" s="6"/>
      <c r="AI271" s="6"/>
      <c r="AJ271" s="6"/>
      <c r="AK271" s="6"/>
      <c r="AL271" s="6"/>
    </row>
    <row r="272" spans="1:38">
      <c r="A272" s="96">
        <f ca="1">IFERROR(__xludf.DUMMYFUNCTION("""COMPUTED_VALUE"""),44253)</f>
        <v>44253</v>
      </c>
      <c r="B272" s="6" t="str">
        <f ca="1">IFERROR(__xludf.DUMMYFUNCTION("""COMPUTED_VALUE"""),"Sakshi Gupta")</f>
        <v>Sakshi Gupta</v>
      </c>
      <c r="C272" s="6" t="str">
        <f ca="1">IFERROR(__xludf.DUMMYFUNCTION("""COMPUTED_VALUE"""),"sakshi27gupta@gmail.com")</f>
        <v>sakshi27gupta@gmail.com</v>
      </c>
      <c r="D272" s="6">
        <f ca="1">IFERROR(__xludf.DUMMYFUNCTION("""COMPUTED_VALUE"""),9711455827)</f>
        <v>9711455827</v>
      </c>
      <c r="E272" s="6" t="str">
        <f ca="1">IFERROR(__xludf.DUMMYFUNCTION("""COMPUTED_VALUE"""),"Chat_triggered")</f>
        <v>Chat_triggered</v>
      </c>
      <c r="F272" s="6" t="str">
        <f ca="1">IFERROR(__xludf.DUMMYFUNCTION("""COMPUTED_VALUE"""),"SAFe Agile")</f>
        <v>SAFe Agile</v>
      </c>
      <c r="G272" s="80">
        <f ca="1">IFERROR(__xludf.DUMMYFUNCTION("""COMPUTED_VALUE"""),44256)</f>
        <v>44256</v>
      </c>
      <c r="H272" s="6" t="str">
        <f ca="1">IFERROR(__xludf.DUMMYFUNCTION("""COMPUTED_VALUE"""),"Won")</f>
        <v>Won</v>
      </c>
      <c r="I272" s="6" t="str">
        <f ca="1">IFERROR(__xludf.DUMMYFUNCTION("""COMPUTED_VALUE"""),"8-9 May 2021")</f>
        <v>8-9 May 2021</v>
      </c>
      <c r="J272" s="6">
        <f ca="1">IFERROR(__xludf.DUMMYFUNCTION("""COMPUTED_VALUE"""),1)</f>
        <v>1</v>
      </c>
      <c r="K272" s="8">
        <f ca="1">IFERROR(__xludf.DUMMYFUNCTION("""COMPUTED_VALUE"""),45000)</f>
        <v>45000</v>
      </c>
      <c r="L272" s="8">
        <f ca="1">IFERROR(__xludf.DUMMYFUNCTION("""COMPUTED_VALUE"""),515.345854328905)</f>
        <v>515.34585432890503</v>
      </c>
      <c r="M272" s="96">
        <f ca="1">IFERROR(__xludf.DUMMYFUNCTION("""COMPUTED_VALUE"""),44254)</f>
        <v>44254</v>
      </c>
      <c r="N272" s="6" t="str">
        <f ca="1">IFERROR(__xludf.DUMMYFUNCTION("""COMPUTED_VALUE"""),"W1")</f>
        <v>W1</v>
      </c>
      <c r="O272" s="97">
        <f ca="1">IFERROR(__xludf.DUMMYFUNCTION("""COMPUTED_VALUE"""),44256)</f>
        <v>44256</v>
      </c>
      <c r="P272" s="6" t="str">
        <f ca="1">IFERROR(__xludf.DUMMYFUNCTION("""COMPUTED_VALUE"""),"CSTM_HAFYRRP9HDD")</f>
        <v>CSTM_HAFYRRP9HDD</v>
      </c>
      <c r="Q272" s="6"/>
      <c r="R272" s="6" t="str">
        <f ca="1">IFERROR(__xludf.DUMMYFUNCTION("""COMPUTED_VALUE"""),"Done. Good feedback.")</f>
        <v>Done. Good feedback.</v>
      </c>
      <c r="S272" s="6" t="str">
        <f ca="1">IFERROR(__xludf.DUMMYFUNCTION("""COMPUTED_VALUE"""),"SAFe")</f>
        <v>SAFe</v>
      </c>
      <c r="T272" s="6"/>
      <c r="U272" s="6"/>
      <c r="V272" s="6"/>
      <c r="W272" s="6"/>
      <c r="X272" s="6"/>
      <c r="Y272" s="6"/>
      <c r="Z272" s="6"/>
      <c r="AA272" s="6"/>
      <c r="AB272" s="6"/>
      <c r="AC272" s="6"/>
      <c r="AD272" s="6"/>
      <c r="AE272" s="6"/>
      <c r="AF272" s="6"/>
      <c r="AG272" s="6"/>
      <c r="AH272" s="6"/>
      <c r="AI272" s="6"/>
      <c r="AJ272" s="6"/>
      <c r="AK272" s="6"/>
      <c r="AL272" s="6"/>
    </row>
    <row r="273" spans="1:38">
      <c r="A273" s="96">
        <f ca="1">IFERROR(__xludf.DUMMYFUNCTION("""COMPUTED_VALUE"""),44252)</f>
        <v>44252</v>
      </c>
      <c r="B273" s="6" t="str">
        <f ca="1">IFERROR(__xludf.DUMMYFUNCTION("""COMPUTED_VALUE"""),"Sreejay K M")</f>
        <v>Sreejay K M</v>
      </c>
      <c r="C273" s="6" t="str">
        <f ca="1">IFERROR(__xludf.DUMMYFUNCTION("""COMPUTED_VALUE"""),"s.kadampatta-mana@shell.com")</f>
        <v>s.kadampatta-mana@shell.com</v>
      </c>
      <c r="D273" s="6">
        <f ca="1">IFERROR(__xludf.DUMMYFUNCTION("""COMPUTED_VALUE"""),8939889391)</f>
        <v>8939889391</v>
      </c>
      <c r="E273" s="6" t="str">
        <f ca="1">IFERROR(__xludf.DUMMYFUNCTION("""COMPUTED_VALUE"""),"Reference")</f>
        <v>Reference</v>
      </c>
      <c r="F273" s="6" t="str">
        <f ca="1">IFERROR(__xludf.DUMMYFUNCTION("""COMPUTED_VALUE"""),"CSM")</f>
        <v>CSM</v>
      </c>
      <c r="G273" s="80">
        <f ca="1">IFERROR(__xludf.DUMMYFUNCTION("""COMPUTED_VALUE"""),44228)</f>
        <v>44228</v>
      </c>
      <c r="H273" s="6" t="str">
        <f ca="1">IFERROR(__xludf.DUMMYFUNCTION("""COMPUTED_VALUE"""),"Opportunity")</f>
        <v>Opportunity</v>
      </c>
      <c r="I273" s="6" t="str">
        <f ca="1">IFERROR(__xludf.DUMMYFUNCTION("""COMPUTED_VALUE"""),"6-7 March 2021")</f>
        <v>6-7 March 2021</v>
      </c>
      <c r="J273" s="6">
        <f ca="1">IFERROR(__xludf.DUMMYFUNCTION("""COMPUTED_VALUE"""),1)</f>
        <v>1</v>
      </c>
      <c r="K273" s="8">
        <f ca="1">IFERROR(__xludf.DUMMYFUNCTION("""COMPUTED_VALUE"""),24780)</f>
        <v>24780</v>
      </c>
      <c r="L273" s="8">
        <f ca="1">IFERROR(__xludf.DUMMYFUNCTION("""COMPUTED_VALUE"""),283.783783783783)</f>
        <v>283.78378378378301</v>
      </c>
      <c r="M273" s="96">
        <f ca="1">IFERROR(__xludf.DUMMYFUNCTION("""COMPUTED_VALUE"""),44254)</f>
        <v>44254</v>
      </c>
      <c r="N273" s="6"/>
      <c r="O273" s="97"/>
      <c r="P273" s="6"/>
      <c r="Q273" s="6"/>
      <c r="R273" s="6"/>
      <c r="S273" s="6" t="str">
        <f ca="1">IFERROR(__xludf.DUMMYFUNCTION("""COMPUTED_VALUE"""),"Category")</f>
        <v>Category</v>
      </c>
      <c r="T273" s="6"/>
      <c r="U273" s="6"/>
      <c r="V273" s="6"/>
      <c r="W273" s="6"/>
      <c r="X273" s="6"/>
      <c r="Y273" s="6"/>
      <c r="Z273" s="6"/>
      <c r="AA273" s="6"/>
      <c r="AB273" s="6"/>
      <c r="AC273" s="6"/>
      <c r="AD273" s="6"/>
      <c r="AE273" s="6"/>
      <c r="AF273" s="6"/>
      <c r="AG273" s="6"/>
      <c r="AH273" s="6"/>
      <c r="AI273" s="6"/>
      <c r="AJ273" s="6"/>
      <c r="AK273" s="6"/>
      <c r="AL273" s="6"/>
    </row>
    <row r="274" spans="1:38">
      <c r="A274" s="96">
        <f ca="1">IFERROR(__xludf.DUMMYFUNCTION("""COMPUTED_VALUE"""),44252)</f>
        <v>44252</v>
      </c>
      <c r="B274" s="6" t="str">
        <f ca="1">IFERROR(__xludf.DUMMYFUNCTION("""COMPUTED_VALUE"""),"Onkar Nath")</f>
        <v>Onkar Nath</v>
      </c>
      <c r="C274" s="6" t="str">
        <f ca="1">IFERROR(__xludf.DUMMYFUNCTION("""COMPUTED_VALUE"""),"onkar13890@gmail.com")</f>
        <v>onkar13890@gmail.com</v>
      </c>
      <c r="D274" s="6">
        <f ca="1">IFERROR(__xludf.DUMMYFUNCTION("""COMPUTED_VALUE"""),9538668177)</f>
        <v>9538668177</v>
      </c>
      <c r="E274" s="6" t="str">
        <f ca="1">IFERROR(__xludf.DUMMYFUNCTION("""COMPUTED_VALUE"""),"Query box")</f>
        <v>Query box</v>
      </c>
      <c r="F274" s="6" t="str">
        <f ca="1">IFERROR(__xludf.DUMMYFUNCTION("""COMPUTED_VALUE"""),"CSM")</f>
        <v>CSM</v>
      </c>
      <c r="G274" s="80">
        <f ca="1">IFERROR(__xludf.DUMMYFUNCTION("""COMPUTED_VALUE"""),44256)</f>
        <v>44256</v>
      </c>
      <c r="H274" s="6" t="str">
        <f ca="1">IFERROR(__xludf.DUMMYFUNCTION("""COMPUTED_VALUE"""),"Opportunity")</f>
        <v>Opportunity</v>
      </c>
      <c r="I274" s="6" t="str">
        <f ca="1">IFERROR(__xludf.DUMMYFUNCTION("""COMPUTED_VALUE"""),"20-21 March 2021")</f>
        <v>20-21 March 2021</v>
      </c>
      <c r="J274" s="6">
        <f ca="1">IFERROR(__xludf.DUMMYFUNCTION("""COMPUTED_VALUE"""),1)</f>
        <v>1</v>
      </c>
      <c r="K274" s="8">
        <f ca="1">IFERROR(__xludf.DUMMYFUNCTION("""COMPUTED_VALUE"""),20000)</f>
        <v>20000</v>
      </c>
      <c r="L274" s="8">
        <f ca="1">IFERROR(__xludf.DUMMYFUNCTION("""COMPUTED_VALUE"""),229.042601923957)</f>
        <v>229.04260192395699</v>
      </c>
      <c r="M274" s="96">
        <f ca="1">IFERROR(__xludf.DUMMYFUNCTION("""COMPUTED_VALUE"""),44267)</f>
        <v>44267</v>
      </c>
      <c r="N274" s="6"/>
      <c r="O274" s="97"/>
      <c r="P274" s="6"/>
      <c r="Q274" s="6"/>
      <c r="R274" s="6"/>
      <c r="S274" s="6" t="str">
        <f ca="1">IFERROR(__xludf.DUMMYFUNCTION("""COMPUTED_VALUE"""),"Category")</f>
        <v>Category</v>
      </c>
      <c r="T274" s="6"/>
      <c r="U274" s="6"/>
      <c r="V274" s="6"/>
      <c r="W274" s="6"/>
      <c r="X274" s="6"/>
      <c r="Y274" s="6"/>
      <c r="Z274" s="6"/>
      <c r="AA274" s="6"/>
      <c r="AB274" s="6"/>
      <c r="AC274" s="6"/>
      <c r="AD274" s="6"/>
      <c r="AE274" s="6"/>
      <c r="AF274" s="6"/>
      <c r="AG274" s="6"/>
      <c r="AH274" s="6"/>
      <c r="AI274" s="6"/>
      <c r="AJ274" s="6"/>
      <c r="AK274" s="6"/>
      <c r="AL274" s="6"/>
    </row>
    <row r="275" spans="1:38">
      <c r="A275" s="96">
        <f ca="1">IFERROR(__xludf.DUMMYFUNCTION("""COMPUTED_VALUE"""),44257)</f>
        <v>44257</v>
      </c>
      <c r="B275" s="6" t="str">
        <f ca="1">IFERROR(__xludf.DUMMYFUNCTION("""COMPUTED_VALUE"""),"Parul Agarwal")</f>
        <v>Parul Agarwal</v>
      </c>
      <c r="C275" s="6" t="str">
        <f ca="1">IFERROR(__xludf.DUMMYFUNCTION("""COMPUTED_VALUE"""),"agarwalparul21@gmail.com")</f>
        <v>agarwalparul21@gmail.com</v>
      </c>
      <c r="D275" s="6">
        <f ca="1">IFERROR(__xludf.DUMMYFUNCTION("""COMPUTED_VALUE"""),9769859929)</f>
        <v>9769859929</v>
      </c>
      <c r="E275" s="6" t="str">
        <f ca="1">IFERROR(__xludf.DUMMYFUNCTION("""COMPUTED_VALUE"""),"auto repeat lead")</f>
        <v>auto repeat lead</v>
      </c>
      <c r="F275" s="6" t="str">
        <f ca="1">IFERROR(__xludf.DUMMYFUNCTION("""COMPUTED_VALUE"""),"Selenium 3.0")</f>
        <v>Selenium 3.0</v>
      </c>
      <c r="G275" s="80">
        <f ca="1">IFERROR(__xludf.DUMMYFUNCTION("""COMPUTED_VALUE"""),44256)</f>
        <v>44256</v>
      </c>
      <c r="H275" s="6" t="str">
        <f ca="1">IFERROR(__xludf.DUMMYFUNCTION("""COMPUTED_VALUE"""),"Won")</f>
        <v>Won</v>
      </c>
      <c r="I275" s="6" t="str">
        <f ca="1">IFERROR(__xludf.DUMMYFUNCTION("""COMPUTED_VALUE"""),"March 2021")</f>
        <v>March 2021</v>
      </c>
      <c r="J275" s="6">
        <f ca="1">IFERROR(__xludf.DUMMYFUNCTION("""COMPUTED_VALUE"""),1)</f>
        <v>1</v>
      </c>
      <c r="K275" s="8">
        <f ca="1">IFERROR(__xludf.DUMMYFUNCTION("""COMPUTED_VALUE"""),11000)</f>
        <v>11000</v>
      </c>
      <c r="L275" s="8">
        <f ca="1">IFERROR(__xludf.DUMMYFUNCTION("""COMPUTED_VALUE"""),125.973431058176)</f>
        <v>125.973431058176</v>
      </c>
      <c r="M275" s="96">
        <f ca="1">IFERROR(__xludf.DUMMYFUNCTION("""COMPUTED_VALUE"""),44257)</f>
        <v>44257</v>
      </c>
      <c r="N275" s="6" t="str">
        <f ca="1">IFERROR(__xludf.DUMMYFUNCTION("""COMPUTED_VALUE"""),"W1")</f>
        <v>W1</v>
      </c>
      <c r="O275" s="97">
        <f ca="1">IFERROR(__xludf.DUMMYFUNCTION("""COMPUTED_VALUE"""),44257)</f>
        <v>44257</v>
      </c>
      <c r="P275" s="6" t="str">
        <f ca="1">IFERROR(__xludf.DUMMYFUNCTION("""COMPUTED_VALUE"""),"CSTM_CQ1P4MW7JPJ")</f>
        <v>CSTM_CQ1P4MW7JPJ</v>
      </c>
      <c r="Q275" s="6"/>
      <c r="R275" s="6"/>
      <c r="S275" s="6" t="str">
        <f ca="1">IFERROR(__xludf.DUMMYFUNCTION("""COMPUTED_VALUE"""),"NonCategory")</f>
        <v>NonCategory</v>
      </c>
      <c r="T275" s="6"/>
      <c r="U275" s="6"/>
      <c r="V275" s="6"/>
      <c r="W275" s="6"/>
      <c r="X275" s="6"/>
      <c r="Y275" s="6"/>
      <c r="Z275" s="6"/>
      <c r="AA275" s="6"/>
      <c r="AB275" s="6"/>
      <c r="AC275" s="6"/>
      <c r="AD275" s="6"/>
      <c r="AE275" s="6"/>
      <c r="AF275" s="6"/>
      <c r="AG275" s="6"/>
      <c r="AH275" s="6"/>
      <c r="AI275" s="6"/>
      <c r="AJ275" s="6"/>
      <c r="AK275" s="6"/>
      <c r="AL275" s="6"/>
    </row>
    <row r="276" spans="1:38">
      <c r="A276" s="96">
        <f ca="1">IFERROR(__xludf.DUMMYFUNCTION("""COMPUTED_VALUE"""),44257)</f>
        <v>44257</v>
      </c>
      <c r="B276" s="6" t="str">
        <f ca="1">IFERROR(__xludf.DUMMYFUNCTION("""COMPUTED_VALUE"""),"Hitesh Mehra")</f>
        <v>Hitesh Mehra</v>
      </c>
      <c r="C276" s="6" t="str">
        <f ca="1">IFERROR(__xludf.DUMMYFUNCTION("""COMPUTED_VALUE"""),"hiteshmehra.81.hm@gmail.com")</f>
        <v>hiteshmehra.81.hm@gmail.com</v>
      </c>
      <c r="D276" s="6">
        <f ca="1">IFERROR(__xludf.DUMMYFUNCTION("""COMPUTED_VALUE"""),8884638383)</f>
        <v>8884638383</v>
      </c>
      <c r="E276" s="6" t="str">
        <f ca="1">IFERROR(__xludf.DUMMYFUNCTION("""COMPUTED_VALUE"""),"Query box")</f>
        <v>Query box</v>
      </c>
      <c r="F276" s="6" t="str">
        <f ca="1">IFERROR(__xludf.DUMMYFUNCTION("""COMPUTED_VALUE"""),"PSM")</f>
        <v>PSM</v>
      </c>
      <c r="G276" s="80">
        <f ca="1">IFERROR(__xludf.DUMMYFUNCTION("""COMPUTED_VALUE"""),44256)</f>
        <v>44256</v>
      </c>
      <c r="H276" s="6" t="str">
        <f ca="1">IFERROR(__xludf.DUMMYFUNCTION("""COMPUTED_VALUE"""),"Won")</f>
        <v>Won</v>
      </c>
      <c r="I276" s="6" t="str">
        <f ca="1">IFERROR(__xludf.DUMMYFUNCTION("""COMPUTED_VALUE"""),"6-7 March 2021")</f>
        <v>6-7 March 2021</v>
      </c>
      <c r="J276" s="6">
        <f ca="1">IFERROR(__xludf.DUMMYFUNCTION("""COMPUTED_VALUE"""),1)</f>
        <v>1</v>
      </c>
      <c r="K276" s="8">
        <f ca="1">IFERROR(__xludf.DUMMYFUNCTION("""COMPUTED_VALUE"""),21000)</f>
        <v>21000</v>
      </c>
      <c r="L276" s="8">
        <f ca="1">IFERROR(__xludf.DUMMYFUNCTION("""COMPUTED_VALUE"""),240.494732020155)</f>
        <v>240.494732020155</v>
      </c>
      <c r="M276" s="96">
        <f ca="1">IFERROR(__xludf.DUMMYFUNCTION("""COMPUTED_VALUE"""),44257)</f>
        <v>44257</v>
      </c>
      <c r="N276" s="6" t="str">
        <f ca="1">IFERROR(__xludf.DUMMYFUNCTION("""COMPUTED_VALUE"""),"W1")</f>
        <v>W1</v>
      </c>
      <c r="O276" s="97">
        <f ca="1">IFERROR(__xludf.DUMMYFUNCTION("""COMPUTED_VALUE"""),44257)</f>
        <v>44257</v>
      </c>
      <c r="P276" s="6" t="str">
        <f ca="1">IFERROR(__xludf.DUMMYFUNCTION("""COMPUTED_VALUE"""),"CSTM_KM2SVLAJ2Q")</f>
        <v>CSTM_KM2SVLAJ2Q</v>
      </c>
      <c r="Q276" s="6"/>
      <c r="R276" s="6" t="str">
        <f ca="1">IFERROR(__xludf.DUMMYFUNCTION("""COMPUTED_VALUE"""),"Pending")</f>
        <v>Pending</v>
      </c>
      <c r="S276" s="6" t="str">
        <f ca="1">IFERROR(__xludf.DUMMYFUNCTION("""COMPUTED_VALUE"""),"Category")</f>
        <v>Category</v>
      </c>
      <c r="T276" s="6"/>
      <c r="U276" s="6"/>
      <c r="V276" s="6"/>
      <c r="W276" s="6"/>
      <c r="X276" s="6"/>
      <c r="Y276" s="6"/>
      <c r="Z276" s="6"/>
      <c r="AA276" s="6"/>
      <c r="AB276" s="6"/>
      <c r="AC276" s="6"/>
      <c r="AD276" s="6"/>
      <c r="AE276" s="6"/>
      <c r="AF276" s="6"/>
      <c r="AG276" s="6"/>
      <c r="AH276" s="6"/>
      <c r="AI276" s="6"/>
      <c r="AJ276" s="6"/>
      <c r="AK276" s="6"/>
      <c r="AL276" s="6"/>
    </row>
    <row r="277" spans="1:38">
      <c r="A277" s="96">
        <f ca="1">IFERROR(__xludf.DUMMYFUNCTION("""COMPUTED_VALUE"""),44252)</f>
        <v>44252</v>
      </c>
      <c r="B277" s="6" t="str">
        <f ca="1">IFERROR(__xludf.DUMMYFUNCTION("""COMPUTED_VALUE"""),"Koventhan")</f>
        <v>Koventhan</v>
      </c>
      <c r="C277" s="6" t="str">
        <f ca="1">IFERROR(__xludf.DUMMYFUNCTION("""COMPUTED_VALUE"""),"koventhan123@gmail.com")</f>
        <v>koventhan123@gmail.com</v>
      </c>
      <c r="D277" s="6">
        <f ca="1">IFERROR(__xludf.DUMMYFUNCTION("""COMPUTED_VALUE"""),9790060508)</f>
        <v>9790060508</v>
      </c>
      <c r="E277" s="6" t="str">
        <f ca="1">IFERROR(__xludf.DUMMYFUNCTION("""COMPUTED_VALUE"""),"Chat_triggered")</f>
        <v>Chat_triggered</v>
      </c>
      <c r="F277" s="6" t="str">
        <f ca="1">IFERROR(__xludf.DUMMYFUNCTION("""COMPUTED_VALUE"""),"SAFe SSM")</f>
        <v>SAFe SSM</v>
      </c>
      <c r="G277" s="80">
        <f ca="1">IFERROR(__xludf.DUMMYFUNCTION("""COMPUTED_VALUE"""),44228)</f>
        <v>44228</v>
      </c>
      <c r="H277" s="6" t="str">
        <f ca="1">IFERROR(__xludf.DUMMYFUNCTION("""COMPUTED_VALUE"""),"Opportunity")</f>
        <v>Opportunity</v>
      </c>
      <c r="I277" s="6" t="str">
        <f ca="1">IFERROR(__xludf.DUMMYFUNCTION("""COMPUTED_VALUE"""),"March 2021")</f>
        <v>March 2021</v>
      </c>
      <c r="J277" s="6">
        <f ca="1">IFERROR(__xludf.DUMMYFUNCTION("""COMPUTED_VALUE"""),1)</f>
        <v>1</v>
      </c>
      <c r="K277" s="8">
        <f ca="1">IFERROR(__xludf.DUMMYFUNCTION("""COMPUTED_VALUE"""),53100)</f>
        <v>53100</v>
      </c>
      <c r="L277" s="8">
        <f ca="1">IFERROR(__xludf.DUMMYFUNCTION("""COMPUTED_VALUE"""),608.108108108108)</f>
        <v>608.10810810810801</v>
      </c>
      <c r="M277" s="96">
        <f ca="1">IFERROR(__xludf.DUMMYFUNCTION("""COMPUTED_VALUE"""),44253)</f>
        <v>44253</v>
      </c>
      <c r="N277" s="6"/>
      <c r="O277" s="97"/>
      <c r="P277" s="6"/>
      <c r="Q277" s="6"/>
      <c r="R277" s="6"/>
      <c r="S277" s="6" t="str">
        <f ca="1">IFERROR(__xludf.DUMMYFUNCTION("""COMPUTED_VALUE"""),"SAFe")</f>
        <v>SAFe</v>
      </c>
      <c r="T277" s="6"/>
      <c r="U277" s="6"/>
      <c r="V277" s="6"/>
      <c r="W277" s="6"/>
      <c r="X277" s="6"/>
      <c r="Y277" s="6"/>
      <c r="Z277" s="6"/>
      <c r="AA277" s="6"/>
      <c r="AB277" s="6"/>
      <c r="AC277" s="6"/>
      <c r="AD277" s="6"/>
      <c r="AE277" s="6"/>
      <c r="AF277" s="6"/>
      <c r="AG277" s="6"/>
      <c r="AH277" s="6"/>
      <c r="AI277" s="6"/>
      <c r="AJ277" s="6"/>
      <c r="AK277" s="6"/>
      <c r="AL277" s="6"/>
    </row>
    <row r="278" spans="1:38">
      <c r="A278" s="96">
        <f ca="1">IFERROR(__xludf.DUMMYFUNCTION("""COMPUTED_VALUE"""),44251)</f>
        <v>44251</v>
      </c>
      <c r="B278" s="6" t="str">
        <f ca="1">IFERROR(__xludf.DUMMYFUNCTION("""COMPUTED_VALUE"""),"Anupama Ganga")</f>
        <v>Anupama Ganga</v>
      </c>
      <c r="C278" s="6" t="str">
        <f ca="1">IFERROR(__xludf.DUMMYFUNCTION("""COMPUTED_VALUE"""),"anupama.ganga@bt.com")</f>
        <v>anupama.ganga@bt.com</v>
      </c>
      <c r="D278" s="6">
        <f ca="1">IFERROR(__xludf.DUMMYFUNCTION("""COMPUTED_VALUE"""),7032457878)</f>
        <v>7032457878</v>
      </c>
      <c r="E278" s="6" t="str">
        <f ca="1">IFERROR(__xludf.DUMMYFUNCTION("""COMPUTED_VALUE"""),"Reference")</f>
        <v>Reference</v>
      </c>
      <c r="F278" s="6" t="str">
        <f ca="1">IFERROR(__xludf.DUMMYFUNCTION("""COMPUTED_VALUE"""),"PSPO")</f>
        <v>PSPO</v>
      </c>
      <c r="G278" s="80">
        <f ca="1">IFERROR(__xludf.DUMMYFUNCTION("""COMPUTED_VALUE"""),44228)</f>
        <v>44228</v>
      </c>
      <c r="H278" s="6" t="str">
        <f ca="1">IFERROR(__xludf.DUMMYFUNCTION("""COMPUTED_VALUE"""),"Opportunity")</f>
        <v>Opportunity</v>
      </c>
      <c r="I278" s="6" t="str">
        <f ca="1">IFERROR(__xludf.DUMMYFUNCTION("""COMPUTED_VALUE"""),"1-2 March 2021")</f>
        <v>1-2 March 2021</v>
      </c>
      <c r="J278" s="6">
        <f ca="1">IFERROR(__xludf.DUMMYFUNCTION("""COMPUTED_VALUE"""),1)</f>
        <v>1</v>
      </c>
      <c r="K278" s="8">
        <f ca="1">IFERROR(__xludf.DUMMYFUNCTION("""COMPUTED_VALUE"""),21000)</f>
        <v>21000</v>
      </c>
      <c r="L278" s="8">
        <f ca="1">IFERROR(__xludf.DUMMYFUNCTION("""COMPUTED_VALUE"""),240.494732020155)</f>
        <v>240.494732020155</v>
      </c>
      <c r="M278" s="96">
        <f ca="1">IFERROR(__xludf.DUMMYFUNCTION("""COMPUTED_VALUE"""),44252)</f>
        <v>44252</v>
      </c>
      <c r="N278" s="6"/>
      <c r="O278" s="97"/>
      <c r="P278" s="6"/>
      <c r="Q278" s="6" t="str">
        <f ca="1">IFERROR(__xludf.DUMMYFUNCTION("""COMPUTED_VALUE"""),"Reference by Kaushal Bhatt")</f>
        <v>Reference by Kaushal Bhatt</v>
      </c>
      <c r="R278" s="6"/>
      <c r="S278" s="6" t="str">
        <f ca="1">IFERROR(__xludf.DUMMYFUNCTION("""COMPUTED_VALUE"""),"Category")</f>
        <v>Category</v>
      </c>
      <c r="T278" s="6"/>
      <c r="U278" s="6"/>
      <c r="V278" s="6"/>
      <c r="W278" s="6"/>
      <c r="X278" s="6"/>
      <c r="Y278" s="6"/>
      <c r="Z278" s="6"/>
      <c r="AA278" s="6"/>
      <c r="AB278" s="6"/>
      <c r="AC278" s="6"/>
      <c r="AD278" s="6"/>
      <c r="AE278" s="6"/>
      <c r="AF278" s="6"/>
      <c r="AG278" s="6"/>
      <c r="AH278" s="6"/>
      <c r="AI278" s="6"/>
      <c r="AJ278" s="6"/>
      <c r="AK278" s="6"/>
      <c r="AL278" s="6"/>
    </row>
    <row r="279" spans="1:38">
      <c r="A279" s="96">
        <f ca="1">IFERROR(__xludf.DUMMYFUNCTION("""COMPUTED_VALUE"""),44256)</f>
        <v>44256</v>
      </c>
      <c r="B279" s="6" t="str">
        <f ca="1">IFERROR(__xludf.DUMMYFUNCTION("""COMPUTED_VALUE"""),"Ashish Sharma")</f>
        <v>Ashish Sharma</v>
      </c>
      <c r="C279" s="6" t="str">
        <f ca="1">IFERROR(__xludf.DUMMYFUNCTION("""COMPUTED_VALUE"""),"ashish.sharma2@gmail.com")</f>
        <v>ashish.sharma2@gmail.com</v>
      </c>
      <c r="D279" s="6">
        <f ca="1">IFERROR(__xludf.DUMMYFUNCTION("""COMPUTED_VALUE"""),9914600941)</f>
        <v>9914600941</v>
      </c>
      <c r="E279" s="6" t="str">
        <f ca="1">IFERROR(__xludf.DUMMYFUNCTION("""COMPUTED_VALUE"""),"Query box")</f>
        <v>Query box</v>
      </c>
      <c r="F279" s="6" t="str">
        <f ca="1">IFERROR(__xludf.DUMMYFUNCTION("""COMPUTED_VALUE"""),"CSM")</f>
        <v>CSM</v>
      </c>
      <c r="G279" s="80">
        <f ca="1">IFERROR(__xludf.DUMMYFUNCTION("""COMPUTED_VALUE"""),44256)</f>
        <v>44256</v>
      </c>
      <c r="H279" s="6" t="str">
        <f ca="1">IFERROR(__xludf.DUMMYFUNCTION("""COMPUTED_VALUE"""),"Won")</f>
        <v>Won</v>
      </c>
      <c r="I279" s="6" t="str">
        <f ca="1">IFERROR(__xludf.DUMMYFUNCTION("""COMPUTED_VALUE"""),"6-7 March 2021")</f>
        <v>6-7 March 2021</v>
      </c>
      <c r="J279" s="6">
        <f ca="1">IFERROR(__xludf.DUMMYFUNCTION("""COMPUTED_VALUE"""),1)</f>
        <v>1</v>
      </c>
      <c r="K279" s="8">
        <f ca="1">IFERROR(__xludf.DUMMYFUNCTION("""COMPUTED_VALUE"""),20000)</f>
        <v>20000</v>
      </c>
      <c r="L279" s="8">
        <f ca="1">IFERROR(__xludf.DUMMYFUNCTION("""COMPUTED_VALUE"""),229.042601923957)</f>
        <v>229.04260192395699</v>
      </c>
      <c r="M279" s="96">
        <f ca="1">IFERROR(__xludf.DUMMYFUNCTION("""COMPUTED_VALUE"""),44256)</f>
        <v>44256</v>
      </c>
      <c r="N279" s="6" t="str">
        <f ca="1">IFERROR(__xludf.DUMMYFUNCTION("""COMPUTED_VALUE"""),"W1")</f>
        <v>W1</v>
      </c>
      <c r="O279" s="97">
        <f ca="1">IFERROR(__xludf.DUMMYFUNCTION("""COMPUTED_VALUE"""),44258)</f>
        <v>44258</v>
      </c>
      <c r="P279" s="6" t="str">
        <f ca="1">IFERROR(__xludf.DUMMYFUNCTION("""COMPUTED_VALUE"""),"CSTM_CGXX88U9OWZ")</f>
        <v>CSTM_CGXX88U9OWZ</v>
      </c>
      <c r="Q279" s="6"/>
      <c r="R279" s="6" t="str">
        <f ca="1">IFERROR(__xludf.DUMMYFUNCTION("""COMPUTED_VALUE"""),"Pending")</f>
        <v>Pending</v>
      </c>
      <c r="S279" s="6" t="str">
        <f ca="1">IFERROR(__xludf.DUMMYFUNCTION("""COMPUTED_VALUE"""),"Category")</f>
        <v>Category</v>
      </c>
      <c r="T279" s="6"/>
      <c r="U279" s="6"/>
      <c r="V279" s="6"/>
      <c r="W279" s="6"/>
      <c r="X279" s="6"/>
      <c r="Y279" s="6"/>
      <c r="Z279" s="6"/>
      <c r="AA279" s="6"/>
      <c r="AB279" s="6"/>
      <c r="AC279" s="6"/>
      <c r="AD279" s="6"/>
      <c r="AE279" s="6"/>
      <c r="AF279" s="6"/>
      <c r="AG279" s="6"/>
      <c r="AH279" s="6"/>
      <c r="AI279" s="6"/>
      <c r="AJ279" s="6"/>
      <c r="AK279" s="6"/>
      <c r="AL279" s="6"/>
    </row>
    <row r="280" spans="1:38">
      <c r="A280" s="96">
        <f ca="1">IFERROR(__xludf.DUMMYFUNCTION("""COMPUTED_VALUE"""),44252)</f>
        <v>44252</v>
      </c>
      <c r="B280" s="6" t="str">
        <f ca="1">IFERROR(__xludf.DUMMYFUNCTION("""COMPUTED_VALUE"""),"Chaitanya Vijay")</f>
        <v>Chaitanya Vijay</v>
      </c>
      <c r="C280" s="6" t="str">
        <f ca="1">IFERROR(__xludf.DUMMYFUNCTION("""COMPUTED_VALUE"""),"chaithanya_vijay@outlook.com")</f>
        <v>chaithanya_vijay@outlook.com</v>
      </c>
      <c r="D280" s="6">
        <f ca="1">IFERROR(__xludf.DUMMYFUNCTION("""COMPUTED_VALUE"""),8886528883)</f>
        <v>8886528883</v>
      </c>
      <c r="E280" s="6" t="str">
        <f ca="1">IFERROR(__xludf.DUMMYFUNCTION("""COMPUTED_VALUE"""),"Query box")</f>
        <v>Query box</v>
      </c>
      <c r="F280" s="6" t="str">
        <f ca="1">IFERROR(__xludf.DUMMYFUNCTION("""COMPUTED_VALUE"""),"PSPO")</f>
        <v>PSPO</v>
      </c>
      <c r="G280" s="80">
        <f ca="1">IFERROR(__xludf.DUMMYFUNCTION("""COMPUTED_VALUE"""),44256)</f>
        <v>44256</v>
      </c>
      <c r="H280" s="6" t="str">
        <f ca="1">IFERROR(__xludf.DUMMYFUNCTION("""COMPUTED_VALUE"""),"Opportunity")</f>
        <v>Opportunity</v>
      </c>
      <c r="I280" s="6" t="str">
        <f ca="1">IFERROR(__xludf.DUMMYFUNCTION("""COMPUTED_VALUE"""),"13-14 March 2021")</f>
        <v>13-14 March 2021</v>
      </c>
      <c r="J280" s="6">
        <f ca="1">IFERROR(__xludf.DUMMYFUNCTION("""COMPUTED_VALUE"""),1)</f>
        <v>1</v>
      </c>
      <c r="K280" s="8">
        <f ca="1">IFERROR(__xludf.DUMMYFUNCTION("""COMPUTED_VALUE"""),21000)</f>
        <v>21000</v>
      </c>
      <c r="L280" s="8">
        <f ca="1">IFERROR(__xludf.DUMMYFUNCTION("""COMPUTED_VALUE"""),240.494732020155)</f>
        <v>240.494732020155</v>
      </c>
      <c r="M280" s="96">
        <f ca="1">IFERROR(__xludf.DUMMYFUNCTION("""COMPUTED_VALUE"""),44256)</f>
        <v>44256</v>
      </c>
      <c r="N280" s="6"/>
      <c r="O280" s="97"/>
      <c r="P280" s="6"/>
      <c r="Q280" s="6"/>
      <c r="R280" s="6"/>
      <c r="S280" s="6" t="str">
        <f ca="1">IFERROR(__xludf.DUMMYFUNCTION("""COMPUTED_VALUE"""),"Category")</f>
        <v>Category</v>
      </c>
      <c r="T280" s="6"/>
      <c r="U280" s="6"/>
      <c r="V280" s="6"/>
      <c r="W280" s="6"/>
      <c r="X280" s="6"/>
      <c r="Y280" s="6"/>
      <c r="Z280" s="6"/>
      <c r="AA280" s="6"/>
      <c r="AB280" s="6"/>
      <c r="AC280" s="6"/>
      <c r="AD280" s="6"/>
      <c r="AE280" s="6"/>
      <c r="AF280" s="6"/>
      <c r="AG280" s="6"/>
      <c r="AH280" s="6"/>
      <c r="AI280" s="6"/>
      <c r="AJ280" s="6"/>
      <c r="AK280" s="6"/>
      <c r="AL280" s="6"/>
    </row>
    <row r="281" spans="1:38">
      <c r="A281" s="96">
        <f ca="1">IFERROR(__xludf.DUMMYFUNCTION("""COMPUTED_VALUE"""),44256)</f>
        <v>44256</v>
      </c>
      <c r="B281" s="6" t="str">
        <f ca="1">IFERROR(__xludf.DUMMYFUNCTION("""COMPUTED_VALUE"""),"Naveen Kumar")</f>
        <v>Naveen Kumar</v>
      </c>
      <c r="C281" s="6" t="str">
        <f ca="1">IFERROR(__xludf.DUMMYFUNCTION("""COMPUTED_VALUE"""),"navkum678@gmail.com")</f>
        <v>navkum678@gmail.com</v>
      </c>
      <c r="D281" s="6">
        <f ca="1">IFERROR(__xludf.DUMMYFUNCTION("""COMPUTED_VALUE"""),8754530918)</f>
        <v>8754530918</v>
      </c>
      <c r="E281" s="6" t="str">
        <f ca="1">IFERROR(__xludf.DUMMYFUNCTION("""COMPUTED_VALUE"""),"Reference")</f>
        <v>Reference</v>
      </c>
      <c r="F281" s="6" t="str">
        <f ca="1">IFERROR(__xludf.DUMMYFUNCTION("""COMPUTED_VALUE"""),"CSM")</f>
        <v>CSM</v>
      </c>
      <c r="G281" s="80">
        <f ca="1">IFERROR(__xludf.DUMMYFUNCTION("""COMPUTED_VALUE"""),44256)</f>
        <v>44256</v>
      </c>
      <c r="H281" s="6" t="str">
        <f ca="1">IFERROR(__xludf.DUMMYFUNCTION("""COMPUTED_VALUE"""),"Won")</f>
        <v>Won</v>
      </c>
      <c r="I281" s="6" t="str">
        <f ca="1">IFERROR(__xludf.DUMMYFUNCTION("""COMPUTED_VALUE"""),"13-14 March 2021")</f>
        <v>13-14 March 2021</v>
      </c>
      <c r="J281" s="6">
        <f ca="1">IFERROR(__xludf.DUMMYFUNCTION("""COMPUTED_VALUE"""),1)</f>
        <v>1</v>
      </c>
      <c r="K281" s="8">
        <f ca="1">IFERROR(__xludf.DUMMYFUNCTION("""COMPUTED_VALUE"""),20000)</f>
        <v>20000</v>
      </c>
      <c r="L281" s="8">
        <f ca="1">IFERROR(__xludf.DUMMYFUNCTION("""COMPUTED_VALUE"""),229.042601923957)</f>
        <v>229.04260192395699</v>
      </c>
      <c r="M281" s="96">
        <f ca="1">IFERROR(__xludf.DUMMYFUNCTION("""COMPUTED_VALUE"""),44258)</f>
        <v>44258</v>
      </c>
      <c r="N281" s="6" t="str">
        <f ca="1">IFERROR(__xludf.DUMMYFUNCTION("""COMPUTED_VALUE"""),"W1")</f>
        <v>W1</v>
      </c>
      <c r="O281" s="97">
        <f ca="1">IFERROR(__xludf.DUMMYFUNCTION("""COMPUTED_VALUE"""),44258)</f>
        <v>44258</v>
      </c>
      <c r="P281" s="6" t="str">
        <f ca="1">IFERROR(__xludf.DUMMYFUNCTION("""COMPUTED_VALUE"""),"CSTM_DBN8KFID854")</f>
        <v>CSTM_DBN8KFID854</v>
      </c>
      <c r="Q281" s="6" t="str">
        <f ca="1">IFERROR(__xludf.DUMMYFUNCTION("""COMPUTED_VALUE"""),"Reference by Keerti keerti1895@gmail.com")</f>
        <v>Reference by Keerti keerti1895@gmail.com</v>
      </c>
      <c r="R281" s="6" t="str">
        <f ca="1">IFERROR(__xludf.DUMMYFUNCTION("""COMPUTED_VALUE"""),"Done. Good feedback.")</f>
        <v>Done. Good feedback.</v>
      </c>
      <c r="S281" s="6" t="str">
        <f ca="1">IFERROR(__xludf.DUMMYFUNCTION("""COMPUTED_VALUE"""),"Category")</f>
        <v>Category</v>
      </c>
      <c r="T281" s="6" t="str">
        <f ca="1">IFERROR(__xludf.DUMMYFUNCTION("""COMPUTED_VALUE"""),"Sent.")</f>
        <v>Sent.</v>
      </c>
      <c r="U281" s="6"/>
      <c r="V281" s="6"/>
      <c r="W281" s="6"/>
      <c r="X281" s="6"/>
      <c r="Y281" s="6"/>
      <c r="Z281" s="6"/>
      <c r="AA281" s="6"/>
      <c r="AB281" s="6"/>
      <c r="AC281" s="6"/>
      <c r="AD281" s="6"/>
      <c r="AE281" s="6"/>
      <c r="AF281" s="6"/>
      <c r="AG281" s="6"/>
      <c r="AH281" s="6"/>
      <c r="AI281" s="6"/>
      <c r="AJ281" s="6"/>
      <c r="AK281" s="6"/>
      <c r="AL281" s="6"/>
    </row>
    <row r="282" spans="1:38">
      <c r="A282" s="96">
        <f ca="1">IFERROR(__xludf.DUMMYFUNCTION("""COMPUTED_VALUE"""),44258)</f>
        <v>44258</v>
      </c>
      <c r="B282" s="6" t="str">
        <f ca="1">IFERROR(__xludf.DUMMYFUNCTION("""COMPUTED_VALUE"""),"Arghya")</f>
        <v>Arghya</v>
      </c>
      <c r="C282" s="6" t="str">
        <f ca="1">IFERROR(__xludf.DUMMYFUNCTION("""COMPUTED_VALUE"""),"arghyahere@gmail.com")</f>
        <v>arghyahere@gmail.com</v>
      </c>
      <c r="D282" s="6">
        <f ca="1">IFERROR(__xludf.DUMMYFUNCTION("""COMPUTED_VALUE"""),9831034612)</f>
        <v>9831034612</v>
      </c>
      <c r="E282" s="6" t="str">
        <f ca="1">IFERROR(__xludf.DUMMYFUNCTION("""COMPUTED_VALUE"""),"chat_initiated")</f>
        <v>chat_initiated</v>
      </c>
      <c r="F282" s="6" t="str">
        <f ca="1">IFERROR(__xludf.DUMMYFUNCTION("""COMPUTED_VALUE"""),"PSPO")</f>
        <v>PSPO</v>
      </c>
      <c r="G282" s="80">
        <f ca="1">IFERROR(__xludf.DUMMYFUNCTION("""COMPUTED_VALUE"""),44256)</f>
        <v>44256</v>
      </c>
      <c r="H282" s="6" t="str">
        <f ca="1">IFERROR(__xludf.DUMMYFUNCTION("""COMPUTED_VALUE"""),"Won")</f>
        <v>Won</v>
      </c>
      <c r="I282" s="6" t="str">
        <f ca="1">IFERROR(__xludf.DUMMYFUNCTION("""COMPUTED_VALUE"""),"6-7 March 2021")</f>
        <v>6-7 March 2021</v>
      </c>
      <c r="J282" s="6">
        <f ca="1">IFERROR(__xludf.DUMMYFUNCTION("""COMPUTED_VALUE"""),1)</f>
        <v>1</v>
      </c>
      <c r="K282" s="8">
        <f ca="1">IFERROR(__xludf.DUMMYFUNCTION("""COMPUTED_VALUE"""),21000)</f>
        <v>21000</v>
      </c>
      <c r="L282" s="8">
        <f ca="1">IFERROR(__xludf.DUMMYFUNCTION("""COMPUTED_VALUE"""),240.494732020155)</f>
        <v>240.494732020155</v>
      </c>
      <c r="M282" s="96">
        <f ca="1">IFERROR(__xludf.DUMMYFUNCTION("""COMPUTED_VALUE"""),44261)</f>
        <v>44261</v>
      </c>
      <c r="N282" s="6" t="str">
        <f ca="1">IFERROR(__xludf.DUMMYFUNCTION("""COMPUTED_VALUE"""),"W1")</f>
        <v>W1</v>
      </c>
      <c r="O282" s="97">
        <f ca="1">IFERROR(__xludf.DUMMYFUNCTION("""COMPUTED_VALUE"""),44259)</f>
        <v>44259</v>
      </c>
      <c r="P282" s="6" t="str">
        <f ca="1">IFERROR(__xludf.DUMMYFUNCTION("""COMPUTED_VALUE"""),"CSTM_7EVLDQB4JTK")</f>
        <v>CSTM_7EVLDQB4JTK</v>
      </c>
      <c r="Q282" s="6"/>
      <c r="R282" s="6" t="str">
        <f ca="1">IFERROR(__xludf.DUMMYFUNCTION("""COMPUTED_VALUE"""),"Done. Good feedback.")</f>
        <v>Done. Good feedback.</v>
      </c>
      <c r="S282" s="6" t="str">
        <f ca="1">IFERROR(__xludf.DUMMYFUNCTION("""COMPUTED_VALUE"""),"Category")</f>
        <v>Category</v>
      </c>
      <c r="T282" s="6"/>
      <c r="U282" s="6"/>
      <c r="V282" s="6"/>
      <c r="W282" s="6"/>
      <c r="X282" s="6"/>
      <c r="Y282" s="6"/>
      <c r="Z282" s="6"/>
      <c r="AA282" s="6"/>
      <c r="AB282" s="6"/>
      <c r="AC282" s="6"/>
      <c r="AD282" s="6"/>
      <c r="AE282" s="6"/>
      <c r="AF282" s="6"/>
      <c r="AG282" s="6"/>
      <c r="AH282" s="6"/>
      <c r="AI282" s="6"/>
      <c r="AJ282" s="6"/>
      <c r="AK282" s="6"/>
      <c r="AL282" s="6"/>
    </row>
    <row r="283" spans="1:38">
      <c r="A283" s="96">
        <f ca="1">IFERROR(__xludf.DUMMYFUNCTION("""COMPUTED_VALUE"""),44253)</f>
        <v>44253</v>
      </c>
      <c r="B283" s="6" t="str">
        <f ca="1">IFERROR(__xludf.DUMMYFUNCTION("""COMPUTED_VALUE"""),"Athanu")</f>
        <v>Athanu</v>
      </c>
      <c r="C283" s="6" t="str">
        <f ca="1">IFERROR(__xludf.DUMMYFUNCTION("""COMPUTED_VALUE"""),"coolatanu2000@gmail.com")</f>
        <v>coolatanu2000@gmail.com</v>
      </c>
      <c r="D283" s="6">
        <f ca="1">IFERROR(__xludf.DUMMYFUNCTION("""COMPUTED_VALUE"""),9632800337)</f>
        <v>9632800337</v>
      </c>
      <c r="E283" s="6" t="str">
        <f ca="1">IFERROR(__xludf.DUMMYFUNCTION("""COMPUTED_VALUE"""),"Query box")</f>
        <v>Query box</v>
      </c>
      <c r="F283" s="6" t="str">
        <f ca="1">IFERROR(__xludf.DUMMYFUNCTION("""COMPUTED_VALUE"""),"SAFe Agile")</f>
        <v>SAFe Agile</v>
      </c>
      <c r="G283" s="80">
        <f ca="1">IFERROR(__xludf.DUMMYFUNCTION("""COMPUTED_VALUE"""),44256)</f>
        <v>44256</v>
      </c>
      <c r="H283" s="6" t="str">
        <f ca="1">IFERROR(__xludf.DUMMYFUNCTION("""COMPUTED_VALUE"""),"Opportunity")</f>
        <v>Opportunity</v>
      </c>
      <c r="I283" s="6" t="str">
        <f ca="1">IFERROR(__xludf.DUMMYFUNCTION("""COMPUTED_VALUE"""),"March 2021")</f>
        <v>March 2021</v>
      </c>
      <c r="J283" s="6">
        <f ca="1">IFERROR(__xludf.DUMMYFUNCTION("""COMPUTED_VALUE"""),1)</f>
        <v>1</v>
      </c>
      <c r="K283" s="8">
        <f ca="1">IFERROR(__xludf.DUMMYFUNCTION("""COMPUTED_VALUE"""),45000)</f>
        <v>45000</v>
      </c>
      <c r="L283" s="8">
        <f ca="1">IFERROR(__xludf.DUMMYFUNCTION("""COMPUTED_VALUE"""),515.345854328905)</f>
        <v>515.34585432890503</v>
      </c>
      <c r="M283" s="96">
        <f ca="1">IFERROR(__xludf.DUMMYFUNCTION("""COMPUTED_VALUE"""),44256)</f>
        <v>44256</v>
      </c>
      <c r="N283" s="6"/>
      <c r="O283" s="97"/>
      <c r="P283" s="6"/>
      <c r="Q283" s="6"/>
      <c r="R283" s="6"/>
      <c r="S283" s="6" t="str">
        <f ca="1">IFERROR(__xludf.DUMMYFUNCTION("""COMPUTED_VALUE"""),"SAFe")</f>
        <v>SAFe</v>
      </c>
      <c r="T283" s="6"/>
      <c r="U283" s="6"/>
      <c r="V283" s="6"/>
      <c r="W283" s="6"/>
      <c r="X283" s="6"/>
      <c r="Y283" s="6"/>
      <c r="Z283" s="6"/>
      <c r="AA283" s="6"/>
      <c r="AB283" s="6"/>
      <c r="AC283" s="6"/>
      <c r="AD283" s="6"/>
      <c r="AE283" s="6"/>
      <c r="AF283" s="6"/>
      <c r="AG283" s="6"/>
      <c r="AH283" s="6"/>
      <c r="AI283" s="6"/>
      <c r="AJ283" s="6"/>
      <c r="AK283" s="6"/>
      <c r="AL283" s="6"/>
    </row>
    <row r="284" spans="1:38">
      <c r="A284" s="96">
        <f ca="1">IFERROR(__xludf.DUMMYFUNCTION("""COMPUTED_VALUE"""),44254)</f>
        <v>44254</v>
      </c>
      <c r="B284" s="6" t="str">
        <f ca="1">IFERROR(__xludf.DUMMYFUNCTION("""COMPUTED_VALUE"""),"Anuj")</f>
        <v>Anuj</v>
      </c>
      <c r="C284" s="6" t="str">
        <f ca="1">IFERROR(__xludf.DUMMYFUNCTION("""COMPUTED_VALUE"""),"anuj24delhi@gmail.com")</f>
        <v>anuj24delhi@gmail.com</v>
      </c>
      <c r="D284" s="6">
        <f ca="1">IFERROR(__xludf.DUMMYFUNCTION("""COMPUTED_VALUE"""),9716208295)</f>
        <v>9716208295</v>
      </c>
      <c r="E284" s="6" t="str">
        <f ca="1">IFERROR(__xludf.DUMMYFUNCTION("""COMPUTED_VALUE"""),"Request a call")</f>
        <v>Request a call</v>
      </c>
      <c r="F284" s="6" t="str">
        <f ca="1">IFERROR(__xludf.DUMMYFUNCTION("""COMPUTED_VALUE"""),"CSM")</f>
        <v>CSM</v>
      </c>
      <c r="G284" s="80">
        <f ca="1">IFERROR(__xludf.DUMMYFUNCTION("""COMPUTED_VALUE"""),44228)</f>
        <v>44228</v>
      </c>
      <c r="H284" s="6" t="str">
        <f ca="1">IFERROR(__xludf.DUMMYFUNCTION("""COMPUTED_VALUE"""),"Opportunity")</f>
        <v>Opportunity</v>
      </c>
      <c r="I284" s="6" t="str">
        <f ca="1">IFERROR(__xludf.DUMMYFUNCTION("""COMPUTED_VALUE"""),"March 2021")</f>
        <v>March 2021</v>
      </c>
      <c r="J284" s="6">
        <f ca="1">IFERROR(__xludf.DUMMYFUNCTION("""COMPUTED_VALUE"""),1)</f>
        <v>1</v>
      </c>
      <c r="K284" s="8">
        <f ca="1">IFERROR(__xludf.DUMMYFUNCTION("""COMPUTED_VALUE"""),18000)</f>
        <v>18000</v>
      </c>
      <c r="L284" s="8">
        <f ca="1">IFERROR(__xludf.DUMMYFUNCTION("""COMPUTED_VALUE"""),206.138341731562)</f>
        <v>206.13834173156201</v>
      </c>
      <c r="M284" s="96">
        <f ca="1">IFERROR(__xludf.DUMMYFUNCTION("""COMPUTED_VALUE"""),44254)</f>
        <v>44254</v>
      </c>
      <c r="N284" s="6"/>
      <c r="O284" s="97"/>
      <c r="P284" s="6"/>
      <c r="Q284" s="6"/>
      <c r="R284" s="6"/>
      <c r="S284" s="6" t="str">
        <f ca="1">IFERROR(__xludf.DUMMYFUNCTION("""COMPUTED_VALUE"""),"Category")</f>
        <v>Category</v>
      </c>
      <c r="T284" s="6"/>
      <c r="U284" s="6"/>
      <c r="V284" s="6"/>
      <c r="W284" s="6"/>
      <c r="X284" s="6"/>
      <c r="Y284" s="6"/>
      <c r="Z284" s="6"/>
      <c r="AA284" s="6"/>
      <c r="AB284" s="6"/>
      <c r="AC284" s="6"/>
      <c r="AD284" s="6"/>
      <c r="AE284" s="6"/>
      <c r="AF284" s="6"/>
      <c r="AG284" s="6"/>
      <c r="AH284" s="6"/>
      <c r="AI284" s="6"/>
      <c r="AJ284" s="6"/>
      <c r="AK284" s="6"/>
      <c r="AL284" s="6"/>
    </row>
    <row r="285" spans="1:38">
      <c r="A285" s="96">
        <f ca="1">IFERROR(__xludf.DUMMYFUNCTION("""COMPUTED_VALUE"""),44255)</f>
        <v>44255</v>
      </c>
      <c r="B285" s="6" t="str">
        <f ca="1">IFERROR(__xludf.DUMMYFUNCTION("""COMPUTED_VALUE"""),"Alokendu Choudury")</f>
        <v>Alokendu Choudury</v>
      </c>
      <c r="C285" s="6" t="str">
        <f ca="1">IFERROR(__xludf.DUMMYFUNCTION("""COMPUTED_VALUE"""),"alokendu.choudhury@gmail.com")</f>
        <v>alokendu.choudhury@gmail.com</v>
      </c>
      <c r="D285" s="6">
        <f ca="1">IFERROR(__xludf.DUMMYFUNCTION("""COMPUTED_VALUE"""),9818784254)</f>
        <v>9818784254</v>
      </c>
      <c r="E285" s="6" t="str">
        <f ca="1">IFERROR(__xludf.DUMMYFUNCTION("""COMPUTED_VALUE"""),"Chat_triggered")</f>
        <v>Chat_triggered</v>
      </c>
      <c r="F285" s="6" t="str">
        <f ca="1">IFERROR(__xludf.DUMMYFUNCTION("""COMPUTED_VALUE"""),"SAFe Agile")</f>
        <v>SAFe Agile</v>
      </c>
      <c r="G285" s="80">
        <f ca="1">IFERROR(__xludf.DUMMYFUNCTION("""COMPUTED_VALUE"""),44256)</f>
        <v>44256</v>
      </c>
      <c r="H285" s="6" t="str">
        <f ca="1">IFERROR(__xludf.DUMMYFUNCTION("""COMPUTED_VALUE"""),"Opportunity")</f>
        <v>Opportunity</v>
      </c>
      <c r="I285" s="6" t="str">
        <f ca="1">IFERROR(__xludf.DUMMYFUNCTION("""COMPUTED_VALUE"""),"March 2021")</f>
        <v>March 2021</v>
      </c>
      <c r="J285" s="6">
        <f ca="1">IFERROR(__xludf.DUMMYFUNCTION("""COMPUTED_VALUE"""),1)</f>
        <v>1</v>
      </c>
      <c r="K285" s="8">
        <f ca="1">IFERROR(__xludf.DUMMYFUNCTION("""COMPUTED_VALUE"""),45000)</f>
        <v>45000</v>
      </c>
      <c r="L285" s="8">
        <f ca="1">IFERROR(__xludf.DUMMYFUNCTION("""COMPUTED_VALUE"""),515.345854328905)</f>
        <v>515.34585432890503</v>
      </c>
      <c r="M285" s="96">
        <f ca="1">IFERROR(__xludf.DUMMYFUNCTION("""COMPUTED_VALUE"""),44256)</f>
        <v>44256</v>
      </c>
      <c r="N285" s="6"/>
      <c r="O285" s="97"/>
      <c r="P285" s="6"/>
      <c r="Q285" s="6"/>
      <c r="R285" s="6"/>
      <c r="S285" s="6" t="str">
        <f ca="1">IFERROR(__xludf.DUMMYFUNCTION("""COMPUTED_VALUE"""),"SAFe")</f>
        <v>SAFe</v>
      </c>
      <c r="T285" s="6"/>
      <c r="U285" s="6"/>
      <c r="V285" s="6"/>
      <c r="W285" s="6"/>
      <c r="X285" s="6"/>
      <c r="Y285" s="6"/>
      <c r="Z285" s="6"/>
      <c r="AA285" s="6"/>
      <c r="AB285" s="6"/>
      <c r="AC285" s="6"/>
      <c r="AD285" s="6"/>
      <c r="AE285" s="6"/>
      <c r="AF285" s="6"/>
      <c r="AG285" s="6"/>
      <c r="AH285" s="6"/>
      <c r="AI285" s="6"/>
      <c r="AJ285" s="6"/>
      <c r="AK285" s="6"/>
      <c r="AL285" s="6"/>
    </row>
    <row r="286" spans="1:38">
      <c r="A286" s="96">
        <f ca="1">IFERROR(__xludf.DUMMYFUNCTION("""COMPUTED_VALUE"""),44254)</f>
        <v>44254</v>
      </c>
      <c r="B286" s="6" t="str">
        <f ca="1">IFERROR(__xludf.DUMMYFUNCTION("""COMPUTED_VALUE"""),"Mamatha")</f>
        <v>Mamatha</v>
      </c>
      <c r="C286" s="6" t="str">
        <f ca="1">IFERROR(__xludf.DUMMYFUNCTION("""COMPUTED_VALUE"""),"mamathae18@gmail.com")</f>
        <v>mamathae18@gmail.com</v>
      </c>
      <c r="D286" s="6">
        <f ca="1">IFERROR(__xludf.DUMMYFUNCTION("""COMPUTED_VALUE"""),7676160778)</f>
        <v>7676160778</v>
      </c>
      <c r="E286" s="6" t="str">
        <f ca="1">IFERROR(__xludf.DUMMYFUNCTION("""COMPUTED_VALUE"""),"Query box")</f>
        <v>Query box</v>
      </c>
      <c r="F286" s="6" t="str">
        <f ca="1">IFERROR(__xludf.DUMMYFUNCTION("""COMPUTED_VALUE"""),"CSM")</f>
        <v>CSM</v>
      </c>
      <c r="G286" s="80">
        <f ca="1">IFERROR(__xludf.DUMMYFUNCTION("""COMPUTED_VALUE"""),44256)</f>
        <v>44256</v>
      </c>
      <c r="H286" s="6" t="str">
        <f ca="1">IFERROR(__xludf.DUMMYFUNCTION("""COMPUTED_VALUE"""),"Opportunity")</f>
        <v>Opportunity</v>
      </c>
      <c r="I286" s="6" t="str">
        <f ca="1">IFERROR(__xludf.DUMMYFUNCTION("""COMPUTED_VALUE"""),"20-21 March 2021")</f>
        <v>20-21 March 2021</v>
      </c>
      <c r="J286" s="6">
        <f ca="1">IFERROR(__xludf.DUMMYFUNCTION("""COMPUTED_VALUE"""),1)</f>
        <v>1</v>
      </c>
      <c r="K286" s="8">
        <f ca="1">IFERROR(__xludf.DUMMYFUNCTION("""COMPUTED_VALUE"""),19000)</f>
        <v>19000</v>
      </c>
      <c r="L286" s="8">
        <f ca="1">IFERROR(__xludf.DUMMYFUNCTION("""COMPUTED_VALUE"""),217.590471827759)</f>
        <v>217.59047182775899</v>
      </c>
      <c r="M286" s="96">
        <f ca="1">IFERROR(__xludf.DUMMYFUNCTION("""COMPUTED_VALUE"""),44262)</f>
        <v>44262</v>
      </c>
      <c r="N286" s="6"/>
      <c r="O286" s="97"/>
      <c r="P286" s="6"/>
      <c r="Q286" s="6"/>
      <c r="R286" s="6"/>
      <c r="S286" s="6" t="str">
        <f ca="1">IFERROR(__xludf.DUMMYFUNCTION("""COMPUTED_VALUE"""),"Category")</f>
        <v>Category</v>
      </c>
      <c r="T286" s="6"/>
      <c r="U286" s="6"/>
      <c r="V286" s="6"/>
      <c r="W286" s="6"/>
      <c r="X286" s="6"/>
      <c r="Y286" s="6"/>
      <c r="Z286" s="6"/>
      <c r="AA286" s="6"/>
      <c r="AB286" s="6"/>
      <c r="AC286" s="6"/>
      <c r="AD286" s="6"/>
      <c r="AE286" s="6"/>
      <c r="AF286" s="6"/>
      <c r="AG286" s="6"/>
      <c r="AH286" s="6"/>
      <c r="AI286" s="6"/>
      <c r="AJ286" s="6"/>
      <c r="AK286" s="6"/>
      <c r="AL286" s="6"/>
    </row>
    <row r="287" spans="1:38">
      <c r="A287" s="96">
        <f ca="1">IFERROR(__xludf.DUMMYFUNCTION("""COMPUTED_VALUE"""),44183)</f>
        <v>44183</v>
      </c>
      <c r="B287" s="6" t="str">
        <f ca="1">IFERROR(__xludf.DUMMYFUNCTION("""COMPUTED_VALUE"""),"Nitin Chopra")</f>
        <v>Nitin Chopra</v>
      </c>
      <c r="C287" s="6" t="str">
        <f ca="1">IFERROR(__xludf.DUMMYFUNCTION("""COMPUTED_VALUE"""),"nitin.chopra1980@gmail.com")</f>
        <v>nitin.chopra1980@gmail.com</v>
      </c>
      <c r="D287" s="6">
        <f ca="1">IFERROR(__xludf.DUMMYFUNCTION("""COMPUTED_VALUE"""),7838552300)</f>
        <v>7838552300</v>
      </c>
      <c r="E287" s="6" t="str">
        <f ca="1">IFERROR(__xludf.DUMMYFUNCTION("""COMPUTED_VALUE"""),"Query box")</f>
        <v>Query box</v>
      </c>
      <c r="F287" s="6" t="str">
        <f ca="1">IFERROR(__xludf.DUMMYFUNCTION("""COMPUTED_VALUE"""),"Intro to Cyber Security")</f>
        <v>Intro to Cyber Security</v>
      </c>
      <c r="G287" s="80">
        <f ca="1">IFERROR(__xludf.DUMMYFUNCTION("""COMPUTED_VALUE"""),44256)</f>
        <v>44256</v>
      </c>
      <c r="H287" s="6" t="str">
        <f ca="1">IFERROR(__xludf.DUMMYFUNCTION("""COMPUTED_VALUE"""),"Won")</f>
        <v>Won</v>
      </c>
      <c r="I287" s="6" t="str">
        <f ca="1">IFERROR(__xludf.DUMMYFUNCTION("""COMPUTED_VALUE"""),"DK")</f>
        <v>DK</v>
      </c>
      <c r="J287" s="6">
        <f ca="1">IFERROR(__xludf.DUMMYFUNCTION("""COMPUTED_VALUE"""),1)</f>
        <v>1</v>
      </c>
      <c r="K287" s="8">
        <f ca="1">IFERROR(__xludf.DUMMYFUNCTION("""COMPUTED_VALUE"""),3500)</f>
        <v>3500</v>
      </c>
      <c r="L287" s="8">
        <f ca="1">IFERROR(__xludf.DUMMYFUNCTION("""COMPUTED_VALUE"""),40.0824553366926)</f>
        <v>40.082455336692597</v>
      </c>
      <c r="M287" s="96"/>
      <c r="N287" s="6" t="str">
        <f ca="1">IFERROR(__xludf.DUMMYFUNCTION("""COMPUTED_VALUE"""),"W1")</f>
        <v>W1</v>
      </c>
      <c r="O287" s="97">
        <f ca="1">IFERROR(__xludf.DUMMYFUNCTION("""COMPUTED_VALUE"""),44262)</f>
        <v>44262</v>
      </c>
      <c r="P287" s="6" t="str">
        <f ca="1">IFERROR(__xludf.DUMMYFUNCTION("""COMPUTED_VALUE"""),"CSTM_6XTYLHETGN")</f>
        <v>CSTM_6XTYLHETGN</v>
      </c>
      <c r="Q287" s="6"/>
      <c r="R287" s="6"/>
      <c r="S287" s="6" t="str">
        <f ca="1">IFERROR(__xludf.DUMMYFUNCTION("""COMPUTED_VALUE"""),"NonCategory")</f>
        <v>NonCategory</v>
      </c>
      <c r="T287" s="6"/>
      <c r="U287" s="6"/>
      <c r="V287" s="6"/>
      <c r="W287" s="6"/>
      <c r="X287" s="6"/>
      <c r="Y287" s="6"/>
      <c r="Z287" s="6"/>
      <c r="AA287" s="6"/>
      <c r="AB287" s="6"/>
      <c r="AC287" s="6"/>
      <c r="AD287" s="6"/>
      <c r="AE287" s="6"/>
      <c r="AF287" s="6"/>
      <c r="AG287" s="6"/>
      <c r="AH287" s="6"/>
      <c r="AI287" s="6"/>
      <c r="AJ287" s="6"/>
      <c r="AK287" s="6"/>
      <c r="AL287" s="6"/>
    </row>
    <row r="288" spans="1:38">
      <c r="A288" s="96">
        <f ca="1">IFERROR(__xludf.DUMMYFUNCTION("""COMPUTED_VALUE"""),44256)</f>
        <v>44256</v>
      </c>
      <c r="B288" s="6" t="str">
        <f ca="1">IFERROR(__xludf.DUMMYFUNCTION("""COMPUTED_VALUE"""),"Ashutosh")</f>
        <v>Ashutosh</v>
      </c>
      <c r="C288" s="6" t="str">
        <f ca="1">IFERROR(__xludf.DUMMYFUNCTION("""COMPUTED_VALUE"""),"letusashutosh@gmail.com")</f>
        <v>letusashutosh@gmail.com</v>
      </c>
      <c r="D288" s="6">
        <f ca="1">IFERROR(__xludf.DUMMYFUNCTION("""COMPUTED_VALUE"""),9051809380)</f>
        <v>9051809380</v>
      </c>
      <c r="E288" s="6" t="str">
        <f ca="1">IFERROR(__xludf.DUMMYFUNCTION("""COMPUTED_VALUE"""),"Chat_triggered")</f>
        <v>Chat_triggered</v>
      </c>
      <c r="F288" s="6" t="str">
        <f ca="1">IFERROR(__xludf.DUMMYFUNCTION("""COMPUTED_VALUE"""),"SAFe SSM")</f>
        <v>SAFe SSM</v>
      </c>
      <c r="G288" s="80">
        <f ca="1">IFERROR(__xludf.DUMMYFUNCTION("""COMPUTED_VALUE"""),44256)</f>
        <v>44256</v>
      </c>
      <c r="H288" s="6" t="str">
        <f ca="1">IFERROR(__xludf.DUMMYFUNCTION("""COMPUTED_VALUE"""),"Opportunity")</f>
        <v>Opportunity</v>
      </c>
      <c r="I288" s="6" t="str">
        <f ca="1">IFERROR(__xludf.DUMMYFUNCTION("""COMPUTED_VALUE"""),"March 2021")</f>
        <v>March 2021</v>
      </c>
      <c r="J288" s="6">
        <f ca="1">IFERROR(__xludf.DUMMYFUNCTION("""COMPUTED_VALUE"""),1)</f>
        <v>1</v>
      </c>
      <c r="K288" s="8">
        <f ca="1">IFERROR(__xludf.DUMMYFUNCTION("""COMPUTED_VALUE"""),53100)</f>
        <v>53100</v>
      </c>
      <c r="L288" s="8">
        <f ca="1">IFERROR(__xludf.DUMMYFUNCTION("""COMPUTED_VALUE"""),608.108108108108)</f>
        <v>608.10810810810801</v>
      </c>
      <c r="M288" s="96">
        <f ca="1">IFERROR(__xludf.DUMMYFUNCTION("""COMPUTED_VALUE"""),44256)</f>
        <v>44256</v>
      </c>
      <c r="N288" s="6"/>
      <c r="O288" s="97"/>
      <c r="P288" s="6"/>
      <c r="Q288" s="6"/>
      <c r="R288" s="6"/>
      <c r="S288" s="6" t="str">
        <f ca="1">IFERROR(__xludf.DUMMYFUNCTION("""COMPUTED_VALUE"""),"SAFe")</f>
        <v>SAFe</v>
      </c>
      <c r="T288" s="6"/>
      <c r="U288" s="6"/>
      <c r="V288" s="6"/>
      <c r="W288" s="6"/>
      <c r="X288" s="6"/>
      <c r="Y288" s="6"/>
      <c r="Z288" s="6"/>
      <c r="AA288" s="6"/>
      <c r="AB288" s="6"/>
      <c r="AC288" s="6"/>
      <c r="AD288" s="6"/>
      <c r="AE288" s="6"/>
      <c r="AF288" s="6"/>
      <c r="AG288" s="6"/>
      <c r="AH288" s="6"/>
      <c r="AI288" s="6"/>
      <c r="AJ288" s="6"/>
      <c r="AK288" s="6"/>
      <c r="AL288" s="6"/>
    </row>
    <row r="289" spans="1:38">
      <c r="A289" s="96">
        <f ca="1">IFERROR(__xludf.DUMMYFUNCTION("""COMPUTED_VALUE"""),44256)</f>
        <v>44256</v>
      </c>
      <c r="B289" s="6" t="str">
        <f ca="1">IFERROR(__xludf.DUMMYFUNCTION("""COMPUTED_VALUE"""),"Sundar Raman")</f>
        <v>Sundar Raman</v>
      </c>
      <c r="C289" s="6" t="str">
        <f ca="1">IFERROR(__xludf.DUMMYFUNCTION("""COMPUTED_VALUE"""),"sundarraman2k@yahoo.co.in")</f>
        <v>sundarraman2k@yahoo.co.in</v>
      </c>
      <c r="D289" s="6">
        <f ca="1">IFERROR(__xludf.DUMMYFUNCTION("""COMPUTED_VALUE"""),9677034961)</f>
        <v>9677034961</v>
      </c>
      <c r="E289" s="6" t="str">
        <f ca="1">IFERROR(__xludf.DUMMYFUNCTION("""COMPUTED_VALUE"""),"Query box")</f>
        <v>Query box</v>
      </c>
      <c r="F289" s="6" t="str">
        <f ca="1">IFERROR(__xludf.DUMMYFUNCTION("""COMPUTED_VALUE"""),"CSM")</f>
        <v>CSM</v>
      </c>
      <c r="G289" s="80">
        <f ca="1">IFERROR(__xludf.DUMMYFUNCTION("""COMPUTED_VALUE"""),44256)</f>
        <v>44256</v>
      </c>
      <c r="H289" s="6" t="str">
        <f ca="1">IFERROR(__xludf.DUMMYFUNCTION("""COMPUTED_VALUE"""),"Opportunity")</f>
        <v>Opportunity</v>
      </c>
      <c r="I289" s="6" t="str">
        <f ca="1">IFERROR(__xludf.DUMMYFUNCTION("""COMPUTED_VALUE"""),"March 2021")</f>
        <v>March 2021</v>
      </c>
      <c r="J289" s="6">
        <f ca="1">IFERROR(__xludf.DUMMYFUNCTION("""COMPUTED_VALUE"""),1)</f>
        <v>1</v>
      </c>
      <c r="K289" s="8">
        <f ca="1">IFERROR(__xludf.DUMMYFUNCTION("""COMPUTED_VALUE"""),20000)</f>
        <v>20000</v>
      </c>
      <c r="L289" s="8">
        <f ca="1">IFERROR(__xludf.DUMMYFUNCTION("""COMPUTED_VALUE"""),229.042601923957)</f>
        <v>229.04260192395699</v>
      </c>
      <c r="M289" s="96">
        <f ca="1">IFERROR(__xludf.DUMMYFUNCTION("""COMPUTED_VALUE"""),44256)</f>
        <v>44256</v>
      </c>
      <c r="N289" s="6"/>
      <c r="O289" s="97"/>
      <c r="P289" s="6"/>
      <c r="Q289" s="6"/>
      <c r="R289" s="6"/>
      <c r="S289" s="6" t="str">
        <f ca="1">IFERROR(__xludf.DUMMYFUNCTION("""COMPUTED_VALUE"""),"Category")</f>
        <v>Category</v>
      </c>
      <c r="T289" s="6"/>
      <c r="U289" s="6"/>
      <c r="V289" s="6"/>
      <c r="W289" s="6"/>
      <c r="X289" s="6"/>
      <c r="Y289" s="6"/>
      <c r="Z289" s="6"/>
      <c r="AA289" s="6"/>
      <c r="AB289" s="6"/>
      <c r="AC289" s="6"/>
      <c r="AD289" s="6"/>
      <c r="AE289" s="6"/>
      <c r="AF289" s="6"/>
      <c r="AG289" s="6"/>
      <c r="AH289" s="6"/>
      <c r="AI289" s="6"/>
      <c r="AJ289" s="6"/>
      <c r="AK289" s="6"/>
      <c r="AL289" s="6"/>
    </row>
    <row r="290" spans="1:38">
      <c r="A290" s="96">
        <f ca="1">IFERROR(__xludf.DUMMYFUNCTION("""COMPUTED_VALUE"""),44259)</f>
        <v>44259</v>
      </c>
      <c r="B290" s="6" t="str">
        <f ca="1">IFERROR(__xludf.DUMMYFUNCTION("""COMPUTED_VALUE"""),"Rajkumar")</f>
        <v>Rajkumar</v>
      </c>
      <c r="C290" s="6" t="str">
        <f ca="1">IFERROR(__xludf.DUMMYFUNCTION("""COMPUTED_VALUE"""),"rajkumar_nov16@rediff.com")</f>
        <v>rajkumar_nov16@rediff.com</v>
      </c>
      <c r="D290" s="6">
        <f ca="1">IFERROR(__xludf.DUMMYFUNCTION("""COMPUTED_VALUE"""),9980036056)</f>
        <v>9980036056</v>
      </c>
      <c r="E290" s="6" t="str">
        <f ca="1">IFERROR(__xludf.DUMMYFUNCTION("""COMPUTED_VALUE"""),"Chat_triggered")</f>
        <v>Chat_triggered</v>
      </c>
      <c r="F290" s="6" t="str">
        <f ca="1">IFERROR(__xludf.DUMMYFUNCTION("""COMPUTED_VALUE"""),"SAFe Agile")</f>
        <v>SAFe Agile</v>
      </c>
      <c r="G290" s="80">
        <f ca="1">IFERROR(__xludf.DUMMYFUNCTION("""COMPUTED_VALUE"""),44256)</f>
        <v>44256</v>
      </c>
      <c r="H290" s="6" t="str">
        <f ca="1">IFERROR(__xludf.DUMMYFUNCTION("""COMPUTED_VALUE"""),"Won")</f>
        <v>Won</v>
      </c>
      <c r="I290" s="6" t="str">
        <f ca="1">IFERROR(__xludf.DUMMYFUNCTION("""COMPUTED_VALUE"""),"13-14 March 2021")</f>
        <v>13-14 March 2021</v>
      </c>
      <c r="J290" s="6">
        <f ca="1">IFERROR(__xludf.DUMMYFUNCTION("""COMPUTED_VALUE"""),1)</f>
        <v>1</v>
      </c>
      <c r="K290" s="8">
        <f ca="1">IFERROR(__xludf.DUMMYFUNCTION("""COMPUTED_VALUE"""),53100)</f>
        <v>53100</v>
      </c>
      <c r="L290" s="8">
        <f ca="1">IFERROR(__xludf.DUMMYFUNCTION("""COMPUTED_VALUE"""),608.108108108108)</f>
        <v>608.10810810810801</v>
      </c>
      <c r="M290" s="96">
        <f ca="1">IFERROR(__xludf.DUMMYFUNCTION("""COMPUTED_VALUE"""),44263)</f>
        <v>44263</v>
      </c>
      <c r="N290" s="6" t="str">
        <f ca="1">IFERROR(__xludf.DUMMYFUNCTION("""COMPUTED_VALUE"""),"W2")</f>
        <v>W2</v>
      </c>
      <c r="O290" s="97">
        <f ca="1">IFERROR(__xludf.DUMMYFUNCTION("""COMPUTED_VALUE"""),44263)</f>
        <v>44263</v>
      </c>
      <c r="P290" s="6" t="str">
        <f ca="1">IFERROR(__xludf.DUMMYFUNCTION("""COMPUTED_VALUE"""),"CSTM_7150ATZCP02")</f>
        <v>CSTM_7150ATZCP02</v>
      </c>
      <c r="Q290" s="6"/>
      <c r="R290" s="6" t="str">
        <f ca="1">IFERROR(__xludf.DUMMYFUNCTION("""COMPUTED_VALUE"""),"Done. Good feedback.")</f>
        <v>Done. Good feedback.</v>
      </c>
      <c r="S290" s="6" t="str">
        <f ca="1">IFERROR(__xludf.DUMMYFUNCTION("""COMPUTED_VALUE"""),"SAFe")</f>
        <v>SAFe</v>
      </c>
      <c r="T290" s="6"/>
      <c r="U290" s="6"/>
      <c r="V290" s="6"/>
      <c r="W290" s="6"/>
      <c r="X290" s="6"/>
      <c r="Y290" s="6"/>
      <c r="Z290" s="6"/>
      <c r="AA290" s="6"/>
      <c r="AB290" s="6"/>
      <c r="AC290" s="6"/>
      <c r="AD290" s="6"/>
      <c r="AE290" s="6"/>
      <c r="AF290" s="6"/>
      <c r="AG290" s="6"/>
      <c r="AH290" s="6"/>
      <c r="AI290" s="6"/>
      <c r="AJ290" s="6"/>
      <c r="AK290" s="6"/>
      <c r="AL290" s="6"/>
    </row>
    <row r="291" spans="1:38">
      <c r="A291" s="96">
        <f ca="1">IFERROR(__xludf.DUMMYFUNCTION("""COMPUTED_VALUE"""),44263)</f>
        <v>44263</v>
      </c>
      <c r="B291" s="6" t="str">
        <f ca="1">IFERROR(__xludf.DUMMYFUNCTION("""COMPUTED_VALUE"""),"Priyanka Kaushik")</f>
        <v>Priyanka Kaushik</v>
      </c>
      <c r="C291" s="6" t="str">
        <f ca="1">IFERROR(__xludf.DUMMYFUNCTION("""COMPUTED_VALUE"""),"priyankaushik25@gmail.com")</f>
        <v>priyankaushik25@gmail.com</v>
      </c>
      <c r="D291" s="6">
        <f ca="1">IFERROR(__xludf.DUMMYFUNCTION("""COMPUTED_VALUE"""),9711339731)</f>
        <v>9711339731</v>
      </c>
      <c r="E291" s="6" t="str">
        <f ca="1">IFERROR(__xludf.DUMMYFUNCTION("""COMPUTED_VALUE"""),"Chat_triggered")</f>
        <v>Chat_triggered</v>
      </c>
      <c r="F291" s="6" t="str">
        <f ca="1">IFERROR(__xludf.DUMMYFUNCTION("""COMPUTED_VALUE"""),"ITIL 4")</f>
        <v>ITIL 4</v>
      </c>
      <c r="G291" s="80">
        <f ca="1">IFERROR(__xludf.DUMMYFUNCTION("""COMPUTED_VALUE"""),44256)</f>
        <v>44256</v>
      </c>
      <c r="H291" s="6" t="str">
        <f ca="1">IFERROR(__xludf.DUMMYFUNCTION("""COMPUTED_VALUE"""),"Won")</f>
        <v>Won</v>
      </c>
      <c r="I291" s="6" t="str">
        <f ca="1">IFERROR(__xludf.DUMMYFUNCTION("""COMPUTED_VALUE"""),"20 March 2021")</f>
        <v>20 March 2021</v>
      </c>
      <c r="J291" s="6">
        <f ca="1">IFERROR(__xludf.DUMMYFUNCTION("""COMPUTED_VALUE"""),1)</f>
        <v>1</v>
      </c>
      <c r="K291" s="8">
        <f ca="1">IFERROR(__xludf.DUMMYFUNCTION("""COMPUTED_VALUE"""),16000)</f>
        <v>16000</v>
      </c>
      <c r="L291" s="8">
        <f ca="1">IFERROR(__xludf.DUMMYFUNCTION("""COMPUTED_VALUE"""),183.234081539166)</f>
        <v>183.234081539166</v>
      </c>
      <c r="M291" s="96">
        <f ca="1">IFERROR(__xludf.DUMMYFUNCTION("""COMPUTED_VALUE"""),44263)</f>
        <v>44263</v>
      </c>
      <c r="N291" s="6" t="str">
        <f ca="1">IFERROR(__xludf.DUMMYFUNCTION("""COMPUTED_VALUE"""),"W2")</f>
        <v>W2</v>
      </c>
      <c r="O291" s="97">
        <f ca="1">IFERROR(__xludf.DUMMYFUNCTION("""COMPUTED_VALUE"""),44264)</f>
        <v>44264</v>
      </c>
      <c r="P291" s="6" t="str">
        <f ca="1">IFERROR(__xludf.DUMMYFUNCTION("""COMPUTED_VALUE"""),"CSTM_J70LW1ONM1H")</f>
        <v>CSTM_J70LW1ONM1H</v>
      </c>
      <c r="Q291" s="6"/>
      <c r="R291" s="6" t="str">
        <f ca="1">IFERROR(__xludf.DUMMYFUNCTION("""COMPUTED_VALUE"""),"Pending")</f>
        <v>Pending</v>
      </c>
      <c r="S291" s="6" t="str">
        <f ca="1">IFERROR(__xludf.DUMMYFUNCTION("""COMPUTED_VALUE"""),"NonCategory")</f>
        <v>NonCategory</v>
      </c>
      <c r="T291" s="6"/>
      <c r="U291" s="6"/>
      <c r="V291" s="6"/>
      <c r="W291" s="6"/>
      <c r="X291" s="6"/>
      <c r="Y291" s="6"/>
      <c r="Z291" s="6"/>
      <c r="AA291" s="6"/>
      <c r="AB291" s="6"/>
      <c r="AC291" s="6"/>
      <c r="AD291" s="6"/>
      <c r="AE291" s="6"/>
      <c r="AF291" s="6"/>
      <c r="AG291" s="6"/>
      <c r="AH291" s="6"/>
      <c r="AI291" s="6"/>
      <c r="AJ291" s="6"/>
      <c r="AK291" s="6"/>
      <c r="AL291" s="6"/>
    </row>
    <row r="292" spans="1:38">
      <c r="A292" s="96">
        <f ca="1">IFERROR(__xludf.DUMMYFUNCTION("""COMPUTED_VALUE"""),44257)</f>
        <v>44257</v>
      </c>
      <c r="B292" s="6" t="str">
        <f ca="1">IFERROR(__xludf.DUMMYFUNCTION("""COMPUTED_VALUE"""),"Priyanka Prabhu")</f>
        <v>Priyanka Prabhu</v>
      </c>
      <c r="C292" s="6" t="str">
        <f ca="1">IFERROR(__xludf.DUMMYFUNCTION("""COMPUTED_VALUE"""),"priyankaprabhu.p4@gmail.com")</f>
        <v>priyankaprabhu.p4@gmail.com</v>
      </c>
      <c r="D292" s="6">
        <f ca="1">IFERROR(__xludf.DUMMYFUNCTION("""COMPUTED_VALUE"""),9920727693)</f>
        <v>9920727693</v>
      </c>
      <c r="E292" s="6" t="str">
        <f ca="1">IFERROR(__xludf.DUMMYFUNCTION("""COMPUTED_VALUE"""),"Query box")</f>
        <v>Query box</v>
      </c>
      <c r="F292" s="6" t="str">
        <f ca="1">IFERROR(__xludf.DUMMYFUNCTION("""COMPUTED_VALUE"""),"SAFe Agile")</f>
        <v>SAFe Agile</v>
      </c>
      <c r="G292" s="80">
        <f ca="1">IFERROR(__xludf.DUMMYFUNCTION("""COMPUTED_VALUE"""),44256)</f>
        <v>44256</v>
      </c>
      <c r="H292" s="6" t="str">
        <f ca="1">IFERROR(__xludf.DUMMYFUNCTION("""COMPUTED_VALUE"""),"Opportunity")</f>
        <v>Opportunity</v>
      </c>
      <c r="I292" s="6" t="str">
        <f ca="1">IFERROR(__xludf.DUMMYFUNCTION("""COMPUTED_VALUE"""),"March 2021")</f>
        <v>March 2021</v>
      </c>
      <c r="J292" s="6">
        <f ca="1">IFERROR(__xludf.DUMMYFUNCTION("""COMPUTED_VALUE"""),1)</f>
        <v>1</v>
      </c>
      <c r="K292" s="8">
        <f ca="1">IFERROR(__xludf.DUMMYFUNCTION("""COMPUTED_VALUE"""),45000)</f>
        <v>45000</v>
      </c>
      <c r="L292" s="8">
        <f ca="1">IFERROR(__xludf.DUMMYFUNCTION("""COMPUTED_VALUE"""),515.345854328905)</f>
        <v>515.34585432890503</v>
      </c>
      <c r="M292" s="96">
        <f ca="1">IFERROR(__xludf.DUMMYFUNCTION("""COMPUTED_VALUE"""),44259)</f>
        <v>44259</v>
      </c>
      <c r="N292" s="6"/>
      <c r="O292" s="97"/>
      <c r="P292" s="6"/>
      <c r="Q292" s="6"/>
      <c r="R292" s="6"/>
      <c r="S292" s="6" t="str">
        <f ca="1">IFERROR(__xludf.DUMMYFUNCTION("""COMPUTED_VALUE"""),"SAFe")</f>
        <v>SAFe</v>
      </c>
      <c r="T292" s="6"/>
      <c r="U292" s="6"/>
      <c r="V292" s="6"/>
      <c r="W292" s="6"/>
      <c r="X292" s="6"/>
      <c r="Y292" s="6"/>
      <c r="Z292" s="6"/>
      <c r="AA292" s="6"/>
      <c r="AB292" s="6"/>
      <c r="AC292" s="6"/>
      <c r="AD292" s="6"/>
      <c r="AE292" s="6"/>
      <c r="AF292" s="6"/>
      <c r="AG292" s="6"/>
      <c r="AH292" s="6"/>
      <c r="AI292" s="6"/>
      <c r="AJ292" s="6"/>
      <c r="AK292" s="6"/>
      <c r="AL292" s="6"/>
    </row>
    <row r="293" spans="1:38">
      <c r="A293" s="96">
        <f ca="1">IFERROR(__xludf.DUMMYFUNCTION("""COMPUTED_VALUE"""),44264)</f>
        <v>44264</v>
      </c>
      <c r="B293" s="6" t="str">
        <f ca="1">IFERROR(__xludf.DUMMYFUNCTION("""COMPUTED_VALUE"""),"Shivani Sethi")</f>
        <v>Shivani Sethi</v>
      </c>
      <c r="C293" s="6" t="str">
        <f ca="1">IFERROR(__xludf.DUMMYFUNCTION("""COMPUTED_VALUE"""),"shivanisethi2003@gmail.com")</f>
        <v>shivanisethi2003@gmail.com</v>
      </c>
      <c r="D293" s="6">
        <f ca="1">IFERROR(__xludf.DUMMYFUNCTION("""COMPUTED_VALUE"""),9742374242)</f>
        <v>9742374242</v>
      </c>
      <c r="E293" s="6" t="str">
        <f ca="1">IFERROR(__xludf.DUMMYFUNCTION("""COMPUTED_VALUE"""),"course agenda")</f>
        <v>course agenda</v>
      </c>
      <c r="F293" s="6" t="str">
        <f ca="1">IFERROR(__xludf.DUMMYFUNCTION("""COMPUTED_VALUE"""),"CSM")</f>
        <v>CSM</v>
      </c>
      <c r="G293" s="80">
        <f ca="1">IFERROR(__xludf.DUMMYFUNCTION("""COMPUTED_VALUE"""),44256)</f>
        <v>44256</v>
      </c>
      <c r="H293" s="6" t="str">
        <f ca="1">IFERROR(__xludf.DUMMYFUNCTION("""COMPUTED_VALUE"""),"Won")</f>
        <v>Won</v>
      </c>
      <c r="I293" s="6" t="str">
        <f ca="1">IFERROR(__xludf.DUMMYFUNCTION("""COMPUTED_VALUE"""),"13-14 March 2021")</f>
        <v>13-14 March 2021</v>
      </c>
      <c r="J293" s="6">
        <f ca="1">IFERROR(__xludf.DUMMYFUNCTION("""COMPUTED_VALUE"""),1)</f>
        <v>1</v>
      </c>
      <c r="K293" s="8">
        <f ca="1">IFERROR(__xludf.DUMMYFUNCTION("""COMPUTED_VALUE"""),20000)</f>
        <v>20000</v>
      </c>
      <c r="L293" s="8">
        <f ca="1">IFERROR(__xludf.DUMMYFUNCTION("""COMPUTED_VALUE"""),229.042601923957)</f>
        <v>229.04260192395699</v>
      </c>
      <c r="M293" s="96">
        <f ca="1">IFERROR(__xludf.DUMMYFUNCTION("""COMPUTED_VALUE"""),44264)</f>
        <v>44264</v>
      </c>
      <c r="N293" s="6" t="str">
        <f ca="1">IFERROR(__xludf.DUMMYFUNCTION("""COMPUTED_VALUE"""),"W2")</f>
        <v>W2</v>
      </c>
      <c r="O293" s="97">
        <f ca="1">IFERROR(__xludf.DUMMYFUNCTION("""COMPUTED_VALUE"""),44264)</f>
        <v>44264</v>
      </c>
      <c r="P293" s="6" t="str">
        <f ca="1">IFERROR(__xludf.DUMMYFUNCTION("""COMPUTED_VALUE"""),"CSTM_I4BNTNYTS93")</f>
        <v>CSTM_I4BNTNYTS93</v>
      </c>
      <c r="Q293" s="6"/>
      <c r="R293" s="6" t="str">
        <f ca="1">IFERROR(__xludf.DUMMYFUNCTION("""COMPUTED_VALUE"""),"Done. Good feedback.")</f>
        <v>Done. Good feedback.</v>
      </c>
      <c r="S293" s="6" t="str">
        <f ca="1">IFERROR(__xludf.DUMMYFUNCTION("""COMPUTED_VALUE"""),"Category")</f>
        <v>Category</v>
      </c>
      <c r="T293" s="6"/>
      <c r="U293" s="6"/>
      <c r="V293" s="6"/>
      <c r="W293" s="6"/>
      <c r="X293" s="6"/>
      <c r="Y293" s="6"/>
      <c r="Z293" s="6"/>
      <c r="AA293" s="6"/>
      <c r="AB293" s="6"/>
      <c r="AC293" s="6"/>
      <c r="AD293" s="6"/>
      <c r="AE293" s="6"/>
      <c r="AF293" s="6"/>
      <c r="AG293" s="6"/>
      <c r="AH293" s="6"/>
      <c r="AI293" s="6"/>
      <c r="AJ293" s="6"/>
      <c r="AK293" s="6"/>
      <c r="AL293" s="6"/>
    </row>
    <row r="294" spans="1:38">
      <c r="A294" s="96">
        <f ca="1">IFERROR(__xludf.DUMMYFUNCTION("""COMPUTED_VALUE"""),44257)</f>
        <v>44257</v>
      </c>
      <c r="B294" s="6" t="str">
        <f ca="1">IFERROR(__xludf.DUMMYFUNCTION("""COMPUTED_VALUE"""),"Praveen Prabhakar")</f>
        <v>Praveen Prabhakar</v>
      </c>
      <c r="C294" s="6" t="str">
        <f ca="1">IFERROR(__xludf.DUMMYFUNCTION("""COMPUTED_VALUE"""),"praveenprabhakar85@gmail.com")</f>
        <v>praveenprabhakar85@gmail.com</v>
      </c>
      <c r="D294" s="6">
        <f ca="1">IFERROR(__xludf.DUMMYFUNCTION("""COMPUTED_VALUE"""),8408939524)</f>
        <v>8408939524</v>
      </c>
      <c r="E294" s="6" t="str">
        <f ca="1">IFERROR(__xludf.DUMMYFUNCTION("""COMPUTED_VALUE"""),"Query box")</f>
        <v>Query box</v>
      </c>
      <c r="F294" s="6" t="str">
        <f ca="1">IFERROR(__xludf.DUMMYFUNCTION("""COMPUTED_VALUE"""),"SAFe Agile")</f>
        <v>SAFe Agile</v>
      </c>
      <c r="G294" s="80">
        <f ca="1">IFERROR(__xludf.DUMMYFUNCTION("""COMPUTED_VALUE"""),44256)</f>
        <v>44256</v>
      </c>
      <c r="H294" s="6" t="str">
        <f ca="1">IFERROR(__xludf.DUMMYFUNCTION("""COMPUTED_VALUE"""),"Won")</f>
        <v>Won</v>
      </c>
      <c r="I294" s="6" t="str">
        <f ca="1">IFERROR(__xludf.DUMMYFUNCTION("""COMPUTED_VALUE"""),"13-14 March 2021")</f>
        <v>13-14 March 2021</v>
      </c>
      <c r="J294" s="6">
        <f ca="1">IFERROR(__xludf.DUMMYFUNCTION("""COMPUTED_VALUE"""),1)</f>
        <v>1</v>
      </c>
      <c r="K294" s="8">
        <f ca="1">IFERROR(__xludf.DUMMYFUNCTION("""COMPUTED_VALUE"""),45000)</f>
        <v>45000</v>
      </c>
      <c r="L294" s="8">
        <f ca="1">IFERROR(__xludf.DUMMYFUNCTION("""COMPUTED_VALUE"""),515.345854328905)</f>
        <v>515.34585432890503</v>
      </c>
      <c r="M294" s="96">
        <f ca="1">IFERROR(__xludf.DUMMYFUNCTION("""COMPUTED_VALUE"""),44264)</f>
        <v>44264</v>
      </c>
      <c r="N294" s="6" t="str">
        <f ca="1">IFERROR(__xludf.DUMMYFUNCTION("""COMPUTED_VALUE"""),"W2")</f>
        <v>W2</v>
      </c>
      <c r="O294" s="97">
        <f ca="1">IFERROR(__xludf.DUMMYFUNCTION("""COMPUTED_VALUE"""),44264)</f>
        <v>44264</v>
      </c>
      <c r="P294" s="6" t="str">
        <f ca="1">IFERROR(__xludf.DUMMYFUNCTION("""COMPUTED_VALUE"""),"CSTM_DP6T5CECCXP")</f>
        <v>CSTM_DP6T5CECCXP</v>
      </c>
      <c r="Q294" s="6"/>
      <c r="R294" s="6" t="str">
        <f ca="1">IFERROR(__xludf.DUMMYFUNCTION("""COMPUTED_VALUE"""),"Done. Good feedback.")</f>
        <v>Done. Good feedback.</v>
      </c>
      <c r="S294" s="6" t="str">
        <f ca="1">IFERROR(__xludf.DUMMYFUNCTION("""COMPUTED_VALUE"""),"SAFe")</f>
        <v>SAFe</v>
      </c>
      <c r="T294" s="6"/>
      <c r="U294" s="6"/>
      <c r="V294" s="6"/>
      <c r="W294" s="6"/>
      <c r="X294" s="6"/>
      <c r="Y294" s="6"/>
      <c r="Z294" s="6"/>
      <c r="AA294" s="6"/>
      <c r="AB294" s="6"/>
      <c r="AC294" s="6"/>
      <c r="AD294" s="6"/>
      <c r="AE294" s="6"/>
      <c r="AF294" s="6"/>
      <c r="AG294" s="6"/>
      <c r="AH294" s="6"/>
      <c r="AI294" s="6"/>
      <c r="AJ294" s="6"/>
      <c r="AK294" s="6"/>
      <c r="AL294" s="6"/>
    </row>
    <row r="295" spans="1:38">
      <c r="A295" s="96">
        <f ca="1">IFERROR(__xludf.DUMMYFUNCTION("""COMPUTED_VALUE"""),44260)</f>
        <v>44260</v>
      </c>
      <c r="B295" s="6" t="str">
        <f ca="1">IFERROR(__xludf.DUMMYFUNCTION("""COMPUTED_VALUE"""),"Soumya Chakraborty")</f>
        <v>Soumya Chakraborty</v>
      </c>
      <c r="C295" s="6" t="str">
        <f ca="1">IFERROR(__xludf.DUMMYFUNCTION("""COMPUTED_VALUE"""),"soumyamig21@gmail.com")</f>
        <v>soumyamig21@gmail.com</v>
      </c>
      <c r="D295" s="6">
        <f ca="1">IFERROR(__xludf.DUMMYFUNCTION("""COMPUTED_VALUE"""),9874464449)</f>
        <v>9874464449</v>
      </c>
      <c r="E295" s="6" t="str">
        <f ca="1">IFERROR(__xludf.DUMMYFUNCTION("""COMPUTED_VALUE"""),"course agenda")</f>
        <v>course agenda</v>
      </c>
      <c r="F295" s="6" t="str">
        <f ca="1">IFERROR(__xludf.DUMMYFUNCTION("""COMPUTED_VALUE"""),"CSM")</f>
        <v>CSM</v>
      </c>
      <c r="G295" s="80">
        <f ca="1">IFERROR(__xludf.DUMMYFUNCTION("""COMPUTED_VALUE"""),44256)</f>
        <v>44256</v>
      </c>
      <c r="H295" s="6" t="str">
        <f ca="1">IFERROR(__xludf.DUMMYFUNCTION("""COMPUTED_VALUE"""),"Won")</f>
        <v>Won</v>
      </c>
      <c r="I295" s="6" t="str">
        <f ca="1">IFERROR(__xludf.DUMMYFUNCTION("""COMPUTED_VALUE"""),"20-21 March 2021")</f>
        <v>20-21 March 2021</v>
      </c>
      <c r="J295" s="6">
        <f ca="1">IFERROR(__xludf.DUMMYFUNCTION("""COMPUTED_VALUE"""),1)</f>
        <v>1</v>
      </c>
      <c r="K295" s="8">
        <f ca="1">IFERROR(__xludf.DUMMYFUNCTION("""COMPUTED_VALUE"""),20000)</f>
        <v>20000</v>
      </c>
      <c r="L295" s="8">
        <f ca="1">IFERROR(__xludf.DUMMYFUNCTION("""COMPUTED_VALUE"""),229.042601923957)</f>
        <v>229.04260192395699</v>
      </c>
      <c r="M295" s="96">
        <f ca="1">IFERROR(__xludf.DUMMYFUNCTION("""COMPUTED_VALUE"""),44263)</f>
        <v>44263</v>
      </c>
      <c r="N295" s="6" t="str">
        <f ca="1">IFERROR(__xludf.DUMMYFUNCTION("""COMPUTED_VALUE"""),"W2")</f>
        <v>W2</v>
      </c>
      <c r="O295" s="97">
        <f ca="1">IFERROR(__xludf.DUMMYFUNCTION("""COMPUTED_VALUE"""),44265)</f>
        <v>44265</v>
      </c>
      <c r="P295" s="6" t="str">
        <f ca="1">IFERROR(__xludf.DUMMYFUNCTION("""COMPUTED_VALUE"""),"CSTM_4EUC2BV9R6M")</f>
        <v>CSTM_4EUC2BV9R6M</v>
      </c>
      <c r="Q295" s="6"/>
      <c r="R295" s="6" t="str">
        <f ca="1">IFERROR(__xludf.DUMMYFUNCTION("""COMPUTED_VALUE"""),"Done. Good feedback.")</f>
        <v>Done. Good feedback.</v>
      </c>
      <c r="S295" s="6" t="str">
        <f ca="1">IFERROR(__xludf.DUMMYFUNCTION("""COMPUTED_VALUE"""),"Category")</f>
        <v>Category</v>
      </c>
      <c r="T295" s="6"/>
      <c r="U295" s="6"/>
      <c r="V295" s="6"/>
      <c r="W295" s="6"/>
      <c r="X295" s="6"/>
      <c r="Y295" s="6"/>
      <c r="Z295" s="6"/>
      <c r="AA295" s="6"/>
      <c r="AB295" s="6"/>
      <c r="AC295" s="6"/>
      <c r="AD295" s="6"/>
      <c r="AE295" s="6"/>
      <c r="AF295" s="6"/>
      <c r="AG295" s="6"/>
      <c r="AH295" s="6"/>
      <c r="AI295" s="6"/>
      <c r="AJ295" s="6"/>
      <c r="AK295" s="6"/>
      <c r="AL295" s="6"/>
    </row>
    <row r="296" spans="1:38">
      <c r="A296" s="96">
        <f ca="1">IFERROR(__xludf.DUMMYFUNCTION("""COMPUTED_VALUE"""),44258)</f>
        <v>44258</v>
      </c>
      <c r="B296" s="6" t="str">
        <f ca="1">IFERROR(__xludf.DUMMYFUNCTION("""COMPUTED_VALUE"""),"Nikhil")</f>
        <v>Nikhil</v>
      </c>
      <c r="C296" s="6" t="str">
        <f ca="1">IFERROR(__xludf.DUMMYFUNCTION("""COMPUTED_VALUE"""),"unikhil@hotmail.com")</f>
        <v>unikhil@hotmail.com</v>
      </c>
      <c r="D296" s="6">
        <f ca="1">IFERROR(__xludf.DUMMYFUNCTION("""COMPUTED_VALUE"""),9923956909)</f>
        <v>9923956909</v>
      </c>
      <c r="E296" s="6" t="str">
        <f ca="1">IFERROR(__xludf.DUMMYFUNCTION("""COMPUTED_VALUE"""),"Chat_triggered")</f>
        <v>Chat_triggered</v>
      </c>
      <c r="F296" s="6" t="str">
        <f ca="1">IFERROR(__xludf.DUMMYFUNCTION("""COMPUTED_VALUE"""),"CSM")</f>
        <v>CSM</v>
      </c>
      <c r="G296" s="80">
        <f ca="1">IFERROR(__xludf.DUMMYFUNCTION("""COMPUTED_VALUE"""),44256)</f>
        <v>44256</v>
      </c>
      <c r="H296" s="6" t="str">
        <f ca="1">IFERROR(__xludf.DUMMYFUNCTION("""COMPUTED_VALUE"""),"Opportunity")</f>
        <v>Opportunity</v>
      </c>
      <c r="I296" s="6" t="str">
        <f ca="1">IFERROR(__xludf.DUMMYFUNCTION("""COMPUTED_VALUE"""),"20-21 March 2021")</f>
        <v>20-21 March 2021</v>
      </c>
      <c r="J296" s="6">
        <f ca="1">IFERROR(__xludf.DUMMYFUNCTION("""COMPUTED_VALUE"""),1)</f>
        <v>1</v>
      </c>
      <c r="K296" s="8">
        <f ca="1">IFERROR(__xludf.DUMMYFUNCTION("""COMPUTED_VALUE"""),19000)</f>
        <v>19000</v>
      </c>
      <c r="L296" s="8">
        <f ca="1">IFERROR(__xludf.DUMMYFUNCTION("""COMPUTED_VALUE"""),217.590471827759)</f>
        <v>217.59047182775899</v>
      </c>
      <c r="M296" s="96">
        <f ca="1">IFERROR(__xludf.DUMMYFUNCTION("""COMPUTED_VALUE"""),44259)</f>
        <v>44259</v>
      </c>
      <c r="N296" s="6"/>
      <c r="O296" s="97"/>
      <c r="P296" s="6"/>
      <c r="Q296" s="6"/>
      <c r="R296" s="6"/>
      <c r="S296" s="6" t="str">
        <f ca="1">IFERROR(__xludf.DUMMYFUNCTION("""COMPUTED_VALUE"""),"Category")</f>
        <v>Category</v>
      </c>
      <c r="T296" s="6"/>
      <c r="U296" s="6"/>
      <c r="V296" s="6"/>
      <c r="W296" s="6"/>
      <c r="X296" s="6"/>
      <c r="Y296" s="6"/>
      <c r="Z296" s="6"/>
      <c r="AA296" s="6"/>
      <c r="AB296" s="6"/>
      <c r="AC296" s="6"/>
      <c r="AD296" s="6"/>
      <c r="AE296" s="6"/>
      <c r="AF296" s="6"/>
      <c r="AG296" s="6"/>
      <c r="AH296" s="6"/>
      <c r="AI296" s="6"/>
      <c r="AJ296" s="6"/>
      <c r="AK296" s="6"/>
      <c r="AL296" s="6"/>
    </row>
    <row r="297" spans="1:38">
      <c r="A297" s="96">
        <f ca="1">IFERROR(__xludf.DUMMYFUNCTION("""COMPUTED_VALUE"""),44258)</f>
        <v>44258</v>
      </c>
      <c r="B297" s="6" t="str">
        <f ca="1">IFERROR(__xludf.DUMMYFUNCTION("""COMPUTED_VALUE"""),"Sananda Chakraborty")</f>
        <v>Sananda Chakraborty</v>
      </c>
      <c r="C297" s="6" t="str">
        <f ca="1">IFERROR(__xludf.DUMMYFUNCTION("""COMPUTED_VALUE"""),"sananda18@gmail.com")</f>
        <v>sananda18@gmail.com</v>
      </c>
      <c r="D297" s="6">
        <f ca="1">IFERROR(__xludf.DUMMYFUNCTION("""COMPUTED_VALUE"""),9830744376)</f>
        <v>9830744376</v>
      </c>
      <c r="E297" s="6" t="str">
        <f ca="1">IFERROR(__xludf.DUMMYFUNCTION("""COMPUTED_VALUE"""),"Reference")</f>
        <v>Reference</v>
      </c>
      <c r="F297" s="6" t="str">
        <f ca="1">IFERROR(__xludf.DUMMYFUNCTION("""COMPUTED_VALUE"""),"PSM")</f>
        <v>PSM</v>
      </c>
      <c r="G297" s="80">
        <f ca="1">IFERROR(__xludf.DUMMYFUNCTION("""COMPUTED_VALUE"""),44256)</f>
        <v>44256</v>
      </c>
      <c r="H297" s="6" t="str">
        <f ca="1">IFERROR(__xludf.DUMMYFUNCTION("""COMPUTED_VALUE"""),"Opportunity")</f>
        <v>Opportunity</v>
      </c>
      <c r="I297" s="6" t="str">
        <f ca="1">IFERROR(__xludf.DUMMYFUNCTION("""COMPUTED_VALUE"""),"20-21 March 2021")</f>
        <v>20-21 March 2021</v>
      </c>
      <c r="J297" s="6">
        <f ca="1">IFERROR(__xludf.DUMMYFUNCTION("""COMPUTED_VALUE"""),1)</f>
        <v>1</v>
      </c>
      <c r="K297" s="8">
        <f ca="1">IFERROR(__xludf.DUMMYFUNCTION("""COMPUTED_VALUE"""),21000)</f>
        <v>21000</v>
      </c>
      <c r="L297" s="8">
        <f ca="1">IFERROR(__xludf.DUMMYFUNCTION("""COMPUTED_VALUE"""),240.494732020155)</f>
        <v>240.494732020155</v>
      </c>
      <c r="M297" s="96">
        <f ca="1">IFERROR(__xludf.DUMMYFUNCTION("""COMPUTED_VALUE"""),44265)</f>
        <v>44265</v>
      </c>
      <c r="N297" s="6"/>
      <c r="O297" s="97"/>
      <c r="P297" s="6"/>
      <c r="Q297" s="6"/>
      <c r="R297" s="6"/>
      <c r="S297" s="6" t="str">
        <f ca="1">IFERROR(__xludf.DUMMYFUNCTION("""COMPUTED_VALUE"""),"Category")</f>
        <v>Category</v>
      </c>
      <c r="T297" s="6"/>
      <c r="U297" s="6"/>
      <c r="V297" s="6"/>
      <c r="W297" s="6"/>
      <c r="X297" s="6"/>
      <c r="Y297" s="6"/>
      <c r="Z297" s="6"/>
      <c r="AA297" s="6"/>
      <c r="AB297" s="6"/>
      <c r="AC297" s="6"/>
      <c r="AD297" s="6"/>
      <c r="AE297" s="6"/>
      <c r="AF297" s="6"/>
      <c r="AG297" s="6"/>
      <c r="AH297" s="6"/>
      <c r="AI297" s="6"/>
      <c r="AJ297" s="6"/>
      <c r="AK297" s="6"/>
      <c r="AL297" s="6"/>
    </row>
    <row r="298" spans="1:38">
      <c r="A298" s="96">
        <f ca="1">IFERROR(__xludf.DUMMYFUNCTION("""COMPUTED_VALUE"""),44259)</f>
        <v>44259</v>
      </c>
      <c r="B298" s="6" t="str">
        <f ca="1">IFERROR(__xludf.DUMMYFUNCTION("""COMPUTED_VALUE"""),"Kiran Chowdhary")</f>
        <v>Kiran Chowdhary</v>
      </c>
      <c r="C298" s="6" t="str">
        <f ca="1">IFERROR(__xludf.DUMMYFUNCTION("""COMPUTED_VALUE"""),"kiranchowdary1981@gmail.com")</f>
        <v>kiranchowdary1981@gmail.com</v>
      </c>
      <c r="D298" s="6">
        <f ca="1">IFERROR(__xludf.DUMMYFUNCTION("""COMPUTED_VALUE"""),7013337679)</f>
        <v>7013337679</v>
      </c>
      <c r="E298" s="6" t="str">
        <f ca="1">IFERROR(__xludf.DUMMYFUNCTION("""COMPUTED_VALUE"""),"course preview")</f>
        <v>course preview</v>
      </c>
      <c r="F298" s="6" t="str">
        <f ca="1">IFERROR(__xludf.DUMMYFUNCTION("""COMPUTED_VALUE"""),"CSM")</f>
        <v>CSM</v>
      </c>
      <c r="G298" s="80">
        <f ca="1">IFERROR(__xludf.DUMMYFUNCTION("""COMPUTED_VALUE"""),44256)</f>
        <v>44256</v>
      </c>
      <c r="H298" s="6" t="str">
        <f ca="1">IFERROR(__xludf.DUMMYFUNCTION("""COMPUTED_VALUE"""),"Opportunity")</f>
        <v>Opportunity</v>
      </c>
      <c r="I298" s="6" t="str">
        <f ca="1">IFERROR(__xludf.DUMMYFUNCTION("""COMPUTED_VALUE"""),"13-14 March 2021")</f>
        <v>13-14 March 2021</v>
      </c>
      <c r="J298" s="6">
        <f ca="1">IFERROR(__xludf.DUMMYFUNCTION("""COMPUTED_VALUE"""),1)</f>
        <v>1</v>
      </c>
      <c r="K298" s="8">
        <f ca="1">IFERROR(__xludf.DUMMYFUNCTION("""COMPUTED_VALUE"""),21500)</f>
        <v>21500</v>
      </c>
      <c r="L298" s="8">
        <f ca="1">IFERROR(__xludf.DUMMYFUNCTION("""COMPUTED_VALUE"""),246.220797068254)</f>
        <v>246.220797068254</v>
      </c>
      <c r="M298" s="96">
        <f ca="1">IFERROR(__xludf.DUMMYFUNCTION("""COMPUTED_VALUE"""),44261)</f>
        <v>44261</v>
      </c>
      <c r="N298" s="6"/>
      <c r="O298" s="97"/>
      <c r="P298" s="6"/>
      <c r="Q298" s="6"/>
      <c r="R298" s="6"/>
      <c r="S298" s="6" t="str">
        <f ca="1">IFERROR(__xludf.DUMMYFUNCTION("""COMPUTED_VALUE"""),"Category")</f>
        <v>Category</v>
      </c>
      <c r="T298" s="6"/>
      <c r="U298" s="6"/>
      <c r="V298" s="6"/>
      <c r="W298" s="6"/>
      <c r="X298" s="6"/>
      <c r="Y298" s="6"/>
      <c r="Z298" s="6"/>
      <c r="AA298" s="6"/>
      <c r="AB298" s="6"/>
      <c r="AC298" s="6"/>
      <c r="AD298" s="6"/>
      <c r="AE298" s="6"/>
      <c r="AF298" s="6"/>
      <c r="AG298" s="6"/>
      <c r="AH298" s="6"/>
      <c r="AI298" s="6"/>
      <c r="AJ298" s="6"/>
      <c r="AK298" s="6"/>
      <c r="AL298" s="6"/>
    </row>
    <row r="299" spans="1:38">
      <c r="A299" s="96">
        <f ca="1">IFERROR(__xludf.DUMMYFUNCTION("""COMPUTED_VALUE"""),44258)</f>
        <v>44258</v>
      </c>
      <c r="B299" s="6" t="str">
        <f ca="1">IFERROR(__xludf.DUMMYFUNCTION("""COMPUTED_VALUE"""),"Sujith")</f>
        <v>Sujith</v>
      </c>
      <c r="C299" s="6" t="str">
        <f ca="1">IFERROR(__xludf.DUMMYFUNCTION("""COMPUTED_VALUE"""),"sujith.hp@gmail.com")</f>
        <v>sujith.hp@gmail.com</v>
      </c>
      <c r="D299" s="6">
        <f ca="1">IFERROR(__xludf.DUMMYFUNCTION("""COMPUTED_VALUE"""),8589039366)</f>
        <v>8589039366</v>
      </c>
      <c r="E299" s="6" t="str">
        <f ca="1">IFERROR(__xludf.DUMMYFUNCTION("""COMPUTED_VALUE"""),"chat_initiated")</f>
        <v>chat_initiated</v>
      </c>
      <c r="F299" s="6" t="str">
        <f ca="1">IFERROR(__xludf.DUMMYFUNCTION("""COMPUTED_VALUE"""),"SAFe Agile")</f>
        <v>SAFe Agile</v>
      </c>
      <c r="G299" s="80">
        <f ca="1">IFERROR(__xludf.DUMMYFUNCTION("""COMPUTED_VALUE"""),44256)</f>
        <v>44256</v>
      </c>
      <c r="H299" s="6" t="str">
        <f ca="1">IFERROR(__xludf.DUMMYFUNCTION("""COMPUTED_VALUE"""),"Opportunity")</f>
        <v>Opportunity</v>
      </c>
      <c r="I299" s="6" t="str">
        <f ca="1">IFERROR(__xludf.DUMMYFUNCTION("""COMPUTED_VALUE"""),"27-28 March 2021")</f>
        <v>27-28 March 2021</v>
      </c>
      <c r="J299" s="6">
        <f ca="1">IFERROR(__xludf.DUMMYFUNCTION("""COMPUTED_VALUE"""),1)</f>
        <v>1</v>
      </c>
      <c r="K299" s="8">
        <f ca="1">IFERROR(__xludf.DUMMYFUNCTION("""COMPUTED_VALUE"""),45000)</f>
        <v>45000</v>
      </c>
      <c r="L299" s="8">
        <f ca="1">IFERROR(__xludf.DUMMYFUNCTION("""COMPUTED_VALUE"""),515.345854328905)</f>
        <v>515.34585432890503</v>
      </c>
      <c r="M299" s="96">
        <f ca="1">IFERROR(__xludf.DUMMYFUNCTION("""COMPUTED_VALUE"""),44273)</f>
        <v>44273</v>
      </c>
      <c r="N299" s="6"/>
      <c r="O299" s="97"/>
      <c r="P299" s="6"/>
      <c r="Q299" s="6"/>
      <c r="R299" s="6"/>
      <c r="S299" s="6" t="str">
        <f ca="1">IFERROR(__xludf.DUMMYFUNCTION("""COMPUTED_VALUE"""),"SAFe")</f>
        <v>SAFe</v>
      </c>
      <c r="T299" s="6"/>
      <c r="U299" s="6"/>
      <c r="V299" s="6"/>
      <c r="W299" s="6"/>
      <c r="X299" s="6"/>
      <c r="Y299" s="6"/>
      <c r="Z299" s="6"/>
      <c r="AA299" s="6"/>
      <c r="AB299" s="6"/>
      <c r="AC299" s="6"/>
      <c r="AD299" s="6"/>
      <c r="AE299" s="6"/>
      <c r="AF299" s="6"/>
      <c r="AG299" s="6"/>
      <c r="AH299" s="6"/>
      <c r="AI299" s="6"/>
      <c r="AJ299" s="6"/>
      <c r="AK299" s="6"/>
      <c r="AL299" s="6"/>
    </row>
    <row r="300" spans="1:38">
      <c r="A300" s="96">
        <f ca="1">IFERROR(__xludf.DUMMYFUNCTION("""COMPUTED_VALUE"""),44264)</f>
        <v>44264</v>
      </c>
      <c r="B300" s="6" t="str">
        <f ca="1">IFERROR(__xludf.DUMMYFUNCTION("""COMPUTED_VALUE"""),"Abhijeet Phatak")</f>
        <v>Abhijeet Phatak</v>
      </c>
      <c r="C300" s="6" t="str">
        <f ca="1">IFERROR(__xludf.DUMMYFUNCTION("""COMPUTED_VALUE"""),"phatakabhijeet@yahoo.com")</f>
        <v>phatakabhijeet@yahoo.com</v>
      </c>
      <c r="D300" s="6">
        <f ca="1">IFERROR(__xludf.DUMMYFUNCTION("""COMPUTED_VALUE"""),9049849996)</f>
        <v>9049849996</v>
      </c>
      <c r="E300" s="6" t="str">
        <f ca="1">IFERROR(__xludf.DUMMYFUNCTION("""COMPUTED_VALUE"""),"course agenda")</f>
        <v>course agenda</v>
      </c>
      <c r="F300" s="6" t="str">
        <f ca="1">IFERROR(__xludf.DUMMYFUNCTION("""COMPUTED_VALUE"""),"CISSP")</f>
        <v>CISSP</v>
      </c>
      <c r="G300" s="80">
        <f ca="1">IFERROR(__xludf.DUMMYFUNCTION("""COMPUTED_VALUE"""),44256)</f>
        <v>44256</v>
      </c>
      <c r="H300" s="6" t="str">
        <f ca="1">IFERROR(__xludf.DUMMYFUNCTION("""COMPUTED_VALUE"""),"Won")</f>
        <v>Won</v>
      </c>
      <c r="I300" s="6" t="str">
        <f ca="1">IFERROR(__xludf.DUMMYFUNCTION("""COMPUTED_VALUE"""),"15 March 2021")</f>
        <v>15 March 2021</v>
      </c>
      <c r="J300" s="6">
        <f ca="1">IFERROR(__xludf.DUMMYFUNCTION("""COMPUTED_VALUE"""),1)</f>
        <v>1</v>
      </c>
      <c r="K300" s="8">
        <f ca="1">IFERROR(__xludf.DUMMYFUNCTION("""COMPUTED_VALUE"""),15000)</f>
        <v>15000</v>
      </c>
      <c r="L300" s="8">
        <f ca="1">IFERROR(__xludf.DUMMYFUNCTION("""COMPUTED_VALUE"""),171.781951442968)</f>
        <v>171.78195144296799</v>
      </c>
      <c r="M300" s="96">
        <f ca="1">IFERROR(__xludf.DUMMYFUNCTION("""COMPUTED_VALUE"""),44265)</f>
        <v>44265</v>
      </c>
      <c r="N300" s="6" t="str">
        <f ca="1">IFERROR(__xludf.DUMMYFUNCTION("""COMPUTED_VALUE"""),"W2")</f>
        <v>W2</v>
      </c>
      <c r="O300" s="97">
        <f ca="1">IFERROR(__xludf.DUMMYFUNCTION("""COMPUTED_VALUE"""),44265)</f>
        <v>44265</v>
      </c>
      <c r="P300" s="6" t="str">
        <f ca="1">IFERROR(__xludf.DUMMYFUNCTION("""COMPUTED_VALUE"""),"CSTM_2PGVHAC1YVA")</f>
        <v>CSTM_2PGVHAC1YVA</v>
      </c>
      <c r="Q300" s="6"/>
      <c r="R300" s="6" t="str">
        <f ca="1">IFERROR(__xludf.DUMMYFUNCTION("""COMPUTED_VALUE"""),"Done.")</f>
        <v>Done.</v>
      </c>
      <c r="S300" s="6" t="str">
        <f ca="1">IFERROR(__xludf.DUMMYFUNCTION("""COMPUTED_VALUE"""),"NonCategory")</f>
        <v>NonCategory</v>
      </c>
      <c r="T300" s="6"/>
      <c r="U300" s="6"/>
      <c r="V300" s="6"/>
      <c r="W300" s="6"/>
      <c r="X300" s="6"/>
      <c r="Y300" s="6"/>
      <c r="Z300" s="6"/>
      <c r="AA300" s="6"/>
      <c r="AB300" s="6"/>
      <c r="AC300" s="6"/>
      <c r="AD300" s="6"/>
      <c r="AE300" s="6"/>
      <c r="AF300" s="6"/>
      <c r="AG300" s="6"/>
      <c r="AH300" s="6"/>
      <c r="AI300" s="6"/>
      <c r="AJ300" s="6"/>
      <c r="AK300" s="6"/>
      <c r="AL300" s="6"/>
    </row>
    <row r="301" spans="1:38">
      <c r="A301" s="96">
        <f ca="1">IFERROR(__xludf.DUMMYFUNCTION("""COMPUTED_VALUE"""),44256)</f>
        <v>44256</v>
      </c>
      <c r="B301" s="6" t="str">
        <f ca="1">IFERROR(__xludf.DUMMYFUNCTION("""COMPUTED_VALUE"""),"Gayathri")</f>
        <v>Gayathri</v>
      </c>
      <c r="C301" s="6" t="str">
        <f ca="1">IFERROR(__xludf.DUMMYFUNCTION("""COMPUTED_VALUE"""),"g3jayakumar@gmail.com")</f>
        <v>g3jayakumar@gmail.com</v>
      </c>
      <c r="D301" s="6">
        <f ca="1">IFERROR(__xludf.DUMMYFUNCTION("""COMPUTED_VALUE"""),9841150989)</f>
        <v>9841150989</v>
      </c>
      <c r="E301" s="6" t="str">
        <f ca="1">IFERROR(__xludf.DUMMYFUNCTION("""COMPUTED_VALUE"""),"refer and earn")</f>
        <v>refer and earn</v>
      </c>
      <c r="F301" s="6" t="str">
        <f ca="1">IFERROR(__xludf.DUMMYFUNCTION("""COMPUTED_VALUE"""),"AWS Solutions Architect")</f>
        <v>AWS Solutions Architect</v>
      </c>
      <c r="G301" s="80">
        <f ca="1">IFERROR(__xludf.DUMMYFUNCTION("""COMPUTED_VALUE"""),44256)</f>
        <v>44256</v>
      </c>
      <c r="H301" s="6" t="str">
        <f ca="1">IFERROR(__xludf.DUMMYFUNCTION("""COMPUTED_VALUE"""),"Won")</f>
        <v>Won</v>
      </c>
      <c r="I301" s="6" t="str">
        <f ca="1">IFERROR(__xludf.DUMMYFUNCTION("""COMPUTED_VALUE"""),"March 2021")</f>
        <v>March 2021</v>
      </c>
      <c r="J301" s="6">
        <f ca="1">IFERROR(__xludf.DUMMYFUNCTION("""COMPUTED_VALUE"""),1)</f>
        <v>1</v>
      </c>
      <c r="K301" s="8">
        <f ca="1">IFERROR(__xludf.DUMMYFUNCTION("""COMPUTED_VALUE"""),15000)</f>
        <v>15000</v>
      </c>
      <c r="L301" s="8">
        <f ca="1">IFERROR(__xludf.DUMMYFUNCTION("""COMPUTED_VALUE"""),171.781951442968)</f>
        <v>171.78195144296799</v>
      </c>
      <c r="M301" s="96">
        <f ca="1">IFERROR(__xludf.DUMMYFUNCTION("""COMPUTED_VALUE"""),44257)</f>
        <v>44257</v>
      </c>
      <c r="N301" s="6" t="str">
        <f ca="1">IFERROR(__xludf.DUMMYFUNCTION("""COMPUTED_VALUE"""),"W2")</f>
        <v>W2</v>
      </c>
      <c r="O301" s="97">
        <f ca="1">IFERROR(__xludf.DUMMYFUNCTION("""COMPUTED_VALUE"""),44266)</f>
        <v>44266</v>
      </c>
      <c r="P301" s="6" t="str">
        <f ca="1">IFERROR(__xludf.DUMMYFUNCTION("""COMPUTED_VALUE"""),"CSTM_6UR24PXLONP")</f>
        <v>CSTM_6UR24PXLONP</v>
      </c>
      <c r="Q301" s="6"/>
      <c r="R301" s="6" t="str">
        <f ca="1">IFERROR(__xludf.DUMMYFUNCTION("""COMPUTED_VALUE"""),"Pending")</f>
        <v>Pending</v>
      </c>
      <c r="S301" s="6" t="str">
        <f ca="1">IFERROR(__xludf.DUMMYFUNCTION("""COMPUTED_VALUE"""),"NonCategory")</f>
        <v>NonCategory</v>
      </c>
      <c r="T301" s="6"/>
      <c r="U301" s="6"/>
      <c r="V301" s="6"/>
      <c r="W301" s="6"/>
      <c r="X301" s="6"/>
      <c r="Y301" s="6"/>
      <c r="Z301" s="6"/>
      <c r="AA301" s="6"/>
      <c r="AB301" s="6"/>
      <c r="AC301" s="6"/>
      <c r="AD301" s="6"/>
      <c r="AE301" s="6"/>
      <c r="AF301" s="6"/>
      <c r="AG301" s="6"/>
      <c r="AH301" s="6"/>
      <c r="AI301" s="6"/>
      <c r="AJ301" s="6"/>
      <c r="AK301" s="6"/>
      <c r="AL301" s="6"/>
    </row>
    <row r="302" spans="1:38">
      <c r="A302" s="96">
        <f ca="1">IFERROR(__xludf.DUMMYFUNCTION("""COMPUTED_VALUE"""),44257)</f>
        <v>44257</v>
      </c>
      <c r="B302" s="6" t="str">
        <f ca="1">IFERROR(__xludf.DUMMYFUNCTION("""COMPUTED_VALUE"""),"Shweta Patekar")</f>
        <v>Shweta Patekar</v>
      </c>
      <c r="C302" s="6" t="str">
        <f ca="1">IFERROR(__xludf.DUMMYFUNCTION("""COMPUTED_VALUE"""),"shwepatekar@gmail.com")</f>
        <v>shwepatekar@gmail.com</v>
      </c>
      <c r="D302" s="6">
        <f ca="1">IFERROR(__xludf.DUMMYFUNCTION("""COMPUTED_VALUE"""),9096696825)</f>
        <v>9096696825</v>
      </c>
      <c r="E302" s="6" t="str">
        <f ca="1">IFERROR(__xludf.DUMMYFUNCTION("""COMPUTED_VALUE"""),"Tollfree")</f>
        <v>Tollfree</v>
      </c>
      <c r="F302" s="6" t="str">
        <f ca="1">IFERROR(__xludf.DUMMYFUNCTION("""COMPUTED_VALUE"""),"PSPO")</f>
        <v>PSPO</v>
      </c>
      <c r="G302" s="80">
        <f ca="1">IFERROR(__xludf.DUMMYFUNCTION("""COMPUTED_VALUE"""),44256)</f>
        <v>44256</v>
      </c>
      <c r="H302" s="6" t="str">
        <f ca="1">IFERROR(__xludf.DUMMYFUNCTION("""COMPUTED_VALUE"""),"Opportunity")</f>
        <v>Opportunity</v>
      </c>
      <c r="I302" s="6" t="str">
        <f ca="1">IFERROR(__xludf.DUMMYFUNCTION("""COMPUTED_VALUE"""),"20-21 March 2021")</f>
        <v>20-21 March 2021</v>
      </c>
      <c r="J302" s="6">
        <f ca="1">IFERROR(__xludf.DUMMYFUNCTION("""COMPUTED_VALUE"""),1)</f>
        <v>1</v>
      </c>
      <c r="K302" s="8">
        <f ca="1">IFERROR(__xludf.DUMMYFUNCTION("""COMPUTED_VALUE"""),20000)</f>
        <v>20000</v>
      </c>
      <c r="L302" s="8">
        <f ca="1">IFERROR(__xludf.DUMMYFUNCTION("""COMPUTED_VALUE"""),229.042601923957)</f>
        <v>229.04260192395699</v>
      </c>
      <c r="M302" s="96">
        <f ca="1">IFERROR(__xludf.DUMMYFUNCTION("""COMPUTED_VALUE"""),44263)</f>
        <v>44263</v>
      </c>
      <c r="N302" s="6"/>
      <c r="O302" s="97"/>
      <c r="P302" s="6"/>
      <c r="Q302" s="6"/>
      <c r="R302" s="6"/>
      <c r="S302" s="6" t="str">
        <f ca="1">IFERROR(__xludf.DUMMYFUNCTION("""COMPUTED_VALUE"""),"Category")</f>
        <v>Category</v>
      </c>
      <c r="T302" s="6"/>
      <c r="U302" s="6"/>
      <c r="V302" s="6"/>
      <c r="W302" s="6"/>
      <c r="X302" s="6"/>
      <c r="Y302" s="6"/>
      <c r="Z302" s="6"/>
      <c r="AA302" s="6"/>
      <c r="AB302" s="6"/>
      <c r="AC302" s="6"/>
      <c r="AD302" s="6"/>
      <c r="AE302" s="6"/>
      <c r="AF302" s="6"/>
      <c r="AG302" s="6"/>
      <c r="AH302" s="6"/>
      <c r="AI302" s="6"/>
      <c r="AJ302" s="6"/>
      <c r="AK302" s="6"/>
      <c r="AL302" s="6"/>
    </row>
    <row r="303" spans="1:38">
      <c r="A303" s="96">
        <f ca="1">IFERROR(__xludf.DUMMYFUNCTION("""COMPUTED_VALUE"""),44263)</f>
        <v>44263</v>
      </c>
      <c r="B303" s="6" t="str">
        <f ca="1">IFERROR(__xludf.DUMMYFUNCTION("""COMPUTED_VALUE"""),"Sareishan")</f>
        <v>Sareishan</v>
      </c>
      <c r="C303" s="6" t="str">
        <f ca="1">IFERROR(__xludf.DUMMYFUNCTION("""COMPUTED_VALUE"""),"pansareishan09@gmail.com")</f>
        <v>pansareishan09@gmail.com</v>
      </c>
      <c r="D303" s="6">
        <f ca="1">IFERROR(__xludf.DUMMYFUNCTION("""COMPUTED_VALUE"""),7506056799)</f>
        <v>7506056799</v>
      </c>
      <c r="E303" s="6" t="str">
        <f ca="1">IFERROR(__xludf.DUMMYFUNCTION("""COMPUTED_VALUE"""),"Reference")</f>
        <v>Reference</v>
      </c>
      <c r="F303" s="6" t="str">
        <f ca="1">IFERROR(__xludf.DUMMYFUNCTION("""COMPUTED_VALUE"""),"PSPO")</f>
        <v>PSPO</v>
      </c>
      <c r="G303" s="80">
        <f ca="1">IFERROR(__xludf.DUMMYFUNCTION("""COMPUTED_VALUE"""),44256)</f>
        <v>44256</v>
      </c>
      <c r="H303" s="6" t="str">
        <f ca="1">IFERROR(__xludf.DUMMYFUNCTION("""COMPUTED_VALUE"""),"Opportunity")</f>
        <v>Opportunity</v>
      </c>
      <c r="I303" s="6" t="str">
        <f ca="1">IFERROR(__xludf.DUMMYFUNCTION("""COMPUTED_VALUE"""),"20-21 March 2021")</f>
        <v>20-21 March 2021</v>
      </c>
      <c r="J303" s="6">
        <f ca="1">IFERROR(__xludf.DUMMYFUNCTION("""COMPUTED_VALUE"""),1)</f>
        <v>1</v>
      </c>
      <c r="K303" s="8">
        <f ca="1">IFERROR(__xludf.DUMMYFUNCTION("""COMPUTED_VALUE"""),20000)</f>
        <v>20000</v>
      </c>
      <c r="L303" s="8">
        <f ca="1">IFERROR(__xludf.DUMMYFUNCTION("""COMPUTED_VALUE"""),229.042601923957)</f>
        <v>229.04260192395699</v>
      </c>
      <c r="M303" s="96">
        <f ca="1">IFERROR(__xludf.DUMMYFUNCTION("""COMPUTED_VALUE"""),44263)</f>
        <v>44263</v>
      </c>
      <c r="N303" s="6"/>
      <c r="O303" s="97"/>
      <c r="P303" s="6"/>
      <c r="Q303" s="6" t="str">
        <f ca="1">IFERROR(__xludf.DUMMYFUNCTION("""COMPUTED_VALUE"""),"Reference by Shweta Patekar shwepatekar@gmail.com")</f>
        <v>Reference by Shweta Patekar shwepatekar@gmail.com</v>
      </c>
      <c r="R303" s="6"/>
      <c r="S303" s="6" t="str">
        <f ca="1">IFERROR(__xludf.DUMMYFUNCTION("""COMPUTED_VALUE"""),"Category")</f>
        <v>Category</v>
      </c>
      <c r="T303" s="6"/>
      <c r="U303" s="6"/>
      <c r="V303" s="6"/>
      <c r="W303" s="6"/>
      <c r="X303" s="6"/>
      <c r="Y303" s="6"/>
      <c r="Z303" s="6"/>
      <c r="AA303" s="6"/>
      <c r="AB303" s="6"/>
      <c r="AC303" s="6"/>
      <c r="AD303" s="6"/>
      <c r="AE303" s="6"/>
      <c r="AF303" s="6"/>
      <c r="AG303" s="6"/>
      <c r="AH303" s="6"/>
      <c r="AI303" s="6"/>
      <c r="AJ303" s="6"/>
      <c r="AK303" s="6"/>
      <c r="AL303" s="6"/>
    </row>
    <row r="304" spans="1:38">
      <c r="A304" s="96">
        <f ca="1">IFERROR(__xludf.DUMMYFUNCTION("""COMPUTED_VALUE"""),44266)</f>
        <v>44266</v>
      </c>
      <c r="B304" s="6" t="str">
        <f ca="1">IFERROR(__xludf.DUMMYFUNCTION("""COMPUTED_VALUE"""),"Anup Mankar")</f>
        <v>Anup Mankar</v>
      </c>
      <c r="C304" s="6" t="str">
        <f ca="1">IFERROR(__xludf.DUMMYFUNCTION("""COMPUTED_VALUE"""),"anuphmankar@gmail.com")</f>
        <v>anuphmankar@gmail.com</v>
      </c>
      <c r="D304" s="6">
        <f ca="1">IFERROR(__xludf.DUMMYFUNCTION("""COMPUTED_VALUE"""),9503415021)</f>
        <v>9503415021</v>
      </c>
      <c r="E304" s="6" t="str">
        <f ca="1">IFERROR(__xludf.DUMMYFUNCTION("""COMPUTED_VALUE"""),"Reference")</f>
        <v>Reference</v>
      </c>
      <c r="F304" s="6" t="str">
        <f ca="1">IFERROR(__xludf.DUMMYFUNCTION("""COMPUTED_VALUE"""),"PSM")</f>
        <v>PSM</v>
      </c>
      <c r="G304" s="80">
        <f ca="1">IFERROR(__xludf.DUMMYFUNCTION("""COMPUTED_VALUE"""),44256)</f>
        <v>44256</v>
      </c>
      <c r="H304" s="6" t="str">
        <f ca="1">IFERROR(__xludf.DUMMYFUNCTION("""COMPUTED_VALUE"""),"Won")</f>
        <v>Won</v>
      </c>
      <c r="I304" s="6" t="str">
        <f ca="1">IFERROR(__xludf.DUMMYFUNCTION("""COMPUTED_VALUE"""),"13-14 March 2021")</f>
        <v>13-14 March 2021</v>
      </c>
      <c r="J304" s="6">
        <f ca="1">IFERROR(__xludf.DUMMYFUNCTION("""COMPUTED_VALUE"""),1)</f>
        <v>1</v>
      </c>
      <c r="K304" s="8">
        <f ca="1">IFERROR(__xludf.DUMMYFUNCTION("""COMPUTED_VALUE"""),21000)</f>
        <v>21000</v>
      </c>
      <c r="L304" s="8">
        <f ca="1">IFERROR(__xludf.DUMMYFUNCTION("""COMPUTED_VALUE"""),240.494732020155)</f>
        <v>240.494732020155</v>
      </c>
      <c r="M304" s="96">
        <f ca="1">IFERROR(__xludf.DUMMYFUNCTION("""COMPUTED_VALUE"""),44266)</f>
        <v>44266</v>
      </c>
      <c r="N304" s="6" t="str">
        <f ca="1">IFERROR(__xludf.DUMMYFUNCTION("""COMPUTED_VALUE"""),"W2")</f>
        <v>W2</v>
      </c>
      <c r="O304" s="97">
        <f ca="1">IFERROR(__xludf.DUMMYFUNCTION("""COMPUTED_VALUE"""),44266)</f>
        <v>44266</v>
      </c>
      <c r="P304" s="6" t="str">
        <f ca="1">IFERROR(__xludf.DUMMYFUNCTION("""COMPUTED_VALUE"""),"CSTM_JFJQ5OH0A4F")</f>
        <v>CSTM_JFJQ5OH0A4F</v>
      </c>
      <c r="Q304" s="6" t="str">
        <f ca="1">IFERROR(__xludf.DUMMYFUNCTION("""COMPUTED_VALUE"""),"Reference by Rajesh Kori")</f>
        <v>Reference by Rajesh Kori</v>
      </c>
      <c r="R304" s="6" t="str">
        <f ca="1">IFERROR(__xludf.DUMMYFUNCTION("""COMPUTED_VALUE"""),"Done. Good feedback.")</f>
        <v>Done. Good feedback.</v>
      </c>
      <c r="S304" s="6" t="str">
        <f ca="1">IFERROR(__xludf.DUMMYFUNCTION("""COMPUTED_VALUE"""),"Category")</f>
        <v>Category</v>
      </c>
      <c r="T304" s="6" t="str">
        <f ca="1">IFERROR(__xludf.DUMMYFUNCTION("""COMPUTED_VALUE"""),"Sent.")</f>
        <v>Sent.</v>
      </c>
      <c r="U304" s="6"/>
      <c r="V304" s="6"/>
      <c r="W304" s="6"/>
      <c r="X304" s="6"/>
      <c r="Y304" s="6"/>
      <c r="Z304" s="6"/>
      <c r="AA304" s="6"/>
      <c r="AB304" s="6"/>
      <c r="AC304" s="6"/>
      <c r="AD304" s="6"/>
      <c r="AE304" s="6"/>
      <c r="AF304" s="6"/>
      <c r="AG304" s="6"/>
      <c r="AH304" s="6"/>
      <c r="AI304" s="6"/>
      <c r="AJ304" s="6"/>
      <c r="AK304" s="6"/>
      <c r="AL304" s="6"/>
    </row>
    <row r="305" spans="1:38">
      <c r="A305" s="96">
        <f ca="1">IFERROR(__xludf.DUMMYFUNCTION("""COMPUTED_VALUE"""),44266)</f>
        <v>44266</v>
      </c>
      <c r="B305" s="6" t="str">
        <f ca="1">IFERROR(__xludf.DUMMYFUNCTION("""COMPUTED_VALUE"""),"Arunima")</f>
        <v>Arunima</v>
      </c>
      <c r="C305" s="6" t="str">
        <f ca="1">IFERROR(__xludf.DUMMYFUNCTION("""COMPUTED_VALUE"""),"c.arunima.13@gmail.com")</f>
        <v>c.arunima.13@gmail.com</v>
      </c>
      <c r="D305" s="6">
        <f ca="1">IFERROR(__xludf.DUMMYFUNCTION("""COMPUTED_VALUE"""),9871124901)</f>
        <v>9871124901</v>
      </c>
      <c r="E305" s="6" t="str">
        <f ca="1">IFERROR(__xludf.DUMMYFUNCTION("""COMPUTED_VALUE"""),"fpt-paper")</f>
        <v>fpt-paper</v>
      </c>
      <c r="F305" s="6" t="str">
        <f ca="1">IFERROR(__xludf.DUMMYFUNCTION("""COMPUTED_VALUE"""),"CSM")</f>
        <v>CSM</v>
      </c>
      <c r="G305" s="80">
        <f ca="1">IFERROR(__xludf.DUMMYFUNCTION("""COMPUTED_VALUE"""),44256)</f>
        <v>44256</v>
      </c>
      <c r="H305" s="6" t="str">
        <f ca="1">IFERROR(__xludf.DUMMYFUNCTION("""COMPUTED_VALUE"""),"Won")</f>
        <v>Won</v>
      </c>
      <c r="I305" s="6" t="str">
        <f ca="1">IFERROR(__xludf.DUMMYFUNCTION("""COMPUTED_VALUE"""),"27-28 March 2021")</f>
        <v>27-28 March 2021</v>
      </c>
      <c r="J305" s="6">
        <f ca="1">IFERROR(__xludf.DUMMYFUNCTION("""COMPUTED_VALUE"""),1)</f>
        <v>1</v>
      </c>
      <c r="K305" s="8">
        <f ca="1">IFERROR(__xludf.DUMMYFUNCTION("""COMPUTED_VALUE"""),19000)</f>
        <v>19000</v>
      </c>
      <c r="L305" s="8">
        <f ca="1">IFERROR(__xludf.DUMMYFUNCTION("""COMPUTED_VALUE"""),217.590471827759)</f>
        <v>217.59047182775899</v>
      </c>
      <c r="M305" s="96">
        <f ca="1">IFERROR(__xludf.DUMMYFUNCTION("""COMPUTED_VALUE"""),44266)</f>
        <v>44266</v>
      </c>
      <c r="N305" s="6" t="str">
        <f ca="1">IFERROR(__xludf.DUMMYFUNCTION("""COMPUTED_VALUE"""),"W2")</f>
        <v>W2</v>
      </c>
      <c r="O305" s="97">
        <f ca="1">IFERROR(__xludf.DUMMYFUNCTION("""COMPUTED_VALUE"""),44266)</f>
        <v>44266</v>
      </c>
      <c r="P305" s="6" t="str">
        <f ca="1">IFERROR(__xludf.DUMMYFUNCTION("""COMPUTED_VALUE"""),"CSTM_JO6CPAEAS3P")</f>
        <v>CSTM_JO6CPAEAS3P</v>
      </c>
      <c r="Q305" s="6"/>
      <c r="R305" s="6" t="str">
        <f ca="1">IFERROR(__xludf.DUMMYFUNCTION("""COMPUTED_VALUE"""),"Done. Good feedback.")</f>
        <v>Done. Good feedback.</v>
      </c>
      <c r="S305" s="6" t="str">
        <f ca="1">IFERROR(__xludf.DUMMYFUNCTION("""COMPUTED_VALUE"""),"Category")</f>
        <v>Category</v>
      </c>
      <c r="T305" s="6"/>
      <c r="U305" s="6"/>
      <c r="V305" s="6"/>
      <c r="W305" s="6"/>
      <c r="X305" s="6"/>
      <c r="Y305" s="6"/>
      <c r="Z305" s="6"/>
      <c r="AA305" s="6"/>
      <c r="AB305" s="6"/>
      <c r="AC305" s="6"/>
      <c r="AD305" s="6"/>
      <c r="AE305" s="6"/>
      <c r="AF305" s="6"/>
      <c r="AG305" s="6"/>
      <c r="AH305" s="6"/>
      <c r="AI305" s="6"/>
      <c r="AJ305" s="6"/>
      <c r="AK305" s="6"/>
      <c r="AL305" s="6"/>
    </row>
    <row r="306" spans="1:38">
      <c r="A306" s="96">
        <f ca="1">IFERROR(__xludf.DUMMYFUNCTION("""COMPUTED_VALUE"""),44264)</f>
        <v>44264</v>
      </c>
      <c r="B306" s="6" t="str">
        <f ca="1">IFERROR(__xludf.DUMMYFUNCTION("""COMPUTED_VALUE"""),"Manik Mittal")</f>
        <v>Manik Mittal</v>
      </c>
      <c r="C306" s="6" t="str">
        <f ca="1">IFERROR(__xludf.DUMMYFUNCTION("""COMPUTED_VALUE"""),"manikmittal85@gmail.com")</f>
        <v>manikmittal85@gmail.com</v>
      </c>
      <c r="D306" s="6">
        <f ca="1">IFERROR(__xludf.DUMMYFUNCTION("""COMPUTED_VALUE"""),9871399081)</f>
        <v>9871399081</v>
      </c>
      <c r="E306" s="6" t="str">
        <f ca="1">IFERROR(__xludf.DUMMYFUNCTION("""COMPUTED_VALUE"""),"Query box")</f>
        <v>Query box</v>
      </c>
      <c r="F306" s="6" t="str">
        <f ca="1">IFERROR(__xludf.DUMMYFUNCTION("""COMPUTED_VALUE"""),"SAFe Agile")</f>
        <v>SAFe Agile</v>
      </c>
      <c r="G306" s="80">
        <f ca="1">IFERROR(__xludf.DUMMYFUNCTION("""COMPUTED_VALUE"""),44256)</f>
        <v>44256</v>
      </c>
      <c r="H306" s="6" t="str">
        <f ca="1">IFERROR(__xludf.DUMMYFUNCTION("""COMPUTED_VALUE"""),"Won")</f>
        <v>Won</v>
      </c>
      <c r="I306" s="6" t="str">
        <f ca="1">IFERROR(__xludf.DUMMYFUNCTION("""COMPUTED_VALUE"""),"13-14 March 2021")</f>
        <v>13-14 March 2021</v>
      </c>
      <c r="J306" s="6">
        <f ca="1">IFERROR(__xludf.DUMMYFUNCTION("""COMPUTED_VALUE"""),1)</f>
        <v>1</v>
      </c>
      <c r="K306" s="8">
        <f ca="1">IFERROR(__xludf.DUMMYFUNCTION("""COMPUTED_VALUE"""),44000)</f>
        <v>44000</v>
      </c>
      <c r="L306" s="8">
        <f ca="1">IFERROR(__xludf.DUMMYFUNCTION("""COMPUTED_VALUE"""),503.893724232707)</f>
        <v>503.89372423270697</v>
      </c>
      <c r="M306" s="96">
        <f ca="1">IFERROR(__xludf.DUMMYFUNCTION("""COMPUTED_VALUE"""),44265)</f>
        <v>44265</v>
      </c>
      <c r="N306" s="6" t="str">
        <f ca="1">IFERROR(__xludf.DUMMYFUNCTION("""COMPUTED_VALUE"""),"W2")</f>
        <v>W2</v>
      </c>
      <c r="O306" s="97">
        <f ca="1">IFERROR(__xludf.DUMMYFUNCTION("""COMPUTED_VALUE"""),44267)</f>
        <v>44267</v>
      </c>
      <c r="P306" s="6" t="str">
        <f ca="1">IFERROR(__xludf.DUMMYFUNCTION("""COMPUTED_VALUE"""),"CSTM_2DHFDZPH0RL")</f>
        <v>CSTM_2DHFDZPH0RL</v>
      </c>
      <c r="Q306" s="6"/>
      <c r="R306" s="6" t="str">
        <f ca="1">IFERROR(__xludf.DUMMYFUNCTION("""COMPUTED_VALUE"""),"Done. Good feedback.")</f>
        <v>Done. Good feedback.</v>
      </c>
      <c r="S306" s="6" t="str">
        <f ca="1">IFERROR(__xludf.DUMMYFUNCTION("""COMPUTED_VALUE"""),"SAFe")</f>
        <v>SAFe</v>
      </c>
      <c r="T306" s="6"/>
      <c r="U306" s="6"/>
      <c r="V306" s="6"/>
      <c r="W306" s="6"/>
      <c r="X306" s="6"/>
      <c r="Y306" s="6"/>
      <c r="Z306" s="6"/>
      <c r="AA306" s="6"/>
      <c r="AB306" s="6"/>
      <c r="AC306" s="6"/>
      <c r="AD306" s="6"/>
      <c r="AE306" s="6"/>
      <c r="AF306" s="6"/>
      <c r="AG306" s="6"/>
      <c r="AH306" s="6"/>
      <c r="AI306" s="6"/>
      <c r="AJ306" s="6"/>
      <c r="AK306" s="6"/>
      <c r="AL306" s="6"/>
    </row>
    <row r="307" spans="1:38">
      <c r="A307" s="96">
        <f ca="1">IFERROR(__xludf.DUMMYFUNCTION("""COMPUTED_VALUE"""),44266)</f>
        <v>44266</v>
      </c>
      <c r="B307" s="6" t="str">
        <f ca="1">IFERROR(__xludf.DUMMYFUNCTION("""COMPUTED_VALUE"""),"Laxmikant Ajgaonkar")</f>
        <v>Laxmikant Ajgaonkar</v>
      </c>
      <c r="C307" s="6" t="str">
        <f ca="1">IFERROR(__xludf.DUMMYFUNCTION("""COMPUTED_VALUE"""),"laxmikant_ajg@yahoo.com")</f>
        <v>laxmikant_ajg@yahoo.com</v>
      </c>
      <c r="D307" s="6">
        <f ca="1">IFERROR(__xludf.DUMMYFUNCTION("""COMPUTED_VALUE"""),9920381708)</f>
        <v>9920381708</v>
      </c>
      <c r="E307" s="6" t="str">
        <f ca="1">IFERROR(__xludf.DUMMYFUNCTION("""COMPUTED_VALUE"""),"auto repeat lead")</f>
        <v>auto repeat lead</v>
      </c>
      <c r="F307" s="6" t="str">
        <f ca="1">IFERROR(__xludf.DUMMYFUNCTION("""COMPUTED_VALUE"""),"PSM")</f>
        <v>PSM</v>
      </c>
      <c r="G307" s="80">
        <f ca="1">IFERROR(__xludf.DUMMYFUNCTION("""COMPUTED_VALUE"""),44256)</f>
        <v>44256</v>
      </c>
      <c r="H307" s="6" t="str">
        <f ca="1">IFERROR(__xludf.DUMMYFUNCTION("""COMPUTED_VALUE"""),"Won")</f>
        <v>Won</v>
      </c>
      <c r="I307" s="6" t="str">
        <f ca="1">IFERROR(__xludf.DUMMYFUNCTION("""COMPUTED_VALUE"""),"20-21 March 2021")</f>
        <v>20-21 March 2021</v>
      </c>
      <c r="J307" s="6">
        <f ca="1">IFERROR(__xludf.DUMMYFUNCTION("""COMPUTED_VALUE"""),1)</f>
        <v>1</v>
      </c>
      <c r="K307" s="8">
        <f ca="1">IFERROR(__xludf.DUMMYFUNCTION("""COMPUTED_VALUE"""),21000)</f>
        <v>21000</v>
      </c>
      <c r="L307" s="8">
        <f ca="1">IFERROR(__xludf.DUMMYFUNCTION("""COMPUTED_VALUE"""),240.494732020155)</f>
        <v>240.494732020155</v>
      </c>
      <c r="M307" s="96">
        <f ca="1">IFERROR(__xludf.DUMMYFUNCTION("""COMPUTED_VALUE"""),44266)</f>
        <v>44266</v>
      </c>
      <c r="N307" s="6" t="str">
        <f ca="1">IFERROR(__xludf.DUMMYFUNCTION("""COMPUTED_VALUE"""),"W2")</f>
        <v>W2</v>
      </c>
      <c r="O307" s="97">
        <f ca="1">IFERROR(__xludf.DUMMYFUNCTION("""COMPUTED_VALUE"""),44267)</f>
        <v>44267</v>
      </c>
      <c r="P307" s="6" t="str">
        <f ca="1">IFERROR(__xludf.DUMMYFUNCTION("""COMPUTED_VALUE"""),"CSTM_7YSQ1OPJ4W4")</f>
        <v>CSTM_7YSQ1OPJ4W4</v>
      </c>
      <c r="Q307" s="6"/>
      <c r="R307" s="6" t="str">
        <f ca="1">IFERROR(__xludf.DUMMYFUNCTION("""COMPUTED_VALUE"""),"Done. Good feedback.")</f>
        <v>Done. Good feedback.</v>
      </c>
      <c r="S307" s="6" t="str">
        <f ca="1">IFERROR(__xludf.DUMMYFUNCTION("""COMPUTED_VALUE"""),"Category")</f>
        <v>Category</v>
      </c>
      <c r="T307" s="6"/>
      <c r="U307" s="6"/>
      <c r="V307" s="6"/>
      <c r="W307" s="6"/>
      <c r="X307" s="6"/>
      <c r="Y307" s="6"/>
      <c r="Z307" s="6"/>
      <c r="AA307" s="6"/>
      <c r="AB307" s="6"/>
      <c r="AC307" s="6"/>
      <c r="AD307" s="6"/>
      <c r="AE307" s="6"/>
      <c r="AF307" s="6"/>
      <c r="AG307" s="6"/>
      <c r="AH307" s="6"/>
      <c r="AI307" s="6"/>
      <c r="AJ307" s="6"/>
      <c r="AK307" s="6"/>
      <c r="AL307" s="6"/>
    </row>
    <row r="308" spans="1:38">
      <c r="A308" s="96">
        <f ca="1">IFERROR(__xludf.DUMMYFUNCTION("""COMPUTED_VALUE"""),44249)</f>
        <v>44249</v>
      </c>
      <c r="B308" s="6" t="str">
        <f ca="1">IFERROR(__xludf.DUMMYFUNCTION("""COMPUTED_VALUE"""),"Preeti Poojari")</f>
        <v>Preeti Poojari</v>
      </c>
      <c r="C308" s="6" t="str">
        <f ca="1">IFERROR(__xludf.DUMMYFUNCTION("""COMPUTED_VALUE"""),"preetilpoojari@gmail.com")</f>
        <v>preetilpoojari@gmail.com</v>
      </c>
      <c r="D308" s="6">
        <f ca="1">IFERROR(__xludf.DUMMYFUNCTION("""COMPUTED_VALUE"""),9967923403)</f>
        <v>9967923403</v>
      </c>
      <c r="E308" s="6" t="str">
        <f ca="1">IFERROR(__xludf.DUMMYFUNCTION("""COMPUTED_VALUE"""),"Reference")</f>
        <v>Reference</v>
      </c>
      <c r="F308" s="6" t="str">
        <f ca="1">IFERROR(__xludf.DUMMYFUNCTION("""COMPUTED_VALUE"""),"CSM")</f>
        <v>CSM</v>
      </c>
      <c r="G308" s="80">
        <f ca="1">IFERROR(__xludf.DUMMYFUNCTION("""COMPUTED_VALUE"""),44256)</f>
        <v>44256</v>
      </c>
      <c r="H308" s="6" t="str">
        <f ca="1">IFERROR(__xludf.DUMMYFUNCTION("""COMPUTED_VALUE"""),"Won")</f>
        <v>Won</v>
      </c>
      <c r="I308" s="6" t="str">
        <f ca="1">IFERROR(__xludf.DUMMYFUNCTION("""COMPUTED_VALUE"""),"10-11 April 2021")</f>
        <v>10-11 April 2021</v>
      </c>
      <c r="J308" s="6">
        <f ca="1">IFERROR(__xludf.DUMMYFUNCTION("""COMPUTED_VALUE"""),1)</f>
        <v>1</v>
      </c>
      <c r="K308" s="8">
        <f ca="1">IFERROR(__xludf.DUMMYFUNCTION("""COMPUTED_VALUE"""),20000)</f>
        <v>20000</v>
      </c>
      <c r="L308" s="8">
        <f ca="1">IFERROR(__xludf.DUMMYFUNCTION("""COMPUTED_VALUE"""),229.042601923957)</f>
        <v>229.04260192395699</v>
      </c>
      <c r="M308" s="96">
        <f ca="1">IFERROR(__xludf.DUMMYFUNCTION("""COMPUTED_VALUE"""),44252)</f>
        <v>44252</v>
      </c>
      <c r="N308" s="6" t="str">
        <f ca="1">IFERROR(__xludf.DUMMYFUNCTION("""COMPUTED_VALUE"""),"W2")</f>
        <v>W2</v>
      </c>
      <c r="O308" s="97">
        <f ca="1">IFERROR(__xludf.DUMMYFUNCTION("""COMPUTED_VALUE"""),44268)</f>
        <v>44268</v>
      </c>
      <c r="P308" s="6" t="str">
        <f ca="1">IFERROR(__xludf.DUMMYFUNCTION("""COMPUTED_VALUE"""),"CSTM_96HQC9UWNE8")</f>
        <v>CSTM_96HQC9UWNE8</v>
      </c>
      <c r="Q308" s="6" t="str">
        <f ca="1">IFERROR(__xludf.DUMMYFUNCTION("""COMPUTED_VALUE"""),"Reference by Gaganpreet")</f>
        <v>Reference by Gaganpreet</v>
      </c>
      <c r="R308" s="6" t="str">
        <f ca="1">IFERROR(__xludf.DUMMYFUNCTION("""COMPUTED_VALUE"""),"Pending")</f>
        <v>Pending</v>
      </c>
      <c r="S308" s="6" t="str">
        <f ca="1">IFERROR(__xludf.DUMMYFUNCTION("""COMPUTED_VALUE"""),"Category")</f>
        <v>Category</v>
      </c>
      <c r="T308" s="6" t="str">
        <f ca="1">IFERROR(__xludf.DUMMYFUNCTION("""COMPUTED_VALUE"""),"Sent.")</f>
        <v>Sent.</v>
      </c>
      <c r="U308" s="6"/>
      <c r="V308" s="6"/>
      <c r="W308" s="6"/>
      <c r="X308" s="6"/>
      <c r="Y308" s="6"/>
      <c r="Z308" s="6"/>
      <c r="AA308" s="6"/>
      <c r="AB308" s="6"/>
      <c r="AC308" s="6"/>
      <c r="AD308" s="6"/>
      <c r="AE308" s="6"/>
      <c r="AF308" s="6"/>
      <c r="AG308" s="6"/>
      <c r="AH308" s="6"/>
      <c r="AI308" s="6"/>
      <c r="AJ308" s="6"/>
      <c r="AK308" s="6"/>
      <c r="AL308" s="6"/>
    </row>
    <row r="309" spans="1:38">
      <c r="A309" s="96">
        <f ca="1">IFERROR(__xludf.DUMMYFUNCTION("""COMPUTED_VALUE"""),44268)</f>
        <v>44268</v>
      </c>
      <c r="B309" s="6" t="str">
        <f ca="1">IFERROR(__xludf.DUMMYFUNCTION("""COMPUTED_VALUE"""),"Sudipti Gupta")</f>
        <v>Sudipti Gupta</v>
      </c>
      <c r="C309" s="6" t="str">
        <f ca="1">IFERROR(__xludf.DUMMYFUNCTION("""COMPUTED_VALUE"""),"gupta.sudipti@gmail.com")</f>
        <v>gupta.sudipti@gmail.com</v>
      </c>
      <c r="D309" s="6">
        <f ca="1">IFERROR(__xludf.DUMMYFUNCTION("""COMPUTED_VALUE"""),9310971789)</f>
        <v>9310971789</v>
      </c>
      <c r="E309" s="6" t="str">
        <f ca="1">IFERROR(__xludf.DUMMYFUNCTION("""COMPUTED_VALUE"""),"Reference")</f>
        <v>Reference</v>
      </c>
      <c r="F309" s="6" t="str">
        <f ca="1">IFERROR(__xludf.DUMMYFUNCTION("""COMPUTED_VALUE"""),"CSM")</f>
        <v>CSM</v>
      </c>
      <c r="G309" s="80">
        <f ca="1">IFERROR(__xludf.DUMMYFUNCTION("""COMPUTED_VALUE"""),44256)</f>
        <v>44256</v>
      </c>
      <c r="H309" s="6" t="str">
        <f ca="1">IFERROR(__xludf.DUMMYFUNCTION("""COMPUTED_VALUE"""),"Won")</f>
        <v>Won</v>
      </c>
      <c r="I309" s="6" t="str">
        <f ca="1">IFERROR(__xludf.DUMMYFUNCTION("""COMPUTED_VALUE"""),"20-21 March 2021")</f>
        <v>20-21 March 2021</v>
      </c>
      <c r="J309" s="6">
        <f ca="1">IFERROR(__xludf.DUMMYFUNCTION("""COMPUTED_VALUE"""),1)</f>
        <v>1</v>
      </c>
      <c r="K309" s="8">
        <f ca="1">IFERROR(__xludf.DUMMYFUNCTION("""COMPUTED_VALUE"""),20000)</f>
        <v>20000</v>
      </c>
      <c r="L309" s="8">
        <f ca="1">IFERROR(__xludf.DUMMYFUNCTION("""COMPUTED_VALUE"""),229.042601923957)</f>
        <v>229.04260192395699</v>
      </c>
      <c r="M309" s="96">
        <f ca="1">IFERROR(__xludf.DUMMYFUNCTION("""COMPUTED_VALUE"""),44268)</f>
        <v>44268</v>
      </c>
      <c r="N309" s="6" t="str">
        <f ca="1">IFERROR(__xludf.DUMMYFUNCTION("""COMPUTED_VALUE"""),"W2")</f>
        <v>W2</v>
      </c>
      <c r="O309" s="97">
        <f ca="1">IFERROR(__xludf.DUMMYFUNCTION("""COMPUTED_VALUE"""),44268)</f>
        <v>44268</v>
      </c>
      <c r="P309" s="6" t="str">
        <f ca="1">IFERROR(__xludf.DUMMYFUNCTION("""COMPUTED_VALUE"""),"CSTM_68MT7PM0A3M")</f>
        <v>CSTM_68MT7PM0A3M</v>
      </c>
      <c r="Q309" s="6" t="str">
        <f ca="1">IFERROR(__xludf.DUMMYFUNCTION("""COMPUTED_VALUE"""),"Reference by Garima Gupta")</f>
        <v>Reference by Garima Gupta</v>
      </c>
      <c r="R309" s="6" t="str">
        <f ca="1">IFERROR(__xludf.DUMMYFUNCTION("""COMPUTED_VALUE"""),"Done. Decent feedback.")</f>
        <v>Done. Decent feedback.</v>
      </c>
      <c r="S309" s="6" t="str">
        <f ca="1">IFERROR(__xludf.DUMMYFUNCTION("""COMPUTED_VALUE"""),"Category")</f>
        <v>Category</v>
      </c>
      <c r="T309" s="6" t="str">
        <f ca="1">IFERROR(__xludf.DUMMYFUNCTION("""COMPUTED_VALUE"""),"Referee's email id already present in the system.")</f>
        <v>Referee's email id already present in the system.</v>
      </c>
      <c r="U309" s="6"/>
      <c r="V309" s="6"/>
      <c r="W309" s="6"/>
      <c r="X309" s="6"/>
      <c r="Y309" s="6"/>
      <c r="Z309" s="6"/>
      <c r="AA309" s="6"/>
      <c r="AB309" s="6"/>
      <c r="AC309" s="6"/>
      <c r="AD309" s="6"/>
      <c r="AE309" s="6"/>
      <c r="AF309" s="6"/>
      <c r="AG309" s="6"/>
      <c r="AH309" s="6"/>
      <c r="AI309" s="6"/>
      <c r="AJ309" s="6"/>
      <c r="AK309" s="6"/>
      <c r="AL309" s="6"/>
    </row>
    <row r="310" spans="1:38">
      <c r="A310" s="96">
        <f ca="1">IFERROR(__xludf.DUMMYFUNCTION("""COMPUTED_VALUE"""),44268)</f>
        <v>44268</v>
      </c>
      <c r="B310" s="6" t="str">
        <f ca="1">IFERROR(__xludf.DUMMYFUNCTION("""COMPUTED_VALUE"""),"Bala")</f>
        <v>Bala</v>
      </c>
      <c r="C310" s="6" t="str">
        <f ca="1">IFERROR(__xludf.DUMMYFUNCTION("""COMPUTED_VALUE"""),"bala.mymailbox@gmail.com")</f>
        <v>bala.mymailbox@gmail.com</v>
      </c>
      <c r="D310" s="6">
        <f ca="1">IFERROR(__xludf.DUMMYFUNCTION("""COMPUTED_VALUE"""),6379357248)</f>
        <v>6379357248</v>
      </c>
      <c r="E310" s="6" t="str">
        <f ca="1">IFERROR(__xludf.DUMMYFUNCTION("""COMPUTED_VALUE"""),"course agenda")</f>
        <v>course agenda</v>
      </c>
      <c r="F310" s="6" t="str">
        <f ca="1">IFERROR(__xludf.DUMMYFUNCTION("""COMPUTED_VALUE"""),"Azure Cloud Architect")</f>
        <v>Azure Cloud Architect</v>
      </c>
      <c r="G310" s="80">
        <f ca="1">IFERROR(__xludf.DUMMYFUNCTION("""COMPUTED_VALUE"""),44256)</f>
        <v>44256</v>
      </c>
      <c r="H310" s="6" t="str">
        <f ca="1">IFERROR(__xludf.DUMMYFUNCTION("""COMPUTED_VALUE"""),"Won")</f>
        <v>Won</v>
      </c>
      <c r="I310" s="6" t="str">
        <f ca="1">IFERROR(__xludf.DUMMYFUNCTION("""COMPUTED_VALUE"""),"March 2021")</f>
        <v>March 2021</v>
      </c>
      <c r="J310" s="6">
        <f ca="1">IFERROR(__xludf.DUMMYFUNCTION("""COMPUTED_VALUE"""),1)</f>
        <v>1</v>
      </c>
      <c r="K310" s="8">
        <f ca="1">IFERROR(__xludf.DUMMYFUNCTION("""COMPUTED_VALUE"""),26549)</f>
        <v>26549</v>
      </c>
      <c r="L310" s="8">
        <f ca="1">IFERROR(__xludf.DUMMYFUNCTION("""COMPUTED_VALUE"""),304.042601923957)</f>
        <v>304.04260192395702</v>
      </c>
      <c r="M310" s="96">
        <f ca="1">IFERROR(__xludf.DUMMYFUNCTION("""COMPUTED_VALUE"""),44268)</f>
        <v>44268</v>
      </c>
      <c r="N310" s="6" t="str">
        <f ca="1">IFERROR(__xludf.DUMMYFUNCTION("""COMPUTED_VALUE"""),"W2")</f>
        <v>W2</v>
      </c>
      <c r="O310" s="97">
        <f ca="1">IFERROR(__xludf.DUMMYFUNCTION("""COMPUTED_VALUE"""),44268)</f>
        <v>44268</v>
      </c>
      <c r="P310" s="6" t="str">
        <f ca="1">IFERROR(__xludf.DUMMYFUNCTION("""COMPUTED_VALUE"""),"CSTM_A4707K515ZY")</f>
        <v>CSTM_A4707K515ZY</v>
      </c>
      <c r="Q310" s="6"/>
      <c r="R310" s="6"/>
      <c r="S310" s="6" t="str">
        <f ca="1">IFERROR(__xludf.DUMMYFUNCTION("""COMPUTED_VALUE"""),"NonCategory")</f>
        <v>NonCategory</v>
      </c>
      <c r="T310" s="6"/>
      <c r="U310" s="6"/>
      <c r="V310" s="6"/>
      <c r="W310" s="6"/>
      <c r="X310" s="6"/>
      <c r="Y310" s="6"/>
      <c r="Z310" s="6"/>
      <c r="AA310" s="6"/>
      <c r="AB310" s="6"/>
      <c r="AC310" s="6"/>
      <c r="AD310" s="6"/>
      <c r="AE310" s="6"/>
      <c r="AF310" s="6"/>
      <c r="AG310" s="6"/>
      <c r="AH310" s="6"/>
      <c r="AI310" s="6"/>
      <c r="AJ310" s="6"/>
      <c r="AK310" s="6"/>
      <c r="AL310" s="6"/>
    </row>
    <row r="311" spans="1:38">
      <c r="A311" s="96">
        <f ca="1">IFERROR(__xludf.DUMMYFUNCTION("""COMPUTED_VALUE"""),44267)</f>
        <v>44267</v>
      </c>
      <c r="B311" s="6" t="str">
        <f ca="1">IFERROR(__xludf.DUMMYFUNCTION("""COMPUTED_VALUE"""),"Amrita Soni")</f>
        <v>Amrita Soni</v>
      </c>
      <c r="C311" s="6" t="str">
        <f ca="1">IFERROR(__xludf.DUMMYFUNCTION("""COMPUTED_VALUE"""),"amritasoni27@gmail.com")</f>
        <v>amritasoni27@gmail.com</v>
      </c>
      <c r="D311" s="6">
        <f ca="1">IFERROR(__xludf.DUMMYFUNCTION("""COMPUTED_VALUE"""),9958008522)</f>
        <v>9958008522</v>
      </c>
      <c r="E311" s="6" t="str">
        <f ca="1">IFERROR(__xludf.DUMMYFUNCTION("""COMPUTED_VALUE"""),"chat_initiated")</f>
        <v>chat_initiated</v>
      </c>
      <c r="F311" s="6" t="str">
        <f ca="1">IFERROR(__xludf.DUMMYFUNCTION("""COMPUTED_VALUE"""),"PSPO")</f>
        <v>PSPO</v>
      </c>
      <c r="G311" s="80">
        <f ca="1">IFERROR(__xludf.DUMMYFUNCTION("""COMPUTED_VALUE"""),44256)</f>
        <v>44256</v>
      </c>
      <c r="H311" s="6" t="str">
        <f ca="1">IFERROR(__xludf.DUMMYFUNCTION("""COMPUTED_VALUE"""),"Won")</f>
        <v>Won</v>
      </c>
      <c r="I311" s="6" t="str">
        <f ca="1">IFERROR(__xludf.DUMMYFUNCTION("""COMPUTED_VALUE"""),"20-21 March 2021")</f>
        <v>20-21 March 2021</v>
      </c>
      <c r="J311" s="6">
        <f ca="1">IFERROR(__xludf.DUMMYFUNCTION("""COMPUTED_VALUE"""),1)</f>
        <v>1</v>
      </c>
      <c r="K311" s="8">
        <f ca="1">IFERROR(__xludf.DUMMYFUNCTION("""COMPUTED_VALUE"""),21000)</f>
        <v>21000</v>
      </c>
      <c r="L311" s="8">
        <f ca="1">IFERROR(__xludf.DUMMYFUNCTION("""COMPUTED_VALUE"""),240.494732020155)</f>
        <v>240.494732020155</v>
      </c>
      <c r="M311" s="96">
        <f ca="1">IFERROR(__xludf.DUMMYFUNCTION("""COMPUTED_VALUE"""),44268)</f>
        <v>44268</v>
      </c>
      <c r="N311" s="6" t="str">
        <f ca="1">IFERROR(__xludf.DUMMYFUNCTION("""COMPUTED_VALUE"""),"W2")</f>
        <v>W2</v>
      </c>
      <c r="O311" s="97">
        <f ca="1">IFERROR(__xludf.DUMMYFUNCTION("""COMPUTED_VALUE"""),44269)</f>
        <v>44269</v>
      </c>
      <c r="P311" s="6" t="str">
        <f ca="1">IFERROR(__xludf.DUMMYFUNCTION("""COMPUTED_VALUE"""),"CSTM_9FG1T5521LP")</f>
        <v>CSTM_9FG1T5521LP</v>
      </c>
      <c r="Q311" s="6"/>
      <c r="R311" s="6"/>
      <c r="S311" s="6" t="str">
        <f ca="1">IFERROR(__xludf.DUMMYFUNCTION("""COMPUTED_VALUE"""),"Category")</f>
        <v>Category</v>
      </c>
      <c r="T311" s="6"/>
      <c r="U311" s="6"/>
      <c r="V311" s="6"/>
      <c r="W311" s="6"/>
      <c r="X311" s="6"/>
      <c r="Y311" s="6"/>
      <c r="Z311" s="6"/>
      <c r="AA311" s="6"/>
      <c r="AB311" s="6"/>
      <c r="AC311" s="6"/>
      <c r="AD311" s="6"/>
      <c r="AE311" s="6"/>
      <c r="AF311" s="6"/>
      <c r="AG311" s="6"/>
      <c r="AH311" s="6"/>
      <c r="AI311" s="6"/>
      <c r="AJ311" s="6"/>
      <c r="AK311" s="6"/>
      <c r="AL311" s="6"/>
    </row>
    <row r="312" spans="1:38">
      <c r="A312" s="96">
        <f ca="1">IFERROR(__xludf.DUMMYFUNCTION("""COMPUTED_VALUE"""),44266)</f>
        <v>44266</v>
      </c>
      <c r="B312" s="6" t="str">
        <f ca="1">IFERROR(__xludf.DUMMYFUNCTION("""COMPUTED_VALUE"""),"Divya K")</f>
        <v>Divya K</v>
      </c>
      <c r="C312" s="6" t="str">
        <f ca="1">IFERROR(__xludf.DUMMYFUNCTION("""COMPUTED_VALUE"""),"cool.div@gmail.com")</f>
        <v>cool.div@gmail.com</v>
      </c>
      <c r="D312" s="6">
        <f ca="1">IFERROR(__xludf.DUMMYFUNCTION("""COMPUTED_VALUE"""),9940413014)</f>
        <v>9940413014</v>
      </c>
      <c r="E312" s="6" t="str">
        <f ca="1">IFERROR(__xludf.DUMMYFUNCTION("""COMPUTED_VALUE"""),"Query box")</f>
        <v>Query box</v>
      </c>
      <c r="F312" s="6" t="str">
        <f ca="1">IFERROR(__xludf.DUMMYFUNCTION("""COMPUTED_VALUE"""),"SAFe Agile")</f>
        <v>SAFe Agile</v>
      </c>
      <c r="G312" s="80">
        <f ca="1">IFERROR(__xludf.DUMMYFUNCTION("""COMPUTED_VALUE"""),44256)</f>
        <v>44256</v>
      </c>
      <c r="H312" s="6" t="str">
        <f ca="1">IFERROR(__xludf.DUMMYFUNCTION("""COMPUTED_VALUE"""),"Opportunity")</f>
        <v>Opportunity</v>
      </c>
      <c r="I312" s="6" t="str">
        <f ca="1">IFERROR(__xludf.DUMMYFUNCTION("""COMPUTED_VALUE"""),"10-11 April 2021")</f>
        <v>10-11 April 2021</v>
      </c>
      <c r="J312" s="6">
        <f ca="1">IFERROR(__xludf.DUMMYFUNCTION("""COMPUTED_VALUE"""),1)</f>
        <v>1</v>
      </c>
      <c r="K312" s="8">
        <f ca="1">IFERROR(__xludf.DUMMYFUNCTION("""COMPUTED_VALUE"""),53100)</f>
        <v>53100</v>
      </c>
      <c r="L312" s="8">
        <f ca="1">IFERROR(__xludf.DUMMYFUNCTION("""COMPUTED_VALUE"""),608.108108108108)</f>
        <v>608.10810810810801</v>
      </c>
      <c r="M312" s="96">
        <f ca="1">IFERROR(__xludf.DUMMYFUNCTION("""COMPUTED_VALUE"""),44286)</f>
        <v>44286</v>
      </c>
      <c r="N312" s="6"/>
      <c r="O312" s="97"/>
      <c r="P312" s="6"/>
      <c r="Q312" s="6"/>
      <c r="R312" s="6"/>
      <c r="S312" s="6" t="str">
        <f ca="1">IFERROR(__xludf.DUMMYFUNCTION("""COMPUTED_VALUE"""),"SAFe")</f>
        <v>SAFe</v>
      </c>
      <c r="T312" s="6"/>
      <c r="U312" s="6"/>
      <c r="V312" s="6"/>
      <c r="W312" s="6"/>
      <c r="X312" s="6"/>
      <c r="Y312" s="6"/>
      <c r="Z312" s="6"/>
      <c r="AA312" s="6"/>
      <c r="AB312" s="6"/>
      <c r="AC312" s="6"/>
      <c r="AD312" s="6"/>
      <c r="AE312" s="6"/>
      <c r="AF312" s="6"/>
      <c r="AG312" s="6"/>
      <c r="AH312" s="6"/>
      <c r="AI312" s="6"/>
      <c r="AJ312" s="6"/>
      <c r="AK312" s="6"/>
      <c r="AL312" s="6"/>
    </row>
    <row r="313" spans="1:38">
      <c r="A313" s="96">
        <f ca="1">IFERROR(__xludf.DUMMYFUNCTION("""COMPUTED_VALUE"""),44193)</f>
        <v>44193</v>
      </c>
      <c r="B313" s="6" t="str">
        <f ca="1">IFERROR(__xludf.DUMMYFUNCTION("""COMPUTED_VALUE"""),"Shailesh Kendre")</f>
        <v>Shailesh Kendre</v>
      </c>
      <c r="C313" s="6" t="str">
        <f ca="1">IFERROR(__xludf.DUMMYFUNCTION("""COMPUTED_VALUE"""),"shailesh.kendre19@gmail.com")</f>
        <v>shailesh.kendre19@gmail.com</v>
      </c>
      <c r="D313" s="6">
        <f ca="1">IFERROR(__xludf.DUMMYFUNCTION("""COMPUTED_VALUE"""),9967652195)</f>
        <v>9967652195</v>
      </c>
      <c r="E313" s="6" t="str">
        <f ca="1">IFERROR(__xludf.DUMMYFUNCTION("""COMPUTED_VALUE"""),"course preview")</f>
        <v>course preview</v>
      </c>
      <c r="F313" s="6" t="str">
        <f ca="1">IFERROR(__xludf.DUMMYFUNCTION("""COMPUTED_VALUE"""),"CSM")</f>
        <v>CSM</v>
      </c>
      <c r="G313" s="80">
        <f ca="1">IFERROR(__xludf.DUMMYFUNCTION("""COMPUTED_VALUE"""),44256)</f>
        <v>44256</v>
      </c>
      <c r="H313" s="6" t="str">
        <f ca="1">IFERROR(__xludf.DUMMYFUNCTION("""COMPUTED_VALUE"""),"Won")</f>
        <v>Won</v>
      </c>
      <c r="I313" s="6" t="str">
        <f ca="1">IFERROR(__xludf.DUMMYFUNCTION("""COMPUTED_VALUE"""),"20-21 March 2021")</f>
        <v>20-21 March 2021</v>
      </c>
      <c r="J313" s="6">
        <f ca="1">IFERROR(__xludf.DUMMYFUNCTION("""COMPUTED_VALUE"""),1)</f>
        <v>1</v>
      </c>
      <c r="K313" s="8">
        <f ca="1">IFERROR(__xludf.DUMMYFUNCTION("""COMPUTED_VALUE"""),19000)</f>
        <v>19000</v>
      </c>
      <c r="L313" s="8">
        <f ca="1">IFERROR(__xludf.DUMMYFUNCTION("""COMPUTED_VALUE"""),217.590471827759)</f>
        <v>217.59047182775899</v>
      </c>
      <c r="M313" s="96">
        <f ca="1">IFERROR(__xludf.DUMMYFUNCTION("""COMPUTED_VALUE"""),44204)</f>
        <v>44204</v>
      </c>
      <c r="N313" s="6" t="str">
        <f ca="1">IFERROR(__xludf.DUMMYFUNCTION("""COMPUTED_VALUE"""),"W3")</f>
        <v>W3</v>
      </c>
      <c r="O313" s="97">
        <f ca="1">IFERROR(__xludf.DUMMYFUNCTION("""COMPUTED_VALUE"""),44270)</f>
        <v>44270</v>
      </c>
      <c r="P313" s="6" t="str">
        <f ca="1">IFERROR(__xludf.DUMMYFUNCTION("""COMPUTED_VALUE"""),"CSTM_37DIF10CE94")</f>
        <v>CSTM_37DIF10CE94</v>
      </c>
      <c r="Q313" s="6"/>
      <c r="R313" s="6" t="str">
        <f ca="1">IFERROR(__xludf.DUMMYFUNCTION("""COMPUTED_VALUE"""),"Done. Good feedback.")</f>
        <v>Done. Good feedback.</v>
      </c>
      <c r="S313" s="6" t="str">
        <f ca="1">IFERROR(__xludf.DUMMYFUNCTION("""COMPUTED_VALUE"""),"Category")</f>
        <v>Category</v>
      </c>
      <c r="T313" s="6"/>
      <c r="U313" s="6"/>
      <c r="V313" s="6"/>
      <c r="W313" s="6"/>
      <c r="X313" s="6"/>
      <c r="Y313" s="6"/>
      <c r="Z313" s="6"/>
      <c r="AA313" s="6"/>
      <c r="AB313" s="6"/>
      <c r="AC313" s="6"/>
      <c r="AD313" s="6"/>
      <c r="AE313" s="6"/>
      <c r="AF313" s="6"/>
      <c r="AG313" s="6"/>
      <c r="AH313" s="6"/>
      <c r="AI313" s="6"/>
      <c r="AJ313" s="6"/>
      <c r="AK313" s="6"/>
      <c r="AL313" s="6"/>
    </row>
    <row r="314" spans="1:38">
      <c r="A314" s="96">
        <f ca="1">IFERROR(__xludf.DUMMYFUNCTION("""COMPUTED_VALUE"""),44247)</f>
        <v>44247</v>
      </c>
      <c r="B314" s="6" t="str">
        <f ca="1">IFERROR(__xludf.DUMMYFUNCTION("""COMPUTED_VALUE"""),"Anowarus Salam")</f>
        <v>Anowarus Salam</v>
      </c>
      <c r="C314" s="6" t="str">
        <f ca="1">IFERROR(__xludf.DUMMYFUNCTION("""COMPUTED_VALUE"""),"anowarus.salam@gmail.com")</f>
        <v>anowarus.salam@gmail.com</v>
      </c>
      <c r="D314" s="6">
        <f ca="1">IFERROR(__xludf.DUMMYFUNCTION("""COMPUTED_VALUE"""),9874119286)</f>
        <v>9874119286</v>
      </c>
      <c r="E314" s="6" t="str">
        <f ca="1">IFERROR(__xludf.DUMMYFUNCTION("""COMPUTED_VALUE"""),"chat_initiated")</f>
        <v>chat_initiated</v>
      </c>
      <c r="F314" s="6" t="str">
        <f ca="1">IFERROR(__xludf.DUMMYFUNCTION("""COMPUTED_VALUE"""),"PSM")</f>
        <v>PSM</v>
      </c>
      <c r="G314" s="80">
        <f ca="1">IFERROR(__xludf.DUMMYFUNCTION("""COMPUTED_VALUE"""),44256)</f>
        <v>44256</v>
      </c>
      <c r="H314" s="6" t="str">
        <f ca="1">IFERROR(__xludf.DUMMYFUNCTION("""COMPUTED_VALUE"""),"Won")</f>
        <v>Won</v>
      </c>
      <c r="I314" s="6" t="str">
        <f ca="1">IFERROR(__xludf.DUMMYFUNCTION("""COMPUTED_VALUE"""),"20-21 March 2021")</f>
        <v>20-21 March 2021</v>
      </c>
      <c r="J314" s="6">
        <f ca="1">IFERROR(__xludf.DUMMYFUNCTION("""COMPUTED_VALUE"""),1)</f>
        <v>1</v>
      </c>
      <c r="K314" s="8">
        <f ca="1">IFERROR(__xludf.DUMMYFUNCTION("""COMPUTED_VALUE"""),21000)</f>
        <v>21000</v>
      </c>
      <c r="L314" s="8">
        <f ca="1">IFERROR(__xludf.DUMMYFUNCTION("""COMPUTED_VALUE"""),240.494732020155)</f>
        <v>240.494732020155</v>
      </c>
      <c r="M314" s="96">
        <f ca="1">IFERROR(__xludf.DUMMYFUNCTION("""COMPUTED_VALUE"""),44247)</f>
        <v>44247</v>
      </c>
      <c r="N314" s="6" t="str">
        <f ca="1">IFERROR(__xludf.DUMMYFUNCTION("""COMPUTED_VALUE"""),"W3")</f>
        <v>W3</v>
      </c>
      <c r="O314" s="97">
        <f ca="1">IFERROR(__xludf.DUMMYFUNCTION("""COMPUTED_VALUE"""),44270)</f>
        <v>44270</v>
      </c>
      <c r="P314" s="6" t="str">
        <f ca="1">IFERROR(__xludf.DUMMYFUNCTION("""COMPUTED_VALUE"""),"CSTM_H04JH6KN46I")</f>
        <v>CSTM_H04JH6KN46I</v>
      </c>
      <c r="Q314" s="6"/>
      <c r="R314" s="6" t="str">
        <f ca="1">IFERROR(__xludf.DUMMYFUNCTION("""COMPUTED_VALUE"""),"Done. Good feedback.")</f>
        <v>Done. Good feedback.</v>
      </c>
      <c r="S314" s="6" t="str">
        <f ca="1">IFERROR(__xludf.DUMMYFUNCTION("""COMPUTED_VALUE"""),"Category")</f>
        <v>Category</v>
      </c>
      <c r="T314" s="6"/>
      <c r="U314" s="6"/>
      <c r="V314" s="6"/>
      <c r="W314" s="6"/>
      <c r="X314" s="6"/>
      <c r="Y314" s="6"/>
      <c r="Z314" s="6"/>
      <c r="AA314" s="6"/>
      <c r="AB314" s="6"/>
      <c r="AC314" s="6"/>
      <c r="AD314" s="6"/>
      <c r="AE314" s="6"/>
      <c r="AF314" s="6"/>
      <c r="AG314" s="6"/>
      <c r="AH314" s="6"/>
      <c r="AI314" s="6"/>
      <c r="AJ314" s="6"/>
      <c r="AK314" s="6"/>
      <c r="AL314" s="6"/>
    </row>
    <row r="315" spans="1:38">
      <c r="A315" s="96">
        <f ca="1">IFERROR(__xludf.DUMMYFUNCTION("""COMPUTED_VALUE"""),44270)</f>
        <v>44270</v>
      </c>
      <c r="B315" s="6" t="str">
        <f ca="1">IFERROR(__xludf.DUMMYFUNCTION("""COMPUTED_VALUE"""),"Sonima")</f>
        <v>Sonima</v>
      </c>
      <c r="C315" s="6" t="str">
        <f ca="1">IFERROR(__xludf.DUMMYFUNCTION("""COMPUTED_VALUE"""),"sonimanambiar@gmail.com")</f>
        <v>sonimanambiar@gmail.com</v>
      </c>
      <c r="D315" s="6">
        <f ca="1">IFERROR(__xludf.DUMMYFUNCTION("""COMPUTED_VALUE"""),8921126691)</f>
        <v>8921126691</v>
      </c>
      <c r="E315" s="6" t="str">
        <f ca="1">IFERROR(__xludf.DUMMYFUNCTION("""COMPUTED_VALUE"""),"Reference")</f>
        <v>Reference</v>
      </c>
      <c r="F315" s="6" t="str">
        <f ca="1">IFERROR(__xludf.DUMMYFUNCTION("""COMPUTED_VALUE"""),"PSPO")</f>
        <v>PSPO</v>
      </c>
      <c r="G315" s="80">
        <f ca="1">IFERROR(__xludf.DUMMYFUNCTION("""COMPUTED_VALUE"""),44256)</f>
        <v>44256</v>
      </c>
      <c r="H315" s="6" t="str">
        <f ca="1">IFERROR(__xludf.DUMMYFUNCTION("""COMPUTED_VALUE"""),"Won")</f>
        <v>Won</v>
      </c>
      <c r="I315" s="6" t="str">
        <f ca="1">IFERROR(__xludf.DUMMYFUNCTION("""COMPUTED_VALUE"""),"20-21 March 2021")</f>
        <v>20-21 March 2021</v>
      </c>
      <c r="J315" s="6">
        <f ca="1">IFERROR(__xludf.DUMMYFUNCTION("""COMPUTED_VALUE"""),1)</f>
        <v>1</v>
      </c>
      <c r="K315" s="8">
        <f ca="1">IFERROR(__xludf.DUMMYFUNCTION("""COMPUTED_VALUE"""),21000)</f>
        <v>21000</v>
      </c>
      <c r="L315" s="8">
        <f ca="1">IFERROR(__xludf.DUMMYFUNCTION("""COMPUTED_VALUE"""),240.494732020155)</f>
        <v>240.494732020155</v>
      </c>
      <c r="M315" s="96">
        <f ca="1">IFERROR(__xludf.DUMMYFUNCTION("""COMPUTED_VALUE"""),44270)</f>
        <v>44270</v>
      </c>
      <c r="N315" s="6" t="str">
        <f ca="1">IFERROR(__xludf.DUMMYFUNCTION("""COMPUTED_VALUE"""),"W3")</f>
        <v>W3</v>
      </c>
      <c r="O315" s="97">
        <f ca="1">IFERROR(__xludf.DUMMYFUNCTION("""COMPUTED_VALUE"""),44270)</f>
        <v>44270</v>
      </c>
      <c r="P315" s="6" t="str">
        <f ca="1">IFERROR(__xludf.DUMMYFUNCTION("""COMPUTED_VALUE"""),"CSTM_7UDBG8QLTYH")</f>
        <v>CSTM_7UDBG8QLTYH</v>
      </c>
      <c r="Q315" s="6" t="str">
        <f ca="1">IFERROR(__xludf.DUMMYFUNCTION("""COMPUTED_VALUE"""),"Reference by Hariharan")</f>
        <v>Reference by Hariharan</v>
      </c>
      <c r="R315" s="6" t="str">
        <f ca="1">IFERROR(__xludf.DUMMYFUNCTION("""COMPUTED_VALUE"""),"Done. Good feedback.")</f>
        <v>Done. Good feedback.</v>
      </c>
      <c r="S315" s="6" t="str">
        <f ca="1">IFERROR(__xludf.DUMMYFUNCTION("""COMPUTED_VALUE"""),"Category")</f>
        <v>Category</v>
      </c>
      <c r="T315" s="6" t="str">
        <f ca="1">IFERROR(__xludf.DUMMYFUNCTION("""COMPUTED_VALUE"""),"Sent.")</f>
        <v>Sent.</v>
      </c>
      <c r="U315" s="6"/>
      <c r="V315" s="6"/>
      <c r="W315" s="6"/>
      <c r="X315" s="6"/>
      <c r="Y315" s="6"/>
      <c r="Z315" s="6"/>
      <c r="AA315" s="6"/>
      <c r="AB315" s="6"/>
      <c r="AC315" s="6"/>
      <c r="AD315" s="6"/>
      <c r="AE315" s="6"/>
      <c r="AF315" s="6"/>
      <c r="AG315" s="6"/>
      <c r="AH315" s="6"/>
      <c r="AI315" s="6"/>
      <c r="AJ315" s="6"/>
      <c r="AK315" s="6"/>
      <c r="AL315" s="6"/>
    </row>
    <row r="316" spans="1:38">
      <c r="A316" s="96">
        <f ca="1">IFERROR(__xludf.DUMMYFUNCTION("""COMPUTED_VALUE"""),44270)</f>
        <v>44270</v>
      </c>
      <c r="B316" s="6" t="str">
        <f ca="1">IFERROR(__xludf.DUMMYFUNCTION("""COMPUTED_VALUE"""),"Hariharan")</f>
        <v>Hariharan</v>
      </c>
      <c r="C316" s="6" t="str">
        <f ca="1">IFERROR(__xludf.DUMMYFUNCTION("""COMPUTED_VALUE"""),"hariharanswamy@gmail.com")</f>
        <v>hariharanswamy@gmail.com</v>
      </c>
      <c r="D316" s="6">
        <f ca="1">IFERROR(__xludf.DUMMYFUNCTION("""COMPUTED_VALUE"""),9886031436)</f>
        <v>9886031436</v>
      </c>
      <c r="E316" s="6" t="str">
        <f ca="1">IFERROR(__xludf.DUMMYFUNCTION("""COMPUTED_VALUE"""),"na-payment")</f>
        <v>na-payment</v>
      </c>
      <c r="F316" s="6" t="str">
        <f ca="1">IFERROR(__xludf.DUMMYFUNCTION("""COMPUTED_VALUE"""),"PSPO")</f>
        <v>PSPO</v>
      </c>
      <c r="G316" s="80">
        <f ca="1">IFERROR(__xludf.DUMMYFUNCTION("""COMPUTED_VALUE"""),44256)</f>
        <v>44256</v>
      </c>
      <c r="H316" s="6" t="str">
        <f ca="1">IFERROR(__xludf.DUMMYFUNCTION("""COMPUTED_VALUE"""),"Won")</f>
        <v>Won</v>
      </c>
      <c r="I316" s="6" t="str">
        <f ca="1">IFERROR(__xludf.DUMMYFUNCTION("""COMPUTED_VALUE"""),"20-21 March 2021")</f>
        <v>20-21 March 2021</v>
      </c>
      <c r="J316" s="6">
        <f ca="1">IFERROR(__xludf.DUMMYFUNCTION("""COMPUTED_VALUE"""),1)</f>
        <v>1</v>
      </c>
      <c r="K316" s="8">
        <f ca="1">IFERROR(__xludf.DUMMYFUNCTION("""COMPUTED_VALUE"""),21000)</f>
        <v>21000</v>
      </c>
      <c r="L316" s="8">
        <f ca="1">IFERROR(__xludf.DUMMYFUNCTION("""COMPUTED_VALUE"""),240.494732020155)</f>
        <v>240.494732020155</v>
      </c>
      <c r="M316" s="96">
        <f ca="1">IFERROR(__xludf.DUMMYFUNCTION("""COMPUTED_VALUE"""),44270)</f>
        <v>44270</v>
      </c>
      <c r="N316" s="6" t="str">
        <f ca="1">IFERROR(__xludf.DUMMYFUNCTION("""COMPUTED_VALUE"""),"W3")</f>
        <v>W3</v>
      </c>
      <c r="O316" s="97">
        <f ca="1">IFERROR(__xludf.DUMMYFUNCTION("""COMPUTED_VALUE"""),44270)</f>
        <v>44270</v>
      </c>
      <c r="P316" s="6" t="str">
        <f ca="1">IFERROR(__xludf.DUMMYFUNCTION("""COMPUTED_VALUE"""),"CSTM_J0DAZBU14MC")</f>
        <v>CSTM_J0DAZBU14MC</v>
      </c>
      <c r="Q316" s="6"/>
      <c r="R316" s="6" t="str">
        <f ca="1">IFERROR(__xludf.DUMMYFUNCTION("""COMPUTED_VALUE"""),"Done. Good feedback.")</f>
        <v>Done. Good feedback.</v>
      </c>
      <c r="S316" s="6" t="str">
        <f ca="1">IFERROR(__xludf.DUMMYFUNCTION("""COMPUTED_VALUE"""),"Category")</f>
        <v>Category</v>
      </c>
      <c r="T316" s="6"/>
      <c r="U316" s="6"/>
      <c r="V316" s="6"/>
      <c r="W316" s="6"/>
      <c r="X316" s="6"/>
      <c r="Y316" s="6"/>
      <c r="Z316" s="6"/>
      <c r="AA316" s="6"/>
      <c r="AB316" s="6"/>
      <c r="AC316" s="6"/>
      <c r="AD316" s="6"/>
      <c r="AE316" s="6"/>
      <c r="AF316" s="6"/>
      <c r="AG316" s="6"/>
      <c r="AH316" s="6"/>
      <c r="AI316" s="6"/>
      <c r="AJ316" s="6"/>
      <c r="AK316" s="6"/>
      <c r="AL316" s="6"/>
    </row>
    <row r="317" spans="1:38">
      <c r="A317" s="96">
        <f ca="1">IFERROR(__xludf.DUMMYFUNCTION("""COMPUTED_VALUE"""),44269)</f>
        <v>44269</v>
      </c>
      <c r="B317" s="6" t="str">
        <f ca="1">IFERROR(__xludf.DUMMYFUNCTION("""COMPUTED_VALUE"""),"Smita")</f>
        <v>Smita</v>
      </c>
      <c r="C317" s="6" t="str">
        <f ca="1">IFERROR(__xludf.DUMMYFUNCTION("""COMPUTED_VALUE"""),"smita.career01@gmail.com")</f>
        <v>smita.career01@gmail.com</v>
      </c>
      <c r="D317" s="6">
        <f ca="1">IFERROR(__xludf.DUMMYFUNCTION("""COMPUTED_VALUE"""),7875215873)</f>
        <v>7875215873</v>
      </c>
      <c r="E317" s="6" t="str">
        <f ca="1">IFERROR(__xludf.DUMMYFUNCTION("""COMPUTED_VALUE"""),"Reference")</f>
        <v>Reference</v>
      </c>
      <c r="F317" s="6" t="str">
        <f ca="1">IFERROR(__xludf.DUMMYFUNCTION("""COMPUTED_VALUE"""),"CSM")</f>
        <v>CSM</v>
      </c>
      <c r="G317" s="80">
        <f ca="1">IFERROR(__xludf.DUMMYFUNCTION("""COMPUTED_VALUE"""),44256)</f>
        <v>44256</v>
      </c>
      <c r="H317" s="6" t="str">
        <f ca="1">IFERROR(__xludf.DUMMYFUNCTION("""COMPUTED_VALUE"""),"Won")</f>
        <v>Won</v>
      </c>
      <c r="I317" s="6" t="str">
        <f ca="1">IFERROR(__xludf.DUMMYFUNCTION("""COMPUTED_VALUE"""),"27-28 March 2021")</f>
        <v>27-28 March 2021</v>
      </c>
      <c r="J317" s="6">
        <f ca="1">IFERROR(__xludf.DUMMYFUNCTION("""COMPUTED_VALUE"""),1)</f>
        <v>1</v>
      </c>
      <c r="K317" s="8">
        <f ca="1">IFERROR(__xludf.DUMMYFUNCTION("""COMPUTED_VALUE"""),19000)</f>
        <v>19000</v>
      </c>
      <c r="L317" s="8">
        <f ca="1">IFERROR(__xludf.DUMMYFUNCTION("""COMPUTED_VALUE"""),217.590471827759)</f>
        <v>217.59047182775899</v>
      </c>
      <c r="M317" s="96">
        <f ca="1">IFERROR(__xludf.DUMMYFUNCTION("""COMPUTED_VALUE"""),44270)</f>
        <v>44270</v>
      </c>
      <c r="N317" s="6" t="str">
        <f ca="1">IFERROR(__xludf.DUMMYFUNCTION("""COMPUTED_VALUE"""),"W3")</f>
        <v>W3</v>
      </c>
      <c r="O317" s="97">
        <f ca="1">IFERROR(__xludf.DUMMYFUNCTION("""COMPUTED_VALUE"""),44271)</f>
        <v>44271</v>
      </c>
      <c r="P317" s="6" t="str">
        <f ca="1">IFERROR(__xludf.DUMMYFUNCTION("""COMPUTED_VALUE"""),"CSTM_9LYOCK9462V")</f>
        <v>CSTM_9LYOCK9462V</v>
      </c>
      <c r="Q317" s="6" t="str">
        <f ca="1">IFERROR(__xludf.DUMMYFUNCTION("""COMPUTED_VALUE"""),"Reference by Keerti Naik")</f>
        <v>Reference by Keerti Naik</v>
      </c>
      <c r="R317" s="6" t="str">
        <f ca="1">IFERROR(__xludf.DUMMYFUNCTION("""COMPUTED_VALUE"""),"Done. Good feedback.")</f>
        <v>Done. Good feedback.</v>
      </c>
      <c r="S317" s="6" t="str">
        <f ca="1">IFERROR(__xludf.DUMMYFUNCTION("""COMPUTED_VALUE"""),"Category")</f>
        <v>Category</v>
      </c>
      <c r="T317" s="6" t="str">
        <f ca="1">IFERROR(__xludf.DUMMYFUNCTION("""COMPUTED_VALUE"""),"Referee's email id already present in the system.")</f>
        <v>Referee's email id already present in the system.</v>
      </c>
      <c r="U317" s="6"/>
      <c r="V317" s="6"/>
      <c r="W317" s="6"/>
      <c r="X317" s="6"/>
      <c r="Y317" s="6"/>
      <c r="Z317" s="6"/>
      <c r="AA317" s="6"/>
      <c r="AB317" s="6"/>
      <c r="AC317" s="6"/>
      <c r="AD317" s="6"/>
      <c r="AE317" s="6"/>
      <c r="AF317" s="6"/>
      <c r="AG317" s="6"/>
      <c r="AH317" s="6"/>
      <c r="AI317" s="6"/>
      <c r="AJ317" s="6"/>
      <c r="AK317" s="6"/>
      <c r="AL317" s="6"/>
    </row>
    <row r="318" spans="1:38">
      <c r="A318" s="96">
        <f ca="1">IFERROR(__xludf.DUMMYFUNCTION("""COMPUTED_VALUE"""),44270)</f>
        <v>44270</v>
      </c>
      <c r="B318" s="6" t="str">
        <f ca="1">IFERROR(__xludf.DUMMYFUNCTION("""COMPUTED_VALUE"""),"Jyoti Sonal")</f>
        <v>Jyoti Sonal</v>
      </c>
      <c r="C318" s="6" t="str">
        <f ca="1">IFERROR(__xludf.DUMMYFUNCTION("""COMPUTED_VALUE"""),"sonaljyoti12@gmail.com")</f>
        <v>sonaljyoti12@gmail.com</v>
      </c>
      <c r="D318" s="6">
        <f ca="1">IFERROR(__xludf.DUMMYFUNCTION("""COMPUTED_VALUE"""),7567275453)</f>
        <v>7567275453</v>
      </c>
      <c r="E318" s="6" t="str">
        <f ca="1">IFERROR(__xludf.DUMMYFUNCTION("""COMPUTED_VALUE"""),"Reference")</f>
        <v>Reference</v>
      </c>
      <c r="F318" s="6" t="str">
        <f ca="1">IFERROR(__xludf.DUMMYFUNCTION("""COMPUTED_VALUE"""),"SAFe Agile")</f>
        <v>SAFe Agile</v>
      </c>
      <c r="G318" s="80">
        <f ca="1">IFERROR(__xludf.DUMMYFUNCTION("""COMPUTED_VALUE"""),44256)</f>
        <v>44256</v>
      </c>
      <c r="H318" s="6" t="str">
        <f ca="1">IFERROR(__xludf.DUMMYFUNCTION("""COMPUTED_VALUE"""),"Won")</f>
        <v>Won</v>
      </c>
      <c r="I318" s="6" t="str">
        <f ca="1">IFERROR(__xludf.DUMMYFUNCTION("""COMPUTED_VALUE"""),"27-28 March 2021")</f>
        <v>27-28 March 2021</v>
      </c>
      <c r="J318" s="6">
        <f ca="1">IFERROR(__xludf.DUMMYFUNCTION("""COMPUTED_VALUE"""),1)</f>
        <v>1</v>
      </c>
      <c r="K318" s="8">
        <f ca="1">IFERROR(__xludf.DUMMYFUNCTION("""COMPUTED_VALUE"""),43000)</f>
        <v>43000</v>
      </c>
      <c r="L318" s="8">
        <f ca="1">IFERROR(__xludf.DUMMYFUNCTION("""COMPUTED_VALUE"""),492.441594136509)</f>
        <v>492.44159413650902</v>
      </c>
      <c r="M318" s="96">
        <f ca="1">IFERROR(__xludf.DUMMYFUNCTION("""COMPUTED_VALUE"""),44271)</f>
        <v>44271</v>
      </c>
      <c r="N318" s="6" t="str">
        <f ca="1">IFERROR(__xludf.DUMMYFUNCTION("""COMPUTED_VALUE"""),"W3")</f>
        <v>W3</v>
      </c>
      <c r="O318" s="97">
        <f ca="1">IFERROR(__xludf.DUMMYFUNCTION("""COMPUTED_VALUE"""),44271)</f>
        <v>44271</v>
      </c>
      <c r="P318" s="6" t="str">
        <f ca="1">IFERROR(__xludf.DUMMYFUNCTION("""COMPUTED_VALUE"""),"CSTM_C3AGI5JNWN6")</f>
        <v>CSTM_C3AGI5JNWN6</v>
      </c>
      <c r="Q318" s="6" t="str">
        <f ca="1">IFERROR(__xludf.DUMMYFUNCTION("""COMPUTED_VALUE"""),"Reference by Praveen SAFe")</f>
        <v>Reference by Praveen SAFe</v>
      </c>
      <c r="R318" s="6" t="str">
        <f ca="1">IFERROR(__xludf.DUMMYFUNCTION("""COMPUTED_VALUE"""),"Done. Good feedback.")</f>
        <v>Done. Good feedback.</v>
      </c>
      <c r="S318" s="6" t="str">
        <f ca="1">IFERROR(__xludf.DUMMYFUNCTION("""COMPUTED_VALUE"""),"SAFe")</f>
        <v>SAFe</v>
      </c>
      <c r="T318" s="6" t="str">
        <f ca="1">IFERROR(__xludf.DUMMYFUNCTION("""COMPUTED_VALUE"""),"Referee's email id already present in the system.")</f>
        <v>Referee's email id already present in the system.</v>
      </c>
      <c r="U318" s="6"/>
      <c r="V318" s="6"/>
      <c r="W318" s="6"/>
      <c r="X318" s="6"/>
      <c r="Y318" s="6"/>
      <c r="Z318" s="6"/>
      <c r="AA318" s="6"/>
      <c r="AB318" s="6"/>
      <c r="AC318" s="6"/>
      <c r="AD318" s="6"/>
      <c r="AE318" s="6"/>
      <c r="AF318" s="6"/>
      <c r="AG318" s="6"/>
      <c r="AH318" s="6"/>
      <c r="AI318" s="6"/>
      <c r="AJ318" s="6"/>
      <c r="AK318" s="6"/>
      <c r="AL318" s="6"/>
    </row>
    <row r="319" spans="1:38">
      <c r="A319" s="96">
        <f ca="1">IFERROR(__xludf.DUMMYFUNCTION("""COMPUTED_VALUE"""),44272)</f>
        <v>44272</v>
      </c>
      <c r="B319" s="6" t="str">
        <f ca="1">IFERROR(__xludf.DUMMYFUNCTION("""COMPUTED_VALUE"""),"Kaushik")</f>
        <v>Kaushik</v>
      </c>
      <c r="C319" s="6" t="str">
        <f ca="1">IFERROR(__xludf.DUMMYFUNCTION("""COMPUTED_VALUE"""),"hatial.kaushik@gmail.com")</f>
        <v>hatial.kaushik@gmail.com</v>
      </c>
      <c r="D319" s="6">
        <f ca="1">IFERROR(__xludf.DUMMYFUNCTION("""COMPUTED_VALUE"""),8800787424)</f>
        <v>8800787424</v>
      </c>
      <c r="E319" s="6" t="str">
        <f ca="1">IFERROR(__xludf.DUMMYFUNCTION("""COMPUTED_VALUE"""),"Query box")</f>
        <v>Query box</v>
      </c>
      <c r="F319" s="6" t="str">
        <f ca="1">IFERROR(__xludf.DUMMYFUNCTION("""COMPUTED_VALUE"""),"CSM")</f>
        <v>CSM</v>
      </c>
      <c r="G319" s="80">
        <f ca="1">IFERROR(__xludf.DUMMYFUNCTION("""COMPUTED_VALUE"""),44256)</f>
        <v>44256</v>
      </c>
      <c r="H319" s="6" t="str">
        <f ca="1">IFERROR(__xludf.DUMMYFUNCTION("""COMPUTED_VALUE"""),"Won")</f>
        <v>Won</v>
      </c>
      <c r="I319" s="6" t="str">
        <f ca="1">IFERROR(__xludf.DUMMYFUNCTION("""COMPUTED_VALUE"""),"20-21 March 2021")</f>
        <v>20-21 March 2021</v>
      </c>
      <c r="J319" s="6">
        <f ca="1">IFERROR(__xludf.DUMMYFUNCTION("""COMPUTED_VALUE"""),1)</f>
        <v>1</v>
      </c>
      <c r="K319" s="8">
        <f ca="1">IFERROR(__xludf.DUMMYFUNCTION("""COMPUTED_VALUE"""),20000)</f>
        <v>20000</v>
      </c>
      <c r="L319" s="8">
        <f ca="1">IFERROR(__xludf.DUMMYFUNCTION("""COMPUTED_VALUE"""),229.042601923957)</f>
        <v>229.04260192395699</v>
      </c>
      <c r="M319" s="96">
        <f ca="1">IFERROR(__xludf.DUMMYFUNCTION("""COMPUTED_VALUE"""),44272)</f>
        <v>44272</v>
      </c>
      <c r="N319" s="6" t="str">
        <f ca="1">IFERROR(__xludf.DUMMYFUNCTION("""COMPUTED_VALUE"""),"W3")</f>
        <v>W3</v>
      </c>
      <c r="O319" s="97">
        <f ca="1">IFERROR(__xludf.DUMMYFUNCTION("""COMPUTED_VALUE"""),44272)</f>
        <v>44272</v>
      </c>
      <c r="P319" s="6" t="str">
        <f ca="1">IFERROR(__xludf.DUMMYFUNCTION("""COMPUTED_VALUE"""),"CSTM_J2QJDXAKIX")</f>
        <v>CSTM_J2QJDXAKIX</v>
      </c>
      <c r="Q319" s="6"/>
      <c r="R319" s="6" t="str">
        <f ca="1">IFERROR(__xludf.DUMMYFUNCTION("""COMPUTED_VALUE"""),"Done. Good feedback.")</f>
        <v>Done. Good feedback.</v>
      </c>
      <c r="S319" s="6" t="str">
        <f ca="1">IFERROR(__xludf.DUMMYFUNCTION("""COMPUTED_VALUE"""),"Category")</f>
        <v>Category</v>
      </c>
      <c r="T319" s="6"/>
      <c r="U319" s="6"/>
      <c r="V319" s="6"/>
      <c r="W319" s="6"/>
      <c r="X319" s="6"/>
      <c r="Y319" s="6"/>
      <c r="Z319" s="6"/>
      <c r="AA319" s="6"/>
      <c r="AB319" s="6"/>
      <c r="AC319" s="6"/>
      <c r="AD319" s="6"/>
      <c r="AE319" s="6"/>
      <c r="AF319" s="6"/>
      <c r="AG319" s="6"/>
      <c r="AH319" s="6"/>
      <c r="AI319" s="6"/>
      <c r="AJ319" s="6"/>
      <c r="AK319" s="6"/>
      <c r="AL319" s="6"/>
    </row>
    <row r="320" spans="1:38">
      <c r="A320" s="96">
        <f ca="1">IFERROR(__xludf.DUMMYFUNCTION("""COMPUTED_VALUE"""),44273)</f>
        <v>44273</v>
      </c>
      <c r="B320" s="6" t="str">
        <f ca="1">IFERROR(__xludf.DUMMYFUNCTION("""COMPUTED_VALUE"""),"Ashish Agarwal")</f>
        <v>Ashish Agarwal</v>
      </c>
      <c r="C320" s="6" t="str">
        <f ca="1">IFERROR(__xludf.DUMMYFUNCTION("""COMPUTED_VALUE"""),"ashishsagarwal17@gmail.com")</f>
        <v>ashishsagarwal17@gmail.com</v>
      </c>
      <c r="D320" s="6">
        <f ca="1">IFERROR(__xludf.DUMMYFUNCTION("""COMPUTED_VALUE"""),9970130002)</f>
        <v>9970130002</v>
      </c>
      <c r="E320" s="6" t="str">
        <f ca="1">IFERROR(__xludf.DUMMYFUNCTION("""COMPUTED_VALUE"""),"Chat_triggered")</f>
        <v>Chat_triggered</v>
      </c>
      <c r="F320" s="6" t="str">
        <f ca="1">IFERROR(__xludf.DUMMYFUNCTION("""COMPUTED_VALUE"""),"SAFe Agile")</f>
        <v>SAFe Agile</v>
      </c>
      <c r="G320" s="80">
        <f ca="1">IFERROR(__xludf.DUMMYFUNCTION("""COMPUTED_VALUE"""),44256)</f>
        <v>44256</v>
      </c>
      <c r="H320" s="6" t="str">
        <f ca="1">IFERROR(__xludf.DUMMYFUNCTION("""COMPUTED_VALUE"""),"Won")</f>
        <v>Won</v>
      </c>
      <c r="I320" s="6" t="str">
        <f ca="1">IFERROR(__xludf.DUMMYFUNCTION("""COMPUTED_VALUE"""),"27-28 March 2021")</f>
        <v>27-28 March 2021</v>
      </c>
      <c r="J320" s="6">
        <f ca="1">IFERROR(__xludf.DUMMYFUNCTION("""COMPUTED_VALUE"""),1)</f>
        <v>1</v>
      </c>
      <c r="K320" s="8">
        <f ca="1">IFERROR(__xludf.DUMMYFUNCTION("""COMPUTED_VALUE"""),44500)</f>
        <v>44500</v>
      </c>
      <c r="L320" s="8">
        <f ca="1">IFERROR(__xludf.DUMMYFUNCTION("""COMPUTED_VALUE"""),509.619789280806)</f>
        <v>509.619789280806</v>
      </c>
      <c r="M320" s="96">
        <f ca="1">IFERROR(__xludf.DUMMYFUNCTION("""COMPUTED_VALUE"""),44273)</f>
        <v>44273</v>
      </c>
      <c r="N320" s="6" t="str">
        <f ca="1">IFERROR(__xludf.DUMMYFUNCTION("""COMPUTED_VALUE"""),"W3")</f>
        <v>W3</v>
      </c>
      <c r="O320" s="97">
        <f ca="1">IFERROR(__xludf.DUMMYFUNCTION("""COMPUTED_VALUE"""),44273)</f>
        <v>44273</v>
      </c>
      <c r="P320" s="6" t="str">
        <f ca="1">IFERROR(__xludf.DUMMYFUNCTION("""COMPUTED_VALUE"""),"CSTM_E3A9ASVLXJB")</f>
        <v>CSTM_E3A9ASVLXJB</v>
      </c>
      <c r="Q320" s="6"/>
      <c r="R320" s="6"/>
      <c r="S320" s="6" t="str">
        <f ca="1">IFERROR(__xludf.DUMMYFUNCTION("""COMPUTED_VALUE"""),"SAFe")</f>
        <v>SAFe</v>
      </c>
      <c r="T320" s="6"/>
      <c r="U320" s="6"/>
      <c r="V320" s="6"/>
      <c r="W320" s="6"/>
      <c r="X320" s="6"/>
      <c r="Y320" s="6"/>
      <c r="Z320" s="6"/>
      <c r="AA320" s="6"/>
      <c r="AB320" s="6"/>
      <c r="AC320" s="6"/>
      <c r="AD320" s="6"/>
      <c r="AE320" s="6"/>
      <c r="AF320" s="6"/>
      <c r="AG320" s="6"/>
      <c r="AH320" s="6"/>
      <c r="AI320" s="6"/>
      <c r="AJ320" s="6"/>
      <c r="AK320" s="6"/>
      <c r="AL320" s="6"/>
    </row>
    <row r="321" spans="1:38">
      <c r="A321" s="96">
        <f ca="1">IFERROR(__xludf.DUMMYFUNCTION("""COMPUTED_VALUE"""),44278)</f>
        <v>44278</v>
      </c>
      <c r="B321" s="6" t="str">
        <f ca="1">IFERROR(__xludf.DUMMYFUNCTION("""COMPUTED_VALUE"""),"Nehal Barot")</f>
        <v>Nehal Barot</v>
      </c>
      <c r="C321" s="6" t="str">
        <f ca="1">IFERROR(__xludf.DUMMYFUNCTION("""COMPUTED_VALUE"""),"nehalbarot10@gmail.com")</f>
        <v>nehalbarot10@gmail.com</v>
      </c>
      <c r="D321" s="6">
        <f ca="1">IFERROR(__xludf.DUMMYFUNCTION("""COMPUTED_VALUE"""),9106733868)</f>
        <v>9106733868</v>
      </c>
      <c r="E321" s="6" t="str">
        <f ca="1">IFERROR(__xludf.DUMMYFUNCTION("""COMPUTED_VALUE"""),"Tollfree")</f>
        <v>Tollfree</v>
      </c>
      <c r="F321" s="6" t="str">
        <f ca="1">IFERROR(__xludf.DUMMYFUNCTION("""COMPUTED_VALUE"""),"PSPO")</f>
        <v>PSPO</v>
      </c>
      <c r="G321" s="80">
        <f ca="1">IFERROR(__xludf.DUMMYFUNCTION("""COMPUTED_VALUE"""),44256)</f>
        <v>44256</v>
      </c>
      <c r="H321" s="6" t="str">
        <f ca="1">IFERROR(__xludf.DUMMYFUNCTION("""COMPUTED_VALUE"""),"Won")</f>
        <v>Won</v>
      </c>
      <c r="I321" s="6" t="str">
        <f ca="1">IFERROR(__xludf.DUMMYFUNCTION("""COMPUTED_VALUE"""),"24-25 July 2021")</f>
        <v>24-25 July 2021</v>
      </c>
      <c r="J321" s="6">
        <f ca="1">IFERROR(__xludf.DUMMYFUNCTION("""COMPUTED_VALUE"""),1)</f>
        <v>1</v>
      </c>
      <c r="K321" s="8">
        <f ca="1">IFERROR(__xludf.DUMMYFUNCTION("""COMPUTED_VALUE"""),21000)</f>
        <v>21000</v>
      </c>
      <c r="L321" s="8">
        <f ca="1">IFERROR(__xludf.DUMMYFUNCTION("""COMPUTED_VALUE"""),240.494732020155)</f>
        <v>240.494732020155</v>
      </c>
      <c r="M321" s="96">
        <f ca="1">IFERROR(__xludf.DUMMYFUNCTION("""COMPUTED_VALUE"""),44278)</f>
        <v>44278</v>
      </c>
      <c r="N321" s="6" t="str">
        <f ca="1">IFERROR(__xludf.DUMMYFUNCTION("""COMPUTED_VALUE"""),"W4")</f>
        <v>W4</v>
      </c>
      <c r="O321" s="97">
        <f ca="1">IFERROR(__xludf.DUMMYFUNCTION("""COMPUTED_VALUE"""),44278)</f>
        <v>44278</v>
      </c>
      <c r="P321" s="6" t="str">
        <f ca="1">IFERROR(__xludf.DUMMYFUNCTION("""COMPUTED_VALUE"""),"CSTM_ES5I1F0VNLN")</f>
        <v>CSTM_ES5I1F0VNLN</v>
      </c>
      <c r="Q321" s="6"/>
      <c r="R321" s="6" t="str">
        <f ca="1">IFERROR(__xludf.DUMMYFUNCTION("""COMPUTED_VALUE"""),"Done. Good feedback.")</f>
        <v>Done. Good feedback.</v>
      </c>
      <c r="S321" s="6" t="str">
        <f ca="1">IFERROR(__xludf.DUMMYFUNCTION("""COMPUTED_VALUE"""),"Category")</f>
        <v>Category</v>
      </c>
      <c r="T321" s="6"/>
      <c r="U321" s="6"/>
      <c r="V321" s="6"/>
      <c r="W321" s="6"/>
      <c r="X321" s="6"/>
      <c r="Y321" s="6"/>
      <c r="Z321" s="6"/>
      <c r="AA321" s="6"/>
      <c r="AB321" s="6"/>
      <c r="AC321" s="6"/>
      <c r="AD321" s="6"/>
      <c r="AE321" s="6"/>
      <c r="AF321" s="6"/>
      <c r="AG321" s="6"/>
      <c r="AH321" s="6"/>
      <c r="AI321" s="6"/>
      <c r="AJ321" s="6"/>
      <c r="AK321" s="6"/>
      <c r="AL321" s="6"/>
    </row>
    <row r="322" spans="1:38">
      <c r="A322" s="96">
        <f ca="1">IFERROR(__xludf.DUMMYFUNCTION("""COMPUTED_VALUE"""),44278)</f>
        <v>44278</v>
      </c>
      <c r="B322" s="6" t="str">
        <f ca="1">IFERROR(__xludf.DUMMYFUNCTION("""COMPUTED_VALUE"""),"Priti Pawar")</f>
        <v>Priti Pawar</v>
      </c>
      <c r="C322" s="6" t="str">
        <f ca="1">IFERROR(__xludf.DUMMYFUNCTION("""COMPUTED_VALUE"""),"pritipawar4987@gmail.com")</f>
        <v>pritipawar4987@gmail.com</v>
      </c>
      <c r="D322" s="6"/>
      <c r="E322" s="6" t="str">
        <f ca="1">IFERROR(__xludf.DUMMYFUNCTION("""COMPUTED_VALUE"""),"Reference")</f>
        <v>Reference</v>
      </c>
      <c r="F322" s="6" t="str">
        <f ca="1">IFERROR(__xludf.DUMMYFUNCTION("""COMPUTED_VALUE"""),"SAFe Agile")</f>
        <v>SAFe Agile</v>
      </c>
      <c r="G322" s="80">
        <f ca="1">IFERROR(__xludf.DUMMYFUNCTION("""COMPUTED_VALUE"""),44256)</f>
        <v>44256</v>
      </c>
      <c r="H322" s="6" t="str">
        <f ca="1">IFERROR(__xludf.DUMMYFUNCTION("""COMPUTED_VALUE"""),"Won")</f>
        <v>Won</v>
      </c>
      <c r="I322" s="6" t="str">
        <f ca="1">IFERROR(__xludf.DUMMYFUNCTION("""COMPUTED_VALUE"""),"27-28 March 2021")</f>
        <v>27-28 March 2021</v>
      </c>
      <c r="J322" s="6">
        <f ca="1">IFERROR(__xludf.DUMMYFUNCTION("""COMPUTED_VALUE"""),1)</f>
        <v>1</v>
      </c>
      <c r="K322" s="8">
        <f ca="1">IFERROR(__xludf.DUMMYFUNCTION("""COMPUTED_VALUE"""),43000)</f>
        <v>43000</v>
      </c>
      <c r="L322" s="8">
        <f ca="1">IFERROR(__xludf.DUMMYFUNCTION("""COMPUTED_VALUE"""),492.441594136509)</f>
        <v>492.44159413650902</v>
      </c>
      <c r="M322" s="96">
        <f ca="1">IFERROR(__xludf.DUMMYFUNCTION("""COMPUTED_VALUE"""),44278)</f>
        <v>44278</v>
      </c>
      <c r="N322" s="6" t="str">
        <f ca="1">IFERROR(__xludf.DUMMYFUNCTION("""COMPUTED_VALUE"""),"W4")</f>
        <v>W4</v>
      </c>
      <c r="O322" s="97">
        <f ca="1">IFERROR(__xludf.DUMMYFUNCTION("""COMPUTED_VALUE"""),44278)</f>
        <v>44278</v>
      </c>
      <c r="P322" s="6" t="str">
        <f ca="1">IFERROR(__xludf.DUMMYFUNCTION("""COMPUTED_VALUE"""),"CSTM_DZ9NVHM9MR4")</f>
        <v>CSTM_DZ9NVHM9MR4</v>
      </c>
      <c r="Q322" s="6" t="str">
        <f ca="1">IFERROR(__xludf.DUMMYFUNCTION("""COMPUTED_VALUE"""),"Reference by Praveen SAFe")</f>
        <v>Reference by Praveen SAFe</v>
      </c>
      <c r="R322" s="6" t="str">
        <f ca="1">IFERROR(__xludf.DUMMYFUNCTION("""COMPUTED_VALUE"""),"Done. Good feedback.")</f>
        <v>Done. Good feedback.</v>
      </c>
      <c r="S322" s="6" t="str">
        <f ca="1">IFERROR(__xludf.DUMMYFUNCTION("""COMPUTED_VALUE"""),"SAFe")</f>
        <v>SAFe</v>
      </c>
      <c r="T322" s="6" t="str">
        <f ca="1">IFERROR(__xludf.DUMMYFUNCTION("""COMPUTED_VALUE"""),"Sent.")</f>
        <v>Sent.</v>
      </c>
      <c r="U322" s="6"/>
      <c r="V322" s="6"/>
      <c r="W322" s="6"/>
      <c r="X322" s="6"/>
      <c r="Y322" s="6"/>
      <c r="Z322" s="6"/>
      <c r="AA322" s="6"/>
      <c r="AB322" s="6"/>
      <c r="AC322" s="6"/>
      <c r="AD322" s="6"/>
      <c r="AE322" s="6"/>
      <c r="AF322" s="6"/>
      <c r="AG322" s="6"/>
      <c r="AH322" s="6"/>
      <c r="AI322" s="6"/>
      <c r="AJ322" s="6"/>
      <c r="AK322" s="6"/>
      <c r="AL322" s="6"/>
    </row>
    <row r="323" spans="1:38">
      <c r="A323" s="96">
        <f ca="1">IFERROR(__xludf.DUMMYFUNCTION("""COMPUTED_VALUE"""),44272)</f>
        <v>44272</v>
      </c>
      <c r="B323" s="6" t="str">
        <f ca="1">IFERROR(__xludf.DUMMYFUNCTION("""COMPUTED_VALUE"""),"Gaurav Karhadkar")</f>
        <v>Gaurav Karhadkar</v>
      </c>
      <c r="C323" s="6" t="str">
        <f ca="1">IFERROR(__xludf.DUMMYFUNCTION("""COMPUTED_VALUE"""),"gauravkarhadkar@gmail.com")</f>
        <v>gauravkarhadkar@gmail.com</v>
      </c>
      <c r="D323" s="6">
        <f ca="1">IFERROR(__xludf.DUMMYFUNCTION("""COMPUTED_VALUE"""),8806340010)</f>
        <v>8806340010</v>
      </c>
      <c r="E323" s="6" t="str">
        <f ca="1">IFERROR(__xludf.DUMMYFUNCTION("""COMPUTED_VALUE"""),"Query box")</f>
        <v>Query box</v>
      </c>
      <c r="F323" s="6" t="str">
        <f ca="1">IFERROR(__xludf.DUMMYFUNCTION("""COMPUTED_VALUE"""),"PSPO")</f>
        <v>PSPO</v>
      </c>
      <c r="G323" s="80">
        <f ca="1">IFERROR(__xludf.DUMMYFUNCTION("""COMPUTED_VALUE"""),44256)</f>
        <v>44256</v>
      </c>
      <c r="H323" s="6" t="str">
        <f ca="1">IFERROR(__xludf.DUMMYFUNCTION("""COMPUTED_VALUE"""),"Opportunity")</f>
        <v>Opportunity</v>
      </c>
      <c r="I323" s="6" t="str">
        <f ca="1">IFERROR(__xludf.DUMMYFUNCTION("""COMPUTED_VALUE"""),"18-19 March 2021")</f>
        <v>18-19 March 2021</v>
      </c>
      <c r="J323" s="6">
        <f ca="1">IFERROR(__xludf.DUMMYFUNCTION("""COMPUTED_VALUE"""),1)</f>
        <v>1</v>
      </c>
      <c r="K323" s="8">
        <f ca="1">IFERROR(__xludf.DUMMYFUNCTION("""COMPUTED_VALUE"""),21000)</f>
        <v>21000</v>
      </c>
      <c r="L323" s="8">
        <f ca="1">IFERROR(__xludf.DUMMYFUNCTION("""COMPUTED_VALUE"""),240.494732020155)</f>
        <v>240.494732020155</v>
      </c>
      <c r="M323" s="96">
        <f ca="1">IFERROR(__xludf.DUMMYFUNCTION("""COMPUTED_VALUE"""),44282)</f>
        <v>44282</v>
      </c>
      <c r="N323" s="6"/>
      <c r="O323" s="97"/>
      <c r="P323" s="6"/>
      <c r="Q323" s="6"/>
      <c r="R323" s="6"/>
      <c r="S323" s="6" t="str">
        <f ca="1">IFERROR(__xludf.DUMMYFUNCTION("""COMPUTED_VALUE"""),"Category")</f>
        <v>Category</v>
      </c>
      <c r="T323" s="6"/>
      <c r="U323" s="6"/>
      <c r="V323" s="6"/>
      <c r="W323" s="6"/>
      <c r="X323" s="6"/>
      <c r="Y323" s="6"/>
      <c r="Z323" s="6"/>
      <c r="AA323" s="6"/>
      <c r="AB323" s="6"/>
      <c r="AC323" s="6"/>
      <c r="AD323" s="6"/>
      <c r="AE323" s="6"/>
      <c r="AF323" s="6"/>
      <c r="AG323" s="6"/>
      <c r="AH323" s="6"/>
      <c r="AI323" s="6"/>
      <c r="AJ323" s="6"/>
      <c r="AK323" s="6"/>
      <c r="AL323" s="6"/>
    </row>
    <row r="324" spans="1:38">
      <c r="A324" s="96">
        <f ca="1">IFERROR(__xludf.DUMMYFUNCTION("""COMPUTED_VALUE"""),44278)</f>
        <v>44278</v>
      </c>
      <c r="B324" s="6" t="str">
        <f ca="1">IFERROR(__xludf.DUMMYFUNCTION("""COMPUTED_VALUE"""),"Chirag Kumar")</f>
        <v>Chirag Kumar</v>
      </c>
      <c r="C324" s="6" t="str">
        <f ca="1">IFERROR(__xludf.DUMMYFUNCTION("""COMPUTED_VALUE"""),"chiragkumar_barot@yahoo.com")</f>
        <v>chiragkumar_barot@yahoo.com</v>
      </c>
      <c r="D324" s="6">
        <f ca="1">IFERROR(__xludf.DUMMYFUNCTION("""COMPUTED_VALUE"""),9426011036)</f>
        <v>9426011036</v>
      </c>
      <c r="E324" s="6" t="str">
        <f ca="1">IFERROR(__xludf.DUMMYFUNCTION("""COMPUTED_VALUE"""),"Reference")</f>
        <v>Reference</v>
      </c>
      <c r="F324" s="6" t="str">
        <f ca="1">IFERROR(__xludf.DUMMYFUNCTION("""COMPUTED_VALUE"""),"PSPO")</f>
        <v>PSPO</v>
      </c>
      <c r="G324" s="80">
        <f ca="1">IFERROR(__xludf.DUMMYFUNCTION("""COMPUTED_VALUE"""),44256)</f>
        <v>44256</v>
      </c>
      <c r="H324" s="6" t="str">
        <f ca="1">IFERROR(__xludf.DUMMYFUNCTION("""COMPUTED_VALUE"""),"Won")</f>
        <v>Won</v>
      </c>
      <c r="I324" s="6" t="str">
        <f ca="1">IFERROR(__xludf.DUMMYFUNCTION("""COMPUTED_VALUE"""),"24-25 July 2021")</f>
        <v>24-25 July 2021</v>
      </c>
      <c r="J324" s="6">
        <f ca="1">IFERROR(__xludf.DUMMYFUNCTION("""COMPUTED_VALUE"""),1)</f>
        <v>1</v>
      </c>
      <c r="K324" s="8">
        <f ca="1">IFERROR(__xludf.DUMMYFUNCTION("""COMPUTED_VALUE"""),21000)</f>
        <v>21000</v>
      </c>
      <c r="L324" s="8">
        <f ca="1">IFERROR(__xludf.DUMMYFUNCTION("""COMPUTED_VALUE"""),240.494732020155)</f>
        <v>240.494732020155</v>
      </c>
      <c r="M324" s="96">
        <f ca="1">IFERROR(__xludf.DUMMYFUNCTION("""COMPUTED_VALUE"""),44278)</f>
        <v>44278</v>
      </c>
      <c r="N324" s="6" t="str">
        <f ca="1">IFERROR(__xludf.DUMMYFUNCTION("""COMPUTED_VALUE"""),"W4")</f>
        <v>W4</v>
      </c>
      <c r="O324" s="97">
        <f ca="1">IFERROR(__xludf.DUMMYFUNCTION("""COMPUTED_VALUE"""),44278)</f>
        <v>44278</v>
      </c>
      <c r="P324" s="6" t="str">
        <f ca="1">IFERROR(__xludf.DUMMYFUNCTION("""COMPUTED_VALUE"""),"CSTM_9PBVZBUH6E0")</f>
        <v>CSTM_9PBVZBUH6E0</v>
      </c>
      <c r="Q324" s="6" t="str">
        <f ca="1">IFERROR(__xludf.DUMMYFUNCTION("""COMPUTED_VALUE"""),"Reference by Nehal Barot")</f>
        <v>Reference by Nehal Barot</v>
      </c>
      <c r="R324" s="6" t="str">
        <f ca="1">IFERROR(__xludf.DUMMYFUNCTION("""COMPUTED_VALUE"""),"Done. Good feedback.")</f>
        <v>Done. Good feedback.</v>
      </c>
      <c r="S324" s="6" t="str">
        <f ca="1">IFERROR(__xludf.DUMMYFUNCTION("""COMPUTED_VALUE"""),"Category")</f>
        <v>Category</v>
      </c>
      <c r="T324" s="6" t="str">
        <f ca="1">IFERROR(__xludf.DUMMYFUNCTION("""COMPUTED_VALUE"""),"Sent.")</f>
        <v>Sent.</v>
      </c>
      <c r="U324" s="6"/>
      <c r="V324" s="6"/>
      <c r="W324" s="6"/>
      <c r="X324" s="6"/>
      <c r="Y324" s="6"/>
      <c r="Z324" s="6"/>
      <c r="AA324" s="6"/>
      <c r="AB324" s="6"/>
      <c r="AC324" s="6"/>
      <c r="AD324" s="6"/>
      <c r="AE324" s="6"/>
      <c r="AF324" s="6"/>
      <c r="AG324" s="6"/>
      <c r="AH324" s="6"/>
      <c r="AI324" s="6"/>
      <c r="AJ324" s="6"/>
      <c r="AK324" s="6"/>
      <c r="AL324" s="6"/>
    </row>
    <row r="325" spans="1:38">
      <c r="A325" s="96">
        <f ca="1">IFERROR(__xludf.DUMMYFUNCTION("""COMPUTED_VALUE"""),44277)</f>
        <v>44277</v>
      </c>
      <c r="B325" s="6" t="str">
        <f ca="1">IFERROR(__xludf.DUMMYFUNCTION("""COMPUTED_VALUE"""),"Debarshi Roy")</f>
        <v>Debarshi Roy</v>
      </c>
      <c r="C325" s="6" t="str">
        <f ca="1">IFERROR(__xludf.DUMMYFUNCTION("""COMPUTED_VALUE"""),"debarshi_roy@hotmail.com")</f>
        <v>debarshi_roy@hotmail.com</v>
      </c>
      <c r="D325" s="6">
        <f ca="1">IFERROR(__xludf.DUMMYFUNCTION("""COMPUTED_VALUE"""),8104492391)</f>
        <v>8104492391</v>
      </c>
      <c r="E325" s="6" t="str">
        <f ca="1">IFERROR(__xludf.DUMMYFUNCTION("""COMPUTED_VALUE"""),"Query box")</f>
        <v>Query box</v>
      </c>
      <c r="F325" s="6" t="str">
        <f ca="1">IFERROR(__xludf.DUMMYFUNCTION("""COMPUTED_VALUE"""),"SAFe Agile")</f>
        <v>SAFe Agile</v>
      </c>
      <c r="G325" s="80">
        <f ca="1">IFERROR(__xludf.DUMMYFUNCTION("""COMPUTED_VALUE"""),44256)</f>
        <v>44256</v>
      </c>
      <c r="H325" s="6" t="str">
        <f ca="1">IFERROR(__xludf.DUMMYFUNCTION("""COMPUTED_VALUE"""),"Opportunity")</f>
        <v>Opportunity</v>
      </c>
      <c r="I325" s="6" t="str">
        <f ca="1">IFERROR(__xludf.DUMMYFUNCTION("""COMPUTED_VALUE"""),"27-28 March 2021")</f>
        <v>27-28 March 2021</v>
      </c>
      <c r="J325" s="6">
        <f ca="1">IFERROR(__xludf.DUMMYFUNCTION("""COMPUTED_VALUE"""),1)</f>
        <v>1</v>
      </c>
      <c r="K325" s="8">
        <f ca="1">IFERROR(__xludf.DUMMYFUNCTION("""COMPUTED_VALUE"""),45000)</f>
        <v>45000</v>
      </c>
      <c r="L325" s="8">
        <f ca="1">IFERROR(__xludf.DUMMYFUNCTION("""COMPUTED_VALUE"""),515.345854328905)</f>
        <v>515.34585432890503</v>
      </c>
      <c r="M325" s="96">
        <f ca="1">IFERROR(__xludf.DUMMYFUNCTION("""COMPUTED_VALUE"""),44278)</f>
        <v>44278</v>
      </c>
      <c r="N325" s="6"/>
      <c r="O325" s="97"/>
      <c r="P325" s="6"/>
      <c r="Q325" s="6"/>
      <c r="R325" s="6"/>
      <c r="S325" s="6" t="str">
        <f ca="1">IFERROR(__xludf.DUMMYFUNCTION("""COMPUTED_VALUE"""),"SAFe")</f>
        <v>SAFe</v>
      </c>
      <c r="T325" s="6"/>
      <c r="U325" s="6"/>
      <c r="V325" s="6"/>
      <c r="W325" s="6"/>
      <c r="X325" s="6"/>
      <c r="Y325" s="6"/>
      <c r="Z325" s="6"/>
      <c r="AA325" s="6"/>
      <c r="AB325" s="6"/>
      <c r="AC325" s="6"/>
      <c r="AD325" s="6"/>
      <c r="AE325" s="6"/>
      <c r="AF325" s="6"/>
      <c r="AG325" s="6"/>
      <c r="AH325" s="6"/>
      <c r="AI325" s="6"/>
      <c r="AJ325" s="6"/>
      <c r="AK325" s="6"/>
      <c r="AL325" s="6"/>
    </row>
    <row r="326" spans="1:38">
      <c r="A326" s="96">
        <f ca="1">IFERROR(__xludf.DUMMYFUNCTION("""COMPUTED_VALUE"""),44277)</f>
        <v>44277</v>
      </c>
      <c r="B326" s="6" t="str">
        <f ca="1">IFERROR(__xludf.DUMMYFUNCTION("""COMPUTED_VALUE"""),"Divya prakash")</f>
        <v>Divya prakash</v>
      </c>
      <c r="C326" s="6" t="str">
        <f ca="1">IFERROR(__xludf.DUMMYFUNCTION("""COMPUTED_VALUE"""),"divya75m@yahoo.com")</f>
        <v>divya75m@yahoo.com</v>
      </c>
      <c r="D326" s="6">
        <f ca="1">IFERROR(__xludf.DUMMYFUNCTION("""COMPUTED_VALUE"""),9845672908)</f>
        <v>9845672908</v>
      </c>
      <c r="E326" s="6" t="str">
        <f ca="1">IFERROR(__xludf.DUMMYFUNCTION("""COMPUTED_VALUE"""),"Query box")</f>
        <v>Query box</v>
      </c>
      <c r="F326" s="6" t="str">
        <f ca="1">IFERROR(__xludf.DUMMYFUNCTION("""COMPUTED_VALUE"""),"SAFe Agile")</f>
        <v>SAFe Agile</v>
      </c>
      <c r="G326" s="80">
        <f ca="1">IFERROR(__xludf.DUMMYFUNCTION("""COMPUTED_VALUE"""),44256)</f>
        <v>44256</v>
      </c>
      <c r="H326" s="6" t="str">
        <f ca="1">IFERROR(__xludf.DUMMYFUNCTION("""COMPUTED_VALUE"""),"Opportunity")</f>
        <v>Opportunity</v>
      </c>
      <c r="I326" s="6" t="str">
        <f ca="1">IFERROR(__xludf.DUMMYFUNCTION("""COMPUTED_VALUE"""),"27-28 March 2021")</f>
        <v>27-28 March 2021</v>
      </c>
      <c r="J326" s="6">
        <f ca="1">IFERROR(__xludf.DUMMYFUNCTION("""COMPUTED_VALUE"""),1)</f>
        <v>1</v>
      </c>
      <c r="K326" s="8">
        <f ca="1">IFERROR(__xludf.DUMMYFUNCTION("""COMPUTED_VALUE"""),45000)</f>
        <v>45000</v>
      </c>
      <c r="L326" s="8">
        <f ca="1">IFERROR(__xludf.DUMMYFUNCTION("""COMPUTED_VALUE"""),515.345854328905)</f>
        <v>515.34585432890503</v>
      </c>
      <c r="M326" s="96">
        <f ca="1">IFERROR(__xludf.DUMMYFUNCTION("""COMPUTED_VALUE"""),44280)</f>
        <v>44280</v>
      </c>
      <c r="N326" s="6"/>
      <c r="O326" s="97"/>
      <c r="P326" s="6"/>
      <c r="Q326" s="6"/>
      <c r="R326" s="6"/>
      <c r="S326" s="6" t="str">
        <f ca="1">IFERROR(__xludf.DUMMYFUNCTION("""COMPUTED_VALUE"""),"SAFe")</f>
        <v>SAFe</v>
      </c>
      <c r="T326" s="6"/>
      <c r="U326" s="6"/>
      <c r="V326" s="6"/>
      <c r="W326" s="6"/>
      <c r="X326" s="6"/>
      <c r="Y326" s="6"/>
      <c r="Z326" s="6"/>
      <c r="AA326" s="6"/>
      <c r="AB326" s="6"/>
      <c r="AC326" s="6"/>
      <c r="AD326" s="6"/>
      <c r="AE326" s="6"/>
      <c r="AF326" s="6"/>
      <c r="AG326" s="6"/>
      <c r="AH326" s="6"/>
      <c r="AI326" s="6"/>
      <c r="AJ326" s="6"/>
      <c r="AK326" s="6"/>
      <c r="AL326" s="6"/>
    </row>
    <row r="327" spans="1:38">
      <c r="A327" s="96">
        <f ca="1">IFERROR(__xludf.DUMMYFUNCTION("""COMPUTED_VALUE"""),44277)</f>
        <v>44277</v>
      </c>
      <c r="B327" s="6" t="str">
        <f ca="1">IFERROR(__xludf.DUMMYFUNCTION("""COMPUTED_VALUE"""),"Arun Kumar")</f>
        <v>Arun Kumar</v>
      </c>
      <c r="C327" s="6" t="str">
        <f ca="1">IFERROR(__xludf.DUMMYFUNCTION("""COMPUTED_VALUE"""),"ak.arunkumar2450@gmail.com")</f>
        <v>ak.arunkumar2450@gmail.com</v>
      </c>
      <c r="D327" s="6">
        <f ca="1">IFERROR(__xludf.DUMMYFUNCTION("""COMPUTED_VALUE"""),9791113976)</f>
        <v>9791113976</v>
      </c>
      <c r="E327" s="6" t="str">
        <f ca="1">IFERROR(__xludf.DUMMYFUNCTION("""COMPUTED_VALUE"""),"Account Repeat")</f>
        <v>Account Repeat</v>
      </c>
      <c r="F327" s="6" t="str">
        <f ca="1">IFERROR(__xludf.DUMMYFUNCTION("""COMPUTED_VALUE"""),"SAFe POPM")</f>
        <v>SAFe POPM</v>
      </c>
      <c r="G327" s="80">
        <f ca="1">IFERROR(__xludf.DUMMYFUNCTION("""COMPUTED_VALUE"""),44256)</f>
        <v>44256</v>
      </c>
      <c r="H327" s="6" t="str">
        <f ca="1">IFERROR(__xludf.DUMMYFUNCTION("""COMPUTED_VALUE"""),"Opportunity")</f>
        <v>Opportunity</v>
      </c>
      <c r="I327" s="6" t="str">
        <f ca="1">IFERROR(__xludf.DUMMYFUNCTION("""COMPUTED_VALUE"""),"April 2021")</f>
        <v>April 2021</v>
      </c>
      <c r="J327" s="6">
        <f ca="1">IFERROR(__xludf.DUMMYFUNCTION("""COMPUTED_VALUE"""),1)</f>
        <v>1</v>
      </c>
      <c r="K327" s="8">
        <f ca="1">IFERROR(__xludf.DUMMYFUNCTION("""COMPUTED_VALUE"""),50000)</f>
        <v>50000</v>
      </c>
      <c r="L327" s="8">
        <f ca="1">IFERROR(__xludf.DUMMYFUNCTION("""COMPUTED_VALUE"""),572.606504809894)</f>
        <v>572.60650480989398</v>
      </c>
      <c r="M327" s="96">
        <f ca="1">IFERROR(__xludf.DUMMYFUNCTION("""COMPUTED_VALUE"""),44285)</f>
        <v>44285</v>
      </c>
      <c r="N327" s="6"/>
      <c r="O327" s="97"/>
      <c r="P327" s="6"/>
      <c r="Q327" s="6"/>
      <c r="R327" s="6"/>
      <c r="S327" s="6" t="str">
        <f ca="1">IFERROR(__xludf.DUMMYFUNCTION("""COMPUTED_VALUE"""),"SAFe")</f>
        <v>SAFe</v>
      </c>
      <c r="T327" s="6"/>
      <c r="U327" s="6"/>
      <c r="V327" s="6"/>
      <c r="W327" s="6"/>
      <c r="X327" s="6"/>
      <c r="Y327" s="6"/>
      <c r="Z327" s="6"/>
      <c r="AA327" s="6"/>
      <c r="AB327" s="6"/>
      <c r="AC327" s="6"/>
      <c r="AD327" s="6"/>
      <c r="AE327" s="6"/>
      <c r="AF327" s="6"/>
      <c r="AG327" s="6"/>
      <c r="AH327" s="6"/>
      <c r="AI327" s="6"/>
      <c r="AJ327" s="6"/>
      <c r="AK327" s="6"/>
      <c r="AL327" s="6"/>
    </row>
    <row r="328" spans="1:38">
      <c r="A328" s="96">
        <f ca="1">IFERROR(__xludf.DUMMYFUNCTION("""COMPUTED_VALUE"""),44279)</f>
        <v>44279</v>
      </c>
      <c r="B328" s="6" t="str">
        <f ca="1">IFERROR(__xludf.DUMMYFUNCTION("""COMPUTED_VALUE"""),"Suman Mishra")</f>
        <v>Suman Mishra</v>
      </c>
      <c r="C328" s="6" t="str">
        <f ca="1">IFERROR(__xludf.DUMMYFUNCTION("""COMPUTED_VALUE"""),"sumanmishra1@yahoo.com")</f>
        <v>sumanmishra1@yahoo.com</v>
      </c>
      <c r="D328" s="6"/>
      <c r="E328" s="6" t="str">
        <f ca="1">IFERROR(__xludf.DUMMYFUNCTION("""COMPUTED_VALUE"""),"Reference")</f>
        <v>Reference</v>
      </c>
      <c r="F328" s="6" t="str">
        <f ca="1">IFERROR(__xludf.DUMMYFUNCTION("""COMPUTED_VALUE"""),"SAFe Agile")</f>
        <v>SAFe Agile</v>
      </c>
      <c r="G328" s="80">
        <f ca="1">IFERROR(__xludf.DUMMYFUNCTION("""COMPUTED_VALUE"""),44256)</f>
        <v>44256</v>
      </c>
      <c r="H328" s="6" t="str">
        <f ca="1">IFERROR(__xludf.DUMMYFUNCTION("""COMPUTED_VALUE"""),"Won")</f>
        <v>Won</v>
      </c>
      <c r="I328" s="6" t="str">
        <f ca="1">IFERROR(__xludf.DUMMYFUNCTION("""COMPUTED_VALUE"""),"27-28 March 2021")</f>
        <v>27-28 March 2021</v>
      </c>
      <c r="J328" s="6">
        <f ca="1">IFERROR(__xludf.DUMMYFUNCTION("""COMPUTED_VALUE"""),1)</f>
        <v>1</v>
      </c>
      <c r="K328" s="8">
        <f ca="1">IFERROR(__xludf.DUMMYFUNCTION("""COMPUTED_VALUE"""),43000)</f>
        <v>43000</v>
      </c>
      <c r="L328" s="8">
        <f ca="1">IFERROR(__xludf.DUMMYFUNCTION("""COMPUTED_VALUE"""),492.441594136509)</f>
        <v>492.44159413650902</v>
      </c>
      <c r="M328" s="96">
        <f ca="1">IFERROR(__xludf.DUMMYFUNCTION("""COMPUTED_VALUE"""),44279)</f>
        <v>44279</v>
      </c>
      <c r="N328" s="6" t="str">
        <f ca="1">IFERROR(__xludf.DUMMYFUNCTION("""COMPUTED_VALUE"""),"W4")</f>
        <v>W4</v>
      </c>
      <c r="O328" s="97">
        <f ca="1">IFERROR(__xludf.DUMMYFUNCTION("""COMPUTED_VALUE"""),44280)</f>
        <v>44280</v>
      </c>
      <c r="P328" s="6" t="str">
        <f ca="1">IFERROR(__xludf.DUMMYFUNCTION("""COMPUTED_VALUE"""),"CSTM_4GIQW5BJRMU")</f>
        <v>CSTM_4GIQW5BJRMU</v>
      </c>
      <c r="Q328" s="6" t="str">
        <f ca="1">IFERROR(__xludf.DUMMYFUNCTION("""COMPUTED_VALUE"""),"Reference by Praveen SAFe")</f>
        <v>Reference by Praveen SAFe</v>
      </c>
      <c r="R328" s="6" t="str">
        <f ca="1">IFERROR(__xludf.DUMMYFUNCTION("""COMPUTED_VALUE"""),"Pending")</f>
        <v>Pending</v>
      </c>
      <c r="S328" s="6" t="str">
        <f ca="1">IFERROR(__xludf.DUMMYFUNCTION("""COMPUTED_VALUE"""),"SAFe")</f>
        <v>SAFe</v>
      </c>
      <c r="T328" s="6" t="str">
        <f ca="1">IFERROR(__xludf.DUMMYFUNCTION("""COMPUTED_VALUE"""),"Referee's email id already present in the system.")</f>
        <v>Referee's email id already present in the system.</v>
      </c>
      <c r="U328" s="6"/>
      <c r="V328" s="6"/>
      <c r="W328" s="6"/>
      <c r="X328" s="6"/>
      <c r="Y328" s="6"/>
      <c r="Z328" s="6"/>
      <c r="AA328" s="6"/>
      <c r="AB328" s="6"/>
      <c r="AC328" s="6"/>
      <c r="AD328" s="6"/>
      <c r="AE328" s="6"/>
      <c r="AF328" s="6"/>
      <c r="AG328" s="6"/>
      <c r="AH328" s="6"/>
      <c r="AI328" s="6"/>
      <c r="AJ328" s="6"/>
      <c r="AK328" s="6"/>
      <c r="AL328" s="6"/>
    </row>
    <row r="329" spans="1:38">
      <c r="A329" s="96">
        <f ca="1">IFERROR(__xludf.DUMMYFUNCTION("""COMPUTED_VALUE"""),44281)</f>
        <v>44281</v>
      </c>
      <c r="B329" s="6" t="str">
        <f ca="1">IFERROR(__xludf.DUMMYFUNCTION("""COMPUTED_VALUE"""),"Priyesh")</f>
        <v>Priyesh</v>
      </c>
      <c r="C329" s="6" t="str">
        <f ca="1">IFERROR(__xludf.DUMMYFUNCTION("""COMPUTED_VALUE"""),"ki.priyesh@gmail.com")</f>
        <v>ki.priyesh@gmail.com</v>
      </c>
      <c r="D329" s="6">
        <f ca="1">IFERROR(__xludf.DUMMYFUNCTION("""COMPUTED_VALUE"""),9029707813)</f>
        <v>9029707813</v>
      </c>
      <c r="E329" s="6" t="str">
        <f ca="1">IFERROR(__xludf.DUMMYFUNCTION("""COMPUTED_VALUE"""),"Account")</f>
        <v>Account</v>
      </c>
      <c r="F329" s="6" t="str">
        <f ca="1">IFERROR(__xludf.DUMMYFUNCTION("""COMPUTED_VALUE"""),"CSPO")</f>
        <v>CSPO</v>
      </c>
      <c r="G329" s="80">
        <f ca="1">IFERROR(__xludf.DUMMYFUNCTION("""COMPUTED_VALUE"""),44256)</f>
        <v>44256</v>
      </c>
      <c r="H329" s="6" t="str">
        <f ca="1">IFERROR(__xludf.DUMMYFUNCTION("""COMPUTED_VALUE"""),"Won")</f>
        <v>Won</v>
      </c>
      <c r="I329" s="6" t="str">
        <f ca="1">IFERROR(__xludf.DUMMYFUNCTION("""COMPUTED_VALUE"""),"27-28 March 2021")</f>
        <v>27-28 March 2021</v>
      </c>
      <c r="J329" s="6">
        <f ca="1">IFERROR(__xludf.DUMMYFUNCTION("""COMPUTED_VALUE"""),1)</f>
        <v>1</v>
      </c>
      <c r="K329" s="8">
        <f ca="1">IFERROR(__xludf.DUMMYFUNCTION("""COMPUTED_VALUE"""),20000)</f>
        <v>20000</v>
      </c>
      <c r="L329" s="8">
        <f ca="1">IFERROR(__xludf.DUMMYFUNCTION("""COMPUTED_VALUE"""),229.042601923957)</f>
        <v>229.04260192395699</v>
      </c>
      <c r="M329" s="96">
        <f ca="1">IFERROR(__xludf.DUMMYFUNCTION("""COMPUTED_VALUE"""),44281)</f>
        <v>44281</v>
      </c>
      <c r="N329" s="6" t="str">
        <f ca="1">IFERROR(__xludf.DUMMYFUNCTION("""COMPUTED_VALUE"""),"W4")</f>
        <v>W4</v>
      </c>
      <c r="O329" s="97">
        <f ca="1">IFERROR(__xludf.DUMMYFUNCTION("""COMPUTED_VALUE"""),44281)</f>
        <v>44281</v>
      </c>
      <c r="P329" s="6" t="str">
        <f ca="1">IFERROR(__xludf.DUMMYFUNCTION("""COMPUTED_VALUE"""),"CSTM_DZV3KGUD7XA")</f>
        <v>CSTM_DZV3KGUD7XA</v>
      </c>
      <c r="Q329" s="6"/>
      <c r="R329" s="6" t="str">
        <f ca="1">IFERROR(__xludf.DUMMYFUNCTION("""COMPUTED_VALUE"""),"Done. Good feedback.")</f>
        <v>Done. Good feedback.</v>
      </c>
      <c r="S329" s="6" t="str">
        <f ca="1">IFERROR(__xludf.DUMMYFUNCTION("""COMPUTED_VALUE"""),"Category")</f>
        <v>Category</v>
      </c>
      <c r="T329" s="6"/>
      <c r="U329" s="6"/>
      <c r="V329" s="6"/>
      <c r="W329" s="6"/>
      <c r="X329" s="6"/>
      <c r="Y329" s="6"/>
      <c r="Z329" s="6"/>
      <c r="AA329" s="6"/>
      <c r="AB329" s="6"/>
      <c r="AC329" s="6"/>
      <c r="AD329" s="6"/>
      <c r="AE329" s="6"/>
      <c r="AF329" s="6"/>
      <c r="AG329" s="6"/>
      <c r="AH329" s="6"/>
      <c r="AI329" s="6"/>
      <c r="AJ329" s="6"/>
      <c r="AK329" s="6"/>
      <c r="AL329" s="6"/>
    </row>
    <row r="330" spans="1:38">
      <c r="A330" s="96">
        <f ca="1">IFERROR(__xludf.DUMMYFUNCTION("""COMPUTED_VALUE"""),44281)</f>
        <v>44281</v>
      </c>
      <c r="B330" s="6" t="str">
        <f ca="1">IFERROR(__xludf.DUMMYFUNCTION("""COMPUTED_VALUE"""),"Prem Raj")</f>
        <v>Prem Raj</v>
      </c>
      <c r="C330" s="6" t="str">
        <f ca="1">IFERROR(__xludf.DUMMYFUNCTION("""COMPUTED_VALUE"""),"premsmailbox@yahoo.com")</f>
        <v>premsmailbox@yahoo.com</v>
      </c>
      <c r="D330" s="6">
        <f ca="1">IFERROR(__xludf.DUMMYFUNCTION("""COMPUTED_VALUE"""),9686679821)</f>
        <v>9686679821</v>
      </c>
      <c r="E330" s="6" t="str">
        <f ca="1">IFERROR(__xludf.DUMMYFUNCTION("""COMPUTED_VALUE"""),"Tollfree")</f>
        <v>Tollfree</v>
      </c>
      <c r="F330" s="6" t="str">
        <f ca="1">IFERROR(__xludf.DUMMYFUNCTION("""COMPUTED_VALUE"""),"PMP Renewal Pack")</f>
        <v>PMP Renewal Pack</v>
      </c>
      <c r="G330" s="80">
        <f ca="1">IFERROR(__xludf.DUMMYFUNCTION("""COMPUTED_VALUE"""),44256)</f>
        <v>44256</v>
      </c>
      <c r="H330" s="6" t="str">
        <f ca="1">IFERROR(__xludf.DUMMYFUNCTION("""COMPUTED_VALUE"""),"Won")</f>
        <v>Won</v>
      </c>
      <c r="I330" s="6" t="str">
        <f ca="1">IFERROR(__xludf.DUMMYFUNCTION("""COMPUTED_VALUE"""),"OSL")</f>
        <v>OSL</v>
      </c>
      <c r="J330" s="6">
        <f ca="1">IFERROR(__xludf.DUMMYFUNCTION("""COMPUTED_VALUE"""),1)</f>
        <v>1</v>
      </c>
      <c r="K330" s="8">
        <f ca="1">IFERROR(__xludf.DUMMYFUNCTION("""COMPUTED_VALUE"""),8000)</f>
        <v>8000</v>
      </c>
      <c r="L330" s="8">
        <f ca="1">IFERROR(__xludf.DUMMYFUNCTION("""COMPUTED_VALUE"""),91.6170407695831)</f>
        <v>91.617040769583099</v>
      </c>
      <c r="M330" s="96">
        <f ca="1">IFERROR(__xludf.DUMMYFUNCTION("""COMPUTED_VALUE"""),44281)</f>
        <v>44281</v>
      </c>
      <c r="N330" s="6" t="str">
        <f ca="1">IFERROR(__xludf.DUMMYFUNCTION("""COMPUTED_VALUE"""),"W4")</f>
        <v>W4</v>
      </c>
      <c r="O330" s="97">
        <f ca="1">IFERROR(__xludf.DUMMYFUNCTION("""COMPUTED_VALUE"""),44281)</f>
        <v>44281</v>
      </c>
      <c r="P330" s="6" t="str">
        <f ca="1">IFERROR(__xludf.DUMMYFUNCTION("""COMPUTED_VALUE"""),"CSTM_6I84JYR52Q0")</f>
        <v>CSTM_6I84JYR52Q0</v>
      </c>
      <c r="Q330" s="6"/>
      <c r="R330" s="6"/>
      <c r="S330" s="6" t="str">
        <f ca="1">IFERROR(__xludf.DUMMYFUNCTION("""COMPUTED_VALUE"""),"NonCategory")</f>
        <v>NonCategory</v>
      </c>
      <c r="T330" s="6"/>
      <c r="U330" s="6"/>
      <c r="V330" s="6"/>
      <c r="W330" s="6"/>
      <c r="X330" s="6"/>
      <c r="Y330" s="6"/>
      <c r="Z330" s="6"/>
      <c r="AA330" s="6"/>
      <c r="AB330" s="6"/>
      <c r="AC330" s="6"/>
      <c r="AD330" s="6"/>
      <c r="AE330" s="6"/>
      <c r="AF330" s="6"/>
      <c r="AG330" s="6"/>
      <c r="AH330" s="6"/>
      <c r="AI330" s="6"/>
      <c r="AJ330" s="6"/>
      <c r="AK330" s="6"/>
      <c r="AL330" s="6"/>
    </row>
    <row r="331" spans="1:38">
      <c r="A331" s="96">
        <f ca="1">IFERROR(__xludf.DUMMYFUNCTION("""COMPUTED_VALUE"""),44284)</f>
        <v>44284</v>
      </c>
      <c r="B331" s="6" t="str">
        <f ca="1">IFERROR(__xludf.DUMMYFUNCTION("""COMPUTED_VALUE"""),"Deepthi Narayankutty")</f>
        <v>Deepthi Narayankutty</v>
      </c>
      <c r="C331" s="6" t="str">
        <f ca="1">IFERROR(__xludf.DUMMYFUNCTION("""COMPUTED_VALUE"""),"deepthi.narayanankutty@gmail.com")</f>
        <v>deepthi.narayanankutty@gmail.com</v>
      </c>
      <c r="D331" s="6">
        <f ca="1">IFERROR(__xludf.DUMMYFUNCTION("""COMPUTED_VALUE"""),9916757127)</f>
        <v>9916757127</v>
      </c>
      <c r="E331" s="6" t="str">
        <f ca="1">IFERROR(__xludf.DUMMYFUNCTION("""COMPUTED_VALUE"""),"Reference")</f>
        <v>Reference</v>
      </c>
      <c r="F331" s="6" t="str">
        <f ca="1">IFERROR(__xludf.DUMMYFUNCTION("""COMPUTED_VALUE"""),"CSPO")</f>
        <v>CSPO</v>
      </c>
      <c r="G331" s="80">
        <f ca="1">IFERROR(__xludf.DUMMYFUNCTION("""COMPUTED_VALUE"""),44256)</f>
        <v>44256</v>
      </c>
      <c r="H331" s="6" t="str">
        <f ca="1">IFERROR(__xludf.DUMMYFUNCTION("""COMPUTED_VALUE"""),"Won")</f>
        <v>Won</v>
      </c>
      <c r="I331" s="6" t="str">
        <f ca="1">IFERROR(__xludf.DUMMYFUNCTION("""COMPUTED_VALUE"""),"17-18 April 2021")</f>
        <v>17-18 April 2021</v>
      </c>
      <c r="J331" s="6">
        <f ca="1">IFERROR(__xludf.DUMMYFUNCTION("""COMPUTED_VALUE"""),1)</f>
        <v>1</v>
      </c>
      <c r="K331" s="8">
        <f ca="1">IFERROR(__xludf.DUMMYFUNCTION("""COMPUTED_VALUE"""),20000)</f>
        <v>20000</v>
      </c>
      <c r="L331" s="8">
        <f ca="1">IFERROR(__xludf.DUMMYFUNCTION("""COMPUTED_VALUE"""),229.042601923957)</f>
        <v>229.04260192395699</v>
      </c>
      <c r="M331" s="96">
        <f ca="1">IFERROR(__xludf.DUMMYFUNCTION("""COMPUTED_VALUE"""),44284)</f>
        <v>44284</v>
      </c>
      <c r="N331" s="6" t="str">
        <f ca="1">IFERROR(__xludf.DUMMYFUNCTION("""COMPUTED_VALUE"""),"W5")</f>
        <v>W5</v>
      </c>
      <c r="O331" s="97">
        <f ca="1">IFERROR(__xludf.DUMMYFUNCTION("""COMPUTED_VALUE"""),44284)</f>
        <v>44284</v>
      </c>
      <c r="P331" s="6" t="str">
        <f ca="1">IFERROR(__xludf.DUMMYFUNCTION("""COMPUTED_VALUE"""),"CSTM_B0KCEF440CY")</f>
        <v>CSTM_B0KCEF440CY</v>
      </c>
      <c r="Q331" s="6" t="str">
        <f ca="1">IFERROR(__xludf.DUMMYFUNCTION("""COMPUTED_VALUE"""),"Reference by Praveen Nair")</f>
        <v>Reference by Praveen Nair</v>
      </c>
      <c r="R331" s="6" t="str">
        <f ca="1">IFERROR(__xludf.DUMMYFUNCTION("""COMPUTED_VALUE"""),"Pending")</f>
        <v>Pending</v>
      </c>
      <c r="S331" s="6" t="str">
        <f ca="1">IFERROR(__xludf.DUMMYFUNCTION("""COMPUTED_VALUE"""),"Category")</f>
        <v>Category</v>
      </c>
      <c r="T331" s="6" t="str">
        <f ca="1">IFERROR(__xludf.DUMMYFUNCTION("""COMPUTED_VALUE"""),"Sent.")</f>
        <v>Sent.</v>
      </c>
      <c r="U331" s="6"/>
      <c r="V331" s="6"/>
      <c r="W331" s="6"/>
      <c r="X331" s="6"/>
      <c r="Y331" s="6"/>
      <c r="Z331" s="6"/>
      <c r="AA331" s="6"/>
      <c r="AB331" s="6"/>
      <c r="AC331" s="6"/>
      <c r="AD331" s="6"/>
      <c r="AE331" s="6"/>
      <c r="AF331" s="6"/>
      <c r="AG331" s="6"/>
      <c r="AH331" s="6"/>
      <c r="AI331" s="6"/>
      <c r="AJ331" s="6"/>
      <c r="AK331" s="6"/>
      <c r="AL331" s="6"/>
    </row>
    <row r="332" spans="1:38">
      <c r="A332" s="96">
        <f ca="1">IFERROR(__xludf.DUMMYFUNCTION("""COMPUTED_VALUE"""),44284)</f>
        <v>44284</v>
      </c>
      <c r="B332" s="6" t="str">
        <f ca="1">IFERROR(__xludf.DUMMYFUNCTION("""COMPUTED_VALUE"""),"Rashmi Shrivastava")</f>
        <v>Rashmi Shrivastava</v>
      </c>
      <c r="C332" s="6" t="str">
        <f ca="1">IFERROR(__xludf.DUMMYFUNCTION("""COMPUTED_VALUE"""),"rashmi.shrivastava16@gmail.com")</f>
        <v>rashmi.shrivastava16@gmail.com</v>
      </c>
      <c r="D332" s="6">
        <f ca="1">IFERROR(__xludf.DUMMYFUNCTION("""COMPUTED_VALUE"""),9953130460)</f>
        <v>9953130460</v>
      </c>
      <c r="E332" s="6" t="str">
        <f ca="1">IFERROR(__xludf.DUMMYFUNCTION("""COMPUTED_VALUE"""),"Chat_triggered")</f>
        <v>Chat_triggered</v>
      </c>
      <c r="F332" s="6" t="str">
        <f ca="1">IFERROR(__xludf.DUMMYFUNCTION("""COMPUTED_VALUE"""),"PSM")</f>
        <v>PSM</v>
      </c>
      <c r="G332" s="80">
        <f ca="1">IFERROR(__xludf.DUMMYFUNCTION("""COMPUTED_VALUE"""),44256)</f>
        <v>44256</v>
      </c>
      <c r="H332" s="6" t="str">
        <f ca="1">IFERROR(__xludf.DUMMYFUNCTION("""COMPUTED_VALUE"""),"Won")</f>
        <v>Won</v>
      </c>
      <c r="I332" s="6" t="str">
        <f ca="1">IFERROR(__xludf.DUMMYFUNCTION("""COMPUTED_VALUE"""),"3-4 April 2021")</f>
        <v>3-4 April 2021</v>
      </c>
      <c r="J332" s="6">
        <f ca="1">IFERROR(__xludf.DUMMYFUNCTION("""COMPUTED_VALUE"""),1)</f>
        <v>1</v>
      </c>
      <c r="K332" s="8">
        <f ca="1">IFERROR(__xludf.DUMMYFUNCTION("""COMPUTED_VALUE"""),21000)</f>
        <v>21000</v>
      </c>
      <c r="L332" s="8">
        <f ca="1">IFERROR(__xludf.DUMMYFUNCTION("""COMPUTED_VALUE"""),240.494732020155)</f>
        <v>240.494732020155</v>
      </c>
      <c r="M332" s="96">
        <f ca="1">IFERROR(__xludf.DUMMYFUNCTION("""COMPUTED_VALUE"""),44284)</f>
        <v>44284</v>
      </c>
      <c r="N332" s="6" t="str">
        <f ca="1">IFERROR(__xludf.DUMMYFUNCTION("""COMPUTED_VALUE"""),"W5")</f>
        <v>W5</v>
      </c>
      <c r="O332" s="97">
        <f ca="1">IFERROR(__xludf.DUMMYFUNCTION("""COMPUTED_VALUE"""),44284)</f>
        <v>44284</v>
      </c>
      <c r="P332" s="6" t="str">
        <f ca="1">IFERROR(__xludf.DUMMYFUNCTION("""COMPUTED_VALUE"""),"CSTM_IO5ABKXT2QI")</f>
        <v>CSTM_IO5ABKXT2QI</v>
      </c>
      <c r="Q332" s="6"/>
      <c r="R332" s="6" t="str">
        <f ca="1">IFERROR(__xludf.DUMMYFUNCTION("""COMPUTED_VALUE"""),"Pending")</f>
        <v>Pending</v>
      </c>
      <c r="S332" s="6" t="str">
        <f ca="1">IFERROR(__xludf.DUMMYFUNCTION("""COMPUTED_VALUE"""),"Category")</f>
        <v>Category</v>
      </c>
      <c r="T332" s="6"/>
      <c r="U332" s="6"/>
      <c r="V332" s="6"/>
      <c r="W332" s="6"/>
      <c r="X332" s="6"/>
      <c r="Y332" s="6"/>
      <c r="Z332" s="6"/>
      <c r="AA332" s="6"/>
      <c r="AB332" s="6"/>
      <c r="AC332" s="6"/>
      <c r="AD332" s="6"/>
      <c r="AE332" s="6"/>
      <c r="AF332" s="6"/>
      <c r="AG332" s="6"/>
      <c r="AH332" s="6"/>
      <c r="AI332" s="6"/>
      <c r="AJ332" s="6"/>
      <c r="AK332" s="6"/>
      <c r="AL332" s="6"/>
    </row>
    <row r="333" spans="1:38">
      <c r="A333" s="96">
        <f ca="1">IFERROR(__xludf.DUMMYFUNCTION("""COMPUTED_VALUE"""),44282)</f>
        <v>44282</v>
      </c>
      <c r="B333" s="6" t="str">
        <f ca="1">IFERROR(__xludf.DUMMYFUNCTION("""COMPUTED_VALUE"""),"Shravya Rao")</f>
        <v>Shravya Rao</v>
      </c>
      <c r="C333" s="6" t="str">
        <f ca="1">IFERROR(__xludf.DUMMYFUNCTION("""COMPUTED_VALUE"""),"shravyarao@gmail.com")</f>
        <v>shravyarao@gmail.com</v>
      </c>
      <c r="D333" s="6">
        <f ca="1">IFERROR(__xludf.DUMMYFUNCTION("""COMPUTED_VALUE"""),9133423333)</f>
        <v>9133423333</v>
      </c>
      <c r="E333" s="6" t="str">
        <f ca="1">IFERROR(__xludf.DUMMYFUNCTION("""COMPUTED_VALUE"""),"course agenda")</f>
        <v>course agenda</v>
      </c>
      <c r="F333" s="6" t="str">
        <f ca="1">IFERROR(__xludf.DUMMYFUNCTION("""COMPUTED_VALUE"""),"SAFe Agile")</f>
        <v>SAFe Agile</v>
      </c>
      <c r="G333" s="80">
        <f ca="1">IFERROR(__xludf.DUMMYFUNCTION("""COMPUTED_VALUE"""),44256)</f>
        <v>44256</v>
      </c>
      <c r="H333" s="6" t="str">
        <f ca="1">IFERROR(__xludf.DUMMYFUNCTION("""COMPUTED_VALUE"""),"Won")</f>
        <v>Won</v>
      </c>
      <c r="I333" s="6" t="str">
        <f ca="1">IFERROR(__xludf.DUMMYFUNCTION("""COMPUTED_VALUE"""),"22-23 May 2021")</f>
        <v>22-23 May 2021</v>
      </c>
      <c r="J333" s="6">
        <f ca="1">IFERROR(__xludf.DUMMYFUNCTION("""COMPUTED_VALUE"""),1)</f>
        <v>1</v>
      </c>
      <c r="K333" s="8">
        <f ca="1">IFERROR(__xludf.DUMMYFUNCTION("""COMPUTED_VALUE"""),45000)</f>
        <v>45000</v>
      </c>
      <c r="L333" s="8">
        <f ca="1">IFERROR(__xludf.DUMMYFUNCTION("""COMPUTED_VALUE"""),515.345854328905)</f>
        <v>515.34585432890503</v>
      </c>
      <c r="M333" s="96">
        <f ca="1">IFERROR(__xludf.DUMMYFUNCTION("""COMPUTED_VALUE"""),44284)</f>
        <v>44284</v>
      </c>
      <c r="N333" s="6" t="str">
        <f ca="1">IFERROR(__xludf.DUMMYFUNCTION("""COMPUTED_VALUE"""),"W5")</f>
        <v>W5</v>
      </c>
      <c r="O333" s="97">
        <f ca="1">IFERROR(__xludf.DUMMYFUNCTION("""COMPUTED_VALUE"""),44284)</f>
        <v>44284</v>
      </c>
      <c r="P333" s="6" t="str">
        <f ca="1">IFERROR(__xludf.DUMMYFUNCTION("""COMPUTED_VALUE"""),"CSTM_9J8GP48RUKH")</f>
        <v>CSTM_9J8GP48RUKH</v>
      </c>
      <c r="Q333" s="6"/>
      <c r="R333" s="6" t="str">
        <f ca="1">IFERROR(__xludf.DUMMYFUNCTION("""COMPUTED_VALUE"""),"Pending")</f>
        <v>Pending</v>
      </c>
      <c r="S333" s="6" t="str">
        <f ca="1">IFERROR(__xludf.DUMMYFUNCTION("""COMPUTED_VALUE"""),"SAFe")</f>
        <v>SAFe</v>
      </c>
      <c r="T333" s="6"/>
      <c r="U333" s="6"/>
      <c r="V333" s="6"/>
      <c r="W333" s="6"/>
      <c r="X333" s="6"/>
      <c r="Y333" s="6"/>
      <c r="Z333" s="6"/>
      <c r="AA333" s="6"/>
      <c r="AB333" s="6"/>
      <c r="AC333" s="6"/>
      <c r="AD333" s="6"/>
      <c r="AE333" s="6"/>
      <c r="AF333" s="6"/>
      <c r="AG333" s="6"/>
      <c r="AH333" s="6"/>
      <c r="AI333" s="6"/>
      <c r="AJ333" s="6"/>
      <c r="AK333" s="6"/>
      <c r="AL333" s="6"/>
    </row>
    <row r="334" spans="1:38">
      <c r="A334" s="96">
        <f ca="1">IFERROR(__xludf.DUMMYFUNCTION("""COMPUTED_VALUE"""),44284)</f>
        <v>44284</v>
      </c>
      <c r="B334" s="6" t="str">
        <f ca="1">IFERROR(__xludf.DUMMYFUNCTION("""COMPUTED_VALUE"""),"Neha Pathak")</f>
        <v>Neha Pathak</v>
      </c>
      <c r="C334" s="6" t="str">
        <f ca="1">IFERROR(__xludf.DUMMYFUNCTION("""COMPUTED_VALUE"""),"pathakneha84@gmail.com")</f>
        <v>pathakneha84@gmail.com</v>
      </c>
      <c r="D334" s="6">
        <f ca="1">IFERROR(__xludf.DUMMYFUNCTION("""COMPUTED_VALUE"""),9665741114)</f>
        <v>9665741114</v>
      </c>
      <c r="E334" s="6" t="str">
        <f ca="1">IFERROR(__xludf.DUMMYFUNCTION("""COMPUTED_VALUE"""),"Chat_triggered")</f>
        <v>Chat_triggered</v>
      </c>
      <c r="F334" s="6" t="str">
        <f ca="1">IFERROR(__xludf.DUMMYFUNCTION("""COMPUTED_VALUE"""),"PSM")</f>
        <v>PSM</v>
      </c>
      <c r="G334" s="80">
        <f ca="1">IFERROR(__xludf.DUMMYFUNCTION("""COMPUTED_VALUE"""),44256)</f>
        <v>44256</v>
      </c>
      <c r="H334" s="6" t="str">
        <f ca="1">IFERROR(__xludf.DUMMYFUNCTION("""COMPUTED_VALUE"""),"Won")</f>
        <v>Won</v>
      </c>
      <c r="I334" s="6" t="str">
        <f ca="1">IFERROR(__xludf.DUMMYFUNCTION("""COMPUTED_VALUE"""),"3-4 April 2021")</f>
        <v>3-4 April 2021</v>
      </c>
      <c r="J334" s="6">
        <f ca="1">IFERROR(__xludf.DUMMYFUNCTION("""COMPUTED_VALUE"""),1)</f>
        <v>1</v>
      </c>
      <c r="K334" s="8">
        <f ca="1">IFERROR(__xludf.DUMMYFUNCTION("""COMPUTED_VALUE"""),20500)</f>
        <v>20500</v>
      </c>
      <c r="L334" s="8">
        <f ca="1">IFERROR(__xludf.DUMMYFUNCTION("""COMPUTED_VALUE"""),234.768666972056)</f>
        <v>234.768666972056</v>
      </c>
      <c r="M334" s="96">
        <f ca="1">IFERROR(__xludf.DUMMYFUNCTION("""COMPUTED_VALUE"""),44284)</f>
        <v>44284</v>
      </c>
      <c r="N334" s="6" t="str">
        <f ca="1">IFERROR(__xludf.DUMMYFUNCTION("""COMPUTED_VALUE"""),"W5")</f>
        <v>W5</v>
      </c>
      <c r="O334" s="97">
        <f ca="1">IFERROR(__xludf.DUMMYFUNCTION("""COMPUTED_VALUE"""),44285)</f>
        <v>44285</v>
      </c>
      <c r="P334" s="6" t="str">
        <f ca="1">IFERROR(__xludf.DUMMYFUNCTION("""COMPUTED_VALUE"""),"CSTM_87HOVW0WSQG")</f>
        <v>CSTM_87HOVW0WSQG</v>
      </c>
      <c r="Q334" s="6"/>
      <c r="R334" s="6"/>
      <c r="S334" s="6" t="str">
        <f ca="1">IFERROR(__xludf.DUMMYFUNCTION("""COMPUTED_VALUE"""),"Category")</f>
        <v>Category</v>
      </c>
      <c r="T334" s="6"/>
      <c r="U334" s="6"/>
      <c r="V334" s="6"/>
      <c r="W334" s="6"/>
      <c r="X334" s="6"/>
      <c r="Y334" s="6"/>
      <c r="Z334" s="6"/>
      <c r="AA334" s="6"/>
      <c r="AB334" s="6"/>
      <c r="AC334" s="6"/>
      <c r="AD334" s="6"/>
      <c r="AE334" s="6"/>
      <c r="AF334" s="6"/>
      <c r="AG334" s="6"/>
      <c r="AH334" s="6"/>
      <c r="AI334" s="6"/>
      <c r="AJ334" s="6"/>
      <c r="AK334" s="6"/>
      <c r="AL334" s="6"/>
    </row>
    <row r="335" spans="1:38">
      <c r="A335" s="96">
        <f ca="1">IFERROR(__xludf.DUMMYFUNCTION("""COMPUTED_VALUE"""),44284)</f>
        <v>44284</v>
      </c>
      <c r="B335" s="6" t="str">
        <f ca="1">IFERROR(__xludf.DUMMYFUNCTION("""COMPUTED_VALUE"""),"Mohit Bhatla")</f>
        <v>Mohit Bhatla</v>
      </c>
      <c r="C335" s="6" t="str">
        <f ca="1">IFERROR(__xludf.DUMMYFUNCTION("""COMPUTED_VALUE"""),"bhatlamohit@hotmail.com")</f>
        <v>bhatlamohit@hotmail.com</v>
      </c>
      <c r="D335" s="6">
        <f ca="1">IFERROR(__xludf.DUMMYFUNCTION("""COMPUTED_VALUE"""),9650115075)</f>
        <v>9650115075</v>
      </c>
      <c r="E335" s="6" t="str">
        <f ca="1">IFERROR(__xludf.DUMMYFUNCTION("""COMPUTED_VALUE"""),"chat_initiated")</f>
        <v>chat_initiated</v>
      </c>
      <c r="F335" s="6" t="str">
        <f ca="1">IFERROR(__xludf.DUMMYFUNCTION("""COMPUTED_VALUE"""),"SAFe Agile")</f>
        <v>SAFe Agile</v>
      </c>
      <c r="G335" s="80">
        <f ca="1">IFERROR(__xludf.DUMMYFUNCTION("""COMPUTED_VALUE"""),44256)</f>
        <v>44256</v>
      </c>
      <c r="H335" s="6" t="str">
        <f ca="1">IFERROR(__xludf.DUMMYFUNCTION("""COMPUTED_VALUE"""),"Won")</f>
        <v>Won</v>
      </c>
      <c r="I335" s="6" t="str">
        <f ca="1">IFERROR(__xludf.DUMMYFUNCTION("""COMPUTED_VALUE"""),"3-4 April 2021")</f>
        <v>3-4 April 2021</v>
      </c>
      <c r="J335" s="6">
        <f ca="1">IFERROR(__xludf.DUMMYFUNCTION("""COMPUTED_VALUE"""),1)</f>
        <v>1</v>
      </c>
      <c r="K335" s="8">
        <f ca="1">IFERROR(__xludf.DUMMYFUNCTION("""COMPUTED_VALUE"""),23000)</f>
        <v>23000</v>
      </c>
      <c r="L335" s="8">
        <f ca="1">IFERROR(__xludf.DUMMYFUNCTION("""COMPUTED_VALUE"""),263.398992212551)</f>
        <v>263.39899221255098</v>
      </c>
      <c r="M335" s="96">
        <f ca="1">IFERROR(__xludf.DUMMYFUNCTION("""COMPUTED_VALUE"""),44284)</f>
        <v>44284</v>
      </c>
      <c r="N335" s="6" t="str">
        <f ca="1">IFERROR(__xludf.DUMMYFUNCTION("""COMPUTED_VALUE"""),"W5")</f>
        <v>W5</v>
      </c>
      <c r="O335" s="97">
        <f ca="1">IFERROR(__xludf.DUMMYFUNCTION("""COMPUTED_VALUE"""),44285)</f>
        <v>44285</v>
      </c>
      <c r="P335" s="6" t="str">
        <f ca="1">IFERROR(__xludf.DUMMYFUNCTION("""COMPUTED_VALUE"""),"CSTM_7DTBZXPD95")</f>
        <v>CSTM_7DTBZXPD95</v>
      </c>
      <c r="Q335" s="6"/>
      <c r="R335" s="6" t="str">
        <f ca="1">IFERROR(__xludf.DUMMYFUNCTION("""COMPUTED_VALUE"""),"Done. Good feedback.")</f>
        <v>Done. Good feedback.</v>
      </c>
      <c r="S335" s="6" t="str">
        <f ca="1">IFERROR(__xludf.DUMMYFUNCTION("""COMPUTED_VALUE"""),"SAFe")</f>
        <v>SAFe</v>
      </c>
      <c r="T335" s="6"/>
      <c r="U335" s="6"/>
      <c r="V335" s="6"/>
      <c r="W335" s="6"/>
      <c r="X335" s="6"/>
      <c r="Y335" s="6"/>
      <c r="Z335" s="6"/>
      <c r="AA335" s="6"/>
      <c r="AB335" s="6"/>
      <c r="AC335" s="6"/>
      <c r="AD335" s="6"/>
      <c r="AE335" s="6"/>
      <c r="AF335" s="6"/>
      <c r="AG335" s="6"/>
      <c r="AH335" s="6"/>
      <c r="AI335" s="6"/>
      <c r="AJ335" s="6"/>
      <c r="AK335" s="6"/>
      <c r="AL335" s="6"/>
    </row>
    <row r="336" spans="1:38">
      <c r="A336" s="96">
        <f ca="1">IFERROR(__xludf.DUMMYFUNCTION("""COMPUTED_VALUE"""),44284)</f>
        <v>44284</v>
      </c>
      <c r="B336" s="6" t="str">
        <f ca="1">IFERROR(__xludf.DUMMYFUNCTION("""COMPUTED_VALUE"""),"Sumit")</f>
        <v>Sumit</v>
      </c>
      <c r="C336" s="6" t="str">
        <f ca="1">IFERROR(__xludf.DUMMYFUNCTION("""COMPUTED_VALUE"""),"sumit162@gmail.com")</f>
        <v>sumit162@gmail.com</v>
      </c>
      <c r="D336" s="6">
        <f ca="1">IFERROR(__xludf.DUMMYFUNCTION("""COMPUTED_VALUE"""),9910024747)</f>
        <v>9910024747</v>
      </c>
      <c r="E336" s="6" t="str">
        <f ca="1">IFERROR(__xludf.DUMMYFUNCTION("""COMPUTED_VALUE"""),"Query box")</f>
        <v>Query box</v>
      </c>
      <c r="F336" s="6" t="str">
        <f ca="1">IFERROR(__xludf.DUMMYFUNCTION("""COMPUTED_VALUE"""),"SAFe Agile")</f>
        <v>SAFe Agile</v>
      </c>
      <c r="G336" s="80">
        <f ca="1">IFERROR(__xludf.DUMMYFUNCTION("""COMPUTED_VALUE"""),44256)</f>
        <v>44256</v>
      </c>
      <c r="H336" s="6" t="str">
        <f ca="1">IFERROR(__xludf.DUMMYFUNCTION("""COMPUTED_VALUE"""),"Won")</f>
        <v>Won</v>
      </c>
      <c r="I336" s="6" t="str">
        <f ca="1">IFERROR(__xludf.DUMMYFUNCTION("""COMPUTED_VALUE"""),"3-4 April 2021")</f>
        <v>3-4 April 2021</v>
      </c>
      <c r="J336" s="6">
        <f ca="1">IFERROR(__xludf.DUMMYFUNCTION("""COMPUTED_VALUE"""),1)</f>
        <v>1</v>
      </c>
      <c r="K336" s="8">
        <f ca="1">IFERROR(__xludf.DUMMYFUNCTION("""COMPUTED_VALUE"""),23000)</f>
        <v>23000</v>
      </c>
      <c r="L336" s="8">
        <f ca="1">IFERROR(__xludf.DUMMYFUNCTION("""COMPUTED_VALUE"""),263.398992212551)</f>
        <v>263.39899221255098</v>
      </c>
      <c r="M336" s="96">
        <f ca="1">IFERROR(__xludf.DUMMYFUNCTION("""COMPUTED_VALUE"""),44284)</f>
        <v>44284</v>
      </c>
      <c r="N336" s="6" t="str">
        <f ca="1">IFERROR(__xludf.DUMMYFUNCTION("""COMPUTED_VALUE"""),"W5")</f>
        <v>W5</v>
      </c>
      <c r="O336" s="97">
        <f ca="1">IFERROR(__xludf.DUMMYFUNCTION("""COMPUTED_VALUE"""),44285)</f>
        <v>44285</v>
      </c>
      <c r="P336" s="6" t="str">
        <f ca="1">IFERROR(__xludf.DUMMYFUNCTION("""COMPUTED_VALUE"""),"CSTM_AAI89US03ER")</f>
        <v>CSTM_AAI89US03ER</v>
      </c>
      <c r="Q336" s="6"/>
      <c r="R336" s="6"/>
      <c r="S336" s="6" t="str">
        <f ca="1">IFERROR(__xludf.DUMMYFUNCTION("""COMPUTED_VALUE"""),"SAFe")</f>
        <v>SAFe</v>
      </c>
      <c r="T336" s="6"/>
      <c r="U336" s="6"/>
      <c r="V336" s="6"/>
      <c r="W336" s="6"/>
      <c r="X336" s="6"/>
      <c r="Y336" s="6"/>
      <c r="Z336" s="6"/>
      <c r="AA336" s="6"/>
      <c r="AB336" s="6"/>
      <c r="AC336" s="6"/>
      <c r="AD336" s="6"/>
      <c r="AE336" s="6"/>
      <c r="AF336" s="6"/>
      <c r="AG336" s="6"/>
      <c r="AH336" s="6"/>
      <c r="AI336" s="6"/>
      <c r="AJ336" s="6"/>
      <c r="AK336" s="6"/>
      <c r="AL336" s="6"/>
    </row>
    <row r="337" spans="1:38">
      <c r="A337" s="96">
        <f ca="1">IFERROR(__xludf.DUMMYFUNCTION("""COMPUTED_VALUE"""),44284)</f>
        <v>44284</v>
      </c>
      <c r="B337" s="6" t="str">
        <f ca="1">IFERROR(__xludf.DUMMYFUNCTION("""COMPUTED_VALUE"""),"Ankur Jain")</f>
        <v>Ankur Jain</v>
      </c>
      <c r="C337" s="6" t="str">
        <f ca="1">IFERROR(__xludf.DUMMYFUNCTION("""COMPUTED_VALUE"""),"ankur.jain83@gmail.com")</f>
        <v>ankur.jain83@gmail.com</v>
      </c>
      <c r="D337" s="6">
        <f ca="1">IFERROR(__xludf.DUMMYFUNCTION("""COMPUTED_VALUE"""),9910524225)</f>
        <v>9910524225</v>
      </c>
      <c r="E337" s="6" t="str">
        <f ca="1">IFERROR(__xludf.DUMMYFUNCTION("""COMPUTED_VALUE"""),"Reference")</f>
        <v>Reference</v>
      </c>
      <c r="F337" s="6" t="str">
        <f ca="1">IFERROR(__xludf.DUMMYFUNCTION("""COMPUTED_VALUE"""),"SAFe Agile")</f>
        <v>SAFe Agile</v>
      </c>
      <c r="G337" s="80">
        <f ca="1">IFERROR(__xludf.DUMMYFUNCTION("""COMPUTED_VALUE"""),44256)</f>
        <v>44256</v>
      </c>
      <c r="H337" s="6" t="str">
        <f ca="1">IFERROR(__xludf.DUMMYFUNCTION("""COMPUTED_VALUE"""),"Won")</f>
        <v>Won</v>
      </c>
      <c r="I337" s="6" t="str">
        <f ca="1">IFERROR(__xludf.DUMMYFUNCTION("""COMPUTED_VALUE"""),"3-4 April 2021")</f>
        <v>3-4 April 2021</v>
      </c>
      <c r="J337" s="6">
        <f ca="1">IFERROR(__xludf.DUMMYFUNCTION("""COMPUTED_VALUE"""),1)</f>
        <v>1</v>
      </c>
      <c r="K337" s="8">
        <f ca="1">IFERROR(__xludf.DUMMYFUNCTION("""COMPUTED_VALUE"""),23000)</f>
        <v>23000</v>
      </c>
      <c r="L337" s="8">
        <f ca="1">IFERROR(__xludf.DUMMYFUNCTION("""COMPUTED_VALUE"""),263.398992212551)</f>
        <v>263.39899221255098</v>
      </c>
      <c r="M337" s="96">
        <f ca="1">IFERROR(__xludf.DUMMYFUNCTION("""COMPUTED_VALUE"""),44284)</f>
        <v>44284</v>
      </c>
      <c r="N337" s="6" t="str">
        <f ca="1">IFERROR(__xludf.DUMMYFUNCTION("""COMPUTED_VALUE"""),"W5")</f>
        <v>W5</v>
      </c>
      <c r="O337" s="97">
        <f ca="1">IFERROR(__xludf.DUMMYFUNCTION("""COMPUTED_VALUE"""),44285)</f>
        <v>44285</v>
      </c>
      <c r="P337" s="6" t="str">
        <f ca="1">IFERROR(__xludf.DUMMYFUNCTION("""COMPUTED_VALUE"""),"CSTM_C54BRHRGK3X")</f>
        <v>CSTM_C54BRHRGK3X</v>
      </c>
      <c r="Q337" s="6" t="str">
        <f ca="1">IFERROR(__xludf.DUMMYFUNCTION("""COMPUTED_VALUE"""),"Reference by Keerit Naik")</f>
        <v>Reference by Keerit Naik</v>
      </c>
      <c r="R337" s="6" t="str">
        <f ca="1">IFERROR(__xludf.DUMMYFUNCTION("""COMPUTED_VALUE"""),"Done. Good feedback.")</f>
        <v>Done. Good feedback.</v>
      </c>
      <c r="S337" s="6" t="str">
        <f ca="1">IFERROR(__xludf.DUMMYFUNCTION("""COMPUTED_VALUE"""),"SAFe")</f>
        <v>SAFe</v>
      </c>
      <c r="T337" s="6" t="str">
        <f ca="1">IFERROR(__xludf.DUMMYFUNCTION("""COMPUTED_VALUE"""),"Sent.")</f>
        <v>Sent.</v>
      </c>
      <c r="U337" s="6"/>
      <c r="V337" s="6"/>
      <c r="W337" s="6"/>
      <c r="X337" s="6"/>
      <c r="Y337" s="6"/>
      <c r="Z337" s="6"/>
      <c r="AA337" s="6"/>
      <c r="AB337" s="6"/>
      <c r="AC337" s="6"/>
      <c r="AD337" s="6"/>
      <c r="AE337" s="6"/>
      <c r="AF337" s="6"/>
      <c r="AG337" s="6"/>
      <c r="AH337" s="6"/>
      <c r="AI337" s="6"/>
      <c r="AJ337" s="6"/>
      <c r="AK337" s="6"/>
      <c r="AL337" s="6"/>
    </row>
    <row r="338" spans="1:38">
      <c r="A338" s="96">
        <f ca="1">IFERROR(__xludf.DUMMYFUNCTION("""COMPUTED_VALUE"""),44284)</f>
        <v>44284</v>
      </c>
      <c r="B338" s="6" t="str">
        <f ca="1">IFERROR(__xludf.DUMMYFUNCTION("""COMPUTED_VALUE"""),"Suresh Nair")</f>
        <v>Suresh Nair</v>
      </c>
      <c r="C338" s="6" t="str">
        <f ca="1">IFERROR(__xludf.DUMMYFUNCTION("""COMPUTED_VALUE"""),"ksureshnair@outlook.com")</f>
        <v>ksureshnair@outlook.com</v>
      </c>
      <c r="D338" s="6">
        <f ca="1">IFERROR(__xludf.DUMMYFUNCTION("""COMPUTED_VALUE"""),9873090648)</f>
        <v>9873090648</v>
      </c>
      <c r="E338" s="6" t="str">
        <f ca="1">IFERROR(__xludf.DUMMYFUNCTION("""COMPUTED_VALUE"""),"Reference")</f>
        <v>Reference</v>
      </c>
      <c r="F338" s="6" t="str">
        <f ca="1">IFERROR(__xludf.DUMMYFUNCTION("""COMPUTED_VALUE"""),"SAFe Agile")</f>
        <v>SAFe Agile</v>
      </c>
      <c r="G338" s="80">
        <f ca="1">IFERROR(__xludf.DUMMYFUNCTION("""COMPUTED_VALUE"""),44256)</f>
        <v>44256</v>
      </c>
      <c r="H338" s="6" t="str">
        <f ca="1">IFERROR(__xludf.DUMMYFUNCTION("""COMPUTED_VALUE"""),"Won")</f>
        <v>Won</v>
      </c>
      <c r="I338" s="6" t="str">
        <f ca="1">IFERROR(__xludf.DUMMYFUNCTION("""COMPUTED_VALUE"""),"3-4 April 2021")</f>
        <v>3-4 April 2021</v>
      </c>
      <c r="J338" s="6">
        <f ca="1">IFERROR(__xludf.DUMMYFUNCTION("""COMPUTED_VALUE"""),1)</f>
        <v>1</v>
      </c>
      <c r="K338" s="8">
        <f ca="1">IFERROR(__xludf.DUMMYFUNCTION("""COMPUTED_VALUE"""),23000)</f>
        <v>23000</v>
      </c>
      <c r="L338" s="8">
        <f ca="1">IFERROR(__xludf.DUMMYFUNCTION("""COMPUTED_VALUE"""),263.398992212551)</f>
        <v>263.39899221255098</v>
      </c>
      <c r="M338" s="96">
        <f ca="1">IFERROR(__xludf.DUMMYFUNCTION("""COMPUTED_VALUE"""),44284)</f>
        <v>44284</v>
      </c>
      <c r="N338" s="6" t="str">
        <f ca="1">IFERROR(__xludf.DUMMYFUNCTION("""COMPUTED_VALUE"""),"W5")</f>
        <v>W5</v>
      </c>
      <c r="O338" s="97">
        <f ca="1">IFERROR(__xludf.DUMMYFUNCTION("""COMPUTED_VALUE"""),44285)</f>
        <v>44285</v>
      </c>
      <c r="P338" s="6" t="str">
        <f ca="1">IFERROR(__xludf.DUMMYFUNCTION("""COMPUTED_VALUE"""),"CSTM_WIET7UVJBF")</f>
        <v>CSTM_WIET7UVJBF</v>
      </c>
      <c r="Q338" s="6" t="str">
        <f ca="1">IFERROR(__xludf.DUMMYFUNCTION("""COMPUTED_VALUE"""),"Reference by Keerit Naik")</f>
        <v>Reference by Keerit Naik</v>
      </c>
      <c r="R338" s="6" t="str">
        <f ca="1">IFERROR(__xludf.DUMMYFUNCTION("""COMPUTED_VALUE"""),"Done. Good feedback.")</f>
        <v>Done. Good feedback.</v>
      </c>
      <c r="S338" s="6" t="str">
        <f ca="1">IFERROR(__xludf.DUMMYFUNCTION("""COMPUTED_VALUE"""),"SAFe")</f>
        <v>SAFe</v>
      </c>
      <c r="T338" s="6" t="str">
        <f ca="1">IFERROR(__xludf.DUMMYFUNCTION("""COMPUTED_VALUE"""),"Sent.")</f>
        <v>Sent.</v>
      </c>
      <c r="U338" s="6"/>
      <c r="V338" s="6"/>
      <c r="W338" s="6"/>
      <c r="X338" s="6"/>
      <c r="Y338" s="6"/>
      <c r="Z338" s="6"/>
      <c r="AA338" s="6"/>
      <c r="AB338" s="6"/>
      <c r="AC338" s="6"/>
      <c r="AD338" s="6"/>
      <c r="AE338" s="6"/>
      <c r="AF338" s="6"/>
      <c r="AG338" s="6"/>
      <c r="AH338" s="6"/>
      <c r="AI338" s="6"/>
      <c r="AJ338" s="6"/>
      <c r="AK338" s="6"/>
      <c r="AL338" s="6"/>
    </row>
    <row r="339" spans="1:38">
      <c r="A339" s="96">
        <f ca="1">IFERROR(__xludf.DUMMYFUNCTION("""COMPUTED_VALUE"""),44284)</f>
        <v>44284</v>
      </c>
      <c r="B339" s="6" t="str">
        <f ca="1">IFERROR(__xludf.DUMMYFUNCTION("""COMPUTED_VALUE"""),"Pramod Kumar")</f>
        <v>Pramod Kumar</v>
      </c>
      <c r="C339" s="6" t="str">
        <f ca="1">IFERROR(__xludf.DUMMYFUNCTION("""COMPUTED_VALUE"""),"pra.kumar@hotmail.com")</f>
        <v>pra.kumar@hotmail.com</v>
      </c>
      <c r="D339" s="6">
        <f ca="1">IFERROR(__xludf.DUMMYFUNCTION("""COMPUTED_VALUE"""),9560844424)</f>
        <v>9560844424</v>
      </c>
      <c r="E339" s="6" t="str">
        <f ca="1">IFERROR(__xludf.DUMMYFUNCTION("""COMPUTED_VALUE"""),"Reference")</f>
        <v>Reference</v>
      </c>
      <c r="F339" s="6" t="str">
        <f ca="1">IFERROR(__xludf.DUMMYFUNCTION("""COMPUTED_VALUE"""),"SAFe Agile")</f>
        <v>SAFe Agile</v>
      </c>
      <c r="G339" s="80">
        <f ca="1">IFERROR(__xludf.DUMMYFUNCTION("""COMPUTED_VALUE"""),44256)</f>
        <v>44256</v>
      </c>
      <c r="H339" s="6" t="str">
        <f ca="1">IFERROR(__xludf.DUMMYFUNCTION("""COMPUTED_VALUE"""),"Won")</f>
        <v>Won</v>
      </c>
      <c r="I339" s="6" t="str">
        <f ca="1">IFERROR(__xludf.DUMMYFUNCTION("""COMPUTED_VALUE"""),"3-4 April 2021")</f>
        <v>3-4 April 2021</v>
      </c>
      <c r="J339" s="6">
        <f ca="1">IFERROR(__xludf.DUMMYFUNCTION("""COMPUTED_VALUE"""),1)</f>
        <v>1</v>
      </c>
      <c r="K339" s="8">
        <f ca="1">IFERROR(__xludf.DUMMYFUNCTION("""COMPUTED_VALUE"""),23000)</f>
        <v>23000</v>
      </c>
      <c r="L339" s="8">
        <f ca="1">IFERROR(__xludf.DUMMYFUNCTION("""COMPUTED_VALUE"""),263.398992212551)</f>
        <v>263.39899221255098</v>
      </c>
      <c r="M339" s="96">
        <f ca="1">IFERROR(__xludf.DUMMYFUNCTION("""COMPUTED_VALUE"""),44284)</f>
        <v>44284</v>
      </c>
      <c r="N339" s="6" t="str">
        <f ca="1">IFERROR(__xludf.DUMMYFUNCTION("""COMPUTED_VALUE"""),"W5")</f>
        <v>W5</v>
      </c>
      <c r="O339" s="97">
        <f ca="1">IFERROR(__xludf.DUMMYFUNCTION("""COMPUTED_VALUE"""),44285)</f>
        <v>44285</v>
      </c>
      <c r="P339" s="6" t="str">
        <f ca="1">IFERROR(__xludf.DUMMYFUNCTION("""COMPUTED_VALUE"""),"CSTM_G82PSK8Q7RC")</f>
        <v>CSTM_G82PSK8Q7RC</v>
      </c>
      <c r="Q339" s="6" t="str">
        <f ca="1">IFERROR(__xludf.DUMMYFUNCTION("""COMPUTED_VALUE"""),"Reference by Keerit Naik")</f>
        <v>Reference by Keerit Naik</v>
      </c>
      <c r="R339" s="6" t="str">
        <f ca="1">IFERROR(__xludf.DUMMYFUNCTION("""COMPUTED_VALUE"""),"Done. Good feedback.")</f>
        <v>Done. Good feedback.</v>
      </c>
      <c r="S339" s="6" t="str">
        <f ca="1">IFERROR(__xludf.DUMMYFUNCTION("""COMPUTED_VALUE"""),"SAFe")</f>
        <v>SAFe</v>
      </c>
      <c r="T339" s="6" t="str">
        <f ca="1">IFERROR(__xludf.DUMMYFUNCTION("""COMPUTED_VALUE"""),"Sent.")</f>
        <v>Sent.</v>
      </c>
      <c r="U339" s="6"/>
      <c r="V339" s="6"/>
      <c r="W339" s="6"/>
      <c r="X339" s="6"/>
      <c r="Y339" s="6"/>
      <c r="Z339" s="6"/>
      <c r="AA339" s="6"/>
      <c r="AB339" s="6"/>
      <c r="AC339" s="6"/>
      <c r="AD339" s="6"/>
      <c r="AE339" s="6"/>
      <c r="AF339" s="6"/>
      <c r="AG339" s="6"/>
      <c r="AH339" s="6"/>
      <c r="AI339" s="6"/>
      <c r="AJ339" s="6"/>
      <c r="AK339" s="6"/>
      <c r="AL339" s="6"/>
    </row>
    <row r="340" spans="1:38">
      <c r="A340" s="96">
        <f ca="1">IFERROR(__xludf.DUMMYFUNCTION("""COMPUTED_VALUE"""),44284)</f>
        <v>44284</v>
      </c>
      <c r="B340" s="6" t="str">
        <f ca="1">IFERROR(__xludf.DUMMYFUNCTION("""COMPUTED_VALUE"""),"Vineet Dalal")</f>
        <v>Vineet Dalal</v>
      </c>
      <c r="C340" s="6" t="str">
        <f ca="1">IFERROR(__xludf.DUMMYFUNCTION("""COMPUTED_VALUE"""),"vineetdalal@hotmail.com")</f>
        <v>vineetdalal@hotmail.com</v>
      </c>
      <c r="D340" s="6">
        <f ca="1">IFERROR(__xludf.DUMMYFUNCTION("""COMPUTED_VALUE"""),9811157684)</f>
        <v>9811157684</v>
      </c>
      <c r="E340" s="6" t="str">
        <f ca="1">IFERROR(__xludf.DUMMYFUNCTION("""COMPUTED_VALUE"""),"Query box")</f>
        <v>Query box</v>
      </c>
      <c r="F340" s="6" t="str">
        <f ca="1">IFERROR(__xludf.DUMMYFUNCTION("""COMPUTED_VALUE"""),"SAFe Agile")</f>
        <v>SAFe Agile</v>
      </c>
      <c r="G340" s="80">
        <f ca="1">IFERROR(__xludf.DUMMYFUNCTION("""COMPUTED_VALUE"""),44256)</f>
        <v>44256</v>
      </c>
      <c r="H340" s="6" t="str">
        <f ca="1">IFERROR(__xludf.DUMMYFUNCTION("""COMPUTED_VALUE"""),"Won")</f>
        <v>Won</v>
      </c>
      <c r="I340" s="6" t="str">
        <f ca="1">IFERROR(__xludf.DUMMYFUNCTION("""COMPUTED_VALUE"""),"3-4 April 2021")</f>
        <v>3-4 April 2021</v>
      </c>
      <c r="J340" s="6">
        <f ca="1">IFERROR(__xludf.DUMMYFUNCTION("""COMPUTED_VALUE"""),1)</f>
        <v>1</v>
      </c>
      <c r="K340" s="8">
        <f ca="1">IFERROR(__xludf.DUMMYFUNCTION("""COMPUTED_VALUE"""),23000)</f>
        <v>23000</v>
      </c>
      <c r="L340" s="8">
        <f ca="1">IFERROR(__xludf.DUMMYFUNCTION("""COMPUTED_VALUE"""),263.398992212551)</f>
        <v>263.39899221255098</v>
      </c>
      <c r="M340" s="96">
        <f ca="1">IFERROR(__xludf.DUMMYFUNCTION("""COMPUTED_VALUE"""),44284)</f>
        <v>44284</v>
      </c>
      <c r="N340" s="6" t="str">
        <f ca="1">IFERROR(__xludf.DUMMYFUNCTION("""COMPUTED_VALUE"""),"W5")</f>
        <v>W5</v>
      </c>
      <c r="O340" s="97">
        <f ca="1">IFERROR(__xludf.DUMMYFUNCTION("""COMPUTED_VALUE"""),44285)</f>
        <v>44285</v>
      </c>
      <c r="P340" s="6" t="str">
        <f ca="1">IFERROR(__xludf.DUMMYFUNCTION("""COMPUTED_VALUE"""),"CSTM_3TWKM3W0EHI")</f>
        <v>CSTM_3TWKM3W0EHI</v>
      </c>
      <c r="Q340" s="6"/>
      <c r="R340" s="6"/>
      <c r="S340" s="6" t="str">
        <f ca="1">IFERROR(__xludf.DUMMYFUNCTION("""COMPUTED_VALUE"""),"SAFe")</f>
        <v>SAFe</v>
      </c>
      <c r="T340" s="6"/>
      <c r="U340" s="6"/>
      <c r="V340" s="6"/>
      <c r="W340" s="6"/>
      <c r="X340" s="6"/>
      <c r="Y340" s="6"/>
      <c r="Z340" s="6"/>
      <c r="AA340" s="6"/>
      <c r="AB340" s="6"/>
      <c r="AC340" s="6"/>
      <c r="AD340" s="6"/>
      <c r="AE340" s="6"/>
      <c r="AF340" s="6"/>
      <c r="AG340" s="6"/>
      <c r="AH340" s="6"/>
      <c r="AI340" s="6"/>
      <c r="AJ340" s="6"/>
      <c r="AK340" s="6"/>
      <c r="AL340" s="6"/>
    </row>
    <row r="341" spans="1:38">
      <c r="A341" s="96">
        <f ca="1">IFERROR(__xludf.DUMMYFUNCTION("""COMPUTED_VALUE"""),44284)</f>
        <v>44284</v>
      </c>
      <c r="B341" s="6" t="str">
        <f ca="1">IFERROR(__xludf.DUMMYFUNCTION("""COMPUTED_VALUE"""),"Kapil Vermani")</f>
        <v>Kapil Vermani</v>
      </c>
      <c r="C341" s="6" t="str">
        <f ca="1">IFERROR(__xludf.DUMMYFUNCTION("""COMPUTED_VALUE"""),"vermanikapil@gmail.com")</f>
        <v>vermanikapil@gmail.com</v>
      </c>
      <c r="D341" s="6">
        <f ca="1">IFERROR(__xludf.DUMMYFUNCTION("""COMPUTED_VALUE"""),9818697676)</f>
        <v>9818697676</v>
      </c>
      <c r="E341" s="6" t="str">
        <f ca="1">IFERROR(__xludf.DUMMYFUNCTION("""COMPUTED_VALUE"""),"Reference")</f>
        <v>Reference</v>
      </c>
      <c r="F341" s="6" t="str">
        <f ca="1">IFERROR(__xludf.DUMMYFUNCTION("""COMPUTED_VALUE"""),"SAFe Agile")</f>
        <v>SAFe Agile</v>
      </c>
      <c r="G341" s="80">
        <f ca="1">IFERROR(__xludf.DUMMYFUNCTION("""COMPUTED_VALUE"""),44256)</f>
        <v>44256</v>
      </c>
      <c r="H341" s="6" t="str">
        <f ca="1">IFERROR(__xludf.DUMMYFUNCTION("""COMPUTED_VALUE"""),"Won")</f>
        <v>Won</v>
      </c>
      <c r="I341" s="6" t="str">
        <f ca="1">IFERROR(__xludf.DUMMYFUNCTION("""COMPUTED_VALUE"""),"3-4 April 2021")</f>
        <v>3-4 April 2021</v>
      </c>
      <c r="J341" s="6">
        <f ca="1">IFERROR(__xludf.DUMMYFUNCTION("""COMPUTED_VALUE"""),1)</f>
        <v>1</v>
      </c>
      <c r="K341" s="8">
        <f ca="1">IFERROR(__xludf.DUMMYFUNCTION("""COMPUTED_VALUE"""),23000)</f>
        <v>23000</v>
      </c>
      <c r="L341" s="8">
        <f ca="1">IFERROR(__xludf.DUMMYFUNCTION("""COMPUTED_VALUE"""),263.398992212551)</f>
        <v>263.39899221255098</v>
      </c>
      <c r="M341" s="96">
        <f ca="1">IFERROR(__xludf.DUMMYFUNCTION("""COMPUTED_VALUE"""),44284)</f>
        <v>44284</v>
      </c>
      <c r="N341" s="6" t="str">
        <f ca="1">IFERROR(__xludf.DUMMYFUNCTION("""COMPUTED_VALUE"""),"W5")</f>
        <v>W5</v>
      </c>
      <c r="O341" s="97">
        <f ca="1">IFERROR(__xludf.DUMMYFUNCTION("""COMPUTED_VALUE"""),44285)</f>
        <v>44285</v>
      </c>
      <c r="P341" s="6" t="str">
        <f ca="1">IFERROR(__xludf.DUMMYFUNCTION("""COMPUTED_VALUE"""),"CSTM_2WOU4PNCI14")</f>
        <v>CSTM_2WOU4PNCI14</v>
      </c>
      <c r="Q341" s="6" t="str">
        <f ca="1">IFERROR(__xludf.DUMMYFUNCTION("""COMPUTED_VALUE"""),"Reference by Keerit Naik")</f>
        <v>Reference by Keerit Naik</v>
      </c>
      <c r="R341" s="6" t="str">
        <f ca="1">IFERROR(__xludf.DUMMYFUNCTION("""COMPUTED_VALUE"""),"Done. Good feedback.")</f>
        <v>Done. Good feedback.</v>
      </c>
      <c r="S341" s="6" t="str">
        <f ca="1">IFERROR(__xludf.DUMMYFUNCTION("""COMPUTED_VALUE"""),"SAFe")</f>
        <v>SAFe</v>
      </c>
      <c r="T341" s="6" t="str">
        <f ca="1">IFERROR(__xludf.DUMMYFUNCTION("""COMPUTED_VALUE"""),"Referee's email id already present in the system.")</f>
        <v>Referee's email id already present in the system.</v>
      </c>
      <c r="U341" s="6"/>
      <c r="V341" s="6"/>
      <c r="W341" s="6"/>
      <c r="X341" s="6"/>
      <c r="Y341" s="6"/>
      <c r="Z341" s="6"/>
      <c r="AA341" s="6"/>
      <c r="AB341" s="6"/>
      <c r="AC341" s="6"/>
      <c r="AD341" s="6"/>
      <c r="AE341" s="6"/>
      <c r="AF341" s="6"/>
      <c r="AG341" s="6"/>
      <c r="AH341" s="6"/>
      <c r="AI341" s="6"/>
      <c r="AJ341" s="6"/>
      <c r="AK341" s="6"/>
      <c r="AL341" s="6"/>
    </row>
    <row r="342" spans="1:38">
      <c r="A342" s="96">
        <f ca="1">IFERROR(__xludf.DUMMYFUNCTION("""COMPUTED_VALUE"""),44282)</f>
        <v>44282</v>
      </c>
      <c r="B342" s="6" t="str">
        <f ca="1">IFERROR(__xludf.DUMMYFUNCTION("""COMPUTED_VALUE"""),"Vivek")</f>
        <v>Vivek</v>
      </c>
      <c r="C342" s="6" t="str">
        <f ca="1">IFERROR(__xludf.DUMMYFUNCTION("""COMPUTED_VALUE"""),"victoriousvivek@yahoo.com")</f>
        <v>victoriousvivek@yahoo.com</v>
      </c>
      <c r="D342" s="6">
        <f ca="1">IFERROR(__xludf.DUMMYFUNCTION("""COMPUTED_VALUE"""),9686988331)</f>
        <v>9686988331</v>
      </c>
      <c r="E342" s="6" t="str">
        <f ca="1">IFERROR(__xludf.DUMMYFUNCTION("""COMPUTED_VALUE"""),"Query box")</f>
        <v>Query box</v>
      </c>
      <c r="F342" s="6" t="str">
        <f ca="1">IFERROR(__xludf.DUMMYFUNCTION("""COMPUTED_VALUE"""),"SAFe Agile")</f>
        <v>SAFe Agile</v>
      </c>
      <c r="G342" s="80">
        <f ca="1">IFERROR(__xludf.DUMMYFUNCTION("""COMPUTED_VALUE"""),44256)</f>
        <v>44256</v>
      </c>
      <c r="H342" s="6" t="str">
        <f ca="1">IFERROR(__xludf.DUMMYFUNCTION("""COMPUTED_VALUE"""),"Won")</f>
        <v>Won</v>
      </c>
      <c r="I342" s="6" t="str">
        <f ca="1">IFERROR(__xludf.DUMMYFUNCTION("""COMPUTED_VALUE"""),"10-11 April 2021")</f>
        <v>10-11 April 2021</v>
      </c>
      <c r="J342" s="6">
        <f ca="1">IFERROR(__xludf.DUMMYFUNCTION("""COMPUTED_VALUE"""),1)</f>
        <v>1</v>
      </c>
      <c r="K342" s="8">
        <f ca="1">IFERROR(__xludf.DUMMYFUNCTION("""COMPUTED_VALUE"""),44000)</f>
        <v>44000</v>
      </c>
      <c r="L342" s="8">
        <f ca="1">IFERROR(__xludf.DUMMYFUNCTION("""COMPUTED_VALUE"""),503.893724232707)</f>
        <v>503.89372423270697</v>
      </c>
      <c r="M342" s="96">
        <f ca="1">IFERROR(__xludf.DUMMYFUNCTION("""COMPUTED_VALUE"""),44284)</f>
        <v>44284</v>
      </c>
      <c r="N342" s="6" t="str">
        <f ca="1">IFERROR(__xludf.DUMMYFUNCTION("""COMPUTED_VALUE"""),"W5")</f>
        <v>W5</v>
      </c>
      <c r="O342" s="97">
        <f ca="1">IFERROR(__xludf.DUMMYFUNCTION("""COMPUTED_VALUE"""),44285)</f>
        <v>44285</v>
      </c>
      <c r="P342" s="6" t="str">
        <f ca="1">IFERROR(__xludf.DUMMYFUNCTION("""COMPUTED_VALUE"""),"CSTM_CCOD9CDBFH1")</f>
        <v>CSTM_CCOD9CDBFH1</v>
      </c>
      <c r="Q342" s="6"/>
      <c r="R342" s="6" t="str">
        <f ca="1">IFERROR(__xludf.DUMMYFUNCTION("""COMPUTED_VALUE"""),"Done. Godd feedback.")</f>
        <v>Done. Godd feedback.</v>
      </c>
      <c r="S342" s="6" t="str">
        <f ca="1">IFERROR(__xludf.DUMMYFUNCTION("""COMPUTED_VALUE"""),"SAFe")</f>
        <v>SAFe</v>
      </c>
      <c r="T342" s="6"/>
      <c r="U342" s="6"/>
      <c r="V342" s="6"/>
      <c r="W342" s="6"/>
      <c r="X342" s="6"/>
      <c r="Y342" s="6"/>
      <c r="Z342" s="6"/>
      <c r="AA342" s="6"/>
      <c r="AB342" s="6"/>
      <c r="AC342" s="6"/>
      <c r="AD342" s="6"/>
      <c r="AE342" s="6"/>
      <c r="AF342" s="6"/>
      <c r="AG342" s="6"/>
      <c r="AH342" s="6"/>
      <c r="AI342" s="6"/>
      <c r="AJ342" s="6"/>
      <c r="AK342" s="6"/>
      <c r="AL342" s="6"/>
    </row>
    <row r="343" spans="1:38">
      <c r="A343" s="96">
        <f ca="1">IFERROR(__xludf.DUMMYFUNCTION("""COMPUTED_VALUE"""),44286)</f>
        <v>44286</v>
      </c>
      <c r="B343" s="6" t="str">
        <f ca="1">IFERROR(__xludf.DUMMYFUNCTION("""COMPUTED_VALUE"""),"Thulasi A")</f>
        <v>Thulasi A</v>
      </c>
      <c r="C343" s="6" t="str">
        <f ca="1">IFERROR(__xludf.DUMMYFUNCTION("""COMPUTED_VALUE"""),"thulasi.accot@gmail.com")</f>
        <v>thulasi.accot@gmail.com</v>
      </c>
      <c r="D343" s="6">
        <f ca="1">IFERROR(__xludf.DUMMYFUNCTION("""COMPUTED_VALUE"""),8921839395)</f>
        <v>8921839395</v>
      </c>
      <c r="E343" s="6" t="str">
        <f ca="1">IFERROR(__xludf.DUMMYFUNCTION("""COMPUTED_VALUE"""),"Reference")</f>
        <v>Reference</v>
      </c>
      <c r="F343" s="6" t="str">
        <f ca="1">IFERROR(__xludf.DUMMYFUNCTION("""COMPUTED_VALUE"""),"CSM")</f>
        <v>CSM</v>
      </c>
      <c r="G343" s="80">
        <f ca="1">IFERROR(__xludf.DUMMYFUNCTION("""COMPUTED_VALUE"""),44287)</f>
        <v>44287</v>
      </c>
      <c r="H343" s="6" t="str">
        <f ca="1">IFERROR(__xludf.DUMMYFUNCTION("""COMPUTED_VALUE"""),"Won")</f>
        <v>Won</v>
      </c>
      <c r="I343" s="6" t="str">
        <f ca="1">IFERROR(__xludf.DUMMYFUNCTION("""COMPUTED_VALUE"""),"10-11 April 2021")</f>
        <v>10-11 April 2021</v>
      </c>
      <c r="J343" s="6">
        <f ca="1">IFERROR(__xludf.DUMMYFUNCTION("""COMPUTED_VALUE"""),1)</f>
        <v>1</v>
      </c>
      <c r="K343" s="8">
        <f ca="1">IFERROR(__xludf.DUMMYFUNCTION("""COMPUTED_VALUE"""),20000)</f>
        <v>20000</v>
      </c>
      <c r="L343" s="8">
        <f ca="1">IFERROR(__xludf.DUMMYFUNCTION("""COMPUTED_VALUE"""),229.042601923957)</f>
        <v>229.04260192395699</v>
      </c>
      <c r="M343" s="96">
        <f ca="1">IFERROR(__xludf.DUMMYFUNCTION("""COMPUTED_VALUE"""),44287)</f>
        <v>44287</v>
      </c>
      <c r="N343" s="6" t="str">
        <f ca="1">IFERROR(__xludf.DUMMYFUNCTION("""COMPUTED_VALUE"""),"F10")</f>
        <v>F10</v>
      </c>
      <c r="O343" s="97">
        <f ca="1">IFERROR(__xludf.DUMMYFUNCTION("""COMPUTED_VALUE"""),44287)</f>
        <v>44287</v>
      </c>
      <c r="P343" s="6" t="str">
        <f ca="1">IFERROR(__xludf.DUMMYFUNCTION("""COMPUTED_VALUE"""),"CSTM_DMMFYJ9I5MN")</f>
        <v>CSTM_DMMFYJ9I5MN</v>
      </c>
      <c r="Q343" s="6" t="str">
        <f ca="1">IFERROR(__xludf.DUMMYFUNCTION("""COMPUTED_VALUE"""),"Reference by Priyesh")</f>
        <v>Reference by Priyesh</v>
      </c>
      <c r="R343" s="6" t="str">
        <f ca="1">IFERROR(__xludf.DUMMYFUNCTION("""COMPUTED_VALUE"""),"Done. Good feedback.")</f>
        <v>Done. Good feedback.</v>
      </c>
      <c r="S343" s="6" t="str">
        <f ca="1">IFERROR(__xludf.DUMMYFUNCTION("""COMPUTED_VALUE"""),"Category")</f>
        <v>Category</v>
      </c>
      <c r="T343" s="6" t="str">
        <f ca="1">IFERROR(__xludf.DUMMYFUNCTION("""COMPUTED_VALUE"""),"Sent.")</f>
        <v>Sent.</v>
      </c>
      <c r="U343" s="6"/>
      <c r="V343" s="6"/>
      <c r="W343" s="6"/>
      <c r="X343" s="6"/>
      <c r="Y343" s="6"/>
      <c r="Z343" s="6"/>
      <c r="AA343" s="6"/>
      <c r="AB343" s="6"/>
      <c r="AC343" s="6"/>
      <c r="AD343" s="6"/>
      <c r="AE343" s="6"/>
      <c r="AF343" s="6"/>
      <c r="AG343" s="6"/>
      <c r="AH343" s="6"/>
      <c r="AI343" s="6"/>
      <c r="AJ343" s="6"/>
      <c r="AK343" s="6"/>
      <c r="AL343" s="6"/>
    </row>
    <row r="344" spans="1:38">
      <c r="A344" s="96">
        <f ca="1">IFERROR(__xludf.DUMMYFUNCTION("""COMPUTED_VALUE"""),44286)</f>
        <v>44286</v>
      </c>
      <c r="B344" s="6" t="str">
        <f ca="1">IFERROR(__xludf.DUMMYFUNCTION("""COMPUTED_VALUE"""),"Sumit Ghose")</f>
        <v>Sumit Ghose</v>
      </c>
      <c r="C344" s="6" t="str">
        <f ca="1">IFERROR(__xludf.DUMMYFUNCTION("""COMPUTED_VALUE"""),"ghosesumit@gmail.com")</f>
        <v>ghosesumit@gmail.com</v>
      </c>
      <c r="D344" s="6">
        <f ca="1">IFERROR(__xludf.DUMMYFUNCTION("""COMPUTED_VALUE"""),9967102545)</f>
        <v>9967102545</v>
      </c>
      <c r="E344" s="6" t="str">
        <f ca="1">IFERROR(__xludf.DUMMYFUNCTION("""COMPUTED_VALUE"""),"Chat_triggered")</f>
        <v>Chat_triggered</v>
      </c>
      <c r="F344" s="6" t="str">
        <f ca="1">IFERROR(__xludf.DUMMYFUNCTION("""COMPUTED_VALUE"""),"SAFe Agile")</f>
        <v>SAFe Agile</v>
      </c>
      <c r="G344" s="80">
        <f ca="1">IFERROR(__xludf.DUMMYFUNCTION("""COMPUTED_VALUE"""),44287)</f>
        <v>44287</v>
      </c>
      <c r="H344" s="6" t="str">
        <f ca="1">IFERROR(__xludf.DUMMYFUNCTION("""COMPUTED_VALUE"""),"Won")</f>
        <v>Won</v>
      </c>
      <c r="I344" s="6" t="str">
        <f ca="1">IFERROR(__xludf.DUMMYFUNCTION("""COMPUTED_VALUE"""),"3-4 April 2021")</f>
        <v>3-4 April 2021</v>
      </c>
      <c r="J344" s="6">
        <f ca="1">IFERROR(__xludf.DUMMYFUNCTION("""COMPUTED_VALUE"""),1)</f>
        <v>1</v>
      </c>
      <c r="K344" s="8">
        <f ca="1">IFERROR(__xludf.DUMMYFUNCTION("""COMPUTED_VALUE"""),45000)</f>
        <v>45000</v>
      </c>
      <c r="L344" s="8">
        <f ca="1">IFERROR(__xludf.DUMMYFUNCTION("""COMPUTED_VALUE"""),515.345854328905)</f>
        <v>515.34585432890503</v>
      </c>
      <c r="M344" s="96">
        <f ca="1">IFERROR(__xludf.DUMMYFUNCTION("""COMPUTED_VALUE"""),44287)</f>
        <v>44287</v>
      </c>
      <c r="N344" s="6" t="str">
        <f ca="1">IFERROR(__xludf.DUMMYFUNCTION("""COMPUTED_VALUE"""),"F10")</f>
        <v>F10</v>
      </c>
      <c r="O344" s="97">
        <f ca="1">IFERROR(__xludf.DUMMYFUNCTION("""COMPUTED_VALUE"""),44287)</f>
        <v>44287</v>
      </c>
      <c r="P344" s="6" t="str">
        <f ca="1">IFERROR(__xludf.DUMMYFUNCTION("""COMPUTED_VALUE"""),"CSTM_CJT7JYHM5FQ")</f>
        <v>CSTM_CJT7JYHM5FQ</v>
      </c>
      <c r="Q344" s="6"/>
      <c r="R344" s="6" t="str">
        <f ca="1">IFERROR(__xludf.DUMMYFUNCTION("""COMPUTED_VALUE"""),"Pending")</f>
        <v>Pending</v>
      </c>
      <c r="S344" s="6" t="str">
        <f ca="1">IFERROR(__xludf.DUMMYFUNCTION("""COMPUTED_VALUE"""),"SAFe")</f>
        <v>SAFe</v>
      </c>
      <c r="T344" s="6"/>
      <c r="U344" s="6"/>
      <c r="V344" s="6"/>
      <c r="W344" s="6"/>
      <c r="X344" s="6"/>
      <c r="Y344" s="6"/>
      <c r="Z344" s="6"/>
      <c r="AA344" s="6"/>
      <c r="AB344" s="6"/>
      <c r="AC344" s="6"/>
      <c r="AD344" s="6"/>
      <c r="AE344" s="6"/>
      <c r="AF344" s="6"/>
      <c r="AG344" s="6"/>
      <c r="AH344" s="6"/>
      <c r="AI344" s="6"/>
      <c r="AJ344" s="6"/>
      <c r="AK344" s="6"/>
      <c r="AL344" s="6"/>
    </row>
    <row r="345" spans="1:38">
      <c r="A345" s="96">
        <f ca="1">IFERROR(__xludf.DUMMYFUNCTION("""COMPUTED_VALUE"""),44287)</f>
        <v>44287</v>
      </c>
      <c r="B345" s="6" t="str">
        <f ca="1">IFERROR(__xludf.DUMMYFUNCTION("""COMPUTED_VALUE"""),"email.ritesh25@gmail.com")</f>
        <v>email.ritesh25@gmail.com</v>
      </c>
      <c r="C345" s="6" t="str">
        <f ca="1">IFERROR(__xludf.DUMMYFUNCTION("""COMPUTED_VALUE"""),"morvekar.ritesh@gmail.com")</f>
        <v>morvekar.ritesh@gmail.com</v>
      </c>
      <c r="D345" s="6">
        <f ca="1">IFERROR(__xludf.DUMMYFUNCTION("""COMPUTED_VALUE"""),9619753650)</f>
        <v>9619753650</v>
      </c>
      <c r="E345" s="6" t="str">
        <f ca="1">IFERROR(__xludf.DUMMYFUNCTION("""COMPUTED_VALUE"""),"Reference")</f>
        <v>Reference</v>
      </c>
      <c r="F345" s="6" t="str">
        <f ca="1">IFERROR(__xludf.DUMMYFUNCTION("""COMPUTED_VALUE"""),"SAFe Agile")</f>
        <v>SAFe Agile</v>
      </c>
      <c r="G345" s="80">
        <f ca="1">IFERROR(__xludf.DUMMYFUNCTION("""COMPUTED_VALUE"""),44287)</f>
        <v>44287</v>
      </c>
      <c r="H345" s="6" t="str">
        <f ca="1">IFERROR(__xludf.DUMMYFUNCTION("""COMPUTED_VALUE"""),"Won")</f>
        <v>Won</v>
      </c>
      <c r="I345" s="6" t="str">
        <f ca="1">IFERROR(__xludf.DUMMYFUNCTION("""COMPUTED_VALUE"""),"3-4 April 2021")</f>
        <v>3-4 April 2021</v>
      </c>
      <c r="J345" s="6">
        <f ca="1">IFERROR(__xludf.DUMMYFUNCTION("""COMPUTED_VALUE"""),1)</f>
        <v>1</v>
      </c>
      <c r="K345" s="8">
        <f ca="1">IFERROR(__xludf.DUMMYFUNCTION("""COMPUTED_VALUE"""),45000)</f>
        <v>45000</v>
      </c>
      <c r="L345" s="8">
        <f ca="1">IFERROR(__xludf.DUMMYFUNCTION("""COMPUTED_VALUE"""),515.345854328905)</f>
        <v>515.34585432890503</v>
      </c>
      <c r="M345" s="96">
        <f ca="1">IFERROR(__xludf.DUMMYFUNCTION("""COMPUTED_VALUE"""),44287)</f>
        <v>44287</v>
      </c>
      <c r="N345" s="6" t="str">
        <f ca="1">IFERROR(__xludf.DUMMYFUNCTION("""COMPUTED_VALUE"""),"F10")</f>
        <v>F10</v>
      </c>
      <c r="O345" s="97">
        <f ca="1">IFERROR(__xludf.DUMMYFUNCTION("""COMPUTED_VALUE"""),44287)</f>
        <v>44287</v>
      </c>
      <c r="P345" s="6" t="str">
        <f ca="1">IFERROR(__xludf.DUMMYFUNCTION("""COMPUTED_VALUE"""),"CSTM_F8UVM2B7Z6L")</f>
        <v>CSTM_F8UVM2B7Z6L</v>
      </c>
      <c r="Q345" s="6" t="str">
        <f ca="1">IFERROR(__xludf.DUMMYFUNCTION("""COMPUTED_VALUE"""),"Reference by Keerit Naik")</f>
        <v>Reference by Keerit Naik</v>
      </c>
      <c r="R345" s="6" t="str">
        <f ca="1">IFERROR(__xludf.DUMMYFUNCTION("""COMPUTED_VALUE"""),"Pending")</f>
        <v>Pending</v>
      </c>
      <c r="S345" s="6" t="str">
        <f ca="1">IFERROR(__xludf.DUMMYFUNCTION("""COMPUTED_VALUE"""),"SAFe")</f>
        <v>SAFe</v>
      </c>
      <c r="T345" s="6" t="str">
        <f ca="1">IFERROR(__xludf.DUMMYFUNCTION("""COMPUTED_VALUE"""),"Sent.")</f>
        <v>Sent.</v>
      </c>
      <c r="U345" s="6"/>
      <c r="V345" s="6"/>
      <c r="W345" s="6"/>
      <c r="X345" s="6"/>
      <c r="Y345" s="6"/>
      <c r="Z345" s="6"/>
      <c r="AA345" s="6"/>
      <c r="AB345" s="6"/>
      <c r="AC345" s="6"/>
      <c r="AD345" s="6"/>
      <c r="AE345" s="6"/>
      <c r="AF345" s="6"/>
      <c r="AG345" s="6"/>
      <c r="AH345" s="6"/>
      <c r="AI345" s="6"/>
      <c r="AJ345" s="6"/>
      <c r="AK345" s="6"/>
      <c r="AL345" s="6"/>
    </row>
    <row r="346" spans="1:38">
      <c r="A346" s="96">
        <f ca="1">IFERROR(__xludf.DUMMYFUNCTION("""COMPUTED_VALUE"""),44287)</f>
        <v>44287</v>
      </c>
      <c r="B346" s="6" t="str">
        <f ca="1">IFERROR(__xludf.DUMMYFUNCTION("""COMPUTED_VALUE"""),"Beulah G Joseph")</f>
        <v>Beulah G Joseph</v>
      </c>
      <c r="C346" s="6" t="str">
        <f ca="1">IFERROR(__xludf.DUMMYFUNCTION("""COMPUTED_VALUE"""),"gjbeulah@gmail.com")</f>
        <v>gjbeulah@gmail.com</v>
      </c>
      <c r="D346" s="6">
        <f ca="1">IFERROR(__xludf.DUMMYFUNCTION("""COMPUTED_VALUE"""),9618103041)</f>
        <v>9618103041</v>
      </c>
      <c r="E346" s="6" t="str">
        <f ca="1">IFERROR(__xludf.DUMMYFUNCTION("""COMPUTED_VALUE"""),"course preview")</f>
        <v>course preview</v>
      </c>
      <c r="F346" s="6" t="str">
        <f ca="1">IFERROR(__xludf.DUMMYFUNCTION("""COMPUTED_VALUE"""),"CSM")</f>
        <v>CSM</v>
      </c>
      <c r="G346" s="80">
        <f ca="1">IFERROR(__xludf.DUMMYFUNCTION("""COMPUTED_VALUE"""),44287)</f>
        <v>44287</v>
      </c>
      <c r="H346" s="6" t="str">
        <f ca="1">IFERROR(__xludf.DUMMYFUNCTION("""COMPUTED_VALUE"""),"Won")</f>
        <v>Won</v>
      </c>
      <c r="I346" s="6" t="str">
        <f ca="1">IFERROR(__xludf.DUMMYFUNCTION("""COMPUTED_VALUE"""),"3-4 April 2021")</f>
        <v>3-4 April 2021</v>
      </c>
      <c r="J346" s="6">
        <f ca="1">IFERROR(__xludf.DUMMYFUNCTION("""COMPUTED_VALUE"""),1)</f>
        <v>1</v>
      </c>
      <c r="K346" s="8">
        <f ca="1">IFERROR(__xludf.DUMMYFUNCTION("""COMPUTED_VALUE"""),19000)</f>
        <v>19000</v>
      </c>
      <c r="L346" s="8">
        <f ca="1">IFERROR(__xludf.DUMMYFUNCTION("""COMPUTED_VALUE"""),217.590471827759)</f>
        <v>217.59047182775899</v>
      </c>
      <c r="M346" s="96">
        <f ca="1">IFERROR(__xludf.DUMMYFUNCTION("""COMPUTED_VALUE"""),44288)</f>
        <v>44288</v>
      </c>
      <c r="N346" s="6" t="str">
        <f ca="1">IFERROR(__xludf.DUMMYFUNCTION("""COMPUTED_VALUE"""),"F10")</f>
        <v>F10</v>
      </c>
      <c r="O346" s="97">
        <f ca="1">IFERROR(__xludf.DUMMYFUNCTION("""COMPUTED_VALUE"""),44288)</f>
        <v>44288</v>
      </c>
      <c r="P346" s="6" t="str">
        <f ca="1">IFERROR(__xludf.DUMMYFUNCTION("""COMPUTED_VALUE"""),"CSTM_8L0A0RAQ6")</f>
        <v>CSTM_8L0A0RAQ6</v>
      </c>
      <c r="Q346" s="6"/>
      <c r="R346" s="6" t="str">
        <f ca="1">IFERROR(__xludf.DUMMYFUNCTION("""COMPUTED_VALUE"""),"Pending")</f>
        <v>Pending</v>
      </c>
      <c r="S346" s="6" t="str">
        <f ca="1">IFERROR(__xludf.DUMMYFUNCTION("""COMPUTED_VALUE"""),"Category")</f>
        <v>Category</v>
      </c>
      <c r="T346" s="6"/>
      <c r="U346" s="6"/>
      <c r="V346" s="6"/>
      <c r="W346" s="6"/>
      <c r="X346" s="6"/>
      <c r="Y346" s="6"/>
      <c r="Z346" s="6"/>
      <c r="AA346" s="6"/>
      <c r="AB346" s="6"/>
      <c r="AC346" s="6"/>
      <c r="AD346" s="6"/>
      <c r="AE346" s="6"/>
      <c r="AF346" s="6"/>
      <c r="AG346" s="6"/>
      <c r="AH346" s="6"/>
      <c r="AI346" s="6"/>
      <c r="AJ346" s="6"/>
      <c r="AK346" s="6"/>
      <c r="AL346" s="6"/>
    </row>
    <row r="347" spans="1:38">
      <c r="A347" s="96">
        <f ca="1">IFERROR(__xludf.DUMMYFUNCTION("""COMPUTED_VALUE"""),44289)</f>
        <v>44289</v>
      </c>
      <c r="B347" s="6" t="str">
        <f ca="1">IFERROR(__xludf.DUMMYFUNCTION("""COMPUTED_VALUE"""),"Anil S")</f>
        <v>Anil S</v>
      </c>
      <c r="C347" s="6" t="str">
        <f ca="1">IFERROR(__xludf.DUMMYFUNCTION("""COMPUTED_VALUE"""),"anils70@gmail.com")</f>
        <v>anils70@gmail.com</v>
      </c>
      <c r="D347" s="6">
        <f ca="1">IFERROR(__xludf.DUMMYFUNCTION("""COMPUTED_VALUE"""),9818333656)</f>
        <v>9818333656</v>
      </c>
      <c r="E347" s="6" t="str">
        <f ca="1">IFERROR(__xludf.DUMMYFUNCTION("""COMPUTED_VALUE"""),"Chat_triggered")</f>
        <v>Chat_triggered</v>
      </c>
      <c r="F347" s="6" t="str">
        <f ca="1">IFERROR(__xludf.DUMMYFUNCTION("""COMPUTED_VALUE"""),"SAFe Agile")</f>
        <v>SAFe Agile</v>
      </c>
      <c r="G347" s="80">
        <f ca="1">IFERROR(__xludf.DUMMYFUNCTION("""COMPUTED_VALUE"""),44287)</f>
        <v>44287</v>
      </c>
      <c r="H347" s="6" t="str">
        <f ca="1">IFERROR(__xludf.DUMMYFUNCTION("""COMPUTED_VALUE"""),"Won")</f>
        <v>Won</v>
      </c>
      <c r="I347" s="6" t="str">
        <f ca="1">IFERROR(__xludf.DUMMYFUNCTION("""COMPUTED_VALUE"""),"10-11 April 2021")</f>
        <v>10-11 April 2021</v>
      </c>
      <c r="J347" s="6">
        <f ca="1">IFERROR(__xludf.DUMMYFUNCTION("""COMPUTED_VALUE"""),1)</f>
        <v>1</v>
      </c>
      <c r="K347" s="8">
        <f ca="1">IFERROR(__xludf.DUMMYFUNCTION("""COMPUTED_VALUE"""),45000)</f>
        <v>45000</v>
      </c>
      <c r="L347" s="8">
        <f ca="1">IFERROR(__xludf.DUMMYFUNCTION("""COMPUTED_VALUE"""),515.345854328905)</f>
        <v>515.34585432890503</v>
      </c>
      <c r="M347" s="96">
        <f ca="1">IFERROR(__xludf.DUMMYFUNCTION("""COMPUTED_VALUE"""),44289)</f>
        <v>44289</v>
      </c>
      <c r="N347" s="6" t="str">
        <f ca="1">IFERROR(__xludf.DUMMYFUNCTION("""COMPUTED_VALUE"""),"F10")</f>
        <v>F10</v>
      </c>
      <c r="O347" s="97">
        <f ca="1">IFERROR(__xludf.DUMMYFUNCTION("""COMPUTED_VALUE"""),44289)</f>
        <v>44289</v>
      </c>
      <c r="P347" s="6" t="str">
        <f ca="1">IFERROR(__xludf.DUMMYFUNCTION("""COMPUTED_VALUE"""),"CSTM_DAOY0S7QLC8")</f>
        <v>CSTM_DAOY0S7QLC8</v>
      </c>
      <c r="Q347" s="6"/>
      <c r="R347" s="6" t="str">
        <f ca="1">IFERROR(__xludf.DUMMYFUNCTION("""COMPUTED_VALUE"""),"Done. Good feedback.")</f>
        <v>Done. Good feedback.</v>
      </c>
      <c r="S347" s="6" t="str">
        <f ca="1">IFERROR(__xludf.DUMMYFUNCTION("""COMPUTED_VALUE"""),"SAFe")</f>
        <v>SAFe</v>
      </c>
      <c r="T347" s="6"/>
      <c r="U347" s="6"/>
      <c r="V347" s="6"/>
      <c r="W347" s="6"/>
      <c r="X347" s="6"/>
      <c r="Y347" s="6"/>
      <c r="Z347" s="6"/>
      <c r="AA347" s="6"/>
      <c r="AB347" s="6"/>
      <c r="AC347" s="6"/>
      <c r="AD347" s="6"/>
      <c r="AE347" s="6"/>
      <c r="AF347" s="6"/>
      <c r="AG347" s="6"/>
      <c r="AH347" s="6"/>
      <c r="AI347" s="6"/>
      <c r="AJ347" s="6"/>
      <c r="AK347" s="6"/>
      <c r="AL347" s="6"/>
    </row>
    <row r="348" spans="1:38">
      <c r="A348" s="96">
        <f ca="1">IFERROR(__xludf.DUMMYFUNCTION("""COMPUTED_VALUE"""),44291)</f>
        <v>44291</v>
      </c>
      <c r="B348" s="6" t="str">
        <f ca="1">IFERROR(__xludf.DUMMYFUNCTION("""COMPUTED_VALUE"""),"Ojas")</f>
        <v>Ojas</v>
      </c>
      <c r="C348" s="6" t="str">
        <f ca="1">IFERROR(__xludf.DUMMYFUNCTION("""COMPUTED_VALUE"""),"ojas54321@gmail.com")</f>
        <v>ojas54321@gmail.com</v>
      </c>
      <c r="D348" s="6">
        <f ca="1">IFERROR(__xludf.DUMMYFUNCTION("""COMPUTED_VALUE"""),9880053421)</f>
        <v>9880053421</v>
      </c>
      <c r="E348" s="6" t="str">
        <f ca="1">IFERROR(__xludf.DUMMYFUNCTION("""COMPUTED_VALUE"""),"Account Repeat")</f>
        <v>Account Repeat</v>
      </c>
      <c r="F348" s="6" t="str">
        <f ca="1">IFERROR(__xludf.DUMMYFUNCTION("""COMPUTED_VALUE"""),"PMP")</f>
        <v>PMP</v>
      </c>
      <c r="G348" s="80">
        <f ca="1">IFERROR(__xludf.DUMMYFUNCTION("""COMPUTED_VALUE"""),44287)</f>
        <v>44287</v>
      </c>
      <c r="H348" s="6" t="str">
        <f ca="1">IFERROR(__xludf.DUMMYFUNCTION("""COMPUTED_VALUE"""),"Won")</f>
        <v>Won</v>
      </c>
      <c r="I348" s="6" t="str">
        <f ca="1">IFERROR(__xludf.DUMMYFUNCTION("""COMPUTED_VALUE"""),"April 2021")</f>
        <v>April 2021</v>
      </c>
      <c r="J348" s="6">
        <f ca="1">IFERROR(__xludf.DUMMYFUNCTION("""COMPUTED_VALUE"""),1)</f>
        <v>1</v>
      </c>
      <c r="K348" s="8">
        <f ca="1">IFERROR(__xludf.DUMMYFUNCTION("""COMPUTED_VALUE"""),13500)</f>
        <v>13500</v>
      </c>
      <c r="L348" s="8">
        <f ca="1">IFERROR(__xludf.DUMMYFUNCTION("""COMPUTED_VALUE"""),154.603756298671)</f>
        <v>154.60375629867099</v>
      </c>
      <c r="M348" s="96">
        <f ca="1">IFERROR(__xludf.DUMMYFUNCTION("""COMPUTED_VALUE"""),44291)</f>
        <v>44291</v>
      </c>
      <c r="N348" s="6" t="str">
        <f ca="1">IFERROR(__xludf.DUMMYFUNCTION("""COMPUTED_VALUE"""),"F10")</f>
        <v>F10</v>
      </c>
      <c r="O348" s="97">
        <f ca="1">IFERROR(__xludf.DUMMYFUNCTION("""COMPUTED_VALUE"""),44291)</f>
        <v>44291</v>
      </c>
      <c r="P348" s="6" t="str">
        <f ca="1">IFERROR(__xludf.DUMMYFUNCTION("""COMPUTED_VALUE"""),"CSTM_48EDDNPX6Q")</f>
        <v>CSTM_48EDDNPX6Q</v>
      </c>
      <c r="Q348" s="6"/>
      <c r="R348" s="6" t="str">
        <f ca="1">IFERROR(__xludf.DUMMYFUNCTION("""COMPUTED_VALUE"""),"Pending")</f>
        <v>Pending</v>
      </c>
      <c r="S348" s="6" t="str">
        <f ca="1">IFERROR(__xludf.DUMMYFUNCTION("""COMPUTED_VALUE"""),"NonCategory")</f>
        <v>NonCategory</v>
      </c>
      <c r="T348" s="6"/>
      <c r="U348" s="6"/>
      <c r="V348" s="6"/>
      <c r="W348" s="6"/>
      <c r="X348" s="6"/>
      <c r="Y348" s="6"/>
      <c r="Z348" s="6"/>
      <c r="AA348" s="6"/>
      <c r="AB348" s="6"/>
      <c r="AC348" s="6"/>
      <c r="AD348" s="6"/>
      <c r="AE348" s="6"/>
      <c r="AF348" s="6"/>
      <c r="AG348" s="6"/>
      <c r="AH348" s="6"/>
      <c r="AI348" s="6"/>
      <c r="AJ348" s="6"/>
      <c r="AK348" s="6"/>
      <c r="AL348" s="6"/>
    </row>
    <row r="349" spans="1:38">
      <c r="A349" s="96">
        <f ca="1">IFERROR(__xludf.DUMMYFUNCTION("""COMPUTED_VALUE"""),44291)</f>
        <v>44291</v>
      </c>
      <c r="B349" s="6" t="str">
        <f ca="1">IFERROR(__xludf.DUMMYFUNCTION("""COMPUTED_VALUE"""),"Anshika Aggarwal")</f>
        <v>Anshika Aggarwal</v>
      </c>
      <c r="C349" s="6" t="str">
        <f ca="1">IFERROR(__xludf.DUMMYFUNCTION("""COMPUTED_VALUE"""),"anshika.aggarwal9@gmail.com")</f>
        <v>anshika.aggarwal9@gmail.com</v>
      </c>
      <c r="D349" s="6">
        <f ca="1">IFERROR(__xludf.DUMMYFUNCTION("""COMPUTED_VALUE"""),7760095095)</f>
        <v>7760095095</v>
      </c>
      <c r="E349" s="6" t="str">
        <f ca="1">IFERROR(__xludf.DUMMYFUNCTION("""COMPUTED_VALUE"""),"Query box")</f>
        <v>Query box</v>
      </c>
      <c r="F349" s="6" t="str">
        <f ca="1">IFERROR(__xludf.DUMMYFUNCTION("""COMPUTED_VALUE"""),"PMP")</f>
        <v>PMP</v>
      </c>
      <c r="G349" s="80">
        <f ca="1">IFERROR(__xludf.DUMMYFUNCTION("""COMPUTED_VALUE"""),44287)</f>
        <v>44287</v>
      </c>
      <c r="H349" s="6" t="str">
        <f ca="1">IFERROR(__xludf.DUMMYFUNCTION("""COMPUTED_VALUE"""),"Won")</f>
        <v>Won</v>
      </c>
      <c r="I349" s="6" t="str">
        <f ca="1">IFERROR(__xludf.DUMMYFUNCTION("""COMPUTED_VALUE"""),"April 2021")</f>
        <v>April 2021</v>
      </c>
      <c r="J349" s="6">
        <f ca="1">IFERROR(__xludf.DUMMYFUNCTION("""COMPUTED_VALUE"""),1)</f>
        <v>1</v>
      </c>
      <c r="K349" s="8">
        <f ca="1">IFERROR(__xludf.DUMMYFUNCTION("""COMPUTED_VALUE"""),13500)</f>
        <v>13500</v>
      </c>
      <c r="L349" s="8">
        <f ca="1">IFERROR(__xludf.DUMMYFUNCTION("""COMPUTED_VALUE"""),154.603756298671)</f>
        <v>154.60375629867099</v>
      </c>
      <c r="M349" s="96">
        <f ca="1">IFERROR(__xludf.DUMMYFUNCTION("""COMPUTED_VALUE"""),44291)</f>
        <v>44291</v>
      </c>
      <c r="N349" s="6" t="str">
        <f ca="1">IFERROR(__xludf.DUMMYFUNCTION("""COMPUTED_VALUE"""),"F10")</f>
        <v>F10</v>
      </c>
      <c r="O349" s="97">
        <f ca="1">IFERROR(__xludf.DUMMYFUNCTION("""COMPUTED_VALUE"""),44291)</f>
        <v>44291</v>
      </c>
      <c r="P349" s="6" t="str">
        <f ca="1">IFERROR(__xludf.DUMMYFUNCTION("""COMPUTED_VALUE"""),"CSTM_7CSRKTFKX68")</f>
        <v>CSTM_7CSRKTFKX68</v>
      </c>
      <c r="Q349" s="6"/>
      <c r="R349" s="6" t="str">
        <f ca="1">IFERROR(__xludf.DUMMYFUNCTION("""COMPUTED_VALUE"""),"Pending")</f>
        <v>Pending</v>
      </c>
      <c r="S349" s="6" t="str">
        <f ca="1">IFERROR(__xludf.DUMMYFUNCTION("""COMPUTED_VALUE"""),"NonCategory")</f>
        <v>NonCategory</v>
      </c>
      <c r="T349" s="6"/>
      <c r="U349" s="6"/>
      <c r="V349" s="6"/>
      <c r="W349" s="6"/>
      <c r="X349" s="6"/>
      <c r="Y349" s="6"/>
      <c r="Z349" s="6"/>
      <c r="AA349" s="6"/>
      <c r="AB349" s="6"/>
      <c r="AC349" s="6"/>
      <c r="AD349" s="6"/>
      <c r="AE349" s="6"/>
      <c r="AF349" s="6"/>
      <c r="AG349" s="6"/>
      <c r="AH349" s="6"/>
      <c r="AI349" s="6"/>
      <c r="AJ349" s="6"/>
      <c r="AK349" s="6"/>
      <c r="AL349" s="6"/>
    </row>
    <row r="350" spans="1:38">
      <c r="A350" s="96">
        <f ca="1">IFERROR(__xludf.DUMMYFUNCTION("""COMPUTED_VALUE"""),44291)</f>
        <v>44291</v>
      </c>
      <c r="B350" s="6" t="str">
        <f ca="1">IFERROR(__xludf.DUMMYFUNCTION("""COMPUTED_VALUE"""),"Subramanian Iyer")</f>
        <v>Subramanian Iyer</v>
      </c>
      <c r="C350" s="6" t="str">
        <f ca="1">IFERROR(__xludf.DUMMYFUNCTION("""COMPUTED_VALUE"""),"skiyer@outlook.com")</f>
        <v>skiyer@outlook.com</v>
      </c>
      <c r="D350" s="6">
        <f ca="1">IFERROR(__xludf.DUMMYFUNCTION("""COMPUTED_VALUE"""),9500012397)</f>
        <v>9500012397</v>
      </c>
      <c r="E350" s="6" t="str">
        <f ca="1">IFERROR(__xludf.DUMMYFUNCTION("""COMPUTED_VALUE"""),"na-payment")</f>
        <v>na-payment</v>
      </c>
      <c r="F350" s="6" t="str">
        <f ca="1">IFERROR(__xludf.DUMMYFUNCTION("""COMPUTED_VALUE"""),"SAFe Agile")</f>
        <v>SAFe Agile</v>
      </c>
      <c r="G350" s="80">
        <f ca="1">IFERROR(__xludf.DUMMYFUNCTION("""COMPUTED_VALUE"""),44287)</f>
        <v>44287</v>
      </c>
      <c r="H350" s="6" t="str">
        <f ca="1">IFERROR(__xludf.DUMMYFUNCTION("""COMPUTED_VALUE"""),"Won")</f>
        <v>Won</v>
      </c>
      <c r="I350" s="6" t="str">
        <f ca="1">IFERROR(__xludf.DUMMYFUNCTION("""COMPUTED_VALUE"""),"10-11 April 2021")</f>
        <v>10-11 April 2021</v>
      </c>
      <c r="J350" s="6">
        <f ca="1">IFERROR(__xludf.DUMMYFUNCTION("""COMPUTED_VALUE"""),1)</f>
        <v>1</v>
      </c>
      <c r="K350" s="8">
        <f ca="1">IFERROR(__xludf.DUMMYFUNCTION("""COMPUTED_VALUE"""),45000)</f>
        <v>45000</v>
      </c>
      <c r="L350" s="8">
        <f ca="1">IFERROR(__xludf.DUMMYFUNCTION("""COMPUTED_VALUE"""),515.345854328905)</f>
        <v>515.34585432890503</v>
      </c>
      <c r="M350" s="96">
        <f ca="1">IFERROR(__xludf.DUMMYFUNCTION("""COMPUTED_VALUE"""),44291)</f>
        <v>44291</v>
      </c>
      <c r="N350" s="6" t="str">
        <f ca="1">IFERROR(__xludf.DUMMYFUNCTION("""COMPUTED_VALUE"""),"F10")</f>
        <v>F10</v>
      </c>
      <c r="O350" s="97">
        <f ca="1">IFERROR(__xludf.DUMMYFUNCTION("""COMPUTED_VALUE"""),44291)</f>
        <v>44291</v>
      </c>
      <c r="P350" s="6" t="str">
        <f ca="1">IFERROR(__xludf.DUMMYFUNCTION("""COMPUTED_VALUE"""),"CSTM_H5A28UPEM9K")</f>
        <v>CSTM_H5A28UPEM9K</v>
      </c>
      <c r="Q350" s="6"/>
      <c r="R350" s="6" t="str">
        <f ca="1">IFERROR(__xludf.DUMMYFUNCTION("""COMPUTED_VALUE"""),"Pending")</f>
        <v>Pending</v>
      </c>
      <c r="S350" s="6" t="str">
        <f ca="1">IFERROR(__xludf.DUMMYFUNCTION("""COMPUTED_VALUE"""),"SAFe")</f>
        <v>SAFe</v>
      </c>
      <c r="T350" s="6"/>
      <c r="U350" s="6"/>
      <c r="V350" s="6"/>
      <c r="W350" s="6"/>
      <c r="X350" s="6"/>
      <c r="Y350" s="6"/>
      <c r="Z350" s="6"/>
      <c r="AA350" s="6"/>
      <c r="AB350" s="6"/>
      <c r="AC350" s="6"/>
      <c r="AD350" s="6"/>
      <c r="AE350" s="6"/>
      <c r="AF350" s="6"/>
      <c r="AG350" s="6"/>
      <c r="AH350" s="6"/>
      <c r="AI350" s="6"/>
      <c r="AJ350" s="6"/>
      <c r="AK350" s="6"/>
      <c r="AL350" s="6"/>
    </row>
    <row r="351" spans="1:38">
      <c r="A351" s="96">
        <f ca="1">IFERROR(__xludf.DUMMYFUNCTION("""COMPUTED_VALUE"""),44292)</f>
        <v>44292</v>
      </c>
      <c r="B351" s="6" t="str">
        <f ca="1">IFERROR(__xludf.DUMMYFUNCTION("""COMPUTED_VALUE"""),"Griffin A")</f>
        <v>Griffin A</v>
      </c>
      <c r="C351" s="6" t="str">
        <f ca="1">IFERROR(__xludf.DUMMYFUNCTION("""COMPUTED_VALUE"""),"griffinalexuis@gmail.com")</f>
        <v>griffinalexuis@gmail.com</v>
      </c>
      <c r="D351" s="6">
        <f ca="1">IFERROR(__xludf.DUMMYFUNCTION("""COMPUTED_VALUE"""),9916621421)</f>
        <v>9916621421</v>
      </c>
      <c r="E351" s="6" t="str">
        <f ca="1">IFERROR(__xludf.DUMMYFUNCTION("""COMPUTED_VALUE"""),"Query box")</f>
        <v>Query box</v>
      </c>
      <c r="F351" s="6" t="str">
        <f ca="1">IFERROR(__xludf.DUMMYFUNCTION("""COMPUTED_VALUE"""),"ICP-ACC")</f>
        <v>ICP-ACC</v>
      </c>
      <c r="G351" s="80">
        <f ca="1">IFERROR(__xludf.DUMMYFUNCTION("""COMPUTED_VALUE"""),44287)</f>
        <v>44287</v>
      </c>
      <c r="H351" s="6" t="str">
        <f ca="1">IFERROR(__xludf.DUMMYFUNCTION("""COMPUTED_VALUE"""),"Won")</f>
        <v>Won</v>
      </c>
      <c r="I351" s="6" t="str">
        <f ca="1">IFERROR(__xludf.DUMMYFUNCTION("""COMPUTED_VALUE"""),"10-11 April 2021")</f>
        <v>10-11 April 2021</v>
      </c>
      <c r="J351" s="6">
        <f ca="1">IFERROR(__xludf.DUMMYFUNCTION("""COMPUTED_VALUE"""),1)</f>
        <v>1</v>
      </c>
      <c r="K351" s="8">
        <f ca="1">IFERROR(__xludf.DUMMYFUNCTION("""COMPUTED_VALUE"""),30000)</f>
        <v>30000</v>
      </c>
      <c r="L351" s="8">
        <f ca="1">IFERROR(__xludf.DUMMYFUNCTION("""COMPUTED_VALUE"""),343.563902885936)</f>
        <v>343.56390288593599</v>
      </c>
      <c r="M351" s="96">
        <f ca="1">IFERROR(__xludf.DUMMYFUNCTION("""COMPUTED_VALUE"""),44292)</f>
        <v>44292</v>
      </c>
      <c r="N351" s="6" t="str">
        <f ca="1">IFERROR(__xludf.DUMMYFUNCTION("""COMPUTED_VALUE"""),"F10")</f>
        <v>F10</v>
      </c>
      <c r="O351" s="97">
        <f ca="1">IFERROR(__xludf.DUMMYFUNCTION("""COMPUTED_VALUE"""),44292)</f>
        <v>44292</v>
      </c>
      <c r="P351" s="6" t="str">
        <f ca="1">IFERROR(__xludf.DUMMYFUNCTION("""COMPUTED_VALUE"""),"CSTM_F7N85W9U6YE")</f>
        <v>CSTM_F7N85W9U6YE</v>
      </c>
      <c r="Q351" s="6"/>
      <c r="R351" s="6" t="str">
        <f ca="1">IFERROR(__xludf.DUMMYFUNCTION("""COMPUTED_VALUE"""),"Pending")</f>
        <v>Pending</v>
      </c>
      <c r="S351" s="6" t="str">
        <f ca="1">IFERROR(__xludf.DUMMYFUNCTION("""COMPUTED_VALUE"""),"Category")</f>
        <v>Category</v>
      </c>
      <c r="T351" s="6"/>
      <c r="U351" s="6"/>
      <c r="V351" s="6"/>
      <c r="W351" s="6"/>
      <c r="X351" s="6"/>
      <c r="Y351" s="6"/>
      <c r="Z351" s="6"/>
      <c r="AA351" s="6"/>
      <c r="AB351" s="6"/>
      <c r="AC351" s="6"/>
      <c r="AD351" s="6"/>
      <c r="AE351" s="6"/>
      <c r="AF351" s="6"/>
      <c r="AG351" s="6"/>
      <c r="AH351" s="6"/>
      <c r="AI351" s="6"/>
      <c r="AJ351" s="6"/>
      <c r="AK351" s="6"/>
      <c r="AL351" s="6"/>
    </row>
    <row r="352" spans="1:38">
      <c r="A352" s="96">
        <f ca="1">IFERROR(__xludf.DUMMYFUNCTION("""COMPUTED_VALUE"""),44291)</f>
        <v>44291</v>
      </c>
      <c r="B352" s="6" t="str">
        <f ca="1">IFERROR(__xludf.DUMMYFUNCTION("""COMPUTED_VALUE"""),"Rinali")</f>
        <v>Rinali</v>
      </c>
      <c r="C352" s="6" t="str">
        <f ca="1">IFERROR(__xludf.DUMMYFUNCTION("""COMPUTED_VALUE"""),"deshmukhrinali@gmail.com")</f>
        <v>deshmukhrinali@gmail.com</v>
      </c>
      <c r="D352" s="6">
        <f ca="1">IFERROR(__xludf.DUMMYFUNCTION("""COMPUTED_VALUE"""),9730631599)</f>
        <v>9730631599</v>
      </c>
      <c r="E352" s="6" t="str">
        <f ca="1">IFERROR(__xludf.DUMMYFUNCTION("""COMPUTED_VALUE"""),"Reference")</f>
        <v>Reference</v>
      </c>
      <c r="F352" s="6" t="str">
        <f ca="1">IFERROR(__xludf.DUMMYFUNCTION("""COMPUTED_VALUE"""),"PSM")</f>
        <v>PSM</v>
      </c>
      <c r="G352" s="80">
        <f ca="1">IFERROR(__xludf.DUMMYFUNCTION("""COMPUTED_VALUE"""),44287)</f>
        <v>44287</v>
      </c>
      <c r="H352" s="6" t="str">
        <f ca="1">IFERROR(__xludf.DUMMYFUNCTION("""COMPUTED_VALUE"""),"Won")</f>
        <v>Won</v>
      </c>
      <c r="I352" s="6" t="str">
        <f ca="1">IFERROR(__xludf.DUMMYFUNCTION("""COMPUTED_VALUE"""),"17-18 April 2021")</f>
        <v>17-18 April 2021</v>
      </c>
      <c r="J352" s="6">
        <f ca="1">IFERROR(__xludf.DUMMYFUNCTION("""COMPUTED_VALUE"""),1)</f>
        <v>1</v>
      </c>
      <c r="K352" s="8">
        <f ca="1">IFERROR(__xludf.DUMMYFUNCTION("""COMPUTED_VALUE"""),20500)</f>
        <v>20500</v>
      </c>
      <c r="L352" s="8">
        <f ca="1">IFERROR(__xludf.DUMMYFUNCTION("""COMPUTED_VALUE"""),234.768666972056)</f>
        <v>234.768666972056</v>
      </c>
      <c r="M352" s="96">
        <f ca="1">IFERROR(__xludf.DUMMYFUNCTION("""COMPUTED_VALUE"""),44295)</f>
        <v>44295</v>
      </c>
      <c r="N352" s="6" t="str">
        <f ca="1">IFERROR(__xludf.DUMMYFUNCTION("""COMPUTED_VALUE"""),"F10")</f>
        <v>F10</v>
      </c>
      <c r="O352" s="97">
        <f ca="1">IFERROR(__xludf.DUMMYFUNCTION("""COMPUTED_VALUE"""),44293)</f>
        <v>44293</v>
      </c>
      <c r="P352" s="6" t="str">
        <f ca="1">IFERROR(__xludf.DUMMYFUNCTION("""COMPUTED_VALUE"""),"CSTM_ILRJJOH89J1")</f>
        <v>CSTM_ILRJJOH89J1</v>
      </c>
      <c r="Q352" s="6" t="str">
        <f ca="1">IFERROR(__xludf.DUMMYFUNCTION("""COMPUTED_VALUE"""),"Reference by Rashmi Lokhande")</f>
        <v>Reference by Rashmi Lokhande</v>
      </c>
      <c r="R352" s="6" t="str">
        <f ca="1">IFERROR(__xludf.DUMMYFUNCTION("""COMPUTED_VALUE"""),"Pending")</f>
        <v>Pending</v>
      </c>
      <c r="S352" s="6" t="str">
        <f ca="1">IFERROR(__xludf.DUMMYFUNCTION("""COMPUTED_VALUE"""),"Category")</f>
        <v>Category</v>
      </c>
      <c r="T352" s="6"/>
      <c r="U352" s="6"/>
      <c r="V352" s="6"/>
      <c r="W352" s="6"/>
      <c r="X352" s="6"/>
      <c r="Y352" s="6"/>
      <c r="Z352" s="6"/>
      <c r="AA352" s="6"/>
      <c r="AB352" s="6"/>
      <c r="AC352" s="6"/>
      <c r="AD352" s="6"/>
      <c r="AE352" s="6"/>
      <c r="AF352" s="6"/>
      <c r="AG352" s="6"/>
      <c r="AH352" s="6"/>
      <c r="AI352" s="6"/>
      <c r="AJ352" s="6"/>
      <c r="AK352" s="6"/>
      <c r="AL352" s="6"/>
    </row>
    <row r="353" spans="1:38">
      <c r="A353" s="96">
        <f ca="1">IFERROR(__xludf.DUMMYFUNCTION("""COMPUTED_VALUE"""),44292)</f>
        <v>44292</v>
      </c>
      <c r="B353" s="6" t="str">
        <f ca="1">IFERROR(__xludf.DUMMYFUNCTION("""COMPUTED_VALUE"""),"Vivek Ananth")</f>
        <v>Vivek Ananth</v>
      </c>
      <c r="C353" s="6" t="str">
        <f ca="1">IFERROR(__xludf.DUMMYFUNCTION("""COMPUTED_VALUE"""),"vivekananth@gmail.com")</f>
        <v>vivekananth@gmail.com</v>
      </c>
      <c r="D353" s="6">
        <f ca="1">IFERROR(__xludf.DUMMYFUNCTION("""COMPUTED_VALUE"""),9884092329)</f>
        <v>9884092329</v>
      </c>
      <c r="E353" s="6" t="str">
        <f ca="1">IFERROR(__xludf.DUMMYFUNCTION("""COMPUTED_VALUE"""),"Reference")</f>
        <v>Reference</v>
      </c>
      <c r="F353" s="6" t="str">
        <f ca="1">IFERROR(__xludf.DUMMYFUNCTION("""COMPUTED_VALUE"""),"ICP-ACC")</f>
        <v>ICP-ACC</v>
      </c>
      <c r="G353" s="80">
        <f ca="1">IFERROR(__xludf.DUMMYFUNCTION("""COMPUTED_VALUE"""),44287)</f>
        <v>44287</v>
      </c>
      <c r="H353" s="6" t="str">
        <f ca="1">IFERROR(__xludf.DUMMYFUNCTION("""COMPUTED_VALUE"""),"Won")</f>
        <v>Won</v>
      </c>
      <c r="I353" s="6" t="str">
        <f ca="1">IFERROR(__xludf.DUMMYFUNCTION("""COMPUTED_VALUE"""),"10-11 April 2021")</f>
        <v>10-11 April 2021</v>
      </c>
      <c r="J353" s="6">
        <f ca="1">IFERROR(__xludf.DUMMYFUNCTION("""COMPUTED_VALUE"""),1)</f>
        <v>1</v>
      </c>
      <c r="K353" s="8">
        <f ca="1">IFERROR(__xludf.DUMMYFUNCTION("""COMPUTED_VALUE"""),30000)</f>
        <v>30000</v>
      </c>
      <c r="L353" s="8">
        <f ca="1">IFERROR(__xludf.DUMMYFUNCTION("""COMPUTED_VALUE"""),343.563902885936)</f>
        <v>343.56390288593599</v>
      </c>
      <c r="M353" s="96">
        <f ca="1">IFERROR(__xludf.DUMMYFUNCTION("""COMPUTED_VALUE"""),44292)</f>
        <v>44292</v>
      </c>
      <c r="N353" s="6" t="str">
        <f ca="1">IFERROR(__xludf.DUMMYFUNCTION("""COMPUTED_VALUE"""),"F10")</f>
        <v>F10</v>
      </c>
      <c r="O353" s="97">
        <f ca="1">IFERROR(__xludf.DUMMYFUNCTION("""COMPUTED_VALUE"""),44294)</f>
        <v>44294</v>
      </c>
      <c r="P353" s="6" t="str">
        <f ca="1">IFERROR(__xludf.DUMMYFUNCTION("""COMPUTED_VALUE"""),"CSTM_21YCP7GCIZG")</f>
        <v>CSTM_21YCP7GCIZG</v>
      </c>
      <c r="Q353" s="6" t="str">
        <f ca="1">IFERROR(__xludf.DUMMYFUNCTION("""COMPUTED_VALUE"""),"Reference by Griffin")</f>
        <v>Reference by Griffin</v>
      </c>
      <c r="R353" s="6" t="str">
        <f ca="1">IFERROR(__xludf.DUMMYFUNCTION("""COMPUTED_VALUE"""),"Reference by Griffin - fpt-paper")</f>
        <v>Reference by Griffin - fpt-paper</v>
      </c>
      <c r="S353" s="6" t="str">
        <f ca="1">IFERROR(__xludf.DUMMYFUNCTION("""COMPUTED_VALUE"""),"Category")</f>
        <v>Category</v>
      </c>
      <c r="T353" s="6"/>
      <c r="U353" s="6"/>
      <c r="V353" s="6"/>
      <c r="W353" s="6"/>
      <c r="X353" s="6"/>
      <c r="Y353" s="6"/>
      <c r="Z353" s="6"/>
      <c r="AA353" s="6"/>
      <c r="AB353" s="6"/>
      <c r="AC353" s="6"/>
      <c r="AD353" s="6"/>
      <c r="AE353" s="6"/>
      <c r="AF353" s="6"/>
      <c r="AG353" s="6"/>
      <c r="AH353" s="6"/>
      <c r="AI353" s="6"/>
      <c r="AJ353" s="6"/>
      <c r="AK353" s="6"/>
      <c r="AL353" s="6"/>
    </row>
    <row r="354" spans="1:38">
      <c r="A354" s="96">
        <f ca="1">IFERROR(__xludf.DUMMYFUNCTION("""COMPUTED_VALUE"""),44295)</f>
        <v>44295</v>
      </c>
      <c r="B354" s="6" t="str">
        <f ca="1">IFERROR(__xludf.DUMMYFUNCTION("""COMPUTED_VALUE"""),"Karthik")</f>
        <v>Karthik</v>
      </c>
      <c r="C354" s="6" t="str">
        <f ca="1">IFERROR(__xludf.DUMMYFUNCTION("""COMPUTED_VALUE"""),"kartik3188@gmail.com")</f>
        <v>kartik3188@gmail.com</v>
      </c>
      <c r="D354" s="6">
        <f ca="1">IFERROR(__xludf.DUMMYFUNCTION("""COMPUTED_VALUE"""),9742260607)</f>
        <v>9742260607</v>
      </c>
      <c r="E354" s="6" t="str">
        <f ca="1">IFERROR(__xludf.DUMMYFUNCTION("""COMPUTED_VALUE"""),"Query box")</f>
        <v>Query box</v>
      </c>
      <c r="F354" s="6" t="str">
        <f ca="1">IFERROR(__xludf.DUMMYFUNCTION("""COMPUTED_VALUE"""),"CSPO")</f>
        <v>CSPO</v>
      </c>
      <c r="G354" s="80">
        <f ca="1">IFERROR(__xludf.DUMMYFUNCTION("""COMPUTED_VALUE"""),44287)</f>
        <v>44287</v>
      </c>
      <c r="H354" s="6" t="str">
        <f ca="1">IFERROR(__xludf.DUMMYFUNCTION("""COMPUTED_VALUE"""),"Won")</f>
        <v>Won</v>
      </c>
      <c r="I354" s="6" t="str">
        <f ca="1">IFERROR(__xludf.DUMMYFUNCTION("""COMPUTED_VALUE"""),"15-16 April 2021")</f>
        <v>15-16 April 2021</v>
      </c>
      <c r="J354" s="6">
        <f ca="1">IFERROR(__xludf.DUMMYFUNCTION("""COMPUTED_VALUE"""),1)</f>
        <v>1</v>
      </c>
      <c r="K354" s="8">
        <f ca="1">IFERROR(__xludf.DUMMYFUNCTION("""COMPUTED_VALUE"""),18500)</f>
        <v>18500</v>
      </c>
      <c r="L354" s="8">
        <f ca="1">IFERROR(__xludf.DUMMYFUNCTION("""COMPUTED_VALUE"""),211.864406779661)</f>
        <v>211.86440677966101</v>
      </c>
      <c r="M354" s="96">
        <f ca="1">IFERROR(__xludf.DUMMYFUNCTION("""COMPUTED_VALUE"""),44295)</f>
        <v>44295</v>
      </c>
      <c r="N354" s="6" t="str">
        <f ca="1">IFERROR(__xludf.DUMMYFUNCTION("""COMPUTED_VALUE"""),"F10")</f>
        <v>F10</v>
      </c>
      <c r="O354" s="97">
        <f ca="1">IFERROR(__xludf.DUMMYFUNCTION("""COMPUTED_VALUE"""),44295)</f>
        <v>44295</v>
      </c>
      <c r="P354" s="6" t="str">
        <f ca="1">IFERROR(__xludf.DUMMYFUNCTION("""COMPUTED_VALUE"""),"CSTM_90YKRNO75BV")</f>
        <v>CSTM_90YKRNO75BV</v>
      </c>
      <c r="Q354" s="6"/>
      <c r="R354" s="6" t="str">
        <f ca="1">IFERROR(__xludf.DUMMYFUNCTION("""COMPUTED_VALUE"""),"Pending")</f>
        <v>Pending</v>
      </c>
      <c r="S354" s="6" t="str">
        <f ca="1">IFERROR(__xludf.DUMMYFUNCTION("""COMPUTED_VALUE"""),"Category")</f>
        <v>Category</v>
      </c>
      <c r="T354" s="6"/>
      <c r="U354" s="6"/>
      <c r="V354" s="6"/>
      <c r="W354" s="6"/>
      <c r="X354" s="6"/>
      <c r="Y354" s="6"/>
      <c r="Z354" s="6"/>
      <c r="AA354" s="6"/>
      <c r="AB354" s="6"/>
      <c r="AC354" s="6"/>
      <c r="AD354" s="6"/>
      <c r="AE354" s="6"/>
      <c r="AF354" s="6"/>
      <c r="AG354" s="6"/>
      <c r="AH354" s="6"/>
      <c r="AI354" s="6"/>
      <c r="AJ354" s="6"/>
      <c r="AK354" s="6"/>
      <c r="AL354" s="6"/>
    </row>
    <row r="355" spans="1:38">
      <c r="A355" s="96">
        <f ca="1">IFERROR(__xludf.DUMMYFUNCTION("""COMPUTED_VALUE"""),44296)</f>
        <v>44296</v>
      </c>
      <c r="B355" s="6" t="str">
        <f ca="1">IFERROR(__xludf.DUMMYFUNCTION("""COMPUTED_VALUE"""),"Rajat Nagil")</f>
        <v>Rajat Nagil</v>
      </c>
      <c r="C355" s="6" t="str">
        <f ca="1">IFERROR(__xludf.DUMMYFUNCTION("""COMPUTED_VALUE"""),"rajat.nagil97@gmail.com")</f>
        <v>rajat.nagil97@gmail.com</v>
      </c>
      <c r="D355" s="6">
        <f ca="1">IFERROR(__xludf.DUMMYFUNCTION("""COMPUTED_VALUE"""),9999376856)</f>
        <v>9999376856</v>
      </c>
      <c r="E355" s="6" t="str">
        <f ca="1">IFERROR(__xludf.DUMMYFUNCTION("""COMPUTED_VALUE"""),"chat_initiated")</f>
        <v>chat_initiated</v>
      </c>
      <c r="F355" s="6" t="str">
        <f ca="1">IFERROR(__xludf.DUMMYFUNCTION("""COMPUTED_VALUE"""),"SAFe Agile")</f>
        <v>SAFe Agile</v>
      </c>
      <c r="G355" s="80">
        <f ca="1">IFERROR(__xludf.DUMMYFUNCTION("""COMPUTED_VALUE"""),44287)</f>
        <v>44287</v>
      </c>
      <c r="H355" s="6" t="str">
        <f ca="1">IFERROR(__xludf.DUMMYFUNCTION("""COMPUTED_VALUE"""),"Won")</f>
        <v>Won</v>
      </c>
      <c r="I355" s="6" t="str">
        <f ca="1">IFERROR(__xludf.DUMMYFUNCTION("""COMPUTED_VALUE"""),"8-9 May 2021")</f>
        <v>8-9 May 2021</v>
      </c>
      <c r="J355" s="6">
        <f ca="1">IFERROR(__xludf.DUMMYFUNCTION("""COMPUTED_VALUE"""),1)</f>
        <v>1</v>
      </c>
      <c r="K355" s="8">
        <f ca="1">IFERROR(__xludf.DUMMYFUNCTION("""COMPUTED_VALUE"""),43000)</f>
        <v>43000</v>
      </c>
      <c r="L355" s="8">
        <f ca="1">IFERROR(__xludf.DUMMYFUNCTION("""COMPUTED_VALUE"""),492.441594136509)</f>
        <v>492.44159413650902</v>
      </c>
      <c r="M355" s="96">
        <f ca="1">IFERROR(__xludf.DUMMYFUNCTION("""COMPUTED_VALUE"""),44296)</f>
        <v>44296</v>
      </c>
      <c r="N355" s="6" t="str">
        <f ca="1">IFERROR(__xludf.DUMMYFUNCTION("""COMPUTED_VALUE"""),"F10")</f>
        <v>F10</v>
      </c>
      <c r="O355" s="97">
        <f ca="1">IFERROR(__xludf.DUMMYFUNCTION("""COMPUTED_VALUE"""),44296)</f>
        <v>44296</v>
      </c>
      <c r="P355" s="6" t="str">
        <f ca="1">IFERROR(__xludf.DUMMYFUNCTION("""COMPUTED_VALUE"""),"CSTM_5FWTOBRYTQJ")</f>
        <v>CSTM_5FWTOBRYTQJ</v>
      </c>
      <c r="Q355" s="6"/>
      <c r="R355" s="6" t="str">
        <f ca="1">IFERROR(__xludf.DUMMYFUNCTION("""COMPUTED_VALUE"""),"Pending")</f>
        <v>Pending</v>
      </c>
      <c r="S355" s="6" t="str">
        <f ca="1">IFERROR(__xludf.DUMMYFUNCTION("""COMPUTED_VALUE"""),"SAFe")</f>
        <v>SAFe</v>
      </c>
      <c r="T355" s="6"/>
      <c r="U355" s="6"/>
      <c r="V355" s="6"/>
      <c r="W355" s="6"/>
      <c r="X355" s="6"/>
      <c r="Y355" s="6"/>
      <c r="Z355" s="6"/>
      <c r="AA355" s="6"/>
      <c r="AB355" s="6"/>
      <c r="AC355" s="6"/>
      <c r="AD355" s="6"/>
      <c r="AE355" s="6"/>
      <c r="AF355" s="6"/>
      <c r="AG355" s="6"/>
      <c r="AH355" s="6"/>
      <c r="AI355" s="6"/>
      <c r="AJ355" s="6"/>
      <c r="AK355" s="6"/>
      <c r="AL355" s="6"/>
    </row>
    <row r="356" spans="1:38">
      <c r="A356" s="96">
        <f ca="1">IFERROR(__xludf.DUMMYFUNCTION("""COMPUTED_VALUE"""),44296)</f>
        <v>44296</v>
      </c>
      <c r="B356" s="6" t="str">
        <f ca="1">IFERROR(__xludf.DUMMYFUNCTION("""COMPUTED_VALUE"""),"Ravi Dutt")</f>
        <v>Ravi Dutt</v>
      </c>
      <c r="C356" s="6" t="str">
        <f ca="1">IFERROR(__xludf.DUMMYFUNCTION("""COMPUTED_VALUE"""),"ravi.dutt85@gmail.com")</f>
        <v>ravi.dutt85@gmail.com</v>
      </c>
      <c r="D356" s="6">
        <f ca="1">IFERROR(__xludf.DUMMYFUNCTION("""COMPUTED_VALUE"""),9619758184)</f>
        <v>9619758184</v>
      </c>
      <c r="E356" s="6" t="str">
        <f ca="1">IFERROR(__xludf.DUMMYFUNCTION("""COMPUTED_VALUE"""),"Query box")</f>
        <v>Query box</v>
      </c>
      <c r="F356" s="6" t="str">
        <f ca="1">IFERROR(__xludf.DUMMYFUNCTION("""COMPUTED_VALUE"""),"SAFe POPM")</f>
        <v>SAFe POPM</v>
      </c>
      <c r="G356" s="80">
        <f ca="1">IFERROR(__xludf.DUMMYFUNCTION("""COMPUTED_VALUE"""),44287)</f>
        <v>44287</v>
      </c>
      <c r="H356" s="6" t="str">
        <f ca="1">IFERROR(__xludf.DUMMYFUNCTION("""COMPUTED_VALUE"""),"Won")</f>
        <v>Won</v>
      </c>
      <c r="I356" s="6" t="str">
        <f ca="1">IFERROR(__xludf.DUMMYFUNCTION("""COMPUTED_VALUE"""),"8-9 May 2021")</f>
        <v>8-9 May 2021</v>
      </c>
      <c r="J356" s="6">
        <f ca="1">IFERROR(__xludf.DUMMYFUNCTION("""COMPUTED_VALUE"""),1)</f>
        <v>1</v>
      </c>
      <c r="K356" s="8">
        <f ca="1">IFERROR(__xludf.DUMMYFUNCTION("""COMPUTED_VALUE"""),50000)</f>
        <v>50000</v>
      </c>
      <c r="L356" s="8">
        <f ca="1">IFERROR(__xludf.DUMMYFUNCTION("""COMPUTED_VALUE"""),572.606504809894)</f>
        <v>572.60650480989398</v>
      </c>
      <c r="M356" s="96">
        <f ca="1">IFERROR(__xludf.DUMMYFUNCTION("""COMPUTED_VALUE"""),44296)</f>
        <v>44296</v>
      </c>
      <c r="N356" s="6" t="str">
        <f ca="1">IFERROR(__xludf.DUMMYFUNCTION("""COMPUTED_VALUE"""),"F10")</f>
        <v>F10</v>
      </c>
      <c r="O356" s="97">
        <f ca="1">IFERROR(__xludf.DUMMYFUNCTION("""COMPUTED_VALUE"""),44296)</f>
        <v>44296</v>
      </c>
      <c r="P356" s="6" t="str">
        <f ca="1">IFERROR(__xludf.DUMMYFUNCTION("""COMPUTED_VALUE"""),"CSTM_IQF4UDHTHQZ")</f>
        <v>CSTM_IQF4UDHTHQZ</v>
      </c>
      <c r="Q356" s="6"/>
      <c r="R356" s="6" t="str">
        <f ca="1">IFERROR(__xludf.DUMMYFUNCTION("""COMPUTED_VALUE"""),"Done. Good feedback.")</f>
        <v>Done. Good feedback.</v>
      </c>
      <c r="S356" s="6" t="str">
        <f ca="1">IFERROR(__xludf.DUMMYFUNCTION("""COMPUTED_VALUE"""),"SAFe")</f>
        <v>SAFe</v>
      </c>
      <c r="T356" s="6"/>
      <c r="U356" s="6"/>
      <c r="V356" s="6"/>
      <c r="W356" s="6"/>
      <c r="X356" s="6"/>
      <c r="Y356" s="6"/>
      <c r="Z356" s="6"/>
      <c r="AA356" s="6"/>
      <c r="AB356" s="6"/>
      <c r="AC356" s="6"/>
      <c r="AD356" s="6"/>
      <c r="AE356" s="6"/>
      <c r="AF356" s="6"/>
      <c r="AG356" s="6"/>
      <c r="AH356" s="6"/>
      <c r="AI356" s="6"/>
      <c r="AJ356" s="6"/>
      <c r="AK356" s="6"/>
      <c r="AL356" s="6"/>
    </row>
    <row r="357" spans="1:38">
      <c r="A357" s="96">
        <f ca="1">IFERROR(__xludf.DUMMYFUNCTION("""COMPUTED_VALUE"""),44287)</f>
        <v>44287</v>
      </c>
      <c r="B357" s="6" t="str">
        <f ca="1">IFERROR(__xludf.DUMMYFUNCTION("""COMPUTED_VALUE"""),"Rajan Sarang")</f>
        <v>Rajan Sarang</v>
      </c>
      <c r="C357" s="6" t="str">
        <f ca="1">IFERROR(__xludf.DUMMYFUNCTION("""COMPUTED_VALUE"""),"rajansarangi@gmail.com")</f>
        <v>rajansarangi@gmail.com</v>
      </c>
      <c r="D357" s="6">
        <f ca="1">IFERROR(__xludf.DUMMYFUNCTION("""COMPUTED_VALUE"""),9861343117)</f>
        <v>9861343117</v>
      </c>
      <c r="E357" s="6" t="str">
        <f ca="1">IFERROR(__xludf.DUMMYFUNCTION("""COMPUTED_VALUE"""),"chat_initiated")</f>
        <v>chat_initiated</v>
      </c>
      <c r="F357" s="6" t="str">
        <f ca="1">IFERROR(__xludf.DUMMYFUNCTION("""COMPUTED_VALUE"""),"PSPO")</f>
        <v>PSPO</v>
      </c>
      <c r="G357" s="80">
        <f ca="1">IFERROR(__xludf.DUMMYFUNCTION("""COMPUTED_VALUE"""),44287)</f>
        <v>44287</v>
      </c>
      <c r="H357" s="6" t="str">
        <f ca="1">IFERROR(__xludf.DUMMYFUNCTION("""COMPUTED_VALUE"""),"Opportunity")</f>
        <v>Opportunity</v>
      </c>
      <c r="I357" s="6" t="str">
        <f ca="1">IFERROR(__xludf.DUMMYFUNCTION("""COMPUTED_VALUE"""),"24-25 April 2021")</f>
        <v>24-25 April 2021</v>
      </c>
      <c r="J357" s="6">
        <f ca="1">IFERROR(__xludf.DUMMYFUNCTION("""COMPUTED_VALUE"""),1)</f>
        <v>1</v>
      </c>
      <c r="K357" s="8">
        <f ca="1">IFERROR(__xludf.DUMMYFUNCTION("""COMPUTED_VALUE"""),21000)</f>
        <v>21000</v>
      </c>
      <c r="L357" s="8">
        <f ca="1">IFERROR(__xludf.DUMMYFUNCTION("""COMPUTED_VALUE"""),240.494732020155)</f>
        <v>240.494732020155</v>
      </c>
      <c r="M357" s="96">
        <f ca="1">IFERROR(__xludf.DUMMYFUNCTION("""COMPUTED_VALUE"""),44302)</f>
        <v>44302</v>
      </c>
      <c r="N357" s="6"/>
      <c r="O357" s="97"/>
      <c r="P357" s="6"/>
      <c r="Q357" s="6"/>
      <c r="R357" s="6"/>
      <c r="S357" s="6" t="str">
        <f ca="1">IFERROR(__xludf.DUMMYFUNCTION("""COMPUTED_VALUE"""),"Category")</f>
        <v>Category</v>
      </c>
      <c r="T357" s="6"/>
      <c r="U357" s="6"/>
      <c r="V357" s="6"/>
      <c r="W357" s="6"/>
      <c r="X357" s="6"/>
      <c r="Y357" s="6"/>
      <c r="Z357" s="6"/>
      <c r="AA357" s="6"/>
      <c r="AB357" s="6"/>
      <c r="AC357" s="6"/>
      <c r="AD357" s="6"/>
      <c r="AE357" s="6"/>
      <c r="AF357" s="6"/>
      <c r="AG357" s="6"/>
      <c r="AH357" s="6"/>
      <c r="AI357" s="6"/>
      <c r="AJ357" s="6"/>
      <c r="AK357" s="6"/>
      <c r="AL357" s="6"/>
    </row>
    <row r="358" spans="1:38">
      <c r="A358" s="96">
        <f ca="1">IFERROR(__xludf.DUMMYFUNCTION("""COMPUTED_VALUE"""),44293)</f>
        <v>44293</v>
      </c>
      <c r="B358" s="6" t="str">
        <f ca="1">IFERROR(__xludf.DUMMYFUNCTION("""COMPUTED_VALUE"""),"Preeti Kamble")</f>
        <v>Preeti Kamble</v>
      </c>
      <c r="C358" s="6" t="str">
        <f ca="1">IFERROR(__xludf.DUMMYFUNCTION("""COMPUTED_VALUE"""),"preetikamble13@gmail.com")</f>
        <v>preetikamble13@gmail.com</v>
      </c>
      <c r="D358" s="6">
        <f ca="1">IFERROR(__xludf.DUMMYFUNCTION("""COMPUTED_VALUE"""),8308813294)</f>
        <v>8308813294</v>
      </c>
      <c r="E358" s="6" t="str">
        <f ca="1">IFERROR(__xludf.DUMMYFUNCTION("""COMPUTED_VALUE"""),"course preview")</f>
        <v>course preview</v>
      </c>
      <c r="F358" s="6" t="str">
        <f ca="1">IFERROR(__xludf.DUMMYFUNCTION("""COMPUTED_VALUE"""),"CSM")</f>
        <v>CSM</v>
      </c>
      <c r="G358" s="80">
        <f ca="1">IFERROR(__xludf.DUMMYFUNCTION("""COMPUTED_VALUE"""),44287)</f>
        <v>44287</v>
      </c>
      <c r="H358" s="6" t="str">
        <f ca="1">IFERROR(__xludf.DUMMYFUNCTION("""COMPUTED_VALUE"""),"Opportunity")</f>
        <v>Opportunity</v>
      </c>
      <c r="I358" s="6" t="str">
        <f ca="1">IFERROR(__xludf.DUMMYFUNCTION("""COMPUTED_VALUE"""),"24-25 April 2021")</f>
        <v>24-25 April 2021</v>
      </c>
      <c r="J358" s="6">
        <f ca="1">IFERROR(__xludf.DUMMYFUNCTION("""COMPUTED_VALUE"""),1)</f>
        <v>1</v>
      </c>
      <c r="K358" s="8">
        <f ca="1">IFERROR(__xludf.DUMMYFUNCTION("""COMPUTED_VALUE"""),20000)</f>
        <v>20000</v>
      </c>
      <c r="L358" s="8">
        <f ca="1">IFERROR(__xludf.DUMMYFUNCTION("""COMPUTED_VALUE"""),229.042601923957)</f>
        <v>229.04260192395699</v>
      </c>
      <c r="M358" s="96">
        <f ca="1">IFERROR(__xludf.DUMMYFUNCTION("""COMPUTED_VALUE"""),44294)</f>
        <v>44294</v>
      </c>
      <c r="N358" s="6"/>
      <c r="O358" s="97"/>
      <c r="P358" s="6"/>
      <c r="Q358" s="6"/>
      <c r="R358" s="6"/>
      <c r="S358" s="6" t="str">
        <f ca="1">IFERROR(__xludf.DUMMYFUNCTION("""COMPUTED_VALUE"""),"Category")</f>
        <v>Category</v>
      </c>
      <c r="T358" s="6"/>
      <c r="U358" s="6"/>
      <c r="V358" s="6"/>
      <c r="W358" s="6"/>
      <c r="X358" s="6"/>
      <c r="Y358" s="6"/>
      <c r="Z358" s="6"/>
      <c r="AA358" s="6"/>
      <c r="AB358" s="6"/>
      <c r="AC358" s="6"/>
      <c r="AD358" s="6"/>
      <c r="AE358" s="6"/>
      <c r="AF358" s="6"/>
      <c r="AG358" s="6"/>
      <c r="AH358" s="6"/>
      <c r="AI358" s="6"/>
      <c r="AJ358" s="6"/>
      <c r="AK358" s="6"/>
      <c r="AL358" s="6"/>
    </row>
    <row r="359" spans="1:38">
      <c r="A359" s="96">
        <f ca="1">IFERROR(__xludf.DUMMYFUNCTION("""COMPUTED_VALUE"""),44295)</f>
        <v>44295</v>
      </c>
      <c r="B359" s="6" t="str">
        <f ca="1">IFERROR(__xludf.DUMMYFUNCTION("""COMPUTED_VALUE"""),"Sapna Acharya")</f>
        <v>Sapna Acharya</v>
      </c>
      <c r="C359" s="6" t="str">
        <f ca="1">IFERROR(__xludf.DUMMYFUNCTION("""COMPUTED_VALUE"""),"mail4sap13@gmail.com")</f>
        <v>mail4sap13@gmail.com</v>
      </c>
      <c r="D359" s="6">
        <f ca="1">IFERROR(__xludf.DUMMYFUNCTION("""COMPUTED_VALUE"""),8584832151)</f>
        <v>8584832151</v>
      </c>
      <c r="E359" s="6" t="str">
        <f ca="1">IFERROR(__xludf.DUMMYFUNCTION("""COMPUTED_VALUE"""),"na-payment")</f>
        <v>na-payment</v>
      </c>
      <c r="F359" s="6" t="str">
        <f ca="1">IFERROR(__xludf.DUMMYFUNCTION("""COMPUTED_VALUE"""),"PSM")</f>
        <v>PSM</v>
      </c>
      <c r="G359" s="80">
        <f ca="1">IFERROR(__xludf.DUMMYFUNCTION("""COMPUTED_VALUE"""),44287)</f>
        <v>44287</v>
      </c>
      <c r="H359" s="6" t="str">
        <f ca="1">IFERROR(__xludf.DUMMYFUNCTION("""COMPUTED_VALUE"""),"Won")</f>
        <v>Won</v>
      </c>
      <c r="I359" s="6" t="str">
        <f ca="1">IFERROR(__xludf.DUMMYFUNCTION("""COMPUTED_VALUE"""),"17-18 April 2021")</f>
        <v>17-18 April 2021</v>
      </c>
      <c r="J359" s="6">
        <f ca="1">IFERROR(__xludf.DUMMYFUNCTION("""COMPUTED_VALUE"""),1)</f>
        <v>1</v>
      </c>
      <c r="K359" s="8">
        <f ca="1">IFERROR(__xludf.DUMMYFUNCTION("""COMPUTED_VALUE"""),21000)</f>
        <v>21000</v>
      </c>
      <c r="L359" s="8">
        <f ca="1">IFERROR(__xludf.DUMMYFUNCTION("""COMPUTED_VALUE"""),240.494732020155)</f>
        <v>240.494732020155</v>
      </c>
      <c r="M359" s="96">
        <f ca="1">IFERROR(__xludf.DUMMYFUNCTION("""COMPUTED_VALUE"""),44297)</f>
        <v>44297</v>
      </c>
      <c r="N359" s="6" t="str">
        <f ca="1">IFERROR(__xludf.DUMMYFUNCTION("""COMPUTED_VALUE"""),"S10")</f>
        <v>S10</v>
      </c>
      <c r="O359" s="97">
        <f ca="1">IFERROR(__xludf.DUMMYFUNCTION("""COMPUTED_VALUE"""),44297)</f>
        <v>44297</v>
      </c>
      <c r="P359" s="6" t="str">
        <f ca="1">IFERROR(__xludf.DUMMYFUNCTION("""COMPUTED_VALUE"""),"CSTM_SP80XU1BCO")</f>
        <v>CSTM_SP80XU1BCO</v>
      </c>
      <c r="Q359" s="6"/>
      <c r="R359" s="6" t="str">
        <f ca="1">IFERROR(__xludf.DUMMYFUNCTION("""COMPUTED_VALUE"""),"Done. Good feedback.")</f>
        <v>Done. Good feedback.</v>
      </c>
      <c r="S359" s="6" t="str">
        <f ca="1">IFERROR(__xludf.DUMMYFUNCTION("""COMPUTED_VALUE"""),"Category")</f>
        <v>Category</v>
      </c>
      <c r="T359" s="6"/>
      <c r="U359" s="6"/>
      <c r="V359" s="6"/>
      <c r="W359" s="6"/>
      <c r="X359" s="6"/>
      <c r="Y359" s="6"/>
      <c r="Z359" s="6"/>
      <c r="AA359" s="6"/>
      <c r="AB359" s="6"/>
      <c r="AC359" s="6"/>
      <c r="AD359" s="6"/>
      <c r="AE359" s="6"/>
      <c r="AF359" s="6"/>
      <c r="AG359" s="6"/>
      <c r="AH359" s="6"/>
      <c r="AI359" s="6"/>
      <c r="AJ359" s="6"/>
      <c r="AK359" s="6"/>
      <c r="AL359" s="6"/>
    </row>
    <row r="360" spans="1:38">
      <c r="A360" s="96">
        <f ca="1">IFERROR(__xludf.DUMMYFUNCTION("""COMPUTED_VALUE"""),44295)</f>
        <v>44295</v>
      </c>
      <c r="B360" s="6" t="str">
        <f ca="1">IFERROR(__xludf.DUMMYFUNCTION("""COMPUTED_VALUE"""),"Rittu")</f>
        <v>Rittu</v>
      </c>
      <c r="C360" s="6" t="str">
        <f ca="1">IFERROR(__xludf.DUMMYFUNCTION("""COMPUTED_VALUE"""),"rittumerin@gmail.com")</f>
        <v>rittumerin@gmail.com</v>
      </c>
      <c r="D360" s="6">
        <f ca="1">IFERROR(__xludf.DUMMYFUNCTION("""COMPUTED_VALUE"""),8089310443)</f>
        <v>8089310443</v>
      </c>
      <c r="E360" s="6" t="str">
        <f ca="1">IFERROR(__xludf.DUMMYFUNCTION("""COMPUTED_VALUE"""),"Chat_triggered")</f>
        <v>Chat_triggered</v>
      </c>
      <c r="F360" s="6" t="str">
        <f ca="1">IFERROR(__xludf.DUMMYFUNCTION("""COMPUTED_VALUE"""),"Lean Six Sigma Black Belt")</f>
        <v>Lean Six Sigma Black Belt</v>
      </c>
      <c r="G360" s="80">
        <f ca="1">IFERROR(__xludf.DUMMYFUNCTION("""COMPUTED_VALUE"""),44287)</f>
        <v>44287</v>
      </c>
      <c r="H360" s="6" t="str">
        <f ca="1">IFERROR(__xludf.DUMMYFUNCTION("""COMPUTED_VALUE"""),"Won")</f>
        <v>Won</v>
      </c>
      <c r="I360" s="6" t="str">
        <f ca="1">IFERROR(__xludf.DUMMYFUNCTION("""COMPUTED_VALUE"""),"17 April 2021")</f>
        <v>17 April 2021</v>
      </c>
      <c r="J360" s="6">
        <f ca="1">IFERROR(__xludf.DUMMYFUNCTION("""COMPUTED_VALUE"""),1)</f>
        <v>1</v>
      </c>
      <c r="K360" s="8">
        <f ca="1">IFERROR(__xludf.DUMMYFUNCTION("""COMPUTED_VALUE"""),12000)</f>
        <v>12000</v>
      </c>
      <c r="L360" s="8">
        <f ca="1">IFERROR(__xludf.DUMMYFUNCTION("""COMPUTED_VALUE"""),137.425561154374)</f>
        <v>137.42556115437401</v>
      </c>
      <c r="M360" s="96">
        <f ca="1">IFERROR(__xludf.DUMMYFUNCTION("""COMPUTED_VALUE"""),44300)</f>
        <v>44300</v>
      </c>
      <c r="N360" s="6" t="str">
        <f ca="1">IFERROR(__xludf.DUMMYFUNCTION("""COMPUTED_VALUE"""),"S10")</f>
        <v>S10</v>
      </c>
      <c r="O360" s="97">
        <f ca="1">IFERROR(__xludf.DUMMYFUNCTION("""COMPUTED_VALUE"""),44301)</f>
        <v>44301</v>
      </c>
      <c r="P360" s="6" t="str">
        <f ca="1">IFERROR(__xludf.DUMMYFUNCTION("""COMPUTED_VALUE"""),"CSTM_4JHXGZ4O8EC")</f>
        <v>CSTM_4JHXGZ4O8EC</v>
      </c>
      <c r="Q360" s="6"/>
      <c r="R360" s="6"/>
      <c r="S360" s="6" t="str">
        <f ca="1">IFERROR(__xludf.DUMMYFUNCTION("""COMPUTED_VALUE"""),"NonCategory")</f>
        <v>NonCategory</v>
      </c>
      <c r="T360" s="6"/>
      <c r="U360" s="6"/>
      <c r="V360" s="6"/>
      <c r="W360" s="6"/>
      <c r="X360" s="6"/>
      <c r="Y360" s="6"/>
      <c r="Z360" s="6"/>
      <c r="AA360" s="6"/>
      <c r="AB360" s="6"/>
      <c r="AC360" s="6"/>
      <c r="AD360" s="6"/>
      <c r="AE360" s="6"/>
      <c r="AF360" s="6"/>
      <c r="AG360" s="6"/>
      <c r="AH360" s="6"/>
      <c r="AI360" s="6"/>
      <c r="AJ360" s="6"/>
      <c r="AK360" s="6"/>
      <c r="AL360" s="6"/>
    </row>
    <row r="361" spans="1:38">
      <c r="A361" s="96">
        <f ca="1">IFERROR(__xludf.DUMMYFUNCTION("""COMPUTED_VALUE"""),44301)</f>
        <v>44301</v>
      </c>
      <c r="B361" s="6" t="str">
        <f ca="1">IFERROR(__xludf.DUMMYFUNCTION("""COMPUTED_VALUE"""),"Hemaxi Shakkarpude")</f>
        <v>Hemaxi Shakkarpude</v>
      </c>
      <c r="C361" s="6" t="str">
        <f ca="1">IFERROR(__xludf.DUMMYFUNCTION("""COMPUTED_VALUE"""),"himaxi.shakkarpude94@gmail.com")</f>
        <v>himaxi.shakkarpude94@gmail.com</v>
      </c>
      <c r="D361" s="6">
        <f ca="1">IFERROR(__xludf.DUMMYFUNCTION("""COMPUTED_VALUE"""),9158966688)</f>
        <v>9158966688</v>
      </c>
      <c r="E361" s="6" t="str">
        <f ca="1">IFERROR(__xludf.DUMMYFUNCTION("""COMPUTED_VALUE"""),"Chat_triggered")</f>
        <v>Chat_triggered</v>
      </c>
      <c r="F361" s="6" t="str">
        <f ca="1">IFERROR(__xludf.DUMMYFUNCTION("""COMPUTED_VALUE"""),"PSM")</f>
        <v>PSM</v>
      </c>
      <c r="G361" s="80">
        <f ca="1">IFERROR(__xludf.DUMMYFUNCTION("""COMPUTED_VALUE"""),44287)</f>
        <v>44287</v>
      </c>
      <c r="H361" s="6" t="str">
        <f ca="1">IFERROR(__xludf.DUMMYFUNCTION("""COMPUTED_VALUE"""),"Won")</f>
        <v>Won</v>
      </c>
      <c r="I361" s="6" t="str">
        <f ca="1">IFERROR(__xludf.DUMMYFUNCTION("""COMPUTED_VALUE"""),"17-18 April 2021")</f>
        <v>17-18 April 2021</v>
      </c>
      <c r="J361" s="6">
        <f ca="1">IFERROR(__xludf.DUMMYFUNCTION("""COMPUTED_VALUE"""),1)</f>
        <v>1</v>
      </c>
      <c r="K361" s="8">
        <f ca="1">IFERROR(__xludf.DUMMYFUNCTION("""COMPUTED_VALUE"""),21000)</f>
        <v>21000</v>
      </c>
      <c r="L361" s="8">
        <f ca="1">IFERROR(__xludf.DUMMYFUNCTION("""COMPUTED_VALUE"""),240.494732020155)</f>
        <v>240.494732020155</v>
      </c>
      <c r="M361" s="96">
        <f ca="1">IFERROR(__xludf.DUMMYFUNCTION("""COMPUTED_VALUE"""),44301)</f>
        <v>44301</v>
      </c>
      <c r="N361" s="6" t="str">
        <f ca="1">IFERROR(__xludf.DUMMYFUNCTION("""COMPUTED_VALUE"""),"S10")</f>
        <v>S10</v>
      </c>
      <c r="O361" s="97">
        <f ca="1">IFERROR(__xludf.DUMMYFUNCTION("""COMPUTED_VALUE"""),44301)</f>
        <v>44301</v>
      </c>
      <c r="P361" s="6" t="str">
        <f ca="1">IFERROR(__xludf.DUMMYFUNCTION("""COMPUTED_VALUE"""),"CSTM_JJW0485U3M")</f>
        <v>CSTM_JJW0485U3M</v>
      </c>
      <c r="Q361" s="6"/>
      <c r="R361" s="6" t="str">
        <f ca="1">IFERROR(__xludf.DUMMYFUNCTION("""COMPUTED_VALUE"""),"Done. Good feedback.")</f>
        <v>Done. Good feedback.</v>
      </c>
      <c r="S361" s="6" t="str">
        <f ca="1">IFERROR(__xludf.DUMMYFUNCTION("""COMPUTED_VALUE"""),"Category")</f>
        <v>Category</v>
      </c>
      <c r="T361" s="6"/>
      <c r="U361" s="6"/>
      <c r="V361" s="6"/>
      <c r="W361" s="6"/>
      <c r="X361" s="6"/>
      <c r="Y361" s="6"/>
      <c r="Z361" s="6"/>
      <c r="AA361" s="6"/>
      <c r="AB361" s="6"/>
      <c r="AC361" s="6"/>
      <c r="AD361" s="6"/>
      <c r="AE361" s="6"/>
      <c r="AF361" s="6"/>
      <c r="AG361" s="6"/>
      <c r="AH361" s="6"/>
      <c r="AI361" s="6"/>
      <c r="AJ361" s="6"/>
      <c r="AK361" s="6"/>
      <c r="AL361" s="6"/>
    </row>
    <row r="362" spans="1:38">
      <c r="A362" s="96">
        <f ca="1">IFERROR(__xludf.DUMMYFUNCTION("""COMPUTED_VALUE"""),44231)</f>
        <v>44231</v>
      </c>
      <c r="B362" s="6" t="str">
        <f ca="1">IFERROR(__xludf.DUMMYFUNCTION("""COMPUTED_VALUE"""),"Subho Bose")</f>
        <v>Subho Bose</v>
      </c>
      <c r="C362" s="6" t="str">
        <f ca="1">IFERROR(__xludf.DUMMYFUNCTION("""COMPUTED_VALUE"""),"boon0077@gmail.com")</f>
        <v>boon0077@gmail.com</v>
      </c>
      <c r="D362" s="6">
        <f ca="1">IFERROR(__xludf.DUMMYFUNCTION("""COMPUTED_VALUE"""),8420347614)</f>
        <v>8420347614</v>
      </c>
      <c r="E362" s="6" t="str">
        <f ca="1">IFERROR(__xludf.DUMMYFUNCTION("""COMPUTED_VALUE"""),"Chat_triggered")</f>
        <v>Chat_triggered</v>
      </c>
      <c r="F362" s="6" t="str">
        <f ca="1">IFERROR(__xludf.DUMMYFUNCTION("""COMPUTED_VALUE"""),"CSPO")</f>
        <v>CSPO</v>
      </c>
      <c r="G362" s="80">
        <f ca="1">IFERROR(__xludf.DUMMYFUNCTION("""COMPUTED_VALUE"""),44287)</f>
        <v>44287</v>
      </c>
      <c r="H362" s="6" t="str">
        <f ca="1">IFERROR(__xludf.DUMMYFUNCTION("""COMPUTED_VALUE"""),"Won")</f>
        <v>Won</v>
      </c>
      <c r="I362" s="6" t="str">
        <f ca="1">IFERROR(__xludf.DUMMYFUNCTION("""COMPUTED_VALUE"""),"24-25 April 2021")</f>
        <v>24-25 April 2021</v>
      </c>
      <c r="J362" s="6">
        <f ca="1">IFERROR(__xludf.DUMMYFUNCTION("""COMPUTED_VALUE"""),1)</f>
        <v>1</v>
      </c>
      <c r="K362" s="8">
        <f ca="1">IFERROR(__xludf.DUMMYFUNCTION("""COMPUTED_VALUE"""),20000)</f>
        <v>20000</v>
      </c>
      <c r="L362" s="8">
        <f ca="1">IFERROR(__xludf.DUMMYFUNCTION("""COMPUTED_VALUE"""),229.042601923957)</f>
        <v>229.04260192395699</v>
      </c>
      <c r="M362" s="96">
        <f ca="1">IFERROR(__xludf.DUMMYFUNCTION("""COMPUTED_VALUE"""),44302)</f>
        <v>44302</v>
      </c>
      <c r="N362" s="6" t="str">
        <f ca="1">IFERROR(__xludf.DUMMYFUNCTION("""COMPUTED_VALUE"""),"S10")</f>
        <v>S10</v>
      </c>
      <c r="O362" s="97">
        <f ca="1">IFERROR(__xludf.DUMMYFUNCTION("""COMPUTED_VALUE"""),44302)</f>
        <v>44302</v>
      </c>
      <c r="P362" s="6" t="str">
        <f ca="1">IFERROR(__xludf.DUMMYFUNCTION("""COMPUTED_VALUE"""),"CSTM_CS3D62BRHRT")</f>
        <v>CSTM_CS3D62BRHRT</v>
      </c>
      <c r="Q362" s="6"/>
      <c r="R362" s="6" t="str">
        <f ca="1">IFERROR(__xludf.DUMMYFUNCTION("""COMPUTED_VALUE"""),"Done. Good feedback.")</f>
        <v>Done. Good feedback.</v>
      </c>
      <c r="S362" s="6" t="str">
        <f ca="1">IFERROR(__xludf.DUMMYFUNCTION("""COMPUTED_VALUE"""),"Category")</f>
        <v>Category</v>
      </c>
      <c r="T362" s="6"/>
      <c r="U362" s="6"/>
      <c r="V362" s="6"/>
      <c r="W362" s="6"/>
      <c r="X362" s="6"/>
      <c r="Y362" s="6"/>
      <c r="Z362" s="6"/>
      <c r="AA362" s="6"/>
      <c r="AB362" s="6"/>
      <c r="AC362" s="6"/>
      <c r="AD362" s="6"/>
      <c r="AE362" s="6"/>
      <c r="AF362" s="6"/>
      <c r="AG362" s="6"/>
      <c r="AH362" s="6"/>
      <c r="AI362" s="6"/>
      <c r="AJ362" s="6"/>
      <c r="AK362" s="6"/>
      <c r="AL362" s="6"/>
    </row>
    <row r="363" spans="1:38">
      <c r="A363" s="96">
        <f ca="1">IFERROR(__xludf.DUMMYFUNCTION("""COMPUTED_VALUE"""),44301)</f>
        <v>44301</v>
      </c>
      <c r="B363" s="6" t="str">
        <f ca="1">IFERROR(__xludf.DUMMYFUNCTION("""COMPUTED_VALUE"""),"Shivangi Shailesh")</f>
        <v>Shivangi Shailesh</v>
      </c>
      <c r="C363" s="6" t="str">
        <f ca="1">IFERROR(__xludf.DUMMYFUNCTION("""COMPUTED_VALUE"""),"shivangishailesh14@gmail.com")</f>
        <v>shivangishailesh14@gmail.com</v>
      </c>
      <c r="D363" s="6">
        <f ca="1">IFERROR(__xludf.DUMMYFUNCTION("""COMPUTED_VALUE"""),8095046123)</f>
        <v>8095046123</v>
      </c>
      <c r="E363" s="6" t="str">
        <f ca="1">IFERROR(__xludf.DUMMYFUNCTION("""COMPUTED_VALUE"""),"Query box")</f>
        <v>Query box</v>
      </c>
      <c r="F363" s="6" t="str">
        <f ca="1">IFERROR(__xludf.DUMMYFUNCTION("""COMPUTED_VALUE"""),"PSM")</f>
        <v>PSM</v>
      </c>
      <c r="G363" s="80">
        <f ca="1">IFERROR(__xludf.DUMMYFUNCTION("""COMPUTED_VALUE"""),44287)</f>
        <v>44287</v>
      </c>
      <c r="H363" s="6" t="str">
        <f ca="1">IFERROR(__xludf.DUMMYFUNCTION("""COMPUTED_VALUE"""),"Won")</f>
        <v>Won</v>
      </c>
      <c r="I363" s="6" t="str">
        <f ca="1">IFERROR(__xludf.DUMMYFUNCTION("""COMPUTED_VALUE"""),"17-18 April 2021")</f>
        <v>17-18 April 2021</v>
      </c>
      <c r="J363" s="6">
        <f ca="1">IFERROR(__xludf.DUMMYFUNCTION("""COMPUTED_VALUE"""),1)</f>
        <v>1</v>
      </c>
      <c r="K363" s="8">
        <f ca="1">IFERROR(__xludf.DUMMYFUNCTION("""COMPUTED_VALUE"""),20000)</f>
        <v>20000</v>
      </c>
      <c r="L363" s="8">
        <f ca="1">IFERROR(__xludf.DUMMYFUNCTION("""COMPUTED_VALUE"""),229.042601923957)</f>
        <v>229.04260192395699</v>
      </c>
      <c r="M363" s="96">
        <f ca="1">IFERROR(__xludf.DUMMYFUNCTION("""COMPUTED_VALUE"""),44302)</f>
        <v>44302</v>
      </c>
      <c r="N363" s="6" t="str">
        <f ca="1">IFERROR(__xludf.DUMMYFUNCTION("""COMPUTED_VALUE"""),"S10")</f>
        <v>S10</v>
      </c>
      <c r="O363" s="97">
        <f ca="1">IFERROR(__xludf.DUMMYFUNCTION("""COMPUTED_VALUE"""),44302)</f>
        <v>44302</v>
      </c>
      <c r="P363" s="6" t="str">
        <f ca="1">IFERROR(__xludf.DUMMYFUNCTION("""COMPUTED_VALUE"""),"CSTM_CFB2SQ5S5OT")</f>
        <v>CSTM_CFB2SQ5S5OT</v>
      </c>
      <c r="Q363" s="6"/>
      <c r="R363" s="6" t="str">
        <f ca="1">IFERROR(__xludf.DUMMYFUNCTION("""COMPUTED_VALUE"""),"Pending")</f>
        <v>Pending</v>
      </c>
      <c r="S363" s="6" t="str">
        <f ca="1">IFERROR(__xludf.DUMMYFUNCTION("""COMPUTED_VALUE"""),"Category")</f>
        <v>Category</v>
      </c>
      <c r="T363" s="6"/>
      <c r="U363" s="6"/>
      <c r="V363" s="6"/>
      <c r="W363" s="6"/>
      <c r="X363" s="6"/>
      <c r="Y363" s="6"/>
      <c r="Z363" s="6"/>
      <c r="AA363" s="6"/>
      <c r="AB363" s="6"/>
      <c r="AC363" s="6"/>
      <c r="AD363" s="6"/>
      <c r="AE363" s="6"/>
      <c r="AF363" s="6"/>
      <c r="AG363" s="6"/>
      <c r="AH363" s="6"/>
      <c r="AI363" s="6"/>
      <c r="AJ363" s="6"/>
      <c r="AK363" s="6"/>
      <c r="AL363" s="6"/>
    </row>
    <row r="364" spans="1:38">
      <c r="A364" s="96">
        <f ca="1">IFERROR(__xludf.DUMMYFUNCTION("""COMPUTED_VALUE"""),44303)</f>
        <v>44303</v>
      </c>
      <c r="B364" s="6" t="str">
        <f ca="1">IFERROR(__xludf.DUMMYFUNCTION("""COMPUTED_VALUE"""),"Prashanth")</f>
        <v>Prashanth</v>
      </c>
      <c r="C364" s="6" t="str">
        <f ca="1">IFERROR(__xludf.DUMMYFUNCTION("""COMPUTED_VALUE"""),"prashanth398@gmail.com")</f>
        <v>prashanth398@gmail.com</v>
      </c>
      <c r="D364" s="6">
        <f ca="1">IFERROR(__xludf.DUMMYFUNCTION("""COMPUTED_VALUE"""),9700479774)</f>
        <v>9700479774</v>
      </c>
      <c r="E364" s="6" t="str">
        <f ca="1">IFERROR(__xludf.DUMMYFUNCTION("""COMPUTED_VALUE"""),"Chat_triggered")</f>
        <v>Chat_triggered</v>
      </c>
      <c r="F364" s="6" t="str">
        <f ca="1">IFERROR(__xludf.DUMMYFUNCTION("""COMPUTED_VALUE"""),"CSPO")</f>
        <v>CSPO</v>
      </c>
      <c r="G364" s="80">
        <f ca="1">IFERROR(__xludf.DUMMYFUNCTION("""COMPUTED_VALUE"""),44287)</f>
        <v>44287</v>
      </c>
      <c r="H364" s="6" t="str">
        <f ca="1">IFERROR(__xludf.DUMMYFUNCTION("""COMPUTED_VALUE"""),"Won")</f>
        <v>Won</v>
      </c>
      <c r="I364" s="6" t="str">
        <f ca="1">IFERROR(__xludf.DUMMYFUNCTION("""COMPUTED_VALUE"""),"24-25 April 2021")</f>
        <v>24-25 April 2021</v>
      </c>
      <c r="J364" s="6">
        <f ca="1">IFERROR(__xludf.DUMMYFUNCTION("""COMPUTED_VALUE"""),1)</f>
        <v>1</v>
      </c>
      <c r="K364" s="8">
        <f ca="1">IFERROR(__xludf.DUMMYFUNCTION("""COMPUTED_VALUE"""),19000)</f>
        <v>19000</v>
      </c>
      <c r="L364" s="8">
        <f ca="1">IFERROR(__xludf.DUMMYFUNCTION("""COMPUTED_VALUE"""),217.590471827759)</f>
        <v>217.59047182775899</v>
      </c>
      <c r="M364" s="96">
        <f ca="1">IFERROR(__xludf.DUMMYFUNCTION("""COMPUTED_VALUE"""),44304)</f>
        <v>44304</v>
      </c>
      <c r="N364" s="6" t="str">
        <f ca="1">IFERROR(__xludf.DUMMYFUNCTION("""COMPUTED_VALUE"""),"S10")</f>
        <v>S10</v>
      </c>
      <c r="O364" s="97">
        <f ca="1">IFERROR(__xludf.DUMMYFUNCTION("""COMPUTED_VALUE"""),44304)</f>
        <v>44304</v>
      </c>
      <c r="P364" s="6" t="str">
        <f ca="1">IFERROR(__xludf.DUMMYFUNCTION("""COMPUTED_VALUE"""),"CSTM_40WCKA9VC9K")</f>
        <v>CSTM_40WCKA9VC9K</v>
      </c>
      <c r="Q364" s="6"/>
      <c r="R364" s="6" t="str">
        <f ca="1">IFERROR(__xludf.DUMMYFUNCTION("""COMPUTED_VALUE"""),"Pending")</f>
        <v>Pending</v>
      </c>
      <c r="S364" s="6" t="str">
        <f ca="1">IFERROR(__xludf.DUMMYFUNCTION("""COMPUTED_VALUE"""),"Category")</f>
        <v>Category</v>
      </c>
      <c r="T364" s="6"/>
      <c r="U364" s="6"/>
      <c r="V364" s="6"/>
      <c r="W364" s="6"/>
      <c r="X364" s="6"/>
      <c r="Y364" s="6"/>
      <c r="Z364" s="6"/>
      <c r="AA364" s="6"/>
      <c r="AB364" s="6"/>
      <c r="AC364" s="6"/>
      <c r="AD364" s="6"/>
      <c r="AE364" s="6"/>
      <c r="AF364" s="6"/>
      <c r="AG364" s="6"/>
      <c r="AH364" s="6"/>
      <c r="AI364" s="6"/>
      <c r="AJ364" s="6"/>
      <c r="AK364" s="6"/>
      <c r="AL364" s="6"/>
    </row>
    <row r="365" spans="1:38">
      <c r="A365" s="96">
        <f ca="1">IFERROR(__xludf.DUMMYFUNCTION("""COMPUTED_VALUE"""),44302)</f>
        <v>44302</v>
      </c>
      <c r="B365" s="6" t="str">
        <f ca="1">IFERROR(__xludf.DUMMYFUNCTION("""COMPUTED_VALUE"""),"Jemima Felix")</f>
        <v>Jemima Felix</v>
      </c>
      <c r="C365" s="6" t="str">
        <f ca="1">IFERROR(__xludf.DUMMYFUNCTION("""COMPUTED_VALUE"""),"jemimarajkumar@gmail.com")</f>
        <v>jemimarajkumar@gmail.com</v>
      </c>
      <c r="D365" s="6">
        <f ca="1">IFERROR(__xludf.DUMMYFUNCTION("""COMPUTED_VALUE"""),9008001100)</f>
        <v>9008001100</v>
      </c>
      <c r="E365" s="6" t="str">
        <f ca="1">IFERROR(__xludf.DUMMYFUNCTION("""COMPUTED_VALUE"""),"Chat_triggered")</f>
        <v>Chat_triggered</v>
      </c>
      <c r="F365" s="6" t="str">
        <f ca="1">IFERROR(__xludf.DUMMYFUNCTION("""COMPUTED_VALUE"""),"SAFe Agile")</f>
        <v>SAFe Agile</v>
      </c>
      <c r="G365" s="80">
        <f ca="1">IFERROR(__xludf.DUMMYFUNCTION("""COMPUTED_VALUE"""),44287)</f>
        <v>44287</v>
      </c>
      <c r="H365" s="6" t="str">
        <f ca="1">IFERROR(__xludf.DUMMYFUNCTION("""COMPUTED_VALUE"""),"Won")</f>
        <v>Won</v>
      </c>
      <c r="I365" s="6" t="str">
        <f ca="1">IFERROR(__xludf.DUMMYFUNCTION("""COMPUTED_VALUE"""),"24-25 April 2021")</f>
        <v>24-25 April 2021</v>
      </c>
      <c r="J365" s="6">
        <f ca="1">IFERROR(__xludf.DUMMYFUNCTION("""COMPUTED_VALUE"""),1)</f>
        <v>1</v>
      </c>
      <c r="K365" s="8">
        <f ca="1">IFERROR(__xludf.DUMMYFUNCTION("""COMPUTED_VALUE"""),45000)</f>
        <v>45000</v>
      </c>
      <c r="L365" s="8">
        <f ca="1">IFERROR(__xludf.DUMMYFUNCTION("""COMPUTED_VALUE"""),515.345854328905)</f>
        <v>515.34585432890503</v>
      </c>
      <c r="M365" s="96">
        <f ca="1">IFERROR(__xludf.DUMMYFUNCTION("""COMPUTED_VALUE"""),44304)</f>
        <v>44304</v>
      </c>
      <c r="N365" s="6" t="str">
        <f ca="1">IFERROR(__xludf.DUMMYFUNCTION("""COMPUTED_VALUE"""),"S10")</f>
        <v>S10</v>
      </c>
      <c r="O365" s="97">
        <f ca="1">IFERROR(__xludf.DUMMYFUNCTION("""COMPUTED_VALUE"""),44304)</f>
        <v>44304</v>
      </c>
      <c r="P365" s="6" t="str">
        <f ca="1">IFERROR(__xludf.DUMMYFUNCTION("""COMPUTED_VALUE"""),"CSTM_IN85RBM6ZWT")</f>
        <v>CSTM_IN85RBM6ZWT</v>
      </c>
      <c r="Q365" s="6"/>
      <c r="R365" s="6" t="str">
        <f ca="1">IFERROR(__xludf.DUMMYFUNCTION("""COMPUTED_VALUE"""),"Done. Good feedback.")</f>
        <v>Done. Good feedback.</v>
      </c>
      <c r="S365" s="6" t="str">
        <f ca="1">IFERROR(__xludf.DUMMYFUNCTION("""COMPUTED_VALUE"""),"SAFe")</f>
        <v>SAFe</v>
      </c>
      <c r="T365" s="6"/>
      <c r="U365" s="6"/>
      <c r="V365" s="6"/>
      <c r="W365" s="6"/>
      <c r="X365" s="6"/>
      <c r="Y365" s="6"/>
      <c r="Z365" s="6"/>
      <c r="AA365" s="6"/>
      <c r="AB365" s="6"/>
      <c r="AC365" s="6"/>
      <c r="AD365" s="6"/>
      <c r="AE365" s="6"/>
      <c r="AF365" s="6"/>
      <c r="AG365" s="6"/>
      <c r="AH365" s="6"/>
      <c r="AI365" s="6"/>
      <c r="AJ365" s="6"/>
      <c r="AK365" s="6"/>
      <c r="AL365" s="6"/>
    </row>
    <row r="366" spans="1:38">
      <c r="A366" s="96">
        <f ca="1">IFERROR(__xludf.DUMMYFUNCTION("""COMPUTED_VALUE"""),44303)</f>
        <v>44303</v>
      </c>
      <c r="B366" s="6" t="str">
        <f ca="1">IFERROR(__xludf.DUMMYFUNCTION("""COMPUTED_VALUE"""),"Debosmita Sarkar")</f>
        <v>Debosmita Sarkar</v>
      </c>
      <c r="C366" s="6" t="str">
        <f ca="1">IFERROR(__xludf.DUMMYFUNCTION("""COMPUTED_VALUE"""),"debosmitasarkar18@gmail.com")</f>
        <v>debosmitasarkar18@gmail.com</v>
      </c>
      <c r="D366" s="6">
        <f ca="1">IFERROR(__xludf.DUMMYFUNCTION("""COMPUTED_VALUE"""),9941512806)</f>
        <v>9941512806</v>
      </c>
      <c r="E366" s="6" t="str">
        <f ca="1">IFERROR(__xludf.DUMMYFUNCTION("""COMPUTED_VALUE"""),"Reference")</f>
        <v>Reference</v>
      </c>
      <c r="F366" s="6" t="str">
        <f ca="1">IFERROR(__xludf.DUMMYFUNCTION("""COMPUTED_VALUE"""),"CSPO")</f>
        <v>CSPO</v>
      </c>
      <c r="G366" s="80">
        <f ca="1">IFERROR(__xludf.DUMMYFUNCTION("""COMPUTED_VALUE"""),44287)</f>
        <v>44287</v>
      </c>
      <c r="H366" s="6" t="str">
        <f ca="1">IFERROR(__xludf.DUMMYFUNCTION("""COMPUTED_VALUE"""),"Won")</f>
        <v>Won</v>
      </c>
      <c r="I366" s="6" t="str">
        <f ca="1">IFERROR(__xludf.DUMMYFUNCTION("""COMPUTED_VALUE"""),"24-25 April 2021")</f>
        <v>24-25 April 2021</v>
      </c>
      <c r="J366" s="6">
        <f ca="1">IFERROR(__xludf.DUMMYFUNCTION("""COMPUTED_VALUE"""),1)</f>
        <v>1</v>
      </c>
      <c r="K366" s="8">
        <f ca="1">IFERROR(__xludf.DUMMYFUNCTION("""COMPUTED_VALUE"""),19000)</f>
        <v>19000</v>
      </c>
      <c r="L366" s="8">
        <f ca="1">IFERROR(__xludf.DUMMYFUNCTION("""COMPUTED_VALUE"""),217.590471827759)</f>
        <v>217.59047182775899</v>
      </c>
      <c r="M366" s="96">
        <f ca="1">IFERROR(__xludf.DUMMYFUNCTION("""COMPUTED_VALUE"""),44304)</f>
        <v>44304</v>
      </c>
      <c r="N366" s="6" t="str">
        <f ca="1">IFERROR(__xludf.DUMMYFUNCTION("""COMPUTED_VALUE"""),"S10")</f>
        <v>S10</v>
      </c>
      <c r="O366" s="97">
        <f ca="1">IFERROR(__xludf.DUMMYFUNCTION("""COMPUTED_VALUE"""),44305)</f>
        <v>44305</v>
      </c>
      <c r="P366" s="6" t="str">
        <f ca="1">IFERROR(__xludf.DUMMYFUNCTION("""COMPUTED_VALUE"""),"CSTM_8VL9HRHFSJP")</f>
        <v>CSTM_8VL9HRHFSJP</v>
      </c>
      <c r="Q366" s="6" t="str">
        <f ca="1">IFERROR(__xludf.DUMMYFUNCTION("""COMPUTED_VALUE"""),"Reference by Prashanth - prashanth398@gmail.com")</f>
        <v>Reference by Prashanth - prashanth398@gmail.com</v>
      </c>
      <c r="R366" s="6" t="str">
        <f ca="1">IFERROR(__xludf.DUMMYFUNCTION("""COMPUTED_VALUE"""),"Done. Good feedback.")</f>
        <v>Done. Good feedback.</v>
      </c>
      <c r="S366" s="6" t="str">
        <f ca="1">IFERROR(__xludf.DUMMYFUNCTION("""COMPUTED_VALUE"""),"Category")</f>
        <v>Category</v>
      </c>
      <c r="T366" s="6"/>
      <c r="U366" s="6"/>
      <c r="V366" s="6"/>
      <c r="W366" s="6"/>
      <c r="X366" s="6"/>
      <c r="Y366" s="6"/>
      <c r="Z366" s="6"/>
      <c r="AA366" s="6"/>
      <c r="AB366" s="6"/>
      <c r="AC366" s="6"/>
      <c r="AD366" s="6"/>
      <c r="AE366" s="6"/>
      <c r="AF366" s="6"/>
      <c r="AG366" s="6"/>
      <c r="AH366" s="6"/>
      <c r="AI366" s="6"/>
      <c r="AJ366" s="6"/>
      <c r="AK366" s="6"/>
      <c r="AL366" s="6"/>
    </row>
    <row r="367" spans="1:38">
      <c r="A367" s="96">
        <f ca="1">IFERROR(__xludf.DUMMYFUNCTION("""COMPUTED_VALUE"""),44305)</f>
        <v>44305</v>
      </c>
      <c r="B367" s="6" t="str">
        <f ca="1">IFERROR(__xludf.DUMMYFUNCTION("""COMPUTED_VALUE"""),"Pooja Sharma")</f>
        <v>Pooja Sharma</v>
      </c>
      <c r="C367" s="6" t="str">
        <f ca="1">IFERROR(__xludf.DUMMYFUNCTION("""COMPUTED_VALUE"""),"pooja.sharma18n@gmail.com")</f>
        <v>pooja.sharma18n@gmail.com</v>
      </c>
      <c r="D367" s="6">
        <f ca="1">IFERROR(__xludf.DUMMYFUNCTION("""COMPUTED_VALUE"""),9867052813)</f>
        <v>9867052813</v>
      </c>
      <c r="E367" s="6" t="str">
        <f ca="1">IFERROR(__xludf.DUMMYFUNCTION("""COMPUTED_VALUE"""),"Chat_triggered")</f>
        <v>Chat_triggered</v>
      </c>
      <c r="F367" s="6" t="str">
        <f ca="1">IFERROR(__xludf.DUMMYFUNCTION("""COMPUTED_VALUE"""),"SAFe Agile")</f>
        <v>SAFe Agile</v>
      </c>
      <c r="G367" s="80">
        <f ca="1">IFERROR(__xludf.DUMMYFUNCTION("""COMPUTED_VALUE"""),44287)</f>
        <v>44287</v>
      </c>
      <c r="H367" s="6" t="str">
        <f ca="1">IFERROR(__xludf.DUMMYFUNCTION("""COMPUTED_VALUE"""),"Won")</f>
        <v>Won</v>
      </c>
      <c r="I367" s="6" t="str">
        <f ca="1">IFERROR(__xludf.DUMMYFUNCTION("""COMPUTED_VALUE"""),"8-9 May 2021")</f>
        <v>8-9 May 2021</v>
      </c>
      <c r="J367" s="6">
        <f ca="1">IFERROR(__xludf.DUMMYFUNCTION("""COMPUTED_VALUE"""),1)</f>
        <v>1</v>
      </c>
      <c r="K367" s="8">
        <f ca="1">IFERROR(__xludf.DUMMYFUNCTION("""COMPUTED_VALUE"""),50000)</f>
        <v>50000</v>
      </c>
      <c r="L367" s="8">
        <f ca="1">IFERROR(__xludf.DUMMYFUNCTION("""COMPUTED_VALUE"""),572.606504809894)</f>
        <v>572.60650480989398</v>
      </c>
      <c r="M367" s="96">
        <f ca="1">IFERROR(__xludf.DUMMYFUNCTION("""COMPUTED_VALUE"""),44305)</f>
        <v>44305</v>
      </c>
      <c r="N367" s="6" t="str">
        <f ca="1">IFERROR(__xludf.DUMMYFUNCTION("""COMPUTED_VALUE"""),"S10")</f>
        <v>S10</v>
      </c>
      <c r="O367" s="97">
        <f ca="1">IFERROR(__xludf.DUMMYFUNCTION("""COMPUTED_VALUE"""),44305)</f>
        <v>44305</v>
      </c>
      <c r="P367" s="6" t="str">
        <f ca="1">IFERROR(__xludf.DUMMYFUNCTION("""COMPUTED_VALUE"""),"CSTM_KBK6U2NHX8")</f>
        <v>CSTM_KBK6U2NHX8</v>
      </c>
      <c r="Q367" s="6"/>
      <c r="R367" s="6" t="str">
        <f ca="1">IFERROR(__xludf.DUMMYFUNCTION("""COMPUTED_VALUE"""),"Done. Good feedback.")</f>
        <v>Done. Good feedback.</v>
      </c>
      <c r="S367" s="6" t="str">
        <f ca="1">IFERROR(__xludf.DUMMYFUNCTION("""COMPUTED_VALUE"""),"SAFe")</f>
        <v>SAFe</v>
      </c>
      <c r="T367" s="6"/>
      <c r="U367" s="6"/>
      <c r="V367" s="6"/>
      <c r="W367" s="6"/>
      <c r="X367" s="6"/>
      <c r="Y367" s="6"/>
      <c r="Z367" s="6"/>
      <c r="AA367" s="6"/>
      <c r="AB367" s="6"/>
      <c r="AC367" s="6"/>
      <c r="AD367" s="6"/>
      <c r="AE367" s="6"/>
      <c r="AF367" s="6"/>
      <c r="AG367" s="6"/>
      <c r="AH367" s="6"/>
      <c r="AI367" s="6"/>
      <c r="AJ367" s="6"/>
      <c r="AK367" s="6"/>
      <c r="AL367" s="6"/>
    </row>
    <row r="368" spans="1:38">
      <c r="A368" s="96">
        <f ca="1">IFERROR(__xludf.DUMMYFUNCTION("""COMPUTED_VALUE"""),44306)</f>
        <v>44306</v>
      </c>
      <c r="B368" s="6" t="str">
        <f ca="1">IFERROR(__xludf.DUMMYFUNCTION("""COMPUTED_VALUE"""),"Saroj Kumar")</f>
        <v>Saroj Kumar</v>
      </c>
      <c r="C368" s="6" t="str">
        <f ca="1">IFERROR(__xludf.DUMMYFUNCTION("""COMPUTED_VALUE"""),"sarojkumarjd@gmail.com")</f>
        <v>sarojkumarjd@gmail.com</v>
      </c>
      <c r="D368" s="6">
        <f ca="1">IFERROR(__xludf.DUMMYFUNCTION("""COMPUTED_VALUE"""),9900263836)</f>
        <v>9900263836</v>
      </c>
      <c r="E368" s="6" t="str">
        <f ca="1">IFERROR(__xludf.DUMMYFUNCTION("""COMPUTED_VALUE"""),"Query box")</f>
        <v>Query box</v>
      </c>
      <c r="F368" s="6" t="str">
        <f ca="1">IFERROR(__xludf.DUMMYFUNCTION("""COMPUTED_VALUE"""),"SAFe Agile")</f>
        <v>SAFe Agile</v>
      </c>
      <c r="G368" s="80">
        <f ca="1">IFERROR(__xludf.DUMMYFUNCTION("""COMPUTED_VALUE"""),44287)</f>
        <v>44287</v>
      </c>
      <c r="H368" s="6" t="str">
        <f ca="1">IFERROR(__xludf.DUMMYFUNCTION("""COMPUTED_VALUE"""),"Won")</f>
        <v>Won</v>
      </c>
      <c r="I368" s="6" t="str">
        <f ca="1">IFERROR(__xludf.DUMMYFUNCTION("""COMPUTED_VALUE"""),"22-23 May 2021")</f>
        <v>22-23 May 2021</v>
      </c>
      <c r="J368" s="6">
        <f ca="1">IFERROR(__xludf.DUMMYFUNCTION("""COMPUTED_VALUE"""),1)</f>
        <v>1</v>
      </c>
      <c r="K368" s="8">
        <f ca="1">IFERROR(__xludf.DUMMYFUNCTION("""COMPUTED_VALUE"""),43000)</f>
        <v>43000</v>
      </c>
      <c r="L368" s="8">
        <f ca="1">IFERROR(__xludf.DUMMYFUNCTION("""COMPUTED_VALUE"""),492.441594136509)</f>
        <v>492.44159413650902</v>
      </c>
      <c r="M368" s="96">
        <f ca="1">IFERROR(__xludf.DUMMYFUNCTION("""COMPUTED_VALUE"""),44306)</f>
        <v>44306</v>
      </c>
      <c r="N368" s="6" t="str">
        <f ca="1">IFERROR(__xludf.DUMMYFUNCTION("""COMPUTED_VALUE"""),"S10")</f>
        <v>S10</v>
      </c>
      <c r="O368" s="97">
        <f ca="1">IFERROR(__xludf.DUMMYFUNCTION("""COMPUTED_VALUE"""),44306)</f>
        <v>44306</v>
      </c>
      <c r="P368" s="6" t="str">
        <f ca="1">IFERROR(__xludf.DUMMYFUNCTION("""COMPUTED_VALUE"""),"CSTM_22CDV3C3XFW")</f>
        <v>CSTM_22CDV3C3XFW</v>
      </c>
      <c r="Q368" s="6"/>
      <c r="R368" s="6" t="str">
        <f ca="1">IFERROR(__xludf.DUMMYFUNCTION("""COMPUTED_VALUE"""),"Pending")</f>
        <v>Pending</v>
      </c>
      <c r="S368" s="6" t="str">
        <f ca="1">IFERROR(__xludf.DUMMYFUNCTION("""COMPUTED_VALUE"""),"SAFe")</f>
        <v>SAFe</v>
      </c>
      <c r="T368" s="6"/>
      <c r="U368" s="6"/>
      <c r="V368" s="6"/>
      <c r="W368" s="6"/>
      <c r="X368" s="6"/>
      <c r="Y368" s="6"/>
      <c r="Z368" s="6"/>
      <c r="AA368" s="6"/>
      <c r="AB368" s="6"/>
      <c r="AC368" s="6"/>
      <c r="AD368" s="6"/>
      <c r="AE368" s="6"/>
      <c r="AF368" s="6"/>
      <c r="AG368" s="6"/>
      <c r="AH368" s="6"/>
      <c r="AI368" s="6"/>
      <c r="AJ368" s="6"/>
      <c r="AK368" s="6"/>
      <c r="AL368" s="6"/>
    </row>
    <row r="369" spans="1:38">
      <c r="A369" s="96">
        <f ca="1">IFERROR(__xludf.DUMMYFUNCTION("""COMPUTED_VALUE"""),44283)</f>
        <v>44283</v>
      </c>
      <c r="B369" s="6" t="str">
        <f ca="1">IFERROR(__xludf.DUMMYFUNCTION("""COMPUTED_VALUE"""),"Komal Tushar Nikam")</f>
        <v>Komal Tushar Nikam</v>
      </c>
      <c r="C369" s="6" t="str">
        <f ca="1">IFERROR(__xludf.DUMMYFUNCTION("""COMPUTED_VALUE"""),"komalthorat1811@gmail.com")</f>
        <v>komalthorat1811@gmail.com</v>
      </c>
      <c r="D369" s="6">
        <f ca="1">IFERROR(__xludf.DUMMYFUNCTION("""COMPUTED_VALUE"""),9028250342)</f>
        <v>9028250342</v>
      </c>
      <c r="E369" s="6" t="str">
        <f ca="1">IFERROR(__xludf.DUMMYFUNCTION("""COMPUTED_VALUE"""),"Chat_triggered")</f>
        <v>Chat_triggered</v>
      </c>
      <c r="F369" s="6" t="str">
        <f ca="1">IFERROR(__xludf.DUMMYFUNCTION("""COMPUTED_VALUE"""),"PSM")</f>
        <v>PSM</v>
      </c>
      <c r="G369" s="80">
        <f ca="1">IFERROR(__xludf.DUMMYFUNCTION("""COMPUTED_VALUE"""),44287)</f>
        <v>44287</v>
      </c>
      <c r="H369" s="6" t="str">
        <f ca="1">IFERROR(__xludf.DUMMYFUNCTION("""COMPUTED_VALUE"""),"Won")</f>
        <v>Won</v>
      </c>
      <c r="I369" s="6" t="str">
        <f ca="1">IFERROR(__xludf.DUMMYFUNCTION("""COMPUTED_VALUE"""),"19-20 June 2021")</f>
        <v>19-20 June 2021</v>
      </c>
      <c r="J369" s="6">
        <f ca="1">IFERROR(__xludf.DUMMYFUNCTION("""COMPUTED_VALUE"""),1)</f>
        <v>1</v>
      </c>
      <c r="K369" s="8">
        <f ca="1">IFERROR(__xludf.DUMMYFUNCTION("""COMPUTED_VALUE"""),21000)</f>
        <v>21000</v>
      </c>
      <c r="L369" s="8">
        <f ca="1">IFERROR(__xludf.DUMMYFUNCTION("""COMPUTED_VALUE"""),240.494732020155)</f>
        <v>240.494732020155</v>
      </c>
      <c r="M369" s="96">
        <f ca="1">IFERROR(__xludf.DUMMYFUNCTION("""COMPUTED_VALUE"""),44303)</f>
        <v>44303</v>
      </c>
      <c r="N369" s="6" t="str">
        <f ca="1">IFERROR(__xludf.DUMMYFUNCTION("""COMPUTED_VALUE"""),"T10")</f>
        <v>T10</v>
      </c>
      <c r="O369" s="97">
        <f ca="1">IFERROR(__xludf.DUMMYFUNCTION("""COMPUTED_VALUE"""),44307)</f>
        <v>44307</v>
      </c>
      <c r="P369" s="6" t="str">
        <f ca="1">IFERROR(__xludf.DUMMYFUNCTION("""COMPUTED_VALUE"""),"CSTM_6RHR0XI65F4")</f>
        <v>CSTM_6RHR0XI65F4</v>
      </c>
      <c r="Q369" s="6"/>
      <c r="R369" s="6" t="str">
        <f ca="1">IFERROR(__xludf.DUMMYFUNCTION("""COMPUTED_VALUE"""),"Done. Good feedback.")</f>
        <v>Done. Good feedback.</v>
      </c>
      <c r="S369" s="6" t="str">
        <f ca="1">IFERROR(__xludf.DUMMYFUNCTION("""COMPUTED_VALUE"""),"Category")</f>
        <v>Category</v>
      </c>
      <c r="T369" s="6"/>
      <c r="U369" s="6"/>
      <c r="V369" s="6"/>
      <c r="W369" s="6"/>
      <c r="X369" s="6"/>
      <c r="Y369" s="6"/>
      <c r="Z369" s="6"/>
      <c r="AA369" s="6"/>
      <c r="AB369" s="6"/>
      <c r="AC369" s="6"/>
      <c r="AD369" s="6"/>
      <c r="AE369" s="6"/>
      <c r="AF369" s="6"/>
      <c r="AG369" s="6"/>
      <c r="AH369" s="6"/>
      <c r="AI369" s="6"/>
      <c r="AJ369" s="6"/>
      <c r="AK369" s="6"/>
      <c r="AL369" s="6"/>
    </row>
    <row r="370" spans="1:38">
      <c r="A370" s="96">
        <f ca="1">IFERROR(__xludf.DUMMYFUNCTION("""COMPUTED_VALUE"""),44169)</f>
        <v>44169</v>
      </c>
      <c r="B370" s="6" t="str">
        <f ca="1">IFERROR(__xludf.DUMMYFUNCTION("""COMPUTED_VALUE"""),"Rohit Gangwani")</f>
        <v>Rohit Gangwani</v>
      </c>
      <c r="C370" s="6" t="str">
        <f ca="1">IFERROR(__xludf.DUMMYFUNCTION("""COMPUTED_VALUE"""),"rgangwani881@gmail.com")</f>
        <v>rgangwani881@gmail.com</v>
      </c>
      <c r="D370" s="6">
        <f ca="1">IFERROR(__xludf.DUMMYFUNCTION("""COMPUTED_VALUE"""),8826364254)</f>
        <v>8826364254</v>
      </c>
      <c r="E370" s="6" t="str">
        <f ca="1">IFERROR(__xludf.DUMMYFUNCTION("""COMPUTED_VALUE"""),"Query box")</f>
        <v>Query box</v>
      </c>
      <c r="F370" s="6" t="str">
        <f ca="1">IFERROR(__xludf.DUMMYFUNCTION("""COMPUTED_VALUE"""),"CSPO")</f>
        <v>CSPO</v>
      </c>
      <c r="G370" s="80">
        <f ca="1">IFERROR(__xludf.DUMMYFUNCTION("""COMPUTED_VALUE"""),44287)</f>
        <v>44287</v>
      </c>
      <c r="H370" s="6" t="str">
        <f ca="1">IFERROR(__xludf.DUMMYFUNCTION("""COMPUTED_VALUE"""),"Won")</f>
        <v>Won</v>
      </c>
      <c r="I370" s="6" t="str">
        <f ca="1">IFERROR(__xludf.DUMMYFUNCTION("""COMPUTED_VALUE"""),"1-2 May 2021")</f>
        <v>1-2 May 2021</v>
      </c>
      <c r="J370" s="6">
        <f ca="1">IFERROR(__xludf.DUMMYFUNCTION("""COMPUTED_VALUE"""),1)</f>
        <v>1</v>
      </c>
      <c r="K370" s="8">
        <f ca="1">IFERROR(__xludf.DUMMYFUNCTION("""COMPUTED_VALUE"""),20000)</f>
        <v>20000</v>
      </c>
      <c r="L370" s="8">
        <f ca="1">IFERROR(__xludf.DUMMYFUNCTION("""COMPUTED_VALUE"""),229.042601923957)</f>
        <v>229.04260192395699</v>
      </c>
      <c r="M370" s="96">
        <f ca="1">IFERROR(__xludf.DUMMYFUNCTION("""COMPUTED_VALUE"""),44307)</f>
        <v>44307</v>
      </c>
      <c r="N370" s="6" t="str">
        <f ca="1">IFERROR(__xludf.DUMMYFUNCTION("""COMPUTED_VALUE"""),"S10")</f>
        <v>S10</v>
      </c>
      <c r="O370" s="97">
        <f ca="1">IFERROR(__xludf.DUMMYFUNCTION("""COMPUTED_VALUE"""),44307)</f>
        <v>44307</v>
      </c>
      <c r="P370" s="6" t="str">
        <f ca="1">IFERROR(__xludf.DUMMYFUNCTION("""COMPUTED_VALUE"""),"CSTM_BP161ZNHL1X")</f>
        <v>CSTM_BP161ZNHL1X</v>
      </c>
      <c r="Q370" s="6"/>
      <c r="R370" s="6" t="str">
        <f ca="1">IFERROR(__xludf.DUMMYFUNCTION("""COMPUTED_VALUE"""),"Done. Good feedback.")</f>
        <v>Done. Good feedback.</v>
      </c>
      <c r="S370" s="6" t="str">
        <f ca="1">IFERROR(__xludf.DUMMYFUNCTION("""COMPUTED_VALUE"""),"Category")</f>
        <v>Category</v>
      </c>
      <c r="T370" s="6"/>
      <c r="U370" s="6"/>
      <c r="V370" s="6"/>
      <c r="W370" s="6"/>
      <c r="X370" s="6"/>
      <c r="Y370" s="6"/>
      <c r="Z370" s="6"/>
      <c r="AA370" s="6"/>
      <c r="AB370" s="6"/>
      <c r="AC370" s="6"/>
      <c r="AD370" s="6"/>
      <c r="AE370" s="6"/>
      <c r="AF370" s="6"/>
      <c r="AG370" s="6"/>
      <c r="AH370" s="6"/>
      <c r="AI370" s="6"/>
      <c r="AJ370" s="6"/>
      <c r="AK370" s="6"/>
      <c r="AL370" s="6"/>
    </row>
    <row r="371" spans="1:38">
      <c r="A371" s="96">
        <f ca="1">IFERROR(__xludf.DUMMYFUNCTION("""COMPUTED_VALUE"""),44305)</f>
        <v>44305</v>
      </c>
      <c r="B371" s="6" t="str">
        <f ca="1">IFERROR(__xludf.DUMMYFUNCTION("""COMPUTED_VALUE"""),"Raghav M")</f>
        <v>Raghav M</v>
      </c>
      <c r="C371" s="6" t="str">
        <f ca="1">IFERROR(__xludf.DUMMYFUNCTION("""COMPUTED_VALUE"""),"raghumulmule@gmail.com")</f>
        <v>raghumulmule@gmail.com</v>
      </c>
      <c r="D371" s="6">
        <f ca="1">IFERROR(__xludf.DUMMYFUNCTION("""COMPUTED_VALUE"""),9561287727)</f>
        <v>9561287727</v>
      </c>
      <c r="E371" s="6" t="str">
        <f ca="1">IFERROR(__xludf.DUMMYFUNCTION("""COMPUTED_VALUE"""),"Chat_triggered")</f>
        <v>Chat_triggered</v>
      </c>
      <c r="F371" s="6" t="str">
        <f ca="1">IFERROR(__xludf.DUMMYFUNCTION("""COMPUTED_VALUE"""),"PSPO")</f>
        <v>PSPO</v>
      </c>
      <c r="G371" s="80">
        <f ca="1">IFERROR(__xludf.DUMMYFUNCTION("""COMPUTED_VALUE"""),44287)</f>
        <v>44287</v>
      </c>
      <c r="H371" s="6" t="str">
        <f ca="1">IFERROR(__xludf.DUMMYFUNCTION("""COMPUTED_VALUE"""),"Won")</f>
        <v>Won</v>
      </c>
      <c r="I371" s="6" t="str">
        <f ca="1">IFERROR(__xludf.DUMMYFUNCTION("""COMPUTED_VALUE"""),"1-2 May 2021")</f>
        <v>1-2 May 2021</v>
      </c>
      <c r="J371" s="6">
        <f ca="1">IFERROR(__xludf.DUMMYFUNCTION("""COMPUTED_VALUE"""),1)</f>
        <v>1</v>
      </c>
      <c r="K371" s="8">
        <f ca="1">IFERROR(__xludf.DUMMYFUNCTION("""COMPUTED_VALUE"""),20500)</f>
        <v>20500</v>
      </c>
      <c r="L371" s="8">
        <f ca="1">IFERROR(__xludf.DUMMYFUNCTION("""COMPUTED_VALUE"""),234.768666972056)</f>
        <v>234.768666972056</v>
      </c>
      <c r="M371" s="96">
        <f ca="1">IFERROR(__xludf.DUMMYFUNCTION("""COMPUTED_VALUE"""),44308)</f>
        <v>44308</v>
      </c>
      <c r="N371" s="6" t="str">
        <f ca="1">IFERROR(__xludf.DUMMYFUNCTION("""COMPUTED_VALUE"""),"T10")</f>
        <v>T10</v>
      </c>
      <c r="O371" s="97">
        <f ca="1">IFERROR(__xludf.DUMMYFUNCTION("""COMPUTED_VALUE"""),44308)</f>
        <v>44308</v>
      </c>
      <c r="P371" s="6" t="str">
        <f ca="1">IFERROR(__xludf.DUMMYFUNCTION("""COMPUTED_VALUE"""),"CSTM_7Y5CF1XUMAB")</f>
        <v>CSTM_7Y5CF1XUMAB</v>
      </c>
      <c r="Q371" s="6"/>
      <c r="R371" s="6" t="str">
        <f ca="1">IFERROR(__xludf.DUMMYFUNCTION("""COMPUTED_VALUE"""),"Done. Good feedback.")</f>
        <v>Done. Good feedback.</v>
      </c>
      <c r="S371" s="6" t="str">
        <f ca="1">IFERROR(__xludf.DUMMYFUNCTION("""COMPUTED_VALUE"""),"Category")</f>
        <v>Category</v>
      </c>
      <c r="T371" s="6"/>
      <c r="U371" s="6"/>
      <c r="V371" s="6"/>
      <c r="W371" s="6"/>
      <c r="X371" s="6"/>
      <c r="Y371" s="6"/>
      <c r="Z371" s="6"/>
      <c r="AA371" s="6"/>
      <c r="AB371" s="6"/>
      <c r="AC371" s="6"/>
      <c r="AD371" s="6"/>
      <c r="AE371" s="6"/>
      <c r="AF371" s="6"/>
      <c r="AG371" s="6"/>
      <c r="AH371" s="6"/>
      <c r="AI371" s="6"/>
      <c r="AJ371" s="6"/>
      <c r="AK371" s="6"/>
      <c r="AL371" s="6"/>
    </row>
    <row r="372" spans="1:38">
      <c r="A372" s="96">
        <f ca="1">IFERROR(__xludf.DUMMYFUNCTION("""COMPUTED_VALUE"""),44305)</f>
        <v>44305</v>
      </c>
      <c r="B372" s="6" t="str">
        <f ca="1">IFERROR(__xludf.DUMMYFUNCTION("""COMPUTED_VALUE"""),"Satyajeet Aparadh")</f>
        <v>Satyajeet Aparadh</v>
      </c>
      <c r="C372" s="6" t="str">
        <f ca="1">IFERROR(__xludf.DUMMYFUNCTION("""COMPUTED_VALUE"""),"satyajeet.aparadh@gmail.com")</f>
        <v>satyajeet.aparadh@gmail.com</v>
      </c>
      <c r="D372" s="6">
        <f ca="1">IFERROR(__xludf.DUMMYFUNCTION("""COMPUTED_VALUE"""),8879540057)</f>
        <v>8879540057</v>
      </c>
      <c r="E372" s="6" t="str">
        <f ca="1">IFERROR(__xludf.DUMMYFUNCTION("""COMPUTED_VALUE"""),"Reference")</f>
        <v>Reference</v>
      </c>
      <c r="F372" s="6" t="str">
        <f ca="1">IFERROR(__xludf.DUMMYFUNCTION("""COMPUTED_VALUE"""),"PSPO")</f>
        <v>PSPO</v>
      </c>
      <c r="G372" s="80">
        <f ca="1">IFERROR(__xludf.DUMMYFUNCTION("""COMPUTED_VALUE"""),44287)</f>
        <v>44287</v>
      </c>
      <c r="H372" s="6" t="str">
        <f ca="1">IFERROR(__xludf.DUMMYFUNCTION("""COMPUTED_VALUE"""),"Won")</f>
        <v>Won</v>
      </c>
      <c r="I372" s="6" t="str">
        <f ca="1">IFERROR(__xludf.DUMMYFUNCTION("""COMPUTED_VALUE"""),"1-2 May 2021")</f>
        <v>1-2 May 2021</v>
      </c>
      <c r="J372" s="6">
        <f ca="1">IFERROR(__xludf.DUMMYFUNCTION("""COMPUTED_VALUE"""),1)</f>
        <v>1</v>
      </c>
      <c r="K372" s="8">
        <f ca="1">IFERROR(__xludf.DUMMYFUNCTION("""COMPUTED_VALUE"""),20500)</f>
        <v>20500</v>
      </c>
      <c r="L372" s="8">
        <f ca="1">IFERROR(__xludf.DUMMYFUNCTION("""COMPUTED_VALUE"""),234.768666972056)</f>
        <v>234.768666972056</v>
      </c>
      <c r="M372" s="96">
        <f ca="1">IFERROR(__xludf.DUMMYFUNCTION("""COMPUTED_VALUE"""),44308)</f>
        <v>44308</v>
      </c>
      <c r="N372" s="6" t="str">
        <f ca="1">IFERROR(__xludf.DUMMYFUNCTION("""COMPUTED_VALUE"""),"T10")</f>
        <v>T10</v>
      </c>
      <c r="O372" s="97">
        <f ca="1">IFERROR(__xludf.DUMMYFUNCTION("""COMPUTED_VALUE"""),44308)</f>
        <v>44308</v>
      </c>
      <c r="P372" s="6" t="str">
        <f ca="1">IFERROR(__xludf.DUMMYFUNCTION("""COMPUTED_VALUE"""),"CSTM_JNI70FTMDZG")</f>
        <v>CSTM_JNI70FTMDZG</v>
      </c>
      <c r="Q372" s="6" t="str">
        <f ca="1">IFERROR(__xludf.DUMMYFUNCTION("""COMPUTED_VALUE"""),"Reference by Raghav raghumulmule@gmail.com")</f>
        <v>Reference by Raghav raghumulmule@gmail.com</v>
      </c>
      <c r="R372" s="6" t="str">
        <f ca="1">IFERROR(__xludf.DUMMYFUNCTION("""COMPUTED_VALUE"""),"Done. Good feedback.")</f>
        <v>Done. Good feedback.</v>
      </c>
      <c r="S372" s="6" t="str">
        <f ca="1">IFERROR(__xludf.DUMMYFUNCTION("""COMPUTED_VALUE"""),"Category")</f>
        <v>Category</v>
      </c>
      <c r="T372" s="6"/>
      <c r="U372" s="6"/>
      <c r="V372" s="6"/>
      <c r="W372" s="6"/>
      <c r="X372" s="6"/>
      <c r="Y372" s="6"/>
      <c r="Z372" s="6"/>
      <c r="AA372" s="6"/>
      <c r="AB372" s="6"/>
      <c r="AC372" s="6"/>
      <c r="AD372" s="6"/>
      <c r="AE372" s="6"/>
      <c r="AF372" s="6"/>
      <c r="AG372" s="6"/>
      <c r="AH372" s="6"/>
      <c r="AI372" s="6"/>
      <c r="AJ372" s="6"/>
      <c r="AK372" s="6"/>
      <c r="AL372" s="6"/>
    </row>
    <row r="373" spans="1:38">
      <c r="A373" s="96">
        <f ca="1">IFERROR(__xludf.DUMMYFUNCTION("""COMPUTED_VALUE"""),44308)</f>
        <v>44308</v>
      </c>
      <c r="B373" s="6" t="str">
        <f ca="1">IFERROR(__xludf.DUMMYFUNCTION("""COMPUTED_VALUE"""),"Anadi Mishra")</f>
        <v>Anadi Mishra</v>
      </c>
      <c r="C373" s="6" t="str">
        <f ca="1">IFERROR(__xludf.DUMMYFUNCTION("""COMPUTED_VALUE"""),"anadimishra03@gmail.com")</f>
        <v>anadimishra03@gmail.com</v>
      </c>
      <c r="D373" s="6">
        <f ca="1">IFERROR(__xludf.DUMMYFUNCTION("""COMPUTED_VALUE"""),9960436439)</f>
        <v>9960436439</v>
      </c>
      <c r="E373" s="6" t="str">
        <f ca="1">IFERROR(__xludf.DUMMYFUNCTION("""COMPUTED_VALUE"""),"na-payment")</f>
        <v>na-payment</v>
      </c>
      <c r="F373" s="6" t="str">
        <f ca="1">IFERROR(__xludf.DUMMYFUNCTION("""COMPUTED_VALUE"""),"SAFe Agile")</f>
        <v>SAFe Agile</v>
      </c>
      <c r="G373" s="80">
        <f ca="1">IFERROR(__xludf.DUMMYFUNCTION("""COMPUTED_VALUE"""),44287)</f>
        <v>44287</v>
      </c>
      <c r="H373" s="6" t="str">
        <f ca="1">IFERROR(__xludf.DUMMYFUNCTION("""COMPUTED_VALUE"""),"Lost")</f>
        <v>Lost</v>
      </c>
      <c r="I373" s="6" t="str">
        <f ca="1">IFERROR(__xludf.DUMMYFUNCTION("""COMPUTED_VALUE"""),"24-25 April 2021")</f>
        <v>24-25 April 2021</v>
      </c>
      <c r="J373" s="6">
        <f ca="1">IFERROR(__xludf.DUMMYFUNCTION("""COMPUTED_VALUE"""),1)</f>
        <v>1</v>
      </c>
      <c r="K373" s="8">
        <f ca="1">IFERROR(__xludf.DUMMYFUNCTION("""COMPUTED_VALUE"""),45000)</f>
        <v>45000</v>
      </c>
      <c r="L373" s="8">
        <f ca="1">IFERROR(__xludf.DUMMYFUNCTION("""COMPUTED_VALUE"""),515.345854328905)</f>
        <v>515.34585432890503</v>
      </c>
      <c r="M373" s="96">
        <f ca="1">IFERROR(__xludf.DUMMYFUNCTION("""COMPUTED_VALUE"""),44308)</f>
        <v>44308</v>
      </c>
      <c r="N373" s="6"/>
      <c r="O373" s="97"/>
      <c r="P373" s="6"/>
      <c r="Q373" s="6"/>
      <c r="R373" s="6"/>
      <c r="S373" s="6" t="str">
        <f ca="1">IFERROR(__xludf.DUMMYFUNCTION("""COMPUTED_VALUE"""),"SAFe")</f>
        <v>SAFe</v>
      </c>
      <c r="T373" s="6"/>
      <c r="U373" s="6"/>
      <c r="V373" s="6"/>
      <c r="W373" s="6"/>
      <c r="X373" s="6"/>
      <c r="Y373" s="6"/>
      <c r="Z373" s="6"/>
      <c r="AA373" s="6"/>
      <c r="AB373" s="6"/>
      <c r="AC373" s="6"/>
      <c r="AD373" s="6"/>
      <c r="AE373" s="6"/>
      <c r="AF373" s="6"/>
      <c r="AG373" s="6"/>
      <c r="AH373" s="6"/>
      <c r="AI373" s="6"/>
      <c r="AJ373" s="6"/>
      <c r="AK373" s="6"/>
      <c r="AL373" s="6"/>
    </row>
    <row r="374" spans="1:38">
      <c r="A374" s="96">
        <f ca="1">IFERROR(__xludf.DUMMYFUNCTION("""COMPUTED_VALUE"""),44308)</f>
        <v>44308</v>
      </c>
      <c r="B374" s="6" t="str">
        <f ca="1">IFERROR(__xludf.DUMMYFUNCTION("""COMPUTED_VALUE"""),"Kalyani Poharkar")</f>
        <v>Kalyani Poharkar</v>
      </c>
      <c r="C374" s="6" t="str">
        <f ca="1">IFERROR(__xludf.DUMMYFUNCTION("""COMPUTED_VALUE"""),"kalyani.poharkar0@gmail.com")</f>
        <v>kalyani.poharkar0@gmail.com</v>
      </c>
      <c r="D374" s="6">
        <f ca="1">IFERROR(__xludf.DUMMYFUNCTION("""COMPUTED_VALUE"""),9665153505)</f>
        <v>9665153505</v>
      </c>
      <c r="E374" s="6" t="str">
        <f ca="1">IFERROR(__xludf.DUMMYFUNCTION("""COMPUTED_VALUE"""),"Reference")</f>
        <v>Reference</v>
      </c>
      <c r="F374" s="6" t="str">
        <f ca="1">IFERROR(__xludf.DUMMYFUNCTION("""COMPUTED_VALUE"""),"PSPO")</f>
        <v>PSPO</v>
      </c>
      <c r="G374" s="80">
        <f ca="1">IFERROR(__xludf.DUMMYFUNCTION("""COMPUTED_VALUE"""),44287)</f>
        <v>44287</v>
      </c>
      <c r="H374" s="6" t="str">
        <f ca="1">IFERROR(__xludf.DUMMYFUNCTION("""COMPUTED_VALUE"""),"Won")</f>
        <v>Won</v>
      </c>
      <c r="I374" s="6" t="str">
        <f ca="1">IFERROR(__xludf.DUMMYFUNCTION("""COMPUTED_VALUE"""),"1-2 May 2021")</f>
        <v>1-2 May 2021</v>
      </c>
      <c r="J374" s="6">
        <f ca="1">IFERROR(__xludf.DUMMYFUNCTION("""COMPUTED_VALUE"""),1)</f>
        <v>1</v>
      </c>
      <c r="K374" s="8">
        <f ca="1">IFERROR(__xludf.DUMMYFUNCTION("""COMPUTED_VALUE"""),20500)</f>
        <v>20500</v>
      </c>
      <c r="L374" s="8">
        <f ca="1">IFERROR(__xludf.DUMMYFUNCTION("""COMPUTED_VALUE"""),234.768666972056)</f>
        <v>234.768666972056</v>
      </c>
      <c r="M374" s="96">
        <f ca="1">IFERROR(__xludf.DUMMYFUNCTION("""COMPUTED_VALUE"""),44308)</f>
        <v>44308</v>
      </c>
      <c r="N374" s="6" t="str">
        <f ca="1">IFERROR(__xludf.DUMMYFUNCTION("""COMPUTED_VALUE"""),"T10")</f>
        <v>T10</v>
      </c>
      <c r="O374" s="97">
        <f ca="1">IFERROR(__xludf.DUMMYFUNCTION("""COMPUTED_VALUE"""),44308)</f>
        <v>44308</v>
      </c>
      <c r="P374" s="6" t="str">
        <f ca="1">IFERROR(__xludf.DUMMYFUNCTION("""COMPUTED_VALUE"""),"CSTM_A1C4ARADNMQ")</f>
        <v>CSTM_A1C4ARADNMQ</v>
      </c>
      <c r="Q374" s="6" t="str">
        <f ca="1">IFERROR(__xludf.DUMMYFUNCTION("""COMPUTED_VALUE"""),"Reference by Raghav raghumulmule@gmail.com")</f>
        <v>Reference by Raghav raghumulmule@gmail.com</v>
      </c>
      <c r="R374" s="6" t="str">
        <f ca="1">IFERROR(__xludf.DUMMYFUNCTION("""COMPUTED_VALUE"""),"Done. Good feedback.")</f>
        <v>Done. Good feedback.</v>
      </c>
      <c r="S374" s="6" t="str">
        <f ca="1">IFERROR(__xludf.DUMMYFUNCTION("""COMPUTED_VALUE"""),"Category")</f>
        <v>Category</v>
      </c>
      <c r="T374" s="6"/>
      <c r="U374" s="6"/>
      <c r="V374" s="6"/>
      <c r="W374" s="6"/>
      <c r="X374" s="6"/>
      <c r="Y374" s="6"/>
      <c r="Z374" s="6"/>
      <c r="AA374" s="6"/>
      <c r="AB374" s="6"/>
      <c r="AC374" s="6"/>
      <c r="AD374" s="6"/>
      <c r="AE374" s="6"/>
      <c r="AF374" s="6"/>
      <c r="AG374" s="6"/>
      <c r="AH374" s="6"/>
      <c r="AI374" s="6"/>
      <c r="AJ374" s="6"/>
      <c r="AK374" s="6"/>
      <c r="AL374" s="6"/>
    </row>
    <row r="375" spans="1:38">
      <c r="A375" s="96">
        <f ca="1">IFERROR(__xludf.DUMMYFUNCTION("""COMPUTED_VALUE"""),44308)</f>
        <v>44308</v>
      </c>
      <c r="B375" s="6" t="str">
        <f ca="1">IFERROR(__xludf.DUMMYFUNCTION("""COMPUTED_VALUE"""),"Chaitanya")</f>
        <v>Chaitanya</v>
      </c>
      <c r="C375" s="6" t="str">
        <f ca="1">IFERROR(__xludf.DUMMYFUNCTION("""COMPUTED_VALUE"""),"c.nevhal@gmail.com")</f>
        <v>c.nevhal@gmail.com</v>
      </c>
      <c r="D375" s="6">
        <f ca="1">IFERROR(__xludf.DUMMYFUNCTION("""COMPUTED_VALUE"""),9096098002)</f>
        <v>9096098002</v>
      </c>
      <c r="E375" s="6" t="str">
        <f ca="1">IFERROR(__xludf.DUMMYFUNCTION("""COMPUTED_VALUE"""),"Reference")</f>
        <v>Reference</v>
      </c>
      <c r="F375" s="6" t="str">
        <f ca="1">IFERROR(__xludf.DUMMYFUNCTION("""COMPUTED_VALUE"""),"PSPO")</f>
        <v>PSPO</v>
      </c>
      <c r="G375" s="80">
        <f ca="1">IFERROR(__xludf.DUMMYFUNCTION("""COMPUTED_VALUE"""),44287)</f>
        <v>44287</v>
      </c>
      <c r="H375" s="6" t="str">
        <f ca="1">IFERROR(__xludf.DUMMYFUNCTION("""COMPUTED_VALUE"""),"Won")</f>
        <v>Won</v>
      </c>
      <c r="I375" s="6" t="str">
        <f ca="1">IFERROR(__xludf.DUMMYFUNCTION("""COMPUTED_VALUE"""),"1-2 May 2021")</f>
        <v>1-2 May 2021</v>
      </c>
      <c r="J375" s="6">
        <f ca="1">IFERROR(__xludf.DUMMYFUNCTION("""COMPUTED_VALUE"""),1)</f>
        <v>1</v>
      </c>
      <c r="K375" s="8">
        <f ca="1">IFERROR(__xludf.DUMMYFUNCTION("""COMPUTED_VALUE"""),20500)</f>
        <v>20500</v>
      </c>
      <c r="L375" s="8">
        <f ca="1">IFERROR(__xludf.DUMMYFUNCTION("""COMPUTED_VALUE"""),234.768666972056)</f>
        <v>234.768666972056</v>
      </c>
      <c r="M375" s="96">
        <f ca="1">IFERROR(__xludf.DUMMYFUNCTION("""COMPUTED_VALUE"""),44309)</f>
        <v>44309</v>
      </c>
      <c r="N375" s="6" t="str">
        <f ca="1">IFERROR(__xludf.DUMMYFUNCTION("""COMPUTED_VALUE"""),"T10")</f>
        <v>T10</v>
      </c>
      <c r="O375" s="97">
        <f ca="1">IFERROR(__xludf.DUMMYFUNCTION("""COMPUTED_VALUE"""),44309)</f>
        <v>44309</v>
      </c>
      <c r="P375" s="6" t="str">
        <f ca="1">IFERROR(__xludf.DUMMYFUNCTION("""COMPUTED_VALUE"""),"CSTM_1HLMWUMT7Q0")</f>
        <v>CSTM_1HLMWUMT7Q0</v>
      </c>
      <c r="Q375" s="6" t="str">
        <f ca="1">IFERROR(__xludf.DUMMYFUNCTION("""COMPUTED_VALUE"""),"Reference by Kalyani")</f>
        <v>Reference by Kalyani</v>
      </c>
      <c r="R375" s="6" t="str">
        <f ca="1">IFERROR(__xludf.DUMMYFUNCTION("""COMPUTED_VALUE"""),"Done. Good feedback.")</f>
        <v>Done. Good feedback.</v>
      </c>
      <c r="S375" s="6" t="str">
        <f ca="1">IFERROR(__xludf.DUMMYFUNCTION("""COMPUTED_VALUE"""),"Category")</f>
        <v>Category</v>
      </c>
      <c r="T375" s="6"/>
      <c r="U375" s="6"/>
      <c r="V375" s="6"/>
      <c r="W375" s="6"/>
      <c r="X375" s="6"/>
      <c r="Y375" s="6"/>
      <c r="Z375" s="6"/>
      <c r="AA375" s="6"/>
      <c r="AB375" s="6"/>
      <c r="AC375" s="6"/>
      <c r="AD375" s="6"/>
      <c r="AE375" s="6"/>
      <c r="AF375" s="6"/>
      <c r="AG375" s="6"/>
      <c r="AH375" s="6"/>
      <c r="AI375" s="6"/>
      <c r="AJ375" s="6"/>
      <c r="AK375" s="6"/>
      <c r="AL375" s="6"/>
    </row>
    <row r="376" spans="1:38">
      <c r="A376" s="96">
        <f ca="1">IFERROR(__xludf.DUMMYFUNCTION("""COMPUTED_VALUE"""),44310)</f>
        <v>44310</v>
      </c>
      <c r="B376" s="6" t="str">
        <f ca="1">IFERROR(__xludf.DUMMYFUNCTION("""COMPUTED_VALUE"""),"Sumantra Bhaumik")</f>
        <v>Sumantra Bhaumik</v>
      </c>
      <c r="C376" s="6" t="str">
        <f ca="1">IFERROR(__xludf.DUMMYFUNCTION("""COMPUTED_VALUE"""),"sumantra.bhaumik@gmail.com")</f>
        <v>sumantra.bhaumik@gmail.com</v>
      </c>
      <c r="D376" s="6">
        <f ca="1">IFERROR(__xludf.DUMMYFUNCTION("""COMPUTED_VALUE"""),9959183334)</f>
        <v>9959183334</v>
      </c>
      <c r="E376" s="6" t="str">
        <f ca="1">IFERROR(__xludf.DUMMYFUNCTION("""COMPUTED_VALUE"""),"Account Repeat")</f>
        <v>Account Repeat</v>
      </c>
      <c r="F376" s="6" t="str">
        <f ca="1">IFERROR(__xludf.DUMMYFUNCTION("""COMPUTED_VALUE"""),"Prince2 Practitioner")</f>
        <v>Prince2 Practitioner</v>
      </c>
      <c r="G376" s="80">
        <f ca="1">IFERROR(__xludf.DUMMYFUNCTION("""COMPUTED_VALUE"""),44287)</f>
        <v>44287</v>
      </c>
      <c r="H376" s="6" t="str">
        <f ca="1">IFERROR(__xludf.DUMMYFUNCTION("""COMPUTED_VALUE"""),"Won")</f>
        <v>Won</v>
      </c>
      <c r="I376" s="6" t="str">
        <f ca="1">IFERROR(__xludf.DUMMYFUNCTION("""COMPUTED_VALUE"""),"April 2021")</f>
        <v>April 2021</v>
      </c>
      <c r="J376" s="6">
        <f ca="1">IFERROR(__xludf.DUMMYFUNCTION("""COMPUTED_VALUE"""),1)</f>
        <v>1</v>
      </c>
      <c r="K376" s="8">
        <f ca="1">IFERROR(__xludf.DUMMYFUNCTION("""COMPUTED_VALUE"""),30000)</f>
        <v>30000</v>
      </c>
      <c r="L376" s="8">
        <f ca="1">IFERROR(__xludf.DUMMYFUNCTION("""COMPUTED_VALUE"""),343.563902885936)</f>
        <v>343.56390288593599</v>
      </c>
      <c r="M376" s="96">
        <f ca="1">IFERROR(__xludf.DUMMYFUNCTION("""COMPUTED_VALUE"""),44310)</f>
        <v>44310</v>
      </c>
      <c r="N376" s="6" t="str">
        <f ca="1">IFERROR(__xludf.DUMMYFUNCTION("""COMPUTED_VALUE"""),"T10")</f>
        <v>T10</v>
      </c>
      <c r="O376" s="97">
        <f ca="1">IFERROR(__xludf.DUMMYFUNCTION("""COMPUTED_VALUE"""),44310)</f>
        <v>44310</v>
      </c>
      <c r="P376" s="6" t="str">
        <f ca="1">IFERROR(__xludf.DUMMYFUNCTION("""COMPUTED_VALUE"""),"CSTM_14WGSDSHMPZ")</f>
        <v>CSTM_14WGSDSHMPZ</v>
      </c>
      <c r="Q376" s="6"/>
      <c r="R376" s="6"/>
      <c r="S376" s="6" t="str">
        <f ca="1">IFERROR(__xludf.DUMMYFUNCTION("""COMPUTED_VALUE"""),"NonCategory")</f>
        <v>NonCategory</v>
      </c>
      <c r="T376" s="6"/>
      <c r="U376" s="6"/>
      <c r="V376" s="6"/>
      <c r="W376" s="6"/>
      <c r="X376" s="6"/>
      <c r="Y376" s="6"/>
      <c r="Z376" s="6"/>
      <c r="AA376" s="6"/>
      <c r="AB376" s="6"/>
      <c r="AC376" s="6"/>
      <c r="AD376" s="6"/>
      <c r="AE376" s="6"/>
      <c r="AF376" s="6"/>
      <c r="AG376" s="6"/>
      <c r="AH376" s="6"/>
      <c r="AI376" s="6"/>
      <c r="AJ376" s="6"/>
      <c r="AK376" s="6"/>
      <c r="AL376" s="6"/>
    </row>
    <row r="377" spans="1:38">
      <c r="A377" s="96">
        <f ca="1">IFERROR(__xludf.DUMMYFUNCTION("""COMPUTED_VALUE"""),44310)</f>
        <v>44310</v>
      </c>
      <c r="B377" s="6" t="str">
        <f ca="1">IFERROR(__xludf.DUMMYFUNCTION("""COMPUTED_VALUE"""),"Vaibhav Mahajan")</f>
        <v>Vaibhav Mahajan</v>
      </c>
      <c r="C377" s="6" t="str">
        <f ca="1">IFERROR(__xludf.DUMMYFUNCTION("""COMPUTED_VALUE"""),"vaibhavmahajan0303@gmail.com")</f>
        <v>vaibhavmahajan0303@gmail.com</v>
      </c>
      <c r="D377" s="6">
        <f ca="1">IFERROR(__xludf.DUMMYFUNCTION("""COMPUTED_VALUE"""),9176148269)</f>
        <v>9176148269</v>
      </c>
      <c r="E377" s="6" t="str">
        <f ca="1">IFERROR(__xludf.DUMMYFUNCTION("""COMPUTED_VALUE"""),"chat_initiated")</f>
        <v>chat_initiated</v>
      </c>
      <c r="F377" s="6" t="str">
        <f ca="1">IFERROR(__xludf.DUMMYFUNCTION("""COMPUTED_VALUE"""),"SAFe POPM")</f>
        <v>SAFe POPM</v>
      </c>
      <c r="G377" s="80">
        <f ca="1">IFERROR(__xludf.DUMMYFUNCTION("""COMPUTED_VALUE"""),44287)</f>
        <v>44287</v>
      </c>
      <c r="H377" s="6" t="str">
        <f ca="1">IFERROR(__xludf.DUMMYFUNCTION("""COMPUTED_VALUE"""),"Won")</f>
        <v>Won</v>
      </c>
      <c r="I377" s="6" t="str">
        <f ca="1">IFERROR(__xludf.DUMMYFUNCTION("""COMPUTED_VALUE"""),"8-9 May 2021")</f>
        <v>8-9 May 2021</v>
      </c>
      <c r="J377" s="6">
        <f ca="1">IFERROR(__xludf.DUMMYFUNCTION("""COMPUTED_VALUE"""),1)</f>
        <v>1</v>
      </c>
      <c r="K377" s="8">
        <f ca="1">IFERROR(__xludf.DUMMYFUNCTION("""COMPUTED_VALUE"""),45000)</f>
        <v>45000</v>
      </c>
      <c r="L377" s="8">
        <f ca="1">IFERROR(__xludf.DUMMYFUNCTION("""COMPUTED_VALUE"""),515.345854328905)</f>
        <v>515.34585432890503</v>
      </c>
      <c r="M377" s="96">
        <f ca="1">IFERROR(__xludf.DUMMYFUNCTION("""COMPUTED_VALUE"""),44312)</f>
        <v>44312</v>
      </c>
      <c r="N377" s="6" t="str">
        <f ca="1">IFERROR(__xludf.DUMMYFUNCTION("""COMPUTED_VALUE"""),"T10")</f>
        <v>T10</v>
      </c>
      <c r="O377" s="97">
        <f ca="1">IFERROR(__xludf.DUMMYFUNCTION("""COMPUTED_VALUE"""),44312)</f>
        <v>44312</v>
      </c>
      <c r="P377" s="6" t="str">
        <f ca="1">IFERROR(__xludf.DUMMYFUNCTION("""COMPUTED_VALUE"""),"CSTM_GTEIKL59MJU")</f>
        <v>CSTM_GTEIKL59MJU</v>
      </c>
      <c r="Q377" s="6"/>
      <c r="R377" s="6" t="str">
        <f ca="1">IFERROR(__xludf.DUMMYFUNCTION("""COMPUTED_VALUE"""),"Done. Good feedback.")</f>
        <v>Done. Good feedback.</v>
      </c>
      <c r="S377" s="6" t="str">
        <f ca="1">IFERROR(__xludf.DUMMYFUNCTION("""COMPUTED_VALUE"""),"SAFe")</f>
        <v>SAFe</v>
      </c>
      <c r="T377" s="6"/>
      <c r="U377" s="6"/>
      <c r="V377" s="6"/>
      <c r="W377" s="6"/>
      <c r="X377" s="6"/>
      <c r="Y377" s="6"/>
      <c r="Z377" s="6"/>
      <c r="AA377" s="6"/>
      <c r="AB377" s="6"/>
      <c r="AC377" s="6"/>
      <c r="AD377" s="6"/>
      <c r="AE377" s="6"/>
      <c r="AF377" s="6"/>
      <c r="AG377" s="6"/>
      <c r="AH377" s="6"/>
      <c r="AI377" s="6"/>
      <c r="AJ377" s="6"/>
      <c r="AK377" s="6"/>
      <c r="AL377" s="6"/>
    </row>
    <row r="378" spans="1:38">
      <c r="A378" s="96">
        <f ca="1">IFERROR(__xludf.DUMMYFUNCTION("""COMPUTED_VALUE"""),44313)</f>
        <v>44313</v>
      </c>
      <c r="B378" s="6" t="str">
        <f ca="1">IFERROR(__xludf.DUMMYFUNCTION("""COMPUTED_VALUE"""),"Ameya")</f>
        <v>Ameya</v>
      </c>
      <c r="C378" s="6" t="str">
        <f ca="1">IFERROR(__xludf.DUMMYFUNCTION("""COMPUTED_VALUE"""),"apteameya@gmail.com")</f>
        <v>apteameya@gmail.com</v>
      </c>
      <c r="D378" s="6">
        <f ca="1">IFERROR(__xludf.DUMMYFUNCTION("""COMPUTED_VALUE"""),9820854457)</f>
        <v>9820854457</v>
      </c>
      <c r="E378" s="6" t="str">
        <f ca="1">IFERROR(__xludf.DUMMYFUNCTION("""COMPUTED_VALUE"""),"chat_initiated")</f>
        <v>chat_initiated</v>
      </c>
      <c r="F378" s="6" t="str">
        <f ca="1">IFERROR(__xludf.DUMMYFUNCTION("""COMPUTED_VALUE"""),"PSM")</f>
        <v>PSM</v>
      </c>
      <c r="G378" s="80">
        <f ca="1">IFERROR(__xludf.DUMMYFUNCTION("""COMPUTED_VALUE"""),44287)</f>
        <v>44287</v>
      </c>
      <c r="H378" s="6" t="str">
        <f ca="1">IFERROR(__xludf.DUMMYFUNCTION("""COMPUTED_VALUE"""),"Won")</f>
        <v>Won</v>
      </c>
      <c r="I378" s="6" t="str">
        <f ca="1">IFERROR(__xludf.DUMMYFUNCTION("""COMPUTED_VALUE"""),"1-2 May 2021")</f>
        <v>1-2 May 2021</v>
      </c>
      <c r="J378" s="6">
        <f ca="1">IFERROR(__xludf.DUMMYFUNCTION("""COMPUTED_VALUE"""),1)</f>
        <v>1</v>
      </c>
      <c r="K378" s="8">
        <f ca="1">IFERROR(__xludf.DUMMYFUNCTION("""COMPUTED_VALUE"""),21000)</f>
        <v>21000</v>
      </c>
      <c r="L378" s="8">
        <f ca="1">IFERROR(__xludf.DUMMYFUNCTION("""COMPUTED_VALUE"""),240.494732020155)</f>
        <v>240.494732020155</v>
      </c>
      <c r="M378" s="96">
        <f ca="1">IFERROR(__xludf.DUMMYFUNCTION("""COMPUTED_VALUE"""),44313)</f>
        <v>44313</v>
      </c>
      <c r="N378" s="6" t="str">
        <f ca="1">IFERROR(__xludf.DUMMYFUNCTION("""COMPUTED_VALUE"""),"T10")</f>
        <v>T10</v>
      </c>
      <c r="O378" s="97">
        <f ca="1">IFERROR(__xludf.DUMMYFUNCTION("""COMPUTED_VALUE"""),44313)</f>
        <v>44313</v>
      </c>
      <c r="P378" s="6" t="str">
        <f ca="1">IFERROR(__xludf.DUMMYFUNCTION("""COMPUTED_VALUE"""),"CSTM_AA6XHNGZLGI")</f>
        <v>CSTM_AA6XHNGZLGI</v>
      </c>
      <c r="Q378" s="6"/>
      <c r="R378" s="6" t="str">
        <f ca="1">IFERROR(__xludf.DUMMYFUNCTION("""COMPUTED_VALUE"""),"Done. Good feedback.")</f>
        <v>Done. Good feedback.</v>
      </c>
      <c r="S378" s="6" t="str">
        <f ca="1">IFERROR(__xludf.DUMMYFUNCTION("""COMPUTED_VALUE"""),"Category")</f>
        <v>Category</v>
      </c>
      <c r="T378" s="6"/>
      <c r="U378" s="6"/>
      <c r="V378" s="6"/>
      <c r="W378" s="6"/>
      <c r="X378" s="6"/>
      <c r="Y378" s="6"/>
      <c r="Z378" s="6"/>
      <c r="AA378" s="6"/>
      <c r="AB378" s="6"/>
      <c r="AC378" s="6"/>
      <c r="AD378" s="6"/>
      <c r="AE378" s="6"/>
      <c r="AF378" s="6"/>
      <c r="AG378" s="6"/>
      <c r="AH378" s="6"/>
      <c r="AI378" s="6"/>
      <c r="AJ378" s="6"/>
      <c r="AK378" s="6"/>
      <c r="AL378" s="6"/>
    </row>
    <row r="379" spans="1:38">
      <c r="A379" s="96">
        <f ca="1">IFERROR(__xludf.DUMMYFUNCTION("""COMPUTED_VALUE"""),44312)</f>
        <v>44312</v>
      </c>
      <c r="B379" s="6" t="str">
        <f ca="1">IFERROR(__xludf.DUMMYFUNCTION("""COMPUTED_VALUE"""),"Ram Mohan")</f>
        <v>Ram Mohan</v>
      </c>
      <c r="C379" s="6" t="str">
        <f ca="1">IFERROR(__xludf.DUMMYFUNCTION("""COMPUTED_VALUE"""),"ramamohan.m@gmail.com")</f>
        <v>ramamohan.m@gmail.com</v>
      </c>
      <c r="D379" s="6">
        <f ca="1">IFERROR(__xludf.DUMMYFUNCTION("""COMPUTED_VALUE"""),9886012022)</f>
        <v>9886012022</v>
      </c>
      <c r="E379" s="6" t="str">
        <f ca="1">IFERROR(__xludf.DUMMYFUNCTION("""COMPUTED_VALUE"""),"Reference")</f>
        <v>Reference</v>
      </c>
      <c r="F379" s="6" t="str">
        <f ca="1">IFERROR(__xludf.DUMMYFUNCTION("""COMPUTED_VALUE"""),"SAFe Agile")</f>
        <v>SAFe Agile</v>
      </c>
      <c r="G379" s="80">
        <f ca="1">IFERROR(__xludf.DUMMYFUNCTION("""COMPUTED_VALUE"""),44287)</f>
        <v>44287</v>
      </c>
      <c r="H379" s="6" t="str">
        <f ca="1">IFERROR(__xludf.DUMMYFUNCTION("""COMPUTED_VALUE"""),"Won")</f>
        <v>Won</v>
      </c>
      <c r="I379" s="6" t="str">
        <f ca="1">IFERROR(__xludf.DUMMYFUNCTION("""COMPUTED_VALUE"""),"8-9 May 2021")</f>
        <v>8-9 May 2021</v>
      </c>
      <c r="J379" s="6">
        <f ca="1">IFERROR(__xludf.DUMMYFUNCTION("""COMPUTED_VALUE"""),1)</f>
        <v>1</v>
      </c>
      <c r="K379" s="8">
        <f ca="1">IFERROR(__xludf.DUMMYFUNCTION("""COMPUTED_VALUE"""),45000)</f>
        <v>45000</v>
      </c>
      <c r="L379" s="8">
        <f ca="1">IFERROR(__xludf.DUMMYFUNCTION("""COMPUTED_VALUE"""),515.345854328905)</f>
        <v>515.34585432890503</v>
      </c>
      <c r="M379" s="96">
        <f ca="1">IFERROR(__xludf.DUMMYFUNCTION("""COMPUTED_VALUE"""),44314)</f>
        <v>44314</v>
      </c>
      <c r="N379" s="6" t="str">
        <f ca="1">IFERROR(__xludf.DUMMYFUNCTION("""COMPUTED_VALUE"""),"T10")</f>
        <v>T10</v>
      </c>
      <c r="O379" s="97">
        <f ca="1">IFERROR(__xludf.DUMMYFUNCTION("""COMPUTED_VALUE"""),44314)</f>
        <v>44314</v>
      </c>
      <c r="P379" s="6" t="str">
        <f ca="1">IFERROR(__xludf.DUMMYFUNCTION("""COMPUTED_VALUE"""),"CSTM_A9S4BIU8LRI")</f>
        <v>CSTM_A9S4BIU8LRI</v>
      </c>
      <c r="Q379" s="6" t="str">
        <f ca="1">IFERROR(__xludf.DUMMYFUNCTION("""COMPUTED_VALUE"""),"Reference by Saroj Kumar - sarojkumarjd@gmail.com")</f>
        <v>Reference by Saroj Kumar - sarojkumarjd@gmail.com</v>
      </c>
      <c r="R379" s="6" t="str">
        <f ca="1">IFERROR(__xludf.DUMMYFUNCTION("""COMPUTED_VALUE"""),"Pending")</f>
        <v>Pending</v>
      </c>
      <c r="S379" s="6" t="str">
        <f ca="1">IFERROR(__xludf.DUMMYFUNCTION("""COMPUTED_VALUE"""),"SAFe")</f>
        <v>SAFe</v>
      </c>
      <c r="T379" s="6"/>
      <c r="U379" s="6"/>
      <c r="V379" s="6"/>
      <c r="W379" s="6"/>
      <c r="X379" s="6"/>
      <c r="Y379" s="6"/>
      <c r="Z379" s="6"/>
      <c r="AA379" s="6"/>
      <c r="AB379" s="6"/>
      <c r="AC379" s="6"/>
      <c r="AD379" s="6"/>
      <c r="AE379" s="6"/>
      <c r="AF379" s="6"/>
      <c r="AG379" s="6"/>
      <c r="AH379" s="6"/>
      <c r="AI379" s="6"/>
      <c r="AJ379" s="6"/>
      <c r="AK379" s="6"/>
      <c r="AL379" s="6"/>
    </row>
    <row r="380" spans="1:38">
      <c r="A380" s="96">
        <f ca="1">IFERROR(__xludf.DUMMYFUNCTION("""COMPUTED_VALUE"""),44315)</f>
        <v>44315</v>
      </c>
      <c r="B380" s="6" t="str">
        <f ca="1">IFERROR(__xludf.DUMMYFUNCTION("""COMPUTED_VALUE"""),"Manjusha Gathey")</f>
        <v>Manjusha Gathey</v>
      </c>
      <c r="C380" s="6" t="str">
        <f ca="1">IFERROR(__xludf.DUMMYFUNCTION("""COMPUTED_VALUE"""),"manjusha.gathey@gmail.com")</f>
        <v>manjusha.gathey@gmail.com</v>
      </c>
      <c r="D380" s="6">
        <f ca="1">IFERROR(__xludf.DUMMYFUNCTION("""COMPUTED_VALUE"""),9642446000)</f>
        <v>9642446000</v>
      </c>
      <c r="E380" s="6" t="str">
        <f ca="1">IFERROR(__xludf.DUMMYFUNCTION("""COMPUTED_VALUE"""),"course agenda")</f>
        <v>course agenda</v>
      </c>
      <c r="F380" s="6" t="str">
        <f ca="1">IFERROR(__xludf.DUMMYFUNCTION("""COMPUTED_VALUE"""),"SAFe POPM")</f>
        <v>SAFe POPM</v>
      </c>
      <c r="G380" s="80">
        <f ca="1">IFERROR(__xludf.DUMMYFUNCTION("""COMPUTED_VALUE"""),44287)</f>
        <v>44287</v>
      </c>
      <c r="H380" s="6" t="str">
        <f ca="1">IFERROR(__xludf.DUMMYFUNCTION("""COMPUTED_VALUE"""),"Won")</f>
        <v>Won</v>
      </c>
      <c r="I380" s="6" t="str">
        <f ca="1">IFERROR(__xludf.DUMMYFUNCTION("""COMPUTED_VALUE"""),"8-9 May 2021")</f>
        <v>8-9 May 2021</v>
      </c>
      <c r="J380" s="6">
        <f ca="1">IFERROR(__xludf.DUMMYFUNCTION("""COMPUTED_VALUE"""),1)</f>
        <v>1</v>
      </c>
      <c r="K380" s="8">
        <f ca="1">IFERROR(__xludf.DUMMYFUNCTION("""COMPUTED_VALUE"""),45000)</f>
        <v>45000</v>
      </c>
      <c r="L380" s="8">
        <f ca="1">IFERROR(__xludf.DUMMYFUNCTION("""COMPUTED_VALUE"""),515.345854328905)</f>
        <v>515.34585432890503</v>
      </c>
      <c r="M380" s="96">
        <f ca="1">IFERROR(__xludf.DUMMYFUNCTION("""COMPUTED_VALUE"""),44315)</f>
        <v>44315</v>
      </c>
      <c r="N380" s="6" t="str">
        <f ca="1">IFERROR(__xludf.DUMMYFUNCTION("""COMPUTED_VALUE"""),"T10")</f>
        <v>T10</v>
      </c>
      <c r="O380" s="97">
        <f ca="1">IFERROR(__xludf.DUMMYFUNCTION("""COMPUTED_VALUE"""),44315)</f>
        <v>44315</v>
      </c>
      <c r="P380" s="6" t="str">
        <f ca="1">IFERROR(__xludf.DUMMYFUNCTION("""COMPUTED_VALUE"""),"CSTM_HFQK3RTR581")</f>
        <v>CSTM_HFQK3RTR581</v>
      </c>
      <c r="Q380" s="6"/>
      <c r="R380" s="6" t="str">
        <f ca="1">IFERROR(__xludf.DUMMYFUNCTION("""COMPUTED_VALUE"""),"Pending")</f>
        <v>Pending</v>
      </c>
      <c r="S380" s="6" t="str">
        <f ca="1">IFERROR(__xludf.DUMMYFUNCTION("""COMPUTED_VALUE"""),"SAFe")</f>
        <v>SAFe</v>
      </c>
      <c r="T380" s="6"/>
      <c r="U380" s="6"/>
      <c r="V380" s="6"/>
      <c r="W380" s="6"/>
      <c r="X380" s="6"/>
      <c r="Y380" s="6"/>
      <c r="Z380" s="6"/>
      <c r="AA380" s="6"/>
      <c r="AB380" s="6"/>
      <c r="AC380" s="6"/>
      <c r="AD380" s="6"/>
      <c r="AE380" s="6"/>
      <c r="AF380" s="6"/>
      <c r="AG380" s="6"/>
      <c r="AH380" s="6"/>
      <c r="AI380" s="6"/>
      <c r="AJ380" s="6"/>
      <c r="AK380" s="6"/>
      <c r="AL380" s="6"/>
    </row>
    <row r="381" spans="1:38">
      <c r="A381" s="96">
        <f ca="1">IFERROR(__xludf.DUMMYFUNCTION("""COMPUTED_VALUE"""),44317)</f>
        <v>44317</v>
      </c>
      <c r="B381" s="6" t="str">
        <f ca="1">IFERROR(__xludf.DUMMYFUNCTION("""COMPUTED_VALUE"""),"Richa Sharma")</f>
        <v>Richa Sharma</v>
      </c>
      <c r="C381" s="6" t="str">
        <f ca="1">IFERROR(__xludf.DUMMYFUNCTION("""COMPUTED_VALUE"""),"talk2ashish@hotmail.com")</f>
        <v>talk2ashish@hotmail.com</v>
      </c>
      <c r="D381" s="6">
        <f ca="1">IFERROR(__xludf.DUMMYFUNCTION("""COMPUTED_VALUE"""),9914600941)</f>
        <v>9914600941</v>
      </c>
      <c r="E381" s="6" t="str">
        <f ca="1">IFERROR(__xludf.DUMMYFUNCTION("""COMPUTED_VALUE"""),"Reference")</f>
        <v>Reference</v>
      </c>
      <c r="F381" s="6" t="str">
        <f ca="1">IFERROR(__xludf.DUMMYFUNCTION("""COMPUTED_VALUE"""),"Data Analyst Masters")</f>
        <v>Data Analyst Masters</v>
      </c>
      <c r="G381" s="80">
        <f ca="1">IFERROR(__xludf.DUMMYFUNCTION("""COMPUTED_VALUE"""),44317)</f>
        <v>44317</v>
      </c>
      <c r="H381" s="6" t="str">
        <f ca="1">IFERROR(__xludf.DUMMYFUNCTION("""COMPUTED_VALUE"""),"Won")</f>
        <v>Won</v>
      </c>
      <c r="I381" s="6" t="str">
        <f ca="1">IFERROR(__xludf.DUMMYFUNCTION("""COMPUTED_VALUE"""),"May 2021")</f>
        <v>May 2021</v>
      </c>
      <c r="J381" s="6">
        <f ca="1">IFERROR(__xludf.DUMMYFUNCTION("""COMPUTED_VALUE"""),1)</f>
        <v>1</v>
      </c>
      <c r="K381" s="8">
        <f ca="1">IFERROR(__xludf.DUMMYFUNCTION("""COMPUTED_VALUE"""),32000)</f>
        <v>32000</v>
      </c>
      <c r="L381" s="8">
        <f ca="1">IFERROR(__xludf.DUMMYFUNCTION("""COMPUTED_VALUE"""),366.468163078332)</f>
        <v>366.468163078332</v>
      </c>
      <c r="M381" s="96">
        <f ca="1">IFERROR(__xludf.DUMMYFUNCTION("""COMPUTED_VALUE"""),44317)</f>
        <v>44317</v>
      </c>
      <c r="N381" s="6" t="str">
        <f ca="1">IFERROR(__xludf.DUMMYFUNCTION("""COMPUTED_VALUE"""),"F10")</f>
        <v>F10</v>
      </c>
      <c r="O381" s="97">
        <f ca="1">IFERROR(__xludf.DUMMYFUNCTION("""COMPUTED_VALUE"""),44318)</f>
        <v>44318</v>
      </c>
      <c r="P381" s="6" t="str">
        <f ca="1">IFERROR(__xludf.DUMMYFUNCTION("""COMPUTED_VALUE"""),"CSTM_IPUVAPBKD2M")</f>
        <v>CSTM_IPUVAPBKD2M</v>
      </c>
      <c r="Q381" s="6" t="str">
        <f ca="1">IFERROR(__xludf.DUMMYFUNCTION("""COMPUTED_VALUE"""),"Reference by ashish.sharma2@gmail.com")</f>
        <v>Reference by ashish.sharma2@gmail.com</v>
      </c>
      <c r="R381" s="6" t="str">
        <f ca="1">IFERROR(__xludf.DUMMYFUNCTION("""COMPUTED_VALUE"""),"Done.")</f>
        <v>Done.</v>
      </c>
      <c r="S381" s="6" t="str">
        <f ca="1">IFERROR(__xludf.DUMMYFUNCTION("""COMPUTED_VALUE"""),"NonCategory")</f>
        <v>NonCategory</v>
      </c>
      <c r="T381" s="6"/>
      <c r="U381" s="6"/>
      <c r="V381" s="6"/>
      <c r="W381" s="6"/>
      <c r="X381" s="6"/>
      <c r="Y381" s="6"/>
      <c r="Z381" s="6"/>
      <c r="AA381" s="6"/>
      <c r="AB381" s="6"/>
      <c r="AC381" s="6"/>
      <c r="AD381" s="6"/>
      <c r="AE381" s="6"/>
      <c r="AF381" s="6"/>
      <c r="AG381" s="6"/>
      <c r="AH381" s="6"/>
      <c r="AI381" s="6"/>
      <c r="AJ381" s="6"/>
      <c r="AK381" s="6"/>
      <c r="AL381" s="6"/>
    </row>
    <row r="382" spans="1:38">
      <c r="A382" s="96">
        <f ca="1">IFERROR(__xludf.DUMMYFUNCTION("""COMPUTED_VALUE"""),44319)</f>
        <v>44319</v>
      </c>
      <c r="B382" s="6" t="str">
        <f ca="1">IFERROR(__xludf.DUMMYFUNCTION("""COMPUTED_VALUE"""),"Shobana Ajay")</f>
        <v>Shobana Ajay</v>
      </c>
      <c r="C382" s="6" t="str">
        <f ca="1">IFERROR(__xludf.DUMMYFUNCTION("""COMPUTED_VALUE"""),"shobanaajay@gmail.com")</f>
        <v>shobanaajay@gmail.com</v>
      </c>
      <c r="D382" s="6">
        <f ca="1">IFERROR(__xludf.DUMMYFUNCTION("""COMPUTED_VALUE"""),9845165710)</f>
        <v>9845165710</v>
      </c>
      <c r="E382" s="6" t="str">
        <f ca="1">IFERROR(__xludf.DUMMYFUNCTION("""COMPUTED_VALUE"""),"Chat_triggered")</f>
        <v>Chat_triggered</v>
      </c>
      <c r="F382" s="6" t="str">
        <f ca="1">IFERROR(__xludf.DUMMYFUNCTION("""COMPUTED_VALUE"""),"SAFe Agile")</f>
        <v>SAFe Agile</v>
      </c>
      <c r="G382" s="80">
        <f ca="1">IFERROR(__xludf.DUMMYFUNCTION("""COMPUTED_VALUE"""),44317)</f>
        <v>44317</v>
      </c>
      <c r="H382" s="6" t="str">
        <f ca="1">IFERROR(__xludf.DUMMYFUNCTION("""COMPUTED_VALUE"""),"Won")</f>
        <v>Won</v>
      </c>
      <c r="I382" s="6" t="str">
        <f ca="1">IFERROR(__xludf.DUMMYFUNCTION("""COMPUTED_VALUE"""),"8-9 May 2021")</f>
        <v>8-9 May 2021</v>
      </c>
      <c r="J382" s="6">
        <f ca="1">IFERROR(__xludf.DUMMYFUNCTION("""COMPUTED_VALUE"""),1)</f>
        <v>1</v>
      </c>
      <c r="K382" s="8">
        <f ca="1">IFERROR(__xludf.DUMMYFUNCTION("""COMPUTED_VALUE"""),45000)</f>
        <v>45000</v>
      </c>
      <c r="L382" s="8">
        <f ca="1">IFERROR(__xludf.DUMMYFUNCTION("""COMPUTED_VALUE"""),515.345854328905)</f>
        <v>515.34585432890503</v>
      </c>
      <c r="M382" s="96">
        <f ca="1">IFERROR(__xludf.DUMMYFUNCTION("""COMPUTED_VALUE"""),44319)</f>
        <v>44319</v>
      </c>
      <c r="N382" s="6" t="str">
        <f ca="1">IFERROR(__xludf.DUMMYFUNCTION("""COMPUTED_VALUE"""),"F10")</f>
        <v>F10</v>
      </c>
      <c r="O382" s="97">
        <f ca="1">IFERROR(__xludf.DUMMYFUNCTION("""COMPUTED_VALUE"""),44319)</f>
        <v>44319</v>
      </c>
      <c r="P382" s="6" t="str">
        <f ca="1">IFERROR(__xludf.DUMMYFUNCTION("""COMPUTED_VALUE"""),"CSTM_4ODPEYNSOPJ")</f>
        <v>CSTM_4ODPEYNSOPJ</v>
      </c>
      <c r="Q382" s="6"/>
      <c r="R382" s="6" t="str">
        <f ca="1">IFERROR(__xludf.DUMMYFUNCTION("""COMPUTED_VALUE"""),"Pending")</f>
        <v>Pending</v>
      </c>
      <c r="S382" s="6" t="str">
        <f ca="1">IFERROR(__xludf.DUMMYFUNCTION("""COMPUTED_VALUE"""),"SAFe")</f>
        <v>SAFe</v>
      </c>
      <c r="T382" s="6"/>
      <c r="U382" s="6"/>
      <c r="V382" s="6"/>
      <c r="W382" s="6"/>
      <c r="X382" s="6"/>
      <c r="Y382" s="6"/>
      <c r="Z382" s="6"/>
      <c r="AA382" s="6"/>
      <c r="AB382" s="6"/>
      <c r="AC382" s="6"/>
      <c r="AD382" s="6"/>
      <c r="AE382" s="6"/>
      <c r="AF382" s="6"/>
      <c r="AG382" s="6"/>
      <c r="AH382" s="6"/>
      <c r="AI382" s="6"/>
      <c r="AJ382" s="6"/>
      <c r="AK382" s="6"/>
      <c r="AL382" s="6"/>
    </row>
    <row r="383" spans="1:38">
      <c r="A383" s="96">
        <f ca="1">IFERROR(__xludf.DUMMYFUNCTION("""COMPUTED_VALUE"""),44319)</f>
        <v>44319</v>
      </c>
      <c r="B383" s="6" t="str">
        <f ca="1">IFERROR(__xludf.DUMMYFUNCTION("""COMPUTED_VALUE"""),"Jaya Chandra")</f>
        <v>Jaya Chandra</v>
      </c>
      <c r="C383" s="6" t="str">
        <f ca="1">IFERROR(__xludf.DUMMYFUNCTION("""COMPUTED_VALUE"""),"jayachandra79@gmail.com")</f>
        <v>jayachandra79@gmail.com</v>
      </c>
      <c r="D383" s="6">
        <f ca="1">IFERROR(__xludf.DUMMYFUNCTION("""COMPUTED_VALUE"""),9818602198)</f>
        <v>9818602198</v>
      </c>
      <c r="E383" s="6" t="str">
        <f ca="1">IFERROR(__xludf.DUMMYFUNCTION("""COMPUTED_VALUE"""),"Account Repeat")</f>
        <v>Account Repeat</v>
      </c>
      <c r="F383" s="6" t="str">
        <f ca="1">IFERROR(__xludf.DUMMYFUNCTION("""COMPUTED_VALUE"""),"SAFe Agile")</f>
        <v>SAFe Agile</v>
      </c>
      <c r="G383" s="80">
        <f ca="1">IFERROR(__xludf.DUMMYFUNCTION("""COMPUTED_VALUE"""),44317)</f>
        <v>44317</v>
      </c>
      <c r="H383" s="6" t="str">
        <f ca="1">IFERROR(__xludf.DUMMYFUNCTION("""COMPUTED_VALUE"""),"Won")</f>
        <v>Won</v>
      </c>
      <c r="I383" s="6" t="str">
        <f ca="1">IFERROR(__xludf.DUMMYFUNCTION("""COMPUTED_VALUE"""),"8-9 May 2021")</f>
        <v>8-9 May 2021</v>
      </c>
      <c r="J383" s="6">
        <f ca="1">IFERROR(__xludf.DUMMYFUNCTION("""COMPUTED_VALUE"""),1)</f>
        <v>1</v>
      </c>
      <c r="K383" s="8">
        <f ca="1">IFERROR(__xludf.DUMMYFUNCTION("""COMPUTED_VALUE"""),45000)</f>
        <v>45000</v>
      </c>
      <c r="L383" s="8">
        <f ca="1">IFERROR(__xludf.DUMMYFUNCTION("""COMPUTED_VALUE"""),515.345854328905)</f>
        <v>515.34585432890503</v>
      </c>
      <c r="M383" s="96">
        <f ca="1">IFERROR(__xludf.DUMMYFUNCTION("""COMPUTED_VALUE"""),44319)</f>
        <v>44319</v>
      </c>
      <c r="N383" s="6" t="str">
        <f ca="1">IFERROR(__xludf.DUMMYFUNCTION("""COMPUTED_VALUE"""),"F10")</f>
        <v>F10</v>
      </c>
      <c r="O383" s="97">
        <f ca="1">IFERROR(__xludf.DUMMYFUNCTION("""COMPUTED_VALUE"""),44320)</f>
        <v>44320</v>
      </c>
      <c r="P383" s="6" t="str">
        <f ca="1">IFERROR(__xludf.DUMMYFUNCTION("""COMPUTED_VALUE"""),"CSTM_38VOYZOP4GJ")</f>
        <v>CSTM_38VOYZOP4GJ</v>
      </c>
      <c r="Q383" s="6"/>
      <c r="R383" s="6" t="str">
        <f ca="1">IFERROR(__xludf.DUMMYFUNCTION("""COMPUTED_VALUE"""),"Done. Good feedback.")</f>
        <v>Done. Good feedback.</v>
      </c>
      <c r="S383" s="6" t="str">
        <f ca="1">IFERROR(__xludf.DUMMYFUNCTION("""COMPUTED_VALUE"""),"SAFe")</f>
        <v>SAFe</v>
      </c>
      <c r="T383" s="6"/>
      <c r="U383" s="6"/>
      <c r="V383" s="6"/>
      <c r="W383" s="6"/>
      <c r="X383" s="6"/>
      <c r="Y383" s="6"/>
      <c r="Z383" s="6"/>
      <c r="AA383" s="6"/>
      <c r="AB383" s="6"/>
      <c r="AC383" s="6"/>
      <c r="AD383" s="6"/>
      <c r="AE383" s="6"/>
      <c r="AF383" s="6"/>
      <c r="AG383" s="6"/>
      <c r="AH383" s="6"/>
      <c r="AI383" s="6"/>
      <c r="AJ383" s="6"/>
      <c r="AK383" s="6"/>
      <c r="AL383" s="6"/>
    </row>
    <row r="384" spans="1:38">
      <c r="A384" s="96">
        <f ca="1">IFERROR(__xludf.DUMMYFUNCTION("""COMPUTED_VALUE"""),44320)</f>
        <v>44320</v>
      </c>
      <c r="B384" s="6" t="str">
        <f ca="1">IFERROR(__xludf.DUMMYFUNCTION("""COMPUTED_VALUE"""),"Fernandes")</f>
        <v>Fernandes</v>
      </c>
      <c r="C384" s="6" t="str">
        <f ca="1">IFERROR(__xludf.DUMMYFUNCTION("""COMPUTED_VALUE"""),"fernandesjojy@gmail.com")</f>
        <v>fernandesjojy@gmail.com</v>
      </c>
      <c r="D384" s="6">
        <f ca="1">IFERROR(__xludf.DUMMYFUNCTION("""COMPUTED_VALUE"""),8291065481)</f>
        <v>8291065481</v>
      </c>
      <c r="E384" s="6" t="str">
        <f ca="1">IFERROR(__xludf.DUMMYFUNCTION("""COMPUTED_VALUE"""),"fpt-paper")</f>
        <v>fpt-paper</v>
      </c>
      <c r="F384" s="6" t="str">
        <f ca="1">IFERROR(__xludf.DUMMYFUNCTION("""COMPUTED_VALUE"""),"CSM")</f>
        <v>CSM</v>
      </c>
      <c r="G384" s="80">
        <f ca="1">IFERROR(__xludf.DUMMYFUNCTION("""COMPUTED_VALUE"""),44317)</f>
        <v>44317</v>
      </c>
      <c r="H384" s="6" t="str">
        <f ca="1">IFERROR(__xludf.DUMMYFUNCTION("""COMPUTED_VALUE"""),"Won")</f>
        <v>Won</v>
      </c>
      <c r="I384" s="6" t="str">
        <f ca="1">IFERROR(__xludf.DUMMYFUNCTION("""COMPUTED_VALUE"""),"29-30 May 2021")</f>
        <v>29-30 May 2021</v>
      </c>
      <c r="J384" s="6">
        <f ca="1">IFERROR(__xludf.DUMMYFUNCTION("""COMPUTED_VALUE"""),1)</f>
        <v>1</v>
      </c>
      <c r="K384" s="8">
        <f ca="1">IFERROR(__xludf.DUMMYFUNCTION("""COMPUTED_VALUE"""),18000)</f>
        <v>18000</v>
      </c>
      <c r="L384" s="8">
        <f ca="1">IFERROR(__xludf.DUMMYFUNCTION("""COMPUTED_VALUE"""),206.138341731562)</f>
        <v>206.13834173156201</v>
      </c>
      <c r="M384" s="96">
        <f ca="1">IFERROR(__xludf.DUMMYFUNCTION("""COMPUTED_VALUE"""),44320)</f>
        <v>44320</v>
      </c>
      <c r="N384" s="6" t="str">
        <f ca="1">IFERROR(__xludf.DUMMYFUNCTION("""COMPUTED_VALUE"""),"F10")</f>
        <v>F10</v>
      </c>
      <c r="O384" s="97">
        <f ca="1">IFERROR(__xludf.DUMMYFUNCTION("""COMPUTED_VALUE"""),44320)</f>
        <v>44320</v>
      </c>
      <c r="P384" s="6" t="str">
        <f ca="1">IFERROR(__xludf.DUMMYFUNCTION("""COMPUTED_VALUE"""),"CSTM_3X7G664Q1GA")</f>
        <v>CSTM_3X7G664Q1GA</v>
      </c>
      <c r="Q384" s="6"/>
      <c r="R384" s="6" t="str">
        <f ca="1">IFERROR(__xludf.DUMMYFUNCTION("""COMPUTED_VALUE"""),"Pending")</f>
        <v>Pending</v>
      </c>
      <c r="S384" s="6" t="str">
        <f ca="1">IFERROR(__xludf.DUMMYFUNCTION("""COMPUTED_VALUE"""),"Category")</f>
        <v>Category</v>
      </c>
      <c r="T384" s="6"/>
      <c r="U384" s="6"/>
      <c r="V384" s="6"/>
      <c r="W384" s="6"/>
      <c r="X384" s="6"/>
      <c r="Y384" s="6"/>
      <c r="Z384" s="6"/>
      <c r="AA384" s="6"/>
      <c r="AB384" s="6"/>
      <c r="AC384" s="6"/>
      <c r="AD384" s="6"/>
      <c r="AE384" s="6"/>
      <c r="AF384" s="6"/>
      <c r="AG384" s="6"/>
      <c r="AH384" s="6"/>
      <c r="AI384" s="6"/>
      <c r="AJ384" s="6"/>
      <c r="AK384" s="6"/>
      <c r="AL384" s="6"/>
    </row>
    <row r="385" spans="1:38">
      <c r="A385" s="96">
        <f ca="1">IFERROR(__xludf.DUMMYFUNCTION("""COMPUTED_VALUE"""),44320)</f>
        <v>44320</v>
      </c>
      <c r="B385" s="6" t="str">
        <f ca="1">IFERROR(__xludf.DUMMYFUNCTION("""COMPUTED_VALUE"""),"Thomas George")</f>
        <v>Thomas George</v>
      </c>
      <c r="C385" s="6" t="str">
        <f ca="1">IFERROR(__xludf.DUMMYFUNCTION("""COMPUTED_VALUE"""),"thomastomgeorge@gmail.com")</f>
        <v>thomastomgeorge@gmail.com</v>
      </c>
      <c r="D385" s="6">
        <f ca="1">IFERROR(__xludf.DUMMYFUNCTION("""COMPUTED_VALUE"""),9930519075)</f>
        <v>9930519075</v>
      </c>
      <c r="E385" s="6" t="str">
        <f ca="1">IFERROR(__xludf.DUMMYFUNCTION("""COMPUTED_VALUE"""),"Reference")</f>
        <v>Reference</v>
      </c>
      <c r="F385" s="6" t="str">
        <f ca="1">IFERROR(__xludf.DUMMYFUNCTION("""COMPUTED_VALUE"""),"CSM")</f>
        <v>CSM</v>
      </c>
      <c r="G385" s="80">
        <f ca="1">IFERROR(__xludf.DUMMYFUNCTION("""COMPUTED_VALUE"""),44317)</f>
        <v>44317</v>
      </c>
      <c r="H385" s="6" t="str">
        <f ca="1">IFERROR(__xludf.DUMMYFUNCTION("""COMPUTED_VALUE"""),"Won")</f>
        <v>Won</v>
      </c>
      <c r="I385" s="6" t="str">
        <f ca="1">IFERROR(__xludf.DUMMYFUNCTION("""COMPUTED_VALUE"""),"29-30 May 2021")</f>
        <v>29-30 May 2021</v>
      </c>
      <c r="J385" s="6">
        <f ca="1">IFERROR(__xludf.DUMMYFUNCTION("""COMPUTED_VALUE"""),1)</f>
        <v>1</v>
      </c>
      <c r="K385" s="8">
        <f ca="1">IFERROR(__xludf.DUMMYFUNCTION("""COMPUTED_VALUE"""),18000)</f>
        <v>18000</v>
      </c>
      <c r="L385" s="8">
        <f ca="1">IFERROR(__xludf.DUMMYFUNCTION("""COMPUTED_VALUE"""),206.138341731562)</f>
        <v>206.13834173156201</v>
      </c>
      <c r="M385" s="96">
        <f ca="1">IFERROR(__xludf.DUMMYFUNCTION("""COMPUTED_VALUE"""),44320)</f>
        <v>44320</v>
      </c>
      <c r="N385" s="6" t="str">
        <f ca="1">IFERROR(__xludf.DUMMYFUNCTION("""COMPUTED_VALUE"""),"F10")</f>
        <v>F10</v>
      </c>
      <c r="O385" s="97">
        <f ca="1">IFERROR(__xludf.DUMMYFUNCTION("""COMPUTED_VALUE"""),44320)</f>
        <v>44320</v>
      </c>
      <c r="P385" s="6" t="str">
        <f ca="1">IFERROR(__xludf.DUMMYFUNCTION("""COMPUTED_VALUE"""),"CSTM_MFYC2OVW80")</f>
        <v>CSTM_MFYC2OVW80</v>
      </c>
      <c r="Q385" s="6" t="str">
        <f ca="1">IFERROR(__xludf.DUMMYFUNCTION("""COMPUTED_VALUE"""),"Reference by Fernandes")</f>
        <v>Reference by Fernandes</v>
      </c>
      <c r="R385" s="6" t="str">
        <f ca="1">IFERROR(__xludf.DUMMYFUNCTION("""COMPUTED_VALUE"""),"Pending")</f>
        <v>Pending</v>
      </c>
      <c r="S385" s="6" t="str">
        <f ca="1">IFERROR(__xludf.DUMMYFUNCTION("""COMPUTED_VALUE"""),"Category")</f>
        <v>Category</v>
      </c>
      <c r="T385" s="6"/>
      <c r="U385" s="6"/>
      <c r="V385" s="6"/>
      <c r="W385" s="6"/>
      <c r="X385" s="6"/>
      <c r="Y385" s="6"/>
      <c r="Z385" s="6"/>
      <c r="AA385" s="6"/>
      <c r="AB385" s="6"/>
      <c r="AC385" s="6"/>
      <c r="AD385" s="6"/>
      <c r="AE385" s="6"/>
      <c r="AF385" s="6"/>
      <c r="AG385" s="6"/>
      <c r="AH385" s="6"/>
      <c r="AI385" s="6"/>
      <c r="AJ385" s="6"/>
      <c r="AK385" s="6"/>
      <c r="AL385" s="6"/>
    </row>
    <row r="386" spans="1:38">
      <c r="A386" s="96">
        <f ca="1">IFERROR(__xludf.DUMMYFUNCTION("""COMPUTED_VALUE"""),44320)</f>
        <v>44320</v>
      </c>
      <c r="B386" s="6" t="str">
        <f ca="1">IFERROR(__xludf.DUMMYFUNCTION("""COMPUTED_VALUE"""),"Franklin Serrao")</f>
        <v>Franklin Serrao</v>
      </c>
      <c r="C386" s="6" t="str">
        <f ca="1">IFERROR(__xludf.DUMMYFUNCTION("""COMPUTED_VALUE"""),"fserrao29@gmail.com")</f>
        <v>fserrao29@gmail.com</v>
      </c>
      <c r="D386" s="6">
        <f ca="1">IFERROR(__xludf.DUMMYFUNCTION("""COMPUTED_VALUE"""),7506142186)</f>
        <v>7506142186</v>
      </c>
      <c r="E386" s="6" t="str">
        <f ca="1">IFERROR(__xludf.DUMMYFUNCTION("""COMPUTED_VALUE"""),"Reference")</f>
        <v>Reference</v>
      </c>
      <c r="F386" s="6" t="str">
        <f ca="1">IFERROR(__xludf.DUMMYFUNCTION("""COMPUTED_VALUE"""),"CSM")</f>
        <v>CSM</v>
      </c>
      <c r="G386" s="80">
        <f ca="1">IFERROR(__xludf.DUMMYFUNCTION("""COMPUTED_VALUE"""),44317)</f>
        <v>44317</v>
      </c>
      <c r="H386" s="6" t="str">
        <f ca="1">IFERROR(__xludf.DUMMYFUNCTION("""COMPUTED_VALUE"""),"Won")</f>
        <v>Won</v>
      </c>
      <c r="I386" s="6" t="str">
        <f ca="1">IFERROR(__xludf.DUMMYFUNCTION("""COMPUTED_VALUE"""),"29-30 May 2021")</f>
        <v>29-30 May 2021</v>
      </c>
      <c r="J386" s="6">
        <f ca="1">IFERROR(__xludf.DUMMYFUNCTION("""COMPUTED_VALUE"""),1)</f>
        <v>1</v>
      </c>
      <c r="K386" s="8">
        <f ca="1">IFERROR(__xludf.DUMMYFUNCTION("""COMPUTED_VALUE"""),18000)</f>
        <v>18000</v>
      </c>
      <c r="L386" s="8">
        <f ca="1">IFERROR(__xludf.DUMMYFUNCTION("""COMPUTED_VALUE"""),206.138341731562)</f>
        <v>206.13834173156201</v>
      </c>
      <c r="M386" s="96">
        <f ca="1">IFERROR(__xludf.DUMMYFUNCTION("""COMPUTED_VALUE"""),44320)</f>
        <v>44320</v>
      </c>
      <c r="N386" s="6" t="str">
        <f ca="1">IFERROR(__xludf.DUMMYFUNCTION("""COMPUTED_VALUE"""),"F10")</f>
        <v>F10</v>
      </c>
      <c r="O386" s="97">
        <f ca="1">IFERROR(__xludf.DUMMYFUNCTION("""COMPUTED_VALUE"""),44320)</f>
        <v>44320</v>
      </c>
      <c r="P386" s="6" t="str">
        <f ca="1">IFERROR(__xludf.DUMMYFUNCTION("""COMPUTED_VALUE"""),"CSTM_5S76QM1FSAR")</f>
        <v>CSTM_5S76QM1FSAR</v>
      </c>
      <c r="Q386" s="6" t="str">
        <f ca="1">IFERROR(__xludf.DUMMYFUNCTION("""COMPUTED_VALUE"""),"Reference by Fernandes")</f>
        <v>Reference by Fernandes</v>
      </c>
      <c r="R386" s="6" t="str">
        <f ca="1">IFERROR(__xludf.DUMMYFUNCTION("""COMPUTED_VALUE"""),"Pending")</f>
        <v>Pending</v>
      </c>
      <c r="S386" s="6" t="str">
        <f ca="1">IFERROR(__xludf.DUMMYFUNCTION("""COMPUTED_VALUE"""),"Category")</f>
        <v>Category</v>
      </c>
      <c r="T386" s="6"/>
      <c r="U386" s="6"/>
      <c r="V386" s="6"/>
      <c r="W386" s="6"/>
      <c r="X386" s="6"/>
      <c r="Y386" s="6"/>
      <c r="Z386" s="6"/>
      <c r="AA386" s="6"/>
      <c r="AB386" s="6"/>
      <c r="AC386" s="6"/>
      <c r="AD386" s="6"/>
      <c r="AE386" s="6"/>
      <c r="AF386" s="6"/>
      <c r="AG386" s="6"/>
      <c r="AH386" s="6"/>
      <c r="AI386" s="6"/>
      <c r="AJ386" s="6"/>
      <c r="AK386" s="6"/>
      <c r="AL386" s="6"/>
    </row>
    <row r="387" spans="1:38">
      <c r="A387" s="96">
        <f ca="1">IFERROR(__xludf.DUMMYFUNCTION("""COMPUTED_VALUE"""),44321)</f>
        <v>44321</v>
      </c>
      <c r="B387" s="6" t="str">
        <f ca="1">IFERROR(__xludf.DUMMYFUNCTION("""COMPUTED_VALUE"""),"Sneha Jyothi Prakash")</f>
        <v>Sneha Jyothi Prakash</v>
      </c>
      <c r="C387" s="6" t="str">
        <f ca="1">IFERROR(__xludf.DUMMYFUNCTION("""COMPUTED_VALUE"""),"sneghu@gmail.com")</f>
        <v>sneghu@gmail.com</v>
      </c>
      <c r="D387" s="6">
        <f ca="1">IFERROR(__xludf.DUMMYFUNCTION("""COMPUTED_VALUE"""),9742089850)</f>
        <v>9742089850</v>
      </c>
      <c r="E387" s="6" t="str">
        <f ca="1">IFERROR(__xludf.DUMMYFUNCTION("""COMPUTED_VALUE"""),"Chat_triggered")</f>
        <v>Chat_triggered</v>
      </c>
      <c r="F387" s="6" t="str">
        <f ca="1">IFERROR(__xludf.DUMMYFUNCTION("""COMPUTED_VALUE"""),"CSM")</f>
        <v>CSM</v>
      </c>
      <c r="G387" s="80">
        <f ca="1">IFERROR(__xludf.DUMMYFUNCTION("""COMPUTED_VALUE"""),44317)</f>
        <v>44317</v>
      </c>
      <c r="H387" s="6" t="str">
        <f ca="1">IFERROR(__xludf.DUMMYFUNCTION("""COMPUTED_VALUE"""),"Won")</f>
        <v>Won</v>
      </c>
      <c r="I387" s="6" t="str">
        <f ca="1">IFERROR(__xludf.DUMMYFUNCTION("""COMPUTED_VALUE"""),"8-9 May 2021")</f>
        <v>8-9 May 2021</v>
      </c>
      <c r="J387" s="6">
        <f ca="1">IFERROR(__xludf.DUMMYFUNCTION("""COMPUTED_VALUE"""),1)</f>
        <v>1</v>
      </c>
      <c r="K387" s="8">
        <f ca="1">IFERROR(__xludf.DUMMYFUNCTION("""COMPUTED_VALUE"""),20000)</f>
        <v>20000</v>
      </c>
      <c r="L387" s="8">
        <f ca="1">IFERROR(__xludf.DUMMYFUNCTION("""COMPUTED_VALUE"""),229.042601923957)</f>
        <v>229.04260192395699</v>
      </c>
      <c r="M387" s="96">
        <f ca="1">IFERROR(__xludf.DUMMYFUNCTION("""COMPUTED_VALUE"""),44321)</f>
        <v>44321</v>
      </c>
      <c r="N387" s="6" t="str">
        <f ca="1">IFERROR(__xludf.DUMMYFUNCTION("""COMPUTED_VALUE"""),"F10")</f>
        <v>F10</v>
      </c>
      <c r="O387" s="97">
        <f ca="1">IFERROR(__xludf.DUMMYFUNCTION("""COMPUTED_VALUE"""),44321)</f>
        <v>44321</v>
      </c>
      <c r="P387" s="6" t="str">
        <f ca="1">IFERROR(__xludf.DUMMYFUNCTION("""COMPUTED_VALUE"""),"CSTM_666QJ0GBSII")</f>
        <v>CSTM_666QJ0GBSII</v>
      </c>
      <c r="Q387" s="6"/>
      <c r="R387" s="6" t="str">
        <f ca="1">IFERROR(__xludf.DUMMYFUNCTION("""COMPUTED_VALUE"""),"Done. Good feedback.")</f>
        <v>Done. Good feedback.</v>
      </c>
      <c r="S387" s="6" t="str">
        <f ca="1">IFERROR(__xludf.DUMMYFUNCTION("""COMPUTED_VALUE"""),"Category")</f>
        <v>Category</v>
      </c>
      <c r="T387" s="6"/>
      <c r="U387" s="6"/>
      <c r="V387" s="6"/>
      <c r="W387" s="6"/>
      <c r="X387" s="6"/>
      <c r="Y387" s="6"/>
      <c r="Z387" s="6"/>
      <c r="AA387" s="6"/>
      <c r="AB387" s="6"/>
      <c r="AC387" s="6"/>
      <c r="AD387" s="6"/>
      <c r="AE387" s="6"/>
      <c r="AF387" s="6"/>
      <c r="AG387" s="6"/>
      <c r="AH387" s="6"/>
      <c r="AI387" s="6"/>
      <c r="AJ387" s="6"/>
      <c r="AK387" s="6"/>
      <c r="AL387" s="6"/>
    </row>
    <row r="388" spans="1:38">
      <c r="A388" s="96">
        <f ca="1">IFERROR(__xludf.DUMMYFUNCTION("""COMPUTED_VALUE"""),44322)</f>
        <v>44322</v>
      </c>
      <c r="B388" s="6" t="str">
        <f ca="1">IFERROR(__xludf.DUMMYFUNCTION("""COMPUTED_VALUE"""),"Neha Pathak")</f>
        <v>Neha Pathak</v>
      </c>
      <c r="C388" s="6" t="str">
        <f ca="1">IFERROR(__xludf.DUMMYFUNCTION("""COMPUTED_VALUE"""),"pathakneha84@gmail.com")</f>
        <v>pathakneha84@gmail.com</v>
      </c>
      <c r="D388" s="6">
        <f ca="1">IFERROR(__xludf.DUMMYFUNCTION("""COMPUTED_VALUE"""),9665741114)</f>
        <v>9665741114</v>
      </c>
      <c r="E388" s="6" t="str">
        <f ca="1">IFERROR(__xludf.DUMMYFUNCTION("""COMPUTED_VALUE"""),"Account Repeat")</f>
        <v>Account Repeat</v>
      </c>
      <c r="F388" s="6" t="str">
        <f ca="1">IFERROR(__xludf.DUMMYFUNCTION("""COMPUTED_VALUE"""),"PMP")</f>
        <v>PMP</v>
      </c>
      <c r="G388" s="80">
        <f ca="1">IFERROR(__xludf.DUMMYFUNCTION("""COMPUTED_VALUE"""),44317)</f>
        <v>44317</v>
      </c>
      <c r="H388" s="6" t="str">
        <f ca="1">IFERROR(__xludf.DUMMYFUNCTION("""COMPUTED_VALUE"""),"Won")</f>
        <v>Won</v>
      </c>
      <c r="I388" s="6" t="str">
        <f ca="1">IFERROR(__xludf.DUMMYFUNCTION("""COMPUTED_VALUE"""),"8 May 2021")</f>
        <v>8 May 2021</v>
      </c>
      <c r="J388" s="6">
        <f ca="1">IFERROR(__xludf.DUMMYFUNCTION("""COMPUTED_VALUE"""),1)</f>
        <v>1</v>
      </c>
      <c r="K388" s="8">
        <f ca="1">IFERROR(__xludf.DUMMYFUNCTION("""COMPUTED_VALUE"""),13500)</f>
        <v>13500</v>
      </c>
      <c r="L388" s="8">
        <f ca="1">IFERROR(__xludf.DUMMYFUNCTION("""COMPUTED_VALUE"""),154.603756298671)</f>
        <v>154.60375629867099</v>
      </c>
      <c r="M388" s="96">
        <f ca="1">IFERROR(__xludf.DUMMYFUNCTION("""COMPUTED_VALUE"""),44322)</f>
        <v>44322</v>
      </c>
      <c r="N388" s="6" t="str">
        <f ca="1">IFERROR(__xludf.DUMMYFUNCTION("""COMPUTED_VALUE"""),"F10")</f>
        <v>F10</v>
      </c>
      <c r="O388" s="97">
        <f ca="1">IFERROR(__xludf.DUMMYFUNCTION("""COMPUTED_VALUE"""),44322)</f>
        <v>44322</v>
      </c>
      <c r="P388" s="6" t="str">
        <f ca="1">IFERROR(__xludf.DUMMYFUNCTION("""COMPUTED_VALUE"""),"CSTM_5C2GUP3I0NQ")</f>
        <v>CSTM_5C2GUP3I0NQ</v>
      </c>
      <c r="Q388" s="6"/>
      <c r="R388" s="6" t="str">
        <f ca="1">IFERROR(__xludf.DUMMYFUNCTION("""COMPUTED_VALUE"""),"Pending")</f>
        <v>Pending</v>
      </c>
      <c r="S388" s="6" t="str">
        <f ca="1">IFERROR(__xludf.DUMMYFUNCTION("""COMPUTED_VALUE"""),"NonCategory")</f>
        <v>NonCategory</v>
      </c>
      <c r="T388" s="6"/>
      <c r="U388" s="6"/>
      <c r="V388" s="6"/>
      <c r="W388" s="6"/>
      <c r="X388" s="6"/>
      <c r="Y388" s="6"/>
      <c r="Z388" s="6"/>
      <c r="AA388" s="6"/>
      <c r="AB388" s="6"/>
      <c r="AC388" s="6"/>
      <c r="AD388" s="6"/>
      <c r="AE388" s="6"/>
      <c r="AF388" s="6"/>
      <c r="AG388" s="6"/>
      <c r="AH388" s="6"/>
      <c r="AI388" s="6"/>
      <c r="AJ388" s="6"/>
      <c r="AK388" s="6"/>
      <c r="AL388" s="6"/>
    </row>
    <row r="389" spans="1:38">
      <c r="A389" s="96">
        <f ca="1">IFERROR(__xludf.DUMMYFUNCTION("""COMPUTED_VALUE"""),44320)</f>
        <v>44320</v>
      </c>
      <c r="B389" s="6" t="str">
        <f ca="1">IFERROR(__xludf.DUMMYFUNCTION("""COMPUTED_VALUE"""),"Anil Konda")</f>
        <v>Anil Konda</v>
      </c>
      <c r="C389" s="6" t="str">
        <f ca="1">IFERROR(__xludf.DUMMYFUNCTION("""COMPUTED_VALUE"""),"anil.konda17@gmail.com")</f>
        <v>anil.konda17@gmail.com</v>
      </c>
      <c r="D389" s="6"/>
      <c r="E389" s="6" t="str">
        <f ca="1">IFERROR(__xludf.DUMMYFUNCTION("""COMPUTED_VALUE"""),"Request a call")</f>
        <v>Request a call</v>
      </c>
      <c r="F389" s="6" t="str">
        <f ca="1">IFERROR(__xludf.DUMMYFUNCTION("""COMPUTED_VALUE"""),"SAFe Agile")</f>
        <v>SAFe Agile</v>
      </c>
      <c r="G389" s="80">
        <f ca="1">IFERROR(__xludf.DUMMYFUNCTION("""COMPUTED_VALUE"""),44317)</f>
        <v>44317</v>
      </c>
      <c r="H389" s="6" t="str">
        <f ca="1">IFERROR(__xludf.DUMMYFUNCTION("""COMPUTED_VALUE"""),"Won")</f>
        <v>Won</v>
      </c>
      <c r="I389" s="6" t="str">
        <f ca="1">IFERROR(__xludf.DUMMYFUNCTION("""COMPUTED_VALUE"""),"26-27 June 2021")</f>
        <v>26-27 June 2021</v>
      </c>
      <c r="J389" s="6">
        <f ca="1">IFERROR(__xludf.DUMMYFUNCTION("""COMPUTED_VALUE"""),1)</f>
        <v>1</v>
      </c>
      <c r="K389" s="8">
        <f ca="1">IFERROR(__xludf.DUMMYFUNCTION("""COMPUTED_VALUE"""),45000)</f>
        <v>45000</v>
      </c>
      <c r="L389" s="8">
        <f ca="1">IFERROR(__xludf.DUMMYFUNCTION("""COMPUTED_VALUE"""),515.345854328905)</f>
        <v>515.34585432890503</v>
      </c>
      <c r="M389" s="96">
        <f ca="1">IFERROR(__xludf.DUMMYFUNCTION("""COMPUTED_VALUE"""),44323)</f>
        <v>44323</v>
      </c>
      <c r="N389" s="6" t="str">
        <f ca="1">IFERROR(__xludf.DUMMYFUNCTION("""COMPUTED_VALUE"""),"F10")</f>
        <v>F10</v>
      </c>
      <c r="O389" s="97">
        <f ca="1">IFERROR(__xludf.DUMMYFUNCTION("""COMPUTED_VALUE"""),44323)</f>
        <v>44323</v>
      </c>
      <c r="P389" s="6" t="str">
        <f ca="1">IFERROR(__xludf.DUMMYFUNCTION("""COMPUTED_VALUE"""),"CSTM_2PCLEYE5PPX")</f>
        <v>CSTM_2PCLEYE5PPX</v>
      </c>
      <c r="Q389" s="6"/>
      <c r="R389" s="6" t="str">
        <f ca="1">IFERROR(__xludf.DUMMYFUNCTION("""COMPUTED_VALUE"""),"Done. Good feedback.")</f>
        <v>Done. Good feedback.</v>
      </c>
      <c r="S389" s="6" t="str">
        <f ca="1">IFERROR(__xludf.DUMMYFUNCTION("""COMPUTED_VALUE"""),"SAFe")</f>
        <v>SAFe</v>
      </c>
      <c r="T389" s="6"/>
      <c r="U389" s="6"/>
      <c r="V389" s="6"/>
      <c r="W389" s="6"/>
      <c r="X389" s="6"/>
      <c r="Y389" s="6"/>
      <c r="Z389" s="6"/>
      <c r="AA389" s="6"/>
      <c r="AB389" s="6"/>
      <c r="AC389" s="6"/>
      <c r="AD389" s="6"/>
      <c r="AE389" s="6"/>
      <c r="AF389" s="6"/>
      <c r="AG389" s="6"/>
      <c r="AH389" s="6"/>
      <c r="AI389" s="6"/>
      <c r="AJ389" s="6"/>
      <c r="AK389" s="6"/>
      <c r="AL389" s="6"/>
    </row>
    <row r="390" spans="1:38">
      <c r="A390" s="96">
        <f ca="1">IFERROR(__xludf.DUMMYFUNCTION("""COMPUTED_VALUE"""),44217)</f>
        <v>44217</v>
      </c>
      <c r="B390" s="6" t="str">
        <f ca="1">IFERROR(__xludf.DUMMYFUNCTION("""COMPUTED_VALUE"""),"Shefali Nigam")</f>
        <v>Shefali Nigam</v>
      </c>
      <c r="C390" s="6" t="str">
        <f ca="1">IFERROR(__xludf.DUMMYFUNCTION("""COMPUTED_VALUE"""),"shefali.nigam7@gmail.com")</f>
        <v>shefali.nigam7@gmail.com</v>
      </c>
      <c r="D390" s="6">
        <f ca="1">IFERROR(__xludf.DUMMYFUNCTION("""COMPUTED_VALUE"""),9820138523)</f>
        <v>9820138523</v>
      </c>
      <c r="E390" s="6" t="str">
        <f ca="1">IFERROR(__xludf.DUMMYFUNCTION("""COMPUTED_VALUE"""),"auto-repeat")</f>
        <v>auto-repeat</v>
      </c>
      <c r="F390" s="6" t="str">
        <f ca="1">IFERROR(__xludf.DUMMYFUNCTION("""COMPUTED_VALUE"""),"CSM")</f>
        <v>CSM</v>
      </c>
      <c r="G390" s="80">
        <f ca="1">IFERROR(__xludf.DUMMYFUNCTION("""COMPUTED_VALUE"""),44317)</f>
        <v>44317</v>
      </c>
      <c r="H390" s="6" t="str">
        <f ca="1">IFERROR(__xludf.DUMMYFUNCTION("""COMPUTED_VALUE"""),"Won")</f>
        <v>Won</v>
      </c>
      <c r="I390" s="6" t="str">
        <f ca="1">IFERROR(__xludf.DUMMYFUNCTION("""COMPUTED_VALUE"""),"15-16 May 2021")</f>
        <v>15-16 May 2021</v>
      </c>
      <c r="J390" s="6">
        <f ca="1">IFERROR(__xludf.DUMMYFUNCTION("""COMPUTED_VALUE"""),1)</f>
        <v>1</v>
      </c>
      <c r="K390" s="8">
        <f ca="1">IFERROR(__xludf.DUMMYFUNCTION("""COMPUTED_VALUE"""),21000)</f>
        <v>21000</v>
      </c>
      <c r="L390" s="8">
        <f ca="1">IFERROR(__xludf.DUMMYFUNCTION("""COMPUTED_VALUE"""),240.494732020155)</f>
        <v>240.494732020155</v>
      </c>
      <c r="M390" s="96">
        <f ca="1">IFERROR(__xludf.DUMMYFUNCTION("""COMPUTED_VALUE"""),44224)</f>
        <v>44224</v>
      </c>
      <c r="N390" s="6" t="str">
        <f ca="1">IFERROR(__xludf.DUMMYFUNCTION("""COMPUTED_VALUE"""),"F10")</f>
        <v>F10</v>
      </c>
      <c r="O390" s="97">
        <f ca="1">IFERROR(__xludf.DUMMYFUNCTION("""COMPUTED_VALUE"""),44326)</f>
        <v>44326</v>
      </c>
      <c r="P390" s="6" t="str">
        <f ca="1">IFERROR(__xludf.DUMMYFUNCTION("""COMPUTED_VALUE"""),"CSTM_3N3FEOE42GI")</f>
        <v>CSTM_3N3FEOE42GI</v>
      </c>
      <c r="Q390" s="6"/>
      <c r="R390" s="6" t="str">
        <f ca="1">IFERROR(__xludf.DUMMYFUNCTION("""COMPUTED_VALUE"""),"Done. Good feedback.")</f>
        <v>Done. Good feedback.</v>
      </c>
      <c r="S390" s="6" t="str">
        <f ca="1">IFERROR(__xludf.DUMMYFUNCTION("""COMPUTED_VALUE"""),"Category")</f>
        <v>Category</v>
      </c>
      <c r="T390" s="6"/>
      <c r="U390" s="6"/>
      <c r="V390" s="6"/>
      <c r="W390" s="6"/>
      <c r="X390" s="6"/>
      <c r="Y390" s="6"/>
      <c r="Z390" s="6"/>
      <c r="AA390" s="6"/>
      <c r="AB390" s="6"/>
      <c r="AC390" s="6"/>
      <c r="AD390" s="6"/>
      <c r="AE390" s="6"/>
      <c r="AF390" s="6"/>
      <c r="AG390" s="6"/>
      <c r="AH390" s="6"/>
      <c r="AI390" s="6"/>
      <c r="AJ390" s="6"/>
      <c r="AK390" s="6"/>
      <c r="AL390" s="6"/>
    </row>
    <row r="391" spans="1:38">
      <c r="A391" s="96">
        <f ca="1">IFERROR(__xludf.DUMMYFUNCTION("""COMPUTED_VALUE"""),44321)</f>
        <v>44321</v>
      </c>
      <c r="B391" s="6" t="str">
        <f ca="1">IFERROR(__xludf.DUMMYFUNCTION("""COMPUTED_VALUE"""),"Prabhu Sh")</f>
        <v>Prabhu Sh</v>
      </c>
      <c r="C391" s="6" t="str">
        <f ca="1">IFERROR(__xludf.DUMMYFUNCTION("""COMPUTED_VALUE"""),"prabhu.sh@gmail.com")</f>
        <v>prabhu.sh@gmail.com</v>
      </c>
      <c r="D391" s="6">
        <f ca="1">IFERROR(__xludf.DUMMYFUNCTION("""COMPUTED_VALUE"""),9486121525)</f>
        <v>9486121525</v>
      </c>
      <c r="E391" s="6" t="str">
        <f ca="1">IFERROR(__xludf.DUMMYFUNCTION("""COMPUTED_VALUE"""),"chat_initiated")</f>
        <v>chat_initiated</v>
      </c>
      <c r="F391" s="6" t="str">
        <f ca="1">IFERROR(__xludf.DUMMYFUNCTION("""COMPUTED_VALUE"""),"SAFe Agile")</f>
        <v>SAFe Agile</v>
      </c>
      <c r="G391" s="80">
        <f ca="1">IFERROR(__xludf.DUMMYFUNCTION("""COMPUTED_VALUE"""),44378)</f>
        <v>44378</v>
      </c>
      <c r="H391" s="6" t="str">
        <f ca="1">IFERROR(__xludf.DUMMYFUNCTION("""COMPUTED_VALUE"""),"Won")</f>
        <v>Won</v>
      </c>
      <c r="I391" s="6" t="str">
        <f ca="1">IFERROR(__xludf.DUMMYFUNCTION("""COMPUTED_VALUE"""),"11-12 Sep 2021")</f>
        <v>11-12 Sep 2021</v>
      </c>
      <c r="J391" s="6">
        <f ca="1">IFERROR(__xludf.DUMMYFUNCTION("""COMPUTED_VALUE"""),1)</f>
        <v>1</v>
      </c>
      <c r="K391" s="8">
        <f ca="1">IFERROR(__xludf.DUMMYFUNCTION("""COMPUTED_VALUE"""),45000)</f>
        <v>45000</v>
      </c>
      <c r="L391" s="8">
        <f ca="1">IFERROR(__xludf.DUMMYFUNCTION("""COMPUTED_VALUE"""),515.345854328905)</f>
        <v>515.34585432890503</v>
      </c>
      <c r="M391" s="96">
        <f ca="1">IFERROR(__xludf.DUMMYFUNCTION("""COMPUTED_VALUE"""),44321)</f>
        <v>44321</v>
      </c>
      <c r="N391" s="6" t="str">
        <f ca="1">IFERROR(__xludf.DUMMYFUNCTION("""COMPUTED_VALUE"""),"T10")</f>
        <v>T10</v>
      </c>
      <c r="O391" s="97">
        <f ca="1">IFERROR(__xludf.DUMMYFUNCTION("""COMPUTED_VALUE"""),44407)</f>
        <v>44407</v>
      </c>
      <c r="P391" s="6" t="str">
        <f ca="1">IFERROR(__xludf.DUMMYFUNCTION("""COMPUTED_VALUE"""),"CSTM_I52KLU7FAX8")</f>
        <v>CSTM_I52KLU7FAX8</v>
      </c>
      <c r="Q391" s="6"/>
      <c r="R391" s="6" t="str">
        <f ca="1">IFERROR(__xludf.DUMMYFUNCTION("""COMPUTED_VALUE"""),"Done. Good feedback.")</f>
        <v>Done. Good feedback.</v>
      </c>
      <c r="S391" s="6" t="str">
        <f ca="1">IFERROR(__xludf.DUMMYFUNCTION("""COMPUTED_VALUE"""),"SAFe")</f>
        <v>SAFe</v>
      </c>
      <c r="T391" s="6"/>
      <c r="U391" s="6"/>
      <c r="V391" s="6"/>
      <c r="W391" s="6"/>
      <c r="X391" s="6"/>
      <c r="Y391" s="6"/>
      <c r="Z391" s="6"/>
      <c r="AA391" s="6"/>
      <c r="AB391" s="6"/>
      <c r="AC391" s="6"/>
      <c r="AD391" s="6"/>
      <c r="AE391" s="6"/>
      <c r="AF391" s="6"/>
      <c r="AG391" s="6"/>
      <c r="AH391" s="6"/>
      <c r="AI391" s="6"/>
      <c r="AJ391" s="6"/>
      <c r="AK391" s="6"/>
      <c r="AL391" s="6"/>
    </row>
    <row r="392" spans="1:38">
      <c r="A392" s="96">
        <f ca="1">IFERROR(__xludf.DUMMYFUNCTION("""COMPUTED_VALUE"""),44326)</f>
        <v>44326</v>
      </c>
      <c r="B392" s="6" t="str">
        <f ca="1">IFERROR(__xludf.DUMMYFUNCTION("""COMPUTED_VALUE"""),"Namrata Yadav")</f>
        <v>Namrata Yadav</v>
      </c>
      <c r="C392" s="6" t="str">
        <f ca="1">IFERROR(__xludf.DUMMYFUNCTION("""COMPUTED_VALUE"""),"namratayadav6292@gmail.com")</f>
        <v>namratayadav6292@gmail.com</v>
      </c>
      <c r="D392" s="6">
        <f ca="1">IFERROR(__xludf.DUMMYFUNCTION("""COMPUTED_VALUE"""),8050818926)</f>
        <v>8050818926</v>
      </c>
      <c r="E392" s="6" t="str">
        <f ca="1">IFERROR(__xludf.DUMMYFUNCTION("""COMPUTED_VALUE"""),"Chat_triggered")</f>
        <v>Chat_triggered</v>
      </c>
      <c r="F392" s="6" t="str">
        <f ca="1">IFERROR(__xludf.DUMMYFUNCTION("""COMPUTED_VALUE"""),"PSM")</f>
        <v>PSM</v>
      </c>
      <c r="G392" s="80">
        <f ca="1">IFERROR(__xludf.DUMMYFUNCTION("""COMPUTED_VALUE"""),44317)</f>
        <v>44317</v>
      </c>
      <c r="H392" s="6" t="str">
        <f ca="1">IFERROR(__xludf.DUMMYFUNCTION("""COMPUTED_VALUE"""),"Won")</f>
        <v>Won</v>
      </c>
      <c r="I392" s="6" t="str">
        <f ca="1">IFERROR(__xludf.DUMMYFUNCTION("""COMPUTED_VALUE"""),"15-16 May 2021")</f>
        <v>15-16 May 2021</v>
      </c>
      <c r="J392" s="6">
        <f ca="1">IFERROR(__xludf.DUMMYFUNCTION("""COMPUTED_VALUE"""),1)</f>
        <v>1</v>
      </c>
      <c r="K392" s="8">
        <f ca="1">IFERROR(__xludf.DUMMYFUNCTION("""COMPUTED_VALUE"""),21000)</f>
        <v>21000</v>
      </c>
      <c r="L392" s="8">
        <f ca="1">IFERROR(__xludf.DUMMYFUNCTION("""COMPUTED_VALUE"""),240.494732020155)</f>
        <v>240.494732020155</v>
      </c>
      <c r="M392" s="96">
        <f ca="1">IFERROR(__xludf.DUMMYFUNCTION("""COMPUTED_VALUE"""),44326)</f>
        <v>44326</v>
      </c>
      <c r="N392" s="6" t="str">
        <f ca="1">IFERROR(__xludf.DUMMYFUNCTION("""COMPUTED_VALUE"""),"F10")</f>
        <v>F10</v>
      </c>
      <c r="O392" s="97">
        <f ca="1">IFERROR(__xludf.DUMMYFUNCTION("""COMPUTED_VALUE"""),44326)</f>
        <v>44326</v>
      </c>
      <c r="P392" s="6" t="str">
        <f ca="1">IFERROR(__xludf.DUMMYFUNCTION("""COMPUTED_VALUE"""),"CSTM_74SQZFGV4RS")</f>
        <v>CSTM_74SQZFGV4RS</v>
      </c>
      <c r="Q392" s="6"/>
      <c r="R392" s="6" t="str">
        <f ca="1">IFERROR(__xludf.DUMMYFUNCTION("""COMPUTED_VALUE"""),"Pending")</f>
        <v>Pending</v>
      </c>
      <c r="S392" s="6" t="str">
        <f ca="1">IFERROR(__xludf.DUMMYFUNCTION("""COMPUTED_VALUE"""),"Category")</f>
        <v>Category</v>
      </c>
      <c r="T392" s="6"/>
      <c r="U392" s="6"/>
      <c r="V392" s="6"/>
      <c r="W392" s="6"/>
      <c r="X392" s="6"/>
      <c r="Y392" s="6"/>
      <c r="Z392" s="6"/>
      <c r="AA392" s="6"/>
      <c r="AB392" s="6"/>
      <c r="AC392" s="6"/>
      <c r="AD392" s="6"/>
      <c r="AE392" s="6"/>
      <c r="AF392" s="6"/>
      <c r="AG392" s="6"/>
      <c r="AH392" s="6"/>
      <c r="AI392" s="6"/>
      <c r="AJ392" s="6"/>
      <c r="AK392" s="6"/>
      <c r="AL392" s="6"/>
    </row>
    <row r="393" spans="1:38">
      <c r="A393" s="96">
        <f ca="1">IFERROR(__xludf.DUMMYFUNCTION("""COMPUTED_VALUE"""),44326)</f>
        <v>44326</v>
      </c>
      <c r="B393" s="6" t="str">
        <f ca="1">IFERROR(__xludf.DUMMYFUNCTION("""COMPUTED_VALUE"""),"Prasanna MS")</f>
        <v>Prasanna MS</v>
      </c>
      <c r="C393" s="6" t="str">
        <f ca="1">IFERROR(__xludf.DUMMYFUNCTION("""COMPUTED_VALUE"""),"napra1987@yahoo.com")</f>
        <v>napra1987@yahoo.com</v>
      </c>
      <c r="D393" s="6">
        <f ca="1">IFERROR(__xludf.DUMMYFUNCTION("""COMPUTED_VALUE"""),8277058676)</f>
        <v>8277058676</v>
      </c>
      <c r="E393" s="6" t="str">
        <f ca="1">IFERROR(__xludf.DUMMYFUNCTION("""COMPUTED_VALUE"""),"Chat_triggered")</f>
        <v>Chat_triggered</v>
      </c>
      <c r="F393" s="6" t="str">
        <f ca="1">IFERROR(__xludf.DUMMYFUNCTION("""COMPUTED_VALUE"""),"PSM")</f>
        <v>PSM</v>
      </c>
      <c r="G393" s="80">
        <f ca="1">IFERROR(__xludf.DUMMYFUNCTION("""COMPUTED_VALUE"""),44317)</f>
        <v>44317</v>
      </c>
      <c r="H393" s="6" t="str">
        <f ca="1">IFERROR(__xludf.DUMMYFUNCTION("""COMPUTED_VALUE"""),"Won")</f>
        <v>Won</v>
      </c>
      <c r="I393" s="6" t="str">
        <f ca="1">IFERROR(__xludf.DUMMYFUNCTION("""COMPUTED_VALUE"""),"15-16 May 2021")</f>
        <v>15-16 May 2021</v>
      </c>
      <c r="J393" s="6">
        <f ca="1">IFERROR(__xludf.DUMMYFUNCTION("""COMPUTED_VALUE"""),1)</f>
        <v>1</v>
      </c>
      <c r="K393" s="8">
        <f ca="1">IFERROR(__xludf.DUMMYFUNCTION("""COMPUTED_VALUE"""),21000)</f>
        <v>21000</v>
      </c>
      <c r="L393" s="8">
        <f ca="1">IFERROR(__xludf.DUMMYFUNCTION("""COMPUTED_VALUE"""),240.494732020155)</f>
        <v>240.494732020155</v>
      </c>
      <c r="M393" s="96">
        <f ca="1">IFERROR(__xludf.DUMMYFUNCTION("""COMPUTED_VALUE"""),44326)</f>
        <v>44326</v>
      </c>
      <c r="N393" s="6" t="str">
        <f ca="1">IFERROR(__xludf.DUMMYFUNCTION("""COMPUTED_VALUE"""),"F10")</f>
        <v>F10</v>
      </c>
      <c r="O393" s="97">
        <f ca="1">IFERROR(__xludf.DUMMYFUNCTION("""COMPUTED_VALUE"""),44326)</f>
        <v>44326</v>
      </c>
      <c r="P393" s="6" t="str">
        <f ca="1">IFERROR(__xludf.DUMMYFUNCTION("""COMPUTED_VALUE"""),"CSTM_2511LZI1NQW")</f>
        <v>CSTM_2511LZI1NQW</v>
      </c>
      <c r="Q393" s="6"/>
      <c r="R393" s="6" t="str">
        <f ca="1">IFERROR(__xludf.DUMMYFUNCTION("""COMPUTED_VALUE"""),"Done. Good feedback.")</f>
        <v>Done. Good feedback.</v>
      </c>
      <c r="S393" s="6" t="str">
        <f ca="1">IFERROR(__xludf.DUMMYFUNCTION("""COMPUTED_VALUE"""),"Category")</f>
        <v>Category</v>
      </c>
      <c r="T393" s="6"/>
      <c r="U393" s="6"/>
      <c r="V393" s="6"/>
      <c r="W393" s="6"/>
      <c r="X393" s="6"/>
      <c r="Y393" s="6"/>
      <c r="Z393" s="6"/>
      <c r="AA393" s="6"/>
      <c r="AB393" s="6"/>
      <c r="AC393" s="6"/>
      <c r="AD393" s="6"/>
      <c r="AE393" s="6"/>
      <c r="AF393" s="6"/>
      <c r="AG393" s="6"/>
      <c r="AH393" s="6"/>
      <c r="AI393" s="6"/>
      <c r="AJ393" s="6"/>
      <c r="AK393" s="6"/>
      <c r="AL393" s="6"/>
    </row>
    <row r="394" spans="1:38">
      <c r="A394" s="96">
        <f ca="1">IFERROR(__xludf.DUMMYFUNCTION("""COMPUTED_VALUE"""),44326)</f>
        <v>44326</v>
      </c>
      <c r="B394" s="6" t="str">
        <f ca="1">IFERROR(__xludf.DUMMYFUNCTION("""COMPUTED_VALUE"""),"Anil Konda")</f>
        <v>Anil Konda</v>
      </c>
      <c r="C394" s="6" t="str">
        <f ca="1">IFERROR(__xludf.DUMMYFUNCTION("""COMPUTED_VALUE"""),"madhubagur@gmail.com")</f>
        <v>madhubagur@gmail.com</v>
      </c>
      <c r="D394" s="6">
        <f ca="1">IFERROR(__xludf.DUMMYFUNCTION("""COMPUTED_VALUE"""),8123015687)</f>
        <v>8123015687</v>
      </c>
      <c r="E394" s="6" t="str">
        <f ca="1">IFERROR(__xludf.DUMMYFUNCTION("""COMPUTED_VALUE"""),"course agenda")</f>
        <v>course agenda</v>
      </c>
      <c r="F394" s="6" t="str">
        <f ca="1">IFERROR(__xludf.DUMMYFUNCTION("""COMPUTED_VALUE"""),"SAFe Agile")</f>
        <v>SAFe Agile</v>
      </c>
      <c r="G394" s="80">
        <f ca="1">IFERROR(__xludf.DUMMYFUNCTION("""COMPUTED_VALUE"""),44317)</f>
        <v>44317</v>
      </c>
      <c r="H394" s="6" t="str">
        <f ca="1">IFERROR(__xludf.DUMMYFUNCTION("""COMPUTED_VALUE"""),"Won")</f>
        <v>Won</v>
      </c>
      <c r="I394" s="6" t="str">
        <f ca="1">IFERROR(__xludf.DUMMYFUNCTION("""COMPUTED_VALUE"""),"22-23 May 2021")</f>
        <v>22-23 May 2021</v>
      </c>
      <c r="J394" s="6">
        <f ca="1">IFERROR(__xludf.DUMMYFUNCTION("""COMPUTED_VALUE"""),1)</f>
        <v>1</v>
      </c>
      <c r="K394" s="8">
        <f ca="1">IFERROR(__xludf.DUMMYFUNCTION("""COMPUTED_VALUE"""),45000)</f>
        <v>45000</v>
      </c>
      <c r="L394" s="8">
        <f ca="1">IFERROR(__xludf.DUMMYFUNCTION("""COMPUTED_VALUE"""),515.345854328905)</f>
        <v>515.34585432890503</v>
      </c>
      <c r="M394" s="96">
        <f ca="1">IFERROR(__xludf.DUMMYFUNCTION("""COMPUTED_VALUE"""),44326)</f>
        <v>44326</v>
      </c>
      <c r="N394" s="6" t="str">
        <f ca="1">IFERROR(__xludf.DUMMYFUNCTION("""COMPUTED_VALUE"""),"F10")</f>
        <v>F10</v>
      </c>
      <c r="O394" s="97">
        <f ca="1">IFERROR(__xludf.DUMMYFUNCTION("""COMPUTED_VALUE"""),44326)</f>
        <v>44326</v>
      </c>
      <c r="P394" s="6" t="str">
        <f ca="1">IFERROR(__xludf.DUMMYFUNCTION("""COMPUTED_VALUE"""),"CSTM_481Z1261F9Q")</f>
        <v>CSTM_481Z1261F9Q</v>
      </c>
      <c r="Q394" s="6"/>
      <c r="R394" s="6" t="str">
        <f ca="1">IFERROR(__xludf.DUMMYFUNCTION("""COMPUTED_VALUE"""),"Done. Good feedback.")</f>
        <v>Done. Good feedback.</v>
      </c>
      <c r="S394" s="6" t="str">
        <f ca="1">IFERROR(__xludf.DUMMYFUNCTION("""COMPUTED_VALUE"""),"SAFe")</f>
        <v>SAFe</v>
      </c>
      <c r="T394" s="6"/>
      <c r="U394" s="6"/>
      <c r="V394" s="6"/>
      <c r="W394" s="6"/>
      <c r="X394" s="6"/>
      <c r="Y394" s="6"/>
      <c r="Z394" s="6"/>
      <c r="AA394" s="6"/>
      <c r="AB394" s="6"/>
      <c r="AC394" s="6"/>
      <c r="AD394" s="6"/>
      <c r="AE394" s="6"/>
      <c r="AF394" s="6"/>
      <c r="AG394" s="6"/>
      <c r="AH394" s="6"/>
      <c r="AI394" s="6"/>
      <c r="AJ394" s="6"/>
      <c r="AK394" s="6"/>
      <c r="AL394" s="6"/>
    </row>
    <row r="395" spans="1:38">
      <c r="A395" s="96">
        <f ca="1">IFERROR(__xludf.DUMMYFUNCTION("""COMPUTED_VALUE"""),44327)</f>
        <v>44327</v>
      </c>
      <c r="B395" s="6" t="str">
        <f ca="1">IFERROR(__xludf.DUMMYFUNCTION("""COMPUTED_VALUE"""),"Sampada Bhoj")</f>
        <v>Sampada Bhoj</v>
      </c>
      <c r="C395" s="6" t="str">
        <f ca="1">IFERROR(__xludf.DUMMYFUNCTION("""COMPUTED_VALUE"""),"sampada.bhoj@gmail.com")</f>
        <v>sampada.bhoj@gmail.com</v>
      </c>
      <c r="D395" s="6">
        <f ca="1">IFERROR(__xludf.DUMMYFUNCTION("""COMPUTED_VALUE"""),8308228621)</f>
        <v>8308228621</v>
      </c>
      <c r="E395" s="6" t="str">
        <f ca="1">IFERROR(__xludf.DUMMYFUNCTION("""COMPUTED_VALUE"""),"Reference")</f>
        <v>Reference</v>
      </c>
      <c r="F395" s="6" t="str">
        <f ca="1">IFERROR(__xludf.DUMMYFUNCTION("""COMPUTED_VALUE"""),"PSM")</f>
        <v>PSM</v>
      </c>
      <c r="G395" s="80">
        <f ca="1">IFERROR(__xludf.DUMMYFUNCTION("""COMPUTED_VALUE"""),44317)</f>
        <v>44317</v>
      </c>
      <c r="H395" s="6" t="str">
        <f ca="1">IFERROR(__xludf.DUMMYFUNCTION("""COMPUTED_VALUE"""),"Won")</f>
        <v>Won</v>
      </c>
      <c r="I395" s="6" t="str">
        <f ca="1">IFERROR(__xludf.DUMMYFUNCTION("""COMPUTED_VALUE"""),"15-16 May 2021")</f>
        <v>15-16 May 2021</v>
      </c>
      <c r="J395" s="6">
        <f ca="1">IFERROR(__xludf.DUMMYFUNCTION("""COMPUTED_VALUE"""),1)</f>
        <v>1</v>
      </c>
      <c r="K395" s="8">
        <f ca="1">IFERROR(__xludf.DUMMYFUNCTION("""COMPUTED_VALUE"""),21000)</f>
        <v>21000</v>
      </c>
      <c r="L395" s="8">
        <f ca="1">IFERROR(__xludf.DUMMYFUNCTION("""COMPUTED_VALUE"""),240.494732020155)</f>
        <v>240.494732020155</v>
      </c>
      <c r="M395" s="96">
        <f ca="1">IFERROR(__xludf.DUMMYFUNCTION("""COMPUTED_VALUE"""),44327)</f>
        <v>44327</v>
      </c>
      <c r="N395" s="6" t="str">
        <f ca="1">IFERROR(__xludf.DUMMYFUNCTION("""COMPUTED_VALUE"""),"S10")</f>
        <v>S10</v>
      </c>
      <c r="O395" s="97">
        <f ca="1">IFERROR(__xludf.DUMMYFUNCTION("""COMPUTED_VALUE"""),44327)</f>
        <v>44327</v>
      </c>
      <c r="P395" s="6" t="str">
        <f ca="1">IFERROR(__xludf.DUMMYFUNCTION("""COMPUTED_VALUE"""),"CSTM_8X4LZ512LWZ")</f>
        <v>CSTM_8X4LZ512LWZ</v>
      </c>
      <c r="Q395" s="6" t="str">
        <f ca="1">IFERROR(__xludf.DUMMYFUNCTION("""COMPUTED_VALUE"""),"Reference by Nikhil Oswal - nikhil.oswal87@gmail.com")</f>
        <v>Reference by Nikhil Oswal - nikhil.oswal87@gmail.com</v>
      </c>
      <c r="R395" s="6" t="str">
        <f ca="1">IFERROR(__xludf.DUMMYFUNCTION("""COMPUTED_VALUE"""),"Done. Good feedback.")</f>
        <v>Done. Good feedback.</v>
      </c>
      <c r="S395" s="6" t="str">
        <f ca="1">IFERROR(__xludf.DUMMYFUNCTION("""COMPUTED_VALUE"""),"Category")</f>
        <v>Category</v>
      </c>
      <c r="T395" s="6"/>
      <c r="U395" s="6"/>
      <c r="V395" s="6"/>
      <c r="W395" s="6"/>
      <c r="X395" s="6"/>
      <c r="Y395" s="6"/>
      <c r="Z395" s="6"/>
      <c r="AA395" s="6"/>
      <c r="AB395" s="6"/>
      <c r="AC395" s="6"/>
      <c r="AD395" s="6"/>
      <c r="AE395" s="6"/>
      <c r="AF395" s="6"/>
      <c r="AG395" s="6"/>
      <c r="AH395" s="6"/>
      <c r="AI395" s="6"/>
      <c r="AJ395" s="6"/>
      <c r="AK395" s="6"/>
      <c r="AL395" s="6"/>
    </row>
    <row r="396" spans="1:38">
      <c r="A396" s="96">
        <f ca="1">IFERROR(__xludf.DUMMYFUNCTION("""COMPUTED_VALUE"""),44327)</f>
        <v>44327</v>
      </c>
      <c r="B396" s="6" t="str">
        <f ca="1">IFERROR(__xludf.DUMMYFUNCTION("""COMPUTED_VALUE"""),"Hima J")</f>
        <v>Hima J</v>
      </c>
      <c r="C396" s="6" t="str">
        <f ca="1">IFERROR(__xludf.DUMMYFUNCTION("""COMPUTED_VALUE"""),"himajadave@gmail.com")</f>
        <v>himajadave@gmail.com</v>
      </c>
      <c r="D396" s="6">
        <f ca="1">IFERROR(__xludf.DUMMYFUNCTION("""COMPUTED_VALUE"""),9881466195)</f>
        <v>9881466195</v>
      </c>
      <c r="E396" s="6" t="str">
        <f ca="1">IFERROR(__xludf.DUMMYFUNCTION("""COMPUTED_VALUE"""),"Reference")</f>
        <v>Reference</v>
      </c>
      <c r="F396" s="6" t="str">
        <f ca="1">IFERROR(__xludf.DUMMYFUNCTION("""COMPUTED_VALUE"""),"PSM")</f>
        <v>PSM</v>
      </c>
      <c r="G396" s="80">
        <f ca="1">IFERROR(__xludf.DUMMYFUNCTION("""COMPUTED_VALUE"""),44317)</f>
        <v>44317</v>
      </c>
      <c r="H396" s="6" t="str">
        <f ca="1">IFERROR(__xludf.DUMMYFUNCTION("""COMPUTED_VALUE"""),"Won")</f>
        <v>Won</v>
      </c>
      <c r="I396" s="6" t="str">
        <f ca="1">IFERROR(__xludf.DUMMYFUNCTION("""COMPUTED_VALUE"""),"15-16 May 2021")</f>
        <v>15-16 May 2021</v>
      </c>
      <c r="J396" s="6">
        <f ca="1">IFERROR(__xludf.DUMMYFUNCTION("""COMPUTED_VALUE"""),1)</f>
        <v>1</v>
      </c>
      <c r="K396" s="8">
        <f ca="1">IFERROR(__xludf.DUMMYFUNCTION("""COMPUTED_VALUE"""),21000)</f>
        <v>21000</v>
      </c>
      <c r="L396" s="8">
        <f ca="1">IFERROR(__xludf.DUMMYFUNCTION("""COMPUTED_VALUE"""),240.494732020155)</f>
        <v>240.494732020155</v>
      </c>
      <c r="M396" s="96">
        <f ca="1">IFERROR(__xludf.DUMMYFUNCTION("""COMPUTED_VALUE"""),44327)</f>
        <v>44327</v>
      </c>
      <c r="N396" s="6" t="str">
        <f ca="1">IFERROR(__xludf.DUMMYFUNCTION("""COMPUTED_VALUE"""),"S10")</f>
        <v>S10</v>
      </c>
      <c r="O396" s="97">
        <f ca="1">IFERROR(__xludf.DUMMYFUNCTION("""COMPUTED_VALUE"""),44327)</f>
        <v>44327</v>
      </c>
      <c r="P396" s="6" t="str">
        <f ca="1">IFERROR(__xludf.DUMMYFUNCTION("""COMPUTED_VALUE"""),"CSTM_3E7U5KIII9C")</f>
        <v>CSTM_3E7U5KIII9C</v>
      </c>
      <c r="Q396" s="6" t="str">
        <f ca="1">IFERROR(__xludf.DUMMYFUNCTION("""COMPUTED_VALUE"""),"Reference by Nikhil Oswal - nikhil.oswal87@gmail.com")</f>
        <v>Reference by Nikhil Oswal - nikhil.oswal87@gmail.com</v>
      </c>
      <c r="R396" s="6" t="str">
        <f ca="1">IFERROR(__xludf.DUMMYFUNCTION("""COMPUTED_VALUE"""),"Done. Good feedback.")</f>
        <v>Done. Good feedback.</v>
      </c>
      <c r="S396" s="6" t="str">
        <f ca="1">IFERROR(__xludf.DUMMYFUNCTION("""COMPUTED_VALUE"""),"Category")</f>
        <v>Category</v>
      </c>
      <c r="T396" s="6"/>
      <c r="U396" s="6"/>
      <c r="V396" s="6"/>
      <c r="W396" s="6"/>
      <c r="X396" s="6"/>
      <c r="Y396" s="6"/>
      <c r="Z396" s="6"/>
      <c r="AA396" s="6"/>
      <c r="AB396" s="6"/>
      <c r="AC396" s="6"/>
      <c r="AD396" s="6"/>
      <c r="AE396" s="6"/>
      <c r="AF396" s="6"/>
      <c r="AG396" s="6"/>
      <c r="AH396" s="6"/>
      <c r="AI396" s="6"/>
      <c r="AJ396" s="6"/>
      <c r="AK396" s="6"/>
      <c r="AL396" s="6"/>
    </row>
    <row r="397" spans="1:38">
      <c r="A397" s="96">
        <f ca="1">IFERROR(__xludf.DUMMYFUNCTION("""COMPUTED_VALUE"""),44329)</f>
        <v>44329</v>
      </c>
      <c r="B397" s="6" t="str">
        <f ca="1">IFERROR(__xludf.DUMMYFUNCTION("""COMPUTED_VALUE"""),"Madhu Bagur")</f>
        <v>Madhu Bagur</v>
      </c>
      <c r="C397" s="6" t="str">
        <f ca="1">IFERROR(__xludf.DUMMYFUNCTION("""COMPUTED_VALUE"""),"mail4sap13@gmail.com")</f>
        <v>mail4sap13@gmail.com</v>
      </c>
      <c r="D397" s="6">
        <f ca="1">IFERROR(__xludf.DUMMYFUNCTION("""COMPUTED_VALUE"""),8584832151)</f>
        <v>8584832151</v>
      </c>
      <c r="E397" s="6" t="str">
        <f ca="1">IFERROR(__xludf.DUMMYFUNCTION("""COMPUTED_VALUE"""),"Account Repeat")</f>
        <v>Account Repeat</v>
      </c>
      <c r="F397" s="6" t="str">
        <f ca="1">IFERROR(__xludf.DUMMYFUNCTION("""COMPUTED_VALUE"""),"PGP Cloud")</f>
        <v>PGP Cloud</v>
      </c>
      <c r="G397" s="80">
        <f ca="1">IFERROR(__xludf.DUMMYFUNCTION("""COMPUTED_VALUE"""),44317)</f>
        <v>44317</v>
      </c>
      <c r="H397" s="6" t="str">
        <f ca="1">IFERROR(__xludf.DUMMYFUNCTION("""COMPUTED_VALUE"""),"Won")</f>
        <v>Won</v>
      </c>
      <c r="I397" s="6" t="str">
        <f ca="1">IFERROR(__xludf.DUMMYFUNCTION("""COMPUTED_VALUE"""),"May 2021")</f>
        <v>May 2021</v>
      </c>
      <c r="J397" s="6">
        <f ca="1">IFERROR(__xludf.DUMMYFUNCTION("""COMPUTED_VALUE"""),1)</f>
        <v>1</v>
      </c>
      <c r="K397" s="8">
        <f ca="1">IFERROR(__xludf.DUMMYFUNCTION("""COMPUTED_VALUE"""),10000)</f>
        <v>10000</v>
      </c>
      <c r="L397" s="8">
        <f ca="1">IFERROR(__xludf.DUMMYFUNCTION("""COMPUTED_VALUE"""),114.521300961978)</f>
        <v>114.521300961978</v>
      </c>
      <c r="M397" s="96">
        <f ca="1">IFERROR(__xludf.DUMMYFUNCTION("""COMPUTED_VALUE"""),44329)</f>
        <v>44329</v>
      </c>
      <c r="N397" s="6" t="str">
        <f ca="1">IFERROR(__xludf.DUMMYFUNCTION("""COMPUTED_VALUE"""),"S10")</f>
        <v>S10</v>
      </c>
      <c r="O397" s="97">
        <f ca="1">IFERROR(__xludf.DUMMYFUNCTION("""COMPUTED_VALUE"""),44329)</f>
        <v>44329</v>
      </c>
      <c r="P397" s="6" t="str">
        <f ca="1">IFERROR(__xludf.DUMMYFUNCTION("""COMPUTED_VALUE"""),"CSTM_HVSJTWIALNZ")</f>
        <v>CSTM_HVSJTWIALNZ</v>
      </c>
      <c r="Q397" s="6"/>
      <c r="R397" s="6"/>
      <c r="S397" s="6" t="str">
        <f ca="1">IFERROR(__xludf.DUMMYFUNCTION("""COMPUTED_VALUE"""),"NonCategory")</f>
        <v>NonCategory</v>
      </c>
      <c r="T397" s="6"/>
      <c r="U397" s="6"/>
      <c r="V397" s="6"/>
      <c r="W397" s="6"/>
      <c r="X397" s="6"/>
      <c r="Y397" s="6"/>
      <c r="Z397" s="6"/>
      <c r="AA397" s="6"/>
      <c r="AB397" s="6"/>
      <c r="AC397" s="6"/>
      <c r="AD397" s="6"/>
      <c r="AE397" s="6"/>
      <c r="AF397" s="6"/>
      <c r="AG397" s="6"/>
      <c r="AH397" s="6"/>
      <c r="AI397" s="6"/>
      <c r="AJ397" s="6"/>
      <c r="AK397" s="6"/>
      <c r="AL397" s="6"/>
    </row>
    <row r="398" spans="1:38">
      <c r="A398" s="96">
        <f ca="1">IFERROR(__xludf.DUMMYFUNCTION("""COMPUTED_VALUE"""),44329)</f>
        <v>44329</v>
      </c>
      <c r="B398" s="6" t="str">
        <f ca="1">IFERROR(__xludf.DUMMYFUNCTION("""COMPUTED_VALUE"""),"Hema KN")</f>
        <v>Hema KN</v>
      </c>
      <c r="C398" s="6" t="str">
        <f ca="1">IFERROR(__xludf.DUMMYFUNCTION("""COMPUTED_VALUE"""),"knhema81@gmail.com")</f>
        <v>knhema81@gmail.com</v>
      </c>
      <c r="D398" s="6">
        <f ca="1">IFERROR(__xludf.DUMMYFUNCTION("""COMPUTED_VALUE"""),9972812149)</f>
        <v>9972812149</v>
      </c>
      <c r="E398" s="6" t="str">
        <f ca="1">IFERROR(__xludf.DUMMYFUNCTION("""COMPUTED_VALUE"""),"na-payment")</f>
        <v>na-payment</v>
      </c>
      <c r="F398" s="6" t="str">
        <f ca="1">IFERROR(__xludf.DUMMYFUNCTION("""COMPUTED_VALUE"""),"CSPO")</f>
        <v>CSPO</v>
      </c>
      <c r="G398" s="80">
        <f ca="1">IFERROR(__xludf.DUMMYFUNCTION("""COMPUTED_VALUE"""),44317)</f>
        <v>44317</v>
      </c>
      <c r="H398" s="6" t="str">
        <f ca="1">IFERROR(__xludf.DUMMYFUNCTION("""COMPUTED_VALUE"""),"Won")</f>
        <v>Won</v>
      </c>
      <c r="I398" s="6" t="str">
        <f ca="1">IFERROR(__xludf.DUMMYFUNCTION("""COMPUTED_VALUE"""),"15-16 May 2021")</f>
        <v>15-16 May 2021</v>
      </c>
      <c r="J398" s="6">
        <f ca="1">IFERROR(__xludf.DUMMYFUNCTION("""COMPUTED_VALUE"""),1)</f>
        <v>1</v>
      </c>
      <c r="K398" s="8">
        <f ca="1">IFERROR(__xludf.DUMMYFUNCTION("""COMPUTED_VALUE"""),19000)</f>
        <v>19000</v>
      </c>
      <c r="L398" s="8">
        <f ca="1">IFERROR(__xludf.DUMMYFUNCTION("""COMPUTED_VALUE"""),217.590471827759)</f>
        <v>217.59047182775899</v>
      </c>
      <c r="M398" s="96">
        <f ca="1">IFERROR(__xludf.DUMMYFUNCTION("""COMPUTED_VALUE"""),44329)</f>
        <v>44329</v>
      </c>
      <c r="N398" s="6" t="str">
        <f ca="1">IFERROR(__xludf.DUMMYFUNCTION("""COMPUTED_VALUE"""),"S10")</f>
        <v>S10</v>
      </c>
      <c r="O398" s="97">
        <f ca="1">IFERROR(__xludf.DUMMYFUNCTION("""COMPUTED_VALUE"""),44330)</f>
        <v>44330</v>
      </c>
      <c r="P398" s="6" t="str">
        <f ca="1">IFERROR(__xludf.DUMMYFUNCTION("""COMPUTED_VALUE"""),"CSTM_FRVD524F0D")</f>
        <v>CSTM_FRVD524F0D</v>
      </c>
      <c r="Q398" s="6"/>
      <c r="R398" s="6" t="str">
        <f ca="1">IFERROR(__xludf.DUMMYFUNCTION("""COMPUTED_VALUE"""),"Done. Good feedback.")</f>
        <v>Done. Good feedback.</v>
      </c>
      <c r="S398" s="6" t="str">
        <f ca="1">IFERROR(__xludf.DUMMYFUNCTION("""COMPUTED_VALUE"""),"Category")</f>
        <v>Category</v>
      </c>
      <c r="T398" s="6"/>
      <c r="U398" s="6"/>
      <c r="V398" s="6"/>
      <c r="W398" s="6"/>
      <c r="X398" s="6"/>
      <c r="Y398" s="6"/>
      <c r="Z398" s="6"/>
      <c r="AA398" s="6"/>
      <c r="AB398" s="6"/>
      <c r="AC398" s="6"/>
      <c r="AD398" s="6"/>
      <c r="AE398" s="6"/>
      <c r="AF398" s="6"/>
      <c r="AG398" s="6"/>
      <c r="AH398" s="6"/>
      <c r="AI398" s="6"/>
      <c r="AJ398" s="6"/>
      <c r="AK398" s="6"/>
      <c r="AL398" s="6"/>
    </row>
    <row r="399" spans="1:38">
      <c r="A399" s="96">
        <f ca="1">IFERROR(__xludf.DUMMYFUNCTION("""COMPUTED_VALUE"""),44331)</f>
        <v>44331</v>
      </c>
      <c r="B399" s="6" t="str">
        <f ca="1">IFERROR(__xludf.DUMMYFUNCTION("""COMPUTED_VALUE"""),"Sapna Acharya")</f>
        <v>Sapna Acharya</v>
      </c>
      <c r="C399" s="6" t="str">
        <f ca="1">IFERROR(__xludf.DUMMYFUNCTION("""COMPUTED_VALUE"""),"mail4sap13@gmail.com")</f>
        <v>mail4sap13@gmail.com</v>
      </c>
      <c r="D399" s="6">
        <f ca="1">IFERROR(__xludf.DUMMYFUNCTION("""COMPUTED_VALUE"""),8584832151)</f>
        <v>8584832151</v>
      </c>
      <c r="E399" s="6" t="str">
        <f ca="1">IFERROR(__xludf.DUMMYFUNCTION("""COMPUTED_VALUE"""),"Account Repeat")</f>
        <v>Account Repeat</v>
      </c>
      <c r="F399" s="6" t="str">
        <f ca="1">IFERROR(__xludf.DUMMYFUNCTION("""COMPUTED_VALUE"""),"PGP Cloud")</f>
        <v>PGP Cloud</v>
      </c>
      <c r="G399" s="80">
        <f ca="1">IFERROR(__xludf.DUMMYFUNCTION("""COMPUTED_VALUE"""),44317)</f>
        <v>44317</v>
      </c>
      <c r="H399" s="6" t="str">
        <f ca="1">IFERROR(__xludf.DUMMYFUNCTION("""COMPUTED_VALUE"""),"Won")</f>
        <v>Won</v>
      </c>
      <c r="I399" s="6" t="str">
        <f ca="1">IFERROR(__xludf.DUMMYFUNCTION("""COMPUTED_VALUE"""),"May 2021")</f>
        <v>May 2021</v>
      </c>
      <c r="J399" s="6">
        <f ca="1">IFERROR(__xludf.DUMMYFUNCTION("""COMPUTED_VALUE"""),1)</f>
        <v>1</v>
      </c>
      <c r="K399" s="8">
        <f ca="1">IFERROR(__xludf.DUMMYFUNCTION("""COMPUTED_VALUE"""),175000)</f>
        <v>175000</v>
      </c>
      <c r="L399" s="8">
        <f ca="1">IFERROR(__xludf.DUMMYFUNCTION("""COMPUTED_VALUE"""),2004.12276683463)</f>
        <v>2004.1227668346301</v>
      </c>
      <c r="M399" s="96">
        <f ca="1">IFERROR(__xludf.DUMMYFUNCTION("""COMPUTED_VALUE"""),44331)</f>
        <v>44331</v>
      </c>
      <c r="N399" s="6" t="str">
        <f ca="1">IFERROR(__xludf.DUMMYFUNCTION("""COMPUTED_VALUE"""),"S10")</f>
        <v>S10</v>
      </c>
      <c r="O399" s="97">
        <f ca="1">IFERROR(__xludf.DUMMYFUNCTION("""COMPUTED_VALUE"""),44331)</f>
        <v>44331</v>
      </c>
      <c r="P399" s="6" t="str">
        <f ca="1">IFERROR(__xludf.DUMMYFUNCTION("""COMPUTED_VALUE"""),"CSTM_HUSOZWMWRH9")</f>
        <v>CSTM_HUSOZWMWRH9</v>
      </c>
      <c r="Q399" s="6"/>
      <c r="R399" s="6"/>
      <c r="S399" s="6" t="str">
        <f ca="1">IFERROR(__xludf.DUMMYFUNCTION("""COMPUTED_VALUE"""),"NonCategory")</f>
        <v>NonCategory</v>
      </c>
      <c r="T399" s="6"/>
      <c r="U399" s="6"/>
      <c r="V399" s="6"/>
      <c r="W399" s="6"/>
      <c r="X399" s="6"/>
      <c r="Y399" s="6"/>
      <c r="Z399" s="6"/>
      <c r="AA399" s="6"/>
      <c r="AB399" s="6"/>
      <c r="AC399" s="6"/>
      <c r="AD399" s="6"/>
      <c r="AE399" s="6"/>
      <c r="AF399" s="6"/>
      <c r="AG399" s="6"/>
      <c r="AH399" s="6"/>
      <c r="AI399" s="6"/>
      <c r="AJ399" s="6"/>
      <c r="AK399" s="6"/>
      <c r="AL399" s="6"/>
    </row>
    <row r="400" spans="1:38">
      <c r="A400" s="96">
        <f ca="1">IFERROR(__xludf.DUMMYFUNCTION("""COMPUTED_VALUE"""),44331)</f>
        <v>44331</v>
      </c>
      <c r="B400" s="6" t="str">
        <f ca="1">IFERROR(__xludf.DUMMYFUNCTION("""COMPUTED_VALUE"""),"Viji V")</f>
        <v>Viji V</v>
      </c>
      <c r="C400" s="6" t="str">
        <f ca="1">IFERROR(__xludf.DUMMYFUNCTION("""COMPUTED_VALUE"""),"viji0201@gmail.com")</f>
        <v>viji0201@gmail.com</v>
      </c>
      <c r="D400" s="6">
        <f ca="1">IFERROR(__xludf.DUMMYFUNCTION("""COMPUTED_VALUE"""),9645273327)</f>
        <v>9645273327</v>
      </c>
      <c r="E400" s="6" t="str">
        <f ca="1">IFERROR(__xludf.DUMMYFUNCTION("""COMPUTED_VALUE"""),"Chat_triggered")</f>
        <v>Chat_triggered</v>
      </c>
      <c r="F400" s="6" t="str">
        <f ca="1">IFERROR(__xludf.DUMMYFUNCTION("""COMPUTED_VALUE"""),"PSM")</f>
        <v>PSM</v>
      </c>
      <c r="G400" s="80">
        <f ca="1">IFERROR(__xludf.DUMMYFUNCTION("""COMPUTED_VALUE"""),44317)</f>
        <v>44317</v>
      </c>
      <c r="H400" s="6" t="str">
        <f ca="1">IFERROR(__xludf.DUMMYFUNCTION("""COMPUTED_VALUE"""),"Won")</f>
        <v>Won</v>
      </c>
      <c r="I400" s="6" t="str">
        <f ca="1">IFERROR(__xludf.DUMMYFUNCTION("""COMPUTED_VALUE"""),"17-18 May 2021")</f>
        <v>17-18 May 2021</v>
      </c>
      <c r="J400" s="6">
        <f ca="1">IFERROR(__xludf.DUMMYFUNCTION("""COMPUTED_VALUE"""),1)</f>
        <v>1</v>
      </c>
      <c r="K400" s="8">
        <f ca="1">IFERROR(__xludf.DUMMYFUNCTION("""COMPUTED_VALUE"""),21000)</f>
        <v>21000</v>
      </c>
      <c r="L400" s="8">
        <f ca="1">IFERROR(__xludf.DUMMYFUNCTION("""COMPUTED_VALUE"""),240.494732020155)</f>
        <v>240.494732020155</v>
      </c>
      <c r="M400" s="96">
        <f ca="1">IFERROR(__xludf.DUMMYFUNCTION("""COMPUTED_VALUE"""),44331)</f>
        <v>44331</v>
      </c>
      <c r="N400" s="6" t="str">
        <f ca="1">IFERROR(__xludf.DUMMYFUNCTION("""COMPUTED_VALUE"""),"S10")</f>
        <v>S10</v>
      </c>
      <c r="O400" s="97">
        <f ca="1">IFERROR(__xludf.DUMMYFUNCTION("""COMPUTED_VALUE"""),44331)</f>
        <v>44331</v>
      </c>
      <c r="P400" s="6" t="str">
        <f ca="1">IFERROR(__xludf.DUMMYFUNCTION("""COMPUTED_VALUE"""),"CSTM_7R5YLXXDVHF")</f>
        <v>CSTM_7R5YLXXDVHF</v>
      </c>
      <c r="Q400" s="6"/>
      <c r="R400" s="6" t="str">
        <f ca="1">IFERROR(__xludf.DUMMYFUNCTION("""COMPUTED_VALUE"""),"Pending")</f>
        <v>Pending</v>
      </c>
      <c r="S400" s="6" t="str">
        <f ca="1">IFERROR(__xludf.DUMMYFUNCTION("""COMPUTED_VALUE"""),"Category")</f>
        <v>Category</v>
      </c>
      <c r="T400" s="6"/>
      <c r="U400" s="6"/>
      <c r="V400" s="6"/>
      <c r="W400" s="6"/>
      <c r="X400" s="6"/>
      <c r="Y400" s="6"/>
      <c r="Z400" s="6"/>
      <c r="AA400" s="6"/>
      <c r="AB400" s="6"/>
      <c r="AC400" s="6"/>
      <c r="AD400" s="6"/>
      <c r="AE400" s="6"/>
      <c r="AF400" s="6"/>
      <c r="AG400" s="6"/>
      <c r="AH400" s="6"/>
      <c r="AI400" s="6"/>
      <c r="AJ400" s="6"/>
      <c r="AK400" s="6"/>
      <c r="AL400" s="6"/>
    </row>
    <row r="401" spans="1:38">
      <c r="A401" s="96">
        <f ca="1">IFERROR(__xludf.DUMMYFUNCTION("""COMPUTED_VALUE"""),44331)</f>
        <v>44331</v>
      </c>
      <c r="B401" s="6" t="str">
        <f ca="1">IFERROR(__xludf.DUMMYFUNCTION("""COMPUTED_VALUE"""),"Ravi V R")</f>
        <v>Ravi V R</v>
      </c>
      <c r="C401" s="6" t="str">
        <f ca="1">IFERROR(__xludf.DUMMYFUNCTION("""COMPUTED_VALUE"""),"ravivr123@gmail.com")</f>
        <v>ravivr123@gmail.com</v>
      </c>
      <c r="D401" s="6">
        <f ca="1">IFERROR(__xludf.DUMMYFUNCTION("""COMPUTED_VALUE"""),9880080344)</f>
        <v>9880080344</v>
      </c>
      <c r="E401" s="6" t="str">
        <f ca="1">IFERROR(__xludf.DUMMYFUNCTION("""COMPUTED_VALUE"""),"chat_initiated")</f>
        <v>chat_initiated</v>
      </c>
      <c r="F401" s="6" t="str">
        <f ca="1">IFERROR(__xludf.DUMMYFUNCTION("""COMPUTED_VALUE"""),"SAFe Agile")</f>
        <v>SAFe Agile</v>
      </c>
      <c r="G401" s="80">
        <f ca="1">IFERROR(__xludf.DUMMYFUNCTION("""COMPUTED_VALUE"""),44317)</f>
        <v>44317</v>
      </c>
      <c r="H401" s="6" t="str">
        <f ca="1">IFERROR(__xludf.DUMMYFUNCTION("""COMPUTED_VALUE"""),"Won")</f>
        <v>Won</v>
      </c>
      <c r="I401" s="6" t="str">
        <f ca="1">IFERROR(__xludf.DUMMYFUNCTION("""COMPUTED_VALUE"""),"12-13 June 2021")</f>
        <v>12-13 June 2021</v>
      </c>
      <c r="J401" s="6">
        <f ca="1">IFERROR(__xludf.DUMMYFUNCTION("""COMPUTED_VALUE"""),1)</f>
        <v>1</v>
      </c>
      <c r="K401" s="8">
        <f ca="1">IFERROR(__xludf.DUMMYFUNCTION("""COMPUTED_VALUE"""),45000)</f>
        <v>45000</v>
      </c>
      <c r="L401" s="8">
        <f ca="1">IFERROR(__xludf.DUMMYFUNCTION("""COMPUTED_VALUE"""),515.345854328905)</f>
        <v>515.34585432890503</v>
      </c>
      <c r="M401" s="96">
        <f ca="1">IFERROR(__xludf.DUMMYFUNCTION("""COMPUTED_VALUE"""),44331)</f>
        <v>44331</v>
      </c>
      <c r="N401" s="6" t="str">
        <f ca="1">IFERROR(__xludf.DUMMYFUNCTION("""COMPUTED_VALUE"""),"S10")</f>
        <v>S10</v>
      </c>
      <c r="O401" s="97">
        <f ca="1">IFERROR(__xludf.DUMMYFUNCTION("""COMPUTED_VALUE"""),44331)</f>
        <v>44331</v>
      </c>
      <c r="P401" s="6" t="str">
        <f ca="1">IFERROR(__xludf.DUMMYFUNCTION("""COMPUTED_VALUE"""),"CSTM_72W5KB29NE1")</f>
        <v>CSTM_72W5KB29NE1</v>
      </c>
      <c r="Q401" s="6"/>
      <c r="R401" s="6" t="str">
        <f ca="1">IFERROR(__xludf.DUMMYFUNCTION("""COMPUTED_VALUE"""),"Pending")</f>
        <v>Pending</v>
      </c>
      <c r="S401" s="6" t="str">
        <f ca="1">IFERROR(__xludf.DUMMYFUNCTION("""COMPUTED_VALUE"""),"SAFe")</f>
        <v>SAFe</v>
      </c>
      <c r="T401" s="6"/>
      <c r="U401" s="6"/>
      <c r="V401" s="6"/>
      <c r="W401" s="6"/>
      <c r="X401" s="6"/>
      <c r="Y401" s="6"/>
      <c r="Z401" s="6"/>
      <c r="AA401" s="6"/>
      <c r="AB401" s="6"/>
      <c r="AC401" s="6"/>
      <c r="AD401" s="6"/>
      <c r="AE401" s="6"/>
      <c r="AF401" s="6"/>
      <c r="AG401" s="6"/>
      <c r="AH401" s="6"/>
      <c r="AI401" s="6"/>
      <c r="AJ401" s="6"/>
      <c r="AK401" s="6"/>
      <c r="AL401" s="6"/>
    </row>
    <row r="402" spans="1:38">
      <c r="A402" s="96">
        <f ca="1">IFERROR(__xludf.DUMMYFUNCTION("""COMPUTED_VALUE"""),44333)</f>
        <v>44333</v>
      </c>
      <c r="B402" s="6" t="str">
        <f ca="1">IFERROR(__xludf.DUMMYFUNCTION("""COMPUTED_VALUE"""),"Rahul Verma")</f>
        <v>Rahul Verma</v>
      </c>
      <c r="C402" s="6" t="str">
        <f ca="1">IFERROR(__xludf.DUMMYFUNCTION("""COMPUTED_VALUE"""),"enggrahulverma@gmail.com")</f>
        <v>enggrahulverma@gmail.com</v>
      </c>
      <c r="D402" s="6">
        <f ca="1">IFERROR(__xludf.DUMMYFUNCTION("""COMPUTED_VALUE"""),9607968405)</f>
        <v>9607968405</v>
      </c>
      <c r="E402" s="6" t="str">
        <f ca="1">IFERROR(__xludf.DUMMYFUNCTION("""COMPUTED_VALUE"""),"Chat_triggered")</f>
        <v>Chat_triggered</v>
      </c>
      <c r="F402" s="6" t="str">
        <f ca="1">IFERROR(__xludf.DUMMYFUNCTION("""COMPUTED_VALUE"""),"CSM")</f>
        <v>CSM</v>
      </c>
      <c r="G402" s="80">
        <f ca="1">IFERROR(__xludf.DUMMYFUNCTION("""COMPUTED_VALUE"""),44317)</f>
        <v>44317</v>
      </c>
      <c r="H402" s="6" t="str">
        <f ca="1">IFERROR(__xludf.DUMMYFUNCTION("""COMPUTED_VALUE"""),"Won")</f>
        <v>Won</v>
      </c>
      <c r="I402" s="6" t="str">
        <f ca="1">IFERROR(__xludf.DUMMYFUNCTION("""COMPUTED_VALUE"""),"22-23 May 2021")</f>
        <v>22-23 May 2021</v>
      </c>
      <c r="J402" s="6">
        <f ca="1">IFERROR(__xludf.DUMMYFUNCTION("""COMPUTED_VALUE"""),1)</f>
        <v>1</v>
      </c>
      <c r="K402" s="8">
        <f ca="1">IFERROR(__xludf.DUMMYFUNCTION("""COMPUTED_VALUE"""),19000)</f>
        <v>19000</v>
      </c>
      <c r="L402" s="8">
        <f ca="1">IFERROR(__xludf.DUMMYFUNCTION("""COMPUTED_VALUE"""),217.590471827759)</f>
        <v>217.59047182775899</v>
      </c>
      <c r="M402" s="96">
        <f ca="1">IFERROR(__xludf.DUMMYFUNCTION("""COMPUTED_VALUE"""),44333)</f>
        <v>44333</v>
      </c>
      <c r="N402" s="6" t="str">
        <f ca="1">IFERROR(__xludf.DUMMYFUNCTION("""COMPUTED_VALUE"""),"S10")</f>
        <v>S10</v>
      </c>
      <c r="O402" s="97">
        <f ca="1">IFERROR(__xludf.DUMMYFUNCTION("""COMPUTED_VALUE"""),44333)</f>
        <v>44333</v>
      </c>
      <c r="P402" s="6" t="str">
        <f ca="1">IFERROR(__xludf.DUMMYFUNCTION("""COMPUTED_VALUE"""),"CSTM_A0HQ0881H66")</f>
        <v>CSTM_A0HQ0881H66</v>
      </c>
      <c r="Q402" s="6"/>
      <c r="R402" s="6" t="str">
        <f ca="1">IFERROR(__xludf.DUMMYFUNCTION("""COMPUTED_VALUE"""),"Done. Good feedback.")</f>
        <v>Done. Good feedback.</v>
      </c>
      <c r="S402" s="6" t="str">
        <f ca="1">IFERROR(__xludf.DUMMYFUNCTION("""COMPUTED_VALUE"""),"Category")</f>
        <v>Category</v>
      </c>
      <c r="T402" s="6"/>
      <c r="U402" s="6"/>
      <c r="V402" s="6"/>
      <c r="W402" s="6"/>
      <c r="X402" s="6"/>
      <c r="Y402" s="6"/>
      <c r="Z402" s="6"/>
      <c r="AA402" s="6"/>
      <c r="AB402" s="6"/>
      <c r="AC402" s="6"/>
      <c r="AD402" s="6"/>
      <c r="AE402" s="6"/>
      <c r="AF402" s="6"/>
      <c r="AG402" s="6"/>
      <c r="AH402" s="6"/>
      <c r="AI402" s="6"/>
      <c r="AJ402" s="6"/>
      <c r="AK402" s="6"/>
      <c r="AL402" s="6"/>
    </row>
    <row r="403" spans="1:38">
      <c r="A403" s="96">
        <f ca="1">IFERROR(__xludf.DUMMYFUNCTION("""COMPUTED_VALUE"""),44335)</f>
        <v>44335</v>
      </c>
      <c r="B403" s="6" t="str">
        <f ca="1">IFERROR(__xludf.DUMMYFUNCTION("""COMPUTED_VALUE"""),"Wasimulla Khan")</f>
        <v>Wasimulla Khan</v>
      </c>
      <c r="C403" s="6" t="str">
        <f ca="1">IFERROR(__xludf.DUMMYFUNCTION("""COMPUTED_VALUE"""),"wasimulla.khan@capgemini.com")</f>
        <v>wasimulla.khan@capgemini.com</v>
      </c>
      <c r="D403" s="6">
        <f ca="1">IFERROR(__xludf.DUMMYFUNCTION("""COMPUTED_VALUE"""),9880857362)</f>
        <v>9880857362</v>
      </c>
      <c r="E403" s="6" t="str">
        <f ca="1">IFERROR(__xludf.DUMMYFUNCTION("""COMPUTED_VALUE"""),"Reference")</f>
        <v>Reference</v>
      </c>
      <c r="F403" s="6" t="str">
        <f ca="1">IFERROR(__xludf.DUMMYFUNCTION("""COMPUTED_VALUE"""),"PMP")</f>
        <v>PMP</v>
      </c>
      <c r="G403" s="80">
        <f ca="1">IFERROR(__xludf.DUMMYFUNCTION("""COMPUTED_VALUE"""),44317)</f>
        <v>44317</v>
      </c>
      <c r="H403" s="6" t="str">
        <f ca="1">IFERROR(__xludf.DUMMYFUNCTION("""COMPUTED_VALUE"""),"Won")</f>
        <v>Won</v>
      </c>
      <c r="I403" s="6" t="str">
        <f ca="1">IFERROR(__xludf.DUMMYFUNCTION("""COMPUTED_VALUE"""),"May 2021")</f>
        <v>May 2021</v>
      </c>
      <c r="J403" s="6">
        <f ca="1">IFERROR(__xludf.DUMMYFUNCTION("""COMPUTED_VALUE"""),1)</f>
        <v>1</v>
      </c>
      <c r="K403" s="8">
        <f ca="1">IFERROR(__xludf.DUMMYFUNCTION("""COMPUTED_VALUE"""),10000)</f>
        <v>10000</v>
      </c>
      <c r="L403" s="8">
        <f ca="1">IFERROR(__xludf.DUMMYFUNCTION("""COMPUTED_VALUE"""),114.521300961978)</f>
        <v>114.521300961978</v>
      </c>
      <c r="M403" s="96">
        <f ca="1">IFERROR(__xludf.DUMMYFUNCTION("""COMPUTED_VALUE"""),44335)</f>
        <v>44335</v>
      </c>
      <c r="N403" s="6" t="str">
        <f ca="1">IFERROR(__xludf.DUMMYFUNCTION("""COMPUTED_VALUE"""),"S10")</f>
        <v>S10</v>
      </c>
      <c r="O403" s="97">
        <f ca="1">IFERROR(__xludf.DUMMYFUNCTION("""COMPUTED_VALUE"""),44335)</f>
        <v>44335</v>
      </c>
      <c r="P403" s="6" t="str">
        <f ca="1">IFERROR(__xludf.DUMMYFUNCTION("""COMPUTED_VALUE"""),"CSTM_IA9N25U5BOW")</f>
        <v>CSTM_IA9N25U5BOW</v>
      </c>
      <c r="Q403" s="6" t="str">
        <f ca="1">IFERROR(__xludf.DUMMYFUNCTION("""COMPUTED_VALUE"""),"Reference by Shivam Nandi - shivam.nandi15@nmims.edu.in")</f>
        <v>Reference by Shivam Nandi - shivam.nandi15@nmims.edu.in</v>
      </c>
      <c r="R403" s="6" t="str">
        <f ca="1">IFERROR(__xludf.DUMMYFUNCTION("""COMPUTED_VALUE"""),"Done. ")</f>
        <v xml:space="preserve">Done. </v>
      </c>
      <c r="S403" s="6" t="str">
        <f ca="1">IFERROR(__xludf.DUMMYFUNCTION("""COMPUTED_VALUE"""),"NonCategory")</f>
        <v>NonCategory</v>
      </c>
      <c r="T403" s="6"/>
      <c r="U403" s="6"/>
      <c r="V403" s="6"/>
      <c r="W403" s="6"/>
      <c r="X403" s="6"/>
      <c r="Y403" s="6"/>
      <c r="Z403" s="6"/>
      <c r="AA403" s="6"/>
      <c r="AB403" s="6"/>
      <c r="AC403" s="6"/>
      <c r="AD403" s="6"/>
      <c r="AE403" s="6"/>
      <c r="AF403" s="6"/>
      <c r="AG403" s="6"/>
      <c r="AH403" s="6"/>
      <c r="AI403" s="6"/>
      <c r="AJ403" s="6"/>
      <c r="AK403" s="6"/>
      <c r="AL403" s="6"/>
    </row>
    <row r="404" spans="1:38">
      <c r="A404" s="96">
        <f ca="1">IFERROR(__xludf.DUMMYFUNCTION("""COMPUTED_VALUE"""),44335)</f>
        <v>44335</v>
      </c>
      <c r="B404" s="6" t="str">
        <f ca="1">IFERROR(__xludf.DUMMYFUNCTION("""COMPUTED_VALUE"""),"Raghavendra")</f>
        <v>Raghavendra</v>
      </c>
      <c r="C404" s="6" t="str">
        <f ca="1">IFERROR(__xludf.DUMMYFUNCTION("""COMPUTED_VALUE"""),"rshalva81@gmail.com")</f>
        <v>rshalva81@gmail.com</v>
      </c>
      <c r="D404" s="6">
        <f ca="1">IFERROR(__xludf.DUMMYFUNCTION("""COMPUTED_VALUE"""),9049987919)</f>
        <v>9049987919</v>
      </c>
      <c r="E404" s="6" t="str">
        <f ca="1">IFERROR(__xludf.DUMMYFUNCTION("""COMPUTED_VALUE"""),"Chat_triggered")</f>
        <v>Chat_triggered</v>
      </c>
      <c r="F404" s="6" t="str">
        <f ca="1">IFERROR(__xludf.DUMMYFUNCTION("""COMPUTED_VALUE"""),"SAFe Agile")</f>
        <v>SAFe Agile</v>
      </c>
      <c r="G404" s="80">
        <f ca="1">IFERROR(__xludf.DUMMYFUNCTION("""COMPUTED_VALUE"""),44317)</f>
        <v>44317</v>
      </c>
      <c r="H404" s="6" t="str">
        <f ca="1">IFERROR(__xludf.DUMMYFUNCTION("""COMPUTED_VALUE"""),"Won")</f>
        <v>Won</v>
      </c>
      <c r="I404" s="6" t="str">
        <f ca="1">IFERROR(__xludf.DUMMYFUNCTION("""COMPUTED_VALUE"""),"22-23 May 2021")</f>
        <v>22-23 May 2021</v>
      </c>
      <c r="J404" s="6">
        <f ca="1">IFERROR(__xludf.DUMMYFUNCTION("""COMPUTED_VALUE"""),1)</f>
        <v>1</v>
      </c>
      <c r="K404" s="8">
        <f ca="1">IFERROR(__xludf.DUMMYFUNCTION("""COMPUTED_VALUE"""),45000)</f>
        <v>45000</v>
      </c>
      <c r="L404" s="8">
        <f ca="1">IFERROR(__xludf.DUMMYFUNCTION("""COMPUTED_VALUE"""),515.345854328905)</f>
        <v>515.34585432890503</v>
      </c>
      <c r="M404" s="96">
        <f ca="1">IFERROR(__xludf.DUMMYFUNCTION("""COMPUTED_VALUE"""),44335)</f>
        <v>44335</v>
      </c>
      <c r="N404" s="6" t="str">
        <f ca="1">IFERROR(__xludf.DUMMYFUNCTION("""COMPUTED_VALUE"""),"S10")</f>
        <v>S10</v>
      </c>
      <c r="O404" s="97">
        <f ca="1">IFERROR(__xludf.DUMMYFUNCTION("""COMPUTED_VALUE"""),44335)</f>
        <v>44335</v>
      </c>
      <c r="P404" s="6" t="str">
        <f ca="1">IFERROR(__xludf.DUMMYFUNCTION("""COMPUTED_VALUE"""),"CSTM_8W0GUX0YGSP")</f>
        <v>CSTM_8W0GUX0YGSP</v>
      </c>
      <c r="Q404" s="6"/>
      <c r="R404" s="6" t="str">
        <f ca="1">IFERROR(__xludf.DUMMYFUNCTION("""COMPUTED_VALUE"""),"Pending")</f>
        <v>Pending</v>
      </c>
      <c r="S404" s="6" t="str">
        <f ca="1">IFERROR(__xludf.DUMMYFUNCTION("""COMPUTED_VALUE"""),"SAFe")</f>
        <v>SAFe</v>
      </c>
      <c r="T404" s="6"/>
      <c r="U404" s="6"/>
      <c r="V404" s="6"/>
      <c r="W404" s="6"/>
      <c r="X404" s="6"/>
      <c r="Y404" s="6"/>
      <c r="Z404" s="6"/>
      <c r="AA404" s="6"/>
      <c r="AB404" s="6"/>
      <c r="AC404" s="6"/>
      <c r="AD404" s="6"/>
      <c r="AE404" s="6"/>
      <c r="AF404" s="6"/>
      <c r="AG404" s="6"/>
      <c r="AH404" s="6"/>
      <c r="AI404" s="6"/>
      <c r="AJ404" s="6"/>
      <c r="AK404" s="6"/>
      <c r="AL404" s="6"/>
    </row>
    <row r="405" spans="1:38">
      <c r="A405" s="96">
        <f ca="1">IFERROR(__xludf.DUMMYFUNCTION("""COMPUTED_VALUE"""),44336)</f>
        <v>44336</v>
      </c>
      <c r="B405" s="6" t="str">
        <f ca="1">IFERROR(__xludf.DUMMYFUNCTION("""COMPUTED_VALUE"""),"Ashutosh")</f>
        <v>Ashutosh</v>
      </c>
      <c r="C405" s="6" t="str">
        <f ca="1">IFERROR(__xludf.DUMMYFUNCTION("""COMPUTED_VALUE"""),"letusashutosh@gmail.com")</f>
        <v>letusashutosh@gmail.com</v>
      </c>
      <c r="D405" s="6">
        <f ca="1">IFERROR(__xludf.DUMMYFUNCTION("""COMPUTED_VALUE"""),9051809380)</f>
        <v>9051809380</v>
      </c>
      <c r="E405" s="6" t="str">
        <f ca="1">IFERROR(__xludf.DUMMYFUNCTION("""COMPUTED_VALUE"""),"Chat_triggered")</f>
        <v>Chat_triggered</v>
      </c>
      <c r="F405" s="6" t="str">
        <f ca="1">IFERROR(__xludf.DUMMYFUNCTION("""COMPUTED_VALUE"""),"PSPO")</f>
        <v>PSPO</v>
      </c>
      <c r="G405" s="80">
        <f ca="1">IFERROR(__xludf.DUMMYFUNCTION("""COMPUTED_VALUE"""),44317)</f>
        <v>44317</v>
      </c>
      <c r="H405" s="6" t="str">
        <f ca="1">IFERROR(__xludf.DUMMYFUNCTION("""COMPUTED_VALUE"""),"Won")</f>
        <v>Won</v>
      </c>
      <c r="I405" s="6" t="str">
        <f ca="1">IFERROR(__xludf.DUMMYFUNCTION("""COMPUTED_VALUE"""),"22-23 May 2021")</f>
        <v>22-23 May 2021</v>
      </c>
      <c r="J405" s="6">
        <f ca="1">IFERROR(__xludf.DUMMYFUNCTION("""COMPUTED_VALUE"""),1)</f>
        <v>1</v>
      </c>
      <c r="K405" s="8">
        <f ca="1">IFERROR(__xludf.DUMMYFUNCTION("""COMPUTED_VALUE"""),21000)</f>
        <v>21000</v>
      </c>
      <c r="L405" s="8">
        <f ca="1">IFERROR(__xludf.DUMMYFUNCTION("""COMPUTED_VALUE"""),240.494732020155)</f>
        <v>240.494732020155</v>
      </c>
      <c r="M405" s="96">
        <f ca="1">IFERROR(__xludf.DUMMYFUNCTION("""COMPUTED_VALUE"""),44336)</f>
        <v>44336</v>
      </c>
      <c r="N405" s="6" t="str">
        <f ca="1">IFERROR(__xludf.DUMMYFUNCTION("""COMPUTED_VALUE"""),"S10")</f>
        <v>S10</v>
      </c>
      <c r="O405" s="97">
        <f ca="1">IFERROR(__xludf.DUMMYFUNCTION("""COMPUTED_VALUE"""),44336)</f>
        <v>44336</v>
      </c>
      <c r="P405" s="6" t="str">
        <f ca="1">IFERROR(__xludf.DUMMYFUNCTION("""COMPUTED_VALUE"""),"CSTM_GJ1X8N9BG9E")</f>
        <v>CSTM_GJ1X8N9BG9E</v>
      </c>
      <c r="Q405" s="6"/>
      <c r="R405" s="6" t="str">
        <f ca="1">IFERROR(__xludf.DUMMYFUNCTION("""COMPUTED_VALUE"""),"Done. Good feedback.")</f>
        <v>Done. Good feedback.</v>
      </c>
      <c r="S405" s="6" t="str">
        <f ca="1">IFERROR(__xludf.DUMMYFUNCTION("""COMPUTED_VALUE"""),"Category")</f>
        <v>Category</v>
      </c>
      <c r="T405" s="6"/>
      <c r="U405" s="6"/>
      <c r="V405" s="6"/>
      <c r="W405" s="6"/>
      <c r="X405" s="6"/>
      <c r="Y405" s="6"/>
      <c r="Z405" s="6"/>
      <c r="AA405" s="6"/>
      <c r="AB405" s="6"/>
      <c r="AC405" s="6"/>
      <c r="AD405" s="6"/>
      <c r="AE405" s="6"/>
      <c r="AF405" s="6"/>
      <c r="AG405" s="6"/>
      <c r="AH405" s="6"/>
      <c r="AI405" s="6"/>
      <c r="AJ405" s="6"/>
      <c r="AK405" s="6"/>
      <c r="AL405" s="6"/>
    </row>
    <row r="406" spans="1:38">
      <c r="A406" s="96">
        <f ca="1">IFERROR(__xludf.DUMMYFUNCTION("""COMPUTED_VALUE"""),44336)</f>
        <v>44336</v>
      </c>
      <c r="B406" s="6" t="str">
        <f ca="1">IFERROR(__xludf.DUMMYFUNCTION("""COMPUTED_VALUE"""),"Lisna")</f>
        <v>Lisna</v>
      </c>
      <c r="C406" s="6" t="str">
        <f ca="1">IFERROR(__xludf.DUMMYFUNCTION("""COMPUTED_VALUE"""),"lisnasalih@gmail.com")</f>
        <v>lisnasalih@gmail.com</v>
      </c>
      <c r="D406" s="6">
        <f ca="1">IFERROR(__xludf.DUMMYFUNCTION("""COMPUTED_VALUE"""),9620983044)</f>
        <v>9620983044</v>
      </c>
      <c r="E406" s="6" t="str">
        <f ca="1">IFERROR(__xludf.DUMMYFUNCTION("""COMPUTED_VALUE"""),"Query box")</f>
        <v>Query box</v>
      </c>
      <c r="F406" s="6" t="str">
        <f ca="1">IFERROR(__xludf.DUMMYFUNCTION("""COMPUTED_VALUE"""),"PSM")</f>
        <v>PSM</v>
      </c>
      <c r="G406" s="80">
        <f ca="1">IFERROR(__xludf.DUMMYFUNCTION("""COMPUTED_VALUE"""),44317)</f>
        <v>44317</v>
      </c>
      <c r="H406" s="6" t="str">
        <f ca="1">IFERROR(__xludf.DUMMYFUNCTION("""COMPUTED_VALUE"""),"Won")</f>
        <v>Won</v>
      </c>
      <c r="I406" s="6" t="str">
        <f ca="1">IFERROR(__xludf.DUMMYFUNCTION("""COMPUTED_VALUE"""),"5-6 June 2021")</f>
        <v>5-6 June 2021</v>
      </c>
      <c r="J406" s="6">
        <f ca="1">IFERROR(__xludf.DUMMYFUNCTION("""COMPUTED_VALUE"""),1)</f>
        <v>1</v>
      </c>
      <c r="K406" s="8">
        <f ca="1">IFERROR(__xludf.DUMMYFUNCTION("""COMPUTED_VALUE"""),20000)</f>
        <v>20000</v>
      </c>
      <c r="L406" s="8">
        <f ca="1">IFERROR(__xludf.DUMMYFUNCTION("""COMPUTED_VALUE"""),229.042601923957)</f>
        <v>229.04260192395699</v>
      </c>
      <c r="M406" s="96">
        <f ca="1">IFERROR(__xludf.DUMMYFUNCTION("""COMPUTED_VALUE"""),44336)</f>
        <v>44336</v>
      </c>
      <c r="N406" s="6" t="str">
        <f ca="1">IFERROR(__xludf.DUMMYFUNCTION("""COMPUTED_VALUE"""),"S10")</f>
        <v>S10</v>
      </c>
      <c r="O406" s="97">
        <f ca="1">IFERROR(__xludf.DUMMYFUNCTION("""COMPUTED_VALUE"""),44336)</f>
        <v>44336</v>
      </c>
      <c r="P406" s="6" t="str">
        <f ca="1">IFERROR(__xludf.DUMMYFUNCTION("""COMPUTED_VALUE"""),"CSTM_8TLY0SKMWIJ")</f>
        <v>CSTM_8TLY0SKMWIJ</v>
      </c>
      <c r="Q406" s="6"/>
      <c r="R406" s="6" t="str">
        <f ca="1">IFERROR(__xludf.DUMMYFUNCTION("""COMPUTED_VALUE"""),"Pending")</f>
        <v>Pending</v>
      </c>
      <c r="S406" s="6" t="str">
        <f ca="1">IFERROR(__xludf.DUMMYFUNCTION("""COMPUTED_VALUE"""),"Category")</f>
        <v>Category</v>
      </c>
      <c r="T406" s="6"/>
      <c r="U406" s="6"/>
      <c r="V406" s="6"/>
      <c r="W406" s="6"/>
      <c r="X406" s="6"/>
      <c r="Y406" s="6"/>
      <c r="Z406" s="6"/>
      <c r="AA406" s="6"/>
      <c r="AB406" s="6"/>
      <c r="AC406" s="6"/>
      <c r="AD406" s="6"/>
      <c r="AE406" s="6"/>
      <c r="AF406" s="6"/>
      <c r="AG406" s="6"/>
      <c r="AH406" s="6"/>
      <c r="AI406" s="6"/>
      <c r="AJ406" s="6"/>
      <c r="AK406" s="6"/>
      <c r="AL406" s="6"/>
    </row>
    <row r="407" spans="1:38">
      <c r="A407" s="96">
        <f ca="1">IFERROR(__xludf.DUMMYFUNCTION("""COMPUTED_VALUE"""),44337)</f>
        <v>44337</v>
      </c>
      <c r="B407" s="6" t="str">
        <f ca="1">IFERROR(__xludf.DUMMYFUNCTION("""COMPUTED_VALUE"""),"Aurko Bhattacharjee")</f>
        <v>Aurko Bhattacharjee</v>
      </c>
      <c r="C407" s="6" t="str">
        <f ca="1">IFERROR(__xludf.DUMMYFUNCTION("""COMPUTED_VALUE"""),"bhattacharya.aurko@gmail.com")</f>
        <v>bhattacharya.aurko@gmail.com</v>
      </c>
      <c r="D407" s="6">
        <f ca="1">IFERROR(__xludf.DUMMYFUNCTION("""COMPUTED_VALUE"""),8095103753)</f>
        <v>8095103753</v>
      </c>
      <c r="E407" s="6" t="str">
        <f ca="1">IFERROR(__xludf.DUMMYFUNCTION("""COMPUTED_VALUE"""),"Reference")</f>
        <v>Reference</v>
      </c>
      <c r="F407" s="6" t="str">
        <f ca="1">IFERROR(__xludf.DUMMYFUNCTION("""COMPUTED_VALUE"""),"CSPO")</f>
        <v>CSPO</v>
      </c>
      <c r="G407" s="80">
        <f ca="1">IFERROR(__xludf.DUMMYFUNCTION("""COMPUTED_VALUE"""),44317)</f>
        <v>44317</v>
      </c>
      <c r="H407" s="6" t="str">
        <f ca="1">IFERROR(__xludf.DUMMYFUNCTION("""COMPUTED_VALUE"""),"Won")</f>
        <v>Won</v>
      </c>
      <c r="I407" s="6" t="str">
        <f ca="1">IFERROR(__xludf.DUMMYFUNCTION("""COMPUTED_VALUE"""),"5-6 June 2021")</f>
        <v>5-6 June 2021</v>
      </c>
      <c r="J407" s="6">
        <f ca="1">IFERROR(__xludf.DUMMYFUNCTION("""COMPUTED_VALUE"""),1)</f>
        <v>1</v>
      </c>
      <c r="K407" s="8">
        <f ca="1">IFERROR(__xludf.DUMMYFUNCTION("""COMPUTED_VALUE"""),20000)</f>
        <v>20000</v>
      </c>
      <c r="L407" s="8">
        <f ca="1">IFERROR(__xludf.DUMMYFUNCTION("""COMPUTED_VALUE"""),229.042601923957)</f>
        <v>229.04260192395699</v>
      </c>
      <c r="M407" s="96">
        <f ca="1">IFERROR(__xludf.DUMMYFUNCTION("""COMPUTED_VALUE"""),44337)</f>
        <v>44337</v>
      </c>
      <c r="N407" s="6" t="str">
        <f ca="1">IFERROR(__xludf.DUMMYFUNCTION("""COMPUTED_VALUE"""),"T10")</f>
        <v>T10</v>
      </c>
      <c r="O407" s="97">
        <f ca="1">IFERROR(__xludf.DUMMYFUNCTION("""COMPUTED_VALUE"""),44337)</f>
        <v>44337</v>
      </c>
      <c r="P407" s="6" t="str">
        <f ca="1">IFERROR(__xludf.DUMMYFUNCTION("""COMPUTED_VALUE"""),"CSTM_2M9IOYJ20B5")</f>
        <v>CSTM_2M9IOYJ20B5</v>
      </c>
      <c r="Q407" s="6" t="str">
        <f ca="1">IFERROR(__xludf.DUMMYFUNCTION("""COMPUTED_VALUE"""),"Reference by Kritika - kritikatalwar92@gmail.com")</f>
        <v>Reference by Kritika - kritikatalwar92@gmail.com</v>
      </c>
      <c r="R407" s="6" t="str">
        <f ca="1">IFERROR(__xludf.DUMMYFUNCTION("""COMPUTED_VALUE"""),"Done. Good feedback.")</f>
        <v>Done. Good feedback.</v>
      </c>
      <c r="S407" s="6" t="str">
        <f ca="1">IFERROR(__xludf.DUMMYFUNCTION("""COMPUTED_VALUE"""),"Category")</f>
        <v>Category</v>
      </c>
      <c r="T407" s="6"/>
      <c r="U407" s="6"/>
      <c r="V407" s="6"/>
      <c r="W407" s="6"/>
      <c r="X407" s="6"/>
      <c r="Y407" s="6"/>
      <c r="Z407" s="6"/>
      <c r="AA407" s="6"/>
      <c r="AB407" s="6"/>
      <c r="AC407" s="6"/>
      <c r="AD407" s="6"/>
      <c r="AE407" s="6"/>
      <c r="AF407" s="6"/>
      <c r="AG407" s="6"/>
      <c r="AH407" s="6"/>
      <c r="AI407" s="6"/>
      <c r="AJ407" s="6"/>
      <c r="AK407" s="6"/>
      <c r="AL407" s="6"/>
    </row>
    <row r="408" spans="1:38">
      <c r="A408" s="96">
        <f ca="1">IFERROR(__xludf.DUMMYFUNCTION("""COMPUTED_VALUE"""),44337)</f>
        <v>44337</v>
      </c>
      <c r="B408" s="6" t="str">
        <f ca="1">IFERROR(__xludf.DUMMYFUNCTION("""COMPUTED_VALUE"""),"Hima Bindu")</f>
        <v>Hima Bindu</v>
      </c>
      <c r="C408" s="6" t="str">
        <f ca="1">IFERROR(__xludf.DUMMYFUNCTION("""COMPUTED_VALUE"""),"tenneti.himabindu@gmail.com")</f>
        <v>tenneti.himabindu@gmail.com</v>
      </c>
      <c r="D408" s="6">
        <f ca="1">IFERROR(__xludf.DUMMYFUNCTION("""COMPUTED_VALUE"""),8884296309)</f>
        <v>8884296309</v>
      </c>
      <c r="E408" s="6" t="str">
        <f ca="1">IFERROR(__xludf.DUMMYFUNCTION("""COMPUTED_VALUE"""),"chat_initiated")</f>
        <v>chat_initiated</v>
      </c>
      <c r="F408" s="6" t="str">
        <f ca="1">IFERROR(__xludf.DUMMYFUNCTION("""COMPUTED_VALUE"""),"SAFe Agile")</f>
        <v>SAFe Agile</v>
      </c>
      <c r="G408" s="80">
        <f ca="1">IFERROR(__xludf.DUMMYFUNCTION("""COMPUTED_VALUE"""),44317)</f>
        <v>44317</v>
      </c>
      <c r="H408" s="6" t="str">
        <f ca="1">IFERROR(__xludf.DUMMYFUNCTION("""COMPUTED_VALUE"""),"Won")</f>
        <v>Won</v>
      </c>
      <c r="I408" s="6" t="str">
        <f ca="1">IFERROR(__xludf.DUMMYFUNCTION("""COMPUTED_VALUE"""),"22-23 May 2021")</f>
        <v>22-23 May 2021</v>
      </c>
      <c r="J408" s="6">
        <f ca="1">IFERROR(__xludf.DUMMYFUNCTION("""COMPUTED_VALUE"""),1)</f>
        <v>1</v>
      </c>
      <c r="K408" s="8">
        <f ca="1">IFERROR(__xludf.DUMMYFUNCTION("""COMPUTED_VALUE"""),45000)</f>
        <v>45000</v>
      </c>
      <c r="L408" s="8">
        <f ca="1">IFERROR(__xludf.DUMMYFUNCTION("""COMPUTED_VALUE"""),515.345854328905)</f>
        <v>515.34585432890503</v>
      </c>
      <c r="M408" s="96">
        <f ca="1">IFERROR(__xludf.DUMMYFUNCTION("""COMPUTED_VALUE"""),44337)</f>
        <v>44337</v>
      </c>
      <c r="N408" s="6" t="str">
        <f ca="1">IFERROR(__xludf.DUMMYFUNCTION("""COMPUTED_VALUE"""),"T10")</f>
        <v>T10</v>
      </c>
      <c r="O408" s="97">
        <f ca="1">IFERROR(__xludf.DUMMYFUNCTION("""COMPUTED_VALUE"""),44337)</f>
        <v>44337</v>
      </c>
      <c r="P408" s="6" t="str">
        <f ca="1">IFERROR(__xludf.DUMMYFUNCTION("""COMPUTED_VALUE"""),"CSTM_4IBGA1T8FUF")</f>
        <v>CSTM_4IBGA1T8FUF</v>
      </c>
      <c r="Q408" s="6"/>
      <c r="R408" s="6" t="str">
        <f ca="1">IFERROR(__xludf.DUMMYFUNCTION("""COMPUTED_VALUE"""),"Done. Good feedback.")</f>
        <v>Done. Good feedback.</v>
      </c>
      <c r="S408" s="6" t="str">
        <f ca="1">IFERROR(__xludf.DUMMYFUNCTION("""COMPUTED_VALUE"""),"SAFe")</f>
        <v>SAFe</v>
      </c>
      <c r="T408" s="6"/>
      <c r="U408" s="6"/>
      <c r="V408" s="6"/>
      <c r="W408" s="6"/>
      <c r="X408" s="6"/>
      <c r="Y408" s="6"/>
      <c r="Z408" s="6"/>
      <c r="AA408" s="6"/>
      <c r="AB408" s="6"/>
      <c r="AC408" s="6"/>
      <c r="AD408" s="6"/>
      <c r="AE408" s="6"/>
      <c r="AF408" s="6"/>
      <c r="AG408" s="6"/>
      <c r="AH408" s="6"/>
      <c r="AI408" s="6"/>
      <c r="AJ408" s="6"/>
      <c r="AK408" s="6"/>
      <c r="AL408" s="6"/>
    </row>
    <row r="409" spans="1:38">
      <c r="A409" s="96">
        <f ca="1">IFERROR(__xludf.DUMMYFUNCTION("""COMPUTED_VALUE"""),44337)</f>
        <v>44337</v>
      </c>
      <c r="B409" s="6" t="str">
        <f ca="1">IFERROR(__xludf.DUMMYFUNCTION("""COMPUTED_VALUE"""),"Girija Lakhsmi")</f>
        <v>Girija Lakhsmi</v>
      </c>
      <c r="C409" s="6" t="str">
        <f ca="1">IFERROR(__xludf.DUMMYFUNCTION("""COMPUTED_VALUE"""),"girijalakshmi.r@gmail.com")</f>
        <v>girijalakshmi.r@gmail.com</v>
      </c>
      <c r="D409" s="6">
        <f ca="1">IFERROR(__xludf.DUMMYFUNCTION("""COMPUTED_VALUE"""),9986002443)</f>
        <v>9986002443</v>
      </c>
      <c r="E409" s="6" t="str">
        <f ca="1">IFERROR(__xludf.DUMMYFUNCTION("""COMPUTED_VALUE"""),"Query box")</f>
        <v>Query box</v>
      </c>
      <c r="F409" s="6" t="str">
        <f ca="1">IFERROR(__xludf.DUMMYFUNCTION("""COMPUTED_VALUE"""),"SAFe POPM")</f>
        <v>SAFe POPM</v>
      </c>
      <c r="G409" s="80">
        <f ca="1">IFERROR(__xludf.DUMMYFUNCTION("""COMPUTED_VALUE"""),44317)</f>
        <v>44317</v>
      </c>
      <c r="H409" s="6" t="str">
        <f ca="1">IFERROR(__xludf.DUMMYFUNCTION("""COMPUTED_VALUE"""),"Won")</f>
        <v>Won</v>
      </c>
      <c r="I409" s="6" t="str">
        <f ca="1">IFERROR(__xludf.DUMMYFUNCTION("""COMPUTED_VALUE"""),"5-6 June 2021")</f>
        <v>5-6 June 2021</v>
      </c>
      <c r="J409" s="6">
        <f ca="1">IFERROR(__xludf.DUMMYFUNCTION("""COMPUTED_VALUE"""),1)</f>
        <v>1</v>
      </c>
      <c r="K409" s="8">
        <f ca="1">IFERROR(__xludf.DUMMYFUNCTION("""COMPUTED_VALUE"""),45000)</f>
        <v>45000</v>
      </c>
      <c r="L409" s="8">
        <f ca="1">IFERROR(__xludf.DUMMYFUNCTION("""COMPUTED_VALUE"""),515.345854328905)</f>
        <v>515.34585432890503</v>
      </c>
      <c r="M409" s="96">
        <f ca="1">IFERROR(__xludf.DUMMYFUNCTION("""COMPUTED_VALUE"""),44337)</f>
        <v>44337</v>
      </c>
      <c r="N409" s="6" t="str">
        <f ca="1">IFERROR(__xludf.DUMMYFUNCTION("""COMPUTED_VALUE"""),"T10")</f>
        <v>T10</v>
      </c>
      <c r="O409" s="97">
        <f ca="1">IFERROR(__xludf.DUMMYFUNCTION("""COMPUTED_VALUE"""),44337)</f>
        <v>44337</v>
      </c>
      <c r="P409" s="6" t="str">
        <f ca="1">IFERROR(__xludf.DUMMYFUNCTION("""COMPUTED_VALUE"""),"CSTM_6T7Q34JZ41A")</f>
        <v>CSTM_6T7Q34JZ41A</v>
      </c>
      <c r="Q409" s="6"/>
      <c r="R409" s="6" t="str">
        <f ca="1">IFERROR(__xludf.DUMMYFUNCTION("""COMPUTED_VALUE"""),"Done. Good feedback.")</f>
        <v>Done. Good feedback.</v>
      </c>
      <c r="S409" s="6" t="str">
        <f ca="1">IFERROR(__xludf.DUMMYFUNCTION("""COMPUTED_VALUE"""),"SAFe")</f>
        <v>SAFe</v>
      </c>
      <c r="T409" s="6"/>
      <c r="U409" s="6"/>
      <c r="V409" s="6"/>
      <c r="W409" s="6"/>
      <c r="X409" s="6"/>
      <c r="Y409" s="6"/>
      <c r="Z409" s="6"/>
      <c r="AA409" s="6"/>
      <c r="AB409" s="6"/>
      <c r="AC409" s="6"/>
      <c r="AD409" s="6"/>
      <c r="AE409" s="6"/>
      <c r="AF409" s="6"/>
      <c r="AG409" s="6"/>
      <c r="AH409" s="6"/>
      <c r="AI409" s="6"/>
      <c r="AJ409" s="6"/>
      <c r="AK409" s="6"/>
      <c r="AL409" s="6"/>
    </row>
    <row r="410" spans="1:38">
      <c r="A410" s="96">
        <f ca="1">IFERROR(__xludf.DUMMYFUNCTION("""COMPUTED_VALUE"""),44337)</f>
        <v>44337</v>
      </c>
      <c r="B410" s="6" t="str">
        <f ca="1">IFERROR(__xludf.DUMMYFUNCTION("""COMPUTED_VALUE"""),"Vaishnavi")</f>
        <v>Vaishnavi</v>
      </c>
      <c r="C410" s="6" t="str">
        <f ca="1">IFERROR(__xludf.DUMMYFUNCTION("""COMPUTED_VALUE"""),"vaishu2006@gmail.com/ vaishu_cool_17@yahoo.co.in")</f>
        <v>vaishu2006@gmail.com/ vaishu_cool_17@yahoo.co.in</v>
      </c>
      <c r="D410" s="6">
        <f ca="1">IFERROR(__xludf.DUMMYFUNCTION("""COMPUTED_VALUE"""),9535306364)</f>
        <v>9535306364</v>
      </c>
      <c r="E410" s="6" t="str">
        <f ca="1">IFERROR(__xludf.DUMMYFUNCTION("""COMPUTED_VALUE"""),"Reference")</f>
        <v>Reference</v>
      </c>
      <c r="F410" s="6" t="str">
        <f ca="1">IFERROR(__xludf.DUMMYFUNCTION("""COMPUTED_VALUE"""),"SAFe POPM")</f>
        <v>SAFe POPM</v>
      </c>
      <c r="G410" s="80">
        <f ca="1">IFERROR(__xludf.DUMMYFUNCTION("""COMPUTED_VALUE"""),44317)</f>
        <v>44317</v>
      </c>
      <c r="H410" s="6" t="str">
        <f ca="1">IFERROR(__xludf.DUMMYFUNCTION("""COMPUTED_VALUE"""),"Won")</f>
        <v>Won</v>
      </c>
      <c r="I410" s="6" t="str">
        <f ca="1">IFERROR(__xludf.DUMMYFUNCTION("""COMPUTED_VALUE"""),"5-6 June 2021")</f>
        <v>5-6 June 2021</v>
      </c>
      <c r="J410" s="6">
        <f ca="1">IFERROR(__xludf.DUMMYFUNCTION("""COMPUTED_VALUE"""),1)</f>
        <v>1</v>
      </c>
      <c r="K410" s="8">
        <f ca="1">IFERROR(__xludf.DUMMYFUNCTION("""COMPUTED_VALUE"""),45000)</f>
        <v>45000</v>
      </c>
      <c r="L410" s="8">
        <f ca="1">IFERROR(__xludf.DUMMYFUNCTION("""COMPUTED_VALUE"""),515.345854328905)</f>
        <v>515.34585432890503</v>
      </c>
      <c r="M410" s="96">
        <f ca="1">IFERROR(__xludf.DUMMYFUNCTION("""COMPUTED_VALUE"""),44337)</f>
        <v>44337</v>
      </c>
      <c r="N410" s="6" t="str">
        <f ca="1">IFERROR(__xludf.DUMMYFUNCTION("""COMPUTED_VALUE"""),"T10")</f>
        <v>T10</v>
      </c>
      <c r="O410" s="97">
        <f ca="1">IFERROR(__xludf.DUMMYFUNCTION("""COMPUTED_VALUE"""),44337)</f>
        <v>44337</v>
      </c>
      <c r="P410" s="6" t="str">
        <f ca="1">IFERROR(__xludf.DUMMYFUNCTION("""COMPUTED_VALUE"""),"CSTM_1Z4MVQF5TDY")</f>
        <v>CSTM_1Z4MVQF5TDY</v>
      </c>
      <c r="Q410" s="6" t="str">
        <f ca="1">IFERROR(__xludf.DUMMYFUNCTION("""COMPUTED_VALUE"""),"Reference by Lakshmi")</f>
        <v>Reference by Lakshmi</v>
      </c>
      <c r="R410" s="6" t="str">
        <f ca="1">IFERROR(__xludf.DUMMYFUNCTION("""COMPUTED_VALUE"""),"Done. Good feedback.")</f>
        <v>Done. Good feedback.</v>
      </c>
      <c r="S410" s="6" t="str">
        <f ca="1">IFERROR(__xludf.DUMMYFUNCTION("""COMPUTED_VALUE"""),"SAFe")</f>
        <v>SAFe</v>
      </c>
      <c r="T410" s="6"/>
      <c r="U410" s="6"/>
      <c r="V410" s="6"/>
      <c r="W410" s="6"/>
      <c r="X410" s="6"/>
      <c r="Y410" s="6"/>
      <c r="Z410" s="6"/>
      <c r="AA410" s="6"/>
      <c r="AB410" s="6"/>
      <c r="AC410" s="6"/>
      <c r="AD410" s="6"/>
      <c r="AE410" s="6"/>
      <c r="AF410" s="6"/>
      <c r="AG410" s="6"/>
      <c r="AH410" s="6"/>
      <c r="AI410" s="6"/>
      <c r="AJ410" s="6"/>
      <c r="AK410" s="6"/>
      <c r="AL410" s="6"/>
    </row>
    <row r="411" spans="1:38">
      <c r="A411" s="96">
        <f ca="1">IFERROR(__xludf.DUMMYFUNCTION("""COMPUTED_VALUE"""),44338)</f>
        <v>44338</v>
      </c>
      <c r="B411" s="6" t="str">
        <f ca="1">IFERROR(__xludf.DUMMYFUNCTION("""COMPUTED_VALUE"""),"Chittaranjan Das")</f>
        <v>Chittaranjan Das</v>
      </c>
      <c r="C411" s="6" t="str">
        <f ca="1">IFERROR(__xludf.DUMMYFUNCTION("""COMPUTED_VALUE"""),"chitta.ganesh@gmail.com")</f>
        <v>chitta.ganesh@gmail.com</v>
      </c>
      <c r="D411" s="6">
        <f ca="1">IFERROR(__xludf.DUMMYFUNCTION("""COMPUTED_VALUE"""),6381944298)</f>
        <v>6381944298</v>
      </c>
      <c r="E411" s="6" t="str">
        <f ca="1">IFERROR(__xludf.DUMMYFUNCTION("""COMPUTED_VALUE"""),"Reference")</f>
        <v>Reference</v>
      </c>
      <c r="F411" s="6" t="str">
        <f ca="1">IFERROR(__xludf.DUMMYFUNCTION("""COMPUTED_VALUE"""),"CSM")</f>
        <v>CSM</v>
      </c>
      <c r="G411" s="80">
        <f ca="1">IFERROR(__xludf.DUMMYFUNCTION("""COMPUTED_VALUE"""),44317)</f>
        <v>44317</v>
      </c>
      <c r="H411" s="6" t="str">
        <f ca="1">IFERROR(__xludf.DUMMYFUNCTION("""COMPUTED_VALUE"""),"Won")</f>
        <v>Won</v>
      </c>
      <c r="I411" s="6" t="str">
        <f ca="1">IFERROR(__xludf.DUMMYFUNCTION("""COMPUTED_VALUE"""),"29-30 May 2021")</f>
        <v>29-30 May 2021</v>
      </c>
      <c r="J411" s="6">
        <f ca="1">IFERROR(__xludf.DUMMYFUNCTION("""COMPUTED_VALUE"""),1)</f>
        <v>1</v>
      </c>
      <c r="K411" s="8">
        <f ca="1">IFERROR(__xludf.DUMMYFUNCTION("""COMPUTED_VALUE"""),19000)</f>
        <v>19000</v>
      </c>
      <c r="L411" s="8">
        <f ca="1">IFERROR(__xludf.DUMMYFUNCTION("""COMPUTED_VALUE"""),217.590471827759)</f>
        <v>217.59047182775899</v>
      </c>
      <c r="M411" s="96">
        <f ca="1">IFERROR(__xludf.DUMMYFUNCTION("""COMPUTED_VALUE"""),44338)</f>
        <v>44338</v>
      </c>
      <c r="N411" s="6" t="str">
        <f ca="1">IFERROR(__xludf.DUMMYFUNCTION("""COMPUTED_VALUE"""),"T10")</f>
        <v>T10</v>
      </c>
      <c r="O411" s="97">
        <f ca="1">IFERROR(__xludf.DUMMYFUNCTION("""COMPUTED_VALUE"""),44338)</f>
        <v>44338</v>
      </c>
      <c r="P411" s="6" t="str">
        <f ca="1">IFERROR(__xludf.DUMMYFUNCTION("""COMPUTED_VALUE"""),"CSTM_FUQ61GVTJ4J")</f>
        <v>CSTM_FUQ61GVTJ4J</v>
      </c>
      <c r="Q411" s="6" t="str">
        <f ca="1">IFERROR(__xludf.DUMMYFUNCTION("""COMPUTED_VALUE"""),"Reference by Keerti")</f>
        <v>Reference by Keerti</v>
      </c>
      <c r="R411" s="6" t="str">
        <f ca="1">IFERROR(__xludf.DUMMYFUNCTION("""COMPUTED_VALUE"""),"Pending")</f>
        <v>Pending</v>
      </c>
      <c r="S411" s="6" t="str">
        <f ca="1">IFERROR(__xludf.DUMMYFUNCTION("""COMPUTED_VALUE"""),"Category")</f>
        <v>Category</v>
      </c>
      <c r="T411" s="6"/>
      <c r="U411" s="6"/>
      <c r="V411" s="6"/>
      <c r="W411" s="6"/>
      <c r="X411" s="6"/>
      <c r="Y411" s="6"/>
      <c r="Z411" s="6"/>
      <c r="AA411" s="6"/>
      <c r="AB411" s="6"/>
      <c r="AC411" s="6"/>
      <c r="AD411" s="6"/>
      <c r="AE411" s="6"/>
      <c r="AF411" s="6"/>
      <c r="AG411" s="6"/>
      <c r="AH411" s="6"/>
      <c r="AI411" s="6"/>
      <c r="AJ411" s="6"/>
      <c r="AK411" s="6"/>
      <c r="AL411" s="6"/>
    </row>
    <row r="412" spans="1:38">
      <c r="A412" s="96">
        <f ca="1">IFERROR(__xludf.DUMMYFUNCTION("""COMPUTED_VALUE"""),44337)</f>
        <v>44337</v>
      </c>
      <c r="B412" s="6" t="str">
        <f ca="1">IFERROR(__xludf.DUMMYFUNCTION("""COMPUTED_VALUE"""),"Krunal Bhavsar")</f>
        <v>Krunal Bhavsar</v>
      </c>
      <c r="C412" s="6" t="str">
        <f ca="1">IFERROR(__xludf.DUMMYFUNCTION("""COMPUTED_VALUE"""),"krunalbhavsar@engineer.com")</f>
        <v>krunalbhavsar@engineer.com</v>
      </c>
      <c r="D412" s="6">
        <f ca="1">IFERROR(__xludf.DUMMYFUNCTION("""COMPUTED_VALUE"""),9737007007)</f>
        <v>9737007007</v>
      </c>
      <c r="E412" s="6" t="str">
        <f ca="1">IFERROR(__xludf.DUMMYFUNCTION("""COMPUTED_VALUE"""),"chat_initiated")</f>
        <v>chat_initiated</v>
      </c>
      <c r="F412" s="6" t="str">
        <f ca="1">IFERROR(__xludf.DUMMYFUNCTION("""COMPUTED_VALUE"""),"AZ-303 &amp; 304")</f>
        <v>AZ-303 &amp; 304</v>
      </c>
      <c r="G412" s="80">
        <f ca="1">IFERROR(__xludf.DUMMYFUNCTION("""COMPUTED_VALUE"""),44317)</f>
        <v>44317</v>
      </c>
      <c r="H412" s="6" t="str">
        <f ca="1">IFERROR(__xludf.DUMMYFUNCTION("""COMPUTED_VALUE"""),"Won")</f>
        <v>Won</v>
      </c>
      <c r="I412" s="6" t="str">
        <f ca="1">IFERROR(__xludf.DUMMYFUNCTION("""COMPUTED_VALUE"""),"May 2021")</f>
        <v>May 2021</v>
      </c>
      <c r="J412" s="6">
        <f ca="1">IFERROR(__xludf.DUMMYFUNCTION("""COMPUTED_VALUE"""),1)</f>
        <v>1</v>
      </c>
      <c r="K412" s="8">
        <f ca="1">IFERROR(__xludf.DUMMYFUNCTION("""COMPUTED_VALUE"""),43000)</f>
        <v>43000</v>
      </c>
      <c r="L412" s="8">
        <f ca="1">IFERROR(__xludf.DUMMYFUNCTION("""COMPUTED_VALUE"""),492.441594136509)</f>
        <v>492.44159413650902</v>
      </c>
      <c r="M412" s="96">
        <f ca="1">IFERROR(__xludf.DUMMYFUNCTION("""COMPUTED_VALUE"""),44337)</f>
        <v>44337</v>
      </c>
      <c r="N412" s="6" t="str">
        <f ca="1">IFERROR(__xludf.DUMMYFUNCTION("""COMPUTED_VALUE"""),"T10")</f>
        <v>T10</v>
      </c>
      <c r="O412" s="97">
        <f ca="1">IFERROR(__xludf.DUMMYFUNCTION("""COMPUTED_VALUE"""),44340)</f>
        <v>44340</v>
      </c>
      <c r="P412" s="6" t="str">
        <f ca="1">IFERROR(__xludf.DUMMYFUNCTION("""COMPUTED_VALUE"""),"CSTM_646MVVV5D92")</f>
        <v>CSTM_646MVVV5D92</v>
      </c>
      <c r="Q412" s="6"/>
      <c r="R412" s="6"/>
      <c r="S412" s="6" t="str">
        <f ca="1">IFERROR(__xludf.DUMMYFUNCTION("""COMPUTED_VALUE"""),"NonCategory")</f>
        <v>NonCategory</v>
      </c>
      <c r="T412" s="6"/>
      <c r="U412" s="6"/>
      <c r="V412" s="6"/>
      <c r="W412" s="6"/>
      <c r="X412" s="6"/>
      <c r="Y412" s="6"/>
      <c r="Z412" s="6"/>
      <c r="AA412" s="6"/>
      <c r="AB412" s="6"/>
      <c r="AC412" s="6"/>
      <c r="AD412" s="6"/>
      <c r="AE412" s="6"/>
      <c r="AF412" s="6"/>
      <c r="AG412" s="6"/>
      <c r="AH412" s="6"/>
      <c r="AI412" s="6"/>
      <c r="AJ412" s="6"/>
      <c r="AK412" s="6"/>
      <c r="AL412" s="6"/>
    </row>
    <row r="413" spans="1:38">
      <c r="A413" s="96">
        <f ca="1">IFERROR(__xludf.DUMMYFUNCTION("""COMPUTED_VALUE"""),44340)</f>
        <v>44340</v>
      </c>
      <c r="B413" s="6" t="str">
        <f ca="1">IFERROR(__xludf.DUMMYFUNCTION("""COMPUTED_VALUE"""),"Conner Pearce")</f>
        <v>Conner Pearce</v>
      </c>
      <c r="C413" s="6" t="str">
        <f ca="1">IFERROR(__xludf.DUMMYFUNCTION("""COMPUTED_VALUE"""),"conner.pearce@gauri.com")</f>
        <v>conner.pearce@gauri.com</v>
      </c>
      <c r="D413" s="6">
        <f ca="1">IFERROR(__xludf.DUMMYFUNCTION("""COMPUTED_VALUE"""),7876610579)</f>
        <v>7876610579</v>
      </c>
      <c r="E413" s="6" t="str">
        <f ca="1">IFERROR(__xludf.DUMMYFUNCTION("""COMPUTED_VALUE"""),"Reference")</f>
        <v>Reference</v>
      </c>
      <c r="F413" s="6" t="str">
        <f ca="1">IFERROR(__xludf.DUMMYFUNCTION("""COMPUTED_VALUE"""),"ITIL 4")</f>
        <v>ITIL 4</v>
      </c>
      <c r="G413" s="80">
        <f ca="1">IFERROR(__xludf.DUMMYFUNCTION("""COMPUTED_VALUE"""),44317)</f>
        <v>44317</v>
      </c>
      <c r="H413" s="6" t="str">
        <f ca="1">IFERROR(__xludf.DUMMYFUNCTION("""COMPUTED_VALUE"""),"Won")</f>
        <v>Won</v>
      </c>
      <c r="I413" s="6" t="str">
        <f ca="1">IFERROR(__xludf.DUMMYFUNCTION("""COMPUTED_VALUE"""),"May 2021")</f>
        <v>May 2021</v>
      </c>
      <c r="J413" s="6">
        <f ca="1">IFERROR(__xludf.DUMMYFUNCTION("""COMPUTED_VALUE"""),1)</f>
        <v>1</v>
      </c>
      <c r="K413" s="8">
        <f ca="1">IFERROR(__xludf.DUMMYFUNCTION("""COMPUTED_VALUE"""),15500)</f>
        <v>15500</v>
      </c>
      <c r="L413" s="8">
        <f ca="1">IFERROR(__xludf.DUMMYFUNCTION("""COMPUTED_VALUE"""),177.508016491067)</f>
        <v>177.508016491067</v>
      </c>
      <c r="M413" s="96">
        <f ca="1">IFERROR(__xludf.DUMMYFUNCTION("""COMPUTED_VALUE"""),44340)</f>
        <v>44340</v>
      </c>
      <c r="N413" s="6" t="str">
        <f ca="1">IFERROR(__xludf.DUMMYFUNCTION("""COMPUTED_VALUE"""),"T10")</f>
        <v>T10</v>
      </c>
      <c r="O413" s="97">
        <f ca="1">IFERROR(__xludf.DUMMYFUNCTION("""COMPUTED_VALUE"""),44340)</f>
        <v>44340</v>
      </c>
      <c r="P413" s="6" t="str">
        <f ca="1">IFERROR(__xludf.DUMMYFUNCTION("""COMPUTED_VALUE"""),"CSTM_4IC8C9PJO74")</f>
        <v>CSTM_4IC8C9PJO74</v>
      </c>
      <c r="Q413" s="6" t="str">
        <f ca="1">IFERROR(__xludf.DUMMYFUNCTION("""COMPUTED_VALUE"""),"Reference by Hitesh - hiteshmehra.81.hm@gmail.com")</f>
        <v>Reference by Hitesh - hiteshmehra.81.hm@gmail.com</v>
      </c>
      <c r="R413" s="6"/>
      <c r="S413" s="6" t="str">
        <f ca="1">IFERROR(__xludf.DUMMYFUNCTION("""COMPUTED_VALUE"""),"NonCategory")</f>
        <v>NonCategory</v>
      </c>
      <c r="T413" s="6"/>
      <c r="U413" s="6"/>
      <c r="V413" s="6"/>
      <c r="W413" s="6"/>
      <c r="X413" s="6"/>
      <c r="Y413" s="6"/>
      <c r="Z413" s="6"/>
      <c r="AA413" s="6"/>
      <c r="AB413" s="6"/>
      <c r="AC413" s="6"/>
      <c r="AD413" s="6"/>
      <c r="AE413" s="6"/>
      <c r="AF413" s="6"/>
      <c r="AG413" s="6"/>
      <c r="AH413" s="6"/>
      <c r="AI413" s="6"/>
      <c r="AJ413" s="6"/>
      <c r="AK413" s="6"/>
      <c r="AL413" s="6"/>
    </row>
    <row r="414" spans="1:38">
      <c r="A414" s="96">
        <f ca="1">IFERROR(__xludf.DUMMYFUNCTION("""COMPUTED_VALUE"""),44340)</f>
        <v>44340</v>
      </c>
      <c r="B414" s="6" t="str">
        <f ca="1">IFERROR(__xludf.DUMMYFUNCTION("""COMPUTED_VALUE"""),"Sandeep Samal")</f>
        <v>Sandeep Samal</v>
      </c>
      <c r="C414" s="6" t="str">
        <f ca="1">IFERROR(__xludf.DUMMYFUNCTION("""COMPUTED_VALUE"""),"sandeep.samal@outlook.com")</f>
        <v>sandeep.samal@outlook.com</v>
      </c>
      <c r="D414" s="6">
        <f ca="1">IFERROR(__xludf.DUMMYFUNCTION("""COMPUTED_VALUE"""),8956274732)</f>
        <v>8956274732</v>
      </c>
      <c r="E414" s="6" t="str">
        <f ca="1">IFERROR(__xludf.DUMMYFUNCTION("""COMPUTED_VALUE"""),"chat_initiated")</f>
        <v>chat_initiated</v>
      </c>
      <c r="F414" s="6" t="str">
        <f ca="1">IFERROR(__xludf.DUMMYFUNCTION("""COMPUTED_VALUE"""),"SAFe POPM")</f>
        <v>SAFe POPM</v>
      </c>
      <c r="G414" s="80">
        <f ca="1">IFERROR(__xludf.DUMMYFUNCTION("""COMPUTED_VALUE"""),44317)</f>
        <v>44317</v>
      </c>
      <c r="H414" s="6" t="str">
        <f ca="1">IFERROR(__xludf.DUMMYFUNCTION("""COMPUTED_VALUE"""),"Won")</f>
        <v>Won</v>
      </c>
      <c r="I414" s="6" t="str">
        <f ca="1">IFERROR(__xludf.DUMMYFUNCTION("""COMPUTED_VALUE"""),"5-6 June 2021")</f>
        <v>5-6 June 2021</v>
      </c>
      <c r="J414" s="6">
        <f ca="1">IFERROR(__xludf.DUMMYFUNCTION("""COMPUTED_VALUE"""),1)</f>
        <v>1</v>
      </c>
      <c r="K414" s="8">
        <f ca="1">IFERROR(__xludf.DUMMYFUNCTION("""COMPUTED_VALUE"""),45000)</f>
        <v>45000</v>
      </c>
      <c r="L414" s="8">
        <f ca="1">IFERROR(__xludf.DUMMYFUNCTION("""COMPUTED_VALUE"""),515.345854328905)</f>
        <v>515.34585432890503</v>
      </c>
      <c r="M414" s="96">
        <f ca="1">IFERROR(__xludf.DUMMYFUNCTION("""COMPUTED_VALUE"""),44340)</f>
        <v>44340</v>
      </c>
      <c r="N414" s="6" t="str">
        <f ca="1">IFERROR(__xludf.DUMMYFUNCTION("""COMPUTED_VALUE"""),"T10")</f>
        <v>T10</v>
      </c>
      <c r="O414" s="97">
        <f ca="1">IFERROR(__xludf.DUMMYFUNCTION("""COMPUTED_VALUE"""),44340)</f>
        <v>44340</v>
      </c>
      <c r="P414" s="6" t="str">
        <f ca="1">IFERROR(__xludf.DUMMYFUNCTION("""COMPUTED_VALUE"""),"CSTM_2U1CSZGQ10M")</f>
        <v>CSTM_2U1CSZGQ10M</v>
      </c>
      <c r="Q414" s="6"/>
      <c r="R414" s="6" t="str">
        <f ca="1">IFERROR(__xludf.DUMMYFUNCTION("""COMPUTED_VALUE"""),"Done. Good feedback.")</f>
        <v>Done. Good feedback.</v>
      </c>
      <c r="S414" s="6" t="str">
        <f ca="1">IFERROR(__xludf.DUMMYFUNCTION("""COMPUTED_VALUE"""),"SAFe")</f>
        <v>SAFe</v>
      </c>
      <c r="T414" s="6"/>
      <c r="U414" s="6"/>
      <c r="V414" s="6"/>
      <c r="W414" s="6"/>
      <c r="X414" s="6"/>
      <c r="Y414" s="6"/>
      <c r="Z414" s="6"/>
      <c r="AA414" s="6"/>
      <c r="AB414" s="6"/>
      <c r="AC414" s="6"/>
      <c r="AD414" s="6"/>
      <c r="AE414" s="6"/>
      <c r="AF414" s="6"/>
      <c r="AG414" s="6"/>
      <c r="AH414" s="6"/>
      <c r="AI414" s="6"/>
      <c r="AJ414" s="6"/>
      <c r="AK414" s="6"/>
      <c r="AL414" s="6"/>
    </row>
    <row r="415" spans="1:38">
      <c r="A415" s="96">
        <f ca="1">IFERROR(__xludf.DUMMYFUNCTION("""COMPUTED_VALUE"""),44342)</f>
        <v>44342</v>
      </c>
      <c r="B415" s="6" t="str">
        <f ca="1">IFERROR(__xludf.DUMMYFUNCTION("""COMPUTED_VALUE"""),"Ronak")</f>
        <v>Ronak</v>
      </c>
      <c r="C415" s="6" t="str">
        <f ca="1">IFERROR(__xludf.DUMMYFUNCTION("""COMPUTED_VALUE"""),"ronak.nadkarni@gmail.com")</f>
        <v>ronak.nadkarni@gmail.com</v>
      </c>
      <c r="D415" s="6">
        <f ca="1">IFERROR(__xludf.DUMMYFUNCTION("""COMPUTED_VALUE"""),9325524979)</f>
        <v>9325524979</v>
      </c>
      <c r="E415" s="6" t="str">
        <f ca="1">IFERROR(__xludf.DUMMYFUNCTION("""COMPUTED_VALUE"""),"Chat_triggered")</f>
        <v>Chat_triggered</v>
      </c>
      <c r="F415" s="6" t="str">
        <f ca="1">IFERROR(__xludf.DUMMYFUNCTION("""COMPUTED_VALUE"""),"PSM")</f>
        <v>PSM</v>
      </c>
      <c r="G415" s="80">
        <f ca="1">IFERROR(__xludf.DUMMYFUNCTION("""COMPUTED_VALUE"""),44317)</f>
        <v>44317</v>
      </c>
      <c r="H415" s="6" t="str">
        <f ca="1">IFERROR(__xludf.DUMMYFUNCTION("""COMPUTED_VALUE"""),"Won")</f>
        <v>Won</v>
      </c>
      <c r="I415" s="6" t="str">
        <f ca="1">IFERROR(__xludf.DUMMYFUNCTION("""COMPUTED_VALUE"""),"29-30 May 2021")</f>
        <v>29-30 May 2021</v>
      </c>
      <c r="J415" s="6">
        <f ca="1">IFERROR(__xludf.DUMMYFUNCTION("""COMPUTED_VALUE"""),1)</f>
        <v>1</v>
      </c>
      <c r="K415" s="8">
        <f ca="1">IFERROR(__xludf.DUMMYFUNCTION("""COMPUTED_VALUE"""),20500)</f>
        <v>20500</v>
      </c>
      <c r="L415" s="8">
        <f ca="1">IFERROR(__xludf.DUMMYFUNCTION("""COMPUTED_VALUE"""),234.768666972056)</f>
        <v>234.768666972056</v>
      </c>
      <c r="M415" s="96">
        <f ca="1">IFERROR(__xludf.DUMMYFUNCTION("""COMPUTED_VALUE"""),44342)</f>
        <v>44342</v>
      </c>
      <c r="N415" s="6" t="str">
        <f ca="1">IFERROR(__xludf.DUMMYFUNCTION("""COMPUTED_VALUE"""),"T10")</f>
        <v>T10</v>
      </c>
      <c r="O415" s="97">
        <f ca="1">IFERROR(__xludf.DUMMYFUNCTION("""COMPUTED_VALUE"""),44342)</f>
        <v>44342</v>
      </c>
      <c r="P415" s="6" t="str">
        <f ca="1">IFERROR(__xludf.DUMMYFUNCTION("""COMPUTED_VALUE"""),"CSTM_77DWEDKR1MZ")</f>
        <v>CSTM_77DWEDKR1MZ</v>
      </c>
      <c r="Q415" s="6"/>
      <c r="R415" s="6" t="str">
        <f ca="1">IFERROR(__xludf.DUMMYFUNCTION("""COMPUTED_VALUE"""),"Pending")</f>
        <v>Pending</v>
      </c>
      <c r="S415" s="6" t="str">
        <f ca="1">IFERROR(__xludf.DUMMYFUNCTION("""COMPUTED_VALUE"""),"Category")</f>
        <v>Category</v>
      </c>
      <c r="T415" s="6"/>
      <c r="U415" s="6"/>
      <c r="V415" s="6"/>
      <c r="W415" s="6"/>
      <c r="X415" s="6"/>
      <c r="Y415" s="6"/>
      <c r="Z415" s="6"/>
      <c r="AA415" s="6"/>
      <c r="AB415" s="6"/>
      <c r="AC415" s="6"/>
      <c r="AD415" s="6"/>
      <c r="AE415" s="6"/>
      <c r="AF415" s="6"/>
      <c r="AG415" s="6"/>
      <c r="AH415" s="6"/>
      <c r="AI415" s="6"/>
      <c r="AJ415" s="6"/>
      <c r="AK415" s="6"/>
      <c r="AL415" s="6"/>
    </row>
    <row r="416" spans="1:38">
      <c r="A416" s="96">
        <f ca="1">IFERROR(__xludf.DUMMYFUNCTION("""COMPUTED_VALUE"""),44344)</f>
        <v>44344</v>
      </c>
      <c r="B416" s="6" t="str">
        <f ca="1">IFERROR(__xludf.DUMMYFUNCTION("""COMPUTED_VALUE"""),"Lipishree")</f>
        <v>Lipishree</v>
      </c>
      <c r="C416" s="6" t="str">
        <f ca="1">IFERROR(__xludf.DUMMYFUNCTION("""COMPUTED_VALUE"""),"lipishree.jena@gmail.com")</f>
        <v>lipishree.jena@gmail.com</v>
      </c>
      <c r="D416" s="6">
        <f ca="1">IFERROR(__xludf.DUMMYFUNCTION("""COMPUTED_VALUE"""),9986466684)</f>
        <v>9986466684</v>
      </c>
      <c r="E416" s="6" t="str">
        <f ca="1">IFERROR(__xludf.DUMMYFUNCTION("""COMPUTED_VALUE"""),"course agenda")</f>
        <v>course agenda</v>
      </c>
      <c r="F416" s="6" t="str">
        <f ca="1">IFERROR(__xludf.DUMMYFUNCTION("""COMPUTED_VALUE"""),"CSM")</f>
        <v>CSM</v>
      </c>
      <c r="G416" s="80">
        <f ca="1">IFERROR(__xludf.DUMMYFUNCTION("""COMPUTED_VALUE"""),44317)</f>
        <v>44317</v>
      </c>
      <c r="H416" s="6" t="str">
        <f ca="1">IFERROR(__xludf.DUMMYFUNCTION("""COMPUTED_VALUE"""),"Won")</f>
        <v>Won</v>
      </c>
      <c r="I416" s="6" t="str">
        <f ca="1">IFERROR(__xludf.DUMMYFUNCTION("""COMPUTED_VALUE"""),"5-6 June 2021")</f>
        <v>5-6 June 2021</v>
      </c>
      <c r="J416" s="6">
        <f ca="1">IFERROR(__xludf.DUMMYFUNCTION("""COMPUTED_VALUE"""),1)</f>
        <v>1</v>
      </c>
      <c r="K416" s="8">
        <f ca="1">IFERROR(__xludf.DUMMYFUNCTION("""COMPUTED_VALUE"""),19000)</f>
        <v>19000</v>
      </c>
      <c r="L416" s="8">
        <f ca="1">IFERROR(__xludf.DUMMYFUNCTION("""COMPUTED_VALUE"""),217.590471827759)</f>
        <v>217.59047182775899</v>
      </c>
      <c r="M416" s="96">
        <f ca="1">IFERROR(__xludf.DUMMYFUNCTION("""COMPUTED_VALUE"""),44344)</f>
        <v>44344</v>
      </c>
      <c r="N416" s="6" t="str">
        <f ca="1">IFERROR(__xludf.DUMMYFUNCTION("""COMPUTED_VALUE"""),"T10")</f>
        <v>T10</v>
      </c>
      <c r="O416" s="97">
        <f ca="1">IFERROR(__xludf.DUMMYFUNCTION("""COMPUTED_VALUE"""),44344)</f>
        <v>44344</v>
      </c>
      <c r="P416" s="6" t="str">
        <f ca="1">IFERROR(__xludf.DUMMYFUNCTION("""COMPUTED_VALUE"""),"CSTM_37647RNFW36")</f>
        <v>CSTM_37647RNFW36</v>
      </c>
      <c r="Q416" s="6"/>
      <c r="R416" s="6" t="str">
        <f ca="1">IFERROR(__xludf.DUMMYFUNCTION("""COMPUTED_VALUE"""),"Done. Good feedback.")</f>
        <v>Done. Good feedback.</v>
      </c>
      <c r="S416" s="6" t="str">
        <f ca="1">IFERROR(__xludf.DUMMYFUNCTION("""COMPUTED_VALUE"""),"Category")</f>
        <v>Category</v>
      </c>
      <c r="T416" s="6"/>
      <c r="U416" s="6"/>
      <c r="V416" s="6"/>
      <c r="W416" s="6"/>
      <c r="X416" s="6"/>
      <c r="Y416" s="6"/>
      <c r="Z416" s="6"/>
      <c r="AA416" s="6"/>
      <c r="AB416" s="6"/>
      <c r="AC416" s="6"/>
      <c r="AD416" s="6"/>
      <c r="AE416" s="6"/>
      <c r="AF416" s="6"/>
      <c r="AG416" s="6"/>
      <c r="AH416" s="6"/>
      <c r="AI416" s="6"/>
      <c r="AJ416" s="6"/>
      <c r="AK416" s="6"/>
      <c r="AL416" s="6"/>
    </row>
    <row r="417" spans="1:38">
      <c r="A417" s="96">
        <f ca="1">IFERROR(__xludf.DUMMYFUNCTION("""COMPUTED_VALUE"""),44342)</f>
        <v>44342</v>
      </c>
      <c r="B417" s="6" t="str">
        <f ca="1">IFERROR(__xludf.DUMMYFUNCTION("""COMPUTED_VALUE"""),"Vinay")</f>
        <v>Vinay</v>
      </c>
      <c r="C417" s="6" t="str">
        <f ca="1">IFERROR(__xludf.DUMMYFUNCTION("""COMPUTED_VALUE"""),"eddievinay@gmail.com")</f>
        <v>eddievinay@gmail.com</v>
      </c>
      <c r="D417" s="6">
        <f ca="1">IFERROR(__xludf.DUMMYFUNCTION("""COMPUTED_VALUE"""),9986557674)</f>
        <v>9986557674</v>
      </c>
      <c r="E417" s="6" t="str">
        <f ca="1">IFERROR(__xludf.DUMMYFUNCTION("""COMPUTED_VALUE"""),"Chat_triggered")</f>
        <v>Chat_triggered</v>
      </c>
      <c r="F417" s="6" t="str">
        <f ca="1">IFERROR(__xludf.DUMMYFUNCTION("""COMPUTED_VALUE"""),"PMI-ACP")</f>
        <v>PMI-ACP</v>
      </c>
      <c r="G417" s="80">
        <f ca="1">IFERROR(__xludf.DUMMYFUNCTION("""COMPUTED_VALUE"""),44317)</f>
        <v>44317</v>
      </c>
      <c r="H417" s="6" t="str">
        <f ca="1">IFERROR(__xludf.DUMMYFUNCTION("""COMPUTED_VALUE"""),"Opportunity")</f>
        <v>Opportunity</v>
      </c>
      <c r="I417" s="6" t="str">
        <f ca="1">IFERROR(__xludf.DUMMYFUNCTION("""COMPUTED_VALUE"""),"OSL")</f>
        <v>OSL</v>
      </c>
      <c r="J417" s="6">
        <f ca="1">IFERROR(__xludf.DUMMYFUNCTION("""COMPUTED_VALUE"""),1)</f>
        <v>1</v>
      </c>
      <c r="K417" s="8">
        <f ca="1">IFERROR(__xludf.DUMMYFUNCTION("""COMPUTED_VALUE"""),8000)</f>
        <v>8000</v>
      </c>
      <c r="L417" s="8">
        <f ca="1">IFERROR(__xludf.DUMMYFUNCTION("""COMPUTED_VALUE"""),91.6170407695831)</f>
        <v>91.617040769583099</v>
      </c>
      <c r="M417" s="96">
        <f ca="1">IFERROR(__xludf.DUMMYFUNCTION("""COMPUTED_VALUE"""),44342)</f>
        <v>44342</v>
      </c>
      <c r="N417" s="6"/>
      <c r="O417" s="97"/>
      <c r="P417" s="6"/>
      <c r="Q417" s="6"/>
      <c r="R417" s="6"/>
      <c r="S417" s="6" t="str">
        <f ca="1">IFERROR(__xludf.DUMMYFUNCTION("""COMPUTED_VALUE"""),"Category")</f>
        <v>Category</v>
      </c>
      <c r="T417" s="6"/>
      <c r="U417" s="6"/>
      <c r="V417" s="6"/>
      <c r="W417" s="6"/>
      <c r="X417" s="6"/>
      <c r="Y417" s="6"/>
      <c r="Z417" s="6"/>
      <c r="AA417" s="6"/>
      <c r="AB417" s="6"/>
      <c r="AC417" s="6"/>
      <c r="AD417" s="6"/>
      <c r="AE417" s="6"/>
      <c r="AF417" s="6"/>
      <c r="AG417" s="6"/>
      <c r="AH417" s="6"/>
      <c r="AI417" s="6"/>
      <c r="AJ417" s="6"/>
      <c r="AK417" s="6"/>
      <c r="AL417" s="6"/>
    </row>
    <row r="418" spans="1:38">
      <c r="A418" s="96">
        <f ca="1">IFERROR(__xludf.DUMMYFUNCTION("""COMPUTED_VALUE"""),44345)</f>
        <v>44345</v>
      </c>
      <c r="B418" s="6" t="str">
        <f ca="1">IFERROR(__xludf.DUMMYFUNCTION("""COMPUTED_VALUE"""),"Leena Kamat")</f>
        <v>Leena Kamat</v>
      </c>
      <c r="C418" s="6" t="str">
        <f ca="1">IFERROR(__xludf.DUMMYFUNCTION("""COMPUTED_VALUE"""),"leenaambedkar@gmail.com")</f>
        <v>leenaambedkar@gmail.com</v>
      </c>
      <c r="D418" s="6">
        <f ca="1">IFERROR(__xludf.DUMMYFUNCTION("""COMPUTED_VALUE"""),9881122879)</f>
        <v>9881122879</v>
      </c>
      <c r="E418" s="6" t="str">
        <f ca="1">IFERROR(__xludf.DUMMYFUNCTION("""COMPUTED_VALUE"""),"Reference")</f>
        <v>Reference</v>
      </c>
      <c r="F418" s="6" t="str">
        <f ca="1">IFERROR(__xludf.DUMMYFUNCTION("""COMPUTED_VALUE"""),"PSM")</f>
        <v>PSM</v>
      </c>
      <c r="G418" s="80">
        <f ca="1">IFERROR(__xludf.DUMMYFUNCTION("""COMPUTED_VALUE"""),44317)</f>
        <v>44317</v>
      </c>
      <c r="H418" s="6" t="str">
        <f ca="1">IFERROR(__xludf.DUMMYFUNCTION("""COMPUTED_VALUE"""),"Won")</f>
        <v>Won</v>
      </c>
      <c r="I418" s="6" t="str">
        <f ca="1">IFERROR(__xludf.DUMMYFUNCTION("""COMPUTED_VALUE"""),"5-6 June 2021")</f>
        <v>5-6 June 2021</v>
      </c>
      <c r="J418" s="6">
        <f ca="1">IFERROR(__xludf.DUMMYFUNCTION("""COMPUTED_VALUE"""),1)</f>
        <v>1</v>
      </c>
      <c r="K418" s="8">
        <f ca="1">IFERROR(__xludf.DUMMYFUNCTION("""COMPUTED_VALUE"""),20000)</f>
        <v>20000</v>
      </c>
      <c r="L418" s="8">
        <f ca="1">IFERROR(__xludf.DUMMYFUNCTION("""COMPUTED_VALUE"""),229.042601923957)</f>
        <v>229.04260192395699</v>
      </c>
      <c r="M418" s="96">
        <f ca="1">IFERROR(__xludf.DUMMYFUNCTION("""COMPUTED_VALUE"""),44345)</f>
        <v>44345</v>
      </c>
      <c r="N418" s="6" t="str">
        <f ca="1">IFERROR(__xludf.DUMMYFUNCTION("""COMPUTED_VALUE"""),"T10")</f>
        <v>T10</v>
      </c>
      <c r="O418" s="97">
        <f ca="1">IFERROR(__xludf.DUMMYFUNCTION("""COMPUTED_VALUE"""),44345)</f>
        <v>44345</v>
      </c>
      <c r="P418" s="6" t="str">
        <f ca="1">IFERROR(__xludf.DUMMYFUNCTION("""COMPUTED_VALUE"""),"CSTM_6H2TMA237O5")</f>
        <v>CSTM_6H2TMA237O5</v>
      </c>
      <c r="Q418" s="6"/>
      <c r="R418" s="6" t="str">
        <f ca="1">IFERROR(__xludf.DUMMYFUNCTION("""COMPUTED_VALUE"""),"Done. Good feedback.")</f>
        <v>Done. Good feedback.</v>
      </c>
      <c r="S418" s="6" t="str">
        <f ca="1">IFERROR(__xludf.DUMMYFUNCTION("""COMPUTED_VALUE"""),"Category")</f>
        <v>Category</v>
      </c>
      <c r="T418" s="6"/>
      <c r="U418" s="6"/>
      <c r="V418" s="6"/>
      <c r="W418" s="6"/>
      <c r="X418" s="6"/>
      <c r="Y418" s="6"/>
      <c r="Z418" s="6"/>
      <c r="AA418" s="6"/>
      <c r="AB418" s="6"/>
      <c r="AC418" s="6"/>
      <c r="AD418" s="6"/>
      <c r="AE418" s="6"/>
      <c r="AF418" s="6"/>
      <c r="AG418" s="6"/>
      <c r="AH418" s="6"/>
      <c r="AI418" s="6"/>
      <c r="AJ418" s="6"/>
      <c r="AK418" s="6"/>
      <c r="AL418" s="6"/>
    </row>
    <row r="419" spans="1:38">
      <c r="A419" s="96">
        <f ca="1">IFERROR(__xludf.DUMMYFUNCTION("""COMPUTED_VALUE"""),44345)</f>
        <v>44345</v>
      </c>
      <c r="B419" s="6" t="str">
        <f ca="1">IFERROR(__xludf.DUMMYFUNCTION("""COMPUTED_VALUE"""),"Amit Nasta")</f>
        <v>Amit Nasta</v>
      </c>
      <c r="C419" s="6" t="str">
        <f ca="1">IFERROR(__xludf.DUMMYFUNCTION("""COMPUTED_VALUE"""),"amitvnasta@gmail.com")</f>
        <v>amitvnasta@gmail.com</v>
      </c>
      <c r="D419" s="6">
        <f ca="1">IFERROR(__xludf.DUMMYFUNCTION("""COMPUTED_VALUE"""),8971524000)</f>
        <v>8971524000</v>
      </c>
      <c r="E419" s="6" t="str">
        <f ca="1">IFERROR(__xludf.DUMMYFUNCTION("""COMPUTED_VALUE"""),"chat_initiated")</f>
        <v>chat_initiated</v>
      </c>
      <c r="F419" s="6" t="str">
        <f ca="1">IFERROR(__xludf.DUMMYFUNCTION("""COMPUTED_VALUE"""),"PMP")</f>
        <v>PMP</v>
      </c>
      <c r="G419" s="80">
        <f ca="1">IFERROR(__xludf.DUMMYFUNCTION("""COMPUTED_VALUE"""),44317)</f>
        <v>44317</v>
      </c>
      <c r="H419" s="6" t="str">
        <f ca="1">IFERROR(__xludf.DUMMYFUNCTION("""COMPUTED_VALUE"""),"Won")</f>
        <v>Won</v>
      </c>
      <c r="I419" s="6" t="str">
        <f ca="1">IFERROR(__xludf.DUMMYFUNCTION("""COMPUTED_VALUE"""),"June 2021")</f>
        <v>June 2021</v>
      </c>
      <c r="J419" s="6">
        <f ca="1">IFERROR(__xludf.DUMMYFUNCTION("""COMPUTED_VALUE"""),1)</f>
        <v>1</v>
      </c>
      <c r="K419" s="8">
        <f ca="1">IFERROR(__xludf.DUMMYFUNCTION("""COMPUTED_VALUE"""),12000)</f>
        <v>12000</v>
      </c>
      <c r="L419" s="8">
        <f ca="1">IFERROR(__xludf.DUMMYFUNCTION("""COMPUTED_VALUE"""),137.425561154374)</f>
        <v>137.42556115437401</v>
      </c>
      <c r="M419" s="96">
        <f ca="1">IFERROR(__xludf.DUMMYFUNCTION("""COMPUTED_VALUE"""),44345)</f>
        <v>44345</v>
      </c>
      <c r="N419" s="6" t="str">
        <f ca="1">IFERROR(__xludf.DUMMYFUNCTION("""COMPUTED_VALUE"""),"T10")</f>
        <v>T10</v>
      </c>
      <c r="O419" s="97">
        <f ca="1">IFERROR(__xludf.DUMMYFUNCTION("""COMPUTED_VALUE"""),44345)</f>
        <v>44345</v>
      </c>
      <c r="P419" s="6" t="str">
        <f ca="1">IFERROR(__xludf.DUMMYFUNCTION("""COMPUTED_VALUE"""),"CSTM_JJSWN6ZOC7D")</f>
        <v>CSTM_JJSWN6ZOC7D</v>
      </c>
      <c r="Q419" s="6"/>
      <c r="R419" s="6"/>
      <c r="S419" s="6" t="str">
        <f ca="1">IFERROR(__xludf.DUMMYFUNCTION("""COMPUTED_VALUE"""),"NonCategory")</f>
        <v>NonCategory</v>
      </c>
      <c r="T419" s="6"/>
      <c r="U419" s="6"/>
      <c r="V419" s="6"/>
      <c r="W419" s="6"/>
      <c r="X419" s="6"/>
      <c r="Y419" s="6"/>
      <c r="Z419" s="6"/>
      <c r="AA419" s="6"/>
      <c r="AB419" s="6"/>
      <c r="AC419" s="6"/>
      <c r="AD419" s="6"/>
      <c r="AE419" s="6"/>
      <c r="AF419" s="6"/>
      <c r="AG419" s="6"/>
      <c r="AH419" s="6"/>
      <c r="AI419" s="6"/>
      <c r="AJ419" s="6"/>
      <c r="AK419" s="6"/>
      <c r="AL419" s="6"/>
    </row>
    <row r="420" spans="1:38">
      <c r="A420" s="96">
        <f ca="1">IFERROR(__xludf.DUMMYFUNCTION("""COMPUTED_VALUE"""),44345)</f>
        <v>44345</v>
      </c>
      <c r="B420" s="6" t="str">
        <f ca="1">IFERROR(__xludf.DUMMYFUNCTION("""COMPUTED_VALUE"""),"Aditi Jain")</f>
        <v>Aditi Jain</v>
      </c>
      <c r="C420" s="6" t="str">
        <f ca="1">IFERROR(__xludf.DUMMYFUNCTION("""COMPUTED_VALUE"""),"adi200804@gmail.com")</f>
        <v>adi200804@gmail.com</v>
      </c>
      <c r="D420" s="6">
        <f ca="1">IFERROR(__xludf.DUMMYFUNCTION("""COMPUTED_VALUE"""),9529239153)</f>
        <v>9529239153</v>
      </c>
      <c r="E420" s="6" t="str">
        <f ca="1">IFERROR(__xludf.DUMMYFUNCTION("""COMPUTED_VALUE"""),"Chat_triggered")</f>
        <v>Chat_triggered</v>
      </c>
      <c r="F420" s="6" t="str">
        <f ca="1">IFERROR(__xludf.DUMMYFUNCTION("""COMPUTED_VALUE"""),"SAFe Agile")</f>
        <v>SAFe Agile</v>
      </c>
      <c r="G420" s="80">
        <f ca="1">IFERROR(__xludf.DUMMYFUNCTION("""COMPUTED_VALUE"""),44317)</f>
        <v>44317</v>
      </c>
      <c r="H420" s="6" t="str">
        <f ca="1">IFERROR(__xludf.DUMMYFUNCTION("""COMPUTED_VALUE"""),"Won")</f>
        <v>Won</v>
      </c>
      <c r="I420" s="6" t="str">
        <f ca="1">IFERROR(__xludf.DUMMYFUNCTION("""COMPUTED_VALUE"""),"12-13 June 2021")</f>
        <v>12-13 June 2021</v>
      </c>
      <c r="J420" s="6">
        <f ca="1">IFERROR(__xludf.DUMMYFUNCTION("""COMPUTED_VALUE"""),1)</f>
        <v>1</v>
      </c>
      <c r="K420" s="8">
        <f ca="1">IFERROR(__xludf.DUMMYFUNCTION("""COMPUTED_VALUE"""),45000)</f>
        <v>45000</v>
      </c>
      <c r="L420" s="8">
        <f ca="1">IFERROR(__xludf.DUMMYFUNCTION("""COMPUTED_VALUE"""),515.345854328905)</f>
        <v>515.34585432890503</v>
      </c>
      <c r="M420" s="96">
        <f ca="1">IFERROR(__xludf.DUMMYFUNCTION("""COMPUTED_VALUE"""),44345)</f>
        <v>44345</v>
      </c>
      <c r="N420" s="6" t="str">
        <f ca="1">IFERROR(__xludf.DUMMYFUNCTION("""COMPUTED_VALUE"""),"T10")</f>
        <v>T10</v>
      </c>
      <c r="O420" s="97">
        <f ca="1">IFERROR(__xludf.DUMMYFUNCTION("""COMPUTED_VALUE"""),44345)</f>
        <v>44345</v>
      </c>
      <c r="P420" s="6" t="str">
        <f ca="1">IFERROR(__xludf.DUMMYFUNCTION("""COMPUTED_VALUE"""),"CSTM_D83EWKD1G1I")</f>
        <v>CSTM_D83EWKD1G1I</v>
      </c>
      <c r="Q420" s="6"/>
      <c r="R420" s="6" t="str">
        <f ca="1">IFERROR(__xludf.DUMMYFUNCTION("""COMPUTED_VALUE"""),"Done. Good feedback.")</f>
        <v>Done. Good feedback.</v>
      </c>
      <c r="S420" s="6" t="str">
        <f ca="1">IFERROR(__xludf.DUMMYFUNCTION("""COMPUTED_VALUE"""),"SAFe")</f>
        <v>SAFe</v>
      </c>
      <c r="T420" s="6"/>
      <c r="U420" s="6"/>
      <c r="V420" s="6"/>
      <c r="W420" s="6"/>
      <c r="X420" s="6"/>
      <c r="Y420" s="6"/>
      <c r="Z420" s="6"/>
      <c r="AA420" s="6"/>
      <c r="AB420" s="6"/>
      <c r="AC420" s="6"/>
      <c r="AD420" s="6"/>
      <c r="AE420" s="6"/>
      <c r="AF420" s="6"/>
      <c r="AG420" s="6"/>
      <c r="AH420" s="6"/>
      <c r="AI420" s="6"/>
      <c r="AJ420" s="6"/>
      <c r="AK420" s="6"/>
      <c r="AL420" s="6"/>
    </row>
    <row r="421" spans="1:38">
      <c r="A421" s="96">
        <f ca="1">IFERROR(__xludf.DUMMYFUNCTION("""COMPUTED_VALUE"""),44345)</f>
        <v>44345</v>
      </c>
      <c r="B421" s="6" t="str">
        <f ca="1">IFERROR(__xludf.DUMMYFUNCTION("""COMPUTED_VALUE"""),"Lakshmi Jain")</f>
        <v>Lakshmi Jain</v>
      </c>
      <c r="C421" s="6" t="str">
        <f ca="1">IFERROR(__xludf.DUMMYFUNCTION("""COMPUTED_VALUE"""),"lakshmijain.lj@gmail.com")</f>
        <v>lakshmijain.lj@gmail.com</v>
      </c>
      <c r="D421" s="6">
        <f ca="1">IFERROR(__xludf.DUMMYFUNCTION("""COMPUTED_VALUE"""),9785229936)</f>
        <v>9785229936</v>
      </c>
      <c r="E421" s="6" t="str">
        <f ca="1">IFERROR(__xludf.DUMMYFUNCTION("""COMPUTED_VALUE"""),"Reference")</f>
        <v>Reference</v>
      </c>
      <c r="F421" s="6" t="str">
        <f ca="1">IFERROR(__xludf.DUMMYFUNCTION("""COMPUTED_VALUE"""),"SAFe Agile")</f>
        <v>SAFe Agile</v>
      </c>
      <c r="G421" s="80">
        <f ca="1">IFERROR(__xludf.DUMMYFUNCTION("""COMPUTED_VALUE"""),44317)</f>
        <v>44317</v>
      </c>
      <c r="H421" s="6" t="str">
        <f ca="1">IFERROR(__xludf.DUMMYFUNCTION("""COMPUTED_VALUE"""),"Won")</f>
        <v>Won</v>
      </c>
      <c r="I421" s="6" t="str">
        <f ca="1">IFERROR(__xludf.DUMMYFUNCTION("""COMPUTED_VALUE"""),"12-13 June 2021")</f>
        <v>12-13 June 2021</v>
      </c>
      <c r="J421" s="6">
        <f ca="1">IFERROR(__xludf.DUMMYFUNCTION("""COMPUTED_VALUE"""),1)</f>
        <v>1</v>
      </c>
      <c r="K421" s="8">
        <f ca="1">IFERROR(__xludf.DUMMYFUNCTION("""COMPUTED_VALUE"""),45000)</f>
        <v>45000</v>
      </c>
      <c r="L421" s="8">
        <f ca="1">IFERROR(__xludf.DUMMYFUNCTION("""COMPUTED_VALUE"""),515.345854328905)</f>
        <v>515.34585432890503</v>
      </c>
      <c r="M421" s="96">
        <f ca="1">IFERROR(__xludf.DUMMYFUNCTION("""COMPUTED_VALUE"""),44345)</f>
        <v>44345</v>
      </c>
      <c r="N421" s="6" t="str">
        <f ca="1">IFERROR(__xludf.DUMMYFUNCTION("""COMPUTED_VALUE"""),"T10")</f>
        <v>T10</v>
      </c>
      <c r="O421" s="97">
        <f ca="1">IFERROR(__xludf.DUMMYFUNCTION("""COMPUTED_VALUE"""),44345)</f>
        <v>44345</v>
      </c>
      <c r="P421" s="6" t="str">
        <f ca="1">IFERROR(__xludf.DUMMYFUNCTION("""COMPUTED_VALUE"""),"CSTM_AGDV9Q646YW")</f>
        <v>CSTM_AGDV9Q646YW</v>
      </c>
      <c r="Q421" s="6"/>
      <c r="R421" s="6" t="str">
        <f ca="1">IFERROR(__xludf.DUMMYFUNCTION("""COMPUTED_VALUE"""),"Pending")</f>
        <v>Pending</v>
      </c>
      <c r="S421" s="6" t="str">
        <f ca="1">IFERROR(__xludf.DUMMYFUNCTION("""COMPUTED_VALUE"""),"SAFe")</f>
        <v>SAFe</v>
      </c>
      <c r="T421" s="6"/>
      <c r="U421" s="6"/>
      <c r="V421" s="6"/>
      <c r="W421" s="6"/>
      <c r="X421" s="6"/>
      <c r="Y421" s="6"/>
      <c r="Z421" s="6"/>
      <c r="AA421" s="6"/>
      <c r="AB421" s="6"/>
      <c r="AC421" s="6"/>
      <c r="AD421" s="6"/>
      <c r="AE421" s="6"/>
      <c r="AF421" s="6"/>
      <c r="AG421" s="6"/>
      <c r="AH421" s="6"/>
      <c r="AI421" s="6"/>
      <c r="AJ421" s="6"/>
      <c r="AK421" s="6"/>
      <c r="AL421" s="6"/>
    </row>
    <row r="422" spans="1:38">
      <c r="A422" s="96">
        <f ca="1">IFERROR(__xludf.DUMMYFUNCTION("""COMPUTED_VALUE"""),44236)</f>
        <v>44236</v>
      </c>
      <c r="B422" s="6" t="str">
        <f ca="1">IFERROR(__xludf.DUMMYFUNCTION("""COMPUTED_VALUE"""),"Senthil Kumar VG")</f>
        <v>Senthil Kumar VG</v>
      </c>
      <c r="C422" s="6" t="str">
        <f ca="1">IFERROR(__xludf.DUMMYFUNCTION("""COMPUTED_VALUE"""),"senthilkumarvg@gmail.com")</f>
        <v>senthilkumarvg@gmail.com</v>
      </c>
      <c r="D422" s="6">
        <f ca="1">IFERROR(__xludf.DUMMYFUNCTION("""COMPUTED_VALUE"""),9677137990)</f>
        <v>9677137990</v>
      </c>
      <c r="E422" s="6" t="str">
        <f ca="1">IFERROR(__xludf.DUMMYFUNCTION("""COMPUTED_VALUE"""),"Query box")</f>
        <v>Query box</v>
      </c>
      <c r="F422" s="6" t="str">
        <f ca="1">IFERROR(__xludf.DUMMYFUNCTION("""COMPUTED_VALUE"""),"CSM")</f>
        <v>CSM</v>
      </c>
      <c r="G422" s="80">
        <f ca="1">IFERROR(__xludf.DUMMYFUNCTION("""COMPUTED_VALUE"""),44348)</f>
        <v>44348</v>
      </c>
      <c r="H422" s="6" t="str">
        <f ca="1">IFERROR(__xludf.DUMMYFUNCTION("""COMPUTED_VALUE"""),"Won")</f>
        <v>Won</v>
      </c>
      <c r="I422" s="6" t="str">
        <f ca="1">IFERROR(__xludf.DUMMYFUNCTION("""COMPUTED_VALUE"""),"26-27 June 2021")</f>
        <v>26-27 June 2021</v>
      </c>
      <c r="J422" s="6">
        <f ca="1">IFERROR(__xludf.DUMMYFUNCTION("""COMPUTED_VALUE"""),1)</f>
        <v>1</v>
      </c>
      <c r="K422" s="8">
        <f ca="1">IFERROR(__xludf.DUMMYFUNCTION("""COMPUTED_VALUE"""),20000)</f>
        <v>20000</v>
      </c>
      <c r="L422" s="8">
        <f ca="1">IFERROR(__xludf.DUMMYFUNCTION("""COMPUTED_VALUE"""),229.042601923957)</f>
        <v>229.04260192395699</v>
      </c>
      <c r="M422" s="96">
        <f ca="1">IFERROR(__xludf.DUMMYFUNCTION("""COMPUTED_VALUE"""),44348)</f>
        <v>44348</v>
      </c>
      <c r="N422" s="6" t="str">
        <f ca="1">IFERROR(__xludf.DUMMYFUNCTION("""COMPUTED_VALUE"""),"F10")</f>
        <v>F10</v>
      </c>
      <c r="O422" s="97">
        <f ca="1">IFERROR(__xludf.DUMMYFUNCTION("""COMPUTED_VALUE"""),44348)</f>
        <v>44348</v>
      </c>
      <c r="P422" s="6" t="str">
        <f ca="1">IFERROR(__xludf.DUMMYFUNCTION("""COMPUTED_VALUE"""),"CSTM_H2X3T0XTS3L")</f>
        <v>CSTM_H2X3T0XTS3L</v>
      </c>
      <c r="Q422" s="6"/>
      <c r="R422" s="6" t="str">
        <f ca="1">IFERROR(__xludf.DUMMYFUNCTION("""COMPUTED_VALUE"""),"Done. Good feedback.")</f>
        <v>Done. Good feedback.</v>
      </c>
      <c r="S422" s="6" t="str">
        <f ca="1">IFERROR(__xludf.DUMMYFUNCTION("""COMPUTED_VALUE"""),"Category")</f>
        <v>Category</v>
      </c>
      <c r="T422" s="6"/>
      <c r="U422" s="6"/>
      <c r="V422" s="6"/>
      <c r="W422" s="6"/>
      <c r="X422" s="6"/>
      <c r="Y422" s="6"/>
      <c r="Z422" s="6"/>
      <c r="AA422" s="6"/>
      <c r="AB422" s="6"/>
      <c r="AC422" s="6"/>
      <c r="AD422" s="6"/>
      <c r="AE422" s="6"/>
      <c r="AF422" s="6"/>
      <c r="AG422" s="6"/>
      <c r="AH422" s="6"/>
      <c r="AI422" s="6"/>
      <c r="AJ422" s="6"/>
      <c r="AK422" s="6"/>
      <c r="AL422" s="6"/>
    </row>
    <row r="423" spans="1:38">
      <c r="A423" s="96">
        <f ca="1">IFERROR(__xludf.DUMMYFUNCTION("""COMPUTED_VALUE"""),44348)</f>
        <v>44348</v>
      </c>
      <c r="B423" s="6" t="str">
        <f ca="1">IFERROR(__xludf.DUMMYFUNCTION("""COMPUTED_VALUE"""),"Sarayu CV")</f>
        <v>Sarayu CV</v>
      </c>
      <c r="C423" s="6" t="str">
        <f ca="1">IFERROR(__xludf.DUMMYFUNCTION("""COMPUTED_VALUE"""),"sarayu.cv@gmail.com")</f>
        <v>sarayu.cv@gmail.com</v>
      </c>
      <c r="D423" s="6">
        <f ca="1">IFERROR(__xludf.DUMMYFUNCTION("""COMPUTED_VALUE"""),9840044054)</f>
        <v>9840044054</v>
      </c>
      <c r="E423" s="6" t="str">
        <f ca="1">IFERROR(__xludf.DUMMYFUNCTION("""COMPUTED_VALUE"""),"Reference")</f>
        <v>Reference</v>
      </c>
      <c r="F423" s="6" t="str">
        <f ca="1">IFERROR(__xludf.DUMMYFUNCTION("""COMPUTED_VALUE"""),"Prince2 F&amp;P")</f>
        <v>Prince2 F&amp;P</v>
      </c>
      <c r="G423" s="80">
        <f ca="1">IFERROR(__xludf.DUMMYFUNCTION("""COMPUTED_VALUE"""),44348)</f>
        <v>44348</v>
      </c>
      <c r="H423" s="6" t="str">
        <f ca="1">IFERROR(__xludf.DUMMYFUNCTION("""COMPUTED_VALUE"""),"Won")</f>
        <v>Won</v>
      </c>
      <c r="I423" s="6" t="str">
        <f ca="1">IFERROR(__xludf.DUMMYFUNCTION("""COMPUTED_VALUE"""),"June 2021")</f>
        <v>June 2021</v>
      </c>
      <c r="J423" s="6">
        <f ca="1">IFERROR(__xludf.DUMMYFUNCTION("""COMPUTED_VALUE"""),1)</f>
        <v>1</v>
      </c>
      <c r="K423" s="8">
        <f ca="1">IFERROR(__xludf.DUMMYFUNCTION("""COMPUTED_VALUE"""),36000)</f>
        <v>36000</v>
      </c>
      <c r="L423" s="8">
        <f ca="1">IFERROR(__xludf.DUMMYFUNCTION("""COMPUTED_VALUE"""),412.276683463124)</f>
        <v>412.27668346312402</v>
      </c>
      <c r="M423" s="96">
        <f ca="1">IFERROR(__xludf.DUMMYFUNCTION("""COMPUTED_VALUE"""),44348)</f>
        <v>44348</v>
      </c>
      <c r="N423" s="6" t="str">
        <f ca="1">IFERROR(__xludf.DUMMYFUNCTION("""COMPUTED_VALUE"""),"F10")</f>
        <v>F10</v>
      </c>
      <c r="O423" s="97">
        <f ca="1">IFERROR(__xludf.DUMMYFUNCTION("""COMPUTED_VALUE"""),44348)</f>
        <v>44348</v>
      </c>
      <c r="P423" s="6" t="str">
        <f ca="1">IFERROR(__xludf.DUMMYFUNCTION("""COMPUTED_VALUE"""),"CSTM_7KGPNM8ZC0Q")</f>
        <v>CSTM_7KGPNM8ZC0Q</v>
      </c>
      <c r="Q423" s="6" t="str">
        <f ca="1">IFERROR(__xludf.DUMMYFUNCTION("""COMPUTED_VALUE"""),"Keerti")</f>
        <v>Keerti</v>
      </c>
      <c r="R423" s="6" t="str">
        <f ca="1">IFERROR(__xludf.DUMMYFUNCTION("""COMPUTED_VALUE"""),"Pending")</f>
        <v>Pending</v>
      </c>
      <c r="S423" s="6" t="str">
        <f ca="1">IFERROR(__xludf.DUMMYFUNCTION("""COMPUTED_VALUE"""),"NonCategory")</f>
        <v>NonCategory</v>
      </c>
      <c r="T423" s="6"/>
      <c r="U423" s="6"/>
      <c r="V423" s="6"/>
      <c r="W423" s="6"/>
      <c r="X423" s="6"/>
      <c r="Y423" s="6"/>
      <c r="Z423" s="6"/>
      <c r="AA423" s="6"/>
      <c r="AB423" s="6"/>
      <c r="AC423" s="6"/>
      <c r="AD423" s="6"/>
      <c r="AE423" s="6"/>
      <c r="AF423" s="6"/>
      <c r="AG423" s="6"/>
      <c r="AH423" s="6"/>
      <c r="AI423" s="6"/>
      <c r="AJ423" s="6"/>
      <c r="AK423" s="6"/>
      <c r="AL423" s="6"/>
    </row>
    <row r="424" spans="1:38">
      <c r="A424" s="96">
        <f ca="1">IFERROR(__xludf.DUMMYFUNCTION("""COMPUTED_VALUE"""),44349)</f>
        <v>44349</v>
      </c>
      <c r="B424" s="6" t="str">
        <f ca="1">IFERROR(__xludf.DUMMYFUNCTION("""COMPUTED_VALUE"""),"Manish JC")</f>
        <v>Manish JC</v>
      </c>
      <c r="C424" s="6" t="str">
        <f ca="1">IFERROR(__xludf.DUMMYFUNCTION("""COMPUTED_VALUE"""),"manishjc@gmail.com")</f>
        <v>manishjc@gmail.com</v>
      </c>
      <c r="D424" s="6">
        <f ca="1">IFERROR(__xludf.DUMMYFUNCTION("""COMPUTED_VALUE"""),9867374404)</f>
        <v>9867374404</v>
      </c>
      <c r="E424" s="6" t="str">
        <f ca="1">IFERROR(__xludf.DUMMYFUNCTION("""COMPUTED_VALUE"""),"Chat_triggered")</f>
        <v>Chat_triggered</v>
      </c>
      <c r="F424" s="6" t="str">
        <f ca="1">IFERROR(__xludf.DUMMYFUNCTION("""COMPUTED_VALUE"""),"PSM")</f>
        <v>PSM</v>
      </c>
      <c r="G424" s="80">
        <f ca="1">IFERROR(__xludf.DUMMYFUNCTION("""COMPUTED_VALUE"""),44348)</f>
        <v>44348</v>
      </c>
      <c r="H424" s="6" t="str">
        <f ca="1">IFERROR(__xludf.DUMMYFUNCTION("""COMPUTED_VALUE"""),"Won")</f>
        <v>Won</v>
      </c>
      <c r="I424" s="6" t="str">
        <f ca="1">IFERROR(__xludf.DUMMYFUNCTION("""COMPUTED_VALUE"""),"5-6 June 2021")</f>
        <v>5-6 June 2021</v>
      </c>
      <c r="J424" s="6">
        <f ca="1">IFERROR(__xludf.DUMMYFUNCTION("""COMPUTED_VALUE"""),1)</f>
        <v>1</v>
      </c>
      <c r="K424" s="8">
        <f ca="1">IFERROR(__xludf.DUMMYFUNCTION("""COMPUTED_VALUE"""),20000)</f>
        <v>20000</v>
      </c>
      <c r="L424" s="8">
        <f ca="1">IFERROR(__xludf.DUMMYFUNCTION("""COMPUTED_VALUE"""),229.042601923957)</f>
        <v>229.04260192395699</v>
      </c>
      <c r="M424" s="96">
        <f ca="1">IFERROR(__xludf.DUMMYFUNCTION("""COMPUTED_VALUE"""),44349)</f>
        <v>44349</v>
      </c>
      <c r="N424" s="6" t="str">
        <f ca="1">IFERROR(__xludf.DUMMYFUNCTION("""COMPUTED_VALUE"""),"F10")</f>
        <v>F10</v>
      </c>
      <c r="O424" s="97">
        <f ca="1">IFERROR(__xludf.DUMMYFUNCTION("""COMPUTED_VALUE"""),44349)</f>
        <v>44349</v>
      </c>
      <c r="P424" s="6" t="str">
        <f ca="1">IFERROR(__xludf.DUMMYFUNCTION("""COMPUTED_VALUE"""),"CSTM_IGP5EOOE4A3")</f>
        <v>CSTM_IGP5EOOE4A3</v>
      </c>
      <c r="Q424" s="6"/>
      <c r="R424" s="6" t="str">
        <f ca="1">IFERROR(__xludf.DUMMYFUNCTION("""COMPUTED_VALUE"""),"Pending")</f>
        <v>Pending</v>
      </c>
      <c r="S424" s="6" t="str">
        <f ca="1">IFERROR(__xludf.DUMMYFUNCTION("""COMPUTED_VALUE"""),"Category")</f>
        <v>Category</v>
      </c>
      <c r="T424" s="6"/>
      <c r="U424" s="6"/>
      <c r="V424" s="6"/>
      <c r="W424" s="6"/>
      <c r="X424" s="6"/>
      <c r="Y424" s="6"/>
      <c r="Z424" s="6"/>
      <c r="AA424" s="6"/>
      <c r="AB424" s="6"/>
      <c r="AC424" s="6"/>
      <c r="AD424" s="6"/>
      <c r="AE424" s="6"/>
      <c r="AF424" s="6"/>
      <c r="AG424" s="6"/>
      <c r="AH424" s="6"/>
      <c r="AI424" s="6"/>
      <c r="AJ424" s="6"/>
      <c r="AK424" s="6"/>
      <c r="AL424" s="6"/>
    </row>
    <row r="425" spans="1:38">
      <c r="A425" s="96">
        <f ca="1">IFERROR(__xludf.DUMMYFUNCTION("""COMPUTED_VALUE"""),44349)</f>
        <v>44349</v>
      </c>
      <c r="B425" s="6" t="str">
        <f ca="1">IFERROR(__xludf.DUMMYFUNCTION("""COMPUTED_VALUE"""),"Manish Singh")</f>
        <v>Manish Singh</v>
      </c>
      <c r="C425" s="6" t="str">
        <f ca="1">IFERROR(__xludf.DUMMYFUNCTION("""COMPUTED_VALUE"""),"manish.singh@itm.edu")</f>
        <v>manish.singh@itm.edu</v>
      </c>
      <c r="D425" s="6">
        <f ca="1">IFERROR(__xludf.DUMMYFUNCTION("""COMPUTED_VALUE"""),9834868058)</f>
        <v>9834868058</v>
      </c>
      <c r="E425" s="6" t="str">
        <f ca="1">IFERROR(__xludf.DUMMYFUNCTION("""COMPUTED_VALUE"""),"Chat_triggered")</f>
        <v>Chat_triggered</v>
      </c>
      <c r="F425" s="6" t="str">
        <f ca="1">IFERROR(__xludf.DUMMYFUNCTION("""COMPUTED_VALUE"""),"SAFe Agile")</f>
        <v>SAFe Agile</v>
      </c>
      <c r="G425" s="80">
        <f ca="1">IFERROR(__xludf.DUMMYFUNCTION("""COMPUTED_VALUE"""),44348)</f>
        <v>44348</v>
      </c>
      <c r="H425" s="6" t="str">
        <f ca="1">IFERROR(__xludf.DUMMYFUNCTION("""COMPUTED_VALUE"""),"Won")</f>
        <v>Won</v>
      </c>
      <c r="I425" s="6" t="str">
        <f ca="1">IFERROR(__xludf.DUMMYFUNCTION("""COMPUTED_VALUE"""),"12-13 June 2021")</f>
        <v>12-13 June 2021</v>
      </c>
      <c r="J425" s="6">
        <f ca="1">IFERROR(__xludf.DUMMYFUNCTION("""COMPUTED_VALUE"""),1)</f>
        <v>1</v>
      </c>
      <c r="K425" s="8">
        <f ca="1">IFERROR(__xludf.DUMMYFUNCTION("""COMPUTED_VALUE"""),45000)</f>
        <v>45000</v>
      </c>
      <c r="L425" s="8">
        <f ca="1">IFERROR(__xludf.DUMMYFUNCTION("""COMPUTED_VALUE"""),515.345854328905)</f>
        <v>515.34585432890503</v>
      </c>
      <c r="M425" s="96">
        <f ca="1">IFERROR(__xludf.DUMMYFUNCTION("""COMPUTED_VALUE"""),44349)</f>
        <v>44349</v>
      </c>
      <c r="N425" s="6" t="str">
        <f ca="1">IFERROR(__xludf.DUMMYFUNCTION("""COMPUTED_VALUE"""),"F10")</f>
        <v>F10</v>
      </c>
      <c r="O425" s="97">
        <f ca="1">IFERROR(__xludf.DUMMYFUNCTION("""COMPUTED_VALUE"""),44349)</f>
        <v>44349</v>
      </c>
      <c r="P425" s="6" t="str">
        <f ca="1">IFERROR(__xludf.DUMMYFUNCTION("""COMPUTED_VALUE"""),"CSTM_HSR8EKUQ7U")</f>
        <v>CSTM_HSR8EKUQ7U</v>
      </c>
      <c r="Q425" s="6"/>
      <c r="R425" s="6" t="str">
        <f ca="1">IFERROR(__xludf.DUMMYFUNCTION("""COMPUTED_VALUE"""),"Done. Good feedback.")</f>
        <v>Done. Good feedback.</v>
      </c>
      <c r="S425" s="6" t="str">
        <f ca="1">IFERROR(__xludf.DUMMYFUNCTION("""COMPUTED_VALUE"""),"SAFe")</f>
        <v>SAFe</v>
      </c>
      <c r="T425" s="6"/>
      <c r="U425" s="6"/>
      <c r="V425" s="6"/>
      <c r="W425" s="6"/>
      <c r="X425" s="6"/>
      <c r="Y425" s="6"/>
      <c r="Z425" s="6"/>
      <c r="AA425" s="6"/>
      <c r="AB425" s="6"/>
      <c r="AC425" s="6"/>
      <c r="AD425" s="6"/>
      <c r="AE425" s="6"/>
      <c r="AF425" s="6"/>
      <c r="AG425" s="6"/>
      <c r="AH425" s="6"/>
      <c r="AI425" s="6"/>
      <c r="AJ425" s="6"/>
      <c r="AK425" s="6"/>
      <c r="AL425" s="6"/>
    </row>
    <row r="426" spans="1:38">
      <c r="A426" s="96">
        <f ca="1">IFERROR(__xludf.DUMMYFUNCTION("""COMPUTED_VALUE"""),44350)</f>
        <v>44350</v>
      </c>
      <c r="B426" s="6" t="str">
        <f ca="1">IFERROR(__xludf.DUMMYFUNCTION("""COMPUTED_VALUE"""),"Roshini Joy")</f>
        <v>Roshini Joy</v>
      </c>
      <c r="C426" s="6" t="str">
        <f ca="1">IFERROR(__xludf.DUMMYFUNCTION("""COMPUTED_VALUE"""),"roshinijoy@gmail.com")</f>
        <v>roshinijoy@gmail.com</v>
      </c>
      <c r="D426" s="6">
        <f ca="1">IFERROR(__xludf.DUMMYFUNCTION("""COMPUTED_VALUE"""),8592835647)</f>
        <v>8592835647</v>
      </c>
      <c r="E426" s="6" t="str">
        <f ca="1">IFERROR(__xludf.DUMMYFUNCTION("""COMPUTED_VALUE"""),"Chat_triggered")</f>
        <v>Chat_triggered</v>
      </c>
      <c r="F426" s="6" t="str">
        <f ca="1">IFERROR(__xludf.DUMMYFUNCTION("""COMPUTED_VALUE"""),"PSM")</f>
        <v>PSM</v>
      </c>
      <c r="G426" s="80">
        <f ca="1">IFERROR(__xludf.DUMMYFUNCTION("""COMPUTED_VALUE"""),44348)</f>
        <v>44348</v>
      </c>
      <c r="H426" s="6" t="str">
        <f ca="1">IFERROR(__xludf.DUMMYFUNCTION("""COMPUTED_VALUE"""),"Won")</f>
        <v>Won</v>
      </c>
      <c r="I426" s="6" t="str">
        <f ca="1">IFERROR(__xludf.DUMMYFUNCTION("""COMPUTED_VALUE"""),"5-6 June 2021")</f>
        <v>5-6 June 2021</v>
      </c>
      <c r="J426" s="6">
        <f ca="1">IFERROR(__xludf.DUMMYFUNCTION("""COMPUTED_VALUE"""),1)</f>
        <v>1</v>
      </c>
      <c r="K426" s="8">
        <f ca="1">IFERROR(__xludf.DUMMYFUNCTION("""COMPUTED_VALUE"""),20500)</f>
        <v>20500</v>
      </c>
      <c r="L426" s="8">
        <f ca="1">IFERROR(__xludf.DUMMYFUNCTION("""COMPUTED_VALUE"""),234.768666972056)</f>
        <v>234.768666972056</v>
      </c>
      <c r="M426" s="96">
        <f ca="1">IFERROR(__xludf.DUMMYFUNCTION("""COMPUTED_VALUE"""),44350)</f>
        <v>44350</v>
      </c>
      <c r="N426" s="6" t="str">
        <f ca="1">IFERROR(__xludf.DUMMYFUNCTION("""COMPUTED_VALUE"""),"F10")</f>
        <v>F10</v>
      </c>
      <c r="O426" s="97">
        <f ca="1">IFERROR(__xludf.DUMMYFUNCTION("""COMPUTED_VALUE"""),44350)</f>
        <v>44350</v>
      </c>
      <c r="P426" s="6" t="str">
        <f ca="1">IFERROR(__xludf.DUMMYFUNCTION("""COMPUTED_VALUE"""),"CSTM_6LXFEYS374P")</f>
        <v>CSTM_6LXFEYS374P</v>
      </c>
      <c r="Q426" s="6"/>
      <c r="R426" s="6" t="str">
        <f ca="1">IFERROR(__xludf.DUMMYFUNCTION("""COMPUTED_VALUE"""),"Done. Good feedback.")</f>
        <v>Done. Good feedback.</v>
      </c>
      <c r="S426" s="6" t="str">
        <f ca="1">IFERROR(__xludf.DUMMYFUNCTION("""COMPUTED_VALUE"""),"Category")</f>
        <v>Category</v>
      </c>
      <c r="T426" s="6"/>
      <c r="U426" s="6"/>
      <c r="V426" s="6"/>
      <c r="W426" s="6"/>
      <c r="X426" s="6"/>
      <c r="Y426" s="6"/>
      <c r="Z426" s="6"/>
      <c r="AA426" s="6"/>
      <c r="AB426" s="6"/>
      <c r="AC426" s="6"/>
      <c r="AD426" s="6"/>
      <c r="AE426" s="6"/>
      <c r="AF426" s="6"/>
      <c r="AG426" s="6"/>
      <c r="AH426" s="6"/>
      <c r="AI426" s="6"/>
      <c r="AJ426" s="6"/>
      <c r="AK426" s="6"/>
      <c r="AL426" s="6"/>
    </row>
    <row r="427" spans="1:38">
      <c r="A427" s="96">
        <f ca="1">IFERROR(__xludf.DUMMYFUNCTION("""COMPUTED_VALUE"""),44350)</f>
        <v>44350</v>
      </c>
      <c r="B427" s="6" t="str">
        <f ca="1">IFERROR(__xludf.DUMMYFUNCTION("""COMPUTED_VALUE"""),"Preetha")</f>
        <v>Preetha</v>
      </c>
      <c r="C427" s="6" t="str">
        <f ca="1">IFERROR(__xludf.DUMMYFUNCTION("""COMPUTED_VALUE"""),"preetha2803@gmail.com")</f>
        <v>preetha2803@gmail.com</v>
      </c>
      <c r="D427" s="6">
        <f ca="1">IFERROR(__xludf.DUMMYFUNCTION("""COMPUTED_VALUE"""),9940413014)</f>
        <v>9940413014</v>
      </c>
      <c r="E427" s="6" t="str">
        <f ca="1">IFERROR(__xludf.DUMMYFUNCTION("""COMPUTED_VALUE"""),"Reference")</f>
        <v>Reference</v>
      </c>
      <c r="F427" s="6" t="str">
        <f ca="1">IFERROR(__xludf.DUMMYFUNCTION("""COMPUTED_VALUE"""),"Prince2 F&amp;P")</f>
        <v>Prince2 F&amp;P</v>
      </c>
      <c r="G427" s="80">
        <f ca="1">IFERROR(__xludf.DUMMYFUNCTION("""COMPUTED_VALUE"""),44348)</f>
        <v>44348</v>
      </c>
      <c r="H427" s="6" t="str">
        <f ca="1">IFERROR(__xludf.DUMMYFUNCTION("""COMPUTED_VALUE"""),"Won")</f>
        <v>Won</v>
      </c>
      <c r="I427" s="6" t="str">
        <f ca="1">IFERROR(__xludf.DUMMYFUNCTION("""COMPUTED_VALUE"""),"June 2021")</f>
        <v>June 2021</v>
      </c>
      <c r="J427" s="6">
        <f ca="1">IFERROR(__xludf.DUMMYFUNCTION("""COMPUTED_VALUE"""),1)</f>
        <v>1</v>
      </c>
      <c r="K427" s="8">
        <f ca="1">IFERROR(__xludf.DUMMYFUNCTION("""COMPUTED_VALUE"""),36000)</f>
        <v>36000</v>
      </c>
      <c r="L427" s="8">
        <f ca="1">IFERROR(__xludf.DUMMYFUNCTION("""COMPUTED_VALUE"""),412.276683463124)</f>
        <v>412.27668346312402</v>
      </c>
      <c r="M427" s="96">
        <f ca="1">IFERROR(__xludf.DUMMYFUNCTION("""COMPUTED_VALUE"""),44350)</f>
        <v>44350</v>
      </c>
      <c r="N427" s="6" t="str">
        <f ca="1">IFERROR(__xludf.DUMMYFUNCTION("""COMPUTED_VALUE"""),"F10")</f>
        <v>F10</v>
      </c>
      <c r="O427" s="97">
        <f ca="1">IFERROR(__xludf.DUMMYFUNCTION("""COMPUTED_VALUE"""),44350)</f>
        <v>44350</v>
      </c>
      <c r="P427" s="6" t="str">
        <f ca="1">IFERROR(__xludf.DUMMYFUNCTION("""COMPUTED_VALUE"""),"CSTM_2NRAZXFQ4YL")</f>
        <v>CSTM_2NRAZXFQ4YL</v>
      </c>
      <c r="Q427" s="6" t="str">
        <f ca="1">IFERROR(__xludf.DUMMYFUNCTION("""COMPUTED_VALUE"""),"Keerti")</f>
        <v>Keerti</v>
      </c>
      <c r="R427" s="6"/>
      <c r="S427" s="6" t="str">
        <f ca="1">IFERROR(__xludf.DUMMYFUNCTION("""COMPUTED_VALUE"""),"NonCategory")</f>
        <v>NonCategory</v>
      </c>
      <c r="T427" s="6"/>
      <c r="U427" s="6"/>
      <c r="V427" s="6"/>
      <c r="W427" s="6"/>
      <c r="X427" s="6"/>
      <c r="Y427" s="6"/>
      <c r="Z427" s="6"/>
      <c r="AA427" s="6"/>
      <c r="AB427" s="6"/>
      <c r="AC427" s="6"/>
      <c r="AD427" s="6"/>
      <c r="AE427" s="6"/>
      <c r="AF427" s="6"/>
      <c r="AG427" s="6"/>
      <c r="AH427" s="6"/>
      <c r="AI427" s="6"/>
      <c r="AJ427" s="6"/>
      <c r="AK427" s="6"/>
      <c r="AL427" s="6"/>
    </row>
    <row r="428" spans="1:38">
      <c r="A428" s="96">
        <f ca="1">IFERROR(__xludf.DUMMYFUNCTION("""COMPUTED_VALUE"""),44350)</f>
        <v>44350</v>
      </c>
      <c r="B428" s="6" t="str">
        <f ca="1">IFERROR(__xludf.DUMMYFUNCTION("""COMPUTED_VALUE"""),"Ravi Veshala")</f>
        <v>Ravi Veshala</v>
      </c>
      <c r="C428" s="6" t="str">
        <f ca="1">IFERROR(__xludf.DUMMYFUNCTION("""COMPUTED_VALUE"""),"veshalaravi@gmail.com")</f>
        <v>veshalaravi@gmail.com</v>
      </c>
      <c r="D428" s="6">
        <f ca="1">IFERROR(__xludf.DUMMYFUNCTION("""COMPUTED_VALUE"""),9985010212)</f>
        <v>9985010212</v>
      </c>
      <c r="E428" s="6" t="str">
        <f ca="1">IFERROR(__xludf.DUMMYFUNCTION("""COMPUTED_VALUE"""),"Tollfree")</f>
        <v>Tollfree</v>
      </c>
      <c r="F428" s="6" t="str">
        <f ca="1">IFERROR(__xludf.DUMMYFUNCTION("""COMPUTED_VALUE"""),"SAFe POPM")</f>
        <v>SAFe POPM</v>
      </c>
      <c r="G428" s="80">
        <f ca="1">IFERROR(__xludf.DUMMYFUNCTION("""COMPUTED_VALUE"""),44348)</f>
        <v>44348</v>
      </c>
      <c r="H428" s="6" t="str">
        <f ca="1">IFERROR(__xludf.DUMMYFUNCTION("""COMPUTED_VALUE"""),"Won")</f>
        <v>Won</v>
      </c>
      <c r="I428" s="6" t="str">
        <f ca="1">IFERROR(__xludf.DUMMYFUNCTION("""COMPUTED_VALUE"""),"5-6 June 2021")</f>
        <v>5-6 June 2021</v>
      </c>
      <c r="J428" s="6">
        <f ca="1">IFERROR(__xludf.DUMMYFUNCTION("""COMPUTED_VALUE"""),1)</f>
        <v>1</v>
      </c>
      <c r="K428" s="8">
        <f ca="1">IFERROR(__xludf.DUMMYFUNCTION("""COMPUTED_VALUE"""),45000)</f>
        <v>45000</v>
      </c>
      <c r="L428" s="8">
        <f ca="1">IFERROR(__xludf.DUMMYFUNCTION("""COMPUTED_VALUE"""),515.345854328905)</f>
        <v>515.34585432890503</v>
      </c>
      <c r="M428" s="96">
        <f ca="1">IFERROR(__xludf.DUMMYFUNCTION("""COMPUTED_VALUE"""),44350)</f>
        <v>44350</v>
      </c>
      <c r="N428" s="6" t="str">
        <f ca="1">IFERROR(__xludf.DUMMYFUNCTION("""COMPUTED_VALUE"""),"F10")</f>
        <v>F10</v>
      </c>
      <c r="O428" s="97">
        <f ca="1">IFERROR(__xludf.DUMMYFUNCTION("""COMPUTED_VALUE"""),44350)</f>
        <v>44350</v>
      </c>
      <c r="P428" s="6" t="str">
        <f ca="1">IFERROR(__xludf.DUMMYFUNCTION("""COMPUTED_VALUE"""),"CSTM_3GDSF8YHVMH")</f>
        <v>CSTM_3GDSF8YHVMH</v>
      </c>
      <c r="Q428" s="6"/>
      <c r="R428" s="6" t="str">
        <f ca="1">IFERROR(__xludf.DUMMYFUNCTION("""COMPUTED_VALUE"""),"Pending")</f>
        <v>Pending</v>
      </c>
      <c r="S428" s="6" t="str">
        <f ca="1">IFERROR(__xludf.DUMMYFUNCTION("""COMPUTED_VALUE"""),"SAFe")</f>
        <v>SAFe</v>
      </c>
      <c r="T428" s="6"/>
      <c r="U428" s="6"/>
      <c r="V428" s="6"/>
      <c r="W428" s="6"/>
      <c r="X428" s="6"/>
      <c r="Y428" s="6"/>
      <c r="Z428" s="6"/>
      <c r="AA428" s="6"/>
      <c r="AB428" s="6"/>
      <c r="AC428" s="6"/>
      <c r="AD428" s="6"/>
      <c r="AE428" s="6"/>
      <c r="AF428" s="6"/>
      <c r="AG428" s="6"/>
      <c r="AH428" s="6"/>
      <c r="AI428" s="6"/>
      <c r="AJ428" s="6"/>
      <c r="AK428" s="6"/>
      <c r="AL428" s="6"/>
    </row>
    <row r="429" spans="1:38">
      <c r="A429" s="96">
        <f ca="1">IFERROR(__xludf.DUMMYFUNCTION("""COMPUTED_VALUE"""),44350)</f>
        <v>44350</v>
      </c>
      <c r="B429" s="6" t="str">
        <f ca="1">IFERROR(__xludf.DUMMYFUNCTION("""COMPUTED_VALUE"""),"Guru Rajesh Naidu")</f>
        <v>Guru Rajesh Naidu</v>
      </c>
      <c r="C429" s="6" t="str">
        <f ca="1">IFERROR(__xludf.DUMMYFUNCTION("""COMPUTED_VALUE"""),"rajeshnaidu9951@gmail.com")</f>
        <v>rajeshnaidu9951@gmail.com</v>
      </c>
      <c r="D429" s="6">
        <f ca="1">IFERROR(__xludf.DUMMYFUNCTION("""COMPUTED_VALUE"""),9985162631)</f>
        <v>9985162631</v>
      </c>
      <c r="E429" s="6" t="str">
        <f ca="1">IFERROR(__xludf.DUMMYFUNCTION("""COMPUTED_VALUE"""),"refer&amp;earn")</f>
        <v>refer&amp;earn</v>
      </c>
      <c r="F429" s="6" t="str">
        <f ca="1">IFERROR(__xludf.DUMMYFUNCTION("""COMPUTED_VALUE"""),"SAFe POPM")</f>
        <v>SAFe POPM</v>
      </c>
      <c r="G429" s="80">
        <f ca="1">IFERROR(__xludf.DUMMYFUNCTION("""COMPUTED_VALUE"""),44348)</f>
        <v>44348</v>
      </c>
      <c r="H429" s="6" t="str">
        <f ca="1">IFERROR(__xludf.DUMMYFUNCTION("""COMPUTED_VALUE"""),"Won")</f>
        <v>Won</v>
      </c>
      <c r="I429" s="6" t="str">
        <f ca="1">IFERROR(__xludf.DUMMYFUNCTION("""COMPUTED_VALUE"""),"5-6 June 2021")</f>
        <v>5-6 June 2021</v>
      </c>
      <c r="J429" s="6">
        <f ca="1">IFERROR(__xludf.DUMMYFUNCTION("""COMPUTED_VALUE"""),1)</f>
        <v>1</v>
      </c>
      <c r="K429" s="8">
        <f ca="1">IFERROR(__xludf.DUMMYFUNCTION("""COMPUTED_VALUE"""),45000)</f>
        <v>45000</v>
      </c>
      <c r="L429" s="8">
        <f ca="1">IFERROR(__xludf.DUMMYFUNCTION("""COMPUTED_VALUE"""),515.345854328905)</f>
        <v>515.34585432890503</v>
      </c>
      <c r="M429" s="96">
        <f ca="1">IFERROR(__xludf.DUMMYFUNCTION("""COMPUTED_VALUE"""),44350)</f>
        <v>44350</v>
      </c>
      <c r="N429" s="6" t="str">
        <f ca="1">IFERROR(__xludf.DUMMYFUNCTION("""COMPUTED_VALUE"""),"F10")</f>
        <v>F10</v>
      </c>
      <c r="O429" s="97">
        <f ca="1">IFERROR(__xludf.DUMMYFUNCTION("""COMPUTED_VALUE"""),44350)</f>
        <v>44350</v>
      </c>
      <c r="P429" s="6" t="str">
        <f ca="1">IFERROR(__xludf.DUMMYFUNCTION("""COMPUTED_VALUE"""),"CSTM_5L8Z2SOGFNN")</f>
        <v>CSTM_5L8Z2SOGFNN</v>
      </c>
      <c r="Q429" s="6"/>
      <c r="R429" s="6" t="str">
        <f ca="1">IFERROR(__xludf.DUMMYFUNCTION("""COMPUTED_VALUE"""),"Pending")</f>
        <v>Pending</v>
      </c>
      <c r="S429" s="6" t="str">
        <f ca="1">IFERROR(__xludf.DUMMYFUNCTION("""COMPUTED_VALUE"""),"SAFe")</f>
        <v>SAFe</v>
      </c>
      <c r="T429" s="6"/>
      <c r="U429" s="6"/>
      <c r="V429" s="6"/>
      <c r="W429" s="6"/>
      <c r="X429" s="6"/>
      <c r="Y429" s="6"/>
      <c r="Z429" s="6"/>
      <c r="AA429" s="6"/>
      <c r="AB429" s="6"/>
      <c r="AC429" s="6"/>
      <c r="AD429" s="6"/>
      <c r="AE429" s="6"/>
      <c r="AF429" s="6"/>
      <c r="AG429" s="6"/>
      <c r="AH429" s="6"/>
      <c r="AI429" s="6"/>
      <c r="AJ429" s="6"/>
      <c r="AK429" s="6"/>
      <c r="AL429" s="6"/>
    </row>
    <row r="430" spans="1:38">
      <c r="A430" s="96">
        <f ca="1">IFERROR(__xludf.DUMMYFUNCTION("""COMPUTED_VALUE"""),44350)</f>
        <v>44350</v>
      </c>
      <c r="B430" s="6" t="str">
        <f ca="1">IFERROR(__xludf.DUMMYFUNCTION("""COMPUTED_VALUE"""),"Johndeere")</f>
        <v>Johndeere</v>
      </c>
      <c r="C430" s="6" t="str">
        <f ca="1">IFERROR(__xludf.DUMMYFUNCTION("""COMPUTED_VALUE"""),"dasaresantoshm@johndeere.com")</f>
        <v>dasaresantoshm@johndeere.com</v>
      </c>
      <c r="D430" s="6"/>
      <c r="E430" s="6" t="str">
        <f ca="1">IFERROR(__xludf.DUMMYFUNCTION("""COMPUTED_VALUE"""),"B2B2C")</f>
        <v>B2B2C</v>
      </c>
      <c r="F430" s="6" t="str">
        <f ca="1">IFERROR(__xludf.DUMMYFUNCTION("""COMPUTED_VALUE"""),"CSM")</f>
        <v>CSM</v>
      </c>
      <c r="G430" s="80">
        <f ca="1">IFERROR(__xludf.DUMMYFUNCTION("""COMPUTED_VALUE"""),44348)</f>
        <v>44348</v>
      </c>
      <c r="H430" s="6" t="str">
        <f ca="1">IFERROR(__xludf.DUMMYFUNCTION("""COMPUTED_VALUE"""),"Won")</f>
        <v>Won</v>
      </c>
      <c r="I430" s="6" t="str">
        <f ca="1">IFERROR(__xludf.DUMMYFUNCTION("""COMPUTED_VALUE"""),"12-13 June 2021")</f>
        <v>12-13 June 2021</v>
      </c>
      <c r="J430" s="6">
        <f ca="1">IFERROR(__xludf.DUMMYFUNCTION("""COMPUTED_VALUE"""),2)</f>
        <v>2</v>
      </c>
      <c r="K430" s="8">
        <f ca="1">IFERROR(__xludf.DUMMYFUNCTION("""COMPUTED_VALUE"""),38000)</f>
        <v>38000</v>
      </c>
      <c r="L430" s="8">
        <f ca="1">IFERROR(__xludf.DUMMYFUNCTION("""COMPUTED_VALUE"""),435.180943655519)</f>
        <v>435.180943655519</v>
      </c>
      <c r="M430" s="96">
        <f ca="1">IFERROR(__xludf.DUMMYFUNCTION("""COMPUTED_VALUE"""),44350)</f>
        <v>44350</v>
      </c>
      <c r="N430" s="6" t="str">
        <f ca="1">IFERROR(__xludf.DUMMYFUNCTION("""COMPUTED_VALUE"""),"F10")</f>
        <v>F10</v>
      </c>
      <c r="O430" s="97">
        <f ca="1">IFERROR(__xludf.DUMMYFUNCTION("""COMPUTED_VALUE"""),44350)</f>
        <v>44350</v>
      </c>
      <c r="P430" s="6" t="str">
        <f ca="1">IFERROR(__xludf.DUMMYFUNCTION("""COMPUTED_VALUE"""),"00061059_01")</f>
        <v>00061059_01</v>
      </c>
      <c r="Q430" s="6"/>
      <c r="R430" s="6" t="str">
        <f ca="1">IFERROR(__xludf.DUMMYFUNCTION("""COMPUTED_VALUE"""),"Pending")</f>
        <v>Pending</v>
      </c>
      <c r="S430" s="6" t="str">
        <f ca="1">IFERROR(__xludf.DUMMYFUNCTION("""COMPUTED_VALUE"""),"Category")</f>
        <v>Category</v>
      </c>
      <c r="T430" s="6"/>
      <c r="U430" s="6"/>
      <c r="V430" s="6"/>
      <c r="W430" s="6"/>
      <c r="X430" s="6"/>
      <c r="Y430" s="6"/>
      <c r="Z430" s="6"/>
      <c r="AA430" s="6"/>
      <c r="AB430" s="6"/>
      <c r="AC430" s="6"/>
      <c r="AD430" s="6"/>
      <c r="AE430" s="6"/>
      <c r="AF430" s="6"/>
      <c r="AG430" s="6"/>
      <c r="AH430" s="6"/>
      <c r="AI430" s="6"/>
      <c r="AJ430" s="6"/>
      <c r="AK430" s="6"/>
      <c r="AL430" s="6"/>
    </row>
    <row r="431" spans="1:38">
      <c r="A431" s="96">
        <f ca="1">IFERROR(__xludf.DUMMYFUNCTION("""COMPUTED_VALUE"""),44351)</f>
        <v>44351</v>
      </c>
      <c r="B431" s="6" t="str">
        <f ca="1">IFERROR(__xludf.DUMMYFUNCTION("""COMPUTED_VALUE"""),"Bindhu Madhava")</f>
        <v>Bindhu Madhava</v>
      </c>
      <c r="C431" s="6" t="str">
        <f ca="1">IFERROR(__xludf.DUMMYFUNCTION("""COMPUTED_VALUE"""),"s.b.madhava@gmail.com")</f>
        <v>s.b.madhava@gmail.com</v>
      </c>
      <c r="D431" s="6">
        <f ca="1">IFERROR(__xludf.DUMMYFUNCTION("""COMPUTED_VALUE"""),9945365656)</f>
        <v>9945365656</v>
      </c>
      <c r="E431" s="6" t="str">
        <f ca="1">IFERROR(__xludf.DUMMYFUNCTION("""COMPUTED_VALUE"""),"course agenda")</f>
        <v>course agenda</v>
      </c>
      <c r="F431" s="6" t="str">
        <f ca="1">IFERROR(__xludf.DUMMYFUNCTION("""COMPUTED_VALUE"""),"PSM")</f>
        <v>PSM</v>
      </c>
      <c r="G431" s="80">
        <f ca="1">IFERROR(__xludf.DUMMYFUNCTION("""COMPUTED_VALUE"""),44348)</f>
        <v>44348</v>
      </c>
      <c r="H431" s="6" t="str">
        <f ca="1">IFERROR(__xludf.DUMMYFUNCTION("""COMPUTED_VALUE"""),"Won")</f>
        <v>Won</v>
      </c>
      <c r="I431" s="6" t="str">
        <f ca="1">IFERROR(__xludf.DUMMYFUNCTION("""COMPUTED_VALUE"""),"5-6 June 2021")</f>
        <v>5-6 June 2021</v>
      </c>
      <c r="J431" s="6">
        <f ca="1">IFERROR(__xludf.DUMMYFUNCTION("""COMPUTED_VALUE"""),1)</f>
        <v>1</v>
      </c>
      <c r="K431" s="8">
        <f ca="1">IFERROR(__xludf.DUMMYFUNCTION("""COMPUTED_VALUE"""),20000)</f>
        <v>20000</v>
      </c>
      <c r="L431" s="8">
        <f ca="1">IFERROR(__xludf.DUMMYFUNCTION("""COMPUTED_VALUE"""),229.042601923957)</f>
        <v>229.04260192395699</v>
      </c>
      <c r="M431" s="96">
        <f ca="1">IFERROR(__xludf.DUMMYFUNCTION("""COMPUTED_VALUE"""),44351)</f>
        <v>44351</v>
      </c>
      <c r="N431" s="6" t="str">
        <f ca="1">IFERROR(__xludf.DUMMYFUNCTION("""COMPUTED_VALUE"""),"F10")</f>
        <v>F10</v>
      </c>
      <c r="O431" s="97">
        <f ca="1">IFERROR(__xludf.DUMMYFUNCTION("""COMPUTED_VALUE"""),44351)</f>
        <v>44351</v>
      </c>
      <c r="P431" s="6" t="str">
        <f ca="1">IFERROR(__xludf.DUMMYFUNCTION("""COMPUTED_VALUE"""),"CSTM_20GKQ2OL8LG")</f>
        <v>CSTM_20GKQ2OL8LG</v>
      </c>
      <c r="Q431" s="6"/>
      <c r="R431" s="6" t="str">
        <f ca="1">IFERROR(__xludf.DUMMYFUNCTION("""COMPUTED_VALUE"""),"Pending")</f>
        <v>Pending</v>
      </c>
      <c r="S431" s="6" t="str">
        <f ca="1">IFERROR(__xludf.DUMMYFUNCTION("""COMPUTED_VALUE"""),"Category")</f>
        <v>Category</v>
      </c>
      <c r="T431" s="6"/>
      <c r="U431" s="6"/>
      <c r="V431" s="6"/>
      <c r="W431" s="6"/>
      <c r="X431" s="6"/>
      <c r="Y431" s="6"/>
      <c r="Z431" s="6"/>
      <c r="AA431" s="6"/>
      <c r="AB431" s="6"/>
      <c r="AC431" s="6"/>
      <c r="AD431" s="6"/>
      <c r="AE431" s="6"/>
      <c r="AF431" s="6"/>
      <c r="AG431" s="6"/>
      <c r="AH431" s="6"/>
      <c r="AI431" s="6"/>
      <c r="AJ431" s="6"/>
      <c r="AK431" s="6"/>
      <c r="AL431" s="6"/>
    </row>
    <row r="432" spans="1:38">
      <c r="A432" s="96">
        <f ca="1">IFERROR(__xludf.DUMMYFUNCTION("""COMPUTED_VALUE"""),44352)</f>
        <v>44352</v>
      </c>
      <c r="B432" s="6" t="str">
        <f ca="1">IFERROR(__xludf.DUMMYFUNCTION("""COMPUTED_VALUE"""),"Madhumitha")</f>
        <v>Madhumitha</v>
      </c>
      <c r="C432" s="6" t="str">
        <f ca="1">IFERROR(__xludf.DUMMYFUNCTION("""COMPUTED_VALUE"""),"madhumithagg@gmail.com")</f>
        <v>madhumithagg@gmail.com</v>
      </c>
      <c r="D432" s="6">
        <f ca="1">IFERROR(__xludf.DUMMYFUNCTION("""COMPUTED_VALUE"""),9940174423)</f>
        <v>9940174423</v>
      </c>
      <c r="E432" s="6" t="str">
        <f ca="1">IFERROR(__xludf.DUMMYFUNCTION("""COMPUTED_VALUE"""),"course agenda")</f>
        <v>course agenda</v>
      </c>
      <c r="F432" s="6" t="str">
        <f ca="1">IFERROR(__xludf.DUMMYFUNCTION("""COMPUTED_VALUE"""),"SAFe Agile")</f>
        <v>SAFe Agile</v>
      </c>
      <c r="G432" s="80">
        <f ca="1">IFERROR(__xludf.DUMMYFUNCTION("""COMPUTED_VALUE"""),44348)</f>
        <v>44348</v>
      </c>
      <c r="H432" s="6" t="str">
        <f ca="1">IFERROR(__xludf.DUMMYFUNCTION("""COMPUTED_VALUE"""),"Won")</f>
        <v>Won</v>
      </c>
      <c r="I432" s="6" t="str">
        <f ca="1">IFERROR(__xludf.DUMMYFUNCTION("""COMPUTED_VALUE"""),"12-13 June 2021")</f>
        <v>12-13 June 2021</v>
      </c>
      <c r="J432" s="6">
        <f ca="1">IFERROR(__xludf.DUMMYFUNCTION("""COMPUTED_VALUE"""),1)</f>
        <v>1</v>
      </c>
      <c r="K432" s="8">
        <f ca="1">IFERROR(__xludf.DUMMYFUNCTION("""COMPUTED_VALUE"""),45000)</f>
        <v>45000</v>
      </c>
      <c r="L432" s="8">
        <f ca="1">IFERROR(__xludf.DUMMYFUNCTION("""COMPUTED_VALUE"""),515.345854328905)</f>
        <v>515.34585432890503</v>
      </c>
      <c r="M432" s="96">
        <f ca="1">IFERROR(__xludf.DUMMYFUNCTION("""COMPUTED_VALUE"""),44352)</f>
        <v>44352</v>
      </c>
      <c r="N432" s="6" t="str">
        <f ca="1">IFERROR(__xludf.DUMMYFUNCTION("""COMPUTED_VALUE"""),"F10")</f>
        <v>F10</v>
      </c>
      <c r="O432" s="97">
        <f ca="1">IFERROR(__xludf.DUMMYFUNCTION("""COMPUTED_VALUE"""),44352)</f>
        <v>44352</v>
      </c>
      <c r="P432" s="6" t="str">
        <f ca="1">IFERROR(__xludf.DUMMYFUNCTION("""COMPUTED_VALUE"""),"CSTM_FY2ZN4P5006")</f>
        <v>CSTM_FY2ZN4P5006</v>
      </c>
      <c r="Q432" s="6"/>
      <c r="R432" s="6" t="str">
        <f ca="1">IFERROR(__xludf.DUMMYFUNCTION("""COMPUTED_VALUE"""),"Done. Good feedback.")</f>
        <v>Done. Good feedback.</v>
      </c>
      <c r="S432" s="6" t="str">
        <f ca="1">IFERROR(__xludf.DUMMYFUNCTION("""COMPUTED_VALUE"""),"SAFe")</f>
        <v>SAFe</v>
      </c>
      <c r="T432" s="6"/>
      <c r="U432" s="6"/>
      <c r="V432" s="6"/>
      <c r="W432" s="6"/>
      <c r="X432" s="6"/>
      <c r="Y432" s="6"/>
      <c r="Z432" s="6"/>
      <c r="AA432" s="6"/>
      <c r="AB432" s="6"/>
      <c r="AC432" s="6"/>
      <c r="AD432" s="6"/>
      <c r="AE432" s="6"/>
      <c r="AF432" s="6"/>
      <c r="AG432" s="6"/>
      <c r="AH432" s="6"/>
      <c r="AI432" s="6"/>
      <c r="AJ432" s="6"/>
      <c r="AK432" s="6"/>
      <c r="AL432" s="6"/>
    </row>
    <row r="433" spans="1:38">
      <c r="A433" s="96">
        <f ca="1">IFERROR(__xludf.DUMMYFUNCTION("""COMPUTED_VALUE"""),44353)</f>
        <v>44353</v>
      </c>
      <c r="B433" s="6" t="str">
        <f ca="1">IFERROR(__xludf.DUMMYFUNCTION("""COMPUTED_VALUE"""),"Sukanya")</f>
        <v>Sukanya</v>
      </c>
      <c r="C433" s="6" t="str">
        <f ca="1">IFERROR(__xludf.DUMMYFUNCTION("""COMPUTED_VALUE"""),"shsukanyaa@gmail.com")</f>
        <v>shsukanyaa@gmail.com</v>
      </c>
      <c r="D433" s="6">
        <f ca="1">IFERROR(__xludf.DUMMYFUNCTION("""COMPUTED_VALUE"""),9042690890)</f>
        <v>9042690890</v>
      </c>
      <c r="E433" s="6" t="str">
        <f ca="1">IFERROR(__xludf.DUMMYFUNCTION("""COMPUTED_VALUE"""),"Reference")</f>
        <v>Reference</v>
      </c>
      <c r="F433" s="6" t="str">
        <f ca="1">IFERROR(__xludf.DUMMYFUNCTION("""COMPUTED_VALUE"""),"CSM")</f>
        <v>CSM</v>
      </c>
      <c r="G433" s="80">
        <f ca="1">IFERROR(__xludf.DUMMYFUNCTION("""COMPUTED_VALUE"""),44348)</f>
        <v>44348</v>
      </c>
      <c r="H433" s="6" t="str">
        <f ca="1">IFERROR(__xludf.DUMMYFUNCTION("""COMPUTED_VALUE"""),"Won")</f>
        <v>Won</v>
      </c>
      <c r="I433" s="6" t="str">
        <f ca="1">IFERROR(__xludf.DUMMYFUNCTION("""COMPUTED_VALUE"""),"12-13 June 2021")</f>
        <v>12-13 June 2021</v>
      </c>
      <c r="J433" s="6">
        <f ca="1">IFERROR(__xludf.DUMMYFUNCTION("""COMPUTED_VALUE"""),1)</f>
        <v>1</v>
      </c>
      <c r="K433" s="8">
        <f ca="1">IFERROR(__xludf.DUMMYFUNCTION("""COMPUTED_VALUE"""),20000)</f>
        <v>20000</v>
      </c>
      <c r="L433" s="8">
        <f ca="1">IFERROR(__xludf.DUMMYFUNCTION("""COMPUTED_VALUE"""),229.042601923957)</f>
        <v>229.04260192395699</v>
      </c>
      <c r="M433" s="96">
        <f ca="1">IFERROR(__xludf.DUMMYFUNCTION("""COMPUTED_VALUE"""),44353)</f>
        <v>44353</v>
      </c>
      <c r="N433" s="6" t="str">
        <f ca="1">IFERROR(__xludf.DUMMYFUNCTION("""COMPUTED_VALUE"""),"F10")</f>
        <v>F10</v>
      </c>
      <c r="O433" s="97">
        <f ca="1">IFERROR(__xludf.DUMMYFUNCTION("""COMPUTED_VALUE"""),44353)</f>
        <v>44353</v>
      </c>
      <c r="P433" s="6" t="str">
        <f ca="1">IFERROR(__xludf.DUMMYFUNCTION("""COMPUTED_VALUE"""),"CSTM_HEULQS64ALM")</f>
        <v>CSTM_HEULQS64ALM</v>
      </c>
      <c r="Q433" s="6"/>
      <c r="R433" s="6" t="str">
        <f ca="1">IFERROR(__xludf.DUMMYFUNCTION("""COMPUTED_VALUE"""),"Pending")</f>
        <v>Pending</v>
      </c>
      <c r="S433" s="6" t="str">
        <f ca="1">IFERROR(__xludf.DUMMYFUNCTION("""COMPUTED_VALUE"""),"Category")</f>
        <v>Category</v>
      </c>
      <c r="T433" s="6"/>
      <c r="U433" s="6"/>
      <c r="V433" s="6"/>
      <c r="W433" s="6"/>
      <c r="X433" s="6"/>
      <c r="Y433" s="6"/>
      <c r="Z433" s="6"/>
      <c r="AA433" s="6"/>
      <c r="AB433" s="6"/>
      <c r="AC433" s="6"/>
      <c r="AD433" s="6"/>
      <c r="AE433" s="6"/>
      <c r="AF433" s="6"/>
      <c r="AG433" s="6"/>
      <c r="AH433" s="6"/>
      <c r="AI433" s="6"/>
      <c r="AJ433" s="6"/>
      <c r="AK433" s="6"/>
      <c r="AL433" s="6"/>
    </row>
    <row r="434" spans="1:38">
      <c r="A434" s="96">
        <f ca="1">IFERROR(__xludf.DUMMYFUNCTION("""COMPUTED_VALUE"""),44354)</f>
        <v>44354</v>
      </c>
      <c r="B434" s="6" t="str">
        <f ca="1">IFERROR(__xludf.DUMMYFUNCTION("""COMPUTED_VALUE"""),"Raheem Ullah")</f>
        <v>Raheem Ullah</v>
      </c>
      <c r="C434" s="6" t="str">
        <f ca="1">IFERROR(__xludf.DUMMYFUNCTION("""COMPUTED_VALUE"""),"raheem.ullah100@gmail.com")</f>
        <v>raheem.ullah100@gmail.com</v>
      </c>
      <c r="D434" s="6">
        <f ca="1">IFERROR(__xludf.DUMMYFUNCTION("""COMPUTED_VALUE"""),9971166313)</f>
        <v>9971166313</v>
      </c>
      <c r="E434" s="6" t="str">
        <f ca="1">IFERROR(__xludf.DUMMYFUNCTION("""COMPUTED_VALUE"""),"course agenda")</f>
        <v>course agenda</v>
      </c>
      <c r="F434" s="6" t="str">
        <f ca="1">IFERROR(__xludf.DUMMYFUNCTION("""COMPUTED_VALUE"""),"PMP")</f>
        <v>PMP</v>
      </c>
      <c r="G434" s="80">
        <f ca="1">IFERROR(__xludf.DUMMYFUNCTION("""COMPUTED_VALUE"""),44348)</f>
        <v>44348</v>
      </c>
      <c r="H434" s="6" t="str">
        <f ca="1">IFERROR(__xludf.DUMMYFUNCTION("""COMPUTED_VALUE"""),"Won")</f>
        <v>Won</v>
      </c>
      <c r="I434" s="6" t="str">
        <f ca="1">IFERROR(__xludf.DUMMYFUNCTION("""COMPUTED_VALUE"""),"12 June 2021")</f>
        <v>12 June 2021</v>
      </c>
      <c r="J434" s="6">
        <f ca="1">IFERROR(__xludf.DUMMYFUNCTION("""COMPUTED_VALUE"""),1)</f>
        <v>1</v>
      </c>
      <c r="K434" s="8">
        <f ca="1">IFERROR(__xludf.DUMMYFUNCTION("""COMPUTED_VALUE"""),12000)</f>
        <v>12000</v>
      </c>
      <c r="L434" s="8">
        <f ca="1">IFERROR(__xludf.DUMMYFUNCTION("""COMPUTED_VALUE"""),137.425561154374)</f>
        <v>137.42556115437401</v>
      </c>
      <c r="M434" s="96">
        <f ca="1">IFERROR(__xludf.DUMMYFUNCTION("""COMPUTED_VALUE"""),44354)</f>
        <v>44354</v>
      </c>
      <c r="N434" s="6" t="str">
        <f ca="1">IFERROR(__xludf.DUMMYFUNCTION("""COMPUTED_VALUE"""),"F10")</f>
        <v>F10</v>
      </c>
      <c r="O434" s="97">
        <f ca="1">IFERROR(__xludf.DUMMYFUNCTION("""COMPUTED_VALUE"""),44354)</f>
        <v>44354</v>
      </c>
      <c r="P434" s="6" t="str">
        <f ca="1">IFERROR(__xludf.DUMMYFUNCTION("""COMPUTED_VALUE"""),"CSTM_COOLOQ83735")</f>
        <v>CSTM_COOLOQ83735</v>
      </c>
      <c r="Q434" s="6"/>
      <c r="R434" s="6"/>
      <c r="S434" s="6" t="str">
        <f ca="1">IFERROR(__xludf.DUMMYFUNCTION("""COMPUTED_VALUE"""),"NonCategory")</f>
        <v>NonCategory</v>
      </c>
      <c r="T434" s="6"/>
      <c r="U434" s="6"/>
      <c r="V434" s="6"/>
      <c r="W434" s="6"/>
      <c r="X434" s="6"/>
      <c r="Y434" s="6"/>
      <c r="Z434" s="6"/>
      <c r="AA434" s="6"/>
      <c r="AB434" s="6"/>
      <c r="AC434" s="6"/>
      <c r="AD434" s="6"/>
      <c r="AE434" s="6"/>
      <c r="AF434" s="6"/>
      <c r="AG434" s="6"/>
      <c r="AH434" s="6"/>
      <c r="AI434" s="6"/>
      <c r="AJ434" s="6"/>
      <c r="AK434" s="6"/>
      <c r="AL434" s="6"/>
    </row>
    <row r="435" spans="1:38">
      <c r="A435" s="96">
        <f ca="1">IFERROR(__xludf.DUMMYFUNCTION("""COMPUTED_VALUE"""),44354)</f>
        <v>44354</v>
      </c>
      <c r="B435" s="6" t="str">
        <f ca="1">IFERROR(__xludf.DUMMYFUNCTION("""COMPUTED_VALUE"""),"Divyanshu Rohatgi")</f>
        <v>Divyanshu Rohatgi</v>
      </c>
      <c r="C435" s="6" t="str">
        <f ca="1">IFERROR(__xludf.DUMMYFUNCTION("""COMPUTED_VALUE"""),"divyanshurohatgi@gmail.com")</f>
        <v>divyanshurohatgi@gmail.com</v>
      </c>
      <c r="D435" s="6">
        <f ca="1">IFERROR(__xludf.DUMMYFUNCTION("""COMPUTED_VALUE"""),9899172558)</f>
        <v>9899172558</v>
      </c>
      <c r="E435" s="6" t="str">
        <f ca="1">IFERROR(__xludf.DUMMYFUNCTION("""COMPUTED_VALUE"""),"Chat_triggered")</f>
        <v>Chat_triggered</v>
      </c>
      <c r="F435" s="6" t="str">
        <f ca="1">IFERROR(__xludf.DUMMYFUNCTION("""COMPUTED_VALUE"""),"SAFe Agile")</f>
        <v>SAFe Agile</v>
      </c>
      <c r="G435" s="80">
        <f ca="1">IFERROR(__xludf.DUMMYFUNCTION("""COMPUTED_VALUE"""),44348)</f>
        <v>44348</v>
      </c>
      <c r="H435" s="6" t="str">
        <f ca="1">IFERROR(__xludf.DUMMYFUNCTION("""COMPUTED_VALUE"""),"Won")</f>
        <v>Won</v>
      </c>
      <c r="I435" s="6" t="str">
        <f ca="1">IFERROR(__xludf.DUMMYFUNCTION("""COMPUTED_VALUE"""),"12-13 June 2021")</f>
        <v>12-13 June 2021</v>
      </c>
      <c r="J435" s="6">
        <f ca="1">IFERROR(__xludf.DUMMYFUNCTION("""COMPUTED_VALUE"""),1)</f>
        <v>1</v>
      </c>
      <c r="K435" s="8">
        <f ca="1">IFERROR(__xludf.DUMMYFUNCTION("""COMPUTED_VALUE"""),45000)</f>
        <v>45000</v>
      </c>
      <c r="L435" s="8">
        <f ca="1">IFERROR(__xludf.DUMMYFUNCTION("""COMPUTED_VALUE"""),515.345854328905)</f>
        <v>515.34585432890503</v>
      </c>
      <c r="M435" s="96">
        <f ca="1">IFERROR(__xludf.DUMMYFUNCTION("""COMPUTED_VALUE"""),44354)</f>
        <v>44354</v>
      </c>
      <c r="N435" s="6" t="str">
        <f ca="1">IFERROR(__xludf.DUMMYFUNCTION("""COMPUTED_VALUE"""),"F10")</f>
        <v>F10</v>
      </c>
      <c r="O435" s="97">
        <f ca="1">IFERROR(__xludf.DUMMYFUNCTION("""COMPUTED_VALUE"""),44354)</f>
        <v>44354</v>
      </c>
      <c r="P435" s="6" t="str">
        <f ca="1">IFERROR(__xludf.DUMMYFUNCTION("""COMPUTED_VALUE"""),"CSTM_GAMPC2U3FZY")</f>
        <v>CSTM_GAMPC2U3FZY</v>
      </c>
      <c r="Q435" s="6"/>
      <c r="R435" s="6" t="str">
        <f ca="1">IFERROR(__xludf.DUMMYFUNCTION("""COMPUTED_VALUE"""),"Pending")</f>
        <v>Pending</v>
      </c>
      <c r="S435" s="6" t="str">
        <f ca="1">IFERROR(__xludf.DUMMYFUNCTION("""COMPUTED_VALUE"""),"SAFe")</f>
        <v>SAFe</v>
      </c>
      <c r="T435" s="6"/>
      <c r="U435" s="6"/>
      <c r="V435" s="6"/>
      <c r="W435" s="6"/>
      <c r="X435" s="6"/>
      <c r="Y435" s="6"/>
      <c r="Z435" s="6"/>
      <c r="AA435" s="6"/>
      <c r="AB435" s="6"/>
      <c r="AC435" s="6"/>
      <c r="AD435" s="6"/>
      <c r="AE435" s="6"/>
      <c r="AF435" s="6"/>
      <c r="AG435" s="6"/>
      <c r="AH435" s="6"/>
      <c r="AI435" s="6"/>
      <c r="AJ435" s="6"/>
      <c r="AK435" s="6"/>
      <c r="AL435" s="6"/>
    </row>
    <row r="436" spans="1:38">
      <c r="A436" s="96">
        <f ca="1">IFERROR(__xludf.DUMMYFUNCTION("""COMPUTED_VALUE"""),44355)</f>
        <v>44355</v>
      </c>
      <c r="B436" s="6" t="str">
        <f ca="1">IFERROR(__xludf.DUMMYFUNCTION("""COMPUTED_VALUE"""),"Abhilash Mangatt")</f>
        <v>Abhilash Mangatt</v>
      </c>
      <c r="C436" s="6" t="str">
        <f ca="1">IFERROR(__xludf.DUMMYFUNCTION("""COMPUTED_VALUE"""),"abhilash.mangatt@gmail.com")</f>
        <v>abhilash.mangatt@gmail.com</v>
      </c>
      <c r="D436" s="6">
        <f ca="1">IFERROR(__xludf.DUMMYFUNCTION("""COMPUTED_VALUE"""),7619605050)</f>
        <v>7619605050</v>
      </c>
      <c r="E436" s="6" t="str">
        <f ca="1">IFERROR(__xludf.DUMMYFUNCTION("""COMPUTED_VALUE"""),"Reference")</f>
        <v>Reference</v>
      </c>
      <c r="F436" s="6" t="str">
        <f ca="1">IFERROR(__xludf.DUMMYFUNCTION("""COMPUTED_VALUE"""),"CSM")</f>
        <v>CSM</v>
      </c>
      <c r="G436" s="80">
        <f ca="1">IFERROR(__xludf.DUMMYFUNCTION("""COMPUTED_VALUE"""),44348)</f>
        <v>44348</v>
      </c>
      <c r="H436" s="6" t="str">
        <f ca="1">IFERROR(__xludf.DUMMYFUNCTION("""COMPUTED_VALUE"""),"Won")</f>
        <v>Won</v>
      </c>
      <c r="I436" s="6" t="str">
        <f ca="1">IFERROR(__xludf.DUMMYFUNCTION("""COMPUTED_VALUE"""),"26-27 June 2021")</f>
        <v>26-27 June 2021</v>
      </c>
      <c r="J436" s="6">
        <f ca="1">IFERROR(__xludf.DUMMYFUNCTION("""COMPUTED_VALUE"""),1)</f>
        <v>1</v>
      </c>
      <c r="K436" s="8">
        <f ca="1">IFERROR(__xludf.DUMMYFUNCTION("""COMPUTED_VALUE"""),19000)</f>
        <v>19000</v>
      </c>
      <c r="L436" s="8">
        <f ca="1">IFERROR(__xludf.DUMMYFUNCTION("""COMPUTED_VALUE"""),217.590471827759)</f>
        <v>217.59047182775899</v>
      </c>
      <c r="M436" s="96">
        <f ca="1">IFERROR(__xludf.DUMMYFUNCTION("""COMPUTED_VALUE"""),44355)</f>
        <v>44355</v>
      </c>
      <c r="N436" s="6" t="str">
        <f ca="1">IFERROR(__xludf.DUMMYFUNCTION("""COMPUTED_VALUE"""),"F10")</f>
        <v>F10</v>
      </c>
      <c r="O436" s="97">
        <f ca="1">IFERROR(__xludf.DUMMYFUNCTION("""COMPUTED_VALUE"""),44355)</f>
        <v>44355</v>
      </c>
      <c r="P436" s="6" t="str">
        <f ca="1">IFERROR(__xludf.DUMMYFUNCTION("""COMPUTED_VALUE"""),"CSTM_G1V0E22PL6U")</f>
        <v>CSTM_G1V0E22PL6U</v>
      </c>
      <c r="Q436" s="6" t="str">
        <f ca="1">IFERROR(__xludf.DUMMYFUNCTION("""COMPUTED_VALUE"""),"abhilash.mangatt@gmail.com")</f>
        <v>abhilash.mangatt@gmail.com</v>
      </c>
      <c r="R436" s="6" t="str">
        <f ca="1">IFERROR(__xludf.DUMMYFUNCTION("""COMPUTED_VALUE"""),"Done. Good feedback.")</f>
        <v>Done. Good feedback.</v>
      </c>
      <c r="S436" s="6" t="str">
        <f ca="1">IFERROR(__xludf.DUMMYFUNCTION("""COMPUTED_VALUE"""),"Category")</f>
        <v>Category</v>
      </c>
      <c r="T436" s="6"/>
      <c r="U436" s="6"/>
      <c r="V436" s="6"/>
      <c r="W436" s="6"/>
      <c r="X436" s="6"/>
      <c r="Y436" s="6"/>
      <c r="Z436" s="6"/>
      <c r="AA436" s="6"/>
      <c r="AB436" s="6"/>
      <c r="AC436" s="6"/>
      <c r="AD436" s="6"/>
      <c r="AE436" s="6"/>
      <c r="AF436" s="6"/>
      <c r="AG436" s="6"/>
      <c r="AH436" s="6"/>
      <c r="AI436" s="6"/>
      <c r="AJ436" s="6"/>
      <c r="AK436" s="6"/>
      <c r="AL436" s="6"/>
    </row>
    <row r="437" spans="1:38">
      <c r="A437" s="96">
        <f ca="1">IFERROR(__xludf.DUMMYFUNCTION("""COMPUTED_VALUE"""),44355)</f>
        <v>44355</v>
      </c>
      <c r="B437" s="6" t="str">
        <f ca="1">IFERROR(__xludf.DUMMYFUNCTION("""COMPUTED_VALUE"""),"Ashish Awandkar")</f>
        <v>Ashish Awandkar</v>
      </c>
      <c r="C437" s="6" t="str">
        <f ca="1">IFERROR(__xludf.DUMMYFUNCTION("""COMPUTED_VALUE"""),"ashishawandkar@gmail.com")</f>
        <v>ashishawandkar@gmail.com</v>
      </c>
      <c r="D437" s="6">
        <f ca="1">IFERROR(__xludf.DUMMYFUNCTION("""COMPUTED_VALUE"""),9890136459)</f>
        <v>9890136459</v>
      </c>
      <c r="E437" s="6" t="str">
        <f ca="1">IFERROR(__xludf.DUMMYFUNCTION("""COMPUTED_VALUE"""),"Query box")</f>
        <v>Query box</v>
      </c>
      <c r="F437" s="6" t="str">
        <f ca="1">IFERROR(__xludf.DUMMYFUNCTION("""COMPUTED_VALUE"""),"PSM")</f>
        <v>PSM</v>
      </c>
      <c r="G437" s="80">
        <f ca="1">IFERROR(__xludf.DUMMYFUNCTION("""COMPUTED_VALUE"""),44348)</f>
        <v>44348</v>
      </c>
      <c r="H437" s="6" t="str">
        <f ca="1">IFERROR(__xludf.DUMMYFUNCTION("""COMPUTED_VALUE"""),"Won")</f>
        <v>Won</v>
      </c>
      <c r="I437" s="6" t="str">
        <f ca="1">IFERROR(__xludf.DUMMYFUNCTION("""COMPUTED_VALUE"""),"12-13 June 2021")</f>
        <v>12-13 June 2021</v>
      </c>
      <c r="J437" s="6">
        <f ca="1">IFERROR(__xludf.DUMMYFUNCTION("""COMPUTED_VALUE"""),1)</f>
        <v>1</v>
      </c>
      <c r="K437" s="8">
        <f ca="1">IFERROR(__xludf.DUMMYFUNCTION("""COMPUTED_VALUE"""),20000)</f>
        <v>20000</v>
      </c>
      <c r="L437" s="8">
        <f ca="1">IFERROR(__xludf.DUMMYFUNCTION("""COMPUTED_VALUE"""),229.042601923957)</f>
        <v>229.04260192395699</v>
      </c>
      <c r="M437" s="96">
        <f ca="1">IFERROR(__xludf.DUMMYFUNCTION("""COMPUTED_VALUE"""),44355)</f>
        <v>44355</v>
      </c>
      <c r="N437" s="6" t="str">
        <f ca="1">IFERROR(__xludf.DUMMYFUNCTION("""COMPUTED_VALUE"""),"F10")</f>
        <v>F10</v>
      </c>
      <c r="O437" s="97">
        <f ca="1">IFERROR(__xludf.DUMMYFUNCTION("""COMPUTED_VALUE"""),44355)</f>
        <v>44355</v>
      </c>
      <c r="P437" s="6" t="str">
        <f ca="1">IFERROR(__xludf.DUMMYFUNCTION("""COMPUTED_VALUE"""),"CSTM_E61NHCUWREX")</f>
        <v>CSTM_E61NHCUWREX</v>
      </c>
      <c r="Q437" s="6"/>
      <c r="R437" s="6" t="str">
        <f ca="1">IFERROR(__xludf.DUMMYFUNCTION("""COMPUTED_VALUE"""),"Done. Good feedback.")</f>
        <v>Done. Good feedback.</v>
      </c>
      <c r="S437" s="6" t="str">
        <f ca="1">IFERROR(__xludf.DUMMYFUNCTION("""COMPUTED_VALUE"""),"Category")</f>
        <v>Category</v>
      </c>
      <c r="T437" s="6"/>
      <c r="U437" s="6"/>
      <c r="V437" s="6"/>
      <c r="W437" s="6"/>
      <c r="X437" s="6"/>
      <c r="Y437" s="6"/>
      <c r="Z437" s="6"/>
      <c r="AA437" s="6"/>
      <c r="AB437" s="6"/>
      <c r="AC437" s="6"/>
      <c r="AD437" s="6"/>
      <c r="AE437" s="6"/>
      <c r="AF437" s="6"/>
      <c r="AG437" s="6"/>
      <c r="AH437" s="6"/>
      <c r="AI437" s="6"/>
      <c r="AJ437" s="6"/>
      <c r="AK437" s="6"/>
      <c r="AL437" s="6"/>
    </row>
    <row r="438" spans="1:38">
      <c r="A438" s="96">
        <f ca="1">IFERROR(__xludf.DUMMYFUNCTION("""COMPUTED_VALUE"""),44355)</f>
        <v>44355</v>
      </c>
      <c r="B438" s="6" t="str">
        <f ca="1">IFERROR(__xludf.DUMMYFUNCTION("""COMPUTED_VALUE"""),"Mitesh Solanki")</f>
        <v>Mitesh Solanki</v>
      </c>
      <c r="C438" s="6" t="str">
        <f ca="1">IFERROR(__xludf.DUMMYFUNCTION("""COMPUTED_VALUE"""),"ma.solanki@yahoo.com")</f>
        <v>ma.solanki@yahoo.com</v>
      </c>
      <c r="D438" s="6">
        <f ca="1">IFERROR(__xludf.DUMMYFUNCTION("""COMPUTED_VALUE"""),7507187917)</f>
        <v>7507187917</v>
      </c>
      <c r="E438" s="6" t="str">
        <f ca="1">IFERROR(__xludf.DUMMYFUNCTION("""COMPUTED_VALUE"""),"Reference")</f>
        <v>Reference</v>
      </c>
      <c r="F438" s="6" t="str">
        <f ca="1">IFERROR(__xludf.DUMMYFUNCTION("""COMPUTED_VALUE"""),"CSM")</f>
        <v>CSM</v>
      </c>
      <c r="G438" s="80">
        <f ca="1">IFERROR(__xludf.DUMMYFUNCTION("""COMPUTED_VALUE"""),44348)</f>
        <v>44348</v>
      </c>
      <c r="H438" s="6" t="str">
        <f ca="1">IFERROR(__xludf.DUMMYFUNCTION("""COMPUTED_VALUE"""),"Won")</f>
        <v>Won</v>
      </c>
      <c r="I438" s="6" t="str">
        <f ca="1">IFERROR(__xludf.DUMMYFUNCTION("""COMPUTED_VALUE"""),"26-27 June 2021")</f>
        <v>26-27 June 2021</v>
      </c>
      <c r="J438" s="6">
        <f ca="1">IFERROR(__xludf.DUMMYFUNCTION("""COMPUTED_VALUE"""),1)</f>
        <v>1</v>
      </c>
      <c r="K438" s="8">
        <f ca="1">IFERROR(__xludf.DUMMYFUNCTION("""COMPUTED_VALUE"""),19000)</f>
        <v>19000</v>
      </c>
      <c r="L438" s="8">
        <f ca="1">IFERROR(__xludf.DUMMYFUNCTION("""COMPUTED_VALUE"""),217.590471827759)</f>
        <v>217.59047182775899</v>
      </c>
      <c r="M438" s="96">
        <f ca="1">IFERROR(__xludf.DUMMYFUNCTION("""COMPUTED_VALUE"""),44355)</f>
        <v>44355</v>
      </c>
      <c r="N438" s="6" t="str">
        <f ca="1">IFERROR(__xludf.DUMMYFUNCTION("""COMPUTED_VALUE"""),"F10")</f>
        <v>F10</v>
      </c>
      <c r="O438" s="97">
        <f ca="1">IFERROR(__xludf.DUMMYFUNCTION("""COMPUTED_VALUE"""),44355)</f>
        <v>44355</v>
      </c>
      <c r="P438" s="6" t="str">
        <f ca="1">IFERROR(__xludf.DUMMYFUNCTION("""COMPUTED_VALUE"""),"CSTM_DQV8B04FAL5")</f>
        <v>CSTM_DQV8B04FAL5</v>
      </c>
      <c r="Q438" s="6"/>
      <c r="R438" s="6" t="str">
        <f ca="1">IFERROR(__xludf.DUMMYFUNCTION("""COMPUTED_VALUE"""),"Done. Good feedback.")</f>
        <v>Done. Good feedback.</v>
      </c>
      <c r="S438" s="6" t="str">
        <f ca="1">IFERROR(__xludf.DUMMYFUNCTION("""COMPUTED_VALUE"""),"Category")</f>
        <v>Category</v>
      </c>
      <c r="T438" s="6"/>
      <c r="U438" s="6"/>
      <c r="V438" s="6"/>
      <c r="W438" s="6"/>
      <c r="X438" s="6"/>
      <c r="Y438" s="6"/>
      <c r="Z438" s="6"/>
      <c r="AA438" s="6"/>
      <c r="AB438" s="6"/>
      <c r="AC438" s="6"/>
      <c r="AD438" s="6"/>
      <c r="AE438" s="6"/>
      <c r="AF438" s="6"/>
      <c r="AG438" s="6"/>
      <c r="AH438" s="6"/>
      <c r="AI438" s="6"/>
      <c r="AJ438" s="6"/>
      <c r="AK438" s="6"/>
      <c r="AL438" s="6"/>
    </row>
    <row r="439" spans="1:38">
      <c r="A439" s="96">
        <f ca="1">IFERROR(__xludf.DUMMYFUNCTION("""COMPUTED_VALUE"""),44355)</f>
        <v>44355</v>
      </c>
      <c r="B439" s="6" t="str">
        <f ca="1">IFERROR(__xludf.DUMMYFUNCTION("""COMPUTED_VALUE"""),"Ankit Gupta")</f>
        <v>Ankit Gupta</v>
      </c>
      <c r="C439" s="6" t="str">
        <f ca="1">IFERROR(__xludf.DUMMYFUNCTION("""COMPUTED_VALUE"""),"ankitguptatester@gmail.com")</f>
        <v>ankitguptatester@gmail.com</v>
      </c>
      <c r="D439" s="6">
        <f ca="1">IFERROR(__xludf.DUMMYFUNCTION("""COMPUTED_VALUE"""),9716974627)</f>
        <v>9716974627</v>
      </c>
      <c r="E439" s="6" t="str">
        <f ca="1">IFERROR(__xludf.DUMMYFUNCTION("""COMPUTED_VALUE"""),"auto-repeat")</f>
        <v>auto-repeat</v>
      </c>
      <c r="F439" s="6" t="str">
        <f ca="1">IFERROR(__xludf.DUMMYFUNCTION("""COMPUTED_VALUE"""),"CSM")</f>
        <v>CSM</v>
      </c>
      <c r="G439" s="80">
        <f ca="1">IFERROR(__xludf.DUMMYFUNCTION("""COMPUTED_VALUE"""),44348)</f>
        <v>44348</v>
      </c>
      <c r="H439" s="6" t="str">
        <f ca="1">IFERROR(__xludf.DUMMYFUNCTION("""COMPUTED_VALUE"""),"Won")</f>
        <v>Won</v>
      </c>
      <c r="I439" s="6" t="str">
        <f ca="1">IFERROR(__xludf.DUMMYFUNCTION("""COMPUTED_VALUE"""),"26-27 June 2021")</f>
        <v>26-27 June 2021</v>
      </c>
      <c r="J439" s="6">
        <f ca="1">IFERROR(__xludf.DUMMYFUNCTION("""COMPUTED_VALUE"""),1)</f>
        <v>1</v>
      </c>
      <c r="K439" s="8">
        <f ca="1">IFERROR(__xludf.DUMMYFUNCTION("""COMPUTED_VALUE"""),18000)</f>
        <v>18000</v>
      </c>
      <c r="L439" s="8">
        <f ca="1">IFERROR(__xludf.DUMMYFUNCTION("""COMPUTED_VALUE"""),206.138341731562)</f>
        <v>206.13834173156201</v>
      </c>
      <c r="M439" s="96">
        <f ca="1">IFERROR(__xludf.DUMMYFUNCTION("""COMPUTED_VALUE"""),44355)</f>
        <v>44355</v>
      </c>
      <c r="N439" s="6" t="str">
        <f ca="1">IFERROR(__xludf.DUMMYFUNCTION("""COMPUTED_VALUE"""),"F10")</f>
        <v>F10</v>
      </c>
      <c r="O439" s="97">
        <f ca="1">IFERROR(__xludf.DUMMYFUNCTION("""COMPUTED_VALUE"""),44355)</f>
        <v>44355</v>
      </c>
      <c r="P439" s="6" t="str">
        <f ca="1">IFERROR(__xludf.DUMMYFUNCTION("""COMPUTED_VALUE"""),"CSTM_1DMZT04GIJG")</f>
        <v>CSTM_1DMZT04GIJG</v>
      </c>
      <c r="Q439" s="6"/>
      <c r="R439" s="6" t="str">
        <f ca="1">IFERROR(__xludf.DUMMYFUNCTION("""COMPUTED_VALUE"""),"Done. Good feedback.")</f>
        <v>Done. Good feedback.</v>
      </c>
      <c r="S439" s="6" t="str">
        <f ca="1">IFERROR(__xludf.DUMMYFUNCTION("""COMPUTED_VALUE"""),"Category")</f>
        <v>Category</v>
      </c>
      <c r="T439" s="6"/>
      <c r="U439" s="6"/>
      <c r="V439" s="6"/>
      <c r="W439" s="6"/>
      <c r="X439" s="6"/>
      <c r="Y439" s="6"/>
      <c r="Z439" s="6"/>
      <c r="AA439" s="6"/>
      <c r="AB439" s="6"/>
      <c r="AC439" s="6"/>
      <c r="AD439" s="6"/>
      <c r="AE439" s="6"/>
      <c r="AF439" s="6"/>
      <c r="AG439" s="6"/>
      <c r="AH439" s="6"/>
      <c r="AI439" s="6"/>
      <c r="AJ439" s="6"/>
      <c r="AK439" s="6"/>
      <c r="AL439" s="6"/>
    </row>
    <row r="440" spans="1:38">
      <c r="A440" s="96">
        <f ca="1">IFERROR(__xludf.DUMMYFUNCTION("""COMPUTED_VALUE"""),44355)</f>
        <v>44355</v>
      </c>
      <c r="B440" s="6" t="str">
        <f ca="1">IFERROR(__xludf.DUMMYFUNCTION("""COMPUTED_VALUE"""),"Chandrika Pulivarthi")</f>
        <v>Chandrika Pulivarthi</v>
      </c>
      <c r="C440" s="6" t="str">
        <f ca="1">IFERROR(__xludf.DUMMYFUNCTION("""COMPUTED_VALUE"""),"chandrikapulivarthi@gmail.com")</f>
        <v>chandrikapulivarthi@gmail.com</v>
      </c>
      <c r="D440" s="6">
        <f ca="1">IFERROR(__xludf.DUMMYFUNCTION("""COMPUTED_VALUE"""),9573481339)</f>
        <v>9573481339</v>
      </c>
      <c r="E440" s="6" t="str">
        <f ca="1">IFERROR(__xludf.DUMMYFUNCTION("""COMPUTED_VALUE"""),"course preview")</f>
        <v>course preview</v>
      </c>
      <c r="F440" s="6" t="str">
        <f ca="1">IFERROR(__xludf.DUMMYFUNCTION("""COMPUTED_VALUE"""),"PSM")</f>
        <v>PSM</v>
      </c>
      <c r="G440" s="80">
        <f ca="1">IFERROR(__xludf.DUMMYFUNCTION("""COMPUTED_VALUE"""),44348)</f>
        <v>44348</v>
      </c>
      <c r="H440" s="6" t="str">
        <f ca="1">IFERROR(__xludf.DUMMYFUNCTION("""COMPUTED_VALUE"""),"Won")</f>
        <v>Won</v>
      </c>
      <c r="I440" s="6" t="str">
        <f ca="1">IFERROR(__xludf.DUMMYFUNCTION("""COMPUTED_VALUE"""),"12-13 June 2021")</f>
        <v>12-13 June 2021</v>
      </c>
      <c r="J440" s="6">
        <f ca="1">IFERROR(__xludf.DUMMYFUNCTION("""COMPUTED_VALUE"""),1)</f>
        <v>1</v>
      </c>
      <c r="K440" s="8">
        <f ca="1">IFERROR(__xludf.DUMMYFUNCTION("""COMPUTED_VALUE"""),20500)</f>
        <v>20500</v>
      </c>
      <c r="L440" s="8">
        <f ca="1">IFERROR(__xludf.DUMMYFUNCTION("""COMPUTED_VALUE"""),234.768666972056)</f>
        <v>234.768666972056</v>
      </c>
      <c r="M440" s="96">
        <f ca="1">IFERROR(__xludf.DUMMYFUNCTION("""COMPUTED_VALUE"""),44355)</f>
        <v>44355</v>
      </c>
      <c r="N440" s="6" t="str">
        <f ca="1">IFERROR(__xludf.DUMMYFUNCTION("""COMPUTED_VALUE"""),"F10")</f>
        <v>F10</v>
      </c>
      <c r="O440" s="97">
        <f ca="1">IFERROR(__xludf.DUMMYFUNCTION("""COMPUTED_VALUE"""),44356)</f>
        <v>44356</v>
      </c>
      <c r="P440" s="6" t="str">
        <f ca="1">IFERROR(__xludf.DUMMYFUNCTION("""COMPUTED_VALUE"""),"CSTM_3KH42BUFBU5")</f>
        <v>CSTM_3KH42BUFBU5</v>
      </c>
      <c r="Q440" s="6"/>
      <c r="R440" s="6" t="str">
        <f ca="1">IFERROR(__xludf.DUMMYFUNCTION("""COMPUTED_VALUE"""),"Done. Good feedback.")</f>
        <v>Done. Good feedback.</v>
      </c>
      <c r="S440" s="6" t="str">
        <f ca="1">IFERROR(__xludf.DUMMYFUNCTION("""COMPUTED_VALUE"""),"Category")</f>
        <v>Category</v>
      </c>
      <c r="T440" s="6"/>
      <c r="U440" s="6"/>
      <c r="V440" s="6"/>
      <c r="W440" s="6"/>
      <c r="X440" s="6"/>
      <c r="Y440" s="6"/>
      <c r="Z440" s="6"/>
      <c r="AA440" s="6"/>
      <c r="AB440" s="6"/>
      <c r="AC440" s="6"/>
      <c r="AD440" s="6"/>
      <c r="AE440" s="6"/>
      <c r="AF440" s="6"/>
      <c r="AG440" s="6"/>
      <c r="AH440" s="6"/>
      <c r="AI440" s="6"/>
      <c r="AJ440" s="6"/>
      <c r="AK440" s="6"/>
      <c r="AL440" s="6"/>
    </row>
    <row r="441" spans="1:38">
      <c r="A441" s="96">
        <f ca="1">IFERROR(__xludf.DUMMYFUNCTION("""COMPUTED_VALUE"""),44356)</f>
        <v>44356</v>
      </c>
      <c r="B441" s="6" t="str">
        <f ca="1">IFERROR(__xludf.DUMMYFUNCTION("""COMPUTED_VALUE"""),"Pavithra Balaji")</f>
        <v>Pavithra Balaji</v>
      </c>
      <c r="C441" s="6" t="str">
        <f ca="1">IFERROR(__xludf.DUMMYFUNCTION("""COMPUTED_VALUE"""),"pavithrabalaji0@gmail.com")</f>
        <v>pavithrabalaji0@gmail.com</v>
      </c>
      <c r="D441" s="6">
        <f ca="1">IFERROR(__xludf.DUMMYFUNCTION("""COMPUTED_VALUE"""),9742873384)</f>
        <v>9742873384</v>
      </c>
      <c r="E441" s="6" t="str">
        <f ca="1">IFERROR(__xludf.DUMMYFUNCTION("""COMPUTED_VALUE"""),"Reference")</f>
        <v>Reference</v>
      </c>
      <c r="F441" s="6" t="str">
        <f ca="1">IFERROR(__xludf.DUMMYFUNCTION("""COMPUTED_VALUE"""),"DevOps Engineer Masters")</f>
        <v>DevOps Engineer Masters</v>
      </c>
      <c r="G441" s="80">
        <f ca="1">IFERROR(__xludf.DUMMYFUNCTION("""COMPUTED_VALUE"""),44348)</f>
        <v>44348</v>
      </c>
      <c r="H441" s="6" t="str">
        <f ca="1">IFERROR(__xludf.DUMMYFUNCTION("""COMPUTED_VALUE"""),"Won")</f>
        <v>Won</v>
      </c>
      <c r="I441" s="6" t="str">
        <f ca="1">IFERROR(__xludf.DUMMYFUNCTION("""COMPUTED_VALUE"""),"June 2021")</f>
        <v>June 2021</v>
      </c>
      <c r="J441" s="6">
        <f ca="1">IFERROR(__xludf.DUMMYFUNCTION("""COMPUTED_VALUE"""),1)</f>
        <v>1</v>
      </c>
      <c r="K441" s="8">
        <f ca="1">IFERROR(__xludf.DUMMYFUNCTION("""COMPUTED_VALUE"""),4500)</f>
        <v>4500</v>
      </c>
      <c r="L441" s="8">
        <f ca="1">IFERROR(__xludf.DUMMYFUNCTION("""COMPUTED_VALUE"""),51.5345854328905)</f>
        <v>51.534585432890502</v>
      </c>
      <c r="M441" s="96">
        <f ca="1">IFERROR(__xludf.DUMMYFUNCTION("""COMPUTED_VALUE"""),44356)</f>
        <v>44356</v>
      </c>
      <c r="N441" s="6" t="str">
        <f ca="1">IFERROR(__xludf.DUMMYFUNCTION("""COMPUTED_VALUE"""),"F10")</f>
        <v>F10</v>
      </c>
      <c r="O441" s="97">
        <f ca="1">IFERROR(__xludf.DUMMYFUNCTION("""COMPUTED_VALUE"""),44356)</f>
        <v>44356</v>
      </c>
      <c r="P441" s="6" t="str">
        <f ca="1">IFERROR(__xludf.DUMMYFUNCTION("""COMPUTED_VALUE"""),"CSTM_GWWSROOBOKN")</f>
        <v>CSTM_GWWSROOBOKN</v>
      </c>
      <c r="Q441" s="6"/>
      <c r="R441" s="6"/>
      <c r="S441" s="6" t="str">
        <f ca="1">IFERROR(__xludf.DUMMYFUNCTION("""COMPUTED_VALUE"""),"NonCategory")</f>
        <v>NonCategory</v>
      </c>
      <c r="T441" s="6"/>
      <c r="U441" s="6"/>
      <c r="V441" s="6"/>
      <c r="W441" s="6"/>
      <c r="X441" s="6"/>
      <c r="Y441" s="6"/>
      <c r="Z441" s="6"/>
      <c r="AA441" s="6"/>
      <c r="AB441" s="6"/>
      <c r="AC441" s="6"/>
      <c r="AD441" s="6"/>
      <c r="AE441" s="6"/>
      <c r="AF441" s="6"/>
      <c r="AG441" s="6"/>
      <c r="AH441" s="6"/>
      <c r="AI441" s="6"/>
      <c r="AJ441" s="6"/>
      <c r="AK441" s="6"/>
      <c r="AL441" s="6"/>
    </row>
    <row r="442" spans="1:38">
      <c r="A442" s="96">
        <f ca="1">IFERROR(__xludf.DUMMYFUNCTION("""COMPUTED_VALUE"""),44357)</f>
        <v>44357</v>
      </c>
      <c r="B442" s="6" t="str">
        <f ca="1">IFERROR(__xludf.DUMMYFUNCTION("""COMPUTED_VALUE"""),"Sarosh Husain")</f>
        <v>Sarosh Husain</v>
      </c>
      <c r="C442" s="6" t="str">
        <f ca="1">IFERROR(__xludf.DUMMYFUNCTION("""COMPUTED_VALUE"""),"saroshhusain24@gmail.com")</f>
        <v>saroshhusain24@gmail.com</v>
      </c>
      <c r="D442" s="6">
        <f ca="1">IFERROR(__xludf.DUMMYFUNCTION("""COMPUTED_VALUE"""),9611566448)</f>
        <v>9611566448</v>
      </c>
      <c r="E442" s="6" t="str">
        <f ca="1">IFERROR(__xludf.DUMMYFUNCTION("""COMPUTED_VALUE"""),"Query box")</f>
        <v>Query box</v>
      </c>
      <c r="F442" s="6" t="str">
        <f ca="1">IFERROR(__xludf.DUMMYFUNCTION("""COMPUTED_VALUE"""),"CSM")</f>
        <v>CSM</v>
      </c>
      <c r="G442" s="80">
        <f ca="1">IFERROR(__xludf.DUMMYFUNCTION("""COMPUTED_VALUE"""),44348)</f>
        <v>44348</v>
      </c>
      <c r="H442" s="6" t="str">
        <f ca="1">IFERROR(__xludf.DUMMYFUNCTION("""COMPUTED_VALUE"""),"Won")</f>
        <v>Won</v>
      </c>
      <c r="I442" s="6" t="str">
        <f ca="1">IFERROR(__xludf.DUMMYFUNCTION("""COMPUTED_VALUE"""),"19-20 June 2021")</f>
        <v>19-20 June 2021</v>
      </c>
      <c r="J442" s="6">
        <f ca="1">IFERROR(__xludf.DUMMYFUNCTION("""COMPUTED_VALUE"""),1)</f>
        <v>1</v>
      </c>
      <c r="K442" s="8">
        <f ca="1">IFERROR(__xludf.DUMMYFUNCTION("""COMPUTED_VALUE"""),19000)</f>
        <v>19000</v>
      </c>
      <c r="L442" s="8">
        <f ca="1">IFERROR(__xludf.DUMMYFUNCTION("""COMPUTED_VALUE"""),217.590471827759)</f>
        <v>217.59047182775899</v>
      </c>
      <c r="M442" s="96">
        <f ca="1">IFERROR(__xludf.DUMMYFUNCTION("""COMPUTED_VALUE"""),44357)</f>
        <v>44357</v>
      </c>
      <c r="N442" s="6" t="str">
        <f ca="1">IFERROR(__xludf.DUMMYFUNCTION("""COMPUTED_VALUE"""),"F10")</f>
        <v>F10</v>
      </c>
      <c r="O442" s="97">
        <f ca="1">IFERROR(__xludf.DUMMYFUNCTION("""COMPUTED_VALUE"""),44357)</f>
        <v>44357</v>
      </c>
      <c r="P442" s="6" t="str">
        <f ca="1">IFERROR(__xludf.DUMMYFUNCTION("""COMPUTED_VALUE"""),"CSTM_333FP0DSSL")</f>
        <v>CSTM_333FP0DSSL</v>
      </c>
      <c r="Q442" s="6"/>
      <c r="R442" s="6" t="str">
        <f ca="1">IFERROR(__xludf.DUMMYFUNCTION("""COMPUTED_VALUE"""),"Pending")</f>
        <v>Pending</v>
      </c>
      <c r="S442" s="6" t="str">
        <f ca="1">IFERROR(__xludf.DUMMYFUNCTION("""COMPUTED_VALUE"""),"Category")</f>
        <v>Category</v>
      </c>
      <c r="T442" s="6"/>
      <c r="U442" s="6"/>
      <c r="V442" s="6"/>
      <c r="W442" s="6"/>
      <c r="X442" s="6"/>
      <c r="Y442" s="6"/>
      <c r="Z442" s="6"/>
      <c r="AA442" s="6"/>
      <c r="AB442" s="6"/>
      <c r="AC442" s="6"/>
      <c r="AD442" s="6"/>
      <c r="AE442" s="6"/>
      <c r="AF442" s="6"/>
      <c r="AG442" s="6"/>
      <c r="AH442" s="6"/>
      <c r="AI442" s="6"/>
      <c r="AJ442" s="6"/>
      <c r="AK442" s="6"/>
      <c r="AL442" s="6"/>
    </row>
    <row r="443" spans="1:38">
      <c r="A443" s="96">
        <f ca="1">IFERROR(__xludf.DUMMYFUNCTION("""COMPUTED_VALUE"""),44357)</f>
        <v>44357</v>
      </c>
      <c r="B443" s="6" t="str">
        <f ca="1">IFERROR(__xludf.DUMMYFUNCTION("""COMPUTED_VALUE"""),"Lipishree")</f>
        <v>Lipishree</v>
      </c>
      <c r="C443" s="6" t="str">
        <f ca="1">IFERROR(__xludf.DUMMYFUNCTION("""COMPUTED_VALUE"""),"lipishree.jena@gmail.com")</f>
        <v>lipishree.jena@gmail.com</v>
      </c>
      <c r="D443" s="6">
        <f ca="1">IFERROR(__xludf.DUMMYFUNCTION("""COMPUTED_VALUE"""),9986466684)</f>
        <v>9986466684</v>
      </c>
      <c r="E443" s="6" t="str">
        <f ca="1">IFERROR(__xludf.DUMMYFUNCTION("""COMPUTED_VALUE"""),"Account Repeat")</f>
        <v>Account Repeat</v>
      </c>
      <c r="F443" s="6" t="str">
        <f ca="1">IFERROR(__xludf.DUMMYFUNCTION("""COMPUTED_VALUE"""),"ITIL 4")</f>
        <v>ITIL 4</v>
      </c>
      <c r="G443" s="80">
        <f ca="1">IFERROR(__xludf.DUMMYFUNCTION("""COMPUTED_VALUE"""),44348)</f>
        <v>44348</v>
      </c>
      <c r="H443" s="6" t="str">
        <f ca="1">IFERROR(__xludf.DUMMYFUNCTION("""COMPUTED_VALUE"""),"Won")</f>
        <v>Won</v>
      </c>
      <c r="I443" s="6" t="str">
        <f ca="1">IFERROR(__xludf.DUMMYFUNCTION("""COMPUTED_VALUE"""),"June 2021")</f>
        <v>June 2021</v>
      </c>
      <c r="J443" s="6">
        <f ca="1">IFERROR(__xludf.DUMMYFUNCTION("""COMPUTED_VALUE"""),1)</f>
        <v>1</v>
      </c>
      <c r="K443" s="8">
        <f ca="1">IFERROR(__xludf.DUMMYFUNCTION("""COMPUTED_VALUE"""),16000)</f>
        <v>16000</v>
      </c>
      <c r="L443" s="8">
        <f ca="1">IFERROR(__xludf.DUMMYFUNCTION("""COMPUTED_VALUE"""),183.234081539166)</f>
        <v>183.234081539166</v>
      </c>
      <c r="M443" s="96">
        <f ca="1">IFERROR(__xludf.DUMMYFUNCTION("""COMPUTED_VALUE"""),44357)</f>
        <v>44357</v>
      </c>
      <c r="N443" s="6" t="str">
        <f ca="1">IFERROR(__xludf.DUMMYFUNCTION("""COMPUTED_VALUE"""),"F10")</f>
        <v>F10</v>
      </c>
      <c r="O443" s="97">
        <f ca="1">IFERROR(__xludf.DUMMYFUNCTION("""COMPUTED_VALUE"""),44357)</f>
        <v>44357</v>
      </c>
      <c r="P443" s="6" t="str">
        <f ca="1">IFERROR(__xludf.DUMMYFUNCTION("""COMPUTED_VALUE"""),"CSTM_GZVZ8KIQ0DK")</f>
        <v>CSTM_GZVZ8KIQ0DK</v>
      </c>
      <c r="Q443" s="6"/>
      <c r="R443" s="6"/>
      <c r="S443" s="6" t="str">
        <f ca="1">IFERROR(__xludf.DUMMYFUNCTION("""COMPUTED_VALUE"""),"NonCategory")</f>
        <v>NonCategory</v>
      </c>
      <c r="T443" s="6"/>
      <c r="U443" s="6"/>
      <c r="V443" s="6"/>
      <c r="W443" s="6"/>
      <c r="X443" s="6"/>
      <c r="Y443" s="6"/>
      <c r="Z443" s="6"/>
      <c r="AA443" s="6"/>
      <c r="AB443" s="6"/>
      <c r="AC443" s="6"/>
      <c r="AD443" s="6"/>
      <c r="AE443" s="6"/>
      <c r="AF443" s="6"/>
      <c r="AG443" s="6"/>
      <c r="AH443" s="6"/>
      <c r="AI443" s="6"/>
      <c r="AJ443" s="6"/>
      <c r="AK443" s="6"/>
      <c r="AL443" s="6"/>
    </row>
    <row r="444" spans="1:38">
      <c r="A444" s="96">
        <f ca="1">IFERROR(__xludf.DUMMYFUNCTION("""COMPUTED_VALUE"""),44357)</f>
        <v>44357</v>
      </c>
      <c r="B444" s="6" t="str">
        <f ca="1">IFERROR(__xludf.DUMMYFUNCTION("""COMPUTED_VALUE"""),"Rashmi Nair")</f>
        <v>Rashmi Nair</v>
      </c>
      <c r="C444" s="6" t="str">
        <f ca="1">IFERROR(__xludf.DUMMYFUNCTION("""COMPUTED_VALUE"""),"nair3.rashmi@gmail.com")</f>
        <v>nair3.rashmi@gmail.com</v>
      </c>
      <c r="D444" s="6">
        <f ca="1">IFERROR(__xludf.DUMMYFUNCTION("""COMPUTED_VALUE"""),9823554360)</f>
        <v>9823554360</v>
      </c>
      <c r="E444" s="6" t="str">
        <f ca="1">IFERROR(__xludf.DUMMYFUNCTION("""COMPUTED_VALUE"""),"course agenda")</f>
        <v>course agenda</v>
      </c>
      <c r="F444" s="6" t="str">
        <f ca="1">IFERROR(__xludf.DUMMYFUNCTION("""COMPUTED_VALUE"""),"PSM")</f>
        <v>PSM</v>
      </c>
      <c r="G444" s="80">
        <f ca="1">IFERROR(__xludf.DUMMYFUNCTION("""COMPUTED_VALUE"""),44348)</f>
        <v>44348</v>
      </c>
      <c r="H444" s="6" t="str">
        <f ca="1">IFERROR(__xludf.DUMMYFUNCTION("""COMPUTED_VALUE"""),"Won")</f>
        <v>Won</v>
      </c>
      <c r="I444" s="6" t="str">
        <f ca="1">IFERROR(__xludf.DUMMYFUNCTION("""COMPUTED_VALUE"""),"19-20 June 2021")</f>
        <v>19-20 June 2021</v>
      </c>
      <c r="J444" s="6">
        <f ca="1">IFERROR(__xludf.DUMMYFUNCTION("""COMPUTED_VALUE"""),1)</f>
        <v>1</v>
      </c>
      <c r="K444" s="8">
        <f ca="1">IFERROR(__xludf.DUMMYFUNCTION("""COMPUTED_VALUE"""),21000)</f>
        <v>21000</v>
      </c>
      <c r="L444" s="8">
        <f ca="1">IFERROR(__xludf.DUMMYFUNCTION("""COMPUTED_VALUE"""),240.494732020155)</f>
        <v>240.494732020155</v>
      </c>
      <c r="M444" s="96">
        <f ca="1">IFERROR(__xludf.DUMMYFUNCTION("""COMPUTED_VALUE"""),44357)</f>
        <v>44357</v>
      </c>
      <c r="N444" s="6" t="str">
        <f ca="1">IFERROR(__xludf.DUMMYFUNCTION("""COMPUTED_VALUE"""),"F10")</f>
        <v>F10</v>
      </c>
      <c r="O444" s="97">
        <f ca="1">IFERROR(__xludf.DUMMYFUNCTION("""COMPUTED_VALUE"""),44357)</f>
        <v>44357</v>
      </c>
      <c r="P444" s="6" t="str">
        <f ca="1">IFERROR(__xludf.DUMMYFUNCTION("""COMPUTED_VALUE"""),"CSTM_3XSW12EELW9")</f>
        <v>CSTM_3XSW12EELW9</v>
      </c>
      <c r="Q444" s="6"/>
      <c r="R444" s="6" t="str">
        <f ca="1">IFERROR(__xludf.DUMMYFUNCTION("""COMPUTED_VALUE"""),"Done. Good feedback.")</f>
        <v>Done. Good feedback.</v>
      </c>
      <c r="S444" s="6" t="str">
        <f ca="1">IFERROR(__xludf.DUMMYFUNCTION("""COMPUTED_VALUE"""),"Category")</f>
        <v>Category</v>
      </c>
      <c r="T444" s="6"/>
      <c r="U444" s="6"/>
      <c r="V444" s="6"/>
      <c r="W444" s="6"/>
      <c r="X444" s="6"/>
      <c r="Y444" s="6"/>
      <c r="Z444" s="6"/>
      <c r="AA444" s="6"/>
      <c r="AB444" s="6"/>
      <c r="AC444" s="6"/>
      <c r="AD444" s="6"/>
      <c r="AE444" s="6"/>
      <c r="AF444" s="6"/>
      <c r="AG444" s="6"/>
      <c r="AH444" s="6"/>
      <c r="AI444" s="6"/>
      <c r="AJ444" s="6"/>
      <c r="AK444" s="6"/>
      <c r="AL444" s="6"/>
    </row>
    <row r="445" spans="1:38">
      <c r="A445" s="96">
        <f ca="1">IFERROR(__xludf.DUMMYFUNCTION("""COMPUTED_VALUE"""),44357)</f>
        <v>44357</v>
      </c>
      <c r="B445" s="6" t="str">
        <f ca="1">IFERROR(__xludf.DUMMYFUNCTION("""COMPUTED_VALUE"""),"Snehal Bothare")</f>
        <v>Snehal Bothare</v>
      </c>
      <c r="C445" s="6" t="str">
        <f ca="1">IFERROR(__xludf.DUMMYFUNCTION("""COMPUTED_VALUE"""),"snehal.bothare@gmail.com")</f>
        <v>snehal.bothare@gmail.com</v>
      </c>
      <c r="D445" s="6">
        <f ca="1">IFERROR(__xludf.DUMMYFUNCTION("""COMPUTED_VALUE"""),9860258585)</f>
        <v>9860258585</v>
      </c>
      <c r="E445" s="6" t="str">
        <f ca="1">IFERROR(__xludf.DUMMYFUNCTION("""COMPUTED_VALUE"""),"Reference")</f>
        <v>Reference</v>
      </c>
      <c r="F445" s="6" t="str">
        <f ca="1">IFERROR(__xludf.DUMMYFUNCTION("""COMPUTED_VALUE"""),"PSM")</f>
        <v>PSM</v>
      </c>
      <c r="G445" s="80">
        <f ca="1">IFERROR(__xludf.DUMMYFUNCTION("""COMPUTED_VALUE"""),44348)</f>
        <v>44348</v>
      </c>
      <c r="H445" s="6" t="str">
        <f ca="1">IFERROR(__xludf.DUMMYFUNCTION("""COMPUTED_VALUE"""),"Won")</f>
        <v>Won</v>
      </c>
      <c r="I445" s="6" t="str">
        <f ca="1">IFERROR(__xludf.DUMMYFUNCTION("""COMPUTED_VALUE"""),"19-20 June 2021")</f>
        <v>19-20 June 2021</v>
      </c>
      <c r="J445" s="6">
        <f ca="1">IFERROR(__xludf.DUMMYFUNCTION("""COMPUTED_VALUE"""),1)</f>
        <v>1</v>
      </c>
      <c r="K445" s="8">
        <f ca="1">IFERROR(__xludf.DUMMYFUNCTION("""COMPUTED_VALUE"""),21000)</f>
        <v>21000</v>
      </c>
      <c r="L445" s="8">
        <f ca="1">IFERROR(__xludf.DUMMYFUNCTION("""COMPUTED_VALUE"""),240.494732020155)</f>
        <v>240.494732020155</v>
      </c>
      <c r="M445" s="96">
        <f ca="1">IFERROR(__xludf.DUMMYFUNCTION("""COMPUTED_VALUE"""),44357)</f>
        <v>44357</v>
      </c>
      <c r="N445" s="6" t="str">
        <f ca="1">IFERROR(__xludf.DUMMYFUNCTION("""COMPUTED_VALUE"""),"F10")</f>
        <v>F10</v>
      </c>
      <c r="O445" s="97">
        <f ca="1">IFERROR(__xludf.DUMMYFUNCTION("""COMPUTED_VALUE"""),44357)</f>
        <v>44357</v>
      </c>
      <c r="P445" s="6" t="str">
        <f ca="1">IFERROR(__xludf.DUMMYFUNCTION("""COMPUTED_VALUE"""),"CSTM_B7UNGE4LZM9")</f>
        <v>CSTM_B7UNGE4LZM9</v>
      </c>
      <c r="Q445" s="6" t="str">
        <f ca="1">IFERROR(__xludf.DUMMYFUNCTION("""COMPUTED_VALUE"""),"Reference by Rashmi Nair")</f>
        <v>Reference by Rashmi Nair</v>
      </c>
      <c r="R445" s="6" t="str">
        <f ca="1">IFERROR(__xludf.DUMMYFUNCTION("""COMPUTED_VALUE"""),"Done. Good feedback.")</f>
        <v>Done. Good feedback.</v>
      </c>
      <c r="S445" s="6" t="str">
        <f ca="1">IFERROR(__xludf.DUMMYFUNCTION("""COMPUTED_VALUE"""),"Category")</f>
        <v>Category</v>
      </c>
      <c r="T445" s="6"/>
      <c r="U445" s="6"/>
      <c r="V445" s="6"/>
      <c r="W445" s="6"/>
      <c r="X445" s="6"/>
      <c r="Y445" s="6"/>
      <c r="Z445" s="6"/>
      <c r="AA445" s="6"/>
      <c r="AB445" s="6"/>
      <c r="AC445" s="6"/>
      <c r="AD445" s="6"/>
      <c r="AE445" s="6"/>
      <c r="AF445" s="6"/>
      <c r="AG445" s="6"/>
      <c r="AH445" s="6"/>
      <c r="AI445" s="6"/>
      <c r="AJ445" s="6"/>
      <c r="AK445" s="6"/>
      <c r="AL445" s="6"/>
    </row>
    <row r="446" spans="1:38">
      <c r="A446" s="96">
        <f ca="1">IFERROR(__xludf.DUMMYFUNCTION("""COMPUTED_VALUE"""),44358)</f>
        <v>44358</v>
      </c>
      <c r="B446" s="6" t="str">
        <f ca="1">IFERROR(__xludf.DUMMYFUNCTION("""COMPUTED_VALUE"""),"Blessin")</f>
        <v>Blessin</v>
      </c>
      <c r="C446" s="6" t="str">
        <f ca="1">IFERROR(__xludf.DUMMYFUNCTION("""COMPUTED_VALUE"""),"contact.blessin@gmail.com")</f>
        <v>contact.blessin@gmail.com</v>
      </c>
      <c r="D446" s="6">
        <f ca="1">IFERROR(__xludf.DUMMYFUNCTION("""COMPUTED_VALUE"""),7838158317)</f>
        <v>7838158317</v>
      </c>
      <c r="E446" s="6" t="str">
        <f ca="1">IFERROR(__xludf.DUMMYFUNCTION("""COMPUTED_VALUE"""),"course agenda")</f>
        <v>course agenda</v>
      </c>
      <c r="F446" s="6" t="str">
        <f ca="1">IFERROR(__xludf.DUMMYFUNCTION("""COMPUTED_VALUE"""),"PSM")</f>
        <v>PSM</v>
      </c>
      <c r="G446" s="80">
        <f ca="1">IFERROR(__xludf.DUMMYFUNCTION("""COMPUTED_VALUE"""),44348)</f>
        <v>44348</v>
      </c>
      <c r="H446" s="6" t="str">
        <f ca="1">IFERROR(__xludf.DUMMYFUNCTION("""COMPUTED_VALUE"""),"Won")</f>
        <v>Won</v>
      </c>
      <c r="I446" s="6" t="str">
        <f ca="1">IFERROR(__xludf.DUMMYFUNCTION("""COMPUTED_VALUE"""),"12-13 June 2021")</f>
        <v>12-13 June 2021</v>
      </c>
      <c r="J446" s="6">
        <f ca="1">IFERROR(__xludf.DUMMYFUNCTION("""COMPUTED_VALUE"""),1)</f>
        <v>1</v>
      </c>
      <c r="K446" s="8">
        <f ca="1">IFERROR(__xludf.DUMMYFUNCTION("""COMPUTED_VALUE"""),20500)</f>
        <v>20500</v>
      </c>
      <c r="L446" s="8">
        <f ca="1">IFERROR(__xludf.DUMMYFUNCTION("""COMPUTED_VALUE"""),234.768666972056)</f>
        <v>234.768666972056</v>
      </c>
      <c r="M446" s="96">
        <f ca="1">IFERROR(__xludf.DUMMYFUNCTION("""COMPUTED_VALUE"""),44358)</f>
        <v>44358</v>
      </c>
      <c r="N446" s="6" t="str">
        <f ca="1">IFERROR(__xludf.DUMMYFUNCTION("""COMPUTED_VALUE"""),"S10")</f>
        <v>S10</v>
      </c>
      <c r="O446" s="97">
        <f ca="1">IFERROR(__xludf.DUMMYFUNCTION("""COMPUTED_VALUE"""),44358)</f>
        <v>44358</v>
      </c>
      <c r="P446" s="6" t="str">
        <f ca="1">IFERROR(__xludf.DUMMYFUNCTION("""COMPUTED_VALUE"""),"CSTM_7UA7N5HIMDR")</f>
        <v>CSTM_7UA7N5HIMDR</v>
      </c>
      <c r="Q446" s="6"/>
      <c r="R446" s="6" t="str">
        <f ca="1">IFERROR(__xludf.DUMMYFUNCTION("""COMPUTED_VALUE"""),"Done. Good feedback.")</f>
        <v>Done. Good feedback.</v>
      </c>
      <c r="S446" s="6" t="str">
        <f ca="1">IFERROR(__xludf.DUMMYFUNCTION("""COMPUTED_VALUE"""),"Category")</f>
        <v>Category</v>
      </c>
      <c r="T446" s="6"/>
      <c r="U446" s="6"/>
      <c r="V446" s="6"/>
      <c r="W446" s="6"/>
      <c r="X446" s="6"/>
      <c r="Y446" s="6"/>
      <c r="Z446" s="6"/>
      <c r="AA446" s="6"/>
      <c r="AB446" s="6"/>
      <c r="AC446" s="6"/>
      <c r="AD446" s="6"/>
      <c r="AE446" s="6"/>
      <c r="AF446" s="6"/>
      <c r="AG446" s="6"/>
      <c r="AH446" s="6"/>
      <c r="AI446" s="6"/>
      <c r="AJ446" s="6"/>
      <c r="AK446" s="6"/>
      <c r="AL446" s="6"/>
    </row>
    <row r="447" spans="1:38">
      <c r="A447" s="96">
        <f ca="1">IFERROR(__xludf.DUMMYFUNCTION("""COMPUTED_VALUE"""),44358)</f>
        <v>44358</v>
      </c>
      <c r="B447" s="6" t="str">
        <f ca="1">IFERROR(__xludf.DUMMYFUNCTION("""COMPUTED_VALUE"""),"Nidhi Walia")</f>
        <v>Nidhi Walia</v>
      </c>
      <c r="C447" s="6" t="str">
        <f ca="1">IFERROR(__xludf.DUMMYFUNCTION("""COMPUTED_VALUE"""),"nidhi.walia234@gmail.com")</f>
        <v>nidhi.walia234@gmail.com</v>
      </c>
      <c r="D447" s="6">
        <f ca="1">IFERROR(__xludf.DUMMYFUNCTION("""COMPUTED_VALUE"""),8685055423)</f>
        <v>8685055423</v>
      </c>
      <c r="E447" s="6" t="str">
        <f ca="1">IFERROR(__xludf.DUMMYFUNCTION("""COMPUTED_VALUE"""),"Reference")</f>
        <v>Reference</v>
      </c>
      <c r="F447" s="6" t="str">
        <f ca="1">IFERROR(__xludf.DUMMYFUNCTION("""COMPUTED_VALUE"""),"PSPO")</f>
        <v>PSPO</v>
      </c>
      <c r="G447" s="80">
        <f ca="1">IFERROR(__xludf.DUMMYFUNCTION("""COMPUTED_VALUE"""),44348)</f>
        <v>44348</v>
      </c>
      <c r="H447" s="6" t="str">
        <f ca="1">IFERROR(__xludf.DUMMYFUNCTION("""COMPUTED_VALUE"""),"Won")</f>
        <v>Won</v>
      </c>
      <c r="I447" s="6" t="str">
        <f ca="1">IFERROR(__xludf.DUMMYFUNCTION("""COMPUTED_VALUE"""),"12-13 June 2021")</f>
        <v>12-13 June 2021</v>
      </c>
      <c r="J447" s="6">
        <f ca="1">IFERROR(__xludf.DUMMYFUNCTION("""COMPUTED_VALUE"""),1)</f>
        <v>1</v>
      </c>
      <c r="K447" s="8">
        <f ca="1">IFERROR(__xludf.DUMMYFUNCTION("""COMPUTED_VALUE"""),20500)</f>
        <v>20500</v>
      </c>
      <c r="L447" s="8">
        <f ca="1">IFERROR(__xludf.DUMMYFUNCTION("""COMPUTED_VALUE"""),234.768666972056)</f>
        <v>234.768666972056</v>
      </c>
      <c r="M447" s="96">
        <f ca="1">IFERROR(__xludf.DUMMYFUNCTION("""COMPUTED_VALUE"""),44359)</f>
        <v>44359</v>
      </c>
      <c r="N447" s="6" t="str">
        <f ca="1">IFERROR(__xludf.DUMMYFUNCTION("""COMPUTED_VALUE"""),"S10")</f>
        <v>S10</v>
      </c>
      <c r="O447" s="97">
        <f ca="1">IFERROR(__xludf.DUMMYFUNCTION("""COMPUTED_VALUE"""),44358)</f>
        <v>44358</v>
      </c>
      <c r="P447" s="6" t="str">
        <f ca="1">IFERROR(__xludf.DUMMYFUNCTION("""COMPUTED_VALUE"""),"CSTM_9I35RFRTQDF")</f>
        <v>CSTM_9I35RFRTQDF</v>
      </c>
      <c r="Q447" s="6"/>
      <c r="R447" s="6" t="str">
        <f ca="1">IFERROR(__xludf.DUMMYFUNCTION("""COMPUTED_VALUE"""),"Pending")</f>
        <v>Pending</v>
      </c>
      <c r="S447" s="6" t="str">
        <f ca="1">IFERROR(__xludf.DUMMYFUNCTION("""COMPUTED_VALUE"""),"Category")</f>
        <v>Category</v>
      </c>
      <c r="T447" s="6"/>
      <c r="U447" s="6"/>
      <c r="V447" s="6"/>
      <c r="W447" s="6"/>
      <c r="X447" s="6"/>
      <c r="Y447" s="6"/>
      <c r="Z447" s="6"/>
      <c r="AA447" s="6"/>
      <c r="AB447" s="6"/>
      <c r="AC447" s="6"/>
      <c r="AD447" s="6"/>
      <c r="AE447" s="6"/>
      <c r="AF447" s="6"/>
      <c r="AG447" s="6"/>
      <c r="AH447" s="6"/>
      <c r="AI447" s="6"/>
      <c r="AJ447" s="6"/>
      <c r="AK447" s="6"/>
      <c r="AL447" s="6"/>
    </row>
    <row r="448" spans="1:38">
      <c r="A448" s="96">
        <f ca="1">IFERROR(__xludf.DUMMYFUNCTION("""COMPUTED_VALUE"""),44361)</f>
        <v>44361</v>
      </c>
      <c r="B448" s="6" t="str">
        <f ca="1">IFERROR(__xludf.DUMMYFUNCTION("""COMPUTED_VALUE"""),"Lingaraj")</f>
        <v>Lingaraj</v>
      </c>
      <c r="C448" s="6" t="str">
        <f ca="1">IFERROR(__xludf.DUMMYFUNCTION("""COMPUTED_VALUE"""),"ghanasyam15@yahoo.com")</f>
        <v>ghanasyam15@yahoo.com</v>
      </c>
      <c r="D448" s="6">
        <f ca="1">IFERROR(__xludf.DUMMYFUNCTION("""COMPUTED_VALUE"""),9108903386)</f>
        <v>9108903386</v>
      </c>
      <c r="E448" s="6" t="str">
        <f ca="1">IFERROR(__xludf.DUMMYFUNCTION("""COMPUTED_VALUE"""),"Reference")</f>
        <v>Reference</v>
      </c>
      <c r="F448" s="6" t="str">
        <f ca="1">IFERROR(__xludf.DUMMYFUNCTION("""COMPUTED_VALUE"""),"CSM")</f>
        <v>CSM</v>
      </c>
      <c r="G448" s="80">
        <f ca="1">IFERROR(__xludf.DUMMYFUNCTION("""COMPUTED_VALUE"""),44348)</f>
        <v>44348</v>
      </c>
      <c r="H448" s="6" t="str">
        <f ca="1">IFERROR(__xludf.DUMMYFUNCTION("""COMPUTED_VALUE"""),"Won")</f>
        <v>Won</v>
      </c>
      <c r="I448" s="6" t="str">
        <f ca="1">IFERROR(__xludf.DUMMYFUNCTION("""COMPUTED_VALUE"""),"26-27 June 2021")</f>
        <v>26-27 June 2021</v>
      </c>
      <c r="J448" s="6">
        <f ca="1">IFERROR(__xludf.DUMMYFUNCTION("""COMPUTED_VALUE"""),1)</f>
        <v>1</v>
      </c>
      <c r="K448" s="8">
        <f ca="1">IFERROR(__xludf.DUMMYFUNCTION("""COMPUTED_VALUE"""),19000)</f>
        <v>19000</v>
      </c>
      <c r="L448" s="8">
        <f ca="1">IFERROR(__xludf.DUMMYFUNCTION("""COMPUTED_VALUE"""),217.590471827759)</f>
        <v>217.59047182775899</v>
      </c>
      <c r="M448" s="96">
        <f ca="1">IFERROR(__xludf.DUMMYFUNCTION("""COMPUTED_VALUE"""),44361)</f>
        <v>44361</v>
      </c>
      <c r="N448" s="6" t="str">
        <f ca="1">IFERROR(__xludf.DUMMYFUNCTION("""COMPUTED_VALUE"""),"S10")</f>
        <v>S10</v>
      </c>
      <c r="O448" s="97">
        <f ca="1">IFERROR(__xludf.DUMMYFUNCTION("""COMPUTED_VALUE"""),44361)</f>
        <v>44361</v>
      </c>
      <c r="P448" s="6" t="str">
        <f ca="1">IFERROR(__xludf.DUMMYFUNCTION("""COMPUTED_VALUE"""),"CSTM_3T6UWRY5DMG")</f>
        <v>CSTM_3T6UWRY5DMG</v>
      </c>
      <c r="Q448" s="6"/>
      <c r="R448" s="6" t="str">
        <f ca="1">IFERROR(__xludf.DUMMYFUNCTION("""COMPUTED_VALUE"""),"Done. Good feedback.")</f>
        <v>Done. Good feedback.</v>
      </c>
      <c r="S448" s="6" t="str">
        <f ca="1">IFERROR(__xludf.DUMMYFUNCTION("""COMPUTED_VALUE"""),"Category")</f>
        <v>Category</v>
      </c>
      <c r="T448" s="6"/>
      <c r="U448" s="6"/>
      <c r="V448" s="6"/>
      <c r="W448" s="6"/>
      <c r="X448" s="6"/>
      <c r="Y448" s="6"/>
      <c r="Z448" s="6"/>
      <c r="AA448" s="6"/>
      <c r="AB448" s="6"/>
      <c r="AC448" s="6"/>
      <c r="AD448" s="6"/>
      <c r="AE448" s="6"/>
      <c r="AF448" s="6"/>
      <c r="AG448" s="6"/>
      <c r="AH448" s="6"/>
      <c r="AI448" s="6"/>
      <c r="AJ448" s="6"/>
      <c r="AK448" s="6"/>
      <c r="AL448" s="6"/>
    </row>
    <row r="449" spans="1:38">
      <c r="A449" s="96">
        <f ca="1">IFERROR(__xludf.DUMMYFUNCTION("""COMPUTED_VALUE"""),44361)</f>
        <v>44361</v>
      </c>
      <c r="B449" s="6" t="str">
        <f ca="1">IFERROR(__xludf.DUMMYFUNCTION("""COMPUTED_VALUE"""),"Divya Jyoti")</f>
        <v>Divya Jyoti</v>
      </c>
      <c r="C449" s="6" t="str">
        <f ca="1">IFERROR(__xludf.DUMMYFUNCTION("""COMPUTED_VALUE"""),"divyajyoti25@gmail.com")</f>
        <v>divyajyoti25@gmail.com</v>
      </c>
      <c r="D449" s="6">
        <f ca="1">IFERROR(__xludf.DUMMYFUNCTION("""COMPUTED_VALUE"""),9916412630)</f>
        <v>9916412630</v>
      </c>
      <c r="E449" s="6" t="str">
        <f ca="1">IFERROR(__xludf.DUMMYFUNCTION("""COMPUTED_VALUE"""),"Reference")</f>
        <v>Reference</v>
      </c>
      <c r="F449" s="6" t="str">
        <f ca="1">IFERROR(__xludf.DUMMYFUNCTION("""COMPUTED_VALUE"""),"CSM")</f>
        <v>CSM</v>
      </c>
      <c r="G449" s="80">
        <f ca="1">IFERROR(__xludf.DUMMYFUNCTION("""COMPUTED_VALUE"""),44348)</f>
        <v>44348</v>
      </c>
      <c r="H449" s="6" t="str">
        <f ca="1">IFERROR(__xludf.DUMMYFUNCTION("""COMPUTED_VALUE"""),"Won")</f>
        <v>Won</v>
      </c>
      <c r="I449" s="6" t="str">
        <f ca="1">IFERROR(__xludf.DUMMYFUNCTION("""COMPUTED_VALUE"""),"8-9 July 2021")</f>
        <v>8-9 July 2021</v>
      </c>
      <c r="J449" s="6">
        <f ca="1">IFERROR(__xludf.DUMMYFUNCTION("""COMPUTED_VALUE"""),1)</f>
        <v>1</v>
      </c>
      <c r="K449" s="8">
        <f ca="1">IFERROR(__xludf.DUMMYFUNCTION("""COMPUTED_VALUE"""),19000)</f>
        <v>19000</v>
      </c>
      <c r="L449" s="8">
        <f ca="1">IFERROR(__xludf.DUMMYFUNCTION("""COMPUTED_VALUE"""),217.590471827759)</f>
        <v>217.59047182775899</v>
      </c>
      <c r="M449" s="96">
        <f ca="1">IFERROR(__xludf.DUMMYFUNCTION("""COMPUTED_VALUE"""),44361)</f>
        <v>44361</v>
      </c>
      <c r="N449" s="6" t="str">
        <f ca="1">IFERROR(__xludf.DUMMYFUNCTION("""COMPUTED_VALUE"""),"S10")</f>
        <v>S10</v>
      </c>
      <c r="O449" s="97">
        <f ca="1">IFERROR(__xludf.DUMMYFUNCTION("""COMPUTED_VALUE"""),44361)</f>
        <v>44361</v>
      </c>
      <c r="P449" s="6" t="str">
        <f ca="1">IFERROR(__xludf.DUMMYFUNCTION("""COMPUTED_VALUE"""),"CSTM_3BLIV6TS6PQ")</f>
        <v>CSTM_3BLIV6TS6PQ</v>
      </c>
      <c r="Q449" s="6" t="str">
        <f ca="1">IFERROR(__xludf.DUMMYFUNCTION("""COMPUTED_VALUE"""),"Reference by Arunima")</f>
        <v>Reference by Arunima</v>
      </c>
      <c r="R449" s="6" t="str">
        <f ca="1">IFERROR(__xludf.DUMMYFUNCTION("""COMPUTED_VALUE"""),"Pending")</f>
        <v>Pending</v>
      </c>
      <c r="S449" s="6" t="str">
        <f ca="1">IFERROR(__xludf.DUMMYFUNCTION("""COMPUTED_VALUE"""),"Category")</f>
        <v>Category</v>
      </c>
      <c r="T449" s="6"/>
      <c r="U449" s="6"/>
      <c r="V449" s="6"/>
      <c r="W449" s="6"/>
      <c r="X449" s="6"/>
      <c r="Y449" s="6"/>
      <c r="Z449" s="6"/>
      <c r="AA449" s="6"/>
      <c r="AB449" s="6"/>
      <c r="AC449" s="6"/>
      <c r="AD449" s="6"/>
      <c r="AE449" s="6"/>
      <c r="AF449" s="6"/>
      <c r="AG449" s="6"/>
      <c r="AH449" s="6"/>
      <c r="AI449" s="6"/>
      <c r="AJ449" s="6"/>
      <c r="AK449" s="6"/>
      <c r="AL449" s="6"/>
    </row>
    <row r="450" spans="1:38">
      <c r="A450" s="96">
        <f ca="1">IFERROR(__xludf.DUMMYFUNCTION("""COMPUTED_VALUE"""),44361)</f>
        <v>44361</v>
      </c>
      <c r="B450" s="6" t="str">
        <f ca="1">IFERROR(__xludf.DUMMYFUNCTION("""COMPUTED_VALUE"""),"Sanchali")</f>
        <v>Sanchali</v>
      </c>
      <c r="C450" s="6" t="str">
        <f ca="1">IFERROR(__xludf.DUMMYFUNCTION("""COMPUTED_VALUE"""),"sanchali210789@gmail.com")</f>
        <v>sanchali210789@gmail.com</v>
      </c>
      <c r="D450" s="6">
        <f ca="1">IFERROR(__xludf.DUMMYFUNCTION("""COMPUTED_VALUE"""),9986067342)</f>
        <v>9986067342</v>
      </c>
      <c r="E450" s="6" t="str">
        <f ca="1">IFERROR(__xludf.DUMMYFUNCTION("""COMPUTED_VALUE"""),"course agenda")</f>
        <v>course agenda</v>
      </c>
      <c r="F450" s="6" t="str">
        <f ca="1">IFERROR(__xludf.DUMMYFUNCTION("""COMPUTED_VALUE"""),"SAFe Agile")</f>
        <v>SAFe Agile</v>
      </c>
      <c r="G450" s="80">
        <f ca="1">IFERROR(__xludf.DUMMYFUNCTION("""COMPUTED_VALUE"""),44348)</f>
        <v>44348</v>
      </c>
      <c r="H450" s="6" t="str">
        <f ca="1">IFERROR(__xludf.DUMMYFUNCTION("""COMPUTED_VALUE"""),"Won")</f>
        <v>Won</v>
      </c>
      <c r="I450" s="6" t="str">
        <f ca="1">IFERROR(__xludf.DUMMYFUNCTION("""COMPUTED_VALUE"""),"26-27 June 2021")</f>
        <v>26-27 June 2021</v>
      </c>
      <c r="J450" s="6">
        <f ca="1">IFERROR(__xludf.DUMMYFUNCTION("""COMPUTED_VALUE"""),1)</f>
        <v>1</v>
      </c>
      <c r="K450" s="8">
        <f ca="1">IFERROR(__xludf.DUMMYFUNCTION("""COMPUTED_VALUE"""),45000)</f>
        <v>45000</v>
      </c>
      <c r="L450" s="8">
        <f ca="1">IFERROR(__xludf.DUMMYFUNCTION("""COMPUTED_VALUE"""),515.345854328905)</f>
        <v>515.34585432890503</v>
      </c>
      <c r="M450" s="96">
        <f ca="1">IFERROR(__xludf.DUMMYFUNCTION("""COMPUTED_VALUE"""),44361)</f>
        <v>44361</v>
      </c>
      <c r="N450" s="6" t="str">
        <f ca="1">IFERROR(__xludf.DUMMYFUNCTION("""COMPUTED_VALUE"""),"S10")</f>
        <v>S10</v>
      </c>
      <c r="O450" s="97">
        <f ca="1">IFERROR(__xludf.DUMMYFUNCTION("""COMPUTED_VALUE"""),44361)</f>
        <v>44361</v>
      </c>
      <c r="P450" s="6" t="str">
        <f ca="1">IFERROR(__xludf.DUMMYFUNCTION("""COMPUTED_VALUE"""),"CSTM_5KEYREGIA99")</f>
        <v>CSTM_5KEYREGIA99</v>
      </c>
      <c r="Q450" s="6"/>
      <c r="R450" s="6" t="str">
        <f ca="1">IFERROR(__xludf.DUMMYFUNCTION("""COMPUTED_VALUE"""),"Pending")</f>
        <v>Pending</v>
      </c>
      <c r="S450" s="6" t="str">
        <f ca="1">IFERROR(__xludf.DUMMYFUNCTION("""COMPUTED_VALUE"""),"SAFe")</f>
        <v>SAFe</v>
      </c>
      <c r="T450" s="6"/>
      <c r="U450" s="6"/>
      <c r="V450" s="6"/>
      <c r="W450" s="6"/>
      <c r="X450" s="6"/>
      <c r="Y450" s="6"/>
      <c r="Z450" s="6"/>
      <c r="AA450" s="6"/>
      <c r="AB450" s="6"/>
      <c r="AC450" s="6"/>
      <c r="AD450" s="6"/>
      <c r="AE450" s="6"/>
      <c r="AF450" s="6"/>
      <c r="AG450" s="6"/>
      <c r="AH450" s="6"/>
      <c r="AI450" s="6"/>
      <c r="AJ450" s="6"/>
      <c r="AK450" s="6"/>
      <c r="AL450" s="6"/>
    </row>
    <row r="451" spans="1:38">
      <c r="A451" s="96">
        <f ca="1">IFERROR(__xludf.DUMMYFUNCTION("""COMPUTED_VALUE"""),44363)</f>
        <v>44363</v>
      </c>
      <c r="B451" s="6" t="str">
        <f ca="1">IFERROR(__xludf.DUMMYFUNCTION("""COMPUTED_VALUE"""),"Abhishek Goel")</f>
        <v>Abhishek Goel</v>
      </c>
      <c r="C451" s="6" t="str">
        <f ca="1">IFERROR(__xludf.DUMMYFUNCTION("""COMPUTED_VALUE"""),"abhi449@gmail.com")</f>
        <v>abhi449@gmail.com</v>
      </c>
      <c r="D451" s="6">
        <f ca="1">IFERROR(__xludf.DUMMYFUNCTION("""COMPUTED_VALUE"""),9873609666)</f>
        <v>9873609666</v>
      </c>
      <c r="E451" s="6" t="str">
        <f ca="1">IFERROR(__xludf.DUMMYFUNCTION("""COMPUTED_VALUE"""),"Query box")</f>
        <v>Query box</v>
      </c>
      <c r="F451" s="6" t="str">
        <f ca="1">IFERROR(__xludf.DUMMYFUNCTION("""COMPUTED_VALUE"""),"SAFe SSM")</f>
        <v>SAFe SSM</v>
      </c>
      <c r="G451" s="80">
        <f ca="1">IFERROR(__xludf.DUMMYFUNCTION("""COMPUTED_VALUE"""),44348)</f>
        <v>44348</v>
      </c>
      <c r="H451" s="6" t="str">
        <f ca="1">IFERROR(__xludf.DUMMYFUNCTION("""COMPUTED_VALUE"""),"Won")</f>
        <v>Won</v>
      </c>
      <c r="I451" s="6" t="str">
        <f ca="1">IFERROR(__xludf.DUMMYFUNCTION("""COMPUTED_VALUE"""),"26-27 June 2021")</f>
        <v>26-27 June 2021</v>
      </c>
      <c r="J451" s="6">
        <f ca="1">IFERROR(__xludf.DUMMYFUNCTION("""COMPUTED_VALUE"""),1)</f>
        <v>1</v>
      </c>
      <c r="K451" s="8">
        <f ca="1">IFERROR(__xludf.DUMMYFUNCTION("""COMPUTED_VALUE"""),45000)</f>
        <v>45000</v>
      </c>
      <c r="L451" s="8">
        <f ca="1">IFERROR(__xludf.DUMMYFUNCTION("""COMPUTED_VALUE"""),515.345854328905)</f>
        <v>515.34585432890503</v>
      </c>
      <c r="M451" s="96">
        <f ca="1">IFERROR(__xludf.DUMMYFUNCTION("""COMPUTED_VALUE"""),44363)</f>
        <v>44363</v>
      </c>
      <c r="N451" s="6" t="str">
        <f ca="1">IFERROR(__xludf.DUMMYFUNCTION("""COMPUTED_VALUE"""),"S10")</f>
        <v>S10</v>
      </c>
      <c r="O451" s="97">
        <f ca="1">IFERROR(__xludf.DUMMYFUNCTION("""COMPUTED_VALUE"""),44363)</f>
        <v>44363</v>
      </c>
      <c r="P451" s="6" t="str">
        <f ca="1">IFERROR(__xludf.DUMMYFUNCTION("""COMPUTED_VALUE"""),"CSTM_6U58UF3E4HL")</f>
        <v>CSTM_6U58UF3E4HL</v>
      </c>
      <c r="Q451" s="6"/>
      <c r="R451" s="6" t="str">
        <f ca="1">IFERROR(__xludf.DUMMYFUNCTION("""COMPUTED_VALUE"""),"Done. Good feedback.")</f>
        <v>Done. Good feedback.</v>
      </c>
      <c r="S451" s="6" t="str">
        <f ca="1">IFERROR(__xludf.DUMMYFUNCTION("""COMPUTED_VALUE"""),"SAFe")</f>
        <v>SAFe</v>
      </c>
      <c r="T451" s="6"/>
      <c r="U451" s="6"/>
      <c r="V451" s="6"/>
      <c r="W451" s="6"/>
      <c r="X451" s="6"/>
      <c r="Y451" s="6"/>
      <c r="Z451" s="6"/>
      <c r="AA451" s="6"/>
      <c r="AB451" s="6"/>
      <c r="AC451" s="6"/>
      <c r="AD451" s="6"/>
      <c r="AE451" s="6"/>
      <c r="AF451" s="6"/>
      <c r="AG451" s="6"/>
      <c r="AH451" s="6"/>
      <c r="AI451" s="6"/>
      <c r="AJ451" s="6"/>
      <c r="AK451" s="6"/>
      <c r="AL451" s="6"/>
    </row>
    <row r="452" spans="1:38">
      <c r="A452" s="96">
        <f ca="1">IFERROR(__xludf.DUMMYFUNCTION("""COMPUTED_VALUE"""),44363)</f>
        <v>44363</v>
      </c>
      <c r="B452" s="6" t="str">
        <f ca="1">IFERROR(__xludf.DUMMYFUNCTION("""COMPUTED_VALUE"""),"Mujahid")</f>
        <v>Mujahid</v>
      </c>
      <c r="C452" s="6" t="str">
        <f ca="1">IFERROR(__xludf.DUMMYFUNCTION("""COMPUTED_VALUE"""),"mujahid.2007@gmail.com")</f>
        <v>mujahid.2007@gmail.com</v>
      </c>
      <c r="D452" s="6">
        <f ca="1">IFERROR(__xludf.DUMMYFUNCTION("""COMPUTED_VALUE"""),8106014995)</f>
        <v>8106014995</v>
      </c>
      <c r="E452" s="6" t="str">
        <f ca="1">IFERROR(__xludf.DUMMYFUNCTION("""COMPUTED_VALUE"""),"Chat_triggered")</f>
        <v>Chat_triggered</v>
      </c>
      <c r="F452" s="6" t="str">
        <f ca="1">IFERROR(__xludf.DUMMYFUNCTION("""COMPUTED_VALUE"""),"SAFe POPM")</f>
        <v>SAFe POPM</v>
      </c>
      <c r="G452" s="80">
        <f ca="1">IFERROR(__xludf.DUMMYFUNCTION("""COMPUTED_VALUE"""),44348)</f>
        <v>44348</v>
      </c>
      <c r="H452" s="6" t="str">
        <f ca="1">IFERROR(__xludf.DUMMYFUNCTION("""COMPUTED_VALUE"""),"Opportunity")</f>
        <v>Opportunity</v>
      </c>
      <c r="I452" s="6" t="str">
        <f ca="1">IFERROR(__xludf.DUMMYFUNCTION("""COMPUTED_VALUE"""),"26-27 June 2021")</f>
        <v>26-27 June 2021</v>
      </c>
      <c r="J452" s="6">
        <f ca="1">IFERROR(__xludf.DUMMYFUNCTION("""COMPUTED_VALUE"""),1)</f>
        <v>1</v>
      </c>
      <c r="K452" s="8">
        <f ca="1">IFERROR(__xludf.DUMMYFUNCTION("""COMPUTED_VALUE"""),45000)</f>
        <v>45000</v>
      </c>
      <c r="L452" s="8">
        <f ca="1">IFERROR(__xludf.DUMMYFUNCTION("""COMPUTED_VALUE"""),515.345854328905)</f>
        <v>515.34585432890503</v>
      </c>
      <c r="M452" s="96">
        <f ca="1">IFERROR(__xludf.DUMMYFUNCTION("""COMPUTED_VALUE"""),44363)</f>
        <v>44363</v>
      </c>
      <c r="N452" s="6"/>
      <c r="O452" s="97"/>
      <c r="P452" s="6"/>
      <c r="Q452" s="6"/>
      <c r="R452" s="6"/>
      <c r="S452" s="6" t="str">
        <f ca="1">IFERROR(__xludf.DUMMYFUNCTION("""COMPUTED_VALUE"""),"SAFe")</f>
        <v>SAFe</v>
      </c>
      <c r="T452" s="6"/>
      <c r="U452" s="6"/>
      <c r="V452" s="6"/>
      <c r="W452" s="6"/>
      <c r="X452" s="6"/>
      <c r="Y452" s="6"/>
      <c r="Z452" s="6"/>
      <c r="AA452" s="6"/>
      <c r="AB452" s="6"/>
      <c r="AC452" s="6"/>
      <c r="AD452" s="6"/>
      <c r="AE452" s="6"/>
      <c r="AF452" s="6"/>
      <c r="AG452" s="6"/>
      <c r="AH452" s="6"/>
      <c r="AI452" s="6"/>
      <c r="AJ452" s="6"/>
      <c r="AK452" s="6"/>
      <c r="AL452" s="6"/>
    </row>
    <row r="453" spans="1:38">
      <c r="A453" s="96">
        <f ca="1">IFERROR(__xludf.DUMMYFUNCTION("""COMPUTED_VALUE"""),44363)</f>
        <v>44363</v>
      </c>
      <c r="B453" s="6" t="str">
        <f ca="1">IFERROR(__xludf.DUMMYFUNCTION("""COMPUTED_VALUE"""),"Shephali Mishra")</f>
        <v>Shephali Mishra</v>
      </c>
      <c r="C453" s="6" t="str">
        <f ca="1">IFERROR(__xludf.DUMMYFUNCTION("""COMPUTED_VALUE"""),"shephali.opr@outlook.com")</f>
        <v>shephali.opr@outlook.com</v>
      </c>
      <c r="D453" s="6">
        <f ca="1">IFERROR(__xludf.DUMMYFUNCTION("""COMPUTED_VALUE"""),7978462116)</f>
        <v>7978462116</v>
      </c>
      <c r="E453" s="6" t="str">
        <f ca="1">IFERROR(__xludf.DUMMYFUNCTION("""COMPUTED_VALUE"""),"Reference")</f>
        <v>Reference</v>
      </c>
      <c r="F453" s="6" t="str">
        <f ca="1">IFERROR(__xludf.DUMMYFUNCTION("""COMPUTED_VALUE"""),"SAFe POPM")</f>
        <v>SAFe POPM</v>
      </c>
      <c r="G453" s="80">
        <f ca="1">IFERROR(__xludf.DUMMYFUNCTION("""COMPUTED_VALUE"""),44348)</f>
        <v>44348</v>
      </c>
      <c r="H453" s="6" t="str">
        <f ca="1">IFERROR(__xludf.DUMMYFUNCTION("""COMPUTED_VALUE"""),"Opportunity")</f>
        <v>Opportunity</v>
      </c>
      <c r="I453" s="6" t="str">
        <f ca="1">IFERROR(__xludf.DUMMYFUNCTION("""COMPUTED_VALUE"""),"26-27 June 2021")</f>
        <v>26-27 June 2021</v>
      </c>
      <c r="J453" s="6">
        <f ca="1">IFERROR(__xludf.DUMMYFUNCTION("""COMPUTED_VALUE"""),1)</f>
        <v>1</v>
      </c>
      <c r="K453" s="8">
        <f ca="1">IFERROR(__xludf.DUMMYFUNCTION("""COMPUTED_VALUE"""),45000)</f>
        <v>45000</v>
      </c>
      <c r="L453" s="8">
        <f ca="1">IFERROR(__xludf.DUMMYFUNCTION("""COMPUTED_VALUE"""),515.345854328905)</f>
        <v>515.34585432890503</v>
      </c>
      <c r="M453" s="96">
        <f ca="1">IFERROR(__xludf.DUMMYFUNCTION("""COMPUTED_VALUE"""),44363)</f>
        <v>44363</v>
      </c>
      <c r="N453" s="6"/>
      <c r="O453" s="97"/>
      <c r="P453" s="6"/>
      <c r="Q453" s="6"/>
      <c r="R453" s="6"/>
      <c r="S453" s="6" t="str">
        <f ca="1">IFERROR(__xludf.DUMMYFUNCTION("""COMPUTED_VALUE"""),"SAFe")</f>
        <v>SAFe</v>
      </c>
      <c r="T453" s="6"/>
      <c r="U453" s="6"/>
      <c r="V453" s="6"/>
      <c r="W453" s="6"/>
      <c r="X453" s="6"/>
      <c r="Y453" s="6"/>
      <c r="Z453" s="6"/>
      <c r="AA453" s="6"/>
      <c r="AB453" s="6"/>
      <c r="AC453" s="6"/>
      <c r="AD453" s="6"/>
      <c r="AE453" s="6"/>
      <c r="AF453" s="6"/>
      <c r="AG453" s="6"/>
      <c r="AH453" s="6"/>
      <c r="AI453" s="6"/>
      <c r="AJ453" s="6"/>
      <c r="AK453" s="6"/>
      <c r="AL453" s="6"/>
    </row>
    <row r="454" spans="1:38">
      <c r="A454" s="96">
        <f ca="1">IFERROR(__xludf.DUMMYFUNCTION("""COMPUTED_VALUE"""),44356)</f>
        <v>44356</v>
      </c>
      <c r="B454" s="6" t="str">
        <f ca="1">IFERROR(__xludf.DUMMYFUNCTION("""COMPUTED_VALUE"""),"Pavithra Balaji")</f>
        <v>Pavithra Balaji</v>
      </c>
      <c r="C454" s="6" t="str">
        <f ca="1">IFERROR(__xludf.DUMMYFUNCTION("""COMPUTED_VALUE"""),"pavithrabalaji0@gmail.com")</f>
        <v>pavithrabalaji0@gmail.com</v>
      </c>
      <c r="D454" s="6">
        <f ca="1">IFERROR(__xludf.DUMMYFUNCTION("""COMPUTED_VALUE"""),9742873384)</f>
        <v>9742873384</v>
      </c>
      <c r="E454" s="6" t="str">
        <f ca="1">IFERROR(__xludf.DUMMYFUNCTION("""COMPUTED_VALUE"""),"Reference")</f>
        <v>Reference</v>
      </c>
      <c r="F454" s="6" t="str">
        <f ca="1">IFERROR(__xludf.DUMMYFUNCTION("""COMPUTED_VALUE"""),"DevOps Engineer Masters")</f>
        <v>DevOps Engineer Masters</v>
      </c>
      <c r="G454" s="80">
        <f ca="1">IFERROR(__xludf.DUMMYFUNCTION("""COMPUTED_VALUE"""),44348)</f>
        <v>44348</v>
      </c>
      <c r="H454" s="6" t="str">
        <f ca="1">IFERROR(__xludf.DUMMYFUNCTION("""COMPUTED_VALUE"""),"Won")</f>
        <v>Won</v>
      </c>
      <c r="I454" s="6" t="str">
        <f ca="1">IFERROR(__xludf.DUMMYFUNCTION("""COMPUTED_VALUE"""),"June 2021")</f>
        <v>June 2021</v>
      </c>
      <c r="J454" s="6">
        <f ca="1">IFERROR(__xludf.DUMMYFUNCTION("""COMPUTED_VALUE"""),1)</f>
        <v>1</v>
      </c>
      <c r="K454" s="8">
        <f ca="1">IFERROR(__xludf.DUMMYFUNCTION("""COMPUTED_VALUE"""),25500)</f>
        <v>25500</v>
      </c>
      <c r="L454" s="8">
        <f ca="1">IFERROR(__xludf.DUMMYFUNCTION("""COMPUTED_VALUE"""),292.029317453046)</f>
        <v>292.02931745304602</v>
      </c>
      <c r="M454" s="96">
        <f ca="1">IFERROR(__xludf.DUMMYFUNCTION("""COMPUTED_VALUE"""),44363)</f>
        <v>44363</v>
      </c>
      <c r="N454" s="6" t="str">
        <f ca="1">IFERROR(__xludf.DUMMYFUNCTION("""COMPUTED_VALUE"""),"S10")</f>
        <v>S10</v>
      </c>
      <c r="O454" s="97">
        <f ca="1">IFERROR(__xludf.DUMMYFUNCTION("""COMPUTED_VALUE"""),44363)</f>
        <v>44363</v>
      </c>
      <c r="P454" s="6" t="str">
        <f ca="1">IFERROR(__xludf.DUMMYFUNCTION("""COMPUTED_VALUE"""),"CSTM_PARTIAL_FIRST_7JPFJZCDVAR")</f>
        <v>CSTM_PARTIAL_FIRST_7JPFJZCDVAR</v>
      </c>
      <c r="Q454" s="6"/>
      <c r="R454" s="6"/>
      <c r="S454" s="6" t="str">
        <f ca="1">IFERROR(__xludf.DUMMYFUNCTION("""COMPUTED_VALUE"""),"NonCategory")</f>
        <v>NonCategory</v>
      </c>
      <c r="T454" s="6"/>
      <c r="U454" s="6"/>
      <c r="V454" s="6"/>
      <c r="W454" s="6"/>
      <c r="X454" s="6"/>
      <c r="Y454" s="6"/>
      <c r="Z454" s="6"/>
      <c r="AA454" s="6"/>
      <c r="AB454" s="6"/>
      <c r="AC454" s="6"/>
      <c r="AD454" s="6"/>
      <c r="AE454" s="6"/>
      <c r="AF454" s="6"/>
      <c r="AG454" s="6"/>
      <c r="AH454" s="6"/>
      <c r="AI454" s="6"/>
      <c r="AJ454" s="6"/>
      <c r="AK454" s="6"/>
      <c r="AL454" s="6"/>
    </row>
    <row r="455" spans="1:38">
      <c r="A455" s="96">
        <f ca="1">IFERROR(__xludf.DUMMYFUNCTION("""COMPUTED_VALUE"""),44364)</f>
        <v>44364</v>
      </c>
      <c r="B455" s="6" t="str">
        <f ca="1">IFERROR(__xludf.DUMMYFUNCTION("""COMPUTED_VALUE"""),"Narasimha")</f>
        <v>Narasimha</v>
      </c>
      <c r="C455" s="6" t="str">
        <f ca="1">IFERROR(__xludf.DUMMYFUNCTION("""COMPUTED_VALUE"""),"narasimhak021@gmail.com")</f>
        <v>narasimhak021@gmail.com</v>
      </c>
      <c r="D455" s="6">
        <f ca="1">IFERROR(__xludf.DUMMYFUNCTION("""COMPUTED_VALUE"""),9986342022)</f>
        <v>9986342022</v>
      </c>
      <c r="E455" s="6" t="str">
        <f ca="1">IFERROR(__xludf.DUMMYFUNCTION("""COMPUTED_VALUE"""),"Query box")</f>
        <v>Query box</v>
      </c>
      <c r="F455" s="6" t="str">
        <f ca="1">IFERROR(__xludf.DUMMYFUNCTION("""COMPUTED_VALUE"""),"CSM")</f>
        <v>CSM</v>
      </c>
      <c r="G455" s="80">
        <f ca="1">IFERROR(__xludf.DUMMYFUNCTION("""COMPUTED_VALUE"""),44348)</f>
        <v>44348</v>
      </c>
      <c r="H455" s="6" t="str">
        <f ca="1">IFERROR(__xludf.DUMMYFUNCTION("""COMPUTED_VALUE"""),"Won")</f>
        <v>Won</v>
      </c>
      <c r="I455" s="6" t="str">
        <f ca="1">IFERROR(__xludf.DUMMYFUNCTION("""COMPUTED_VALUE"""),"26-27 June 2021")</f>
        <v>26-27 June 2021</v>
      </c>
      <c r="J455" s="6">
        <f ca="1">IFERROR(__xludf.DUMMYFUNCTION("""COMPUTED_VALUE"""),1)</f>
        <v>1</v>
      </c>
      <c r="K455" s="8">
        <f ca="1">IFERROR(__xludf.DUMMYFUNCTION("""COMPUTED_VALUE"""),20000)</f>
        <v>20000</v>
      </c>
      <c r="L455" s="8">
        <f ca="1">IFERROR(__xludf.DUMMYFUNCTION("""COMPUTED_VALUE"""),229.042601923957)</f>
        <v>229.04260192395699</v>
      </c>
      <c r="M455" s="96">
        <f ca="1">IFERROR(__xludf.DUMMYFUNCTION("""COMPUTED_VALUE"""),44364)</f>
        <v>44364</v>
      </c>
      <c r="N455" s="6" t="str">
        <f ca="1">IFERROR(__xludf.DUMMYFUNCTION("""COMPUTED_VALUE"""),"S10")</f>
        <v>S10</v>
      </c>
      <c r="O455" s="97">
        <f ca="1">IFERROR(__xludf.DUMMYFUNCTION("""COMPUTED_VALUE"""),44364)</f>
        <v>44364</v>
      </c>
      <c r="P455" s="6" t="str">
        <f ca="1">IFERROR(__xludf.DUMMYFUNCTION("""COMPUTED_VALUE"""),"CSTM_2I5F3M2BFY9")</f>
        <v>CSTM_2I5F3M2BFY9</v>
      </c>
      <c r="Q455" s="6"/>
      <c r="R455" s="6" t="str">
        <f ca="1">IFERROR(__xludf.DUMMYFUNCTION("""COMPUTED_VALUE"""),"Done. Good feedback.")</f>
        <v>Done. Good feedback.</v>
      </c>
      <c r="S455" s="6" t="str">
        <f ca="1">IFERROR(__xludf.DUMMYFUNCTION("""COMPUTED_VALUE"""),"Category")</f>
        <v>Category</v>
      </c>
      <c r="T455" s="6"/>
      <c r="U455" s="6"/>
      <c r="V455" s="6"/>
      <c r="W455" s="6"/>
      <c r="X455" s="6"/>
      <c r="Y455" s="6"/>
      <c r="Z455" s="6"/>
      <c r="AA455" s="6"/>
      <c r="AB455" s="6"/>
      <c r="AC455" s="6"/>
      <c r="AD455" s="6"/>
      <c r="AE455" s="6"/>
      <c r="AF455" s="6"/>
      <c r="AG455" s="6"/>
      <c r="AH455" s="6"/>
      <c r="AI455" s="6"/>
      <c r="AJ455" s="6"/>
      <c r="AK455" s="6"/>
      <c r="AL455" s="6"/>
    </row>
    <row r="456" spans="1:38">
      <c r="A456" s="96">
        <f ca="1">IFERROR(__xludf.DUMMYFUNCTION("""COMPUTED_VALUE"""),44375)</f>
        <v>44375</v>
      </c>
      <c r="B456" s="6" t="str">
        <f ca="1">IFERROR(__xludf.DUMMYFUNCTION("""COMPUTED_VALUE"""),"Nishank Goel")</f>
        <v>Nishank Goel</v>
      </c>
      <c r="C456" s="6" t="str">
        <f ca="1">IFERROR(__xludf.DUMMYFUNCTION("""COMPUTED_VALUE"""),"nishankgoel@yahoo.co.in")</f>
        <v>nishankgoel@yahoo.co.in</v>
      </c>
      <c r="D456" s="6">
        <f ca="1">IFERROR(__xludf.DUMMYFUNCTION("""COMPUTED_VALUE"""),9910007218)</f>
        <v>9910007218</v>
      </c>
      <c r="E456" s="6" t="str">
        <f ca="1">IFERROR(__xludf.DUMMYFUNCTION("""COMPUTED_VALUE"""),"Reference")</f>
        <v>Reference</v>
      </c>
      <c r="F456" s="6" t="str">
        <f ca="1">IFERROR(__xludf.DUMMYFUNCTION("""COMPUTED_VALUE"""),"CSM")</f>
        <v>CSM</v>
      </c>
      <c r="G456" s="80">
        <f ca="1">IFERROR(__xludf.DUMMYFUNCTION("""COMPUTED_VALUE"""),44348)</f>
        <v>44348</v>
      </c>
      <c r="H456" s="6" t="str">
        <f ca="1">IFERROR(__xludf.DUMMYFUNCTION("""COMPUTED_VALUE"""),"Won")</f>
        <v>Won</v>
      </c>
      <c r="I456" s="6" t="str">
        <f ca="1">IFERROR(__xludf.DUMMYFUNCTION("""COMPUTED_VALUE"""),"10-11 July 2021")</f>
        <v>10-11 July 2021</v>
      </c>
      <c r="J456" s="6">
        <f ca="1">IFERROR(__xludf.DUMMYFUNCTION("""COMPUTED_VALUE"""),1)</f>
        <v>1</v>
      </c>
      <c r="K456" s="8">
        <f ca="1">IFERROR(__xludf.DUMMYFUNCTION("""COMPUTED_VALUE"""),19300)</f>
        <v>19300</v>
      </c>
      <c r="L456" s="8">
        <f ca="1">IFERROR(__xludf.DUMMYFUNCTION("""COMPUTED_VALUE"""),221.026110856619)</f>
        <v>221.026110856619</v>
      </c>
      <c r="M456" s="96">
        <f ca="1">IFERROR(__xludf.DUMMYFUNCTION("""COMPUTED_VALUE"""),44375)</f>
        <v>44375</v>
      </c>
      <c r="N456" s="6" t="str">
        <f ca="1">IFERROR(__xludf.DUMMYFUNCTION("""COMPUTED_VALUE"""),"T10")</f>
        <v>T10</v>
      </c>
      <c r="O456" s="97">
        <f ca="1">IFERROR(__xludf.DUMMYFUNCTION("""COMPUTED_VALUE"""),44376)</f>
        <v>44376</v>
      </c>
      <c r="P456" s="6" t="str">
        <f ca="1">IFERROR(__xludf.DUMMYFUNCTION("""COMPUTED_VALUE"""),"CSTM_7VZEJ6UGMMC")</f>
        <v>CSTM_7VZEJ6UGMMC</v>
      </c>
      <c r="Q456" s="6"/>
      <c r="R456" s="6" t="str">
        <f ca="1">IFERROR(__xludf.DUMMYFUNCTION("""COMPUTED_VALUE"""),"Done. Good feedback.")</f>
        <v>Done. Good feedback.</v>
      </c>
      <c r="S456" s="6" t="str">
        <f ca="1">IFERROR(__xludf.DUMMYFUNCTION("""COMPUTED_VALUE"""),"Category")</f>
        <v>Category</v>
      </c>
      <c r="T456" s="6"/>
      <c r="U456" s="6"/>
      <c r="V456" s="6"/>
      <c r="W456" s="6"/>
      <c r="X456" s="6"/>
      <c r="Y456" s="6"/>
      <c r="Z456" s="6"/>
      <c r="AA456" s="6"/>
      <c r="AB456" s="6"/>
      <c r="AC456" s="6"/>
      <c r="AD456" s="6"/>
      <c r="AE456" s="6"/>
      <c r="AF456" s="6"/>
      <c r="AG456" s="6"/>
      <c r="AH456" s="6"/>
      <c r="AI456" s="6"/>
      <c r="AJ456" s="6"/>
      <c r="AK456" s="6"/>
      <c r="AL456" s="6"/>
    </row>
    <row r="457" spans="1:38">
      <c r="A457" s="96">
        <f ca="1">IFERROR(__xludf.DUMMYFUNCTION("""COMPUTED_VALUE"""),44364)</f>
        <v>44364</v>
      </c>
      <c r="B457" s="6" t="str">
        <f ca="1">IFERROR(__xludf.DUMMYFUNCTION("""COMPUTED_VALUE"""),"Gayathri")</f>
        <v>Gayathri</v>
      </c>
      <c r="C457" s="6" t="str">
        <f ca="1">IFERROR(__xludf.DUMMYFUNCTION("""COMPUTED_VALUE"""),"gaya3.vjayakumar@gmail.com/ g3jayakumar@gmail.com")</f>
        <v>gaya3.vjayakumar@gmail.com/ g3jayakumar@gmail.com</v>
      </c>
      <c r="D457" s="6">
        <f ca="1">IFERROR(__xludf.DUMMYFUNCTION("""COMPUTED_VALUE"""),9841150989)</f>
        <v>9841150989</v>
      </c>
      <c r="E457" s="6" t="str">
        <f ca="1">IFERROR(__xludf.DUMMYFUNCTION("""COMPUTED_VALUE"""),"Reference")</f>
        <v>Reference</v>
      </c>
      <c r="F457" s="6" t="str">
        <f ca="1">IFERROR(__xludf.DUMMYFUNCTION("""COMPUTED_VALUE"""),"PSM")</f>
        <v>PSM</v>
      </c>
      <c r="G457" s="80">
        <f ca="1">IFERROR(__xludf.DUMMYFUNCTION("""COMPUTED_VALUE"""),44348)</f>
        <v>44348</v>
      </c>
      <c r="H457" s="6" t="str">
        <f ca="1">IFERROR(__xludf.DUMMYFUNCTION("""COMPUTED_VALUE"""),"Won")</f>
        <v>Won</v>
      </c>
      <c r="I457" s="6" t="str">
        <f ca="1">IFERROR(__xludf.DUMMYFUNCTION("""COMPUTED_VALUE"""),"19-20 June 2021")</f>
        <v>19-20 June 2021</v>
      </c>
      <c r="J457" s="6">
        <f ca="1">IFERROR(__xludf.DUMMYFUNCTION("""COMPUTED_VALUE"""),1)</f>
        <v>1</v>
      </c>
      <c r="K457" s="8">
        <f ca="1">IFERROR(__xludf.DUMMYFUNCTION("""COMPUTED_VALUE"""),20000)</f>
        <v>20000</v>
      </c>
      <c r="L457" s="8">
        <f ca="1">IFERROR(__xludf.DUMMYFUNCTION("""COMPUTED_VALUE"""),229.042601923957)</f>
        <v>229.04260192395699</v>
      </c>
      <c r="M457" s="96">
        <f ca="1">IFERROR(__xludf.DUMMYFUNCTION("""COMPUTED_VALUE"""),44364)</f>
        <v>44364</v>
      </c>
      <c r="N457" s="6" t="str">
        <f ca="1">IFERROR(__xludf.DUMMYFUNCTION("""COMPUTED_VALUE"""),"S10")</f>
        <v>S10</v>
      </c>
      <c r="O457" s="97">
        <f ca="1">IFERROR(__xludf.DUMMYFUNCTION("""COMPUTED_VALUE"""),44364)</f>
        <v>44364</v>
      </c>
      <c r="P457" s="6" t="str">
        <f ca="1">IFERROR(__xludf.DUMMYFUNCTION("""COMPUTED_VALUE"""),"CSTM_FP9CLJE2LN6")</f>
        <v>CSTM_FP9CLJE2LN6</v>
      </c>
      <c r="Q457" s="6"/>
      <c r="R457" s="6" t="str">
        <f ca="1">IFERROR(__xludf.DUMMYFUNCTION("""COMPUTED_VALUE"""),"Done. Good feedback.")</f>
        <v>Done. Good feedback.</v>
      </c>
      <c r="S457" s="6" t="str">
        <f ca="1">IFERROR(__xludf.DUMMYFUNCTION("""COMPUTED_VALUE"""),"Category")</f>
        <v>Category</v>
      </c>
      <c r="T457" s="6"/>
      <c r="U457" s="6"/>
      <c r="V457" s="6"/>
      <c r="W457" s="6"/>
      <c r="X457" s="6"/>
      <c r="Y457" s="6"/>
      <c r="Z457" s="6"/>
      <c r="AA457" s="6"/>
      <c r="AB457" s="6"/>
      <c r="AC457" s="6"/>
      <c r="AD457" s="6"/>
      <c r="AE457" s="6"/>
      <c r="AF457" s="6"/>
      <c r="AG457" s="6"/>
      <c r="AH457" s="6"/>
      <c r="AI457" s="6"/>
      <c r="AJ457" s="6"/>
      <c r="AK457" s="6"/>
      <c r="AL457" s="6"/>
    </row>
    <row r="458" spans="1:38">
      <c r="A458" s="96">
        <f ca="1">IFERROR(__xludf.DUMMYFUNCTION("""COMPUTED_VALUE"""),44252)</f>
        <v>44252</v>
      </c>
      <c r="B458" s="6" t="str">
        <f ca="1">IFERROR(__xludf.DUMMYFUNCTION("""COMPUTED_VALUE"""),"Arjun Madhusudan")</f>
        <v>Arjun Madhusudan</v>
      </c>
      <c r="C458" s="6" t="str">
        <f ca="1">IFERROR(__xludf.DUMMYFUNCTION("""COMPUTED_VALUE"""),"arjun.madhusudan88@gmail.com")</f>
        <v>arjun.madhusudan88@gmail.com</v>
      </c>
      <c r="D458" s="6">
        <f ca="1">IFERROR(__xludf.DUMMYFUNCTION("""COMPUTED_VALUE"""),9930571853)</f>
        <v>9930571853</v>
      </c>
      <c r="E458" s="6" t="str">
        <f ca="1">IFERROR(__xludf.DUMMYFUNCTION("""COMPUTED_VALUE"""),"Tollfree")</f>
        <v>Tollfree</v>
      </c>
      <c r="F458" s="6" t="str">
        <f ca="1">IFERROR(__xludf.DUMMYFUNCTION("""COMPUTED_VALUE"""),"CSPO")</f>
        <v>CSPO</v>
      </c>
      <c r="G458" s="80">
        <f ca="1">IFERROR(__xludf.DUMMYFUNCTION("""COMPUTED_VALUE"""),44348)</f>
        <v>44348</v>
      </c>
      <c r="H458" s="6" t="str">
        <f ca="1">IFERROR(__xludf.DUMMYFUNCTION("""COMPUTED_VALUE"""),"Won")</f>
        <v>Won</v>
      </c>
      <c r="I458" s="6" t="str">
        <f ca="1">IFERROR(__xludf.DUMMYFUNCTION("""COMPUTED_VALUE"""),"3-4 July 2021")</f>
        <v>3-4 July 2021</v>
      </c>
      <c r="J458" s="6">
        <f ca="1">IFERROR(__xludf.DUMMYFUNCTION("""COMPUTED_VALUE"""),1)</f>
        <v>1</v>
      </c>
      <c r="K458" s="8">
        <f ca="1">IFERROR(__xludf.DUMMYFUNCTION("""COMPUTED_VALUE"""),19000)</f>
        <v>19000</v>
      </c>
      <c r="L458" s="8">
        <f ca="1">IFERROR(__xludf.DUMMYFUNCTION("""COMPUTED_VALUE"""),217.590471827759)</f>
        <v>217.59047182775899</v>
      </c>
      <c r="M458" s="96">
        <f ca="1">IFERROR(__xludf.DUMMYFUNCTION("""COMPUTED_VALUE"""),44254)</f>
        <v>44254</v>
      </c>
      <c r="N458" s="6" t="str">
        <f ca="1">IFERROR(__xludf.DUMMYFUNCTION("""COMPUTED_VALUE"""),"S10")</f>
        <v>S10</v>
      </c>
      <c r="O458" s="97"/>
      <c r="P458" s="6" t="str">
        <f ca="1">IFERROR(__xludf.DUMMYFUNCTION("""COMPUTED_VALUE"""),"CSTM_6NFZS5L8X6X")</f>
        <v>CSTM_6NFZS5L8X6X</v>
      </c>
      <c r="Q458" s="6"/>
      <c r="R458" s="6" t="str">
        <f ca="1">IFERROR(__xludf.DUMMYFUNCTION("""COMPUTED_VALUE"""),"Pending")</f>
        <v>Pending</v>
      </c>
      <c r="S458" s="6" t="str">
        <f ca="1">IFERROR(__xludf.DUMMYFUNCTION("""COMPUTED_VALUE"""),"Category")</f>
        <v>Category</v>
      </c>
      <c r="T458" s="6"/>
      <c r="U458" s="6"/>
      <c r="V458" s="6"/>
      <c r="W458" s="6"/>
      <c r="X458" s="6"/>
      <c r="Y458" s="6"/>
      <c r="Z458" s="6"/>
      <c r="AA458" s="6"/>
      <c r="AB458" s="6"/>
      <c r="AC458" s="6"/>
      <c r="AD458" s="6"/>
      <c r="AE458" s="6"/>
      <c r="AF458" s="6"/>
      <c r="AG458" s="6"/>
      <c r="AH458" s="6"/>
      <c r="AI458" s="6"/>
      <c r="AJ458" s="6"/>
      <c r="AK458" s="6"/>
      <c r="AL458" s="6"/>
    </row>
    <row r="459" spans="1:38">
      <c r="A459" s="96">
        <f ca="1">IFERROR(__xludf.DUMMYFUNCTION("""COMPUTED_VALUE"""),44367)</f>
        <v>44367</v>
      </c>
      <c r="B459" s="6" t="str">
        <f ca="1">IFERROR(__xludf.DUMMYFUNCTION("""COMPUTED_VALUE"""),"Pradipta")</f>
        <v>Pradipta</v>
      </c>
      <c r="C459" s="6" t="str">
        <f ca="1">IFERROR(__xludf.DUMMYFUNCTION("""COMPUTED_VALUE"""),"pradipta.biswal@gmail.com")</f>
        <v>pradipta.biswal@gmail.com</v>
      </c>
      <c r="D459" s="6">
        <f ca="1">IFERROR(__xludf.DUMMYFUNCTION("""COMPUTED_VALUE"""),8886301919)</f>
        <v>8886301919</v>
      </c>
      <c r="E459" s="6" t="str">
        <f ca="1">IFERROR(__xludf.DUMMYFUNCTION("""COMPUTED_VALUE"""),"Query box")</f>
        <v>Query box</v>
      </c>
      <c r="F459" s="6" t="str">
        <f ca="1">IFERROR(__xludf.DUMMYFUNCTION("""COMPUTED_VALUE"""),"SAFe SSM")</f>
        <v>SAFe SSM</v>
      </c>
      <c r="G459" s="80">
        <f ca="1">IFERROR(__xludf.DUMMYFUNCTION("""COMPUTED_VALUE"""),44348)</f>
        <v>44348</v>
      </c>
      <c r="H459" s="6" t="str">
        <f ca="1">IFERROR(__xludf.DUMMYFUNCTION("""COMPUTED_VALUE"""),"Won")</f>
        <v>Won</v>
      </c>
      <c r="I459" s="6" t="str">
        <f ca="1">IFERROR(__xludf.DUMMYFUNCTION("""COMPUTED_VALUE"""),"26-27 June 2021")</f>
        <v>26-27 June 2021</v>
      </c>
      <c r="J459" s="6">
        <f ca="1">IFERROR(__xludf.DUMMYFUNCTION("""COMPUTED_VALUE"""),1)</f>
        <v>1</v>
      </c>
      <c r="K459" s="8">
        <f ca="1">IFERROR(__xludf.DUMMYFUNCTION("""COMPUTED_VALUE"""),45000)</f>
        <v>45000</v>
      </c>
      <c r="L459" s="8">
        <f ca="1">IFERROR(__xludf.DUMMYFUNCTION("""COMPUTED_VALUE"""),515.345854328905)</f>
        <v>515.34585432890503</v>
      </c>
      <c r="M459" s="96">
        <f ca="1">IFERROR(__xludf.DUMMYFUNCTION("""COMPUTED_VALUE"""),44368)</f>
        <v>44368</v>
      </c>
      <c r="N459" s="6" t="str">
        <f ca="1">IFERROR(__xludf.DUMMYFUNCTION("""COMPUTED_VALUE"""),"T10")</f>
        <v>T10</v>
      </c>
      <c r="O459" s="97">
        <f ca="1">IFERROR(__xludf.DUMMYFUNCTION("""COMPUTED_VALUE"""),44368)</f>
        <v>44368</v>
      </c>
      <c r="P459" s="6" t="str">
        <f ca="1">IFERROR(__xludf.DUMMYFUNCTION("""COMPUTED_VALUE"""),"CSTM_2UAPPI8V0VD")</f>
        <v>CSTM_2UAPPI8V0VD</v>
      </c>
      <c r="Q459" s="6"/>
      <c r="R459" s="6" t="str">
        <f ca="1">IFERROR(__xludf.DUMMYFUNCTION("""COMPUTED_VALUE"""),"Pending")</f>
        <v>Pending</v>
      </c>
      <c r="S459" s="6" t="str">
        <f ca="1">IFERROR(__xludf.DUMMYFUNCTION("""COMPUTED_VALUE"""),"SAFe")</f>
        <v>SAFe</v>
      </c>
      <c r="T459" s="6"/>
      <c r="U459" s="6"/>
      <c r="V459" s="6"/>
      <c r="W459" s="6"/>
      <c r="X459" s="6"/>
      <c r="Y459" s="6"/>
      <c r="Z459" s="6"/>
      <c r="AA459" s="6"/>
      <c r="AB459" s="6"/>
      <c r="AC459" s="6"/>
      <c r="AD459" s="6"/>
      <c r="AE459" s="6"/>
      <c r="AF459" s="6"/>
      <c r="AG459" s="6"/>
      <c r="AH459" s="6"/>
      <c r="AI459" s="6"/>
      <c r="AJ459" s="6"/>
      <c r="AK459" s="6"/>
      <c r="AL459" s="6"/>
    </row>
    <row r="460" spans="1:38">
      <c r="A460" s="96">
        <f ca="1">IFERROR(__xludf.DUMMYFUNCTION("""COMPUTED_VALUE"""),44368)</f>
        <v>44368</v>
      </c>
      <c r="B460" s="6" t="str">
        <f ca="1">IFERROR(__xludf.DUMMYFUNCTION("""COMPUTED_VALUE"""),"Manisha Bist")</f>
        <v>Manisha Bist</v>
      </c>
      <c r="C460" s="6" t="str">
        <f ca="1">IFERROR(__xludf.DUMMYFUNCTION("""COMPUTED_VALUE"""),"manishabist01@gmail.com")</f>
        <v>manishabist01@gmail.com</v>
      </c>
      <c r="D460" s="6">
        <f ca="1">IFERROR(__xludf.DUMMYFUNCTION("""COMPUTED_VALUE"""),9049742391)</f>
        <v>9049742391</v>
      </c>
      <c r="E460" s="6" t="str">
        <f ca="1">IFERROR(__xludf.DUMMYFUNCTION("""COMPUTED_VALUE"""),"Query box")</f>
        <v>Query box</v>
      </c>
      <c r="F460" s="6" t="str">
        <f ca="1">IFERROR(__xludf.DUMMYFUNCTION("""COMPUTED_VALUE"""),"PSM")</f>
        <v>PSM</v>
      </c>
      <c r="G460" s="80">
        <f ca="1">IFERROR(__xludf.DUMMYFUNCTION("""COMPUTED_VALUE"""),44348)</f>
        <v>44348</v>
      </c>
      <c r="H460" s="6" t="str">
        <f ca="1">IFERROR(__xludf.DUMMYFUNCTION("""COMPUTED_VALUE"""),"Won")</f>
        <v>Won</v>
      </c>
      <c r="I460" s="6" t="str">
        <f ca="1">IFERROR(__xludf.DUMMYFUNCTION("""COMPUTED_VALUE"""),"23-24 June 2021")</f>
        <v>23-24 June 2021</v>
      </c>
      <c r="J460" s="6">
        <f ca="1">IFERROR(__xludf.DUMMYFUNCTION("""COMPUTED_VALUE"""),1)</f>
        <v>1</v>
      </c>
      <c r="K460" s="8">
        <f ca="1">IFERROR(__xludf.DUMMYFUNCTION("""COMPUTED_VALUE"""),21000)</f>
        <v>21000</v>
      </c>
      <c r="L460" s="8">
        <f ca="1">IFERROR(__xludf.DUMMYFUNCTION("""COMPUTED_VALUE"""),240.494732020155)</f>
        <v>240.494732020155</v>
      </c>
      <c r="M460" s="96">
        <f ca="1">IFERROR(__xludf.DUMMYFUNCTION("""COMPUTED_VALUE"""),44369)</f>
        <v>44369</v>
      </c>
      <c r="N460" s="6" t="str">
        <f ca="1">IFERROR(__xludf.DUMMYFUNCTION("""COMPUTED_VALUE"""),"T10")</f>
        <v>T10</v>
      </c>
      <c r="O460" s="97">
        <f ca="1">IFERROR(__xludf.DUMMYFUNCTION("""COMPUTED_VALUE"""),44369)</f>
        <v>44369</v>
      </c>
      <c r="P460" s="6" t="str">
        <f ca="1">IFERROR(__xludf.DUMMYFUNCTION("""COMPUTED_VALUE"""),"CSTM_3ORUEER5YWS")</f>
        <v>CSTM_3ORUEER5YWS</v>
      </c>
      <c r="Q460" s="6"/>
      <c r="R460" s="6" t="str">
        <f ca="1">IFERROR(__xludf.DUMMYFUNCTION("""COMPUTED_VALUE"""),"Pending")</f>
        <v>Pending</v>
      </c>
      <c r="S460" s="6" t="str">
        <f ca="1">IFERROR(__xludf.DUMMYFUNCTION("""COMPUTED_VALUE"""),"Category")</f>
        <v>Category</v>
      </c>
      <c r="T460" s="6"/>
      <c r="U460" s="6"/>
      <c r="V460" s="6"/>
      <c r="W460" s="6"/>
      <c r="X460" s="6"/>
      <c r="Y460" s="6"/>
      <c r="Z460" s="6"/>
      <c r="AA460" s="6"/>
      <c r="AB460" s="6"/>
      <c r="AC460" s="6"/>
      <c r="AD460" s="6"/>
      <c r="AE460" s="6"/>
      <c r="AF460" s="6"/>
      <c r="AG460" s="6"/>
      <c r="AH460" s="6"/>
      <c r="AI460" s="6"/>
      <c r="AJ460" s="6"/>
      <c r="AK460" s="6"/>
      <c r="AL460" s="6"/>
    </row>
    <row r="461" spans="1:38">
      <c r="A461" s="96">
        <f ca="1">IFERROR(__xludf.DUMMYFUNCTION("""COMPUTED_VALUE"""),44375)</f>
        <v>44375</v>
      </c>
      <c r="B461" s="6" t="str">
        <f ca="1">IFERROR(__xludf.DUMMYFUNCTION("""COMPUTED_VALUE"""),"Saurav Chutani")</f>
        <v>Saurav Chutani</v>
      </c>
      <c r="C461" s="6" t="str">
        <f ca="1">IFERROR(__xludf.DUMMYFUNCTION("""COMPUTED_VALUE"""),"sauravchutani@yahoo.com")</f>
        <v>sauravchutani@yahoo.com</v>
      </c>
      <c r="D461" s="6">
        <f ca="1">IFERROR(__xludf.DUMMYFUNCTION("""COMPUTED_VALUE"""),9971033966)</f>
        <v>9971033966</v>
      </c>
      <c r="E461" s="6" t="str">
        <f ca="1">IFERROR(__xludf.DUMMYFUNCTION("""COMPUTED_VALUE"""),"Reference")</f>
        <v>Reference</v>
      </c>
      <c r="F461" s="6" t="str">
        <f ca="1">IFERROR(__xludf.DUMMYFUNCTION("""COMPUTED_VALUE"""),"CSM")</f>
        <v>CSM</v>
      </c>
      <c r="G461" s="80">
        <f ca="1">IFERROR(__xludf.DUMMYFUNCTION("""COMPUTED_VALUE"""),44348)</f>
        <v>44348</v>
      </c>
      <c r="H461" s="6" t="str">
        <f ca="1">IFERROR(__xludf.DUMMYFUNCTION("""COMPUTED_VALUE"""),"Won")</f>
        <v>Won</v>
      </c>
      <c r="I461" s="6" t="str">
        <f ca="1">IFERROR(__xludf.DUMMYFUNCTION("""COMPUTED_VALUE"""),"10-11 July 2021")</f>
        <v>10-11 July 2021</v>
      </c>
      <c r="J461" s="6">
        <f ca="1">IFERROR(__xludf.DUMMYFUNCTION("""COMPUTED_VALUE"""),1)</f>
        <v>1</v>
      </c>
      <c r="K461" s="8">
        <f ca="1">IFERROR(__xludf.DUMMYFUNCTION("""COMPUTED_VALUE"""),19300)</f>
        <v>19300</v>
      </c>
      <c r="L461" s="8">
        <f ca="1">IFERROR(__xludf.DUMMYFUNCTION("""COMPUTED_VALUE"""),221.026110856619)</f>
        <v>221.026110856619</v>
      </c>
      <c r="M461" s="96">
        <f ca="1">IFERROR(__xludf.DUMMYFUNCTION("""COMPUTED_VALUE"""),44375)</f>
        <v>44375</v>
      </c>
      <c r="N461" s="6" t="str">
        <f ca="1">IFERROR(__xludf.DUMMYFUNCTION("""COMPUTED_VALUE"""),"T10")</f>
        <v>T10</v>
      </c>
      <c r="O461" s="97">
        <f ca="1">IFERROR(__xludf.DUMMYFUNCTION("""COMPUTED_VALUE"""),44376)</f>
        <v>44376</v>
      </c>
      <c r="P461" s="6" t="str">
        <f ca="1">IFERROR(__xludf.DUMMYFUNCTION("""COMPUTED_VALUE"""),"CSTM_EL64M40C2PU")</f>
        <v>CSTM_EL64M40C2PU</v>
      </c>
      <c r="Q461" s="6"/>
      <c r="R461" s="6" t="str">
        <f ca="1">IFERROR(__xludf.DUMMYFUNCTION("""COMPUTED_VALUE"""),"Pending")</f>
        <v>Pending</v>
      </c>
      <c r="S461" s="6" t="str">
        <f ca="1">IFERROR(__xludf.DUMMYFUNCTION("""COMPUTED_VALUE"""),"Category")</f>
        <v>Category</v>
      </c>
      <c r="T461" s="6"/>
      <c r="U461" s="6"/>
      <c r="V461" s="6"/>
      <c r="W461" s="6"/>
      <c r="X461" s="6"/>
      <c r="Y461" s="6"/>
      <c r="Z461" s="6"/>
      <c r="AA461" s="6"/>
      <c r="AB461" s="6"/>
      <c r="AC461" s="6"/>
      <c r="AD461" s="6"/>
      <c r="AE461" s="6"/>
      <c r="AF461" s="6"/>
      <c r="AG461" s="6"/>
      <c r="AH461" s="6"/>
      <c r="AI461" s="6"/>
      <c r="AJ461" s="6"/>
      <c r="AK461" s="6"/>
      <c r="AL461" s="6"/>
    </row>
    <row r="462" spans="1:38">
      <c r="A462" s="96">
        <f ca="1">IFERROR(__xludf.DUMMYFUNCTION("""COMPUTED_VALUE"""),44370)</f>
        <v>44370</v>
      </c>
      <c r="B462" s="6" t="str">
        <f ca="1">IFERROR(__xludf.DUMMYFUNCTION("""COMPUTED_VALUE"""),"Swapnil Barhate")</f>
        <v>Swapnil Barhate</v>
      </c>
      <c r="C462" s="6" t="str">
        <f ca="1">IFERROR(__xludf.DUMMYFUNCTION("""COMPUTED_VALUE"""),"swapnil.barhate@hotmail.com")</f>
        <v>swapnil.barhate@hotmail.com</v>
      </c>
      <c r="D462" s="6">
        <f ca="1">IFERROR(__xludf.DUMMYFUNCTION("""COMPUTED_VALUE"""),9850591388)</f>
        <v>9850591388</v>
      </c>
      <c r="E462" s="6" t="str">
        <f ca="1">IFERROR(__xludf.DUMMYFUNCTION("""COMPUTED_VALUE"""),"course agenda")</f>
        <v>course agenda</v>
      </c>
      <c r="F462" s="6" t="str">
        <f ca="1">IFERROR(__xludf.DUMMYFUNCTION("""COMPUTED_VALUE"""),"Prince 2 F&amp;P")</f>
        <v>Prince 2 F&amp;P</v>
      </c>
      <c r="G462" s="80">
        <f ca="1">IFERROR(__xludf.DUMMYFUNCTION("""COMPUTED_VALUE"""),44348)</f>
        <v>44348</v>
      </c>
      <c r="H462" s="6" t="str">
        <f ca="1">IFERROR(__xludf.DUMMYFUNCTION("""COMPUTED_VALUE"""),"Won")</f>
        <v>Won</v>
      </c>
      <c r="I462" s="6" t="str">
        <f ca="1">IFERROR(__xludf.DUMMYFUNCTION("""COMPUTED_VALUE"""),"June 2021")</f>
        <v>June 2021</v>
      </c>
      <c r="J462" s="6">
        <f ca="1">IFERROR(__xludf.DUMMYFUNCTION("""COMPUTED_VALUE"""),1)</f>
        <v>1</v>
      </c>
      <c r="K462" s="8">
        <f ca="1">IFERROR(__xludf.DUMMYFUNCTION("""COMPUTED_VALUE"""),37000)</f>
        <v>37000</v>
      </c>
      <c r="L462" s="8">
        <f ca="1">IFERROR(__xludf.DUMMYFUNCTION("""COMPUTED_VALUE"""),423.728813559322)</f>
        <v>423.72881355932202</v>
      </c>
      <c r="M462" s="96">
        <f ca="1">IFERROR(__xludf.DUMMYFUNCTION("""COMPUTED_VALUE"""),44370)</f>
        <v>44370</v>
      </c>
      <c r="N462" s="6" t="str">
        <f ca="1">IFERROR(__xludf.DUMMYFUNCTION("""COMPUTED_VALUE"""),"T10")</f>
        <v>T10</v>
      </c>
      <c r="O462" s="97">
        <f ca="1">IFERROR(__xludf.DUMMYFUNCTION("""COMPUTED_VALUE"""),44369)</f>
        <v>44369</v>
      </c>
      <c r="P462" s="6" t="str">
        <f ca="1">IFERROR(__xludf.DUMMYFUNCTION("""COMPUTED_VALUE"""),"CSTM_9EBX4PB9GXF")</f>
        <v>CSTM_9EBX4PB9GXF</v>
      </c>
      <c r="Q462" s="6"/>
      <c r="R462" s="6" t="str">
        <f ca="1">IFERROR(__xludf.DUMMYFUNCTION("""COMPUTED_VALUE"""),"Pending")</f>
        <v>Pending</v>
      </c>
      <c r="S462" s="6" t="str">
        <f ca="1">IFERROR(__xludf.DUMMYFUNCTION("""COMPUTED_VALUE"""),"NonCategory")</f>
        <v>NonCategory</v>
      </c>
      <c r="T462" s="6"/>
      <c r="U462" s="6"/>
      <c r="V462" s="6"/>
      <c r="W462" s="6"/>
      <c r="X462" s="6"/>
      <c r="Y462" s="6"/>
      <c r="Z462" s="6"/>
      <c r="AA462" s="6"/>
      <c r="AB462" s="6"/>
      <c r="AC462" s="6"/>
      <c r="AD462" s="6"/>
      <c r="AE462" s="6"/>
      <c r="AF462" s="6"/>
      <c r="AG462" s="6"/>
      <c r="AH462" s="6"/>
      <c r="AI462" s="6"/>
      <c r="AJ462" s="6"/>
      <c r="AK462" s="6"/>
      <c r="AL462" s="6"/>
    </row>
    <row r="463" spans="1:38">
      <c r="A463" s="96">
        <f ca="1">IFERROR(__xludf.DUMMYFUNCTION("""COMPUTED_VALUE"""),44372)</f>
        <v>44372</v>
      </c>
      <c r="B463" s="6" t="str">
        <f ca="1">IFERROR(__xludf.DUMMYFUNCTION("""COMPUTED_VALUE"""),"Savitha")</f>
        <v>Savitha</v>
      </c>
      <c r="C463" s="6" t="str">
        <f ca="1">IFERROR(__xludf.DUMMYFUNCTION("""COMPUTED_VALUE"""),"savithareddy_r@yahoo.co.in")</f>
        <v>savithareddy_r@yahoo.co.in</v>
      </c>
      <c r="D463" s="6">
        <f ca="1">IFERROR(__xludf.DUMMYFUNCTION("""COMPUTED_VALUE"""),9845762771)</f>
        <v>9845762771</v>
      </c>
      <c r="E463" s="6" t="str">
        <f ca="1">IFERROR(__xludf.DUMMYFUNCTION("""COMPUTED_VALUE"""),"Chat_triggered")</f>
        <v>Chat_triggered</v>
      </c>
      <c r="F463" s="6" t="str">
        <f ca="1">IFERROR(__xludf.DUMMYFUNCTION("""COMPUTED_VALUE"""),"ICP-ACC")</f>
        <v>ICP-ACC</v>
      </c>
      <c r="G463" s="80">
        <f ca="1">IFERROR(__xludf.DUMMYFUNCTION("""COMPUTED_VALUE"""),44348)</f>
        <v>44348</v>
      </c>
      <c r="H463" s="6" t="str">
        <f ca="1">IFERROR(__xludf.DUMMYFUNCTION("""COMPUTED_VALUE"""),"Won")</f>
        <v>Won</v>
      </c>
      <c r="I463" s="6" t="str">
        <f ca="1">IFERROR(__xludf.DUMMYFUNCTION("""COMPUTED_VALUE"""),"2-4 July 2021")</f>
        <v>2-4 July 2021</v>
      </c>
      <c r="J463" s="6">
        <f ca="1">IFERROR(__xludf.DUMMYFUNCTION("""COMPUTED_VALUE"""),1)</f>
        <v>1</v>
      </c>
      <c r="K463" s="8">
        <f ca="1">IFERROR(__xludf.DUMMYFUNCTION("""COMPUTED_VALUE"""),31000)</f>
        <v>31000</v>
      </c>
      <c r="L463" s="8">
        <f ca="1">IFERROR(__xludf.DUMMYFUNCTION("""COMPUTED_VALUE"""),355.016032982134)</f>
        <v>355.01603298213399</v>
      </c>
      <c r="M463" s="96">
        <f ca="1">IFERROR(__xludf.DUMMYFUNCTION("""COMPUTED_VALUE"""),44372)</f>
        <v>44372</v>
      </c>
      <c r="N463" s="6" t="str">
        <f ca="1">IFERROR(__xludf.DUMMYFUNCTION("""COMPUTED_VALUE"""),"T10")</f>
        <v>T10</v>
      </c>
      <c r="O463" s="97">
        <f ca="1">IFERROR(__xludf.DUMMYFUNCTION("""COMPUTED_VALUE"""),44372)</f>
        <v>44372</v>
      </c>
      <c r="P463" s="6" t="str">
        <f ca="1">IFERROR(__xludf.DUMMYFUNCTION("""COMPUTED_VALUE"""),"CSTM_71VIVZ9X1XE")</f>
        <v>CSTM_71VIVZ9X1XE</v>
      </c>
      <c r="Q463" s="6"/>
      <c r="R463" s="6" t="str">
        <f ca="1">IFERROR(__xludf.DUMMYFUNCTION("""COMPUTED_VALUE"""),"Pending")</f>
        <v>Pending</v>
      </c>
      <c r="S463" s="6" t="str">
        <f ca="1">IFERROR(__xludf.DUMMYFUNCTION("""COMPUTED_VALUE"""),"Category")</f>
        <v>Category</v>
      </c>
      <c r="T463" s="6"/>
      <c r="U463" s="6"/>
      <c r="V463" s="6"/>
      <c r="W463" s="6"/>
      <c r="X463" s="6"/>
      <c r="Y463" s="6"/>
      <c r="Z463" s="6"/>
      <c r="AA463" s="6"/>
      <c r="AB463" s="6"/>
      <c r="AC463" s="6"/>
      <c r="AD463" s="6"/>
      <c r="AE463" s="6"/>
      <c r="AF463" s="6"/>
      <c r="AG463" s="6"/>
      <c r="AH463" s="6"/>
      <c r="AI463" s="6"/>
      <c r="AJ463" s="6"/>
      <c r="AK463" s="6"/>
      <c r="AL463" s="6"/>
    </row>
    <row r="464" spans="1:38">
      <c r="A464" s="96">
        <f ca="1">IFERROR(__xludf.DUMMYFUNCTION("""COMPUTED_VALUE"""),44365)</f>
        <v>44365</v>
      </c>
      <c r="B464" s="6" t="str">
        <f ca="1">IFERROR(__xludf.DUMMYFUNCTION("""COMPUTED_VALUE"""),"Amit ")</f>
        <v xml:space="preserve">Amit </v>
      </c>
      <c r="C464" s="6" t="str">
        <f ca="1">IFERROR(__xludf.DUMMYFUNCTION("""COMPUTED_VALUE"""),"innovative.amit87@gmail.com")</f>
        <v>innovative.amit87@gmail.com</v>
      </c>
      <c r="D464" s="6">
        <f ca="1">IFERROR(__xludf.DUMMYFUNCTION("""COMPUTED_VALUE"""),9900491330)</f>
        <v>9900491330</v>
      </c>
      <c r="E464" s="6" t="str">
        <f ca="1">IFERROR(__xludf.DUMMYFUNCTION("""COMPUTED_VALUE"""),"Reference")</f>
        <v>Reference</v>
      </c>
      <c r="F464" s="6" t="str">
        <f ca="1">IFERROR(__xludf.DUMMYFUNCTION("""COMPUTED_VALUE"""),"PSM")</f>
        <v>PSM</v>
      </c>
      <c r="G464" s="80">
        <f ca="1">IFERROR(__xludf.DUMMYFUNCTION("""COMPUTED_VALUE"""),44348)</f>
        <v>44348</v>
      </c>
      <c r="H464" s="6" t="str">
        <f ca="1">IFERROR(__xludf.DUMMYFUNCTION("""COMPUTED_VALUE"""),"Won")</f>
        <v>Won</v>
      </c>
      <c r="I464" s="6" t="str">
        <f ca="1">IFERROR(__xludf.DUMMYFUNCTION("""COMPUTED_VALUE"""),"3-4 July 2021")</f>
        <v>3-4 July 2021</v>
      </c>
      <c r="J464" s="6">
        <f ca="1">IFERROR(__xludf.DUMMYFUNCTION("""COMPUTED_VALUE"""),1)</f>
        <v>1</v>
      </c>
      <c r="K464" s="8">
        <f ca="1">IFERROR(__xludf.DUMMYFUNCTION("""COMPUTED_VALUE"""),21000)</f>
        <v>21000</v>
      </c>
      <c r="L464" s="8">
        <f ca="1">IFERROR(__xludf.DUMMYFUNCTION("""COMPUTED_VALUE"""),240.494732020155)</f>
        <v>240.494732020155</v>
      </c>
      <c r="M464" s="96">
        <f ca="1">IFERROR(__xludf.DUMMYFUNCTION("""COMPUTED_VALUE"""),44365)</f>
        <v>44365</v>
      </c>
      <c r="N464" s="6" t="str">
        <f ca="1">IFERROR(__xludf.DUMMYFUNCTION("""COMPUTED_VALUE"""),"S10")</f>
        <v>S10</v>
      </c>
      <c r="O464" s="97">
        <f ca="1">IFERROR(__xludf.DUMMYFUNCTION("""COMPUTED_VALUE"""),44365)</f>
        <v>44365</v>
      </c>
      <c r="P464" s="6" t="str">
        <f ca="1">IFERROR(__xludf.DUMMYFUNCTION("""COMPUTED_VALUE"""),"CSTM_27T7OU1WKPP")</f>
        <v>CSTM_27T7OU1WKPP</v>
      </c>
      <c r="Q464" s="6"/>
      <c r="R464" s="6" t="str">
        <f ca="1">IFERROR(__xludf.DUMMYFUNCTION("""COMPUTED_VALUE"""),"Done. Good feedback.")</f>
        <v>Done. Good feedback.</v>
      </c>
      <c r="S464" s="6" t="str">
        <f ca="1">IFERROR(__xludf.DUMMYFUNCTION("""COMPUTED_VALUE"""),"Category")</f>
        <v>Category</v>
      </c>
      <c r="T464" s="6"/>
      <c r="U464" s="6"/>
      <c r="V464" s="6"/>
      <c r="W464" s="6"/>
      <c r="X464" s="6"/>
      <c r="Y464" s="6"/>
      <c r="Z464" s="6"/>
      <c r="AA464" s="6"/>
      <c r="AB464" s="6"/>
      <c r="AC464" s="6"/>
      <c r="AD464" s="6"/>
      <c r="AE464" s="6"/>
      <c r="AF464" s="6"/>
      <c r="AG464" s="6"/>
      <c r="AH464" s="6"/>
      <c r="AI464" s="6"/>
      <c r="AJ464" s="6"/>
      <c r="AK464" s="6"/>
      <c r="AL464" s="6"/>
    </row>
    <row r="465" spans="1:38">
      <c r="A465" s="96">
        <f ca="1">IFERROR(__xludf.DUMMYFUNCTION("""COMPUTED_VALUE"""),44371)</f>
        <v>44371</v>
      </c>
      <c r="B465" s="6" t="str">
        <f ca="1">IFERROR(__xludf.DUMMYFUNCTION("""COMPUTED_VALUE"""),"Dhruv Naik")</f>
        <v>Dhruv Naik</v>
      </c>
      <c r="C465" s="6" t="str">
        <f ca="1">IFERROR(__xludf.DUMMYFUNCTION("""COMPUTED_VALUE"""),"dhruvnaik2341@gmail.com")</f>
        <v>dhruvnaik2341@gmail.com</v>
      </c>
      <c r="D465" s="6">
        <f ca="1">IFERROR(__xludf.DUMMYFUNCTION("""COMPUTED_VALUE"""),9824559459)</f>
        <v>9824559459</v>
      </c>
      <c r="E465" s="6" t="str">
        <f ca="1">IFERROR(__xludf.DUMMYFUNCTION("""COMPUTED_VALUE"""),"chat_initiated")</f>
        <v>chat_initiated</v>
      </c>
      <c r="F465" s="6" t="str">
        <f ca="1">IFERROR(__xludf.DUMMYFUNCTION("""COMPUTED_VALUE"""),"PSPO")</f>
        <v>PSPO</v>
      </c>
      <c r="G465" s="80">
        <f ca="1">IFERROR(__xludf.DUMMYFUNCTION("""COMPUTED_VALUE"""),44348)</f>
        <v>44348</v>
      </c>
      <c r="H465" s="6" t="str">
        <f ca="1">IFERROR(__xludf.DUMMYFUNCTION("""COMPUTED_VALUE"""),"Opportunity")</f>
        <v>Opportunity</v>
      </c>
      <c r="I465" s="6" t="str">
        <f ca="1">IFERROR(__xludf.DUMMYFUNCTION("""COMPUTED_VALUE"""),"25-26 June 2021")</f>
        <v>25-26 June 2021</v>
      </c>
      <c r="J465" s="6">
        <f ca="1">IFERROR(__xludf.DUMMYFUNCTION("""COMPUTED_VALUE"""),1)</f>
        <v>1</v>
      </c>
      <c r="K465" s="8">
        <f ca="1">IFERROR(__xludf.DUMMYFUNCTION("""COMPUTED_VALUE"""),20000)</f>
        <v>20000</v>
      </c>
      <c r="L465" s="8">
        <f ca="1">IFERROR(__xludf.DUMMYFUNCTION("""COMPUTED_VALUE"""),229.042601923957)</f>
        <v>229.04260192395699</v>
      </c>
      <c r="M465" s="96">
        <f ca="1">IFERROR(__xludf.DUMMYFUNCTION("""COMPUTED_VALUE"""),44371)</f>
        <v>44371</v>
      </c>
      <c r="N465" s="6"/>
      <c r="O465" s="97"/>
      <c r="P465" s="6"/>
      <c r="Q465" s="6"/>
      <c r="R465" s="6"/>
      <c r="S465" s="6" t="str">
        <f ca="1">IFERROR(__xludf.DUMMYFUNCTION("""COMPUTED_VALUE"""),"Category")</f>
        <v>Category</v>
      </c>
      <c r="T465" s="6"/>
      <c r="U465" s="6"/>
      <c r="V465" s="6"/>
      <c r="W465" s="6"/>
      <c r="X465" s="6"/>
      <c r="Y465" s="6"/>
      <c r="Z465" s="6"/>
      <c r="AA465" s="6"/>
      <c r="AB465" s="6"/>
      <c r="AC465" s="6"/>
      <c r="AD465" s="6"/>
      <c r="AE465" s="6"/>
      <c r="AF465" s="6"/>
      <c r="AG465" s="6"/>
      <c r="AH465" s="6"/>
      <c r="AI465" s="6"/>
      <c r="AJ465" s="6"/>
      <c r="AK465" s="6"/>
      <c r="AL465" s="6"/>
    </row>
    <row r="466" spans="1:38">
      <c r="A466" s="96">
        <f ca="1">IFERROR(__xludf.DUMMYFUNCTION("""COMPUTED_VALUE"""),44373)</f>
        <v>44373</v>
      </c>
      <c r="B466" s="6" t="str">
        <f ca="1">IFERROR(__xludf.DUMMYFUNCTION("""COMPUTED_VALUE"""),"Ganga")</f>
        <v>Ganga</v>
      </c>
      <c r="C466" s="6" t="str">
        <f ca="1">IFERROR(__xludf.DUMMYFUNCTION("""COMPUTED_VALUE"""),"onteru9@yahoo.com/ onteru9@gmail.com")</f>
        <v>onteru9@yahoo.com/ onteru9@gmail.com</v>
      </c>
      <c r="D466" s="6">
        <f ca="1">IFERROR(__xludf.DUMMYFUNCTION("""COMPUTED_VALUE"""),9029027627)</f>
        <v>9029027627</v>
      </c>
      <c r="E466" s="6" t="str">
        <f ca="1">IFERROR(__xludf.DUMMYFUNCTION("""COMPUTED_VALUE"""),"Query box")</f>
        <v>Query box</v>
      </c>
      <c r="F466" s="6" t="str">
        <f ca="1">IFERROR(__xludf.DUMMYFUNCTION("""COMPUTED_VALUE"""),"PSM")</f>
        <v>PSM</v>
      </c>
      <c r="G466" s="80">
        <f ca="1">IFERROR(__xludf.DUMMYFUNCTION("""COMPUTED_VALUE"""),44348)</f>
        <v>44348</v>
      </c>
      <c r="H466" s="6" t="str">
        <f ca="1">IFERROR(__xludf.DUMMYFUNCTION("""COMPUTED_VALUE"""),"Won")</f>
        <v>Won</v>
      </c>
      <c r="I466" s="6" t="str">
        <f ca="1">IFERROR(__xludf.DUMMYFUNCTION("""COMPUTED_VALUE"""),"3-4 July 2021")</f>
        <v>3-4 July 2021</v>
      </c>
      <c r="J466" s="6">
        <f ca="1">IFERROR(__xludf.DUMMYFUNCTION("""COMPUTED_VALUE"""),1)</f>
        <v>1</v>
      </c>
      <c r="K466" s="8">
        <f ca="1">IFERROR(__xludf.DUMMYFUNCTION("""COMPUTED_VALUE"""),21000)</f>
        <v>21000</v>
      </c>
      <c r="L466" s="8">
        <f ca="1">IFERROR(__xludf.DUMMYFUNCTION("""COMPUTED_VALUE"""),240.494732020155)</f>
        <v>240.494732020155</v>
      </c>
      <c r="M466" s="96">
        <f ca="1">IFERROR(__xludf.DUMMYFUNCTION("""COMPUTED_VALUE"""),44373)</f>
        <v>44373</v>
      </c>
      <c r="N466" s="6" t="str">
        <f ca="1">IFERROR(__xludf.DUMMYFUNCTION("""COMPUTED_VALUE"""),"T10")</f>
        <v>T10</v>
      </c>
      <c r="O466" s="97">
        <f ca="1">IFERROR(__xludf.DUMMYFUNCTION("""COMPUTED_VALUE"""),44373)</f>
        <v>44373</v>
      </c>
      <c r="P466" s="6" t="str">
        <f ca="1">IFERROR(__xludf.DUMMYFUNCTION("""COMPUTED_VALUE"""),"CSTM_9O5115PZINV")</f>
        <v>CSTM_9O5115PZINV</v>
      </c>
      <c r="Q466" s="6"/>
      <c r="R466" s="6" t="str">
        <f ca="1">IFERROR(__xludf.DUMMYFUNCTION("""COMPUTED_VALUE"""),"Done. Good feedback.")</f>
        <v>Done. Good feedback.</v>
      </c>
      <c r="S466" s="6" t="str">
        <f ca="1">IFERROR(__xludf.DUMMYFUNCTION("""COMPUTED_VALUE"""),"Category")</f>
        <v>Category</v>
      </c>
      <c r="T466" s="6"/>
      <c r="U466" s="6"/>
      <c r="V466" s="6"/>
      <c r="W466" s="6"/>
      <c r="X466" s="6"/>
      <c r="Y466" s="6"/>
      <c r="Z466" s="6"/>
      <c r="AA466" s="6"/>
      <c r="AB466" s="6"/>
      <c r="AC466" s="6"/>
      <c r="AD466" s="6"/>
      <c r="AE466" s="6"/>
      <c r="AF466" s="6"/>
      <c r="AG466" s="6"/>
      <c r="AH466" s="6"/>
      <c r="AI466" s="6"/>
      <c r="AJ466" s="6"/>
      <c r="AK466" s="6"/>
      <c r="AL466" s="6"/>
    </row>
    <row r="467" spans="1:38">
      <c r="A467" s="96">
        <f ca="1">IFERROR(__xludf.DUMMYFUNCTION("""COMPUTED_VALUE"""),44375)</f>
        <v>44375</v>
      </c>
      <c r="B467" s="6" t="str">
        <f ca="1">IFERROR(__xludf.DUMMYFUNCTION("""COMPUTED_VALUE"""),"Riju Bejoy")</f>
        <v>Riju Bejoy</v>
      </c>
      <c r="C467" s="6" t="str">
        <f ca="1">IFERROR(__xludf.DUMMYFUNCTION("""COMPUTED_VALUE"""),"bejoyriju2003@gmail.com")</f>
        <v>bejoyriju2003@gmail.com</v>
      </c>
      <c r="D467" s="6">
        <f ca="1">IFERROR(__xludf.DUMMYFUNCTION("""COMPUTED_VALUE"""),9873063908)</f>
        <v>9873063908</v>
      </c>
      <c r="E467" s="6" t="str">
        <f ca="1">IFERROR(__xludf.DUMMYFUNCTION("""COMPUTED_VALUE"""),"Reference")</f>
        <v>Reference</v>
      </c>
      <c r="F467" s="6" t="str">
        <f ca="1">IFERROR(__xludf.DUMMYFUNCTION("""COMPUTED_VALUE"""),"CSM")</f>
        <v>CSM</v>
      </c>
      <c r="G467" s="80">
        <f ca="1">IFERROR(__xludf.DUMMYFUNCTION("""COMPUTED_VALUE"""),44348)</f>
        <v>44348</v>
      </c>
      <c r="H467" s="6" t="str">
        <f ca="1">IFERROR(__xludf.DUMMYFUNCTION("""COMPUTED_VALUE"""),"Won")</f>
        <v>Won</v>
      </c>
      <c r="I467" s="6" t="str">
        <f ca="1">IFERROR(__xludf.DUMMYFUNCTION("""COMPUTED_VALUE"""),"10-11 July 2021")</f>
        <v>10-11 July 2021</v>
      </c>
      <c r="J467" s="6">
        <f ca="1">IFERROR(__xludf.DUMMYFUNCTION("""COMPUTED_VALUE"""),1)</f>
        <v>1</v>
      </c>
      <c r="K467" s="8">
        <f ca="1">IFERROR(__xludf.DUMMYFUNCTION("""COMPUTED_VALUE"""),19300)</f>
        <v>19300</v>
      </c>
      <c r="L467" s="8">
        <f ca="1">IFERROR(__xludf.DUMMYFUNCTION("""COMPUTED_VALUE"""),221.026110856619)</f>
        <v>221.026110856619</v>
      </c>
      <c r="M467" s="96">
        <f ca="1">IFERROR(__xludf.DUMMYFUNCTION("""COMPUTED_VALUE"""),44375)</f>
        <v>44375</v>
      </c>
      <c r="N467" s="6" t="str">
        <f ca="1">IFERROR(__xludf.DUMMYFUNCTION("""COMPUTED_VALUE"""),"T10")</f>
        <v>T10</v>
      </c>
      <c r="O467" s="97">
        <f ca="1">IFERROR(__xludf.DUMMYFUNCTION("""COMPUTED_VALUE"""),44376)</f>
        <v>44376</v>
      </c>
      <c r="P467" s="6" t="str">
        <f ca="1">IFERROR(__xludf.DUMMYFUNCTION("""COMPUTED_VALUE"""),"CSTM_FQSP0XXHE7G")</f>
        <v>CSTM_FQSP0XXHE7G</v>
      </c>
      <c r="Q467" s="6"/>
      <c r="R467" s="6" t="str">
        <f ca="1">IFERROR(__xludf.DUMMYFUNCTION("""COMPUTED_VALUE"""),"Done. Good feedback.")</f>
        <v>Done. Good feedback.</v>
      </c>
      <c r="S467" s="6" t="str">
        <f ca="1">IFERROR(__xludf.DUMMYFUNCTION("""COMPUTED_VALUE"""),"Category")</f>
        <v>Category</v>
      </c>
      <c r="T467" s="6"/>
      <c r="U467" s="6"/>
      <c r="V467" s="6"/>
      <c r="W467" s="6"/>
      <c r="X467" s="6"/>
      <c r="Y467" s="6"/>
      <c r="Z467" s="6"/>
      <c r="AA467" s="6"/>
      <c r="AB467" s="6"/>
      <c r="AC467" s="6"/>
      <c r="AD467" s="6"/>
      <c r="AE467" s="6"/>
      <c r="AF467" s="6"/>
      <c r="AG467" s="6"/>
      <c r="AH467" s="6"/>
      <c r="AI467" s="6"/>
      <c r="AJ467" s="6"/>
      <c r="AK467" s="6"/>
      <c r="AL467" s="6"/>
    </row>
    <row r="468" spans="1:38">
      <c r="A468" s="96">
        <f ca="1">IFERROR(__xludf.DUMMYFUNCTION("""COMPUTED_VALUE"""),44375)</f>
        <v>44375</v>
      </c>
      <c r="B468" s="6" t="str">
        <f ca="1">IFERROR(__xludf.DUMMYFUNCTION("""COMPUTED_VALUE"""),"Ankita Gupta")</f>
        <v>Ankita Gupta</v>
      </c>
      <c r="C468" s="6" t="str">
        <f ca="1">IFERROR(__xludf.DUMMYFUNCTION("""COMPUTED_VALUE"""),"ankita.gupta9992@gmail.com")</f>
        <v>ankita.gupta9992@gmail.com</v>
      </c>
      <c r="D468" s="6">
        <f ca="1">IFERROR(__xludf.DUMMYFUNCTION("""COMPUTED_VALUE"""),8010702444)</f>
        <v>8010702444</v>
      </c>
      <c r="E468" s="6" t="str">
        <f ca="1">IFERROR(__xludf.DUMMYFUNCTION("""COMPUTED_VALUE"""),"na-payment")</f>
        <v>na-payment</v>
      </c>
      <c r="F468" s="6" t="str">
        <f ca="1">IFERROR(__xludf.DUMMYFUNCTION("""COMPUTED_VALUE"""),"PSM")</f>
        <v>PSM</v>
      </c>
      <c r="G468" s="80">
        <f ca="1">IFERROR(__xludf.DUMMYFUNCTION("""COMPUTED_VALUE"""),44348)</f>
        <v>44348</v>
      </c>
      <c r="H468" s="6" t="str">
        <f ca="1">IFERROR(__xludf.DUMMYFUNCTION("""COMPUTED_VALUE"""),"Won")</f>
        <v>Won</v>
      </c>
      <c r="I468" s="6" t="str">
        <f ca="1">IFERROR(__xludf.DUMMYFUNCTION("""COMPUTED_VALUE"""),"17-18 July 2021")</f>
        <v>17-18 July 2021</v>
      </c>
      <c r="J468" s="6">
        <f ca="1">IFERROR(__xludf.DUMMYFUNCTION("""COMPUTED_VALUE"""),1)</f>
        <v>1</v>
      </c>
      <c r="K468" s="8">
        <f ca="1">IFERROR(__xludf.DUMMYFUNCTION("""COMPUTED_VALUE"""),21000)</f>
        <v>21000</v>
      </c>
      <c r="L468" s="8">
        <f ca="1">IFERROR(__xludf.DUMMYFUNCTION("""COMPUTED_VALUE"""),240.494732020155)</f>
        <v>240.494732020155</v>
      </c>
      <c r="M468" s="96">
        <f ca="1">IFERROR(__xludf.DUMMYFUNCTION("""COMPUTED_VALUE"""),44375)</f>
        <v>44375</v>
      </c>
      <c r="N468" s="6" t="str">
        <f ca="1">IFERROR(__xludf.DUMMYFUNCTION("""COMPUTED_VALUE"""),"T10")</f>
        <v>T10</v>
      </c>
      <c r="O468" s="97">
        <f ca="1">IFERROR(__xludf.DUMMYFUNCTION("""COMPUTED_VALUE"""),44375)</f>
        <v>44375</v>
      </c>
      <c r="P468" s="6" t="str">
        <f ca="1">IFERROR(__xludf.DUMMYFUNCTION("""COMPUTED_VALUE"""),"CSTM_1585ZIERKEF")</f>
        <v>CSTM_1585ZIERKEF</v>
      </c>
      <c r="Q468" s="6"/>
      <c r="R468" s="6" t="str">
        <f ca="1">IFERROR(__xludf.DUMMYFUNCTION("""COMPUTED_VALUE"""),"Pending")</f>
        <v>Pending</v>
      </c>
      <c r="S468" s="6" t="str">
        <f ca="1">IFERROR(__xludf.DUMMYFUNCTION("""COMPUTED_VALUE"""),"Category")</f>
        <v>Category</v>
      </c>
      <c r="T468" s="6"/>
      <c r="U468" s="6"/>
      <c r="V468" s="6"/>
      <c r="W468" s="6"/>
      <c r="X468" s="6"/>
      <c r="Y468" s="6"/>
      <c r="Z468" s="6"/>
      <c r="AA468" s="6"/>
      <c r="AB468" s="6"/>
      <c r="AC468" s="6"/>
      <c r="AD468" s="6"/>
      <c r="AE468" s="6"/>
      <c r="AF468" s="6"/>
      <c r="AG468" s="6"/>
      <c r="AH468" s="6"/>
      <c r="AI468" s="6"/>
      <c r="AJ468" s="6"/>
      <c r="AK468" s="6"/>
      <c r="AL468" s="6"/>
    </row>
    <row r="469" spans="1:38">
      <c r="A469" s="96">
        <f ca="1">IFERROR(__xludf.DUMMYFUNCTION("""COMPUTED_VALUE"""),44377)</f>
        <v>44377</v>
      </c>
      <c r="B469" s="6" t="str">
        <f ca="1">IFERROR(__xludf.DUMMYFUNCTION("""COMPUTED_VALUE"""),"Deepak")</f>
        <v>Deepak</v>
      </c>
      <c r="C469" s="6" t="str">
        <f ca="1">IFERROR(__xludf.DUMMYFUNCTION("""COMPUTED_VALUE"""),"hansdeepak@gmail.com")</f>
        <v>hansdeepak@gmail.com</v>
      </c>
      <c r="D469" s="6">
        <f ca="1">IFERROR(__xludf.DUMMYFUNCTION("""COMPUTED_VALUE"""),9880841084)</f>
        <v>9880841084</v>
      </c>
      <c r="E469" s="6" t="str">
        <f ca="1">IFERROR(__xludf.DUMMYFUNCTION("""COMPUTED_VALUE"""),"Reference")</f>
        <v>Reference</v>
      </c>
      <c r="F469" s="6" t="str">
        <f ca="1">IFERROR(__xludf.DUMMYFUNCTION("""COMPUTED_VALUE"""),"CSM")</f>
        <v>CSM</v>
      </c>
      <c r="G469" s="80">
        <f ca="1">IFERROR(__xludf.DUMMYFUNCTION("""COMPUTED_VALUE"""),44348)</f>
        <v>44348</v>
      </c>
      <c r="H469" s="6" t="str">
        <f ca="1">IFERROR(__xludf.DUMMYFUNCTION("""COMPUTED_VALUE"""),"Won")</f>
        <v>Won</v>
      </c>
      <c r="I469" s="6" t="str">
        <f ca="1">IFERROR(__xludf.DUMMYFUNCTION("""COMPUTED_VALUE"""),"10-11 July 2021")</f>
        <v>10-11 July 2021</v>
      </c>
      <c r="J469" s="6">
        <f ca="1">IFERROR(__xludf.DUMMYFUNCTION("""COMPUTED_VALUE"""),1)</f>
        <v>1</v>
      </c>
      <c r="K469" s="8">
        <f ca="1">IFERROR(__xludf.DUMMYFUNCTION("""COMPUTED_VALUE"""),19000)</f>
        <v>19000</v>
      </c>
      <c r="L469" s="8">
        <f ca="1">IFERROR(__xludf.DUMMYFUNCTION("""COMPUTED_VALUE"""),217.590471827759)</f>
        <v>217.59047182775899</v>
      </c>
      <c r="M469" s="96">
        <f ca="1">IFERROR(__xludf.DUMMYFUNCTION("""COMPUTED_VALUE"""),44377)</f>
        <v>44377</v>
      </c>
      <c r="N469" s="6" t="str">
        <f ca="1">IFERROR(__xludf.DUMMYFUNCTION("""COMPUTED_VALUE"""),"T10")</f>
        <v>T10</v>
      </c>
      <c r="O469" s="97">
        <f ca="1">IFERROR(__xludf.DUMMYFUNCTION("""COMPUTED_VALUE"""),44377)</f>
        <v>44377</v>
      </c>
      <c r="P469" s="6" t="str">
        <f ca="1">IFERROR(__xludf.DUMMYFUNCTION("""COMPUTED_VALUE"""),"CSTM_8OTOKOMU19T")</f>
        <v>CSTM_8OTOKOMU19T</v>
      </c>
      <c r="Q469" s="6"/>
      <c r="R469" s="6" t="str">
        <f ca="1">IFERROR(__xludf.DUMMYFUNCTION("""COMPUTED_VALUE"""),"Done. Good feedback.")</f>
        <v>Done. Good feedback.</v>
      </c>
      <c r="S469" s="6" t="str">
        <f ca="1">IFERROR(__xludf.DUMMYFUNCTION("""COMPUTED_VALUE"""),"Category")</f>
        <v>Category</v>
      </c>
      <c r="T469" s="6"/>
      <c r="U469" s="6"/>
      <c r="V469" s="6"/>
      <c r="W469" s="6"/>
      <c r="X469" s="6"/>
      <c r="Y469" s="6"/>
      <c r="Z469" s="6"/>
      <c r="AA469" s="6"/>
      <c r="AB469" s="6"/>
      <c r="AC469" s="6"/>
      <c r="AD469" s="6"/>
      <c r="AE469" s="6"/>
      <c r="AF469" s="6"/>
      <c r="AG469" s="6"/>
      <c r="AH469" s="6"/>
      <c r="AI469" s="6"/>
      <c r="AJ469" s="6"/>
      <c r="AK469" s="6"/>
      <c r="AL469" s="6"/>
    </row>
    <row r="470" spans="1:38">
      <c r="A470" s="96">
        <f ca="1">IFERROR(__xludf.DUMMYFUNCTION("""COMPUTED_VALUE"""),44378)</f>
        <v>44378</v>
      </c>
      <c r="B470" s="6" t="str">
        <f ca="1">IFERROR(__xludf.DUMMYFUNCTION("""COMPUTED_VALUE"""),"Rabik")</f>
        <v>Rabik</v>
      </c>
      <c r="C470" s="6" t="str">
        <f ca="1">IFERROR(__xludf.DUMMYFUNCTION("""COMPUTED_VALUE"""),"srabik83@gmail.com")</f>
        <v>srabik83@gmail.com</v>
      </c>
      <c r="D470" s="6">
        <f ca="1">IFERROR(__xludf.DUMMYFUNCTION("""COMPUTED_VALUE"""),7676518837)</f>
        <v>7676518837</v>
      </c>
      <c r="E470" s="6" t="str">
        <f ca="1">IFERROR(__xludf.DUMMYFUNCTION("""COMPUTED_VALUE"""),"na-payment")</f>
        <v>na-payment</v>
      </c>
      <c r="F470" s="6" t="str">
        <f ca="1">IFERROR(__xludf.DUMMYFUNCTION("""COMPUTED_VALUE"""),"CSM")</f>
        <v>CSM</v>
      </c>
      <c r="G470" s="80">
        <f ca="1">IFERROR(__xludf.DUMMYFUNCTION("""COMPUTED_VALUE"""),44378)</f>
        <v>44378</v>
      </c>
      <c r="H470" s="6" t="str">
        <f ca="1">IFERROR(__xludf.DUMMYFUNCTION("""COMPUTED_VALUE"""),"Won")</f>
        <v>Won</v>
      </c>
      <c r="I470" s="6" t="str">
        <f ca="1">IFERROR(__xludf.DUMMYFUNCTION("""COMPUTED_VALUE"""),"10-11 July 2021")</f>
        <v>10-11 July 2021</v>
      </c>
      <c r="J470" s="6">
        <f ca="1">IFERROR(__xludf.DUMMYFUNCTION("""COMPUTED_VALUE"""),1)</f>
        <v>1</v>
      </c>
      <c r="K470" s="8">
        <f ca="1">IFERROR(__xludf.DUMMYFUNCTION("""COMPUTED_VALUE"""),19000)</f>
        <v>19000</v>
      </c>
      <c r="L470" s="8">
        <f ca="1">IFERROR(__xludf.DUMMYFUNCTION("""COMPUTED_VALUE"""),217.590471827759)</f>
        <v>217.59047182775899</v>
      </c>
      <c r="M470" s="96">
        <f ca="1">IFERROR(__xludf.DUMMYFUNCTION("""COMPUTED_VALUE"""),44378)</f>
        <v>44378</v>
      </c>
      <c r="N470" s="6" t="str">
        <f ca="1">IFERROR(__xludf.DUMMYFUNCTION("""COMPUTED_VALUE"""),"F10")</f>
        <v>F10</v>
      </c>
      <c r="O470" s="97">
        <f ca="1">IFERROR(__xludf.DUMMYFUNCTION("""COMPUTED_VALUE"""),44378)</f>
        <v>44378</v>
      </c>
      <c r="P470" s="6" t="str">
        <f ca="1">IFERROR(__xludf.DUMMYFUNCTION("""COMPUTED_VALUE"""),"CSTM_H9DSAUN8ELR")</f>
        <v>CSTM_H9DSAUN8ELR</v>
      </c>
      <c r="Q470" s="6"/>
      <c r="R470" s="6" t="str">
        <f ca="1">IFERROR(__xludf.DUMMYFUNCTION("""COMPUTED_VALUE"""),"Done. Good feedback.")</f>
        <v>Done. Good feedback.</v>
      </c>
      <c r="S470" s="6" t="str">
        <f ca="1">IFERROR(__xludf.DUMMYFUNCTION("""COMPUTED_VALUE"""),"Category")</f>
        <v>Category</v>
      </c>
      <c r="T470" s="6"/>
      <c r="U470" s="6"/>
      <c r="V470" s="6"/>
      <c r="W470" s="6"/>
      <c r="X470" s="6"/>
      <c r="Y470" s="6"/>
      <c r="Z470" s="6"/>
      <c r="AA470" s="6"/>
      <c r="AB470" s="6"/>
      <c r="AC470" s="6"/>
      <c r="AD470" s="6"/>
      <c r="AE470" s="6"/>
      <c r="AF470" s="6"/>
      <c r="AG470" s="6"/>
      <c r="AH470" s="6"/>
      <c r="AI470" s="6"/>
      <c r="AJ470" s="6"/>
      <c r="AK470" s="6"/>
      <c r="AL470" s="6"/>
    </row>
    <row r="471" spans="1:38">
      <c r="A471" s="96">
        <f ca="1">IFERROR(__xludf.DUMMYFUNCTION("""COMPUTED_VALUE"""),44382)</f>
        <v>44382</v>
      </c>
      <c r="B471" s="6" t="str">
        <f ca="1">IFERROR(__xludf.DUMMYFUNCTION("""COMPUTED_VALUE"""),"Jyoti Kumari")</f>
        <v>Jyoti Kumari</v>
      </c>
      <c r="C471" s="6" t="str">
        <f ca="1">IFERROR(__xludf.DUMMYFUNCTION("""COMPUTED_VALUE"""),"jyotskumari@gmail.com")</f>
        <v>jyotskumari@gmail.com</v>
      </c>
      <c r="D471" s="6">
        <f ca="1">IFERROR(__xludf.DUMMYFUNCTION("""COMPUTED_VALUE"""),8586933261)</f>
        <v>8586933261</v>
      </c>
      <c r="E471" s="6" t="str">
        <f ca="1">IFERROR(__xludf.DUMMYFUNCTION("""COMPUTED_VALUE"""),"Query box")</f>
        <v>Query box</v>
      </c>
      <c r="F471" s="6" t="str">
        <f ca="1">IFERROR(__xludf.DUMMYFUNCTION("""COMPUTED_VALUE"""),"PSM")</f>
        <v>PSM</v>
      </c>
      <c r="G471" s="80">
        <f ca="1">IFERROR(__xludf.DUMMYFUNCTION("""COMPUTED_VALUE"""),44378)</f>
        <v>44378</v>
      </c>
      <c r="H471" s="6" t="str">
        <f ca="1">IFERROR(__xludf.DUMMYFUNCTION("""COMPUTED_VALUE"""),"Won")</f>
        <v>Won</v>
      </c>
      <c r="I471" s="6" t="str">
        <f ca="1">IFERROR(__xludf.DUMMYFUNCTION("""COMPUTED_VALUE"""),"10-11 July 2021")</f>
        <v>10-11 July 2021</v>
      </c>
      <c r="J471" s="6">
        <f ca="1">IFERROR(__xludf.DUMMYFUNCTION("""COMPUTED_VALUE"""),1)</f>
        <v>1</v>
      </c>
      <c r="K471" s="8">
        <f ca="1">IFERROR(__xludf.DUMMYFUNCTION("""COMPUTED_VALUE"""),21000)</f>
        <v>21000</v>
      </c>
      <c r="L471" s="8">
        <f ca="1">IFERROR(__xludf.DUMMYFUNCTION("""COMPUTED_VALUE"""),240.494732020155)</f>
        <v>240.494732020155</v>
      </c>
      <c r="M471" s="96">
        <f ca="1">IFERROR(__xludf.DUMMYFUNCTION("""COMPUTED_VALUE"""),44382)</f>
        <v>44382</v>
      </c>
      <c r="N471" s="6" t="str">
        <f ca="1">IFERROR(__xludf.DUMMYFUNCTION("""COMPUTED_VALUE"""),"F10")</f>
        <v>F10</v>
      </c>
      <c r="O471" s="97">
        <f ca="1">IFERROR(__xludf.DUMMYFUNCTION("""COMPUTED_VALUE"""),44382)</f>
        <v>44382</v>
      </c>
      <c r="P471" s="6" t="str">
        <f ca="1">IFERROR(__xludf.DUMMYFUNCTION("""COMPUTED_VALUE"""),"CSTM_G57U3NPARI5")</f>
        <v>CSTM_G57U3NPARI5</v>
      </c>
      <c r="Q471" s="6"/>
      <c r="R471" s="6" t="str">
        <f ca="1">IFERROR(__xludf.DUMMYFUNCTION("""COMPUTED_VALUE"""),"Done. Good feedback.")</f>
        <v>Done. Good feedback.</v>
      </c>
      <c r="S471" s="6" t="str">
        <f ca="1">IFERROR(__xludf.DUMMYFUNCTION("""COMPUTED_VALUE"""),"Category")</f>
        <v>Category</v>
      </c>
      <c r="T471" s="6"/>
      <c r="U471" s="6"/>
      <c r="V471" s="6"/>
      <c r="W471" s="6"/>
      <c r="X471" s="6"/>
      <c r="Y471" s="6"/>
      <c r="Z471" s="6"/>
      <c r="AA471" s="6"/>
      <c r="AB471" s="6"/>
      <c r="AC471" s="6"/>
      <c r="AD471" s="6"/>
      <c r="AE471" s="6"/>
      <c r="AF471" s="6"/>
      <c r="AG471" s="6"/>
      <c r="AH471" s="6"/>
      <c r="AI471" s="6"/>
      <c r="AJ471" s="6"/>
      <c r="AK471" s="6"/>
      <c r="AL471" s="6"/>
    </row>
    <row r="472" spans="1:38">
      <c r="A472" s="96">
        <f ca="1">IFERROR(__xludf.DUMMYFUNCTION("""COMPUTED_VALUE"""),44384)</f>
        <v>44384</v>
      </c>
      <c r="B472" s="6" t="str">
        <f ca="1">IFERROR(__xludf.DUMMYFUNCTION("""COMPUTED_VALUE"""),"Taruna Arora")</f>
        <v>Taruna Arora</v>
      </c>
      <c r="C472" s="6" t="str">
        <f ca="1">IFERROR(__xludf.DUMMYFUNCTION("""COMPUTED_VALUE"""),"arorataruna9@gmail.com")</f>
        <v>arorataruna9@gmail.com</v>
      </c>
      <c r="D472" s="6">
        <f ca="1">IFERROR(__xludf.DUMMYFUNCTION("""COMPUTED_VALUE"""),9717166410)</f>
        <v>9717166410</v>
      </c>
      <c r="E472" s="6" t="str">
        <f ca="1">IFERROR(__xludf.DUMMYFUNCTION("""COMPUTED_VALUE"""),"Request a call")</f>
        <v>Request a call</v>
      </c>
      <c r="F472" s="6" t="str">
        <f ca="1">IFERROR(__xludf.DUMMYFUNCTION("""COMPUTED_VALUE"""),"PSM")</f>
        <v>PSM</v>
      </c>
      <c r="G472" s="80">
        <f ca="1">IFERROR(__xludf.DUMMYFUNCTION("""COMPUTED_VALUE"""),44378)</f>
        <v>44378</v>
      </c>
      <c r="H472" s="6" t="str">
        <f ca="1">IFERROR(__xludf.DUMMYFUNCTION("""COMPUTED_VALUE"""),"Won")</f>
        <v>Won</v>
      </c>
      <c r="I472" s="6" t="str">
        <f ca="1">IFERROR(__xludf.DUMMYFUNCTION("""COMPUTED_VALUE"""),"10-11 July 2021")</f>
        <v>10-11 July 2021</v>
      </c>
      <c r="J472" s="6">
        <f ca="1">IFERROR(__xludf.DUMMYFUNCTION("""COMPUTED_VALUE"""),1)</f>
        <v>1</v>
      </c>
      <c r="K472" s="8">
        <f ca="1">IFERROR(__xludf.DUMMYFUNCTION("""COMPUTED_VALUE"""),20500)</f>
        <v>20500</v>
      </c>
      <c r="L472" s="8">
        <f ca="1">IFERROR(__xludf.DUMMYFUNCTION("""COMPUTED_VALUE"""),234.768666972056)</f>
        <v>234.768666972056</v>
      </c>
      <c r="M472" s="96">
        <f ca="1">IFERROR(__xludf.DUMMYFUNCTION("""COMPUTED_VALUE"""),44384)</f>
        <v>44384</v>
      </c>
      <c r="N472" s="6" t="str">
        <f ca="1">IFERROR(__xludf.DUMMYFUNCTION("""COMPUTED_VALUE"""),"F10")</f>
        <v>F10</v>
      </c>
      <c r="O472" s="97">
        <f ca="1">IFERROR(__xludf.DUMMYFUNCTION("""COMPUTED_VALUE"""),44384)</f>
        <v>44384</v>
      </c>
      <c r="P472" s="6" t="str">
        <f ca="1">IFERROR(__xludf.DUMMYFUNCTION("""COMPUTED_VALUE"""),"CSTM_6AKL9W26FVC")</f>
        <v>CSTM_6AKL9W26FVC</v>
      </c>
      <c r="Q472" s="6"/>
      <c r="R472" s="6" t="str">
        <f ca="1">IFERROR(__xludf.DUMMYFUNCTION("""COMPUTED_VALUE"""),"Done. Good feedback.")</f>
        <v>Done. Good feedback.</v>
      </c>
      <c r="S472" s="6" t="str">
        <f ca="1">IFERROR(__xludf.DUMMYFUNCTION("""COMPUTED_VALUE"""),"Category")</f>
        <v>Category</v>
      </c>
      <c r="T472" s="6"/>
      <c r="U472" s="6"/>
      <c r="V472" s="6"/>
      <c r="W472" s="6"/>
      <c r="X472" s="6"/>
      <c r="Y472" s="6"/>
      <c r="Z472" s="6"/>
      <c r="AA472" s="6"/>
      <c r="AB472" s="6"/>
      <c r="AC472" s="6"/>
      <c r="AD472" s="6"/>
      <c r="AE472" s="6"/>
      <c r="AF472" s="6"/>
      <c r="AG472" s="6"/>
      <c r="AH472" s="6"/>
      <c r="AI472" s="6"/>
      <c r="AJ472" s="6"/>
      <c r="AK472" s="6"/>
      <c r="AL472" s="6"/>
    </row>
    <row r="473" spans="1:38">
      <c r="A473" s="96">
        <f ca="1">IFERROR(__xludf.DUMMYFUNCTION("""COMPUTED_VALUE"""),44377)</f>
        <v>44377</v>
      </c>
      <c r="B473" s="6" t="str">
        <f ca="1">IFERROR(__xludf.DUMMYFUNCTION("""COMPUTED_VALUE"""),"Chetan")</f>
        <v>Chetan</v>
      </c>
      <c r="C473" s="6" t="str">
        <f ca="1">IFERROR(__xludf.DUMMYFUNCTION("""COMPUTED_VALUE"""),"chetankumarhk@gmail.com")</f>
        <v>chetankumarhk@gmail.com</v>
      </c>
      <c r="D473" s="6">
        <f ca="1">IFERROR(__xludf.DUMMYFUNCTION("""COMPUTED_VALUE"""),9886537754)</f>
        <v>9886537754</v>
      </c>
      <c r="E473" s="6" t="str">
        <f ca="1">IFERROR(__xludf.DUMMYFUNCTION("""COMPUTED_VALUE"""),"Chat_triggered")</f>
        <v>Chat_triggered</v>
      </c>
      <c r="F473" s="6" t="str">
        <f ca="1">IFERROR(__xludf.DUMMYFUNCTION("""COMPUTED_VALUE"""),"PMP")</f>
        <v>PMP</v>
      </c>
      <c r="G473" s="80">
        <f ca="1">IFERROR(__xludf.DUMMYFUNCTION("""COMPUTED_VALUE"""),44440)</f>
        <v>44440</v>
      </c>
      <c r="H473" s="6" t="str">
        <f ca="1">IFERROR(__xludf.DUMMYFUNCTION("""COMPUTED_VALUE"""),"Won")</f>
        <v>Won</v>
      </c>
      <c r="I473" s="6" t="str">
        <f ca="1">IFERROR(__xludf.DUMMYFUNCTION("""COMPUTED_VALUE"""),"July 2021")</f>
        <v>July 2021</v>
      </c>
      <c r="J473" s="6">
        <f ca="1">IFERROR(__xludf.DUMMYFUNCTION("""COMPUTED_VALUE"""),1)</f>
        <v>1</v>
      </c>
      <c r="K473" s="8">
        <f ca="1">IFERROR(__xludf.DUMMYFUNCTION("""COMPUTED_VALUE"""),12500)</f>
        <v>12500</v>
      </c>
      <c r="L473" s="8">
        <f ca="1">IFERROR(__xludf.DUMMYFUNCTION("""COMPUTED_VALUE"""),143.151626202473)</f>
        <v>143.15162620247301</v>
      </c>
      <c r="M473" s="96">
        <f ca="1">IFERROR(__xludf.DUMMYFUNCTION("""COMPUTED_VALUE"""),44377)</f>
        <v>44377</v>
      </c>
      <c r="N473" s="6" t="str">
        <f ca="1">IFERROR(__xludf.DUMMYFUNCTION("""COMPUTED_VALUE"""),"S10")</f>
        <v>S10</v>
      </c>
      <c r="O473" s="97">
        <f ca="1">IFERROR(__xludf.DUMMYFUNCTION("""COMPUTED_VALUE"""),44453)</f>
        <v>44453</v>
      </c>
      <c r="P473" s="6" t="str">
        <f ca="1">IFERROR(__xludf.DUMMYFUNCTION("""COMPUTED_VALUE"""),"CSTM_1LVZRK5CP9H")</f>
        <v>CSTM_1LVZRK5CP9H</v>
      </c>
      <c r="Q473" s="6"/>
      <c r="R473" s="6" t="str">
        <f ca="1">IFERROR(__xludf.DUMMYFUNCTION("""COMPUTED_VALUE"""),"Pending")</f>
        <v>Pending</v>
      </c>
      <c r="S473" s="6" t="str">
        <f ca="1">IFERROR(__xludf.DUMMYFUNCTION("""COMPUTED_VALUE"""),"NonCategory")</f>
        <v>NonCategory</v>
      </c>
      <c r="T473" s="6"/>
      <c r="U473" s="6"/>
      <c r="V473" s="6"/>
      <c r="W473" s="6"/>
      <c r="X473" s="6"/>
      <c r="Y473" s="6"/>
      <c r="Z473" s="6"/>
      <c r="AA473" s="6"/>
      <c r="AB473" s="6"/>
      <c r="AC473" s="6"/>
      <c r="AD473" s="6"/>
      <c r="AE473" s="6"/>
      <c r="AF473" s="6"/>
      <c r="AG473" s="6"/>
      <c r="AH473" s="6"/>
      <c r="AI473" s="6"/>
      <c r="AJ473" s="6"/>
      <c r="AK473" s="6"/>
      <c r="AL473" s="6"/>
    </row>
    <row r="474" spans="1:38">
      <c r="A474" s="96">
        <f ca="1">IFERROR(__xludf.DUMMYFUNCTION("""COMPUTED_VALUE"""),44377)</f>
        <v>44377</v>
      </c>
      <c r="B474" s="6" t="str">
        <f ca="1">IFERROR(__xludf.DUMMYFUNCTION("""COMPUTED_VALUE"""),"Mohit Grover")</f>
        <v>Mohit Grover</v>
      </c>
      <c r="C474" s="6" t="str">
        <f ca="1">IFERROR(__xludf.DUMMYFUNCTION("""COMPUTED_VALUE"""),"mohitgrover.2795@gmail.com")</f>
        <v>mohitgrover.2795@gmail.com</v>
      </c>
      <c r="D474" s="6">
        <f ca="1">IFERROR(__xludf.DUMMYFUNCTION("""COMPUTED_VALUE"""),8130047330)</f>
        <v>8130047330</v>
      </c>
      <c r="E474" s="6" t="str">
        <f ca="1">IFERROR(__xludf.DUMMYFUNCTION("""COMPUTED_VALUE"""),"course preview")</f>
        <v>course preview</v>
      </c>
      <c r="F474" s="6" t="str">
        <f ca="1">IFERROR(__xludf.DUMMYFUNCTION("""COMPUTED_VALUE"""),"CSM")</f>
        <v>CSM</v>
      </c>
      <c r="G474" s="80">
        <f ca="1">IFERROR(__xludf.DUMMYFUNCTION("""COMPUTED_VALUE"""),44348)</f>
        <v>44348</v>
      </c>
      <c r="H474" s="6" t="str">
        <f ca="1">IFERROR(__xludf.DUMMYFUNCTION("""COMPUTED_VALUE"""),"Opportunity")</f>
        <v>Opportunity</v>
      </c>
      <c r="I474" s="6" t="str">
        <f ca="1">IFERROR(__xludf.DUMMYFUNCTION("""COMPUTED_VALUE"""),"31-1 July/Aug 2021")</f>
        <v>31-1 July/Aug 2021</v>
      </c>
      <c r="J474" s="6">
        <f ca="1">IFERROR(__xludf.DUMMYFUNCTION("""COMPUTED_VALUE"""),1)</f>
        <v>1</v>
      </c>
      <c r="K474" s="8">
        <f ca="1">IFERROR(__xludf.DUMMYFUNCTION("""COMPUTED_VALUE"""),18500)</f>
        <v>18500</v>
      </c>
      <c r="L474" s="8">
        <f ca="1">IFERROR(__xludf.DUMMYFUNCTION("""COMPUTED_VALUE"""),211.864406779661)</f>
        <v>211.86440677966101</v>
      </c>
      <c r="M474" s="96">
        <f ca="1">IFERROR(__xludf.DUMMYFUNCTION("""COMPUTED_VALUE"""),44377)</f>
        <v>44377</v>
      </c>
      <c r="N474" s="6"/>
      <c r="O474" s="97"/>
      <c r="P474" s="6"/>
      <c r="Q474" s="6"/>
      <c r="R474" s="6"/>
      <c r="S474" s="6" t="str">
        <f ca="1">IFERROR(__xludf.DUMMYFUNCTION("""COMPUTED_VALUE"""),"Category")</f>
        <v>Category</v>
      </c>
      <c r="T474" s="6"/>
      <c r="U474" s="6"/>
      <c r="V474" s="6"/>
      <c r="W474" s="6"/>
      <c r="X474" s="6"/>
      <c r="Y474" s="6"/>
      <c r="Z474" s="6"/>
      <c r="AA474" s="6"/>
      <c r="AB474" s="6"/>
      <c r="AC474" s="6"/>
      <c r="AD474" s="6"/>
      <c r="AE474" s="6"/>
      <c r="AF474" s="6"/>
      <c r="AG474" s="6"/>
      <c r="AH474" s="6"/>
      <c r="AI474" s="6"/>
      <c r="AJ474" s="6"/>
      <c r="AK474" s="6"/>
      <c r="AL474" s="6"/>
    </row>
    <row r="475" spans="1:38">
      <c r="A475" s="96">
        <f ca="1">IFERROR(__xludf.DUMMYFUNCTION("""COMPUTED_VALUE"""),44371)</f>
        <v>44371</v>
      </c>
      <c r="B475" s="6" t="str">
        <f ca="1">IFERROR(__xludf.DUMMYFUNCTION("""COMPUTED_VALUE"""),"Brijesh")</f>
        <v>Brijesh</v>
      </c>
      <c r="C475" s="6" t="str">
        <f ca="1">IFERROR(__xludf.DUMMYFUNCTION("""COMPUTED_VALUE"""),"brijtz@gmail.com")</f>
        <v>brijtz@gmail.com</v>
      </c>
      <c r="D475" s="6">
        <f ca="1">IFERROR(__xludf.DUMMYFUNCTION("""COMPUTED_VALUE"""),8141444615)</f>
        <v>8141444615</v>
      </c>
      <c r="E475" s="6" t="str">
        <f ca="1">IFERROR(__xludf.DUMMYFUNCTION("""COMPUTED_VALUE"""),"Account Repeat")</f>
        <v>Account Repeat</v>
      </c>
      <c r="F475" s="6" t="str">
        <f ca="1">IFERROR(__xludf.DUMMYFUNCTION("""COMPUTED_VALUE"""),"PSPO")</f>
        <v>PSPO</v>
      </c>
      <c r="G475" s="80">
        <f ca="1">IFERROR(__xludf.DUMMYFUNCTION("""COMPUTED_VALUE"""),44348)</f>
        <v>44348</v>
      </c>
      <c r="H475" s="6" t="str">
        <f ca="1">IFERROR(__xludf.DUMMYFUNCTION("""COMPUTED_VALUE"""),"Won")</f>
        <v>Won</v>
      </c>
      <c r="I475" s="6" t="str">
        <f ca="1">IFERROR(__xludf.DUMMYFUNCTION("""COMPUTED_VALUE"""),"24-25 July 2021")</f>
        <v>24-25 July 2021</v>
      </c>
      <c r="J475" s="6">
        <f ca="1">IFERROR(__xludf.DUMMYFUNCTION("""COMPUTED_VALUE"""),1)</f>
        <v>1</v>
      </c>
      <c r="K475" s="8">
        <f ca="1">IFERROR(__xludf.DUMMYFUNCTION("""COMPUTED_VALUE"""),20000)</f>
        <v>20000</v>
      </c>
      <c r="L475" s="8">
        <f ca="1">IFERROR(__xludf.DUMMYFUNCTION("""COMPUTED_VALUE"""),229.042601923957)</f>
        <v>229.04260192395699</v>
      </c>
      <c r="M475" s="96">
        <f ca="1">IFERROR(__xludf.DUMMYFUNCTION("""COMPUTED_VALUE"""),44371)</f>
        <v>44371</v>
      </c>
      <c r="N475" s="6" t="str">
        <f ca="1">IFERROR(__xludf.DUMMYFUNCTION("""COMPUTED_VALUE"""),"T10")</f>
        <v>T10</v>
      </c>
      <c r="O475" s="97">
        <f ca="1">IFERROR(__xludf.DUMMYFUNCTION("""COMPUTED_VALUE"""),44376)</f>
        <v>44376</v>
      </c>
      <c r="P475" s="6" t="str">
        <f ca="1">IFERROR(__xludf.DUMMYFUNCTION("""COMPUTED_VALUE"""),"CSTM_4R5HKN75EII")</f>
        <v>CSTM_4R5HKN75EII</v>
      </c>
      <c r="Q475" s="6"/>
      <c r="R475" s="6" t="str">
        <f ca="1">IFERROR(__xludf.DUMMYFUNCTION("""COMPUTED_VALUE"""),"Done. Good feedback.")</f>
        <v>Done. Good feedback.</v>
      </c>
      <c r="S475" s="6" t="str">
        <f ca="1">IFERROR(__xludf.DUMMYFUNCTION("""COMPUTED_VALUE"""),"Category")</f>
        <v>Category</v>
      </c>
      <c r="T475" s="6"/>
      <c r="U475" s="6"/>
      <c r="V475" s="6"/>
      <c r="W475" s="6"/>
      <c r="X475" s="6"/>
      <c r="Y475" s="6"/>
      <c r="Z475" s="6"/>
      <c r="AA475" s="6"/>
      <c r="AB475" s="6"/>
      <c r="AC475" s="6"/>
      <c r="AD475" s="6"/>
      <c r="AE475" s="6"/>
      <c r="AF475" s="6"/>
      <c r="AG475" s="6"/>
      <c r="AH475" s="6"/>
      <c r="AI475" s="6"/>
      <c r="AJ475" s="6"/>
      <c r="AK475" s="6"/>
      <c r="AL475" s="6"/>
    </row>
    <row r="476" spans="1:38">
      <c r="A476" s="96">
        <f ca="1">IFERROR(__xludf.DUMMYFUNCTION("""COMPUTED_VALUE"""),44378)</f>
        <v>44378</v>
      </c>
      <c r="B476" s="6" t="str">
        <f ca="1">IFERROR(__xludf.DUMMYFUNCTION("""COMPUTED_VALUE"""),"Priyanka Bakshi")</f>
        <v>Priyanka Bakshi</v>
      </c>
      <c r="C476" s="6" t="str">
        <f ca="1">IFERROR(__xludf.DUMMYFUNCTION("""COMPUTED_VALUE"""),"priyankabakshi812@gmail.com")</f>
        <v>priyankabakshi812@gmail.com</v>
      </c>
      <c r="D476" s="6">
        <f ca="1">IFERROR(__xludf.DUMMYFUNCTION("""COMPUTED_VALUE"""),8826567427)</f>
        <v>8826567427</v>
      </c>
      <c r="E476" s="6" t="str">
        <f ca="1">IFERROR(__xludf.DUMMYFUNCTION("""COMPUTED_VALUE"""),"Query box")</f>
        <v>Query box</v>
      </c>
      <c r="F476" s="6" t="str">
        <f ca="1">IFERROR(__xludf.DUMMYFUNCTION("""COMPUTED_VALUE"""),"PSM")</f>
        <v>PSM</v>
      </c>
      <c r="G476" s="80">
        <f ca="1">IFERROR(__xludf.DUMMYFUNCTION("""COMPUTED_VALUE"""),44378)</f>
        <v>44378</v>
      </c>
      <c r="H476" s="6" t="str">
        <f ca="1">IFERROR(__xludf.DUMMYFUNCTION("""COMPUTED_VALUE"""),"Won")</f>
        <v>Won</v>
      </c>
      <c r="I476" s="6" t="str">
        <f ca="1">IFERROR(__xludf.DUMMYFUNCTION("""COMPUTED_VALUE"""),"3-4 July 2021")</f>
        <v>3-4 July 2021</v>
      </c>
      <c r="J476" s="6">
        <f ca="1">IFERROR(__xludf.DUMMYFUNCTION("""COMPUTED_VALUE"""),1)</f>
        <v>1</v>
      </c>
      <c r="K476" s="8">
        <f ca="1">IFERROR(__xludf.DUMMYFUNCTION("""COMPUTED_VALUE"""),21000)</f>
        <v>21000</v>
      </c>
      <c r="L476" s="8">
        <f ca="1">IFERROR(__xludf.DUMMYFUNCTION("""COMPUTED_VALUE"""),240.494732020155)</f>
        <v>240.494732020155</v>
      </c>
      <c r="M476" s="96">
        <f ca="1">IFERROR(__xludf.DUMMYFUNCTION("""COMPUTED_VALUE"""),44378)</f>
        <v>44378</v>
      </c>
      <c r="N476" s="6" t="str">
        <f ca="1">IFERROR(__xludf.DUMMYFUNCTION("""COMPUTED_VALUE"""),"F10")</f>
        <v>F10</v>
      </c>
      <c r="O476" s="97">
        <f ca="1">IFERROR(__xludf.DUMMYFUNCTION("""COMPUTED_VALUE"""),44378)</f>
        <v>44378</v>
      </c>
      <c r="P476" s="6" t="str">
        <f ca="1">IFERROR(__xludf.DUMMYFUNCTION("""COMPUTED_VALUE"""),"CSTM_8WJKJ5YDB84")</f>
        <v>CSTM_8WJKJ5YDB84</v>
      </c>
      <c r="Q476" s="6"/>
      <c r="R476" s="6" t="str">
        <f ca="1">IFERROR(__xludf.DUMMYFUNCTION("""COMPUTED_VALUE"""),"Done. Good feedback.")</f>
        <v>Done. Good feedback.</v>
      </c>
      <c r="S476" s="6" t="str">
        <f ca="1">IFERROR(__xludf.DUMMYFUNCTION("""COMPUTED_VALUE"""),"Category")</f>
        <v>Category</v>
      </c>
      <c r="T476" s="6"/>
      <c r="U476" s="6"/>
      <c r="V476" s="6"/>
      <c r="W476" s="6"/>
      <c r="X476" s="6"/>
      <c r="Y476" s="6"/>
      <c r="Z476" s="6"/>
      <c r="AA476" s="6"/>
      <c r="AB476" s="6"/>
      <c r="AC476" s="6"/>
      <c r="AD476" s="6"/>
      <c r="AE476" s="6"/>
      <c r="AF476" s="6"/>
      <c r="AG476" s="6"/>
      <c r="AH476" s="6"/>
      <c r="AI476" s="6"/>
      <c r="AJ476" s="6"/>
      <c r="AK476" s="6"/>
      <c r="AL476" s="6"/>
    </row>
    <row r="477" spans="1:38">
      <c r="A477" s="96">
        <f ca="1">IFERROR(__xludf.DUMMYFUNCTION("""COMPUTED_VALUE"""),44369)</f>
        <v>44369</v>
      </c>
      <c r="B477" s="6" t="str">
        <f ca="1">IFERROR(__xludf.DUMMYFUNCTION("""COMPUTED_VALUE"""),"Dheepanah")</f>
        <v>Dheepanah</v>
      </c>
      <c r="C477" s="6" t="str">
        <f ca="1">IFERROR(__xludf.DUMMYFUNCTION("""COMPUTED_VALUE"""),"dheepanah@gmail.com")</f>
        <v>dheepanah@gmail.com</v>
      </c>
      <c r="D477" s="6">
        <f ca="1">IFERROR(__xludf.DUMMYFUNCTION("""COMPUTED_VALUE"""),9940444794)</f>
        <v>9940444794</v>
      </c>
      <c r="E477" s="6" t="str">
        <f ca="1">IFERROR(__xludf.DUMMYFUNCTION("""COMPUTED_VALUE"""),"Chat_triggered")</f>
        <v>Chat_triggered</v>
      </c>
      <c r="F477" s="6" t="str">
        <f ca="1">IFERROR(__xludf.DUMMYFUNCTION("""COMPUTED_VALUE"""),"SAFe Agile")</f>
        <v>SAFe Agile</v>
      </c>
      <c r="G477" s="80">
        <f ca="1">IFERROR(__xludf.DUMMYFUNCTION("""COMPUTED_VALUE"""),44348)</f>
        <v>44348</v>
      </c>
      <c r="H477" s="6" t="str">
        <f ca="1">IFERROR(__xludf.DUMMYFUNCTION("""COMPUTED_VALUE"""),"Won")</f>
        <v>Won</v>
      </c>
      <c r="I477" s="6" t="str">
        <f ca="1">IFERROR(__xludf.DUMMYFUNCTION("""COMPUTED_VALUE"""),"10-11 July 2021")</f>
        <v>10-11 July 2021</v>
      </c>
      <c r="J477" s="6">
        <f ca="1">IFERROR(__xludf.DUMMYFUNCTION("""COMPUTED_VALUE"""),1)</f>
        <v>1</v>
      </c>
      <c r="K477" s="8">
        <f ca="1">IFERROR(__xludf.DUMMYFUNCTION("""COMPUTED_VALUE"""),45000)</f>
        <v>45000</v>
      </c>
      <c r="L477" s="8">
        <f ca="1">IFERROR(__xludf.DUMMYFUNCTION("""COMPUTED_VALUE"""),515.345854328905)</f>
        <v>515.34585432890503</v>
      </c>
      <c r="M477" s="96">
        <f ca="1">IFERROR(__xludf.DUMMYFUNCTION("""COMPUTED_VALUE"""),44369)</f>
        <v>44369</v>
      </c>
      <c r="N477" s="6" t="str">
        <f ca="1">IFERROR(__xludf.DUMMYFUNCTION("""COMPUTED_VALUE"""),"T10")</f>
        <v>T10</v>
      </c>
      <c r="O477" s="97">
        <f ca="1">IFERROR(__xludf.DUMMYFUNCTION("""COMPUTED_VALUE"""),44369)</f>
        <v>44369</v>
      </c>
      <c r="P477" s="6" t="str">
        <f ca="1">IFERROR(__xludf.DUMMYFUNCTION("""COMPUTED_VALUE"""),"CSTM_AH89S5DFTH2")</f>
        <v>CSTM_AH89S5DFTH2</v>
      </c>
      <c r="Q477" s="6"/>
      <c r="R477" s="6" t="str">
        <f ca="1">IFERROR(__xludf.DUMMYFUNCTION("""COMPUTED_VALUE"""),"Done. Good feedback.")</f>
        <v>Done. Good feedback.</v>
      </c>
      <c r="S477" s="6" t="str">
        <f ca="1">IFERROR(__xludf.DUMMYFUNCTION("""COMPUTED_VALUE"""),"SAFe")</f>
        <v>SAFe</v>
      </c>
      <c r="T477" s="6"/>
      <c r="U477" s="6"/>
      <c r="V477" s="6"/>
      <c r="W477" s="6"/>
      <c r="X477" s="6"/>
      <c r="Y477" s="6"/>
      <c r="Z477" s="6"/>
      <c r="AA477" s="6"/>
      <c r="AB477" s="6"/>
      <c r="AC477" s="6"/>
      <c r="AD477" s="6"/>
      <c r="AE477" s="6"/>
      <c r="AF477" s="6"/>
      <c r="AG477" s="6"/>
      <c r="AH477" s="6"/>
      <c r="AI477" s="6"/>
      <c r="AJ477" s="6"/>
      <c r="AK477" s="6"/>
      <c r="AL477" s="6"/>
    </row>
    <row r="478" spans="1:38">
      <c r="A478" s="96">
        <f ca="1">IFERROR(__xludf.DUMMYFUNCTION("""COMPUTED_VALUE"""),44384)</f>
        <v>44384</v>
      </c>
      <c r="B478" s="6" t="str">
        <f ca="1">IFERROR(__xludf.DUMMYFUNCTION("""COMPUTED_VALUE"""),"Satya Prakash")</f>
        <v>Satya Prakash</v>
      </c>
      <c r="C478" s="6" t="str">
        <f ca="1">IFERROR(__xludf.DUMMYFUNCTION("""COMPUTED_VALUE"""),"satyaprakashchoudhury@gmail.com")</f>
        <v>satyaprakashchoudhury@gmail.com</v>
      </c>
      <c r="D478" s="6">
        <f ca="1">IFERROR(__xludf.DUMMYFUNCTION("""COMPUTED_VALUE"""),9163622207)</f>
        <v>9163622207</v>
      </c>
      <c r="E478" s="6" t="str">
        <f ca="1">IFERROR(__xludf.DUMMYFUNCTION("""COMPUTED_VALUE"""),"course agenda")</f>
        <v>course agenda</v>
      </c>
      <c r="F478" s="6" t="str">
        <f ca="1">IFERROR(__xludf.DUMMYFUNCTION("""COMPUTED_VALUE"""),"SAFe Agile")</f>
        <v>SAFe Agile</v>
      </c>
      <c r="G478" s="80">
        <f ca="1">IFERROR(__xludf.DUMMYFUNCTION("""COMPUTED_VALUE"""),44378)</f>
        <v>44378</v>
      </c>
      <c r="H478" s="6" t="str">
        <f ca="1">IFERROR(__xludf.DUMMYFUNCTION("""COMPUTED_VALUE"""),"Won")</f>
        <v>Won</v>
      </c>
      <c r="I478" s="6" t="str">
        <f ca="1">IFERROR(__xludf.DUMMYFUNCTION("""COMPUTED_VALUE"""),"10-11 July 2021")</f>
        <v>10-11 July 2021</v>
      </c>
      <c r="J478" s="6">
        <f ca="1">IFERROR(__xludf.DUMMYFUNCTION("""COMPUTED_VALUE"""),1)</f>
        <v>1</v>
      </c>
      <c r="K478" s="8">
        <f ca="1">IFERROR(__xludf.DUMMYFUNCTION("""COMPUTED_VALUE"""),45000)</f>
        <v>45000</v>
      </c>
      <c r="L478" s="8">
        <f ca="1">IFERROR(__xludf.DUMMYFUNCTION("""COMPUTED_VALUE"""),515.345854328905)</f>
        <v>515.34585432890503</v>
      </c>
      <c r="M478" s="96">
        <f ca="1">IFERROR(__xludf.DUMMYFUNCTION("""COMPUTED_VALUE"""),44384)</f>
        <v>44384</v>
      </c>
      <c r="N478" s="6" t="str">
        <f ca="1">IFERROR(__xludf.DUMMYFUNCTION("""COMPUTED_VALUE"""),"F10")</f>
        <v>F10</v>
      </c>
      <c r="O478" s="97">
        <f ca="1">IFERROR(__xludf.DUMMYFUNCTION("""COMPUTED_VALUE"""),44384)</f>
        <v>44384</v>
      </c>
      <c r="P478" s="6" t="str">
        <f ca="1">IFERROR(__xludf.DUMMYFUNCTION("""COMPUTED_VALUE"""),"CSTM_330UL2I3KHP")</f>
        <v>CSTM_330UL2I3KHP</v>
      </c>
      <c r="Q478" s="6"/>
      <c r="R478" s="6" t="str">
        <f ca="1">IFERROR(__xludf.DUMMYFUNCTION("""COMPUTED_VALUE"""),"Done. Good feedback.")</f>
        <v>Done. Good feedback.</v>
      </c>
      <c r="S478" s="6" t="str">
        <f ca="1">IFERROR(__xludf.DUMMYFUNCTION("""COMPUTED_VALUE"""),"SAFe")</f>
        <v>SAFe</v>
      </c>
      <c r="T478" s="6"/>
      <c r="U478" s="6"/>
      <c r="V478" s="6"/>
      <c r="W478" s="6"/>
      <c r="X478" s="6"/>
      <c r="Y478" s="6"/>
      <c r="Z478" s="6"/>
      <c r="AA478" s="6"/>
      <c r="AB478" s="6"/>
      <c r="AC478" s="6"/>
      <c r="AD478" s="6"/>
      <c r="AE478" s="6"/>
      <c r="AF478" s="6"/>
      <c r="AG478" s="6"/>
      <c r="AH478" s="6"/>
      <c r="AI478" s="6"/>
      <c r="AJ478" s="6"/>
      <c r="AK478" s="6"/>
      <c r="AL478" s="6"/>
    </row>
    <row r="479" spans="1:38">
      <c r="A479" s="96">
        <f ca="1">IFERROR(__xludf.DUMMYFUNCTION("""COMPUTED_VALUE"""),44379)</f>
        <v>44379</v>
      </c>
      <c r="B479" s="6" t="str">
        <f ca="1">IFERROR(__xludf.DUMMYFUNCTION("""COMPUTED_VALUE"""),"Harsha Heda")</f>
        <v>Harsha Heda</v>
      </c>
      <c r="C479" s="6" t="str">
        <f ca="1">IFERROR(__xludf.DUMMYFUNCTION("""COMPUTED_VALUE"""),"harshaheda@gmail.com")</f>
        <v>harshaheda@gmail.com</v>
      </c>
      <c r="D479" s="6">
        <f ca="1">IFERROR(__xludf.DUMMYFUNCTION("""COMPUTED_VALUE"""),9782571401)</f>
        <v>9782571401</v>
      </c>
      <c r="E479" s="6" t="str">
        <f ca="1">IFERROR(__xludf.DUMMYFUNCTION("""COMPUTED_VALUE"""),"Query box")</f>
        <v>Query box</v>
      </c>
      <c r="F479" s="6" t="str">
        <f ca="1">IFERROR(__xludf.DUMMYFUNCTION("""COMPUTED_VALUE"""),"CSM")</f>
        <v>CSM</v>
      </c>
      <c r="G479" s="80">
        <f ca="1">IFERROR(__xludf.DUMMYFUNCTION("""COMPUTED_VALUE"""),44348)</f>
        <v>44348</v>
      </c>
      <c r="H479" s="6" t="str">
        <f ca="1">IFERROR(__xludf.DUMMYFUNCTION("""COMPUTED_VALUE"""),"Opportunity")</f>
        <v>Opportunity</v>
      </c>
      <c r="I479" s="6" t="str">
        <f ca="1">IFERROR(__xludf.DUMMYFUNCTION("""COMPUTED_VALUE"""),"17-18 July 2021")</f>
        <v>17-18 July 2021</v>
      </c>
      <c r="J479" s="6">
        <f ca="1">IFERROR(__xludf.DUMMYFUNCTION("""COMPUTED_VALUE"""),1)</f>
        <v>1</v>
      </c>
      <c r="K479" s="8">
        <f ca="1">IFERROR(__xludf.DUMMYFUNCTION("""COMPUTED_VALUE"""),20000)</f>
        <v>20000</v>
      </c>
      <c r="L479" s="8">
        <f ca="1">IFERROR(__xludf.DUMMYFUNCTION("""COMPUTED_VALUE"""),229.042601923957)</f>
        <v>229.04260192395699</v>
      </c>
      <c r="M479" s="96">
        <f ca="1">IFERROR(__xludf.DUMMYFUNCTION("""COMPUTED_VALUE"""),44379)</f>
        <v>44379</v>
      </c>
      <c r="N479" s="6"/>
      <c r="O479" s="97"/>
      <c r="P479" s="6"/>
      <c r="Q479" s="6"/>
      <c r="R479" s="6"/>
      <c r="S479" s="6" t="str">
        <f ca="1">IFERROR(__xludf.DUMMYFUNCTION("""COMPUTED_VALUE"""),"Category")</f>
        <v>Category</v>
      </c>
      <c r="T479" s="6"/>
      <c r="U479" s="6"/>
      <c r="V479" s="6"/>
      <c r="W479" s="6"/>
      <c r="X479" s="6"/>
      <c r="Y479" s="6"/>
      <c r="Z479" s="6"/>
      <c r="AA479" s="6"/>
      <c r="AB479" s="6"/>
      <c r="AC479" s="6"/>
      <c r="AD479" s="6"/>
      <c r="AE479" s="6"/>
      <c r="AF479" s="6"/>
      <c r="AG479" s="6"/>
      <c r="AH479" s="6"/>
      <c r="AI479" s="6"/>
      <c r="AJ479" s="6"/>
      <c r="AK479" s="6"/>
      <c r="AL479" s="6"/>
    </row>
    <row r="480" spans="1:38">
      <c r="A480" s="96">
        <f ca="1">IFERROR(__xludf.DUMMYFUNCTION("""COMPUTED_VALUE"""),44380)</f>
        <v>44380</v>
      </c>
      <c r="B480" s="6" t="str">
        <f ca="1">IFERROR(__xludf.DUMMYFUNCTION("""COMPUTED_VALUE"""),"Mallika")</f>
        <v>Mallika</v>
      </c>
      <c r="C480" s="6" t="str">
        <f ca="1">IFERROR(__xludf.DUMMYFUNCTION("""COMPUTED_VALUE"""),"malli.vnkt@gmail.com")</f>
        <v>malli.vnkt@gmail.com</v>
      </c>
      <c r="D480" s="6">
        <f ca="1">IFERROR(__xludf.DUMMYFUNCTION("""COMPUTED_VALUE"""),7259581006)</f>
        <v>7259581006</v>
      </c>
      <c r="E480" s="6" t="str">
        <f ca="1">IFERROR(__xludf.DUMMYFUNCTION("""COMPUTED_VALUE"""),"Query box")</f>
        <v>Query box</v>
      </c>
      <c r="F480" s="6" t="str">
        <f ca="1">IFERROR(__xludf.DUMMYFUNCTION("""COMPUTED_VALUE"""),"PSM")</f>
        <v>PSM</v>
      </c>
      <c r="G480" s="80">
        <f ca="1">IFERROR(__xludf.DUMMYFUNCTION("""COMPUTED_VALUE"""),44378)</f>
        <v>44378</v>
      </c>
      <c r="H480" s="6" t="str">
        <f ca="1">IFERROR(__xludf.DUMMYFUNCTION("""COMPUTED_VALUE"""),"Won")</f>
        <v>Won</v>
      </c>
      <c r="I480" s="6" t="str">
        <f ca="1">IFERROR(__xludf.DUMMYFUNCTION("""COMPUTED_VALUE"""),"2-3 Oct 2021")</f>
        <v>2-3 Oct 2021</v>
      </c>
      <c r="J480" s="6">
        <f ca="1">IFERROR(__xludf.DUMMYFUNCTION("""COMPUTED_VALUE"""),1)</f>
        <v>1</v>
      </c>
      <c r="K480" s="8">
        <f ca="1">IFERROR(__xludf.DUMMYFUNCTION("""COMPUTED_VALUE"""),21000)</f>
        <v>21000</v>
      </c>
      <c r="L480" s="8">
        <f ca="1">IFERROR(__xludf.DUMMYFUNCTION("""COMPUTED_VALUE"""),240.494732020155)</f>
        <v>240.494732020155</v>
      </c>
      <c r="M480" s="96">
        <f ca="1">IFERROR(__xludf.DUMMYFUNCTION("""COMPUTED_VALUE"""),44380)</f>
        <v>44380</v>
      </c>
      <c r="N480" s="6" t="str">
        <f ca="1">IFERROR(__xludf.DUMMYFUNCTION("""COMPUTED_VALUE"""),"F10")</f>
        <v>F10</v>
      </c>
      <c r="O480" s="97">
        <f ca="1">IFERROR(__xludf.DUMMYFUNCTION("""COMPUTED_VALUE"""),44385)</f>
        <v>44385</v>
      </c>
      <c r="P480" s="6" t="str">
        <f ca="1">IFERROR(__xludf.DUMMYFUNCTION("""COMPUTED_VALUE"""),"CSTM_7ONJQLBZ3UH")</f>
        <v>CSTM_7ONJQLBZ3UH</v>
      </c>
      <c r="Q480" s="6"/>
      <c r="R480" s="6" t="str">
        <f ca="1">IFERROR(__xludf.DUMMYFUNCTION("""COMPUTED_VALUE"""),"Done. Good feedback.")</f>
        <v>Done. Good feedback.</v>
      </c>
      <c r="S480" s="6" t="str">
        <f ca="1">IFERROR(__xludf.DUMMYFUNCTION("""COMPUTED_VALUE"""),"Category")</f>
        <v>Category</v>
      </c>
      <c r="T480" s="6"/>
      <c r="U480" s="6"/>
      <c r="V480" s="6"/>
      <c r="W480" s="6"/>
      <c r="X480" s="6"/>
      <c r="Y480" s="6"/>
      <c r="Z480" s="6"/>
      <c r="AA480" s="6"/>
      <c r="AB480" s="6"/>
      <c r="AC480" s="6"/>
      <c r="AD480" s="6"/>
      <c r="AE480" s="6"/>
      <c r="AF480" s="6"/>
      <c r="AG480" s="6"/>
      <c r="AH480" s="6"/>
      <c r="AI480" s="6"/>
      <c r="AJ480" s="6"/>
      <c r="AK480" s="6"/>
      <c r="AL480" s="6"/>
    </row>
    <row r="481" spans="1:38">
      <c r="A481" s="96">
        <f ca="1">IFERROR(__xludf.DUMMYFUNCTION("""COMPUTED_VALUE"""),44385)</f>
        <v>44385</v>
      </c>
      <c r="B481" s="6" t="str">
        <f ca="1">IFERROR(__xludf.DUMMYFUNCTION("""COMPUTED_VALUE"""),"Abhilash Thottathil")</f>
        <v>Abhilash Thottathil</v>
      </c>
      <c r="C481" s="6" t="str">
        <f ca="1">IFERROR(__xludf.DUMMYFUNCTION("""COMPUTED_VALUE"""),"abhilash.thottathil@gmail.com")</f>
        <v>abhilash.thottathil@gmail.com</v>
      </c>
      <c r="D481" s="6">
        <f ca="1">IFERROR(__xludf.DUMMYFUNCTION("""COMPUTED_VALUE"""),9846869992)</f>
        <v>9846869992</v>
      </c>
      <c r="E481" s="6" t="str">
        <f ca="1">IFERROR(__xludf.DUMMYFUNCTION("""COMPUTED_VALUE"""),"Chat_triggered")</f>
        <v>Chat_triggered</v>
      </c>
      <c r="F481" s="6" t="str">
        <f ca="1">IFERROR(__xludf.DUMMYFUNCTION("""COMPUTED_VALUE"""),"SAFe Agile")</f>
        <v>SAFe Agile</v>
      </c>
      <c r="G481" s="80">
        <f ca="1">IFERROR(__xludf.DUMMYFUNCTION("""COMPUTED_VALUE"""),44378)</f>
        <v>44378</v>
      </c>
      <c r="H481" s="6" t="str">
        <f ca="1">IFERROR(__xludf.DUMMYFUNCTION("""COMPUTED_VALUE"""),"Won")</f>
        <v>Won</v>
      </c>
      <c r="I481" s="6" t="str">
        <f ca="1">IFERROR(__xludf.DUMMYFUNCTION("""COMPUTED_VALUE"""),"10-11 July 2021")</f>
        <v>10-11 July 2021</v>
      </c>
      <c r="J481" s="6">
        <f ca="1">IFERROR(__xludf.DUMMYFUNCTION("""COMPUTED_VALUE"""),1)</f>
        <v>1</v>
      </c>
      <c r="K481" s="8">
        <f ca="1">IFERROR(__xludf.DUMMYFUNCTION("""COMPUTED_VALUE"""),45000)</f>
        <v>45000</v>
      </c>
      <c r="L481" s="8">
        <f ca="1">IFERROR(__xludf.DUMMYFUNCTION("""COMPUTED_VALUE"""),515.345854328905)</f>
        <v>515.34585432890503</v>
      </c>
      <c r="M481" s="96">
        <f ca="1">IFERROR(__xludf.DUMMYFUNCTION("""COMPUTED_VALUE"""),44385)</f>
        <v>44385</v>
      </c>
      <c r="N481" s="6" t="str">
        <f ca="1">IFERROR(__xludf.DUMMYFUNCTION("""COMPUTED_VALUE"""),"F10")</f>
        <v>F10</v>
      </c>
      <c r="O481" s="97">
        <f ca="1">IFERROR(__xludf.DUMMYFUNCTION("""COMPUTED_VALUE"""),44385)</f>
        <v>44385</v>
      </c>
      <c r="P481" s="6" t="str">
        <f ca="1">IFERROR(__xludf.DUMMYFUNCTION("""COMPUTED_VALUE"""),"CSTM_BGFPZIJN3JY")</f>
        <v>CSTM_BGFPZIJN3JY</v>
      </c>
      <c r="Q481" s="6"/>
      <c r="R481" s="6" t="str">
        <f ca="1">IFERROR(__xludf.DUMMYFUNCTION("""COMPUTED_VALUE"""),"Done. Good feedback.")</f>
        <v>Done. Good feedback.</v>
      </c>
      <c r="S481" s="6" t="str">
        <f ca="1">IFERROR(__xludf.DUMMYFUNCTION("""COMPUTED_VALUE"""),"SAFe")</f>
        <v>SAFe</v>
      </c>
      <c r="T481" s="6"/>
      <c r="U481" s="6"/>
      <c r="V481" s="6"/>
      <c r="W481" s="6"/>
      <c r="X481" s="6"/>
      <c r="Y481" s="6"/>
      <c r="Z481" s="6"/>
      <c r="AA481" s="6"/>
      <c r="AB481" s="6"/>
      <c r="AC481" s="6"/>
      <c r="AD481" s="6"/>
      <c r="AE481" s="6"/>
      <c r="AF481" s="6"/>
      <c r="AG481" s="6"/>
      <c r="AH481" s="6"/>
      <c r="AI481" s="6"/>
      <c r="AJ481" s="6"/>
      <c r="AK481" s="6"/>
      <c r="AL481" s="6"/>
    </row>
    <row r="482" spans="1:38">
      <c r="A482" s="96">
        <f ca="1">IFERROR(__xludf.DUMMYFUNCTION("""COMPUTED_VALUE"""),44364)</f>
        <v>44364</v>
      </c>
      <c r="B482" s="6" t="str">
        <f ca="1">IFERROR(__xludf.DUMMYFUNCTION("""COMPUTED_VALUE"""),"Tulika Mitra")</f>
        <v>Tulika Mitra</v>
      </c>
      <c r="C482" s="6" t="str">
        <f ca="1">IFERROR(__xludf.DUMMYFUNCTION("""COMPUTED_VALUE"""),"tulikamtr18@gmail.com")</f>
        <v>tulikamtr18@gmail.com</v>
      </c>
      <c r="D482" s="6">
        <f ca="1">IFERROR(__xludf.DUMMYFUNCTION("""COMPUTED_VALUE"""),9032861841)</f>
        <v>9032861841</v>
      </c>
      <c r="E482" s="6" t="str">
        <f ca="1">IFERROR(__xludf.DUMMYFUNCTION("""COMPUTED_VALUE"""),"chat_initiated")</f>
        <v>chat_initiated</v>
      </c>
      <c r="F482" s="6" t="str">
        <f ca="1">IFERROR(__xludf.DUMMYFUNCTION("""COMPUTED_VALUE"""),"SAFe POPM")</f>
        <v>SAFe POPM</v>
      </c>
      <c r="G482" s="80">
        <f ca="1">IFERROR(__xludf.DUMMYFUNCTION("""COMPUTED_VALUE"""),44348)</f>
        <v>44348</v>
      </c>
      <c r="H482" s="6" t="str">
        <f ca="1">IFERROR(__xludf.DUMMYFUNCTION("""COMPUTED_VALUE"""),"Won")</f>
        <v>Won</v>
      </c>
      <c r="I482" s="6" t="str">
        <f ca="1">IFERROR(__xludf.DUMMYFUNCTION("""COMPUTED_VALUE"""),"10-11 July 2021")</f>
        <v>10-11 July 2021</v>
      </c>
      <c r="J482" s="6">
        <f ca="1">IFERROR(__xludf.DUMMYFUNCTION("""COMPUTED_VALUE"""),1)</f>
        <v>1</v>
      </c>
      <c r="K482" s="8">
        <f ca="1">IFERROR(__xludf.DUMMYFUNCTION("""COMPUTED_VALUE"""),47000)</f>
        <v>47000</v>
      </c>
      <c r="L482" s="8">
        <f ca="1">IFERROR(__xludf.DUMMYFUNCTION("""COMPUTED_VALUE"""),538.2501145213)</f>
        <v>538.25011452130002</v>
      </c>
      <c r="M482" s="96">
        <f ca="1">IFERROR(__xludf.DUMMYFUNCTION("""COMPUTED_VALUE"""),44364)</f>
        <v>44364</v>
      </c>
      <c r="N482" s="6" t="str">
        <f ca="1">IFERROR(__xludf.DUMMYFUNCTION("""COMPUTED_VALUE"""),"S10")</f>
        <v>S10</v>
      </c>
      <c r="O482" s="97">
        <f ca="1">IFERROR(__xludf.DUMMYFUNCTION("""COMPUTED_VALUE"""),44364)</f>
        <v>44364</v>
      </c>
      <c r="P482" s="6" t="str">
        <f ca="1">IFERROR(__xludf.DUMMYFUNCTION("""COMPUTED_VALUE"""),"CSTM_G37QAM1HE6S")</f>
        <v>CSTM_G37QAM1HE6S</v>
      </c>
      <c r="Q482" s="6"/>
      <c r="R482" s="6" t="str">
        <f ca="1">IFERROR(__xludf.DUMMYFUNCTION("""COMPUTED_VALUE"""),"Pending")</f>
        <v>Pending</v>
      </c>
      <c r="S482" s="6" t="str">
        <f ca="1">IFERROR(__xludf.DUMMYFUNCTION("""COMPUTED_VALUE"""),"SAFe")</f>
        <v>SAFe</v>
      </c>
      <c r="T482" s="6"/>
      <c r="U482" s="6"/>
      <c r="V482" s="6"/>
      <c r="W482" s="6"/>
      <c r="X482" s="6"/>
      <c r="Y482" s="6"/>
      <c r="Z482" s="6"/>
      <c r="AA482" s="6"/>
      <c r="AB482" s="6"/>
      <c r="AC482" s="6"/>
      <c r="AD482" s="6"/>
      <c r="AE482" s="6"/>
      <c r="AF482" s="6"/>
      <c r="AG482" s="6"/>
      <c r="AH482" s="6"/>
      <c r="AI482" s="6"/>
      <c r="AJ482" s="6"/>
      <c r="AK482" s="6"/>
      <c r="AL482" s="6"/>
    </row>
    <row r="483" spans="1:38">
      <c r="A483" s="96">
        <f ca="1">IFERROR(__xludf.DUMMYFUNCTION("""COMPUTED_VALUE"""),44383)</f>
        <v>44383</v>
      </c>
      <c r="B483" s="6" t="str">
        <f ca="1">IFERROR(__xludf.DUMMYFUNCTION("""COMPUTED_VALUE"""),"Rahul Jha")</f>
        <v>Rahul Jha</v>
      </c>
      <c r="C483" s="6" t="str">
        <f ca="1">IFERROR(__xludf.DUMMYFUNCTION("""COMPUTED_VALUE"""),"r1234_jha@yahoo.co.in")</f>
        <v>r1234_jha@yahoo.co.in</v>
      </c>
      <c r="D483" s="6">
        <f ca="1">IFERROR(__xludf.DUMMYFUNCTION("""COMPUTED_VALUE"""),8886059911)</f>
        <v>8886059911</v>
      </c>
      <c r="E483" s="6" t="str">
        <f ca="1">IFERROR(__xludf.DUMMYFUNCTION("""COMPUTED_VALUE"""),"course agenda")</f>
        <v>course agenda</v>
      </c>
      <c r="F483" s="6" t="str">
        <f ca="1">IFERROR(__xludf.DUMMYFUNCTION("""COMPUTED_VALUE"""),"SAFe Agile")</f>
        <v>SAFe Agile</v>
      </c>
      <c r="G483" s="80">
        <f ca="1">IFERROR(__xludf.DUMMYFUNCTION("""COMPUTED_VALUE"""),44378)</f>
        <v>44378</v>
      </c>
      <c r="H483" s="6" t="str">
        <f ca="1">IFERROR(__xludf.DUMMYFUNCTION("""COMPUTED_VALUE"""),"Won")</f>
        <v>Won</v>
      </c>
      <c r="I483" s="6" t="str">
        <f ca="1">IFERROR(__xludf.DUMMYFUNCTION("""COMPUTED_VALUE"""),"14-15 Aug 2021")</f>
        <v>14-15 Aug 2021</v>
      </c>
      <c r="J483" s="6">
        <f ca="1">IFERROR(__xludf.DUMMYFUNCTION("""COMPUTED_VALUE"""),1)</f>
        <v>1</v>
      </c>
      <c r="K483" s="8">
        <f ca="1">IFERROR(__xludf.DUMMYFUNCTION("""COMPUTED_VALUE"""),45000)</f>
        <v>45000</v>
      </c>
      <c r="L483" s="8">
        <f ca="1">IFERROR(__xludf.DUMMYFUNCTION("""COMPUTED_VALUE"""),515.345854328905)</f>
        <v>515.34585432890503</v>
      </c>
      <c r="M483" s="96">
        <f ca="1">IFERROR(__xludf.DUMMYFUNCTION("""COMPUTED_VALUE"""),44383)</f>
        <v>44383</v>
      </c>
      <c r="N483" s="6" t="str">
        <f ca="1">IFERROR(__xludf.DUMMYFUNCTION("""COMPUTED_VALUE"""),"F10")</f>
        <v>F10</v>
      </c>
      <c r="O483" s="97">
        <f ca="1">IFERROR(__xludf.DUMMYFUNCTION("""COMPUTED_VALUE"""),44385)</f>
        <v>44385</v>
      </c>
      <c r="P483" s="6" t="str">
        <f ca="1">IFERROR(__xludf.DUMMYFUNCTION("""COMPUTED_VALUE"""),"CSTM_2I6ZBZP0MT4")</f>
        <v>CSTM_2I6ZBZP0MT4</v>
      </c>
      <c r="Q483" s="6"/>
      <c r="R483" s="6" t="str">
        <f ca="1">IFERROR(__xludf.DUMMYFUNCTION("""COMPUTED_VALUE"""),"Pending")</f>
        <v>Pending</v>
      </c>
      <c r="S483" s="6" t="str">
        <f ca="1">IFERROR(__xludf.DUMMYFUNCTION("""COMPUTED_VALUE"""),"SAFe")</f>
        <v>SAFe</v>
      </c>
      <c r="T483" s="6"/>
      <c r="U483" s="6"/>
      <c r="V483" s="6"/>
      <c r="W483" s="6"/>
      <c r="X483" s="6"/>
      <c r="Y483" s="6"/>
      <c r="Z483" s="6"/>
      <c r="AA483" s="6"/>
      <c r="AB483" s="6"/>
      <c r="AC483" s="6"/>
      <c r="AD483" s="6"/>
      <c r="AE483" s="6"/>
      <c r="AF483" s="6"/>
      <c r="AG483" s="6"/>
      <c r="AH483" s="6"/>
      <c r="AI483" s="6"/>
      <c r="AJ483" s="6"/>
      <c r="AK483" s="6"/>
      <c r="AL483" s="6"/>
    </row>
    <row r="484" spans="1:38">
      <c r="A484" s="96">
        <f ca="1">IFERROR(__xludf.DUMMYFUNCTION("""COMPUTED_VALUE"""),44383)</f>
        <v>44383</v>
      </c>
      <c r="B484" s="6" t="str">
        <f ca="1">IFERROR(__xludf.DUMMYFUNCTION("""COMPUTED_VALUE"""),"Kishore Kenguva")</f>
        <v>Kishore Kenguva</v>
      </c>
      <c r="C484" s="6" t="str">
        <f ca="1">IFERROR(__xludf.DUMMYFUNCTION("""COMPUTED_VALUE"""),"kkenguva@gmail.com")</f>
        <v>kkenguva@gmail.com</v>
      </c>
      <c r="D484" s="6">
        <f ca="1">IFERROR(__xludf.DUMMYFUNCTION("""COMPUTED_VALUE"""),9989585580)</f>
        <v>9989585580</v>
      </c>
      <c r="E484" s="6" t="str">
        <f ca="1">IFERROR(__xludf.DUMMYFUNCTION("""COMPUTED_VALUE"""),"Reference")</f>
        <v>Reference</v>
      </c>
      <c r="F484" s="6" t="str">
        <f ca="1">IFERROR(__xludf.DUMMYFUNCTION("""COMPUTED_VALUE"""),"SAFe Agile")</f>
        <v>SAFe Agile</v>
      </c>
      <c r="G484" s="80">
        <f ca="1">IFERROR(__xludf.DUMMYFUNCTION("""COMPUTED_VALUE"""),44378)</f>
        <v>44378</v>
      </c>
      <c r="H484" s="6" t="str">
        <f ca="1">IFERROR(__xludf.DUMMYFUNCTION("""COMPUTED_VALUE"""),"Won")</f>
        <v>Won</v>
      </c>
      <c r="I484" s="6" t="str">
        <f ca="1">IFERROR(__xludf.DUMMYFUNCTION("""COMPUTED_VALUE"""),"14-15 Aug 2021")</f>
        <v>14-15 Aug 2021</v>
      </c>
      <c r="J484" s="6">
        <f ca="1">IFERROR(__xludf.DUMMYFUNCTION("""COMPUTED_VALUE"""),1)</f>
        <v>1</v>
      </c>
      <c r="K484" s="8">
        <f ca="1">IFERROR(__xludf.DUMMYFUNCTION("""COMPUTED_VALUE"""),45000)</f>
        <v>45000</v>
      </c>
      <c r="L484" s="8">
        <f ca="1">IFERROR(__xludf.DUMMYFUNCTION("""COMPUTED_VALUE"""),515.345854328905)</f>
        <v>515.34585432890503</v>
      </c>
      <c r="M484" s="96">
        <f ca="1">IFERROR(__xludf.DUMMYFUNCTION("""COMPUTED_VALUE"""),44383)</f>
        <v>44383</v>
      </c>
      <c r="N484" s="6" t="str">
        <f ca="1">IFERROR(__xludf.DUMMYFUNCTION("""COMPUTED_VALUE"""),"S10")</f>
        <v>S10</v>
      </c>
      <c r="O484" s="97">
        <f ca="1">IFERROR(__xludf.DUMMYFUNCTION("""COMPUTED_VALUE"""),44391)</f>
        <v>44391</v>
      </c>
      <c r="P484" s="6" t="str">
        <f ca="1">IFERROR(__xludf.DUMMYFUNCTION("""COMPUTED_VALUE"""),"CSTM_ILZPH7JQJL")</f>
        <v>CSTM_ILZPH7JQJL</v>
      </c>
      <c r="Q484" s="6"/>
      <c r="R484" s="6" t="str">
        <f ca="1">IFERROR(__xludf.DUMMYFUNCTION("""COMPUTED_VALUE"""),"Done. Good feedback.")</f>
        <v>Done. Good feedback.</v>
      </c>
      <c r="S484" s="6" t="str">
        <f ca="1">IFERROR(__xludf.DUMMYFUNCTION("""COMPUTED_VALUE"""),"SAFe")</f>
        <v>SAFe</v>
      </c>
      <c r="T484" s="6"/>
      <c r="U484" s="6"/>
      <c r="V484" s="6"/>
      <c r="W484" s="6"/>
      <c r="X484" s="6"/>
      <c r="Y484" s="6"/>
      <c r="Z484" s="6"/>
      <c r="AA484" s="6"/>
      <c r="AB484" s="6"/>
      <c r="AC484" s="6"/>
      <c r="AD484" s="6"/>
      <c r="AE484" s="6"/>
      <c r="AF484" s="6"/>
      <c r="AG484" s="6"/>
      <c r="AH484" s="6"/>
      <c r="AI484" s="6"/>
      <c r="AJ484" s="6"/>
      <c r="AK484" s="6"/>
      <c r="AL484" s="6"/>
    </row>
    <row r="485" spans="1:38">
      <c r="A485" s="96">
        <f ca="1">IFERROR(__xludf.DUMMYFUNCTION("""COMPUTED_VALUE"""),44383)</f>
        <v>44383</v>
      </c>
      <c r="B485" s="6" t="str">
        <f ca="1">IFERROR(__xludf.DUMMYFUNCTION("""COMPUTED_VALUE"""),"Dilsha Raj")</f>
        <v>Dilsha Raj</v>
      </c>
      <c r="C485" s="6" t="str">
        <f ca="1">IFERROR(__xludf.DUMMYFUNCTION("""COMPUTED_VALUE"""),"dilsharaj13@gmail.com")</f>
        <v>dilsharaj13@gmail.com</v>
      </c>
      <c r="D485" s="6">
        <f ca="1">IFERROR(__xludf.DUMMYFUNCTION("""COMPUTED_VALUE"""),9400973189)</f>
        <v>9400973189</v>
      </c>
      <c r="E485" s="6" t="str">
        <f ca="1">IFERROR(__xludf.DUMMYFUNCTION("""COMPUTED_VALUE"""),"chat_initiated")</f>
        <v>chat_initiated</v>
      </c>
      <c r="F485" s="6" t="str">
        <f ca="1">IFERROR(__xludf.DUMMYFUNCTION("""COMPUTED_VALUE"""),"SAFe SSM")</f>
        <v>SAFe SSM</v>
      </c>
      <c r="G485" s="80">
        <f ca="1">IFERROR(__xludf.DUMMYFUNCTION("""COMPUTED_VALUE"""),44378)</f>
        <v>44378</v>
      </c>
      <c r="H485" s="6" t="str">
        <f ca="1">IFERROR(__xludf.DUMMYFUNCTION("""COMPUTED_VALUE"""),"Opportunity")</f>
        <v>Opportunity</v>
      </c>
      <c r="I485" s="6" t="str">
        <f ca="1">IFERROR(__xludf.DUMMYFUNCTION("""COMPUTED_VALUE"""),"24-25 July 2021")</f>
        <v>24-25 July 2021</v>
      </c>
      <c r="J485" s="6">
        <f ca="1">IFERROR(__xludf.DUMMYFUNCTION("""COMPUTED_VALUE"""),1)</f>
        <v>1</v>
      </c>
      <c r="K485" s="8">
        <f ca="1">IFERROR(__xludf.DUMMYFUNCTION("""COMPUTED_VALUE"""),48000)</f>
        <v>48000</v>
      </c>
      <c r="L485" s="8">
        <f ca="1">IFERROR(__xludf.DUMMYFUNCTION("""COMPUTED_VALUE"""),549.702244617498)</f>
        <v>549.70224461749797</v>
      </c>
      <c r="M485" s="96">
        <f ca="1">IFERROR(__xludf.DUMMYFUNCTION("""COMPUTED_VALUE"""),44383)</f>
        <v>44383</v>
      </c>
      <c r="N485" s="6"/>
      <c r="O485" s="97"/>
      <c r="P485" s="6"/>
      <c r="Q485" s="6"/>
      <c r="R485" s="6"/>
      <c r="S485" s="6" t="str">
        <f ca="1">IFERROR(__xludf.DUMMYFUNCTION("""COMPUTED_VALUE"""),"SAFe")</f>
        <v>SAFe</v>
      </c>
      <c r="T485" s="6"/>
      <c r="U485" s="6"/>
      <c r="V485" s="6"/>
      <c r="W485" s="6"/>
      <c r="X485" s="6"/>
      <c r="Y485" s="6"/>
      <c r="Z485" s="6"/>
      <c r="AA485" s="6"/>
      <c r="AB485" s="6"/>
      <c r="AC485" s="6"/>
      <c r="AD485" s="6"/>
      <c r="AE485" s="6"/>
      <c r="AF485" s="6"/>
      <c r="AG485" s="6"/>
      <c r="AH485" s="6"/>
      <c r="AI485" s="6"/>
      <c r="AJ485" s="6"/>
      <c r="AK485" s="6"/>
      <c r="AL485" s="6"/>
    </row>
    <row r="486" spans="1:38">
      <c r="A486" s="96">
        <f ca="1">IFERROR(__xludf.DUMMYFUNCTION("""COMPUTED_VALUE"""),44383)</f>
        <v>44383</v>
      </c>
      <c r="B486" s="6" t="str">
        <f ca="1">IFERROR(__xludf.DUMMYFUNCTION("""COMPUTED_VALUE"""),"Krishna")</f>
        <v>Krishna</v>
      </c>
      <c r="C486" s="6" t="str">
        <f ca="1">IFERROR(__xludf.DUMMYFUNCTION("""COMPUTED_VALUE"""),"krishna16990@gmail.com")</f>
        <v>krishna16990@gmail.com</v>
      </c>
      <c r="D486" s="6">
        <f ca="1">IFERROR(__xludf.DUMMYFUNCTION("""COMPUTED_VALUE"""),9003595931)</f>
        <v>9003595931</v>
      </c>
      <c r="E486" s="6" t="str">
        <f ca="1">IFERROR(__xludf.DUMMYFUNCTION("""COMPUTED_VALUE"""),"Query box")</f>
        <v>Query box</v>
      </c>
      <c r="F486" s="6" t="str">
        <f ca="1">IFERROR(__xludf.DUMMYFUNCTION("""COMPUTED_VALUE"""),"SAFe POPM")</f>
        <v>SAFe POPM</v>
      </c>
      <c r="G486" s="80">
        <f ca="1">IFERROR(__xludf.DUMMYFUNCTION("""COMPUTED_VALUE"""),44378)</f>
        <v>44378</v>
      </c>
      <c r="H486" s="6" t="str">
        <f ca="1">IFERROR(__xludf.DUMMYFUNCTION("""COMPUTED_VALUE"""),"Won")</f>
        <v>Won</v>
      </c>
      <c r="I486" s="6" t="str">
        <f ca="1">IFERROR(__xludf.DUMMYFUNCTION("""COMPUTED_VALUE"""),"7-8 Aug 2021")</f>
        <v>7-8 Aug 2021</v>
      </c>
      <c r="J486" s="6">
        <f ca="1">IFERROR(__xludf.DUMMYFUNCTION("""COMPUTED_VALUE"""),1)</f>
        <v>1</v>
      </c>
      <c r="K486" s="8">
        <f ca="1">IFERROR(__xludf.DUMMYFUNCTION("""COMPUTED_VALUE"""),45000)</f>
        <v>45000</v>
      </c>
      <c r="L486" s="8">
        <f ca="1">IFERROR(__xludf.DUMMYFUNCTION("""COMPUTED_VALUE"""),515.345854328905)</f>
        <v>515.34585432890503</v>
      </c>
      <c r="M486" s="96">
        <f ca="1">IFERROR(__xludf.DUMMYFUNCTION("""COMPUTED_VALUE"""),44383)</f>
        <v>44383</v>
      </c>
      <c r="N486" s="6" t="str">
        <f ca="1">IFERROR(__xludf.DUMMYFUNCTION("""COMPUTED_VALUE"""),"S10")</f>
        <v>S10</v>
      </c>
      <c r="O486" s="97">
        <f ca="1">IFERROR(__xludf.DUMMYFUNCTION("""COMPUTED_VALUE"""),44391)</f>
        <v>44391</v>
      </c>
      <c r="P486" s="6" t="str">
        <f ca="1">IFERROR(__xludf.DUMMYFUNCTION("""COMPUTED_VALUE"""),"CSTM_IZBIJINSRNP")</f>
        <v>CSTM_IZBIJINSRNP</v>
      </c>
      <c r="Q486" s="6"/>
      <c r="R486" s="6" t="str">
        <f ca="1">IFERROR(__xludf.DUMMYFUNCTION("""COMPUTED_VALUE"""),"Pending")</f>
        <v>Pending</v>
      </c>
      <c r="S486" s="6" t="str">
        <f ca="1">IFERROR(__xludf.DUMMYFUNCTION("""COMPUTED_VALUE"""),"SAFe")</f>
        <v>SAFe</v>
      </c>
      <c r="T486" s="6"/>
      <c r="U486" s="6"/>
      <c r="V486" s="6"/>
      <c r="W486" s="6"/>
      <c r="X486" s="6"/>
      <c r="Y486" s="6"/>
      <c r="Z486" s="6"/>
      <c r="AA486" s="6"/>
      <c r="AB486" s="6"/>
      <c r="AC486" s="6"/>
      <c r="AD486" s="6"/>
      <c r="AE486" s="6"/>
      <c r="AF486" s="6"/>
      <c r="AG486" s="6"/>
      <c r="AH486" s="6"/>
      <c r="AI486" s="6"/>
      <c r="AJ486" s="6"/>
      <c r="AK486" s="6"/>
      <c r="AL486" s="6"/>
    </row>
    <row r="487" spans="1:38">
      <c r="A487" s="96">
        <f ca="1">IFERROR(__xludf.DUMMYFUNCTION("""COMPUTED_VALUE"""),44383)</f>
        <v>44383</v>
      </c>
      <c r="B487" s="6" t="str">
        <f ca="1">IFERROR(__xludf.DUMMYFUNCTION("""COMPUTED_VALUE"""),"Nirlipta Dash")</f>
        <v>Nirlipta Dash</v>
      </c>
      <c r="C487" s="6" t="str">
        <f ca="1">IFERROR(__xludf.DUMMYFUNCTION("""COMPUTED_VALUE"""),"nirlipta.dash@gmail.com")</f>
        <v>nirlipta.dash@gmail.com</v>
      </c>
      <c r="D487" s="6">
        <f ca="1">IFERROR(__xludf.DUMMYFUNCTION("""COMPUTED_VALUE"""),7506274226)</f>
        <v>7506274226</v>
      </c>
      <c r="E487" s="6" t="str">
        <f ca="1">IFERROR(__xludf.DUMMYFUNCTION("""COMPUTED_VALUE"""),"Query box")</f>
        <v>Query box</v>
      </c>
      <c r="F487" s="6" t="str">
        <f ca="1">IFERROR(__xludf.DUMMYFUNCTION("""COMPUTED_VALUE"""),"PSPO")</f>
        <v>PSPO</v>
      </c>
      <c r="G487" s="80">
        <f ca="1">IFERROR(__xludf.DUMMYFUNCTION("""COMPUTED_VALUE"""),44378)</f>
        <v>44378</v>
      </c>
      <c r="H487" s="6" t="str">
        <f ca="1">IFERROR(__xludf.DUMMYFUNCTION("""COMPUTED_VALUE"""),"Won")</f>
        <v>Won</v>
      </c>
      <c r="I487" s="6" t="str">
        <f ca="1">IFERROR(__xludf.DUMMYFUNCTION("""COMPUTED_VALUE"""),"7-8 Aug 2021")</f>
        <v>7-8 Aug 2021</v>
      </c>
      <c r="J487" s="6">
        <f ca="1">IFERROR(__xludf.DUMMYFUNCTION("""COMPUTED_VALUE"""),1)</f>
        <v>1</v>
      </c>
      <c r="K487" s="8">
        <f ca="1">IFERROR(__xludf.DUMMYFUNCTION("""COMPUTED_VALUE"""),24780)</f>
        <v>24780</v>
      </c>
      <c r="L487" s="8">
        <f ca="1">IFERROR(__xludf.DUMMYFUNCTION("""COMPUTED_VALUE"""),283.783783783783)</f>
        <v>283.78378378378301</v>
      </c>
      <c r="M487" s="96">
        <f ca="1">IFERROR(__xludf.DUMMYFUNCTION("""COMPUTED_VALUE"""),44383)</f>
        <v>44383</v>
      </c>
      <c r="N487" s="6" t="str">
        <f ca="1">IFERROR(__xludf.DUMMYFUNCTION("""COMPUTED_VALUE"""),"F10")</f>
        <v>F10</v>
      </c>
      <c r="O487" s="97">
        <f ca="1">IFERROR(__xludf.DUMMYFUNCTION("""COMPUTED_VALUE"""),44383)</f>
        <v>44383</v>
      </c>
      <c r="P487" s="6" t="str">
        <f ca="1">IFERROR(__xludf.DUMMYFUNCTION("""COMPUTED_VALUE"""),"SMPL_4CRIP6ZK7OT")</f>
        <v>SMPL_4CRIP6ZK7OT</v>
      </c>
      <c r="Q487" s="6"/>
      <c r="R487" s="6" t="str">
        <f ca="1">IFERROR(__xludf.DUMMYFUNCTION("""COMPUTED_VALUE"""),"Done. Good feedback.")</f>
        <v>Done. Good feedback.</v>
      </c>
      <c r="S487" s="6" t="str">
        <f ca="1">IFERROR(__xludf.DUMMYFUNCTION("""COMPUTED_VALUE"""),"Category")</f>
        <v>Category</v>
      </c>
      <c r="T487" s="6"/>
      <c r="U487" s="6"/>
      <c r="V487" s="6"/>
      <c r="W487" s="6"/>
      <c r="X487" s="6"/>
      <c r="Y487" s="6"/>
      <c r="Z487" s="6"/>
      <c r="AA487" s="6"/>
      <c r="AB487" s="6"/>
      <c r="AC487" s="6"/>
      <c r="AD487" s="6"/>
      <c r="AE487" s="6"/>
      <c r="AF487" s="6"/>
      <c r="AG487" s="6"/>
      <c r="AH487" s="6"/>
      <c r="AI487" s="6"/>
      <c r="AJ487" s="6"/>
      <c r="AK487" s="6"/>
      <c r="AL487" s="6"/>
    </row>
    <row r="488" spans="1:38">
      <c r="A488" s="96">
        <f ca="1">IFERROR(__xludf.DUMMYFUNCTION("""COMPUTED_VALUE"""),44384)</f>
        <v>44384</v>
      </c>
      <c r="B488" s="6" t="str">
        <f ca="1">IFERROR(__xludf.DUMMYFUNCTION("""COMPUTED_VALUE"""),"Rashmi")</f>
        <v>Rashmi</v>
      </c>
      <c r="C488" s="6" t="str">
        <f ca="1">IFERROR(__xludf.DUMMYFUNCTION("""COMPUTED_VALUE"""),"rashmint1991.rash@gmail.com")</f>
        <v>rashmint1991.rash@gmail.com</v>
      </c>
      <c r="D488" s="6">
        <f ca="1">IFERROR(__xludf.DUMMYFUNCTION("""COMPUTED_VALUE"""),9902813838)</f>
        <v>9902813838</v>
      </c>
      <c r="E488" s="6" t="str">
        <f ca="1">IFERROR(__xludf.DUMMYFUNCTION("""COMPUTED_VALUE"""),"Request a call")</f>
        <v>Request a call</v>
      </c>
      <c r="F488" s="6" t="str">
        <f ca="1">IFERROR(__xludf.DUMMYFUNCTION("""COMPUTED_VALUE"""),"PSM")</f>
        <v>PSM</v>
      </c>
      <c r="G488" s="80">
        <f ca="1">IFERROR(__xludf.DUMMYFUNCTION("""COMPUTED_VALUE"""),44378)</f>
        <v>44378</v>
      </c>
      <c r="H488" s="6" t="str">
        <f ca="1">IFERROR(__xludf.DUMMYFUNCTION("""COMPUTED_VALUE"""),"Won")</f>
        <v>Won</v>
      </c>
      <c r="I488" s="6" t="str">
        <f ca="1">IFERROR(__xludf.DUMMYFUNCTION("""COMPUTED_VALUE"""),"17-18 July 2021")</f>
        <v>17-18 July 2021</v>
      </c>
      <c r="J488" s="6">
        <f ca="1">IFERROR(__xludf.DUMMYFUNCTION("""COMPUTED_VALUE"""),1)</f>
        <v>1</v>
      </c>
      <c r="K488" s="8">
        <f ca="1">IFERROR(__xludf.DUMMYFUNCTION("""COMPUTED_VALUE"""),21000)</f>
        <v>21000</v>
      </c>
      <c r="L488" s="8">
        <f ca="1">IFERROR(__xludf.DUMMYFUNCTION("""COMPUTED_VALUE"""),240.494732020155)</f>
        <v>240.494732020155</v>
      </c>
      <c r="M488" s="96">
        <f ca="1">IFERROR(__xludf.DUMMYFUNCTION("""COMPUTED_VALUE"""),44384)</f>
        <v>44384</v>
      </c>
      <c r="N488" s="6" t="str">
        <f ca="1">IFERROR(__xludf.DUMMYFUNCTION("""COMPUTED_VALUE"""),"S10")</f>
        <v>S10</v>
      </c>
      <c r="O488" s="97">
        <f ca="1">IFERROR(__xludf.DUMMYFUNCTION("""COMPUTED_VALUE"""),44390)</f>
        <v>44390</v>
      </c>
      <c r="P488" s="6" t="str">
        <f ca="1">IFERROR(__xludf.DUMMYFUNCTION("""COMPUTED_VALUE"""),"CSTM_CSIKR46CCZ7")</f>
        <v>CSTM_CSIKR46CCZ7</v>
      </c>
      <c r="Q488" s="6"/>
      <c r="R488" s="6" t="str">
        <f ca="1">IFERROR(__xludf.DUMMYFUNCTION("""COMPUTED_VALUE"""),"Done. Good feedback.")</f>
        <v>Done. Good feedback.</v>
      </c>
      <c r="S488" s="6" t="str">
        <f ca="1">IFERROR(__xludf.DUMMYFUNCTION("""COMPUTED_VALUE"""),"Category")</f>
        <v>Category</v>
      </c>
      <c r="T488" s="6"/>
      <c r="U488" s="6"/>
      <c r="V488" s="6"/>
      <c r="W488" s="6"/>
      <c r="X488" s="6"/>
      <c r="Y488" s="6"/>
      <c r="Z488" s="6"/>
      <c r="AA488" s="6"/>
      <c r="AB488" s="6"/>
      <c r="AC488" s="6"/>
      <c r="AD488" s="6"/>
      <c r="AE488" s="6"/>
      <c r="AF488" s="6"/>
      <c r="AG488" s="6"/>
      <c r="AH488" s="6"/>
      <c r="AI488" s="6"/>
      <c r="AJ488" s="6"/>
      <c r="AK488" s="6"/>
      <c r="AL488" s="6"/>
    </row>
    <row r="489" spans="1:38">
      <c r="A489" s="96">
        <f ca="1">IFERROR(__xludf.DUMMYFUNCTION("""COMPUTED_VALUE"""),44375)</f>
        <v>44375</v>
      </c>
      <c r="B489" s="6" t="str">
        <f ca="1">IFERROR(__xludf.DUMMYFUNCTION("""COMPUTED_VALUE"""),"Dhaneesh")</f>
        <v>Dhaneesh</v>
      </c>
      <c r="C489" s="6" t="str">
        <f ca="1">IFERROR(__xludf.DUMMYFUNCTION("""COMPUTED_VALUE"""),"dhaneesh86@gmail.com")</f>
        <v>dhaneesh86@gmail.com</v>
      </c>
      <c r="D489" s="6">
        <f ca="1">IFERROR(__xludf.DUMMYFUNCTION("""COMPUTED_VALUE"""),9941618920)</f>
        <v>9941618920</v>
      </c>
      <c r="E489" s="6" t="str">
        <f ca="1">IFERROR(__xludf.DUMMYFUNCTION("""COMPUTED_VALUE"""),"chat_initiated")</f>
        <v>chat_initiated</v>
      </c>
      <c r="F489" s="6" t="str">
        <f ca="1">IFERROR(__xludf.DUMMYFUNCTION("""COMPUTED_VALUE"""),"SAFe POPM")</f>
        <v>SAFe POPM</v>
      </c>
      <c r="G489" s="80">
        <f ca="1">IFERROR(__xludf.DUMMYFUNCTION("""COMPUTED_VALUE"""),44348)</f>
        <v>44348</v>
      </c>
      <c r="H489" s="6" t="str">
        <f ca="1">IFERROR(__xludf.DUMMYFUNCTION("""COMPUTED_VALUE"""),"Won")</f>
        <v>Won</v>
      </c>
      <c r="I489" s="6" t="str">
        <f ca="1">IFERROR(__xludf.DUMMYFUNCTION("""COMPUTED_VALUE"""),"10-11 July 2021")</f>
        <v>10-11 July 2021</v>
      </c>
      <c r="J489" s="6">
        <f ca="1">IFERROR(__xludf.DUMMYFUNCTION("""COMPUTED_VALUE"""),1)</f>
        <v>1</v>
      </c>
      <c r="K489" s="8">
        <f ca="1">IFERROR(__xludf.DUMMYFUNCTION("""COMPUTED_VALUE"""),45000)</f>
        <v>45000</v>
      </c>
      <c r="L489" s="8">
        <f ca="1">IFERROR(__xludf.DUMMYFUNCTION("""COMPUTED_VALUE"""),515.345854328905)</f>
        <v>515.34585432890503</v>
      </c>
      <c r="M489" s="96">
        <f ca="1">IFERROR(__xludf.DUMMYFUNCTION("""COMPUTED_VALUE"""),44375)</f>
        <v>44375</v>
      </c>
      <c r="N489" s="6" t="str">
        <f ca="1">IFERROR(__xludf.DUMMYFUNCTION("""COMPUTED_VALUE"""),"T10")</f>
        <v>T10</v>
      </c>
      <c r="O489" s="97">
        <f ca="1">IFERROR(__xludf.DUMMYFUNCTION("""COMPUTED_VALUE"""),44375)</f>
        <v>44375</v>
      </c>
      <c r="P489" s="6" t="str">
        <f ca="1">IFERROR(__xludf.DUMMYFUNCTION("""COMPUTED_VALUE"""),"CSTM_2BUL8C8FV1J")</f>
        <v>CSTM_2BUL8C8FV1J</v>
      </c>
      <c r="Q489" s="6"/>
      <c r="R489" s="6" t="str">
        <f ca="1">IFERROR(__xludf.DUMMYFUNCTION("""COMPUTED_VALUE"""),"Done. Ok feedback.")</f>
        <v>Done. Ok feedback.</v>
      </c>
      <c r="S489" s="6" t="str">
        <f ca="1">IFERROR(__xludf.DUMMYFUNCTION("""COMPUTED_VALUE"""),"SAFe")</f>
        <v>SAFe</v>
      </c>
      <c r="T489" s="6"/>
      <c r="U489" s="6"/>
      <c r="V489" s="6"/>
      <c r="W489" s="6"/>
      <c r="X489" s="6"/>
      <c r="Y489" s="6"/>
      <c r="Z489" s="6"/>
      <c r="AA489" s="6"/>
      <c r="AB489" s="6"/>
      <c r="AC489" s="6"/>
      <c r="AD489" s="6"/>
      <c r="AE489" s="6"/>
      <c r="AF489" s="6"/>
      <c r="AG489" s="6"/>
      <c r="AH489" s="6"/>
      <c r="AI489" s="6"/>
      <c r="AJ489" s="6"/>
      <c r="AK489" s="6"/>
      <c r="AL489" s="6"/>
    </row>
    <row r="490" spans="1:38">
      <c r="A490" s="96">
        <f ca="1">IFERROR(__xludf.DUMMYFUNCTION("""COMPUTED_VALUE"""),44377)</f>
        <v>44377</v>
      </c>
      <c r="B490" s="6" t="str">
        <f ca="1">IFERROR(__xludf.DUMMYFUNCTION("""COMPUTED_VALUE"""),"Chaitanya")</f>
        <v>Chaitanya</v>
      </c>
      <c r="C490" s="6" t="str">
        <f ca="1">IFERROR(__xludf.DUMMYFUNCTION("""COMPUTED_VALUE"""),"gsrchaithu@gmail.com")</f>
        <v>gsrchaithu@gmail.com</v>
      </c>
      <c r="D490" s="6">
        <f ca="1">IFERROR(__xludf.DUMMYFUNCTION("""COMPUTED_VALUE"""),9985948306)</f>
        <v>9985948306</v>
      </c>
      <c r="E490" s="6" t="str">
        <f ca="1">IFERROR(__xludf.DUMMYFUNCTION("""COMPUTED_VALUE"""),"Query box")</f>
        <v>Query box</v>
      </c>
      <c r="F490" s="6" t="str">
        <f ca="1">IFERROR(__xludf.DUMMYFUNCTION("""COMPUTED_VALUE"""),"SAFe POPM")</f>
        <v>SAFe POPM</v>
      </c>
      <c r="G490" s="80">
        <f ca="1">IFERROR(__xludf.DUMMYFUNCTION("""COMPUTED_VALUE"""),44378)</f>
        <v>44378</v>
      </c>
      <c r="H490" s="6" t="str">
        <f ca="1">IFERROR(__xludf.DUMMYFUNCTION("""COMPUTED_VALUE"""),"Won")</f>
        <v>Won</v>
      </c>
      <c r="I490" s="6" t="str">
        <f ca="1">IFERROR(__xludf.DUMMYFUNCTION("""COMPUTED_VALUE"""),"10-11 July 2021")</f>
        <v>10-11 July 2021</v>
      </c>
      <c r="J490" s="6">
        <f ca="1">IFERROR(__xludf.DUMMYFUNCTION("""COMPUTED_VALUE"""),1)</f>
        <v>1</v>
      </c>
      <c r="K490" s="8">
        <f ca="1">IFERROR(__xludf.DUMMYFUNCTION("""COMPUTED_VALUE"""),45000)</f>
        <v>45000</v>
      </c>
      <c r="L490" s="8">
        <f ca="1">IFERROR(__xludf.DUMMYFUNCTION("""COMPUTED_VALUE"""),515.345854328905)</f>
        <v>515.34585432890503</v>
      </c>
      <c r="M490" s="96">
        <f ca="1">IFERROR(__xludf.DUMMYFUNCTION("""COMPUTED_VALUE"""),44377)</f>
        <v>44377</v>
      </c>
      <c r="N490" s="6" t="str">
        <f ca="1">IFERROR(__xludf.DUMMYFUNCTION("""COMPUTED_VALUE"""),"F10")</f>
        <v>F10</v>
      </c>
      <c r="O490" s="97">
        <f ca="1">IFERROR(__xludf.DUMMYFUNCTION("""COMPUTED_VALUE"""),44378)</f>
        <v>44378</v>
      </c>
      <c r="P490" s="6" t="str">
        <f ca="1">IFERROR(__xludf.DUMMYFUNCTION("""COMPUTED_VALUE"""),"CSTM_68K3HPI2S4Y")</f>
        <v>CSTM_68K3HPI2S4Y</v>
      </c>
      <c r="Q490" s="6"/>
      <c r="R490" s="6" t="str">
        <f ca="1">IFERROR(__xludf.DUMMYFUNCTION("""COMPUTED_VALUE"""),"Done. Good feedback.")</f>
        <v>Done. Good feedback.</v>
      </c>
      <c r="S490" s="6" t="str">
        <f ca="1">IFERROR(__xludf.DUMMYFUNCTION("""COMPUTED_VALUE"""),"SAFe")</f>
        <v>SAFe</v>
      </c>
      <c r="T490" s="6"/>
      <c r="U490" s="6"/>
      <c r="V490" s="6"/>
      <c r="W490" s="6"/>
      <c r="X490" s="6"/>
      <c r="Y490" s="6"/>
      <c r="Z490" s="6"/>
      <c r="AA490" s="6"/>
      <c r="AB490" s="6"/>
      <c r="AC490" s="6"/>
      <c r="AD490" s="6"/>
      <c r="AE490" s="6"/>
      <c r="AF490" s="6"/>
      <c r="AG490" s="6"/>
      <c r="AH490" s="6"/>
      <c r="AI490" s="6"/>
      <c r="AJ490" s="6"/>
      <c r="AK490" s="6"/>
      <c r="AL490" s="6"/>
    </row>
    <row r="491" spans="1:38">
      <c r="A491" s="96">
        <f ca="1">IFERROR(__xludf.DUMMYFUNCTION("""COMPUTED_VALUE"""),44382)</f>
        <v>44382</v>
      </c>
      <c r="B491" s="6" t="str">
        <f ca="1">IFERROR(__xludf.DUMMYFUNCTION("""COMPUTED_VALUE"""),"Gaurav Kawatra")</f>
        <v>Gaurav Kawatra</v>
      </c>
      <c r="C491" s="6" t="str">
        <f ca="1">IFERROR(__xludf.DUMMYFUNCTION("""COMPUTED_VALUE"""),"gaurav.kawatra.mba@gmail.com")</f>
        <v>gaurav.kawatra.mba@gmail.com</v>
      </c>
      <c r="D491" s="6">
        <f ca="1">IFERROR(__xludf.DUMMYFUNCTION("""COMPUTED_VALUE"""),8888870203)</f>
        <v>8888870203</v>
      </c>
      <c r="E491" s="6" t="str">
        <f ca="1">IFERROR(__xludf.DUMMYFUNCTION("""COMPUTED_VALUE"""),"Reference")</f>
        <v>Reference</v>
      </c>
      <c r="F491" s="6" t="str">
        <f ca="1">IFERROR(__xludf.DUMMYFUNCTION("""COMPUTED_VALUE"""),"SAFe POPM")</f>
        <v>SAFe POPM</v>
      </c>
      <c r="G491" s="80">
        <f ca="1">IFERROR(__xludf.DUMMYFUNCTION("""COMPUTED_VALUE"""),44378)</f>
        <v>44378</v>
      </c>
      <c r="H491" s="6" t="str">
        <f ca="1">IFERROR(__xludf.DUMMYFUNCTION("""COMPUTED_VALUE"""),"Won")</f>
        <v>Won</v>
      </c>
      <c r="I491" s="6" t="str">
        <f ca="1">IFERROR(__xludf.DUMMYFUNCTION("""COMPUTED_VALUE"""),"10-11 July 2021")</f>
        <v>10-11 July 2021</v>
      </c>
      <c r="J491" s="6">
        <f ca="1">IFERROR(__xludf.DUMMYFUNCTION("""COMPUTED_VALUE"""),1)</f>
        <v>1</v>
      </c>
      <c r="K491" s="8">
        <f ca="1">IFERROR(__xludf.DUMMYFUNCTION("""COMPUTED_VALUE"""),45000)</f>
        <v>45000</v>
      </c>
      <c r="L491" s="8">
        <f ca="1">IFERROR(__xludf.DUMMYFUNCTION("""COMPUTED_VALUE"""),515.345854328905)</f>
        <v>515.34585432890503</v>
      </c>
      <c r="M491" s="96">
        <f ca="1">IFERROR(__xludf.DUMMYFUNCTION("""COMPUTED_VALUE"""),44382)</f>
        <v>44382</v>
      </c>
      <c r="N491" s="6" t="str">
        <f ca="1">IFERROR(__xludf.DUMMYFUNCTION("""COMPUTED_VALUE"""),"F10")</f>
        <v>F10</v>
      </c>
      <c r="O491" s="97">
        <f ca="1">IFERROR(__xludf.DUMMYFUNCTION("""COMPUTED_VALUE"""),44382)</f>
        <v>44382</v>
      </c>
      <c r="P491" s="6" t="str">
        <f ca="1">IFERROR(__xludf.DUMMYFUNCTION("""COMPUTED_VALUE"""),"CSTM_W9GJI4INOT")</f>
        <v>CSTM_W9GJI4INOT</v>
      </c>
      <c r="Q491" s="6"/>
      <c r="R491" s="6" t="str">
        <f ca="1">IFERROR(__xludf.DUMMYFUNCTION("""COMPUTED_VALUE"""),"Done. Good feedback.")</f>
        <v>Done. Good feedback.</v>
      </c>
      <c r="S491" s="6" t="str">
        <f ca="1">IFERROR(__xludf.DUMMYFUNCTION("""COMPUTED_VALUE"""),"SAFe")</f>
        <v>SAFe</v>
      </c>
      <c r="T491" s="6"/>
      <c r="U491" s="6"/>
      <c r="V491" s="6"/>
      <c r="W491" s="6"/>
      <c r="X491" s="6"/>
      <c r="Y491" s="6"/>
      <c r="Z491" s="6"/>
      <c r="AA491" s="6"/>
      <c r="AB491" s="6"/>
      <c r="AC491" s="6"/>
      <c r="AD491" s="6"/>
      <c r="AE491" s="6"/>
      <c r="AF491" s="6"/>
      <c r="AG491" s="6"/>
      <c r="AH491" s="6"/>
      <c r="AI491" s="6"/>
      <c r="AJ491" s="6"/>
      <c r="AK491" s="6"/>
      <c r="AL491" s="6"/>
    </row>
    <row r="492" spans="1:38">
      <c r="A492" s="96">
        <f ca="1">IFERROR(__xludf.DUMMYFUNCTION("""COMPUTED_VALUE"""),44385)</f>
        <v>44385</v>
      </c>
      <c r="B492" s="6" t="str">
        <f ca="1">IFERROR(__xludf.DUMMYFUNCTION("""COMPUTED_VALUE"""),"Shailaja P")</f>
        <v>Shailaja P</v>
      </c>
      <c r="C492" s="6" t="str">
        <f ca="1">IFERROR(__xludf.DUMMYFUNCTION("""COMPUTED_VALUE"""),"pshailaja5@gmail.com")</f>
        <v>pshailaja5@gmail.com</v>
      </c>
      <c r="D492" s="6">
        <f ca="1">IFERROR(__xludf.DUMMYFUNCTION("""COMPUTED_VALUE"""),9739066977)</f>
        <v>9739066977</v>
      </c>
      <c r="E492" s="6" t="str">
        <f ca="1">IFERROR(__xludf.DUMMYFUNCTION("""COMPUTED_VALUE"""),"Query box")</f>
        <v>Query box</v>
      </c>
      <c r="F492" s="6" t="str">
        <f ca="1">IFERROR(__xludf.DUMMYFUNCTION("""COMPUTED_VALUE"""),"CSM")</f>
        <v>CSM</v>
      </c>
      <c r="G492" s="80">
        <f ca="1">IFERROR(__xludf.DUMMYFUNCTION("""COMPUTED_VALUE"""),44378)</f>
        <v>44378</v>
      </c>
      <c r="H492" s="6" t="str">
        <f ca="1">IFERROR(__xludf.DUMMYFUNCTION("""COMPUTED_VALUE"""),"Won")</f>
        <v>Won</v>
      </c>
      <c r="I492" s="6" t="str">
        <f ca="1">IFERROR(__xludf.DUMMYFUNCTION("""COMPUTED_VALUE"""),"17-18 July 2021")</f>
        <v>17-18 July 2021</v>
      </c>
      <c r="J492" s="6">
        <f ca="1">IFERROR(__xludf.DUMMYFUNCTION("""COMPUTED_VALUE"""),1)</f>
        <v>1</v>
      </c>
      <c r="K492" s="8">
        <f ca="1">IFERROR(__xludf.DUMMYFUNCTION("""COMPUTED_VALUE"""),19000)</f>
        <v>19000</v>
      </c>
      <c r="L492" s="8">
        <f ca="1">IFERROR(__xludf.DUMMYFUNCTION("""COMPUTED_VALUE"""),217.590471827759)</f>
        <v>217.59047182775899</v>
      </c>
      <c r="M492" s="96">
        <f ca="1">IFERROR(__xludf.DUMMYFUNCTION("""COMPUTED_VALUE"""),44385)</f>
        <v>44385</v>
      </c>
      <c r="N492" s="6" t="str">
        <f ca="1">IFERROR(__xludf.DUMMYFUNCTION("""COMPUTED_VALUE"""),"F10")</f>
        <v>F10</v>
      </c>
      <c r="O492" s="97">
        <f ca="1">IFERROR(__xludf.DUMMYFUNCTION("""COMPUTED_VALUE"""),44385)</f>
        <v>44385</v>
      </c>
      <c r="P492" s="6" t="str">
        <f ca="1">IFERROR(__xludf.DUMMYFUNCTION("""COMPUTED_VALUE"""),"CSTM_GOCWJSB9L9M")</f>
        <v>CSTM_GOCWJSB9L9M</v>
      </c>
      <c r="Q492" s="6"/>
      <c r="R492" s="6" t="str">
        <f ca="1">IFERROR(__xludf.DUMMYFUNCTION("""COMPUTED_VALUE"""),"Done. Good feedback.")</f>
        <v>Done. Good feedback.</v>
      </c>
      <c r="S492" s="6" t="str">
        <f ca="1">IFERROR(__xludf.DUMMYFUNCTION("""COMPUTED_VALUE"""),"Category")</f>
        <v>Category</v>
      </c>
      <c r="T492" s="6"/>
      <c r="U492" s="6"/>
      <c r="V492" s="6"/>
      <c r="W492" s="6"/>
      <c r="X492" s="6"/>
      <c r="Y492" s="6"/>
      <c r="Z492" s="6"/>
      <c r="AA492" s="6"/>
      <c r="AB492" s="6"/>
      <c r="AC492" s="6"/>
      <c r="AD492" s="6"/>
      <c r="AE492" s="6"/>
      <c r="AF492" s="6"/>
      <c r="AG492" s="6"/>
      <c r="AH492" s="6"/>
      <c r="AI492" s="6"/>
      <c r="AJ492" s="6"/>
      <c r="AK492" s="6"/>
      <c r="AL492" s="6"/>
    </row>
    <row r="493" spans="1:38">
      <c r="A493" s="96">
        <f ca="1">IFERROR(__xludf.DUMMYFUNCTION("""COMPUTED_VALUE"""),44389)</f>
        <v>44389</v>
      </c>
      <c r="B493" s="6" t="str">
        <f ca="1">IFERROR(__xludf.DUMMYFUNCTION("""COMPUTED_VALUE"""),"Neetu Gaur")</f>
        <v>Neetu Gaur</v>
      </c>
      <c r="C493" s="6" t="str">
        <f ca="1">IFERROR(__xludf.DUMMYFUNCTION("""COMPUTED_VALUE"""),"neetugaur.ac@gmail.com")</f>
        <v>neetugaur.ac@gmail.com</v>
      </c>
      <c r="D493" s="6">
        <f ca="1">IFERROR(__xludf.DUMMYFUNCTION("""COMPUTED_VALUE"""),9910248968)</f>
        <v>9910248968</v>
      </c>
      <c r="E493" s="6" t="str">
        <f ca="1">IFERROR(__xludf.DUMMYFUNCTION("""COMPUTED_VALUE"""),"chat_initiated")</f>
        <v>chat_initiated</v>
      </c>
      <c r="F493" s="6" t="str">
        <f ca="1">IFERROR(__xludf.DUMMYFUNCTION("""COMPUTED_VALUE"""),"PSPO")</f>
        <v>PSPO</v>
      </c>
      <c r="G493" s="80">
        <f ca="1">IFERROR(__xludf.DUMMYFUNCTION("""COMPUTED_VALUE"""),44378)</f>
        <v>44378</v>
      </c>
      <c r="H493" s="6" t="str">
        <f ca="1">IFERROR(__xludf.DUMMYFUNCTION("""COMPUTED_VALUE"""),"Opportunity")</f>
        <v>Opportunity</v>
      </c>
      <c r="I493" s="6" t="str">
        <f ca="1">IFERROR(__xludf.DUMMYFUNCTION("""COMPUTED_VALUE"""),"24-25 July 2021")</f>
        <v>24-25 July 2021</v>
      </c>
      <c r="J493" s="6">
        <f ca="1">IFERROR(__xludf.DUMMYFUNCTION("""COMPUTED_VALUE"""),1)</f>
        <v>1</v>
      </c>
      <c r="K493" s="8">
        <f ca="1">IFERROR(__xludf.DUMMYFUNCTION("""COMPUTED_VALUE"""),21000)</f>
        <v>21000</v>
      </c>
      <c r="L493" s="8">
        <f ca="1">IFERROR(__xludf.DUMMYFUNCTION("""COMPUTED_VALUE"""),240.494732020155)</f>
        <v>240.494732020155</v>
      </c>
      <c r="M493" s="96">
        <f ca="1">IFERROR(__xludf.DUMMYFUNCTION("""COMPUTED_VALUE"""),44389)</f>
        <v>44389</v>
      </c>
      <c r="N493" s="6"/>
      <c r="O493" s="97"/>
      <c r="P493" s="6"/>
      <c r="Q493" s="6"/>
      <c r="R493" s="6"/>
      <c r="S493" s="6" t="str">
        <f ca="1">IFERROR(__xludf.DUMMYFUNCTION("""COMPUTED_VALUE"""),"Category")</f>
        <v>Category</v>
      </c>
      <c r="T493" s="6"/>
      <c r="U493" s="6"/>
      <c r="V493" s="6"/>
      <c r="W493" s="6"/>
      <c r="X493" s="6"/>
      <c r="Y493" s="6"/>
      <c r="Z493" s="6"/>
      <c r="AA493" s="6"/>
      <c r="AB493" s="6"/>
      <c r="AC493" s="6"/>
      <c r="AD493" s="6"/>
      <c r="AE493" s="6"/>
      <c r="AF493" s="6"/>
      <c r="AG493" s="6"/>
      <c r="AH493" s="6"/>
      <c r="AI493" s="6"/>
      <c r="AJ493" s="6"/>
      <c r="AK493" s="6"/>
      <c r="AL493" s="6"/>
    </row>
    <row r="494" spans="1:38">
      <c r="A494" s="96">
        <f ca="1">IFERROR(__xludf.DUMMYFUNCTION("""COMPUTED_VALUE"""),44389)</f>
        <v>44389</v>
      </c>
      <c r="B494" s="6" t="str">
        <f ca="1">IFERROR(__xludf.DUMMYFUNCTION("""COMPUTED_VALUE"""),"Bijay Kumar")</f>
        <v>Bijay Kumar</v>
      </c>
      <c r="C494" s="6" t="str">
        <f ca="1">IFERROR(__xludf.DUMMYFUNCTION("""COMPUTED_VALUE"""),"bijay.tripathy06@gmail.com")</f>
        <v>bijay.tripathy06@gmail.com</v>
      </c>
      <c r="D494" s="6">
        <f ca="1">IFERROR(__xludf.DUMMYFUNCTION("""COMPUTED_VALUE"""),7506645754)</f>
        <v>7506645754</v>
      </c>
      <c r="E494" s="6" t="str">
        <f ca="1">IFERROR(__xludf.DUMMYFUNCTION("""COMPUTED_VALUE"""),"Reference")</f>
        <v>Reference</v>
      </c>
      <c r="F494" s="6" t="str">
        <f ca="1">IFERROR(__xludf.DUMMYFUNCTION("""COMPUTED_VALUE"""),"PSPO")</f>
        <v>PSPO</v>
      </c>
      <c r="G494" s="80">
        <f ca="1">IFERROR(__xludf.DUMMYFUNCTION("""COMPUTED_VALUE"""),44378)</f>
        <v>44378</v>
      </c>
      <c r="H494" s="6" t="str">
        <f ca="1">IFERROR(__xludf.DUMMYFUNCTION("""COMPUTED_VALUE"""),"Won")</f>
        <v>Won</v>
      </c>
      <c r="I494" s="6" t="str">
        <f ca="1">IFERROR(__xludf.DUMMYFUNCTION("""COMPUTED_VALUE"""),"28-29 Aug 2021")</f>
        <v>28-29 Aug 2021</v>
      </c>
      <c r="J494" s="6">
        <f ca="1">IFERROR(__xludf.DUMMYFUNCTION("""COMPUTED_VALUE"""),1)</f>
        <v>1</v>
      </c>
      <c r="K494" s="8">
        <f ca="1">IFERROR(__xludf.DUMMYFUNCTION("""COMPUTED_VALUE"""),21000)</f>
        <v>21000</v>
      </c>
      <c r="L494" s="8">
        <f ca="1">IFERROR(__xludf.DUMMYFUNCTION("""COMPUTED_VALUE"""),240.494732020155)</f>
        <v>240.494732020155</v>
      </c>
      <c r="M494" s="96">
        <f ca="1">IFERROR(__xludf.DUMMYFUNCTION("""COMPUTED_VALUE"""),44389)</f>
        <v>44389</v>
      </c>
      <c r="N494" s="6" t="str">
        <f ca="1">IFERROR(__xludf.DUMMYFUNCTION("""COMPUTED_VALUE"""),"S10")</f>
        <v>S10</v>
      </c>
      <c r="O494" s="97">
        <f ca="1">IFERROR(__xludf.DUMMYFUNCTION("""COMPUTED_VALUE"""),44389)</f>
        <v>44389</v>
      </c>
      <c r="P494" s="6" t="str">
        <f ca="1">IFERROR(__xludf.DUMMYFUNCTION("""COMPUTED_VALUE"""),"CSTM_35WWT352283")</f>
        <v>CSTM_35WWT352283</v>
      </c>
      <c r="Q494" s="6" t="str">
        <f ca="1">IFERROR(__xludf.DUMMYFUNCTION("""COMPUTED_VALUE"""),"Reference by Nirlipta")</f>
        <v>Reference by Nirlipta</v>
      </c>
      <c r="R494" s="6" t="str">
        <f ca="1">IFERROR(__xludf.DUMMYFUNCTION("""COMPUTED_VALUE"""),"Done. Good feedback.")</f>
        <v>Done. Good feedback.</v>
      </c>
      <c r="S494" s="6" t="str">
        <f ca="1">IFERROR(__xludf.DUMMYFUNCTION("""COMPUTED_VALUE"""),"Category")</f>
        <v>Category</v>
      </c>
      <c r="T494" s="6"/>
      <c r="U494" s="6"/>
      <c r="V494" s="6"/>
      <c r="W494" s="6"/>
      <c r="X494" s="6"/>
      <c r="Y494" s="6"/>
      <c r="Z494" s="6"/>
      <c r="AA494" s="6"/>
      <c r="AB494" s="6"/>
      <c r="AC494" s="6"/>
      <c r="AD494" s="6"/>
      <c r="AE494" s="6"/>
      <c r="AF494" s="6"/>
      <c r="AG494" s="6"/>
      <c r="AH494" s="6"/>
      <c r="AI494" s="6"/>
      <c r="AJ494" s="6"/>
      <c r="AK494" s="6"/>
      <c r="AL494" s="6"/>
    </row>
    <row r="495" spans="1:38">
      <c r="A495" s="96">
        <f ca="1">IFERROR(__xludf.DUMMYFUNCTION("""COMPUTED_VALUE"""),44390)</f>
        <v>44390</v>
      </c>
      <c r="B495" s="6" t="str">
        <f ca="1">IFERROR(__xludf.DUMMYFUNCTION("""COMPUTED_VALUE"""),"Shankar")</f>
        <v>Shankar</v>
      </c>
      <c r="C495" s="6" t="str">
        <f ca="1">IFERROR(__xludf.DUMMYFUNCTION("""COMPUTED_VALUE"""),"selvaraj.shankar@schneider-electric.com/ shankar.shankar17@gmail.com")</f>
        <v>selvaraj.shankar@schneider-electric.com/ shankar.shankar17@gmail.com</v>
      </c>
      <c r="D495" s="6">
        <f ca="1">IFERROR(__xludf.DUMMYFUNCTION("""COMPUTED_VALUE"""),9845975767)</f>
        <v>9845975767</v>
      </c>
      <c r="E495" s="6" t="str">
        <f ca="1">IFERROR(__xludf.DUMMYFUNCTION("""COMPUTED_VALUE"""),"Reference")</f>
        <v>Reference</v>
      </c>
      <c r="F495" s="6" t="str">
        <f ca="1">IFERROR(__xludf.DUMMYFUNCTION("""COMPUTED_VALUE"""),"PSM")</f>
        <v>PSM</v>
      </c>
      <c r="G495" s="80">
        <f ca="1">IFERROR(__xludf.DUMMYFUNCTION("""COMPUTED_VALUE"""),44378)</f>
        <v>44378</v>
      </c>
      <c r="H495" s="6" t="str">
        <f ca="1">IFERROR(__xludf.DUMMYFUNCTION("""COMPUTED_VALUE"""),"Won")</f>
        <v>Won</v>
      </c>
      <c r="I495" s="6" t="str">
        <f ca="1">IFERROR(__xludf.DUMMYFUNCTION("""COMPUTED_VALUE"""),"17-18 July 2021")</f>
        <v>17-18 July 2021</v>
      </c>
      <c r="J495" s="6">
        <f ca="1">IFERROR(__xludf.DUMMYFUNCTION("""COMPUTED_VALUE"""),1)</f>
        <v>1</v>
      </c>
      <c r="K495" s="8">
        <f ca="1">IFERROR(__xludf.DUMMYFUNCTION("""COMPUTED_VALUE"""),21000)</f>
        <v>21000</v>
      </c>
      <c r="L495" s="8">
        <f ca="1">IFERROR(__xludf.DUMMYFUNCTION("""COMPUTED_VALUE"""),240.494732020155)</f>
        <v>240.494732020155</v>
      </c>
      <c r="M495" s="96">
        <f ca="1">IFERROR(__xludf.DUMMYFUNCTION("""COMPUTED_VALUE"""),44390)</f>
        <v>44390</v>
      </c>
      <c r="N495" s="6" t="str">
        <f ca="1">IFERROR(__xludf.DUMMYFUNCTION("""COMPUTED_VALUE"""),"S10")</f>
        <v>S10</v>
      </c>
      <c r="O495" s="97">
        <f ca="1">IFERROR(__xludf.DUMMYFUNCTION("""COMPUTED_VALUE"""),44390)</f>
        <v>44390</v>
      </c>
      <c r="P495" s="6" t="str">
        <f ca="1">IFERROR(__xludf.DUMMYFUNCTION("""COMPUTED_VALUE"""),"CSTM_2QTZWPN2EEJ")</f>
        <v>CSTM_2QTZWPN2EEJ</v>
      </c>
      <c r="Q495" s="6" t="str">
        <f ca="1">IFERROR(__xludf.DUMMYFUNCTION("""COMPUTED_VALUE"""),"Reference by Rashmint")</f>
        <v>Reference by Rashmint</v>
      </c>
      <c r="R495" s="6" t="str">
        <f ca="1">IFERROR(__xludf.DUMMYFUNCTION("""COMPUTED_VALUE"""),"Done. Good feedback.")</f>
        <v>Done. Good feedback.</v>
      </c>
      <c r="S495" s="6" t="str">
        <f ca="1">IFERROR(__xludf.DUMMYFUNCTION("""COMPUTED_VALUE"""),"Category")</f>
        <v>Category</v>
      </c>
      <c r="T495" s="6"/>
      <c r="U495" s="6"/>
      <c r="V495" s="6"/>
      <c r="W495" s="6"/>
      <c r="X495" s="6"/>
      <c r="Y495" s="6"/>
      <c r="Z495" s="6"/>
      <c r="AA495" s="6"/>
      <c r="AB495" s="6"/>
      <c r="AC495" s="6"/>
      <c r="AD495" s="6"/>
      <c r="AE495" s="6"/>
      <c r="AF495" s="6"/>
      <c r="AG495" s="6"/>
      <c r="AH495" s="6"/>
      <c r="AI495" s="6"/>
      <c r="AJ495" s="6"/>
      <c r="AK495" s="6"/>
      <c r="AL495" s="6"/>
    </row>
    <row r="496" spans="1:38">
      <c r="A496" s="96">
        <f ca="1">IFERROR(__xludf.DUMMYFUNCTION("""COMPUTED_VALUE"""),44390)</f>
        <v>44390</v>
      </c>
      <c r="B496" s="6" t="str">
        <f ca="1">IFERROR(__xludf.DUMMYFUNCTION("""COMPUTED_VALUE"""),"Goutham Devaraj")</f>
        <v>Goutham Devaraj</v>
      </c>
      <c r="C496" s="6" t="str">
        <f ca="1">IFERROR(__xludf.DUMMYFUNCTION("""COMPUTED_VALUE"""),"goutham.devaraj023@gmail.com/ gouth23@gmail.com")</f>
        <v>goutham.devaraj023@gmail.com/ gouth23@gmail.com</v>
      </c>
      <c r="D496" s="6">
        <f ca="1">IFERROR(__xludf.DUMMYFUNCTION("""COMPUTED_VALUE"""),9894223939)</f>
        <v>9894223939</v>
      </c>
      <c r="E496" s="6" t="str">
        <f ca="1">IFERROR(__xludf.DUMMYFUNCTION("""COMPUTED_VALUE"""),"Reference")</f>
        <v>Reference</v>
      </c>
      <c r="F496" s="6" t="str">
        <f ca="1">IFERROR(__xludf.DUMMYFUNCTION("""COMPUTED_VALUE"""),"CSM")</f>
        <v>CSM</v>
      </c>
      <c r="G496" s="80">
        <f ca="1">IFERROR(__xludf.DUMMYFUNCTION("""COMPUTED_VALUE"""),44378)</f>
        <v>44378</v>
      </c>
      <c r="H496" s="6" t="str">
        <f ca="1">IFERROR(__xludf.DUMMYFUNCTION("""COMPUTED_VALUE"""),"Won")</f>
        <v>Won</v>
      </c>
      <c r="I496" s="6" t="str">
        <f ca="1">IFERROR(__xludf.DUMMYFUNCTION("""COMPUTED_VALUE"""),"14-15 Aug 2021")</f>
        <v>14-15 Aug 2021</v>
      </c>
      <c r="J496" s="6">
        <f ca="1">IFERROR(__xludf.DUMMYFUNCTION("""COMPUTED_VALUE"""),1)</f>
        <v>1</v>
      </c>
      <c r="K496" s="8">
        <f ca="1">IFERROR(__xludf.DUMMYFUNCTION("""COMPUTED_VALUE"""),18500)</f>
        <v>18500</v>
      </c>
      <c r="L496" s="8">
        <f ca="1">IFERROR(__xludf.DUMMYFUNCTION("""COMPUTED_VALUE"""),211.864406779661)</f>
        <v>211.86440677966101</v>
      </c>
      <c r="M496" s="96">
        <f ca="1">IFERROR(__xludf.DUMMYFUNCTION("""COMPUTED_VALUE"""),44390)</f>
        <v>44390</v>
      </c>
      <c r="N496" s="6" t="str">
        <f ca="1">IFERROR(__xludf.DUMMYFUNCTION("""COMPUTED_VALUE"""),"S10")</f>
        <v>S10</v>
      </c>
      <c r="O496" s="97">
        <f ca="1">IFERROR(__xludf.DUMMYFUNCTION("""COMPUTED_VALUE"""),44390)</f>
        <v>44390</v>
      </c>
      <c r="P496" s="6" t="str">
        <f ca="1">IFERROR(__xludf.DUMMYFUNCTION("""COMPUTED_VALUE"""),"CSTM_4UJ38IUTUQP")</f>
        <v>CSTM_4UJ38IUTUQP</v>
      </c>
      <c r="Q496" s="6" t="str">
        <f ca="1">IFERROR(__xludf.DUMMYFUNCTION("""COMPUTED_VALUE"""),"Aurko - Goutham itself - alternative email id scene")</f>
        <v>Aurko - Goutham itself - alternative email id scene</v>
      </c>
      <c r="R496" s="6" t="str">
        <f ca="1">IFERROR(__xludf.DUMMYFUNCTION("""COMPUTED_VALUE"""),"Pending")</f>
        <v>Pending</v>
      </c>
      <c r="S496" s="6" t="str">
        <f ca="1">IFERROR(__xludf.DUMMYFUNCTION("""COMPUTED_VALUE"""),"Category")</f>
        <v>Category</v>
      </c>
      <c r="T496" s="6"/>
      <c r="U496" s="6"/>
      <c r="V496" s="6"/>
      <c r="W496" s="6"/>
      <c r="X496" s="6"/>
      <c r="Y496" s="6"/>
      <c r="Z496" s="6"/>
      <c r="AA496" s="6"/>
      <c r="AB496" s="6"/>
      <c r="AC496" s="6"/>
      <c r="AD496" s="6"/>
      <c r="AE496" s="6"/>
      <c r="AF496" s="6"/>
      <c r="AG496" s="6"/>
      <c r="AH496" s="6"/>
      <c r="AI496" s="6"/>
      <c r="AJ496" s="6"/>
      <c r="AK496" s="6"/>
      <c r="AL496" s="6"/>
    </row>
    <row r="497" spans="1:38">
      <c r="A497" s="96">
        <f ca="1">IFERROR(__xludf.DUMMYFUNCTION("""COMPUTED_VALUE"""),44391)</f>
        <v>44391</v>
      </c>
      <c r="B497" s="6" t="str">
        <f ca="1">IFERROR(__xludf.DUMMYFUNCTION("""COMPUTED_VALUE"""),"Suganya Kailasam")</f>
        <v>Suganya Kailasam</v>
      </c>
      <c r="C497" s="6" t="str">
        <f ca="1">IFERROR(__xludf.DUMMYFUNCTION("""COMPUTED_VALUE"""),"suganya.kailasam@gmail.com")</f>
        <v>suganya.kailasam@gmail.com</v>
      </c>
      <c r="D497" s="6">
        <f ca="1">IFERROR(__xludf.DUMMYFUNCTION("""COMPUTED_VALUE"""),7899244676)</f>
        <v>7899244676</v>
      </c>
      <c r="E497" s="6" t="str">
        <f ca="1">IFERROR(__xludf.DUMMYFUNCTION("""COMPUTED_VALUE"""),"Reference")</f>
        <v>Reference</v>
      </c>
      <c r="F497" s="6" t="str">
        <f ca="1">IFERROR(__xludf.DUMMYFUNCTION("""COMPUTED_VALUE"""),"PSM")</f>
        <v>PSM</v>
      </c>
      <c r="G497" s="80">
        <f ca="1">IFERROR(__xludf.DUMMYFUNCTION("""COMPUTED_VALUE"""),44378)</f>
        <v>44378</v>
      </c>
      <c r="H497" s="6" t="str">
        <f ca="1">IFERROR(__xludf.DUMMYFUNCTION("""COMPUTED_VALUE"""),"Won")</f>
        <v>Won</v>
      </c>
      <c r="I497" s="6" t="str">
        <f ca="1">IFERROR(__xludf.DUMMYFUNCTION("""COMPUTED_VALUE"""),"17-18 July 2021")</f>
        <v>17-18 July 2021</v>
      </c>
      <c r="J497" s="6">
        <f ca="1">IFERROR(__xludf.DUMMYFUNCTION("""COMPUTED_VALUE"""),1)</f>
        <v>1</v>
      </c>
      <c r="K497" s="8">
        <f ca="1">IFERROR(__xludf.DUMMYFUNCTION("""COMPUTED_VALUE"""),21000)</f>
        <v>21000</v>
      </c>
      <c r="L497" s="8">
        <f ca="1">IFERROR(__xludf.DUMMYFUNCTION("""COMPUTED_VALUE"""),240.494732020155)</f>
        <v>240.494732020155</v>
      </c>
      <c r="M497" s="96">
        <f ca="1">IFERROR(__xludf.DUMMYFUNCTION("""COMPUTED_VALUE"""),44391)</f>
        <v>44391</v>
      </c>
      <c r="N497" s="6" t="str">
        <f ca="1">IFERROR(__xludf.DUMMYFUNCTION("""COMPUTED_VALUE"""),"S10")</f>
        <v>S10</v>
      </c>
      <c r="O497" s="97">
        <f ca="1">IFERROR(__xludf.DUMMYFUNCTION("""COMPUTED_VALUE"""),44391)</f>
        <v>44391</v>
      </c>
      <c r="P497" s="6" t="str">
        <f ca="1">IFERROR(__xludf.DUMMYFUNCTION("""COMPUTED_VALUE"""),"CSTM_H9Z81SV0U1B")</f>
        <v>CSTM_H9Z81SV0U1B</v>
      </c>
      <c r="Q497" s="6" t="str">
        <f ca="1">IFERROR(__xludf.DUMMYFUNCTION("""COMPUTED_VALUE"""),"Reference by Hariharan")</f>
        <v>Reference by Hariharan</v>
      </c>
      <c r="R497" s="6" t="str">
        <f ca="1">IFERROR(__xludf.DUMMYFUNCTION("""COMPUTED_VALUE"""),"Pending")</f>
        <v>Pending</v>
      </c>
      <c r="S497" s="6" t="str">
        <f ca="1">IFERROR(__xludf.DUMMYFUNCTION("""COMPUTED_VALUE"""),"Category")</f>
        <v>Category</v>
      </c>
      <c r="T497" s="6"/>
      <c r="U497" s="6"/>
      <c r="V497" s="6"/>
      <c r="W497" s="6"/>
      <c r="X497" s="6"/>
      <c r="Y497" s="6"/>
      <c r="Z497" s="6"/>
      <c r="AA497" s="6"/>
      <c r="AB497" s="6"/>
      <c r="AC497" s="6"/>
      <c r="AD497" s="6"/>
      <c r="AE497" s="6"/>
      <c r="AF497" s="6"/>
      <c r="AG497" s="6"/>
      <c r="AH497" s="6"/>
      <c r="AI497" s="6"/>
      <c r="AJ497" s="6"/>
      <c r="AK497" s="6"/>
      <c r="AL497" s="6"/>
    </row>
    <row r="498" spans="1:38">
      <c r="A498" s="96">
        <f ca="1">IFERROR(__xludf.DUMMYFUNCTION("""COMPUTED_VALUE"""),44392)</f>
        <v>44392</v>
      </c>
      <c r="B498" s="6" t="str">
        <f ca="1">IFERROR(__xludf.DUMMYFUNCTION("""COMPUTED_VALUE"""),"Vinod AK")</f>
        <v>Vinod AK</v>
      </c>
      <c r="C498" s="6" t="str">
        <f ca="1">IFERROR(__xludf.DUMMYFUNCTION("""COMPUTED_VALUE"""),"vinodak@gmail.com")</f>
        <v>vinodak@gmail.com</v>
      </c>
      <c r="D498" s="6">
        <f ca="1">IFERROR(__xludf.DUMMYFUNCTION("""COMPUTED_VALUE"""),9945522115)</f>
        <v>9945522115</v>
      </c>
      <c r="E498" s="6" t="str">
        <f ca="1">IFERROR(__xludf.DUMMYFUNCTION("""COMPUTED_VALUE"""),"Query box")</f>
        <v>Query box</v>
      </c>
      <c r="F498" s="6" t="str">
        <f ca="1">IFERROR(__xludf.DUMMYFUNCTION("""COMPUTED_VALUE"""),"ICP-ACC")</f>
        <v>ICP-ACC</v>
      </c>
      <c r="G498" s="80">
        <f ca="1">IFERROR(__xludf.DUMMYFUNCTION("""COMPUTED_VALUE"""),44378)</f>
        <v>44378</v>
      </c>
      <c r="H498" s="6" t="str">
        <f ca="1">IFERROR(__xludf.DUMMYFUNCTION("""COMPUTED_VALUE"""),"Won")</f>
        <v>Won</v>
      </c>
      <c r="I498" s="6" t="str">
        <f ca="1">IFERROR(__xludf.DUMMYFUNCTION("""COMPUTED_VALUE"""),"16-18 July 2021")</f>
        <v>16-18 July 2021</v>
      </c>
      <c r="J498" s="6">
        <f ca="1">IFERROR(__xludf.DUMMYFUNCTION("""COMPUTED_VALUE"""),1)</f>
        <v>1</v>
      </c>
      <c r="K498" s="8">
        <f ca="1">IFERROR(__xludf.DUMMYFUNCTION("""COMPUTED_VALUE"""),31000)</f>
        <v>31000</v>
      </c>
      <c r="L498" s="8">
        <f ca="1">IFERROR(__xludf.DUMMYFUNCTION("""COMPUTED_VALUE"""),355.016032982134)</f>
        <v>355.01603298213399</v>
      </c>
      <c r="M498" s="96">
        <f ca="1">IFERROR(__xludf.DUMMYFUNCTION("""COMPUTED_VALUE"""),44392)</f>
        <v>44392</v>
      </c>
      <c r="N498" s="6" t="str">
        <f ca="1">IFERROR(__xludf.DUMMYFUNCTION("""COMPUTED_VALUE"""),"S10")</f>
        <v>S10</v>
      </c>
      <c r="O498" s="97">
        <f ca="1">IFERROR(__xludf.DUMMYFUNCTION("""COMPUTED_VALUE"""),44392)</f>
        <v>44392</v>
      </c>
      <c r="P498" s="6" t="str">
        <f ca="1">IFERROR(__xludf.DUMMYFUNCTION("""COMPUTED_VALUE"""),"CSTM_7TBJ0FLAOJ6")</f>
        <v>CSTM_7TBJ0FLAOJ6</v>
      </c>
      <c r="Q498" s="6"/>
      <c r="R498" s="6" t="str">
        <f ca="1">IFERROR(__xludf.DUMMYFUNCTION("""COMPUTED_VALUE"""),"Pending")</f>
        <v>Pending</v>
      </c>
      <c r="S498" s="6" t="str">
        <f ca="1">IFERROR(__xludf.DUMMYFUNCTION("""COMPUTED_VALUE"""),"Category")</f>
        <v>Category</v>
      </c>
      <c r="T498" s="6"/>
      <c r="U498" s="6"/>
      <c r="V498" s="6"/>
      <c r="W498" s="6"/>
      <c r="X498" s="6"/>
      <c r="Y498" s="6"/>
      <c r="Z498" s="6"/>
      <c r="AA498" s="6"/>
      <c r="AB498" s="6"/>
      <c r="AC498" s="6"/>
      <c r="AD498" s="6"/>
      <c r="AE498" s="6"/>
      <c r="AF498" s="6"/>
      <c r="AG498" s="6"/>
      <c r="AH498" s="6"/>
      <c r="AI498" s="6"/>
      <c r="AJ498" s="6"/>
      <c r="AK498" s="6"/>
      <c r="AL498" s="6"/>
    </row>
    <row r="499" spans="1:38">
      <c r="A499" s="96">
        <f ca="1">IFERROR(__xludf.DUMMYFUNCTION("""COMPUTED_VALUE"""),44392)</f>
        <v>44392</v>
      </c>
      <c r="B499" s="6" t="str">
        <f ca="1">IFERROR(__xludf.DUMMYFUNCTION("""COMPUTED_VALUE"""),"Satish")</f>
        <v>Satish</v>
      </c>
      <c r="C499" s="6" t="str">
        <f ca="1">IFERROR(__xludf.DUMMYFUNCTION("""COMPUTED_VALUE"""),"sateesh.a4u@gmail.com")</f>
        <v>sateesh.a4u@gmail.com</v>
      </c>
      <c r="D499" s="6">
        <f ca="1">IFERROR(__xludf.DUMMYFUNCTION("""COMPUTED_VALUE"""),9840430506)</f>
        <v>9840430506</v>
      </c>
      <c r="E499" s="6" t="str">
        <f ca="1">IFERROR(__xludf.DUMMYFUNCTION("""COMPUTED_VALUE"""),"course agenda")</f>
        <v>course agenda</v>
      </c>
      <c r="F499" s="6" t="str">
        <f ca="1">IFERROR(__xludf.DUMMYFUNCTION("""COMPUTED_VALUE"""),"SAFe Agile")</f>
        <v>SAFe Agile</v>
      </c>
      <c r="G499" s="80">
        <f ca="1">IFERROR(__xludf.DUMMYFUNCTION("""COMPUTED_VALUE"""),44378)</f>
        <v>44378</v>
      </c>
      <c r="H499" s="6" t="str">
        <f ca="1">IFERROR(__xludf.DUMMYFUNCTION("""COMPUTED_VALUE"""),"Won")</f>
        <v>Won</v>
      </c>
      <c r="I499" s="6" t="str">
        <f ca="1">IFERROR(__xludf.DUMMYFUNCTION("""COMPUTED_VALUE"""),"24-25 July 2021")</f>
        <v>24-25 July 2021</v>
      </c>
      <c r="J499" s="6">
        <f ca="1">IFERROR(__xludf.DUMMYFUNCTION("""COMPUTED_VALUE"""),1)</f>
        <v>1</v>
      </c>
      <c r="K499" s="8">
        <f ca="1">IFERROR(__xludf.DUMMYFUNCTION("""COMPUTED_VALUE"""),46000)</f>
        <v>46000</v>
      </c>
      <c r="L499" s="8">
        <f ca="1">IFERROR(__xludf.DUMMYFUNCTION("""COMPUTED_VALUE"""),526.797984425103)</f>
        <v>526.79798442510298</v>
      </c>
      <c r="M499" s="96">
        <f ca="1">IFERROR(__xludf.DUMMYFUNCTION("""COMPUTED_VALUE"""),44392)</f>
        <v>44392</v>
      </c>
      <c r="N499" s="6" t="str">
        <f ca="1">IFERROR(__xludf.DUMMYFUNCTION("""COMPUTED_VALUE"""),"S10")</f>
        <v>S10</v>
      </c>
      <c r="O499" s="97">
        <f ca="1">IFERROR(__xludf.DUMMYFUNCTION("""COMPUTED_VALUE"""),44392)</f>
        <v>44392</v>
      </c>
      <c r="P499" s="6" t="str">
        <f ca="1">IFERROR(__xludf.DUMMYFUNCTION("""COMPUTED_VALUE"""),"CSTM_DZWO8MKG9O6")</f>
        <v>CSTM_DZWO8MKG9O6</v>
      </c>
      <c r="Q499" s="6"/>
      <c r="R499" s="6" t="str">
        <f ca="1">IFERROR(__xludf.DUMMYFUNCTION("""COMPUTED_VALUE"""),"Done. Good feedback.")</f>
        <v>Done. Good feedback.</v>
      </c>
      <c r="S499" s="6" t="str">
        <f ca="1">IFERROR(__xludf.DUMMYFUNCTION("""COMPUTED_VALUE"""),"SAFe")</f>
        <v>SAFe</v>
      </c>
      <c r="T499" s="6"/>
      <c r="U499" s="6"/>
      <c r="V499" s="6"/>
      <c r="W499" s="6"/>
      <c r="X499" s="6"/>
      <c r="Y499" s="6"/>
      <c r="Z499" s="6"/>
      <c r="AA499" s="6"/>
      <c r="AB499" s="6"/>
      <c r="AC499" s="6"/>
      <c r="AD499" s="6"/>
      <c r="AE499" s="6"/>
      <c r="AF499" s="6"/>
      <c r="AG499" s="6"/>
      <c r="AH499" s="6"/>
      <c r="AI499" s="6"/>
      <c r="AJ499" s="6"/>
      <c r="AK499" s="6"/>
      <c r="AL499" s="6"/>
    </row>
    <row r="500" spans="1:38">
      <c r="A500" s="96">
        <f ca="1">IFERROR(__xludf.DUMMYFUNCTION("""COMPUTED_VALUE"""),44393)</f>
        <v>44393</v>
      </c>
      <c r="B500" s="6" t="str">
        <f ca="1">IFERROR(__xludf.DUMMYFUNCTION("""COMPUTED_VALUE"""),"Payel")</f>
        <v>Payel</v>
      </c>
      <c r="C500" s="6" t="str">
        <f ca="1">IFERROR(__xludf.DUMMYFUNCTION("""COMPUTED_VALUE"""),"payelaich03@gmail.com")</f>
        <v>payelaich03@gmail.com</v>
      </c>
      <c r="D500" s="6">
        <f ca="1">IFERROR(__xludf.DUMMYFUNCTION("""COMPUTED_VALUE"""),9901977148)</f>
        <v>9901977148</v>
      </c>
      <c r="E500" s="6" t="str">
        <f ca="1">IFERROR(__xludf.DUMMYFUNCTION("""COMPUTED_VALUE"""),"Reference")</f>
        <v>Reference</v>
      </c>
      <c r="F500" s="6" t="str">
        <f ca="1">IFERROR(__xludf.DUMMYFUNCTION("""COMPUTED_VALUE"""),"CSPO")</f>
        <v>CSPO</v>
      </c>
      <c r="G500" s="80">
        <f ca="1">IFERROR(__xludf.DUMMYFUNCTION("""COMPUTED_VALUE"""),44378)</f>
        <v>44378</v>
      </c>
      <c r="H500" s="6" t="str">
        <f ca="1">IFERROR(__xludf.DUMMYFUNCTION("""COMPUTED_VALUE"""),"Won")</f>
        <v>Won</v>
      </c>
      <c r="I500" s="6" t="str">
        <f ca="1">IFERROR(__xludf.DUMMYFUNCTION("""COMPUTED_VALUE"""),"7-8 Aug 2021")</f>
        <v>7-8 Aug 2021</v>
      </c>
      <c r="J500" s="6">
        <f ca="1">IFERROR(__xludf.DUMMYFUNCTION("""COMPUTED_VALUE"""),1)</f>
        <v>1</v>
      </c>
      <c r="K500" s="8">
        <f ca="1">IFERROR(__xludf.DUMMYFUNCTION("""COMPUTED_VALUE"""),19000)</f>
        <v>19000</v>
      </c>
      <c r="L500" s="8">
        <f ca="1">IFERROR(__xludf.DUMMYFUNCTION("""COMPUTED_VALUE"""),217.590471827759)</f>
        <v>217.59047182775899</v>
      </c>
      <c r="M500" s="96">
        <f ca="1">IFERROR(__xludf.DUMMYFUNCTION("""COMPUTED_VALUE"""),44393)</f>
        <v>44393</v>
      </c>
      <c r="N500" s="6" t="str">
        <f ca="1">IFERROR(__xludf.DUMMYFUNCTION("""COMPUTED_VALUE"""),"S10")</f>
        <v>S10</v>
      </c>
      <c r="O500" s="97">
        <f ca="1">IFERROR(__xludf.DUMMYFUNCTION("""COMPUTED_VALUE"""),44393)</f>
        <v>44393</v>
      </c>
      <c r="P500" s="6" t="str">
        <f ca="1">IFERROR(__xludf.DUMMYFUNCTION("""COMPUTED_VALUE"""),"CSTM_I1357VHQHMS")</f>
        <v>CSTM_I1357VHQHMS</v>
      </c>
      <c r="Q500" s="6" t="str">
        <f ca="1">IFERROR(__xludf.DUMMYFUNCTION("""COMPUTED_VALUE"""),"Keerti")</f>
        <v>Keerti</v>
      </c>
      <c r="R500" s="6" t="str">
        <f ca="1">IFERROR(__xludf.DUMMYFUNCTION("""COMPUTED_VALUE"""),"Done. Good feedback.")</f>
        <v>Done. Good feedback.</v>
      </c>
      <c r="S500" s="6" t="str">
        <f ca="1">IFERROR(__xludf.DUMMYFUNCTION("""COMPUTED_VALUE"""),"Category")</f>
        <v>Category</v>
      </c>
      <c r="T500" s="6"/>
      <c r="U500" s="6"/>
      <c r="V500" s="6"/>
      <c r="W500" s="6"/>
      <c r="X500" s="6"/>
      <c r="Y500" s="6"/>
      <c r="Z500" s="6"/>
      <c r="AA500" s="6"/>
      <c r="AB500" s="6"/>
      <c r="AC500" s="6"/>
      <c r="AD500" s="6"/>
      <c r="AE500" s="6"/>
      <c r="AF500" s="6"/>
      <c r="AG500" s="6"/>
      <c r="AH500" s="6"/>
      <c r="AI500" s="6"/>
      <c r="AJ500" s="6"/>
      <c r="AK500" s="6"/>
      <c r="AL500" s="6"/>
    </row>
    <row r="501" spans="1:38">
      <c r="A501" s="96">
        <f ca="1">IFERROR(__xludf.DUMMYFUNCTION("""COMPUTED_VALUE"""),44396)</f>
        <v>44396</v>
      </c>
      <c r="B501" s="6" t="str">
        <f ca="1">IFERROR(__xludf.DUMMYFUNCTION("""COMPUTED_VALUE"""),"Sarish Nair")</f>
        <v>Sarish Nair</v>
      </c>
      <c r="C501" s="6" t="str">
        <f ca="1">IFERROR(__xludf.DUMMYFUNCTION("""COMPUTED_VALUE"""),"sarish.nair@gmail.com")</f>
        <v>sarish.nair@gmail.com</v>
      </c>
      <c r="D501" s="6">
        <f ca="1">IFERROR(__xludf.DUMMYFUNCTION("""COMPUTED_VALUE"""),9819611054)</f>
        <v>9819611054</v>
      </c>
      <c r="E501" s="6" t="str">
        <f ca="1">IFERROR(__xludf.DUMMYFUNCTION("""COMPUTED_VALUE"""),"Reference")</f>
        <v>Reference</v>
      </c>
      <c r="F501" s="6" t="str">
        <f ca="1">IFERROR(__xludf.DUMMYFUNCTION("""COMPUTED_VALUE"""),"CSM")</f>
        <v>CSM</v>
      </c>
      <c r="G501" s="80">
        <f ca="1">IFERROR(__xludf.DUMMYFUNCTION("""COMPUTED_VALUE"""),44378)</f>
        <v>44378</v>
      </c>
      <c r="H501" s="6" t="str">
        <f ca="1">IFERROR(__xludf.DUMMYFUNCTION("""COMPUTED_VALUE"""),"Won")</f>
        <v>Won</v>
      </c>
      <c r="I501" s="6" t="str">
        <f ca="1">IFERROR(__xludf.DUMMYFUNCTION("""COMPUTED_VALUE"""),"26-28 July 2021")</f>
        <v>26-28 July 2021</v>
      </c>
      <c r="J501" s="6">
        <f ca="1">IFERROR(__xludf.DUMMYFUNCTION("""COMPUTED_VALUE"""),1)</f>
        <v>1</v>
      </c>
      <c r="K501" s="8">
        <f ca="1">IFERROR(__xludf.DUMMYFUNCTION("""COMPUTED_VALUE"""),20000)</f>
        <v>20000</v>
      </c>
      <c r="L501" s="8">
        <f ca="1">IFERROR(__xludf.DUMMYFUNCTION("""COMPUTED_VALUE"""),229.042601923957)</f>
        <v>229.04260192395699</v>
      </c>
      <c r="M501" s="96">
        <f ca="1">IFERROR(__xludf.DUMMYFUNCTION("""COMPUTED_VALUE"""),44396)</f>
        <v>44396</v>
      </c>
      <c r="N501" s="6" t="str">
        <f ca="1">IFERROR(__xludf.DUMMYFUNCTION("""COMPUTED_VALUE"""),"S10")</f>
        <v>S10</v>
      </c>
      <c r="O501" s="97">
        <f ca="1">IFERROR(__xludf.DUMMYFUNCTION("""COMPUTED_VALUE"""),44396)</f>
        <v>44396</v>
      </c>
      <c r="P501" s="6" t="str">
        <f ca="1">IFERROR(__xludf.DUMMYFUNCTION("""COMPUTED_VALUE"""),"CSTM_FJU3C0FEGDX")</f>
        <v>CSTM_FJU3C0FEGDX</v>
      </c>
      <c r="Q501" s="6" t="str">
        <f ca="1">IFERROR(__xludf.DUMMYFUNCTION("""COMPUTED_VALUE"""),"Reference by Praveen Nair")</f>
        <v>Reference by Praveen Nair</v>
      </c>
      <c r="R501" s="6" t="str">
        <f ca="1">IFERROR(__xludf.DUMMYFUNCTION("""COMPUTED_VALUE"""),"Pending")</f>
        <v>Pending</v>
      </c>
      <c r="S501" s="6" t="str">
        <f ca="1">IFERROR(__xludf.DUMMYFUNCTION("""COMPUTED_VALUE"""),"Category")</f>
        <v>Category</v>
      </c>
      <c r="T501" s="6"/>
      <c r="U501" s="6"/>
      <c r="V501" s="6"/>
      <c r="W501" s="6"/>
      <c r="X501" s="6"/>
      <c r="Y501" s="6"/>
      <c r="Z501" s="6"/>
      <c r="AA501" s="6"/>
      <c r="AB501" s="6"/>
      <c r="AC501" s="6"/>
      <c r="AD501" s="6"/>
      <c r="AE501" s="6"/>
      <c r="AF501" s="6"/>
      <c r="AG501" s="6"/>
      <c r="AH501" s="6"/>
      <c r="AI501" s="6"/>
      <c r="AJ501" s="6"/>
      <c r="AK501" s="6"/>
      <c r="AL501" s="6"/>
    </row>
    <row r="502" spans="1:38">
      <c r="A502" s="96">
        <f ca="1">IFERROR(__xludf.DUMMYFUNCTION("""COMPUTED_VALUE"""),44396)</f>
        <v>44396</v>
      </c>
      <c r="B502" s="6" t="str">
        <f ca="1">IFERROR(__xludf.DUMMYFUNCTION("""COMPUTED_VALUE"""),"Snigdha Das")</f>
        <v>Snigdha Das</v>
      </c>
      <c r="C502" s="6" t="str">
        <f ca="1">IFERROR(__xludf.DUMMYFUNCTION("""COMPUTED_VALUE"""),"snigdhadas8111@gmail.com")</f>
        <v>snigdhadas8111@gmail.com</v>
      </c>
      <c r="D502" s="6">
        <f ca="1">IFERROR(__xludf.DUMMYFUNCTION("""COMPUTED_VALUE"""),9741861001)</f>
        <v>9741861001</v>
      </c>
      <c r="E502" s="6" t="str">
        <f ca="1">IFERROR(__xludf.DUMMYFUNCTION("""COMPUTED_VALUE"""),"Query box")</f>
        <v>Query box</v>
      </c>
      <c r="F502" s="6" t="str">
        <f ca="1">IFERROR(__xludf.DUMMYFUNCTION("""COMPUTED_VALUE"""),"PSM")</f>
        <v>PSM</v>
      </c>
      <c r="G502" s="80">
        <f ca="1">IFERROR(__xludf.DUMMYFUNCTION("""COMPUTED_VALUE"""),44378)</f>
        <v>44378</v>
      </c>
      <c r="H502" s="6" t="str">
        <f ca="1">IFERROR(__xludf.DUMMYFUNCTION("""COMPUTED_VALUE"""),"Won")</f>
        <v>Won</v>
      </c>
      <c r="I502" s="6" t="str">
        <f ca="1">IFERROR(__xludf.DUMMYFUNCTION("""COMPUTED_VALUE"""),"7-8 Aug 2021")</f>
        <v>7-8 Aug 2021</v>
      </c>
      <c r="J502" s="6">
        <f ca="1">IFERROR(__xludf.DUMMYFUNCTION("""COMPUTED_VALUE"""),1)</f>
        <v>1</v>
      </c>
      <c r="K502" s="8">
        <f ca="1">IFERROR(__xludf.DUMMYFUNCTION("""COMPUTED_VALUE"""),21000)</f>
        <v>21000</v>
      </c>
      <c r="L502" s="8">
        <f ca="1">IFERROR(__xludf.DUMMYFUNCTION("""COMPUTED_VALUE"""),240.494732020155)</f>
        <v>240.494732020155</v>
      </c>
      <c r="M502" s="96">
        <f ca="1">IFERROR(__xludf.DUMMYFUNCTION("""COMPUTED_VALUE"""),44396)</f>
        <v>44396</v>
      </c>
      <c r="N502" s="6" t="str">
        <f ca="1">IFERROR(__xludf.DUMMYFUNCTION("""COMPUTED_VALUE"""),"S10")</f>
        <v>S10</v>
      </c>
      <c r="O502" s="97">
        <f ca="1">IFERROR(__xludf.DUMMYFUNCTION("""COMPUTED_VALUE"""),44396)</f>
        <v>44396</v>
      </c>
      <c r="P502" s="6" t="str">
        <f ca="1">IFERROR(__xludf.DUMMYFUNCTION("""COMPUTED_VALUE"""),"CSTM_I4EEN4NKEPA")</f>
        <v>CSTM_I4EEN4NKEPA</v>
      </c>
      <c r="Q502" s="6"/>
      <c r="R502" s="6" t="str">
        <f ca="1">IFERROR(__xludf.DUMMYFUNCTION("""COMPUTED_VALUE"""),"Done. Good feedback.")</f>
        <v>Done. Good feedback.</v>
      </c>
      <c r="S502" s="6" t="str">
        <f ca="1">IFERROR(__xludf.DUMMYFUNCTION("""COMPUTED_VALUE"""),"Category")</f>
        <v>Category</v>
      </c>
      <c r="T502" s="6"/>
      <c r="U502" s="6"/>
      <c r="V502" s="6"/>
      <c r="W502" s="6"/>
      <c r="X502" s="6"/>
      <c r="Y502" s="6"/>
      <c r="Z502" s="6"/>
      <c r="AA502" s="6"/>
      <c r="AB502" s="6"/>
      <c r="AC502" s="6"/>
      <c r="AD502" s="6"/>
      <c r="AE502" s="6"/>
      <c r="AF502" s="6"/>
      <c r="AG502" s="6"/>
      <c r="AH502" s="6"/>
      <c r="AI502" s="6"/>
      <c r="AJ502" s="6"/>
      <c r="AK502" s="6"/>
      <c r="AL502" s="6"/>
    </row>
    <row r="503" spans="1:38">
      <c r="A503" s="96">
        <f ca="1">IFERROR(__xludf.DUMMYFUNCTION("""COMPUTED_VALUE"""),44396)</f>
        <v>44396</v>
      </c>
      <c r="B503" s="6" t="str">
        <f ca="1">IFERROR(__xludf.DUMMYFUNCTION("""COMPUTED_VALUE"""),"Archana Kashyap")</f>
        <v>Archana Kashyap</v>
      </c>
      <c r="C503" s="6" t="str">
        <f ca="1">IFERROR(__xludf.DUMMYFUNCTION("""COMPUTED_VALUE"""),"arch.kashyap17@gmail.com")</f>
        <v>arch.kashyap17@gmail.com</v>
      </c>
      <c r="D503" s="6">
        <f ca="1">IFERROR(__xludf.DUMMYFUNCTION("""COMPUTED_VALUE"""),7349623296)</f>
        <v>7349623296</v>
      </c>
      <c r="E503" s="6" t="str">
        <f ca="1">IFERROR(__xludf.DUMMYFUNCTION("""COMPUTED_VALUE"""),"Chat_triggered")</f>
        <v>Chat_triggered</v>
      </c>
      <c r="F503" s="6" t="str">
        <f ca="1">IFERROR(__xludf.DUMMYFUNCTION("""COMPUTED_VALUE"""),"SAFe SSM")</f>
        <v>SAFe SSM</v>
      </c>
      <c r="G503" s="80">
        <f ca="1">IFERROR(__xludf.DUMMYFUNCTION("""COMPUTED_VALUE"""),44378)</f>
        <v>44378</v>
      </c>
      <c r="H503" s="6" t="str">
        <f ca="1">IFERROR(__xludf.DUMMYFUNCTION("""COMPUTED_VALUE"""),"Won")</f>
        <v>Won</v>
      </c>
      <c r="I503" s="6" t="str">
        <f ca="1">IFERROR(__xludf.DUMMYFUNCTION("""COMPUTED_VALUE"""),"24-25 July 2021")</f>
        <v>24-25 July 2021</v>
      </c>
      <c r="J503" s="6">
        <f ca="1">IFERROR(__xludf.DUMMYFUNCTION("""COMPUTED_VALUE"""),1)</f>
        <v>1</v>
      </c>
      <c r="K503" s="8">
        <f ca="1">IFERROR(__xludf.DUMMYFUNCTION("""COMPUTED_VALUE"""),48000)</f>
        <v>48000</v>
      </c>
      <c r="L503" s="8">
        <f ca="1">IFERROR(__xludf.DUMMYFUNCTION("""COMPUTED_VALUE"""),549.702244617498)</f>
        <v>549.70224461749797</v>
      </c>
      <c r="M503" s="96">
        <f ca="1">IFERROR(__xludf.DUMMYFUNCTION("""COMPUTED_VALUE"""),44396)</f>
        <v>44396</v>
      </c>
      <c r="N503" s="6" t="str">
        <f ca="1">IFERROR(__xludf.DUMMYFUNCTION("""COMPUTED_VALUE"""),"S10")</f>
        <v>S10</v>
      </c>
      <c r="O503" s="97">
        <f ca="1">IFERROR(__xludf.DUMMYFUNCTION("""COMPUTED_VALUE"""),44396)</f>
        <v>44396</v>
      </c>
      <c r="P503" s="6" t="str">
        <f ca="1">IFERROR(__xludf.DUMMYFUNCTION("""COMPUTED_VALUE"""),"CSTM_2GUNKHLV2A5")</f>
        <v>CSTM_2GUNKHLV2A5</v>
      </c>
      <c r="Q503" s="6"/>
      <c r="R503" s="6" t="str">
        <f ca="1">IFERROR(__xludf.DUMMYFUNCTION("""COMPUTED_VALUE"""),"Done. Good feedback.")</f>
        <v>Done. Good feedback.</v>
      </c>
      <c r="S503" s="6" t="str">
        <f ca="1">IFERROR(__xludf.DUMMYFUNCTION("""COMPUTED_VALUE"""),"SAFe")</f>
        <v>SAFe</v>
      </c>
      <c r="T503" s="6"/>
      <c r="U503" s="6"/>
      <c r="V503" s="6"/>
      <c r="W503" s="6"/>
      <c r="X503" s="6"/>
      <c r="Y503" s="6"/>
      <c r="Z503" s="6"/>
      <c r="AA503" s="6"/>
      <c r="AB503" s="6"/>
      <c r="AC503" s="6"/>
      <c r="AD503" s="6"/>
      <c r="AE503" s="6"/>
      <c r="AF503" s="6"/>
      <c r="AG503" s="6"/>
      <c r="AH503" s="6"/>
      <c r="AI503" s="6"/>
      <c r="AJ503" s="6"/>
      <c r="AK503" s="6"/>
      <c r="AL503" s="6"/>
    </row>
    <row r="504" spans="1:38">
      <c r="A504" s="96">
        <f ca="1">IFERROR(__xludf.DUMMYFUNCTION("""COMPUTED_VALUE"""),44398)</f>
        <v>44398</v>
      </c>
      <c r="B504" s="6" t="str">
        <f ca="1">IFERROR(__xludf.DUMMYFUNCTION("""COMPUTED_VALUE"""),"Ritesh Singh")</f>
        <v>Ritesh Singh</v>
      </c>
      <c r="C504" s="6" t="str">
        <f ca="1">IFERROR(__xludf.DUMMYFUNCTION("""COMPUTED_VALUE"""),"email.ritesh25@gmail.com")</f>
        <v>email.ritesh25@gmail.com</v>
      </c>
      <c r="D504" s="6">
        <f ca="1">IFERROR(__xludf.DUMMYFUNCTION("""COMPUTED_VALUE"""),8087480888)</f>
        <v>8087480888</v>
      </c>
      <c r="E504" s="6" t="str">
        <f ca="1">IFERROR(__xludf.DUMMYFUNCTION("""COMPUTED_VALUE"""),"Chat_triggered")</f>
        <v>Chat_triggered</v>
      </c>
      <c r="F504" s="6" t="str">
        <f ca="1">IFERROR(__xludf.DUMMYFUNCTION("""COMPUTED_VALUE"""),"SAFe Agile")</f>
        <v>SAFe Agile</v>
      </c>
      <c r="G504" s="80">
        <f ca="1">IFERROR(__xludf.DUMMYFUNCTION("""COMPUTED_VALUE"""),44378)</f>
        <v>44378</v>
      </c>
      <c r="H504" s="6" t="str">
        <f ca="1">IFERROR(__xludf.DUMMYFUNCTION("""COMPUTED_VALUE"""),"Won")</f>
        <v>Won</v>
      </c>
      <c r="I504" s="6" t="str">
        <f ca="1">IFERROR(__xludf.DUMMYFUNCTION("""COMPUTED_VALUE"""),"24-25 July 2021")</f>
        <v>24-25 July 2021</v>
      </c>
      <c r="J504" s="6">
        <f ca="1">IFERROR(__xludf.DUMMYFUNCTION("""COMPUTED_VALUE"""),1)</f>
        <v>1</v>
      </c>
      <c r="K504" s="8">
        <f ca="1">IFERROR(__xludf.DUMMYFUNCTION("""COMPUTED_VALUE"""),45000)</f>
        <v>45000</v>
      </c>
      <c r="L504" s="8">
        <f ca="1">IFERROR(__xludf.DUMMYFUNCTION("""COMPUTED_VALUE"""),515.345854328905)</f>
        <v>515.34585432890503</v>
      </c>
      <c r="M504" s="96">
        <f ca="1">IFERROR(__xludf.DUMMYFUNCTION("""COMPUTED_VALUE"""),44398)</f>
        <v>44398</v>
      </c>
      <c r="N504" s="6" t="str">
        <f ca="1">IFERROR(__xludf.DUMMYFUNCTION("""COMPUTED_VALUE"""),"T10")</f>
        <v>T10</v>
      </c>
      <c r="O504" s="97">
        <f ca="1">IFERROR(__xludf.DUMMYFUNCTION("""COMPUTED_VALUE"""),44398)</f>
        <v>44398</v>
      </c>
      <c r="P504" s="6" t="str">
        <f ca="1">IFERROR(__xludf.DUMMYFUNCTION("""COMPUTED_VALUE"""),"CSTM_97ZJ6YZKLQB")</f>
        <v>CSTM_97ZJ6YZKLQB</v>
      </c>
      <c r="Q504" s="6"/>
      <c r="R504" s="6" t="str">
        <f ca="1">IFERROR(__xludf.DUMMYFUNCTION("""COMPUTED_VALUE"""),"Done. Good feedback.")</f>
        <v>Done. Good feedback.</v>
      </c>
      <c r="S504" s="6" t="str">
        <f ca="1">IFERROR(__xludf.DUMMYFUNCTION("""COMPUTED_VALUE"""),"SAFe")</f>
        <v>SAFe</v>
      </c>
      <c r="T504" s="6"/>
      <c r="U504" s="6"/>
      <c r="V504" s="6"/>
      <c r="W504" s="6"/>
      <c r="X504" s="6"/>
      <c r="Y504" s="6"/>
      <c r="Z504" s="6"/>
      <c r="AA504" s="6"/>
      <c r="AB504" s="6"/>
      <c r="AC504" s="6"/>
      <c r="AD504" s="6"/>
      <c r="AE504" s="6"/>
      <c r="AF504" s="6"/>
      <c r="AG504" s="6"/>
      <c r="AH504" s="6"/>
      <c r="AI504" s="6"/>
      <c r="AJ504" s="6"/>
      <c r="AK504" s="6"/>
      <c r="AL504" s="6"/>
    </row>
    <row r="505" spans="1:38">
      <c r="A505" s="96">
        <f ca="1">IFERROR(__xludf.DUMMYFUNCTION("""COMPUTED_VALUE"""),44399)</f>
        <v>44399</v>
      </c>
      <c r="B505" s="6" t="str">
        <f ca="1">IFERROR(__xludf.DUMMYFUNCTION("""COMPUTED_VALUE"""),"Priyanshi")</f>
        <v>Priyanshi</v>
      </c>
      <c r="C505" s="6" t="str">
        <f ca="1">IFERROR(__xludf.DUMMYFUNCTION("""COMPUTED_VALUE"""),"priyanshi291@gmail.com")</f>
        <v>priyanshi291@gmail.com</v>
      </c>
      <c r="D505" s="6">
        <f ca="1">IFERROR(__xludf.DUMMYFUNCTION("""COMPUTED_VALUE"""),9828920468)</f>
        <v>9828920468</v>
      </c>
      <c r="E505" s="6" t="str">
        <f ca="1">IFERROR(__xludf.DUMMYFUNCTION("""COMPUTED_VALUE"""),"Reference")</f>
        <v>Reference</v>
      </c>
      <c r="F505" s="6" t="str">
        <f ca="1">IFERROR(__xludf.DUMMYFUNCTION("""COMPUTED_VALUE"""),"SAFe Agile")</f>
        <v>SAFe Agile</v>
      </c>
      <c r="G505" s="80">
        <f ca="1">IFERROR(__xludf.DUMMYFUNCTION("""COMPUTED_VALUE"""),44378)</f>
        <v>44378</v>
      </c>
      <c r="H505" s="6" t="str">
        <f ca="1">IFERROR(__xludf.DUMMYFUNCTION("""COMPUTED_VALUE"""),"Won")</f>
        <v>Won</v>
      </c>
      <c r="I505" s="6" t="str">
        <f ca="1">IFERROR(__xludf.DUMMYFUNCTION("""COMPUTED_VALUE"""),"24-25 July 2021")</f>
        <v>24-25 July 2021</v>
      </c>
      <c r="J505" s="6">
        <f ca="1">IFERROR(__xludf.DUMMYFUNCTION("""COMPUTED_VALUE"""),1)</f>
        <v>1</v>
      </c>
      <c r="K505" s="8">
        <f ca="1">IFERROR(__xludf.DUMMYFUNCTION("""COMPUTED_VALUE"""),45000)</f>
        <v>45000</v>
      </c>
      <c r="L505" s="8">
        <f ca="1">IFERROR(__xludf.DUMMYFUNCTION("""COMPUTED_VALUE"""),515.345854328905)</f>
        <v>515.34585432890503</v>
      </c>
      <c r="M505" s="96">
        <f ca="1">IFERROR(__xludf.DUMMYFUNCTION("""COMPUTED_VALUE"""),44399)</f>
        <v>44399</v>
      </c>
      <c r="N505" s="6" t="str">
        <f ca="1">IFERROR(__xludf.DUMMYFUNCTION("""COMPUTED_VALUE"""),"T10")</f>
        <v>T10</v>
      </c>
      <c r="O505" s="97">
        <f ca="1">IFERROR(__xludf.DUMMYFUNCTION("""COMPUTED_VALUE"""),44399)</f>
        <v>44399</v>
      </c>
      <c r="P505" s="6" t="str">
        <f ca="1">IFERROR(__xludf.DUMMYFUNCTION("""COMPUTED_VALUE"""),"CSTM_F2RUSR2BWDE")</f>
        <v>CSTM_F2RUSR2BWDE</v>
      </c>
      <c r="Q505" s="6" t="str">
        <f ca="1">IFERROR(__xludf.DUMMYFUNCTION("""COMPUTED_VALUE"""),"pushpendra_singh@icloud.com")</f>
        <v>pushpendra_singh@icloud.com</v>
      </c>
      <c r="R505" s="6" t="str">
        <f ca="1">IFERROR(__xludf.DUMMYFUNCTION("""COMPUTED_VALUE"""),"Done. Good feedback.")</f>
        <v>Done. Good feedback.</v>
      </c>
      <c r="S505" s="6" t="str">
        <f ca="1">IFERROR(__xludf.DUMMYFUNCTION("""COMPUTED_VALUE"""),"SAFe")</f>
        <v>SAFe</v>
      </c>
      <c r="T505" s="6"/>
      <c r="U505" s="6"/>
      <c r="V505" s="6"/>
      <c r="W505" s="6"/>
      <c r="X505" s="6"/>
      <c r="Y505" s="6"/>
      <c r="Z505" s="6"/>
      <c r="AA505" s="6"/>
      <c r="AB505" s="6"/>
      <c r="AC505" s="6"/>
      <c r="AD505" s="6"/>
      <c r="AE505" s="6"/>
      <c r="AF505" s="6"/>
      <c r="AG505" s="6"/>
      <c r="AH505" s="6"/>
      <c r="AI505" s="6"/>
      <c r="AJ505" s="6"/>
      <c r="AK505" s="6"/>
      <c r="AL505" s="6"/>
    </row>
    <row r="506" spans="1:38">
      <c r="A506" s="96">
        <f ca="1">IFERROR(__xludf.DUMMYFUNCTION("""COMPUTED_VALUE"""),44400)</f>
        <v>44400</v>
      </c>
      <c r="B506" s="6" t="str">
        <f ca="1">IFERROR(__xludf.DUMMYFUNCTION("""COMPUTED_VALUE"""),"Fahad")</f>
        <v>Fahad</v>
      </c>
      <c r="C506" s="6" t="str">
        <f ca="1">IFERROR(__xludf.DUMMYFUNCTION("""COMPUTED_VALUE"""),"mohamedfahadm@maveric-systems.com")</f>
        <v>mohamedfahadm@maveric-systems.com</v>
      </c>
      <c r="D506" s="6">
        <f ca="1">IFERROR(__xludf.DUMMYFUNCTION("""COMPUTED_VALUE"""),9626917032)</f>
        <v>9626917032</v>
      </c>
      <c r="E506" s="6" t="str">
        <f ca="1">IFERROR(__xludf.DUMMYFUNCTION("""COMPUTED_VALUE"""),"Reference")</f>
        <v>Reference</v>
      </c>
      <c r="F506" s="6" t="str">
        <f ca="1">IFERROR(__xludf.DUMMYFUNCTION("""COMPUTED_VALUE"""),"CSM")</f>
        <v>CSM</v>
      </c>
      <c r="G506" s="80">
        <f ca="1">IFERROR(__xludf.DUMMYFUNCTION("""COMPUTED_VALUE"""),44378)</f>
        <v>44378</v>
      </c>
      <c r="H506" s="6" t="str">
        <f ca="1">IFERROR(__xludf.DUMMYFUNCTION("""COMPUTED_VALUE"""),"Won")</f>
        <v>Won</v>
      </c>
      <c r="I506" s="6" t="str">
        <f ca="1">IFERROR(__xludf.DUMMYFUNCTION("""COMPUTED_VALUE"""),"14-15 Aug 2021")</f>
        <v>14-15 Aug 2021</v>
      </c>
      <c r="J506" s="6">
        <f ca="1">IFERROR(__xludf.DUMMYFUNCTION("""COMPUTED_VALUE"""),1)</f>
        <v>1</v>
      </c>
      <c r="K506" s="8">
        <f ca="1">IFERROR(__xludf.DUMMYFUNCTION("""COMPUTED_VALUE"""),18000)</f>
        <v>18000</v>
      </c>
      <c r="L506" s="8">
        <f ca="1">IFERROR(__xludf.DUMMYFUNCTION("""COMPUTED_VALUE"""),206.138341731562)</f>
        <v>206.13834173156201</v>
      </c>
      <c r="M506" s="96">
        <f ca="1">IFERROR(__xludf.DUMMYFUNCTION("""COMPUTED_VALUE"""),44400)</f>
        <v>44400</v>
      </c>
      <c r="N506" s="6" t="str">
        <f ca="1">IFERROR(__xludf.DUMMYFUNCTION("""COMPUTED_VALUE"""),"T10")</f>
        <v>T10</v>
      </c>
      <c r="O506" s="97">
        <f ca="1">IFERROR(__xludf.DUMMYFUNCTION("""COMPUTED_VALUE"""),44400)</f>
        <v>44400</v>
      </c>
      <c r="P506" s="6" t="str">
        <f ca="1">IFERROR(__xludf.DUMMYFUNCTION("""COMPUTED_VALUE"""),"CSTM_G1O01ZPG9VQ")</f>
        <v>CSTM_G1O01ZPG9VQ</v>
      </c>
      <c r="Q506" s="6" t="str">
        <f ca="1">IFERROR(__xludf.DUMMYFUNCTION("""COMPUTED_VALUE"""),"Keerti")</f>
        <v>Keerti</v>
      </c>
      <c r="R506" s="6" t="str">
        <f ca="1">IFERROR(__xludf.DUMMYFUNCTION("""COMPUTED_VALUE"""),"Done. Good Feedback.")</f>
        <v>Done. Good Feedback.</v>
      </c>
      <c r="S506" s="6" t="str">
        <f ca="1">IFERROR(__xludf.DUMMYFUNCTION("""COMPUTED_VALUE"""),"Category")</f>
        <v>Category</v>
      </c>
      <c r="T506" s="6"/>
      <c r="U506" s="6"/>
      <c r="V506" s="6"/>
      <c r="W506" s="6"/>
      <c r="X506" s="6"/>
      <c r="Y506" s="6"/>
      <c r="Z506" s="6"/>
      <c r="AA506" s="6"/>
      <c r="AB506" s="6"/>
      <c r="AC506" s="6"/>
      <c r="AD506" s="6"/>
      <c r="AE506" s="6"/>
      <c r="AF506" s="6"/>
      <c r="AG506" s="6"/>
      <c r="AH506" s="6"/>
      <c r="AI506" s="6"/>
      <c r="AJ506" s="6"/>
      <c r="AK506" s="6"/>
      <c r="AL506" s="6"/>
    </row>
    <row r="507" spans="1:38">
      <c r="A507" s="96">
        <f ca="1">IFERROR(__xludf.DUMMYFUNCTION("""COMPUTED_VALUE"""),44400)</f>
        <v>44400</v>
      </c>
      <c r="B507" s="6" t="str">
        <f ca="1">IFERROR(__xludf.DUMMYFUNCTION("""COMPUTED_VALUE"""),"Jane Miriam")</f>
        <v>Jane Miriam</v>
      </c>
      <c r="C507" s="6" t="str">
        <f ca="1">IFERROR(__xludf.DUMMYFUNCTION("""COMPUTED_VALUE"""),"janemiriamj@maveric-systems.com")</f>
        <v>janemiriamj@maveric-systems.com</v>
      </c>
      <c r="D507" s="6">
        <f ca="1">IFERROR(__xludf.DUMMYFUNCTION("""COMPUTED_VALUE"""),9361567733)</f>
        <v>9361567733</v>
      </c>
      <c r="E507" s="6" t="str">
        <f ca="1">IFERROR(__xludf.DUMMYFUNCTION("""COMPUTED_VALUE"""),"Reference")</f>
        <v>Reference</v>
      </c>
      <c r="F507" s="6" t="str">
        <f ca="1">IFERROR(__xludf.DUMMYFUNCTION("""COMPUTED_VALUE"""),"CSM")</f>
        <v>CSM</v>
      </c>
      <c r="G507" s="80">
        <f ca="1">IFERROR(__xludf.DUMMYFUNCTION("""COMPUTED_VALUE"""),44378)</f>
        <v>44378</v>
      </c>
      <c r="H507" s="6" t="str">
        <f ca="1">IFERROR(__xludf.DUMMYFUNCTION("""COMPUTED_VALUE"""),"Won")</f>
        <v>Won</v>
      </c>
      <c r="I507" s="6" t="str">
        <f ca="1">IFERROR(__xludf.DUMMYFUNCTION("""COMPUTED_VALUE"""),"14-15 Aug 2021")</f>
        <v>14-15 Aug 2021</v>
      </c>
      <c r="J507" s="6">
        <f ca="1">IFERROR(__xludf.DUMMYFUNCTION("""COMPUTED_VALUE"""),1)</f>
        <v>1</v>
      </c>
      <c r="K507" s="8">
        <f ca="1">IFERROR(__xludf.DUMMYFUNCTION("""COMPUTED_VALUE"""),18000)</f>
        <v>18000</v>
      </c>
      <c r="L507" s="8">
        <f ca="1">IFERROR(__xludf.DUMMYFUNCTION("""COMPUTED_VALUE"""),206.138341731562)</f>
        <v>206.13834173156201</v>
      </c>
      <c r="M507" s="96">
        <f ca="1">IFERROR(__xludf.DUMMYFUNCTION("""COMPUTED_VALUE"""),44400)</f>
        <v>44400</v>
      </c>
      <c r="N507" s="6" t="str">
        <f ca="1">IFERROR(__xludf.DUMMYFUNCTION("""COMPUTED_VALUE"""),"T10")</f>
        <v>T10</v>
      </c>
      <c r="O507" s="97">
        <f ca="1">IFERROR(__xludf.DUMMYFUNCTION("""COMPUTED_VALUE"""),44400)</f>
        <v>44400</v>
      </c>
      <c r="P507" s="6" t="str">
        <f ca="1">IFERROR(__xludf.DUMMYFUNCTION("""COMPUTED_VALUE"""),"CSTM_A1KBBUTFKZR")</f>
        <v>CSTM_A1KBBUTFKZR</v>
      </c>
      <c r="Q507" s="6" t="str">
        <f ca="1">IFERROR(__xludf.DUMMYFUNCTION("""COMPUTED_VALUE"""),"Keerti")</f>
        <v>Keerti</v>
      </c>
      <c r="R507" s="6" t="str">
        <f ca="1">IFERROR(__xludf.DUMMYFUNCTION("""COMPUTED_VALUE"""),"Done. Good Feedback.")</f>
        <v>Done. Good Feedback.</v>
      </c>
      <c r="S507" s="6" t="str">
        <f ca="1">IFERROR(__xludf.DUMMYFUNCTION("""COMPUTED_VALUE"""),"Category")</f>
        <v>Category</v>
      </c>
      <c r="T507" s="6"/>
      <c r="U507" s="6"/>
      <c r="V507" s="6"/>
      <c r="W507" s="6"/>
      <c r="X507" s="6"/>
      <c r="Y507" s="6"/>
      <c r="Z507" s="6"/>
      <c r="AA507" s="6"/>
      <c r="AB507" s="6"/>
      <c r="AC507" s="6"/>
      <c r="AD507" s="6"/>
      <c r="AE507" s="6"/>
      <c r="AF507" s="6"/>
      <c r="AG507" s="6"/>
      <c r="AH507" s="6"/>
      <c r="AI507" s="6"/>
      <c r="AJ507" s="6"/>
      <c r="AK507" s="6"/>
      <c r="AL507" s="6"/>
    </row>
    <row r="508" spans="1:38">
      <c r="A508" s="96">
        <f ca="1">IFERROR(__xludf.DUMMYFUNCTION("""COMPUTED_VALUE"""),44401)</f>
        <v>44401</v>
      </c>
      <c r="B508" s="6" t="str">
        <f ca="1">IFERROR(__xludf.DUMMYFUNCTION("""COMPUTED_VALUE"""),"Javeed")</f>
        <v>Javeed</v>
      </c>
      <c r="C508" s="6" t="str">
        <f ca="1">IFERROR(__xludf.DUMMYFUNCTION("""COMPUTED_VALUE"""),"javeedahmedpj@gmail.com")</f>
        <v>javeedahmedpj@gmail.com</v>
      </c>
      <c r="D508" s="6"/>
      <c r="E508" s="6" t="str">
        <f ca="1">IFERROR(__xludf.DUMMYFUNCTION("""COMPUTED_VALUE"""),"Reference")</f>
        <v>Reference</v>
      </c>
      <c r="F508" s="6" t="str">
        <f ca="1">IFERROR(__xludf.DUMMYFUNCTION("""COMPUTED_VALUE"""),"CSM")</f>
        <v>CSM</v>
      </c>
      <c r="G508" s="80">
        <f ca="1">IFERROR(__xludf.DUMMYFUNCTION("""COMPUTED_VALUE"""),44378)</f>
        <v>44378</v>
      </c>
      <c r="H508" s="6" t="str">
        <f ca="1">IFERROR(__xludf.DUMMYFUNCTION("""COMPUTED_VALUE"""),"Won")</f>
        <v>Won</v>
      </c>
      <c r="I508" s="6" t="str">
        <f ca="1">IFERROR(__xludf.DUMMYFUNCTION("""COMPUTED_VALUE"""),"14-15 Aug 2021")</f>
        <v>14-15 Aug 2021</v>
      </c>
      <c r="J508" s="6">
        <f ca="1">IFERROR(__xludf.DUMMYFUNCTION("""COMPUTED_VALUE"""),1)</f>
        <v>1</v>
      </c>
      <c r="K508" s="8">
        <f ca="1">IFERROR(__xludf.DUMMYFUNCTION("""COMPUTED_VALUE"""),18000)</f>
        <v>18000</v>
      </c>
      <c r="L508" s="8">
        <f ca="1">IFERROR(__xludf.DUMMYFUNCTION("""COMPUTED_VALUE"""),206.138341731562)</f>
        <v>206.13834173156201</v>
      </c>
      <c r="M508" s="96">
        <f ca="1">IFERROR(__xludf.DUMMYFUNCTION("""COMPUTED_VALUE"""),44401)</f>
        <v>44401</v>
      </c>
      <c r="N508" s="6" t="str">
        <f ca="1">IFERROR(__xludf.DUMMYFUNCTION("""COMPUTED_VALUE"""),"T10")</f>
        <v>T10</v>
      </c>
      <c r="O508" s="97">
        <f ca="1">IFERROR(__xludf.DUMMYFUNCTION("""COMPUTED_VALUE"""),44401)</f>
        <v>44401</v>
      </c>
      <c r="P508" s="6" t="str">
        <f ca="1">IFERROR(__xludf.DUMMYFUNCTION("""COMPUTED_VALUE"""),"CSTM_92AX0X7NZ7J")</f>
        <v>CSTM_92AX0X7NZ7J</v>
      </c>
      <c r="Q508" s="6" t="str">
        <f ca="1">IFERROR(__xludf.DUMMYFUNCTION("""COMPUTED_VALUE"""),"Keerti")</f>
        <v>Keerti</v>
      </c>
      <c r="R508" s="6" t="str">
        <f ca="1">IFERROR(__xludf.DUMMYFUNCTION("""COMPUTED_VALUE"""),"Done. Good Feedback.")</f>
        <v>Done. Good Feedback.</v>
      </c>
      <c r="S508" s="6" t="str">
        <f ca="1">IFERROR(__xludf.DUMMYFUNCTION("""COMPUTED_VALUE"""),"Category")</f>
        <v>Category</v>
      </c>
      <c r="T508" s="6"/>
      <c r="U508" s="6"/>
      <c r="V508" s="6"/>
      <c r="W508" s="6"/>
      <c r="X508" s="6"/>
      <c r="Y508" s="6"/>
      <c r="Z508" s="6"/>
      <c r="AA508" s="6"/>
      <c r="AB508" s="6"/>
      <c r="AC508" s="6"/>
      <c r="AD508" s="6"/>
      <c r="AE508" s="6"/>
      <c r="AF508" s="6"/>
      <c r="AG508" s="6"/>
      <c r="AH508" s="6"/>
      <c r="AI508" s="6"/>
      <c r="AJ508" s="6"/>
      <c r="AK508" s="6"/>
      <c r="AL508" s="6"/>
    </row>
    <row r="509" spans="1:38">
      <c r="A509" s="96">
        <f ca="1">IFERROR(__xludf.DUMMYFUNCTION("""COMPUTED_VALUE"""),44403)</f>
        <v>44403</v>
      </c>
      <c r="B509" s="6" t="str">
        <f ca="1">IFERROR(__xludf.DUMMYFUNCTION("""COMPUTED_VALUE"""),"Haftaan")</f>
        <v>Haftaan</v>
      </c>
      <c r="C509" s="6" t="str">
        <f ca="1">IFERROR(__xludf.DUMMYFUNCTION("""COMPUTED_VALUE"""),"haftaan12345@gmail.com")</f>
        <v>haftaan12345@gmail.com</v>
      </c>
      <c r="D509" s="6">
        <f ca="1">IFERROR(__xludf.DUMMYFUNCTION("""COMPUTED_VALUE"""),9920433314)</f>
        <v>9920433314</v>
      </c>
      <c r="E509" s="6" t="str">
        <f ca="1">IFERROR(__xludf.DUMMYFUNCTION("""COMPUTED_VALUE"""),"Reference")</f>
        <v>Reference</v>
      </c>
      <c r="F509" s="6" t="str">
        <f ca="1">IFERROR(__xludf.DUMMYFUNCTION("""COMPUTED_VALUE"""),"CEH")</f>
        <v>CEH</v>
      </c>
      <c r="G509" s="80">
        <f ca="1">IFERROR(__xludf.DUMMYFUNCTION("""COMPUTED_VALUE"""),44378)</f>
        <v>44378</v>
      </c>
      <c r="H509" s="6" t="str">
        <f ca="1">IFERROR(__xludf.DUMMYFUNCTION("""COMPUTED_VALUE"""),"Won")</f>
        <v>Won</v>
      </c>
      <c r="I509" s="6" t="str">
        <f ca="1">IFERROR(__xludf.DUMMYFUNCTION("""COMPUTED_VALUE"""),"OSL")</f>
        <v>OSL</v>
      </c>
      <c r="J509" s="6">
        <f ca="1">IFERROR(__xludf.DUMMYFUNCTION("""COMPUTED_VALUE"""),1)</f>
        <v>1</v>
      </c>
      <c r="K509" s="8">
        <f ca="1">IFERROR(__xludf.DUMMYFUNCTION("""COMPUTED_VALUE"""),36000)</f>
        <v>36000</v>
      </c>
      <c r="L509" s="8">
        <f ca="1">IFERROR(__xludf.DUMMYFUNCTION("""COMPUTED_VALUE"""),412.276683463124)</f>
        <v>412.27668346312402</v>
      </c>
      <c r="M509" s="96">
        <f ca="1">IFERROR(__xludf.DUMMYFUNCTION("""COMPUTED_VALUE"""),44403)</f>
        <v>44403</v>
      </c>
      <c r="N509" s="6" t="str">
        <f ca="1">IFERROR(__xludf.DUMMYFUNCTION("""COMPUTED_VALUE"""),"T10")</f>
        <v>T10</v>
      </c>
      <c r="O509" s="97">
        <f ca="1">IFERROR(__xludf.DUMMYFUNCTION("""COMPUTED_VALUE"""),44405)</f>
        <v>44405</v>
      </c>
      <c r="P509" s="6" t="str">
        <f ca="1">IFERROR(__xludf.DUMMYFUNCTION("""COMPUTED_VALUE"""),"CSTM_CICZX5PCJU6")</f>
        <v>CSTM_CICZX5PCJU6</v>
      </c>
      <c r="Q509" s="6" t="str">
        <f ca="1">IFERROR(__xludf.DUMMYFUNCTION("""COMPUTED_VALUE"""),"Keerti")</f>
        <v>Keerti</v>
      </c>
      <c r="R509" s="6" t="str">
        <f ca="1">IFERROR(__xludf.DUMMYFUNCTION("""COMPUTED_VALUE"""),"Pending")</f>
        <v>Pending</v>
      </c>
      <c r="S509" s="6" t="str">
        <f ca="1">IFERROR(__xludf.DUMMYFUNCTION("""COMPUTED_VALUE"""),"NonCategory")</f>
        <v>NonCategory</v>
      </c>
      <c r="T509" s="6"/>
      <c r="U509" s="6"/>
      <c r="V509" s="6"/>
      <c r="W509" s="6"/>
      <c r="X509" s="6"/>
      <c r="Y509" s="6"/>
      <c r="Z509" s="6"/>
      <c r="AA509" s="6"/>
      <c r="AB509" s="6"/>
      <c r="AC509" s="6"/>
      <c r="AD509" s="6"/>
      <c r="AE509" s="6"/>
      <c r="AF509" s="6"/>
      <c r="AG509" s="6"/>
      <c r="AH509" s="6"/>
      <c r="AI509" s="6"/>
      <c r="AJ509" s="6"/>
      <c r="AK509" s="6"/>
      <c r="AL509" s="6"/>
    </row>
    <row r="510" spans="1:38">
      <c r="A510" s="96">
        <f ca="1">IFERROR(__xludf.DUMMYFUNCTION("""COMPUTED_VALUE"""),44406)</f>
        <v>44406</v>
      </c>
      <c r="B510" s="6" t="str">
        <f ca="1">IFERROR(__xludf.DUMMYFUNCTION("""COMPUTED_VALUE"""),"Anup Mitra")</f>
        <v>Anup Mitra</v>
      </c>
      <c r="C510" s="6" t="str">
        <f ca="1">IFERROR(__xludf.DUMMYFUNCTION("""COMPUTED_VALUE"""),"anupnvmitra@gmail.com")</f>
        <v>anupnvmitra@gmail.com</v>
      </c>
      <c r="D510" s="6">
        <f ca="1">IFERROR(__xludf.DUMMYFUNCTION("""COMPUTED_VALUE"""),9916307477)</f>
        <v>9916307477</v>
      </c>
      <c r="E510" s="6" t="str">
        <f ca="1">IFERROR(__xludf.DUMMYFUNCTION("""COMPUTED_VALUE"""),"Request a call")</f>
        <v>Request a call</v>
      </c>
      <c r="F510" s="6" t="str">
        <f ca="1">IFERROR(__xludf.DUMMYFUNCTION("""COMPUTED_VALUE"""),"CSM")</f>
        <v>CSM</v>
      </c>
      <c r="G510" s="80">
        <f ca="1">IFERROR(__xludf.DUMMYFUNCTION("""COMPUTED_VALUE"""),44378)</f>
        <v>44378</v>
      </c>
      <c r="H510" s="6" t="str">
        <f ca="1">IFERROR(__xludf.DUMMYFUNCTION("""COMPUTED_VALUE"""),"Won")</f>
        <v>Won</v>
      </c>
      <c r="I510" s="6" t="str">
        <f ca="1">IFERROR(__xludf.DUMMYFUNCTION("""COMPUTED_VALUE"""),"28-29 Aug 2021")</f>
        <v>28-29 Aug 2021</v>
      </c>
      <c r="J510" s="6">
        <f ca="1">IFERROR(__xludf.DUMMYFUNCTION("""COMPUTED_VALUE"""),1)</f>
        <v>1</v>
      </c>
      <c r="K510" s="8">
        <f ca="1">IFERROR(__xludf.DUMMYFUNCTION("""COMPUTED_VALUE"""),18500)</f>
        <v>18500</v>
      </c>
      <c r="L510" s="8">
        <f ca="1">IFERROR(__xludf.DUMMYFUNCTION("""COMPUTED_VALUE"""),211.864406779661)</f>
        <v>211.86440677966101</v>
      </c>
      <c r="M510" s="96">
        <f ca="1">IFERROR(__xludf.DUMMYFUNCTION("""COMPUTED_VALUE"""),44406)</f>
        <v>44406</v>
      </c>
      <c r="N510" s="6" t="str">
        <f ca="1">IFERROR(__xludf.DUMMYFUNCTION("""COMPUTED_VALUE"""),"T10")</f>
        <v>T10</v>
      </c>
      <c r="O510" s="97">
        <f ca="1">IFERROR(__xludf.DUMMYFUNCTION("""COMPUTED_VALUE"""),44406)</f>
        <v>44406</v>
      </c>
      <c r="P510" s="6" t="str">
        <f ca="1">IFERROR(__xludf.DUMMYFUNCTION("""COMPUTED_VALUE"""),"CSTM_A4Z33203SL3")</f>
        <v>CSTM_A4Z33203SL3</v>
      </c>
      <c r="Q510" s="6"/>
      <c r="R510" s="6" t="str">
        <f ca="1">IFERROR(__xludf.DUMMYFUNCTION("""COMPUTED_VALUE"""),"Done. Good Feedback.")</f>
        <v>Done. Good Feedback.</v>
      </c>
      <c r="S510" s="6" t="str">
        <f ca="1">IFERROR(__xludf.DUMMYFUNCTION("""COMPUTED_VALUE"""),"Category")</f>
        <v>Category</v>
      </c>
      <c r="T510" s="6"/>
      <c r="U510" s="6"/>
      <c r="V510" s="6"/>
      <c r="W510" s="6"/>
      <c r="X510" s="6"/>
      <c r="Y510" s="6"/>
      <c r="Z510" s="6"/>
      <c r="AA510" s="6"/>
      <c r="AB510" s="6"/>
      <c r="AC510" s="6"/>
      <c r="AD510" s="6"/>
      <c r="AE510" s="6"/>
      <c r="AF510" s="6"/>
      <c r="AG510" s="6"/>
      <c r="AH510" s="6"/>
      <c r="AI510" s="6"/>
      <c r="AJ510" s="6"/>
      <c r="AK510" s="6"/>
      <c r="AL510" s="6"/>
    </row>
    <row r="511" spans="1:38">
      <c r="A511" s="96">
        <f ca="1">IFERROR(__xludf.DUMMYFUNCTION("""COMPUTED_VALUE"""),44406)</f>
        <v>44406</v>
      </c>
      <c r="B511" s="6" t="str">
        <f ca="1">IFERROR(__xludf.DUMMYFUNCTION("""COMPUTED_VALUE"""),"Preetha")</f>
        <v>Preetha</v>
      </c>
      <c r="C511" s="6" t="str">
        <f ca="1">IFERROR(__xludf.DUMMYFUNCTION("""COMPUTED_VALUE"""),"preetha2803@gmail.com")</f>
        <v>preetha2803@gmail.com</v>
      </c>
      <c r="D511" s="6">
        <f ca="1">IFERROR(__xludf.DUMMYFUNCTION("""COMPUTED_VALUE"""),9940413014)</f>
        <v>9940413014</v>
      </c>
      <c r="E511" s="6" t="str">
        <f ca="1">IFERROR(__xludf.DUMMYFUNCTION("""COMPUTED_VALUE"""),"Account Repeat")</f>
        <v>Account Repeat</v>
      </c>
      <c r="F511" s="6" t="str">
        <f ca="1">IFERROR(__xludf.DUMMYFUNCTION("""COMPUTED_VALUE"""),"Prince2 Foundation")</f>
        <v>Prince2 Foundation</v>
      </c>
      <c r="G511" s="80">
        <f ca="1">IFERROR(__xludf.DUMMYFUNCTION("""COMPUTED_VALUE"""),44378)</f>
        <v>44378</v>
      </c>
      <c r="H511" s="6" t="str">
        <f ca="1">IFERROR(__xludf.DUMMYFUNCTION("""COMPUTED_VALUE"""),"Won")</f>
        <v>Won</v>
      </c>
      <c r="I511" s="6" t="str">
        <f ca="1">IFERROR(__xludf.DUMMYFUNCTION("""COMPUTED_VALUE"""),"OSL")</f>
        <v>OSL</v>
      </c>
      <c r="J511" s="6">
        <f ca="1">IFERROR(__xludf.DUMMYFUNCTION("""COMPUTED_VALUE"""),1)</f>
        <v>1</v>
      </c>
      <c r="K511" s="8">
        <f ca="1">IFERROR(__xludf.DUMMYFUNCTION("""COMPUTED_VALUE"""),20000)</f>
        <v>20000</v>
      </c>
      <c r="L511" s="8">
        <f ca="1">IFERROR(__xludf.DUMMYFUNCTION("""COMPUTED_VALUE"""),229.042601923957)</f>
        <v>229.04260192395699</v>
      </c>
      <c r="M511" s="96">
        <f ca="1">IFERROR(__xludf.DUMMYFUNCTION("""COMPUTED_VALUE"""),44406)</f>
        <v>44406</v>
      </c>
      <c r="N511" s="6" t="str">
        <f ca="1">IFERROR(__xludf.DUMMYFUNCTION("""COMPUTED_VALUE"""),"T10")</f>
        <v>T10</v>
      </c>
      <c r="O511" s="97">
        <f ca="1">IFERROR(__xludf.DUMMYFUNCTION("""COMPUTED_VALUE"""),44406)</f>
        <v>44406</v>
      </c>
      <c r="P511" s="6" t="str">
        <f ca="1">IFERROR(__xludf.DUMMYFUNCTION("""COMPUTED_VALUE"""),"CSTM_B24HDSS0ASS")</f>
        <v>CSTM_B24HDSS0ASS</v>
      </c>
      <c r="Q511" s="6"/>
      <c r="R511" s="6" t="str">
        <f ca="1">IFERROR(__xludf.DUMMYFUNCTION("""COMPUTED_VALUE"""),"Pending")</f>
        <v>Pending</v>
      </c>
      <c r="S511" s="6" t="str">
        <f ca="1">IFERROR(__xludf.DUMMYFUNCTION("""COMPUTED_VALUE"""),"NonCategory")</f>
        <v>NonCategory</v>
      </c>
      <c r="T511" s="6"/>
      <c r="U511" s="6"/>
      <c r="V511" s="6"/>
      <c r="W511" s="6"/>
      <c r="X511" s="6"/>
      <c r="Y511" s="6"/>
      <c r="Z511" s="6"/>
      <c r="AA511" s="6"/>
      <c r="AB511" s="6"/>
      <c r="AC511" s="6"/>
      <c r="AD511" s="6"/>
      <c r="AE511" s="6"/>
      <c r="AF511" s="6"/>
      <c r="AG511" s="6"/>
      <c r="AH511" s="6"/>
      <c r="AI511" s="6"/>
      <c r="AJ511" s="6"/>
      <c r="AK511" s="6"/>
      <c r="AL511" s="6"/>
    </row>
    <row r="512" spans="1:38">
      <c r="A512" s="96">
        <f ca="1">IFERROR(__xludf.DUMMYFUNCTION("""COMPUTED_VALUE"""),44407)</f>
        <v>44407</v>
      </c>
      <c r="B512" s="6" t="str">
        <f ca="1">IFERROR(__xludf.DUMMYFUNCTION("""COMPUTED_VALUE"""),"Vani Vijay")</f>
        <v>Vani Vijay</v>
      </c>
      <c r="C512" s="6" t="str">
        <f ca="1">IFERROR(__xludf.DUMMYFUNCTION("""COMPUTED_VALUE"""),"vanivijay44@yahoo.com")</f>
        <v>vanivijay44@yahoo.com</v>
      </c>
      <c r="D512" s="6">
        <f ca="1">IFERROR(__xludf.DUMMYFUNCTION("""COMPUTED_VALUE"""),7339433392)</f>
        <v>7339433392</v>
      </c>
      <c r="E512" s="6" t="str">
        <f ca="1">IFERROR(__xludf.DUMMYFUNCTION("""COMPUTED_VALUE"""),"Reference")</f>
        <v>Reference</v>
      </c>
      <c r="F512" s="6" t="str">
        <f ca="1">IFERROR(__xludf.DUMMYFUNCTION("""COMPUTED_VALUE"""),"SAFe Agile")</f>
        <v>SAFe Agile</v>
      </c>
      <c r="G512" s="80">
        <f ca="1">IFERROR(__xludf.DUMMYFUNCTION("""COMPUTED_VALUE"""),44378)</f>
        <v>44378</v>
      </c>
      <c r="H512" s="6" t="str">
        <f ca="1">IFERROR(__xludf.DUMMYFUNCTION("""COMPUTED_VALUE"""),"Won")</f>
        <v>Won</v>
      </c>
      <c r="I512" s="6" t="str">
        <f ca="1">IFERROR(__xludf.DUMMYFUNCTION("""COMPUTED_VALUE"""),"11-12 Sep 2021")</f>
        <v>11-12 Sep 2021</v>
      </c>
      <c r="J512" s="6">
        <f ca="1">IFERROR(__xludf.DUMMYFUNCTION("""COMPUTED_VALUE"""),1)</f>
        <v>1</v>
      </c>
      <c r="K512" s="8">
        <f ca="1">IFERROR(__xludf.DUMMYFUNCTION("""COMPUTED_VALUE"""),45000)</f>
        <v>45000</v>
      </c>
      <c r="L512" s="8">
        <f ca="1">IFERROR(__xludf.DUMMYFUNCTION("""COMPUTED_VALUE"""),515.345854328905)</f>
        <v>515.34585432890503</v>
      </c>
      <c r="M512" s="96">
        <f ca="1">IFERROR(__xludf.DUMMYFUNCTION("""COMPUTED_VALUE"""),44407)</f>
        <v>44407</v>
      </c>
      <c r="N512" s="6" t="str">
        <f ca="1">IFERROR(__xludf.DUMMYFUNCTION("""COMPUTED_VALUE"""),"T10")</f>
        <v>T10</v>
      </c>
      <c r="O512" s="97">
        <f ca="1">IFERROR(__xludf.DUMMYFUNCTION("""COMPUTED_VALUE"""),44407)</f>
        <v>44407</v>
      </c>
      <c r="P512" s="6" t="str">
        <f ca="1">IFERROR(__xludf.DUMMYFUNCTION("""COMPUTED_VALUE"""),"CSTM_4DZYBJ0P6Z3")</f>
        <v>CSTM_4DZYBJ0P6Z3</v>
      </c>
      <c r="Q512" s="6" t="str">
        <f ca="1">IFERROR(__xludf.DUMMYFUNCTION("""COMPUTED_VALUE"""),"prabhu.sh@gmail.com")</f>
        <v>prabhu.sh@gmail.com</v>
      </c>
      <c r="R512" s="6" t="str">
        <f ca="1">IFERROR(__xludf.DUMMYFUNCTION("""COMPUTED_VALUE"""),"Pending")</f>
        <v>Pending</v>
      </c>
      <c r="S512" s="6" t="str">
        <f ca="1">IFERROR(__xludf.DUMMYFUNCTION("""COMPUTED_VALUE"""),"SAFe")</f>
        <v>SAFe</v>
      </c>
      <c r="T512" s="6"/>
      <c r="U512" s="6"/>
      <c r="V512" s="6"/>
      <c r="W512" s="6"/>
      <c r="X512" s="6"/>
      <c r="Y512" s="6"/>
      <c r="Z512" s="6"/>
      <c r="AA512" s="6"/>
      <c r="AB512" s="6"/>
      <c r="AC512" s="6"/>
      <c r="AD512" s="6"/>
      <c r="AE512" s="6"/>
      <c r="AF512" s="6"/>
      <c r="AG512" s="6"/>
      <c r="AH512" s="6"/>
      <c r="AI512" s="6"/>
      <c r="AJ512" s="6"/>
      <c r="AK512" s="6"/>
      <c r="AL512" s="6"/>
    </row>
    <row r="513" spans="1:38">
      <c r="A513" s="96">
        <f ca="1">IFERROR(__xludf.DUMMYFUNCTION("""COMPUTED_VALUE"""),44407)</f>
        <v>44407</v>
      </c>
      <c r="B513" s="6" t="str">
        <f ca="1">IFERROR(__xludf.DUMMYFUNCTION("""COMPUTED_VALUE"""),"Amarnath")</f>
        <v>Amarnath</v>
      </c>
      <c r="C513" s="6" t="str">
        <f ca="1">IFERROR(__xludf.DUMMYFUNCTION("""COMPUTED_VALUE"""),"shivaamar.ar@gmail.com")</f>
        <v>shivaamar.ar@gmail.com</v>
      </c>
      <c r="D513" s="6">
        <f ca="1">IFERROR(__xludf.DUMMYFUNCTION("""COMPUTED_VALUE"""),9986074054)</f>
        <v>9986074054</v>
      </c>
      <c r="E513" s="6" t="str">
        <f ca="1">IFERROR(__xludf.DUMMYFUNCTION("""COMPUTED_VALUE"""),"Reference")</f>
        <v>Reference</v>
      </c>
      <c r="F513" s="6" t="str">
        <f ca="1">IFERROR(__xludf.DUMMYFUNCTION("""COMPUTED_VALUE"""),"PSM")</f>
        <v>PSM</v>
      </c>
      <c r="G513" s="80">
        <f ca="1">IFERROR(__xludf.DUMMYFUNCTION("""COMPUTED_VALUE"""),44378)</f>
        <v>44378</v>
      </c>
      <c r="H513" s="6" t="str">
        <f ca="1">IFERROR(__xludf.DUMMYFUNCTION("""COMPUTED_VALUE"""),"Won")</f>
        <v>Won</v>
      </c>
      <c r="I513" s="6" t="str">
        <f ca="1">IFERROR(__xludf.DUMMYFUNCTION("""COMPUTED_VALUE"""),"21-22 Aug 2021")</f>
        <v>21-22 Aug 2021</v>
      </c>
      <c r="J513" s="6">
        <f ca="1">IFERROR(__xludf.DUMMYFUNCTION("""COMPUTED_VALUE"""),1)</f>
        <v>1</v>
      </c>
      <c r="K513" s="8">
        <f ca="1">IFERROR(__xludf.DUMMYFUNCTION("""COMPUTED_VALUE"""),21000)</f>
        <v>21000</v>
      </c>
      <c r="L513" s="8">
        <f ca="1">IFERROR(__xludf.DUMMYFUNCTION("""COMPUTED_VALUE"""),240.494732020155)</f>
        <v>240.494732020155</v>
      </c>
      <c r="M513" s="96">
        <f ca="1">IFERROR(__xludf.DUMMYFUNCTION("""COMPUTED_VALUE"""),44407)</f>
        <v>44407</v>
      </c>
      <c r="N513" s="6" t="str">
        <f ca="1">IFERROR(__xludf.DUMMYFUNCTION("""COMPUTED_VALUE"""),"T10")</f>
        <v>T10</v>
      </c>
      <c r="O513" s="97">
        <f ca="1">IFERROR(__xludf.DUMMYFUNCTION("""COMPUTED_VALUE"""),44407)</f>
        <v>44407</v>
      </c>
      <c r="P513" s="6" t="str">
        <f ca="1">IFERROR(__xludf.DUMMYFUNCTION("""COMPUTED_VALUE"""),"CSTM_4MQH68295KU")</f>
        <v>CSTM_4MQH68295KU</v>
      </c>
      <c r="Q513" s="6" t="str">
        <f ca="1">IFERROR(__xludf.DUMMYFUNCTION("""COMPUTED_VALUE"""),"Reference by Prasanna")</f>
        <v>Reference by Prasanna</v>
      </c>
      <c r="R513" s="6" t="str">
        <f ca="1">IFERROR(__xludf.DUMMYFUNCTION("""COMPUTED_VALUE"""),"Pending")</f>
        <v>Pending</v>
      </c>
      <c r="S513" s="6" t="str">
        <f ca="1">IFERROR(__xludf.DUMMYFUNCTION("""COMPUTED_VALUE"""),"Category")</f>
        <v>Category</v>
      </c>
      <c r="T513" s="6"/>
      <c r="U513" s="6"/>
      <c r="V513" s="6"/>
      <c r="W513" s="6"/>
      <c r="X513" s="6"/>
      <c r="Y513" s="6"/>
      <c r="Z513" s="6"/>
      <c r="AA513" s="6"/>
      <c r="AB513" s="6"/>
      <c r="AC513" s="6"/>
      <c r="AD513" s="6"/>
      <c r="AE513" s="6"/>
      <c r="AF513" s="6"/>
      <c r="AG513" s="6"/>
      <c r="AH513" s="6"/>
      <c r="AI513" s="6"/>
      <c r="AJ513" s="6"/>
      <c r="AK513" s="6"/>
      <c r="AL513" s="6"/>
    </row>
    <row r="514" spans="1:38">
      <c r="A514" s="96">
        <f ca="1">IFERROR(__xludf.DUMMYFUNCTION("""COMPUTED_VALUE"""),44408)</f>
        <v>44408</v>
      </c>
      <c r="B514" s="6" t="str">
        <f ca="1">IFERROR(__xludf.DUMMYFUNCTION("""COMPUTED_VALUE"""),"Fernandes")</f>
        <v>Fernandes</v>
      </c>
      <c r="C514" s="6" t="str">
        <f ca="1">IFERROR(__xludf.DUMMYFUNCTION("""COMPUTED_VALUE"""),"fernandesjojy@gmail.com")</f>
        <v>fernandesjojy@gmail.com</v>
      </c>
      <c r="D514" s="6">
        <f ca="1">IFERROR(__xludf.DUMMYFUNCTION("""COMPUTED_VALUE"""),8291065481)</f>
        <v>8291065481</v>
      </c>
      <c r="E514" s="6" t="str">
        <f ca="1">IFERROR(__xludf.DUMMYFUNCTION("""COMPUTED_VALUE"""),"Account Repeat")</f>
        <v>Account Repeat</v>
      </c>
      <c r="F514" s="6" t="str">
        <f ca="1">IFERROR(__xludf.DUMMYFUNCTION("""COMPUTED_VALUE"""),"CSPO")</f>
        <v>CSPO</v>
      </c>
      <c r="G514" s="80">
        <f ca="1">IFERROR(__xludf.DUMMYFUNCTION("""COMPUTED_VALUE"""),44378)</f>
        <v>44378</v>
      </c>
      <c r="H514" s="6" t="str">
        <f ca="1">IFERROR(__xludf.DUMMYFUNCTION("""COMPUTED_VALUE"""),"Opportunity")</f>
        <v>Opportunity</v>
      </c>
      <c r="I514" s="6" t="str">
        <f ca="1">IFERROR(__xludf.DUMMYFUNCTION("""COMPUTED_VALUE"""),"7-8 Aug 2021")</f>
        <v>7-8 Aug 2021</v>
      </c>
      <c r="J514" s="6">
        <f ca="1">IFERROR(__xludf.DUMMYFUNCTION("""COMPUTED_VALUE"""),1)</f>
        <v>1</v>
      </c>
      <c r="K514" s="8">
        <f ca="1">IFERROR(__xludf.DUMMYFUNCTION("""COMPUTED_VALUE"""),18500)</f>
        <v>18500</v>
      </c>
      <c r="L514" s="8">
        <f ca="1">IFERROR(__xludf.DUMMYFUNCTION("""COMPUTED_VALUE"""),211.864406779661)</f>
        <v>211.86440677966101</v>
      </c>
      <c r="M514" s="96">
        <f ca="1">IFERROR(__xludf.DUMMYFUNCTION("""COMPUTED_VALUE"""),44408)</f>
        <v>44408</v>
      </c>
      <c r="N514" s="6"/>
      <c r="O514" s="97"/>
      <c r="P514" s="6"/>
      <c r="Q514" s="6"/>
      <c r="R514" s="6"/>
      <c r="S514" s="6" t="str">
        <f ca="1">IFERROR(__xludf.DUMMYFUNCTION("""COMPUTED_VALUE"""),"Category")</f>
        <v>Category</v>
      </c>
      <c r="T514" s="6"/>
      <c r="U514" s="6"/>
      <c r="V514" s="6"/>
      <c r="W514" s="6"/>
      <c r="X514" s="6"/>
      <c r="Y514" s="6"/>
      <c r="Z514" s="6"/>
      <c r="AA514" s="6"/>
      <c r="AB514" s="6"/>
      <c r="AC514" s="6"/>
      <c r="AD514" s="6"/>
      <c r="AE514" s="6"/>
      <c r="AF514" s="6"/>
      <c r="AG514" s="6"/>
      <c r="AH514" s="6"/>
      <c r="AI514" s="6"/>
      <c r="AJ514" s="6"/>
      <c r="AK514" s="6"/>
      <c r="AL514" s="6"/>
    </row>
    <row r="515" spans="1:38">
      <c r="A515" s="96">
        <f ca="1">IFERROR(__xludf.DUMMYFUNCTION("""COMPUTED_VALUE"""),44408)</f>
        <v>44408</v>
      </c>
      <c r="B515" s="6" t="str">
        <f ca="1">IFERROR(__xludf.DUMMYFUNCTION("""COMPUTED_VALUE"""),"Thomas George")</f>
        <v>Thomas George</v>
      </c>
      <c r="C515" s="6" t="str">
        <f ca="1">IFERROR(__xludf.DUMMYFUNCTION("""COMPUTED_VALUE"""),"thomastomgeorge@gmail.com")</f>
        <v>thomastomgeorge@gmail.com</v>
      </c>
      <c r="D515" s="6">
        <f ca="1">IFERROR(__xludf.DUMMYFUNCTION("""COMPUTED_VALUE"""),9930519075)</f>
        <v>9930519075</v>
      </c>
      <c r="E515" s="6" t="str">
        <f ca="1">IFERROR(__xludf.DUMMYFUNCTION("""COMPUTED_VALUE"""),"Account Repeat")</f>
        <v>Account Repeat</v>
      </c>
      <c r="F515" s="6" t="str">
        <f ca="1">IFERROR(__xludf.DUMMYFUNCTION("""COMPUTED_VALUE"""),"CSPO")</f>
        <v>CSPO</v>
      </c>
      <c r="G515" s="80">
        <f ca="1">IFERROR(__xludf.DUMMYFUNCTION("""COMPUTED_VALUE"""),44378)</f>
        <v>44378</v>
      </c>
      <c r="H515" s="6" t="str">
        <f ca="1">IFERROR(__xludf.DUMMYFUNCTION("""COMPUTED_VALUE"""),"Won")</f>
        <v>Won</v>
      </c>
      <c r="I515" s="6" t="str">
        <f ca="1">IFERROR(__xludf.DUMMYFUNCTION("""COMPUTED_VALUE"""),"7-8 Aug 2021")</f>
        <v>7-8 Aug 2021</v>
      </c>
      <c r="J515" s="6">
        <f ca="1">IFERROR(__xludf.DUMMYFUNCTION("""COMPUTED_VALUE"""),1)</f>
        <v>1</v>
      </c>
      <c r="K515" s="8">
        <f ca="1">IFERROR(__xludf.DUMMYFUNCTION("""COMPUTED_VALUE"""),18500)</f>
        <v>18500</v>
      </c>
      <c r="L515" s="8">
        <f ca="1">IFERROR(__xludf.DUMMYFUNCTION("""COMPUTED_VALUE"""),211.864406779661)</f>
        <v>211.86440677966101</v>
      </c>
      <c r="M515" s="96">
        <f ca="1">IFERROR(__xludf.DUMMYFUNCTION("""COMPUTED_VALUE"""),44408)</f>
        <v>44408</v>
      </c>
      <c r="N515" s="6" t="str">
        <f ca="1">IFERROR(__xludf.DUMMYFUNCTION("""COMPUTED_VALUE"""),"T10")</f>
        <v>T10</v>
      </c>
      <c r="O515" s="97">
        <f ca="1">IFERROR(__xludf.DUMMYFUNCTION("""COMPUTED_VALUE"""),44408)</f>
        <v>44408</v>
      </c>
      <c r="P515" s="6" t="str">
        <f ca="1">IFERROR(__xludf.DUMMYFUNCTION("""COMPUTED_VALUE"""),"CSTM_4D37QEFCT05")</f>
        <v>CSTM_4D37QEFCT05</v>
      </c>
      <c r="Q515" s="6"/>
      <c r="R515" s="6" t="str">
        <f ca="1">IFERROR(__xludf.DUMMYFUNCTION("""COMPUTED_VALUE"""),"Pending")</f>
        <v>Pending</v>
      </c>
      <c r="S515" s="6" t="str">
        <f ca="1">IFERROR(__xludf.DUMMYFUNCTION("""COMPUTED_VALUE"""),"Category")</f>
        <v>Category</v>
      </c>
      <c r="T515" s="6"/>
      <c r="U515" s="6"/>
      <c r="V515" s="6"/>
      <c r="W515" s="6"/>
      <c r="X515" s="6"/>
      <c r="Y515" s="6"/>
      <c r="Z515" s="6"/>
      <c r="AA515" s="6"/>
      <c r="AB515" s="6"/>
      <c r="AC515" s="6"/>
      <c r="AD515" s="6"/>
      <c r="AE515" s="6"/>
      <c r="AF515" s="6"/>
      <c r="AG515" s="6"/>
      <c r="AH515" s="6"/>
      <c r="AI515" s="6"/>
      <c r="AJ515" s="6"/>
      <c r="AK515" s="6"/>
      <c r="AL515" s="6"/>
    </row>
    <row r="516" spans="1:38">
      <c r="A516" s="96">
        <f ca="1">IFERROR(__xludf.DUMMYFUNCTION("""COMPUTED_VALUE"""),44408)</f>
        <v>44408</v>
      </c>
      <c r="B516" s="6" t="str">
        <f ca="1">IFERROR(__xludf.DUMMYFUNCTION("""COMPUTED_VALUE"""),"Franklin Serrao")</f>
        <v>Franklin Serrao</v>
      </c>
      <c r="C516" s="6" t="str">
        <f ca="1">IFERROR(__xludf.DUMMYFUNCTION("""COMPUTED_VALUE"""),"fserrao29@gmail.com")</f>
        <v>fserrao29@gmail.com</v>
      </c>
      <c r="D516" s="6">
        <f ca="1">IFERROR(__xludf.DUMMYFUNCTION("""COMPUTED_VALUE"""),7506142186)</f>
        <v>7506142186</v>
      </c>
      <c r="E516" s="6" t="str">
        <f ca="1">IFERROR(__xludf.DUMMYFUNCTION("""COMPUTED_VALUE"""),"Account Repeat")</f>
        <v>Account Repeat</v>
      </c>
      <c r="F516" s="6" t="str">
        <f ca="1">IFERROR(__xludf.DUMMYFUNCTION("""COMPUTED_VALUE"""),"CSPO")</f>
        <v>CSPO</v>
      </c>
      <c r="G516" s="80">
        <f ca="1">IFERROR(__xludf.DUMMYFUNCTION("""COMPUTED_VALUE"""),44378)</f>
        <v>44378</v>
      </c>
      <c r="H516" s="6" t="str">
        <f ca="1">IFERROR(__xludf.DUMMYFUNCTION("""COMPUTED_VALUE"""),"Won")</f>
        <v>Won</v>
      </c>
      <c r="I516" s="6" t="str">
        <f ca="1">IFERROR(__xludf.DUMMYFUNCTION("""COMPUTED_VALUE"""),"7-8 Aug 2021")</f>
        <v>7-8 Aug 2021</v>
      </c>
      <c r="J516" s="6">
        <f ca="1">IFERROR(__xludf.DUMMYFUNCTION("""COMPUTED_VALUE"""),1)</f>
        <v>1</v>
      </c>
      <c r="K516" s="8">
        <f ca="1">IFERROR(__xludf.DUMMYFUNCTION("""COMPUTED_VALUE"""),18500)</f>
        <v>18500</v>
      </c>
      <c r="L516" s="8">
        <f ca="1">IFERROR(__xludf.DUMMYFUNCTION("""COMPUTED_VALUE"""),211.864406779661)</f>
        <v>211.86440677966101</v>
      </c>
      <c r="M516" s="96">
        <f ca="1">IFERROR(__xludf.DUMMYFUNCTION("""COMPUTED_VALUE"""),44408)</f>
        <v>44408</v>
      </c>
      <c r="N516" s="6" t="str">
        <f ca="1">IFERROR(__xludf.DUMMYFUNCTION("""COMPUTED_VALUE"""),"T10")</f>
        <v>T10</v>
      </c>
      <c r="O516" s="97">
        <f ca="1">IFERROR(__xludf.DUMMYFUNCTION("""COMPUTED_VALUE"""),44408)</f>
        <v>44408</v>
      </c>
      <c r="P516" s="6" t="str">
        <f ca="1">IFERROR(__xludf.DUMMYFUNCTION("""COMPUTED_VALUE"""),"CSTM_BIN8DMN55HE")</f>
        <v>CSTM_BIN8DMN55HE</v>
      </c>
      <c r="Q516" s="6"/>
      <c r="R516" s="6" t="str">
        <f ca="1">IFERROR(__xludf.DUMMYFUNCTION("""COMPUTED_VALUE"""),"Pending")</f>
        <v>Pending</v>
      </c>
      <c r="S516" s="6" t="str">
        <f ca="1">IFERROR(__xludf.DUMMYFUNCTION("""COMPUTED_VALUE"""),"Category")</f>
        <v>Category</v>
      </c>
      <c r="T516" s="6"/>
      <c r="U516" s="6"/>
      <c r="V516" s="6"/>
      <c r="W516" s="6"/>
      <c r="X516" s="6"/>
      <c r="Y516" s="6"/>
      <c r="Z516" s="6"/>
      <c r="AA516" s="6"/>
      <c r="AB516" s="6"/>
      <c r="AC516" s="6"/>
      <c r="AD516" s="6"/>
      <c r="AE516" s="6"/>
      <c r="AF516" s="6"/>
      <c r="AG516" s="6"/>
      <c r="AH516" s="6"/>
      <c r="AI516" s="6"/>
      <c r="AJ516" s="6"/>
      <c r="AK516" s="6"/>
      <c r="AL516" s="6"/>
    </row>
    <row r="517" spans="1:38">
      <c r="A517" s="96">
        <f ca="1">IFERROR(__xludf.DUMMYFUNCTION("""COMPUTED_VALUE"""),44408)</f>
        <v>44408</v>
      </c>
      <c r="B517" s="6" t="str">
        <f ca="1">IFERROR(__xludf.DUMMYFUNCTION("""COMPUTED_VALUE"""),"Nishanth Ram")</f>
        <v>Nishanth Ram</v>
      </c>
      <c r="C517" s="6" t="str">
        <f ca="1">IFERROR(__xludf.DUMMYFUNCTION("""COMPUTED_VALUE"""),"nishanth.ram@gmail.com")</f>
        <v>nishanth.ram@gmail.com</v>
      </c>
      <c r="D517" s="6">
        <f ca="1">IFERROR(__xludf.DUMMYFUNCTION("""COMPUTED_VALUE"""),9940757171)</f>
        <v>9940757171</v>
      </c>
      <c r="E517" s="6" t="str">
        <f ca="1">IFERROR(__xludf.DUMMYFUNCTION("""COMPUTED_VALUE"""),"chat_initiated")</f>
        <v>chat_initiated</v>
      </c>
      <c r="F517" s="6" t="str">
        <f ca="1">IFERROR(__xludf.DUMMYFUNCTION("""COMPUTED_VALUE"""),"PSPO")</f>
        <v>PSPO</v>
      </c>
      <c r="G517" s="80">
        <f ca="1">IFERROR(__xludf.DUMMYFUNCTION("""COMPUTED_VALUE"""),44378)</f>
        <v>44378</v>
      </c>
      <c r="H517" s="6" t="str">
        <f ca="1">IFERROR(__xludf.DUMMYFUNCTION("""COMPUTED_VALUE"""),"Won")</f>
        <v>Won</v>
      </c>
      <c r="I517" s="6" t="str">
        <f ca="1">IFERROR(__xludf.DUMMYFUNCTION("""COMPUTED_VALUE"""),"7-8 Aug 2021")</f>
        <v>7-8 Aug 2021</v>
      </c>
      <c r="J517" s="6">
        <f ca="1">IFERROR(__xludf.DUMMYFUNCTION("""COMPUTED_VALUE"""),1)</f>
        <v>1</v>
      </c>
      <c r="K517" s="8">
        <f ca="1">IFERROR(__xludf.DUMMYFUNCTION("""COMPUTED_VALUE"""),21000)</f>
        <v>21000</v>
      </c>
      <c r="L517" s="8">
        <f ca="1">IFERROR(__xludf.DUMMYFUNCTION("""COMPUTED_VALUE"""),240.494732020155)</f>
        <v>240.494732020155</v>
      </c>
      <c r="M517" s="96">
        <f ca="1">IFERROR(__xludf.DUMMYFUNCTION("""COMPUTED_VALUE"""),44408)</f>
        <v>44408</v>
      </c>
      <c r="N517" s="6" t="str">
        <f ca="1">IFERROR(__xludf.DUMMYFUNCTION("""COMPUTED_VALUE"""),"T10")</f>
        <v>T10</v>
      </c>
      <c r="O517" s="97">
        <f ca="1">IFERROR(__xludf.DUMMYFUNCTION("""COMPUTED_VALUE"""),44408)</f>
        <v>44408</v>
      </c>
      <c r="P517" s="6" t="str">
        <f ca="1">IFERROR(__xludf.DUMMYFUNCTION("""COMPUTED_VALUE"""),"CSTM_3QFH9YGJI0A")</f>
        <v>CSTM_3QFH9YGJI0A</v>
      </c>
      <c r="Q517" s="6"/>
      <c r="R517" s="6" t="str">
        <f ca="1">IFERROR(__xludf.DUMMYFUNCTION("""COMPUTED_VALUE"""),"Done. Good feedback.")</f>
        <v>Done. Good feedback.</v>
      </c>
      <c r="S517" s="6" t="str">
        <f ca="1">IFERROR(__xludf.DUMMYFUNCTION("""COMPUTED_VALUE"""),"Category")</f>
        <v>Category</v>
      </c>
      <c r="T517" s="6"/>
      <c r="U517" s="6"/>
      <c r="V517" s="6"/>
      <c r="W517" s="6"/>
      <c r="X517" s="6"/>
      <c r="Y517" s="6"/>
      <c r="Z517" s="6"/>
      <c r="AA517" s="6"/>
      <c r="AB517" s="6"/>
      <c r="AC517" s="6"/>
      <c r="AD517" s="6"/>
      <c r="AE517" s="6"/>
      <c r="AF517" s="6"/>
      <c r="AG517" s="6"/>
      <c r="AH517" s="6"/>
      <c r="AI517" s="6"/>
      <c r="AJ517" s="6"/>
      <c r="AK517" s="6"/>
      <c r="AL517" s="6"/>
    </row>
    <row r="518" spans="1:38">
      <c r="A518" s="96">
        <f ca="1">IFERROR(__xludf.DUMMYFUNCTION("""COMPUTED_VALUE"""),44409)</f>
        <v>44409</v>
      </c>
      <c r="B518" s="6" t="str">
        <f ca="1">IFERROR(__xludf.DUMMYFUNCTION("""COMPUTED_VALUE"""),"Swathy")</f>
        <v>Swathy</v>
      </c>
      <c r="C518" s="6" t="str">
        <f ca="1">IFERROR(__xludf.DUMMYFUNCTION("""COMPUTED_VALUE"""),"swathytvd@gmail.com")</f>
        <v>swathytvd@gmail.com</v>
      </c>
      <c r="D518" s="6">
        <f ca="1">IFERROR(__xludf.DUMMYFUNCTION("""COMPUTED_VALUE"""),9087338714)</f>
        <v>9087338714</v>
      </c>
      <c r="E518" s="6" t="str">
        <f ca="1">IFERROR(__xludf.DUMMYFUNCTION("""COMPUTED_VALUE"""),"Reference")</f>
        <v>Reference</v>
      </c>
      <c r="F518" s="6" t="str">
        <f ca="1">IFERROR(__xludf.DUMMYFUNCTION("""COMPUTED_VALUE"""),"CSM")</f>
        <v>CSM</v>
      </c>
      <c r="G518" s="80">
        <f ca="1">IFERROR(__xludf.DUMMYFUNCTION("""COMPUTED_VALUE"""),44409)</f>
        <v>44409</v>
      </c>
      <c r="H518" s="6" t="str">
        <f ca="1">IFERROR(__xludf.DUMMYFUNCTION("""COMPUTED_VALUE"""),"Won")</f>
        <v>Won</v>
      </c>
      <c r="I518" s="6" t="str">
        <f ca="1">IFERROR(__xludf.DUMMYFUNCTION("""COMPUTED_VALUE"""),"21-22 Aug 2021")</f>
        <v>21-22 Aug 2021</v>
      </c>
      <c r="J518" s="6">
        <f ca="1">IFERROR(__xludf.DUMMYFUNCTION("""COMPUTED_VALUE"""),1)</f>
        <v>1</v>
      </c>
      <c r="K518" s="8">
        <f ca="1">IFERROR(__xludf.DUMMYFUNCTION("""COMPUTED_VALUE"""),18000)</f>
        <v>18000</v>
      </c>
      <c r="L518" s="8">
        <f ca="1">IFERROR(__xludf.DUMMYFUNCTION("""COMPUTED_VALUE"""),206.138341731562)</f>
        <v>206.13834173156201</v>
      </c>
      <c r="M518" s="96">
        <f ca="1">IFERROR(__xludf.DUMMYFUNCTION("""COMPUTED_VALUE"""),44409)</f>
        <v>44409</v>
      </c>
      <c r="N518" s="6" t="str">
        <f ca="1">IFERROR(__xludf.DUMMYFUNCTION("""COMPUTED_VALUE"""),"F10")</f>
        <v>F10</v>
      </c>
      <c r="O518" s="97">
        <f ca="1">IFERROR(__xludf.DUMMYFUNCTION("""COMPUTED_VALUE"""),44409)</f>
        <v>44409</v>
      </c>
      <c r="P518" s="6" t="str">
        <f ca="1">IFERROR(__xludf.DUMMYFUNCTION("""COMPUTED_VALUE"""),"CSTM_EPKDA5BLJG7")</f>
        <v>CSTM_EPKDA5BLJG7</v>
      </c>
      <c r="Q518" s="6" t="str">
        <f ca="1">IFERROR(__xludf.DUMMYFUNCTION("""COMPUTED_VALUE"""),"Aurko")</f>
        <v>Aurko</v>
      </c>
      <c r="R518" s="6" t="str">
        <f ca="1">IFERROR(__xludf.DUMMYFUNCTION("""COMPUTED_VALUE"""),"Done. Good feedback.")</f>
        <v>Done. Good feedback.</v>
      </c>
      <c r="S518" s="6" t="str">
        <f ca="1">IFERROR(__xludf.DUMMYFUNCTION("""COMPUTED_VALUE"""),"Category")</f>
        <v>Category</v>
      </c>
      <c r="T518" s="6"/>
      <c r="U518" s="6"/>
      <c r="V518" s="6"/>
      <c r="W518" s="6"/>
      <c r="X518" s="6"/>
      <c r="Y518" s="6"/>
      <c r="Z518" s="6"/>
      <c r="AA518" s="6"/>
      <c r="AB518" s="6"/>
      <c r="AC518" s="6"/>
      <c r="AD518" s="6"/>
      <c r="AE518" s="6"/>
      <c r="AF518" s="6"/>
      <c r="AG518" s="6"/>
      <c r="AH518" s="6"/>
      <c r="AI518" s="6"/>
      <c r="AJ518" s="6"/>
      <c r="AK518" s="6"/>
      <c r="AL518" s="6"/>
    </row>
    <row r="519" spans="1:38">
      <c r="A519" s="96">
        <f ca="1">IFERROR(__xludf.DUMMYFUNCTION("""COMPUTED_VALUE"""),44409)</f>
        <v>44409</v>
      </c>
      <c r="B519" s="6" t="str">
        <f ca="1">IFERROR(__xludf.DUMMYFUNCTION("""COMPUTED_VALUE"""),"Sabari")</f>
        <v>Sabari</v>
      </c>
      <c r="C519" s="6" t="str">
        <f ca="1">IFERROR(__xludf.DUMMYFUNCTION("""COMPUTED_VALUE"""),"mbsabari17@gmail.com")</f>
        <v>mbsabari17@gmail.com</v>
      </c>
      <c r="D519" s="6">
        <f ca="1">IFERROR(__xludf.DUMMYFUNCTION("""COMPUTED_VALUE"""),9789793517)</f>
        <v>9789793517</v>
      </c>
      <c r="E519" s="6" t="str">
        <f ca="1">IFERROR(__xludf.DUMMYFUNCTION("""COMPUTED_VALUE"""),"Reference")</f>
        <v>Reference</v>
      </c>
      <c r="F519" s="6" t="str">
        <f ca="1">IFERROR(__xludf.DUMMYFUNCTION("""COMPUTED_VALUE"""),"CSM")</f>
        <v>CSM</v>
      </c>
      <c r="G519" s="80">
        <f ca="1">IFERROR(__xludf.DUMMYFUNCTION("""COMPUTED_VALUE"""),44409)</f>
        <v>44409</v>
      </c>
      <c r="H519" s="6" t="str">
        <f ca="1">IFERROR(__xludf.DUMMYFUNCTION("""COMPUTED_VALUE"""),"Won")</f>
        <v>Won</v>
      </c>
      <c r="I519" s="6" t="str">
        <f ca="1">IFERROR(__xludf.DUMMYFUNCTION("""COMPUTED_VALUE"""),"21-22 Aug 2021")</f>
        <v>21-22 Aug 2021</v>
      </c>
      <c r="J519" s="6">
        <f ca="1">IFERROR(__xludf.DUMMYFUNCTION("""COMPUTED_VALUE"""),1)</f>
        <v>1</v>
      </c>
      <c r="K519" s="8">
        <f ca="1">IFERROR(__xludf.DUMMYFUNCTION("""COMPUTED_VALUE"""),18000)</f>
        <v>18000</v>
      </c>
      <c r="L519" s="8">
        <f ca="1">IFERROR(__xludf.DUMMYFUNCTION("""COMPUTED_VALUE"""),206.138341731562)</f>
        <v>206.13834173156201</v>
      </c>
      <c r="M519" s="96">
        <f ca="1">IFERROR(__xludf.DUMMYFUNCTION("""COMPUTED_VALUE"""),44409)</f>
        <v>44409</v>
      </c>
      <c r="N519" s="6" t="str">
        <f ca="1">IFERROR(__xludf.DUMMYFUNCTION("""COMPUTED_VALUE"""),"F10")</f>
        <v>F10</v>
      </c>
      <c r="O519" s="97">
        <f ca="1">IFERROR(__xludf.DUMMYFUNCTION("""COMPUTED_VALUE"""),44409)</f>
        <v>44409</v>
      </c>
      <c r="P519" s="6" t="str">
        <f ca="1">IFERROR(__xludf.DUMMYFUNCTION("""COMPUTED_VALUE"""),"CSTM_B66MXJVDC5G")</f>
        <v>CSTM_B66MXJVDC5G</v>
      </c>
      <c r="Q519" s="6" t="str">
        <f ca="1">IFERROR(__xludf.DUMMYFUNCTION("""COMPUTED_VALUE"""),"Aurko")</f>
        <v>Aurko</v>
      </c>
      <c r="R519" s="6" t="str">
        <f ca="1">IFERROR(__xludf.DUMMYFUNCTION("""COMPUTED_VALUE"""),"Done. Good feedback.")</f>
        <v>Done. Good feedback.</v>
      </c>
      <c r="S519" s="6" t="str">
        <f ca="1">IFERROR(__xludf.DUMMYFUNCTION("""COMPUTED_VALUE"""),"Category")</f>
        <v>Category</v>
      </c>
      <c r="T519" s="6"/>
      <c r="U519" s="6"/>
      <c r="V519" s="6"/>
      <c r="W519" s="6"/>
      <c r="X519" s="6"/>
      <c r="Y519" s="6"/>
      <c r="Z519" s="6"/>
      <c r="AA519" s="6"/>
      <c r="AB519" s="6"/>
      <c r="AC519" s="6"/>
      <c r="AD519" s="6"/>
      <c r="AE519" s="6"/>
      <c r="AF519" s="6"/>
      <c r="AG519" s="6"/>
      <c r="AH519" s="6"/>
      <c r="AI519" s="6"/>
      <c r="AJ519" s="6"/>
      <c r="AK519" s="6"/>
      <c r="AL519" s="6"/>
    </row>
    <row r="520" spans="1:38">
      <c r="A520" s="96">
        <f ca="1">IFERROR(__xludf.DUMMYFUNCTION("""COMPUTED_VALUE"""),44416)</f>
        <v>44416</v>
      </c>
      <c r="B520" s="6" t="str">
        <f ca="1">IFERROR(__xludf.DUMMYFUNCTION("""COMPUTED_VALUE"""),"Koushik")</f>
        <v>Koushik</v>
      </c>
      <c r="C520" s="6" t="str">
        <f ca="1">IFERROR(__xludf.DUMMYFUNCTION("""COMPUTED_VALUE"""),"koushik13107743@gmail.com")</f>
        <v>koushik13107743@gmail.com</v>
      </c>
      <c r="D520" s="6">
        <f ca="1">IFERROR(__xludf.DUMMYFUNCTION("""COMPUTED_VALUE"""),9845535281)</f>
        <v>9845535281</v>
      </c>
      <c r="E520" s="6" t="str">
        <f ca="1">IFERROR(__xludf.DUMMYFUNCTION("""COMPUTED_VALUE"""),"Chat_triggered")</f>
        <v>Chat_triggered</v>
      </c>
      <c r="F520" s="6" t="str">
        <f ca="1">IFERROR(__xludf.DUMMYFUNCTION("""COMPUTED_VALUE"""),"SAFe SSM")</f>
        <v>SAFe SSM</v>
      </c>
      <c r="G520" s="80">
        <f ca="1">IFERROR(__xludf.DUMMYFUNCTION("""COMPUTED_VALUE"""),44409)</f>
        <v>44409</v>
      </c>
      <c r="H520" s="6" t="str">
        <f ca="1">IFERROR(__xludf.DUMMYFUNCTION("""COMPUTED_VALUE"""),"Won")</f>
        <v>Won</v>
      </c>
      <c r="I520" s="6" t="str">
        <f ca="1">IFERROR(__xludf.DUMMYFUNCTION("""COMPUTED_VALUE"""),"4-5 Sep 2021")</f>
        <v>4-5 Sep 2021</v>
      </c>
      <c r="J520" s="6">
        <f ca="1">IFERROR(__xludf.DUMMYFUNCTION("""COMPUTED_VALUE"""),1)</f>
        <v>1</v>
      </c>
      <c r="K520" s="8">
        <f ca="1">IFERROR(__xludf.DUMMYFUNCTION("""COMPUTED_VALUE"""),46000)</f>
        <v>46000</v>
      </c>
      <c r="L520" s="8">
        <f ca="1">IFERROR(__xludf.DUMMYFUNCTION("""COMPUTED_VALUE"""),526.797984425103)</f>
        <v>526.79798442510298</v>
      </c>
      <c r="M520" s="96">
        <f ca="1">IFERROR(__xludf.DUMMYFUNCTION("""COMPUTED_VALUE"""),44410)</f>
        <v>44410</v>
      </c>
      <c r="N520" s="6" t="str">
        <f ca="1">IFERROR(__xludf.DUMMYFUNCTION("""COMPUTED_VALUE"""),"F10")</f>
        <v>F10</v>
      </c>
      <c r="O520" s="97">
        <f ca="1">IFERROR(__xludf.DUMMYFUNCTION("""COMPUTED_VALUE"""),44410)</f>
        <v>44410</v>
      </c>
      <c r="P520" s="6" t="str">
        <f ca="1">IFERROR(__xludf.DUMMYFUNCTION("""COMPUTED_VALUE"""),"CSTM_6ZCPVKW5QVC")</f>
        <v>CSTM_6ZCPVKW5QVC</v>
      </c>
      <c r="Q520" s="6"/>
      <c r="R520" s="6" t="str">
        <f ca="1">IFERROR(__xludf.DUMMYFUNCTION("""COMPUTED_VALUE"""),"Done. Good feedback.")</f>
        <v>Done. Good feedback.</v>
      </c>
      <c r="S520" s="6" t="str">
        <f ca="1">IFERROR(__xludf.DUMMYFUNCTION("""COMPUTED_VALUE"""),"SAFe")</f>
        <v>SAFe</v>
      </c>
      <c r="T520" s="6"/>
      <c r="U520" s="6"/>
      <c r="V520" s="6"/>
      <c r="W520" s="6"/>
      <c r="X520" s="6"/>
      <c r="Y520" s="6"/>
      <c r="Z520" s="6"/>
      <c r="AA520" s="6"/>
      <c r="AB520" s="6"/>
      <c r="AC520" s="6"/>
      <c r="AD520" s="6"/>
      <c r="AE520" s="6"/>
      <c r="AF520" s="6"/>
      <c r="AG520" s="6"/>
      <c r="AH520" s="6"/>
      <c r="AI520" s="6"/>
      <c r="AJ520" s="6"/>
      <c r="AK520" s="6"/>
      <c r="AL520" s="6"/>
    </row>
    <row r="521" spans="1:38">
      <c r="A521" s="96">
        <f ca="1">IFERROR(__xludf.DUMMYFUNCTION("""COMPUTED_VALUE"""),44416)</f>
        <v>44416</v>
      </c>
      <c r="B521" s="6" t="str">
        <f ca="1">IFERROR(__xludf.DUMMYFUNCTION("""COMPUTED_VALUE"""),"Shikha Chauhan")</f>
        <v>Shikha Chauhan</v>
      </c>
      <c r="C521" s="6" t="str">
        <f ca="1">IFERROR(__xludf.DUMMYFUNCTION("""COMPUTED_VALUE"""),"shikhachauhan536@gmail.com")</f>
        <v>shikhachauhan536@gmail.com</v>
      </c>
      <c r="D521" s="6">
        <f ca="1">IFERROR(__xludf.DUMMYFUNCTION("""COMPUTED_VALUE"""),8904625770)</f>
        <v>8904625770</v>
      </c>
      <c r="E521" s="6" t="str">
        <f ca="1">IFERROR(__xludf.DUMMYFUNCTION("""COMPUTED_VALUE"""),"Query box")</f>
        <v>Query box</v>
      </c>
      <c r="F521" s="6" t="str">
        <f ca="1">IFERROR(__xludf.DUMMYFUNCTION("""COMPUTED_VALUE"""),"PSPO")</f>
        <v>PSPO</v>
      </c>
      <c r="G521" s="80">
        <f ca="1">IFERROR(__xludf.DUMMYFUNCTION("""COMPUTED_VALUE"""),44409)</f>
        <v>44409</v>
      </c>
      <c r="H521" s="6" t="str">
        <f ca="1">IFERROR(__xludf.DUMMYFUNCTION("""COMPUTED_VALUE"""),"Won")</f>
        <v>Won</v>
      </c>
      <c r="I521" s="6" t="str">
        <f ca="1">IFERROR(__xludf.DUMMYFUNCTION("""COMPUTED_VALUE"""),"7-8 Aug 2021")</f>
        <v>7-8 Aug 2021</v>
      </c>
      <c r="J521" s="6">
        <f ca="1">IFERROR(__xludf.DUMMYFUNCTION("""COMPUTED_VALUE"""),1)</f>
        <v>1</v>
      </c>
      <c r="K521" s="8">
        <f ca="1">IFERROR(__xludf.DUMMYFUNCTION("""COMPUTED_VALUE"""),21000)</f>
        <v>21000</v>
      </c>
      <c r="L521" s="8">
        <f ca="1">IFERROR(__xludf.DUMMYFUNCTION("""COMPUTED_VALUE"""),240.494732020155)</f>
        <v>240.494732020155</v>
      </c>
      <c r="M521" s="96">
        <f ca="1">IFERROR(__xludf.DUMMYFUNCTION("""COMPUTED_VALUE"""),44410)</f>
        <v>44410</v>
      </c>
      <c r="N521" s="6" t="str">
        <f ca="1">IFERROR(__xludf.DUMMYFUNCTION("""COMPUTED_VALUE"""),"F10")</f>
        <v>F10</v>
      </c>
      <c r="O521" s="97">
        <f ca="1">IFERROR(__xludf.DUMMYFUNCTION("""COMPUTED_VALUE"""),44410)</f>
        <v>44410</v>
      </c>
      <c r="P521" s="6" t="str">
        <f ca="1">IFERROR(__xludf.DUMMYFUNCTION("""COMPUTED_VALUE"""),"CSTM_HF7H18C4OY4")</f>
        <v>CSTM_HF7H18C4OY4</v>
      </c>
      <c r="Q521" s="6"/>
      <c r="R521" s="6" t="str">
        <f ca="1">IFERROR(__xludf.DUMMYFUNCTION("""COMPUTED_VALUE"""),"Done. Good feedback.")</f>
        <v>Done. Good feedback.</v>
      </c>
      <c r="S521" s="6" t="str">
        <f ca="1">IFERROR(__xludf.DUMMYFUNCTION("""COMPUTED_VALUE"""),"Category")</f>
        <v>Category</v>
      </c>
      <c r="T521" s="6"/>
      <c r="U521" s="6"/>
      <c r="V521" s="6"/>
      <c r="W521" s="6"/>
      <c r="X521" s="6"/>
      <c r="Y521" s="6"/>
      <c r="Z521" s="6"/>
      <c r="AA521" s="6"/>
      <c r="AB521" s="6"/>
      <c r="AC521" s="6"/>
      <c r="AD521" s="6"/>
      <c r="AE521" s="6"/>
      <c r="AF521" s="6"/>
      <c r="AG521" s="6"/>
      <c r="AH521" s="6"/>
      <c r="AI521" s="6"/>
      <c r="AJ521" s="6"/>
      <c r="AK521" s="6"/>
      <c r="AL521" s="6"/>
    </row>
    <row r="522" spans="1:38">
      <c r="A522" s="96">
        <f ca="1">IFERROR(__xludf.DUMMYFUNCTION("""COMPUTED_VALUE"""),44411)</f>
        <v>44411</v>
      </c>
      <c r="B522" s="6" t="str">
        <f ca="1">IFERROR(__xludf.DUMMYFUNCTION("""COMPUTED_VALUE"""),"Ashish Rahu")</f>
        <v>Ashish Rahu</v>
      </c>
      <c r="C522" s="6" t="str">
        <f ca="1">IFERROR(__xludf.DUMMYFUNCTION("""COMPUTED_VALUE"""),"ashishkrsahu2014@gmail.com")</f>
        <v>ashishkrsahu2014@gmail.com</v>
      </c>
      <c r="D522" s="6">
        <f ca="1">IFERROR(__xludf.DUMMYFUNCTION("""COMPUTED_VALUE"""),7798982817)</f>
        <v>7798982817</v>
      </c>
      <c r="E522" s="6" t="str">
        <f ca="1">IFERROR(__xludf.DUMMYFUNCTION("""COMPUTED_VALUE"""),"Chat_triggered")</f>
        <v>Chat_triggered</v>
      </c>
      <c r="F522" s="6" t="str">
        <f ca="1">IFERROR(__xludf.DUMMYFUNCTION("""COMPUTED_VALUE"""),"PSM")</f>
        <v>PSM</v>
      </c>
      <c r="G522" s="80">
        <f ca="1">IFERROR(__xludf.DUMMYFUNCTION("""COMPUTED_VALUE"""),44409)</f>
        <v>44409</v>
      </c>
      <c r="H522" s="6" t="str">
        <f ca="1">IFERROR(__xludf.DUMMYFUNCTION("""COMPUTED_VALUE"""),"Won")</f>
        <v>Won</v>
      </c>
      <c r="I522" s="6" t="str">
        <f ca="1">IFERROR(__xludf.DUMMYFUNCTION("""COMPUTED_VALUE"""),"7-8 Aug 2021")</f>
        <v>7-8 Aug 2021</v>
      </c>
      <c r="J522" s="6">
        <f ca="1">IFERROR(__xludf.DUMMYFUNCTION("""COMPUTED_VALUE"""),1)</f>
        <v>1</v>
      </c>
      <c r="K522" s="8">
        <f ca="1">IFERROR(__xludf.DUMMYFUNCTION("""COMPUTED_VALUE"""),21000)</f>
        <v>21000</v>
      </c>
      <c r="L522" s="8">
        <f ca="1">IFERROR(__xludf.DUMMYFUNCTION("""COMPUTED_VALUE"""),240.494732020155)</f>
        <v>240.494732020155</v>
      </c>
      <c r="M522" s="96">
        <f ca="1">IFERROR(__xludf.DUMMYFUNCTION("""COMPUTED_VALUE"""),44411)</f>
        <v>44411</v>
      </c>
      <c r="N522" s="6" t="str">
        <f ca="1">IFERROR(__xludf.DUMMYFUNCTION("""COMPUTED_VALUE"""),"F10")</f>
        <v>F10</v>
      </c>
      <c r="O522" s="97">
        <f ca="1">IFERROR(__xludf.DUMMYFUNCTION("""COMPUTED_VALUE"""),44412)</f>
        <v>44412</v>
      </c>
      <c r="P522" s="6" t="str">
        <f ca="1">IFERROR(__xludf.DUMMYFUNCTION("""COMPUTED_VALUE"""),"CSTM_NIXSRA0SVO")</f>
        <v>CSTM_NIXSRA0SVO</v>
      </c>
      <c r="Q522" s="6"/>
      <c r="R522" s="6" t="str">
        <f ca="1">IFERROR(__xludf.DUMMYFUNCTION("""COMPUTED_VALUE"""),"Done. Good feedback.")</f>
        <v>Done. Good feedback.</v>
      </c>
      <c r="S522" s="6" t="str">
        <f ca="1">IFERROR(__xludf.DUMMYFUNCTION("""COMPUTED_VALUE"""),"Category")</f>
        <v>Category</v>
      </c>
      <c r="T522" s="6"/>
      <c r="U522" s="6"/>
      <c r="V522" s="6"/>
      <c r="W522" s="6"/>
      <c r="X522" s="6"/>
      <c r="Y522" s="6"/>
      <c r="Z522" s="6"/>
      <c r="AA522" s="6"/>
      <c r="AB522" s="6"/>
      <c r="AC522" s="6"/>
      <c r="AD522" s="6"/>
      <c r="AE522" s="6"/>
      <c r="AF522" s="6"/>
      <c r="AG522" s="6"/>
      <c r="AH522" s="6"/>
      <c r="AI522" s="6"/>
      <c r="AJ522" s="6"/>
      <c r="AK522" s="6"/>
      <c r="AL522" s="6"/>
    </row>
    <row r="523" spans="1:38">
      <c r="A523" s="96">
        <f ca="1">IFERROR(__xludf.DUMMYFUNCTION("""COMPUTED_VALUE"""),44411)</f>
        <v>44411</v>
      </c>
      <c r="B523" s="6" t="str">
        <f ca="1">IFERROR(__xludf.DUMMYFUNCTION("""COMPUTED_VALUE"""),"Varsha")</f>
        <v>Varsha</v>
      </c>
      <c r="C523" s="6" t="str">
        <f ca="1">IFERROR(__xludf.DUMMYFUNCTION("""COMPUTED_VALUE"""),"varshas0602@gmail.com")</f>
        <v>varshas0602@gmail.com</v>
      </c>
      <c r="D523" s="6">
        <f ca="1">IFERROR(__xludf.DUMMYFUNCTION("""COMPUTED_VALUE"""),8867140424)</f>
        <v>8867140424</v>
      </c>
      <c r="E523" s="6" t="str">
        <f ca="1">IFERROR(__xludf.DUMMYFUNCTION("""COMPUTED_VALUE"""),"Tollfree")</f>
        <v>Tollfree</v>
      </c>
      <c r="F523" s="6" t="str">
        <f ca="1">IFERROR(__xludf.DUMMYFUNCTION("""COMPUTED_VALUE"""),"CSM")</f>
        <v>CSM</v>
      </c>
      <c r="G523" s="80">
        <f ca="1">IFERROR(__xludf.DUMMYFUNCTION("""COMPUTED_VALUE"""),44409)</f>
        <v>44409</v>
      </c>
      <c r="H523" s="6" t="str">
        <f ca="1">IFERROR(__xludf.DUMMYFUNCTION("""COMPUTED_VALUE"""),"Won")</f>
        <v>Won</v>
      </c>
      <c r="I523" s="6" t="str">
        <f ca="1">IFERROR(__xludf.DUMMYFUNCTION("""COMPUTED_VALUE"""),"21-22 Aug 2021")</f>
        <v>21-22 Aug 2021</v>
      </c>
      <c r="J523" s="6">
        <f ca="1">IFERROR(__xludf.DUMMYFUNCTION("""COMPUTED_VALUE"""),1)</f>
        <v>1</v>
      </c>
      <c r="K523" s="8">
        <f ca="1">IFERROR(__xludf.DUMMYFUNCTION("""COMPUTED_VALUE"""),19500)</f>
        <v>19500</v>
      </c>
      <c r="L523" s="8">
        <f ca="1">IFERROR(__xludf.DUMMYFUNCTION("""COMPUTED_VALUE"""),223.316536875858)</f>
        <v>223.31653687585799</v>
      </c>
      <c r="M523" s="96">
        <f ca="1">IFERROR(__xludf.DUMMYFUNCTION("""COMPUTED_VALUE"""),44411)</f>
        <v>44411</v>
      </c>
      <c r="N523" s="6" t="str">
        <f ca="1">IFERROR(__xludf.DUMMYFUNCTION("""COMPUTED_VALUE"""),"S10")</f>
        <v>S10</v>
      </c>
      <c r="O523" s="97">
        <f ca="1">IFERROR(__xludf.DUMMYFUNCTION("""COMPUTED_VALUE"""),44420)</f>
        <v>44420</v>
      </c>
      <c r="P523" s="6" t="str">
        <f ca="1">IFERROR(__xludf.DUMMYFUNCTION("""COMPUTED_VALUE"""),"CSTM_CA0497H7FG3")</f>
        <v>CSTM_CA0497H7FG3</v>
      </c>
      <c r="Q523" s="6"/>
      <c r="R523" s="6" t="str">
        <f ca="1">IFERROR(__xludf.DUMMYFUNCTION("""COMPUTED_VALUE"""),"Done. Good feedback.")</f>
        <v>Done. Good feedback.</v>
      </c>
      <c r="S523" s="6" t="str">
        <f ca="1">IFERROR(__xludf.DUMMYFUNCTION("""COMPUTED_VALUE"""),"Category")</f>
        <v>Category</v>
      </c>
      <c r="T523" s="6"/>
      <c r="U523" s="6"/>
      <c r="V523" s="6"/>
      <c r="W523" s="6"/>
      <c r="X523" s="6"/>
      <c r="Y523" s="6"/>
      <c r="Z523" s="6"/>
      <c r="AA523" s="6"/>
      <c r="AB523" s="6"/>
      <c r="AC523" s="6"/>
      <c r="AD523" s="6"/>
      <c r="AE523" s="6"/>
      <c r="AF523" s="6"/>
      <c r="AG523" s="6"/>
      <c r="AH523" s="6"/>
      <c r="AI523" s="6"/>
      <c r="AJ523" s="6"/>
      <c r="AK523" s="6"/>
      <c r="AL523" s="6"/>
    </row>
    <row r="524" spans="1:38">
      <c r="A524" s="96">
        <f ca="1">IFERROR(__xludf.DUMMYFUNCTION("""COMPUTED_VALUE"""),44411)</f>
        <v>44411</v>
      </c>
      <c r="B524" s="6" t="str">
        <f ca="1">IFERROR(__xludf.DUMMYFUNCTION("""COMPUTED_VALUE"""),"Balaji Sugumar")</f>
        <v>Balaji Sugumar</v>
      </c>
      <c r="C524" s="6" t="str">
        <f ca="1">IFERROR(__xludf.DUMMYFUNCTION("""COMPUTED_VALUE"""),"sugumarbalaji@yahoo.co.in")</f>
        <v>sugumarbalaji@yahoo.co.in</v>
      </c>
      <c r="D524" s="6">
        <f ca="1">IFERROR(__xludf.DUMMYFUNCTION("""COMPUTED_VALUE"""),9901977148)</f>
        <v>9901977148</v>
      </c>
      <c r="E524" s="6" t="str">
        <f ca="1">IFERROR(__xludf.DUMMYFUNCTION("""COMPUTED_VALUE"""),"Reference")</f>
        <v>Reference</v>
      </c>
      <c r="F524" s="6" t="str">
        <f ca="1">IFERROR(__xludf.DUMMYFUNCTION("""COMPUTED_VALUE"""),"CSPO")</f>
        <v>CSPO</v>
      </c>
      <c r="G524" s="80">
        <f ca="1">IFERROR(__xludf.DUMMYFUNCTION("""COMPUTED_VALUE"""),44409)</f>
        <v>44409</v>
      </c>
      <c r="H524" s="6" t="str">
        <f ca="1">IFERROR(__xludf.DUMMYFUNCTION("""COMPUTED_VALUE"""),"Won")</f>
        <v>Won</v>
      </c>
      <c r="I524" s="6" t="str">
        <f ca="1">IFERROR(__xludf.DUMMYFUNCTION("""COMPUTED_VALUE"""),"4-5 Sep 2021")</f>
        <v>4-5 Sep 2021</v>
      </c>
      <c r="J524" s="6">
        <f ca="1">IFERROR(__xludf.DUMMYFUNCTION("""COMPUTED_VALUE"""),1)</f>
        <v>1</v>
      </c>
      <c r="K524" s="8">
        <f ca="1">IFERROR(__xludf.DUMMYFUNCTION("""COMPUTED_VALUE"""),19000)</f>
        <v>19000</v>
      </c>
      <c r="L524" s="8">
        <f ca="1">IFERROR(__xludf.DUMMYFUNCTION("""COMPUTED_VALUE"""),217.590471827759)</f>
        <v>217.59047182775899</v>
      </c>
      <c r="M524" s="96">
        <f ca="1">IFERROR(__xludf.DUMMYFUNCTION("""COMPUTED_VALUE"""),44411)</f>
        <v>44411</v>
      </c>
      <c r="N524" s="6" t="str">
        <f ca="1">IFERROR(__xludf.DUMMYFUNCTION("""COMPUTED_VALUE"""),"F10")</f>
        <v>F10</v>
      </c>
      <c r="O524" s="97">
        <f ca="1">IFERROR(__xludf.DUMMYFUNCTION("""COMPUTED_VALUE"""),44411)</f>
        <v>44411</v>
      </c>
      <c r="P524" s="6" t="str">
        <f ca="1">IFERROR(__xludf.DUMMYFUNCTION("""COMPUTED_VALUE"""),"CSTM_E03ATG9BDDG")</f>
        <v>CSTM_E03ATG9BDDG</v>
      </c>
      <c r="Q524" s="6" t="str">
        <f ca="1">IFERROR(__xludf.DUMMYFUNCTION("""COMPUTED_VALUE"""),"payelaich03@gmail.com")</f>
        <v>payelaich03@gmail.com</v>
      </c>
      <c r="R524" s="6" t="str">
        <f ca="1">IFERROR(__xludf.DUMMYFUNCTION("""COMPUTED_VALUE"""),"Done. Good feedback.")</f>
        <v>Done. Good feedback.</v>
      </c>
      <c r="S524" s="6" t="str">
        <f ca="1">IFERROR(__xludf.DUMMYFUNCTION("""COMPUTED_VALUE"""),"Category")</f>
        <v>Category</v>
      </c>
      <c r="T524" s="6"/>
      <c r="U524" s="6"/>
      <c r="V524" s="6"/>
      <c r="W524" s="6"/>
      <c r="X524" s="6"/>
      <c r="Y524" s="6"/>
      <c r="Z524" s="6"/>
      <c r="AA524" s="6"/>
      <c r="AB524" s="6"/>
      <c r="AC524" s="6"/>
      <c r="AD524" s="6"/>
      <c r="AE524" s="6"/>
      <c r="AF524" s="6"/>
      <c r="AG524" s="6"/>
      <c r="AH524" s="6"/>
      <c r="AI524" s="6"/>
      <c r="AJ524" s="6"/>
      <c r="AK524" s="6"/>
      <c r="AL524" s="6"/>
    </row>
    <row r="525" spans="1:38">
      <c r="A525" s="96">
        <f ca="1">IFERROR(__xludf.DUMMYFUNCTION("""COMPUTED_VALUE"""),44411)</f>
        <v>44411</v>
      </c>
      <c r="B525" s="6" t="str">
        <f ca="1">IFERROR(__xludf.DUMMYFUNCTION("""COMPUTED_VALUE"""),"Madhu Bagur")</f>
        <v>Madhu Bagur</v>
      </c>
      <c r="C525" s="6" t="str">
        <f ca="1">IFERROR(__xludf.DUMMYFUNCTION("""COMPUTED_VALUE"""),"madhubagur@gmail.com")</f>
        <v>madhubagur@gmail.com</v>
      </c>
      <c r="D525" s="6">
        <f ca="1">IFERROR(__xludf.DUMMYFUNCTION("""COMPUTED_VALUE"""),8123015687)</f>
        <v>8123015687</v>
      </c>
      <c r="E525" s="6" t="str">
        <f ca="1">IFERROR(__xludf.DUMMYFUNCTION("""COMPUTED_VALUE"""),"Account Repeat")</f>
        <v>Account Repeat</v>
      </c>
      <c r="F525" s="6" t="str">
        <f ca="1">IFERROR(__xludf.DUMMYFUNCTION("""COMPUTED_VALUE"""),"CSPO")</f>
        <v>CSPO</v>
      </c>
      <c r="G525" s="80">
        <f ca="1">IFERROR(__xludf.DUMMYFUNCTION("""COMPUTED_VALUE"""),44409)</f>
        <v>44409</v>
      </c>
      <c r="H525" s="6" t="str">
        <f ca="1">IFERROR(__xludf.DUMMYFUNCTION("""COMPUTED_VALUE"""),"Won")</f>
        <v>Won</v>
      </c>
      <c r="I525" s="6" t="str">
        <f ca="1">IFERROR(__xludf.DUMMYFUNCTION("""COMPUTED_VALUE"""),"7-8 Aug 2021")</f>
        <v>7-8 Aug 2021</v>
      </c>
      <c r="J525" s="6">
        <f ca="1">IFERROR(__xludf.DUMMYFUNCTION("""COMPUTED_VALUE"""),1)</f>
        <v>1</v>
      </c>
      <c r="K525" s="8">
        <f ca="1">IFERROR(__xludf.DUMMYFUNCTION("""COMPUTED_VALUE"""),19000)</f>
        <v>19000</v>
      </c>
      <c r="L525" s="8">
        <f ca="1">IFERROR(__xludf.DUMMYFUNCTION("""COMPUTED_VALUE"""),217.590471827759)</f>
        <v>217.59047182775899</v>
      </c>
      <c r="M525" s="96">
        <f ca="1">IFERROR(__xludf.DUMMYFUNCTION("""COMPUTED_VALUE"""),44411)</f>
        <v>44411</v>
      </c>
      <c r="N525" s="6" t="str">
        <f ca="1">IFERROR(__xludf.DUMMYFUNCTION("""COMPUTED_VALUE"""),"F10")</f>
        <v>F10</v>
      </c>
      <c r="O525" s="97">
        <f ca="1">IFERROR(__xludf.DUMMYFUNCTION("""COMPUTED_VALUE"""),44411)</f>
        <v>44411</v>
      </c>
      <c r="P525" s="6" t="str">
        <f ca="1">IFERROR(__xludf.DUMMYFUNCTION("""COMPUTED_VALUE"""),"CSTM_AK90JE2242W")</f>
        <v>CSTM_AK90JE2242W</v>
      </c>
      <c r="Q525" s="6"/>
      <c r="R525" s="6" t="str">
        <f ca="1">IFERROR(__xludf.DUMMYFUNCTION("""COMPUTED_VALUE"""),"Done.")</f>
        <v>Done.</v>
      </c>
      <c r="S525" s="6" t="str">
        <f ca="1">IFERROR(__xludf.DUMMYFUNCTION("""COMPUTED_VALUE"""),"Category")</f>
        <v>Category</v>
      </c>
      <c r="T525" s="6"/>
      <c r="U525" s="6"/>
      <c r="V525" s="6"/>
      <c r="W525" s="6"/>
      <c r="X525" s="6"/>
      <c r="Y525" s="6"/>
      <c r="Z525" s="6"/>
      <c r="AA525" s="6"/>
      <c r="AB525" s="6"/>
      <c r="AC525" s="6"/>
      <c r="AD525" s="6"/>
      <c r="AE525" s="6"/>
      <c r="AF525" s="6"/>
      <c r="AG525" s="6"/>
      <c r="AH525" s="6"/>
      <c r="AI525" s="6"/>
      <c r="AJ525" s="6"/>
      <c r="AK525" s="6"/>
      <c r="AL525" s="6"/>
    </row>
    <row r="526" spans="1:38">
      <c r="A526" s="96">
        <f ca="1">IFERROR(__xludf.DUMMYFUNCTION("""COMPUTED_VALUE"""),44412)</f>
        <v>44412</v>
      </c>
      <c r="B526" s="6" t="str">
        <f ca="1">IFERROR(__xludf.DUMMYFUNCTION("""COMPUTED_VALUE"""),"Prasanna MS")</f>
        <v>Prasanna MS</v>
      </c>
      <c r="C526" s="6" t="str">
        <f ca="1">IFERROR(__xludf.DUMMYFUNCTION("""COMPUTED_VALUE"""),"napra1987@yahoo.com")</f>
        <v>napra1987@yahoo.com</v>
      </c>
      <c r="D526" s="6">
        <f ca="1">IFERROR(__xludf.DUMMYFUNCTION("""COMPUTED_VALUE"""),8277058676)</f>
        <v>8277058676</v>
      </c>
      <c r="E526" s="6" t="str">
        <f ca="1">IFERROR(__xludf.DUMMYFUNCTION("""COMPUTED_VALUE"""),"Account Repeat")</f>
        <v>Account Repeat</v>
      </c>
      <c r="F526" s="6" t="str">
        <f ca="1">IFERROR(__xludf.DUMMYFUNCTION("""COMPUTED_VALUE"""),"Prince2 Foundation")</f>
        <v>Prince2 Foundation</v>
      </c>
      <c r="G526" s="80">
        <f ca="1">IFERROR(__xludf.DUMMYFUNCTION("""COMPUTED_VALUE"""),44409)</f>
        <v>44409</v>
      </c>
      <c r="H526" s="6" t="str">
        <f ca="1">IFERROR(__xludf.DUMMYFUNCTION("""COMPUTED_VALUE"""),"Won")</f>
        <v>Won</v>
      </c>
      <c r="I526" s="6" t="str">
        <f ca="1">IFERROR(__xludf.DUMMYFUNCTION("""COMPUTED_VALUE"""),"OSL")</f>
        <v>OSL</v>
      </c>
      <c r="J526" s="6">
        <f ca="1">IFERROR(__xludf.DUMMYFUNCTION("""COMPUTED_VALUE"""),1)</f>
        <v>1</v>
      </c>
      <c r="K526" s="8">
        <f ca="1">IFERROR(__xludf.DUMMYFUNCTION("""COMPUTED_VALUE"""),25000)</f>
        <v>25000</v>
      </c>
      <c r="L526" s="8">
        <f ca="1">IFERROR(__xludf.DUMMYFUNCTION("""COMPUTED_VALUE"""),286.303252404947)</f>
        <v>286.30325240494699</v>
      </c>
      <c r="M526" s="96">
        <f ca="1">IFERROR(__xludf.DUMMYFUNCTION("""COMPUTED_VALUE"""),44412)</f>
        <v>44412</v>
      </c>
      <c r="N526" s="6" t="str">
        <f ca="1">IFERROR(__xludf.DUMMYFUNCTION("""COMPUTED_VALUE"""),"F10")</f>
        <v>F10</v>
      </c>
      <c r="O526" s="97">
        <f ca="1">IFERROR(__xludf.DUMMYFUNCTION("""COMPUTED_VALUE"""),44412)</f>
        <v>44412</v>
      </c>
      <c r="P526" s="6" t="str">
        <f ca="1">IFERROR(__xludf.DUMMYFUNCTION("""COMPUTED_VALUE"""),"CSTM_HANE2HE57J1")</f>
        <v>CSTM_HANE2HE57J1</v>
      </c>
      <c r="Q526" s="6"/>
      <c r="R526" s="6" t="str">
        <f ca="1">IFERROR(__xludf.DUMMYFUNCTION("""COMPUTED_VALUE"""),"Pending")</f>
        <v>Pending</v>
      </c>
      <c r="S526" s="6" t="str">
        <f ca="1">IFERROR(__xludf.DUMMYFUNCTION("""COMPUTED_VALUE"""),"NonCategory")</f>
        <v>NonCategory</v>
      </c>
      <c r="T526" s="6"/>
      <c r="U526" s="6"/>
      <c r="V526" s="6"/>
      <c r="W526" s="6"/>
      <c r="X526" s="6"/>
      <c r="Y526" s="6"/>
      <c r="Z526" s="6"/>
      <c r="AA526" s="6"/>
      <c r="AB526" s="6"/>
      <c r="AC526" s="6"/>
      <c r="AD526" s="6"/>
      <c r="AE526" s="6"/>
      <c r="AF526" s="6"/>
      <c r="AG526" s="6"/>
      <c r="AH526" s="6"/>
      <c r="AI526" s="6"/>
      <c r="AJ526" s="6"/>
      <c r="AK526" s="6"/>
      <c r="AL526" s="6"/>
    </row>
    <row r="527" spans="1:38">
      <c r="A527" s="96">
        <f ca="1">IFERROR(__xludf.DUMMYFUNCTION("""COMPUTED_VALUE"""),44412)</f>
        <v>44412</v>
      </c>
      <c r="B527" s="6" t="str">
        <f ca="1">IFERROR(__xludf.DUMMYFUNCTION("""COMPUTED_VALUE"""),"Sonam Shukla")</f>
        <v>Sonam Shukla</v>
      </c>
      <c r="C527" s="6" t="str">
        <f ca="1">IFERROR(__xludf.DUMMYFUNCTION("""COMPUTED_VALUE"""),"shukla.sonam@gmail.com")</f>
        <v>shukla.sonam@gmail.com</v>
      </c>
      <c r="D527" s="6">
        <f ca="1">IFERROR(__xludf.DUMMYFUNCTION("""COMPUTED_VALUE"""),8423488611)</f>
        <v>8423488611</v>
      </c>
      <c r="E527" s="6" t="str">
        <f ca="1">IFERROR(__xludf.DUMMYFUNCTION("""COMPUTED_VALUE"""),"Tollfree")</f>
        <v>Tollfree</v>
      </c>
      <c r="F527" s="6" t="str">
        <f ca="1">IFERROR(__xludf.DUMMYFUNCTION("""COMPUTED_VALUE"""),"SAFe Agile")</f>
        <v>SAFe Agile</v>
      </c>
      <c r="G527" s="80">
        <f ca="1">IFERROR(__xludf.DUMMYFUNCTION("""COMPUTED_VALUE"""),44409)</f>
        <v>44409</v>
      </c>
      <c r="H527" s="6" t="str">
        <f ca="1">IFERROR(__xludf.DUMMYFUNCTION("""COMPUTED_VALUE"""),"Won")</f>
        <v>Won</v>
      </c>
      <c r="I527" s="6" t="str">
        <f ca="1">IFERROR(__xludf.DUMMYFUNCTION("""COMPUTED_VALUE"""),"14-15 Aug 2021")</f>
        <v>14-15 Aug 2021</v>
      </c>
      <c r="J527" s="6">
        <f ca="1">IFERROR(__xludf.DUMMYFUNCTION("""COMPUTED_VALUE"""),1)</f>
        <v>1</v>
      </c>
      <c r="K527" s="8">
        <f ca="1">IFERROR(__xludf.DUMMYFUNCTION("""COMPUTED_VALUE"""),48000)</f>
        <v>48000</v>
      </c>
      <c r="L527" s="8">
        <f ca="1">IFERROR(__xludf.DUMMYFUNCTION("""COMPUTED_VALUE"""),549.702244617498)</f>
        <v>549.70224461749797</v>
      </c>
      <c r="M527" s="96">
        <f ca="1">IFERROR(__xludf.DUMMYFUNCTION("""COMPUTED_VALUE"""),44412)</f>
        <v>44412</v>
      </c>
      <c r="N527" s="6" t="str">
        <f ca="1">IFERROR(__xludf.DUMMYFUNCTION("""COMPUTED_VALUE"""),"F10")</f>
        <v>F10</v>
      </c>
      <c r="O527" s="97">
        <f ca="1">IFERROR(__xludf.DUMMYFUNCTION("""COMPUTED_VALUE"""),44412)</f>
        <v>44412</v>
      </c>
      <c r="P527" s="6" t="str">
        <f ca="1">IFERROR(__xludf.DUMMYFUNCTION("""COMPUTED_VALUE"""),"CSTM_3J2UD6951IO")</f>
        <v>CSTM_3J2UD6951IO</v>
      </c>
      <c r="Q527" s="6"/>
      <c r="R527" s="6" t="str">
        <f ca="1">IFERROR(__xludf.DUMMYFUNCTION("""COMPUTED_VALUE"""),"Pending")</f>
        <v>Pending</v>
      </c>
      <c r="S527" s="6" t="str">
        <f ca="1">IFERROR(__xludf.DUMMYFUNCTION("""COMPUTED_VALUE"""),"SAFe")</f>
        <v>SAFe</v>
      </c>
      <c r="T527" s="6"/>
      <c r="U527" s="6"/>
      <c r="V527" s="6"/>
      <c r="W527" s="6"/>
      <c r="X527" s="6"/>
      <c r="Y527" s="6"/>
      <c r="Z527" s="6"/>
      <c r="AA527" s="6"/>
      <c r="AB527" s="6"/>
      <c r="AC527" s="6"/>
      <c r="AD527" s="6"/>
      <c r="AE527" s="6"/>
      <c r="AF527" s="6"/>
      <c r="AG527" s="6"/>
      <c r="AH527" s="6"/>
      <c r="AI527" s="6"/>
      <c r="AJ527" s="6"/>
      <c r="AK527" s="6"/>
      <c r="AL527" s="6"/>
    </row>
    <row r="528" spans="1:38">
      <c r="A528" s="96">
        <f ca="1">IFERROR(__xludf.DUMMYFUNCTION("""COMPUTED_VALUE"""),44412)</f>
        <v>44412</v>
      </c>
      <c r="B528" s="6" t="str">
        <f ca="1">IFERROR(__xludf.DUMMYFUNCTION("""COMPUTED_VALUE"""),"Arnab")</f>
        <v>Arnab</v>
      </c>
      <c r="C528" s="6" t="str">
        <f ca="1">IFERROR(__xludf.DUMMYFUNCTION("""COMPUTED_VALUE"""),"arnabsayshi@hotmail.com")</f>
        <v>arnabsayshi@hotmail.com</v>
      </c>
      <c r="D528" s="6">
        <f ca="1">IFERROR(__xludf.DUMMYFUNCTION("""COMPUTED_VALUE"""),8240235400)</f>
        <v>8240235400</v>
      </c>
      <c r="E528" s="6" t="str">
        <f ca="1">IFERROR(__xludf.DUMMYFUNCTION("""COMPUTED_VALUE"""),"Reference")</f>
        <v>Reference</v>
      </c>
      <c r="F528" s="6" t="str">
        <f ca="1">IFERROR(__xludf.DUMMYFUNCTION("""COMPUTED_VALUE"""),"CSPO")</f>
        <v>CSPO</v>
      </c>
      <c r="G528" s="80">
        <f ca="1">IFERROR(__xludf.DUMMYFUNCTION("""COMPUTED_VALUE"""),44440)</f>
        <v>44440</v>
      </c>
      <c r="H528" s="6" t="str">
        <f ca="1">IFERROR(__xludf.DUMMYFUNCTION("""COMPUTED_VALUE"""),"Won")</f>
        <v>Won</v>
      </c>
      <c r="I528" s="6" t="str">
        <f ca="1">IFERROR(__xludf.DUMMYFUNCTION("""COMPUTED_VALUE"""),"18-19 Sep 2021")</f>
        <v>18-19 Sep 2021</v>
      </c>
      <c r="J528" s="6">
        <f ca="1">IFERROR(__xludf.DUMMYFUNCTION("""COMPUTED_VALUE"""),1)</f>
        <v>1</v>
      </c>
      <c r="K528" s="8">
        <f ca="1">IFERROR(__xludf.DUMMYFUNCTION("""COMPUTED_VALUE"""),19500)</f>
        <v>19500</v>
      </c>
      <c r="L528" s="8">
        <f ca="1">IFERROR(__xludf.DUMMYFUNCTION("""COMPUTED_VALUE"""),223.316536875858)</f>
        <v>223.31653687585799</v>
      </c>
      <c r="M528" s="96">
        <f ca="1">IFERROR(__xludf.DUMMYFUNCTION("""COMPUTED_VALUE"""),44412)</f>
        <v>44412</v>
      </c>
      <c r="N528" s="6" t="str">
        <f ca="1">IFERROR(__xludf.DUMMYFUNCTION("""COMPUTED_VALUE"""),"F10")</f>
        <v>F10</v>
      </c>
      <c r="O528" s="97">
        <f ca="1">IFERROR(__xludf.DUMMYFUNCTION("""COMPUTED_VALUE"""),44440)</f>
        <v>44440</v>
      </c>
      <c r="P528" s="6" t="str">
        <f ca="1">IFERROR(__xludf.DUMMYFUNCTION("""COMPUTED_VALUE"""),"CSTM_6896WJ61ALE")</f>
        <v>CSTM_6896WJ61ALE</v>
      </c>
      <c r="Q528" s="6" t="str">
        <f ca="1">IFERROR(__xludf.DUMMYFUNCTION("""COMPUTED_VALUE"""),"Aurko")</f>
        <v>Aurko</v>
      </c>
      <c r="R528" s="6" t="str">
        <f ca="1">IFERROR(__xludf.DUMMYFUNCTION("""COMPUTED_VALUE"""),"Done. Good feedback.")</f>
        <v>Done. Good feedback.</v>
      </c>
      <c r="S528" s="6" t="str">
        <f ca="1">IFERROR(__xludf.DUMMYFUNCTION("""COMPUTED_VALUE"""),"Category")</f>
        <v>Category</v>
      </c>
      <c r="T528" s="6"/>
      <c r="U528" s="6"/>
      <c r="V528" s="6"/>
      <c r="W528" s="6"/>
      <c r="X528" s="6"/>
      <c r="Y528" s="6"/>
      <c r="Z528" s="6"/>
      <c r="AA528" s="6"/>
      <c r="AB528" s="6"/>
      <c r="AC528" s="6"/>
      <c r="AD528" s="6"/>
      <c r="AE528" s="6"/>
      <c r="AF528" s="6"/>
      <c r="AG528" s="6"/>
      <c r="AH528" s="6"/>
      <c r="AI528" s="6"/>
      <c r="AJ528" s="6"/>
      <c r="AK528" s="6"/>
      <c r="AL528" s="6"/>
    </row>
    <row r="529" spans="1:38">
      <c r="A529" s="96">
        <f ca="1">IFERROR(__xludf.DUMMYFUNCTION("""COMPUTED_VALUE"""),44413)</f>
        <v>44413</v>
      </c>
      <c r="B529" s="6" t="str">
        <f ca="1">IFERROR(__xludf.DUMMYFUNCTION("""COMPUTED_VALUE"""),"Lakshmi Priya")</f>
        <v>Lakshmi Priya</v>
      </c>
      <c r="C529" s="6" t="str">
        <f ca="1">IFERROR(__xludf.DUMMYFUNCTION("""COMPUTED_VALUE"""),"priyaa82@yahoo.com")</f>
        <v>priyaa82@yahoo.com</v>
      </c>
      <c r="D529" s="6">
        <f ca="1">IFERROR(__xludf.DUMMYFUNCTION("""COMPUTED_VALUE"""),9600081930)</f>
        <v>9600081930</v>
      </c>
      <c r="E529" s="6" t="str">
        <f ca="1">IFERROR(__xludf.DUMMYFUNCTION("""COMPUTED_VALUE"""),"Account Repeat")</f>
        <v>Account Repeat</v>
      </c>
      <c r="F529" s="6" t="str">
        <f ca="1">IFERROR(__xludf.DUMMYFUNCTION("""COMPUTED_VALUE"""),"PSPO 2")</f>
        <v>PSPO 2</v>
      </c>
      <c r="G529" s="80">
        <f ca="1">IFERROR(__xludf.DUMMYFUNCTION("""COMPUTED_VALUE"""),44409)</f>
        <v>44409</v>
      </c>
      <c r="H529" s="6" t="str">
        <f ca="1">IFERROR(__xludf.DUMMYFUNCTION("""COMPUTED_VALUE"""),"Won")</f>
        <v>Won</v>
      </c>
      <c r="I529" s="6" t="str">
        <f ca="1">IFERROR(__xludf.DUMMYFUNCTION("""COMPUTED_VALUE"""),"14-15 Aug 2021")</f>
        <v>14-15 Aug 2021</v>
      </c>
      <c r="J529" s="6">
        <f ca="1">IFERROR(__xludf.DUMMYFUNCTION("""COMPUTED_VALUE"""),1)</f>
        <v>1</v>
      </c>
      <c r="K529" s="8">
        <f ca="1">IFERROR(__xludf.DUMMYFUNCTION("""COMPUTED_VALUE"""),24000)</f>
        <v>24000</v>
      </c>
      <c r="L529" s="8">
        <f ca="1">IFERROR(__xludf.DUMMYFUNCTION("""COMPUTED_VALUE"""),274.851122308749)</f>
        <v>274.85112230874898</v>
      </c>
      <c r="M529" s="96">
        <f ca="1">IFERROR(__xludf.DUMMYFUNCTION("""COMPUTED_VALUE"""),44413)</f>
        <v>44413</v>
      </c>
      <c r="N529" s="6" t="str">
        <f ca="1">IFERROR(__xludf.DUMMYFUNCTION("""COMPUTED_VALUE"""),"F10")</f>
        <v>F10</v>
      </c>
      <c r="O529" s="97">
        <f ca="1">IFERROR(__xludf.DUMMYFUNCTION("""COMPUTED_VALUE"""),44413)</f>
        <v>44413</v>
      </c>
      <c r="P529" s="6" t="str">
        <f ca="1">IFERROR(__xludf.DUMMYFUNCTION("""COMPUTED_VALUE"""),"CSTM_4QGJRLYCWDA")</f>
        <v>CSTM_4QGJRLYCWDA</v>
      </c>
      <c r="Q529" s="6"/>
      <c r="R529" s="6" t="str">
        <f ca="1">IFERROR(__xludf.DUMMYFUNCTION("""COMPUTED_VALUE"""),"Done. Good Feedback.")</f>
        <v>Done. Good Feedback.</v>
      </c>
      <c r="S529" s="6" t="str">
        <f ca="1">IFERROR(__xludf.DUMMYFUNCTION("""COMPUTED_VALUE"""),"NonCategory")</f>
        <v>NonCategory</v>
      </c>
      <c r="T529" s="6"/>
      <c r="U529" s="6"/>
      <c r="V529" s="6"/>
      <c r="W529" s="6"/>
      <c r="X529" s="6"/>
      <c r="Y529" s="6"/>
      <c r="Z529" s="6"/>
      <c r="AA529" s="6"/>
      <c r="AB529" s="6"/>
      <c r="AC529" s="6"/>
      <c r="AD529" s="6"/>
      <c r="AE529" s="6"/>
      <c r="AF529" s="6"/>
      <c r="AG529" s="6"/>
      <c r="AH529" s="6"/>
      <c r="AI529" s="6"/>
      <c r="AJ529" s="6"/>
      <c r="AK529" s="6"/>
      <c r="AL529" s="6"/>
    </row>
    <row r="530" spans="1:38">
      <c r="A530" s="96">
        <f ca="1">IFERROR(__xludf.DUMMYFUNCTION("""COMPUTED_VALUE"""),44414)</f>
        <v>44414</v>
      </c>
      <c r="B530" s="6" t="str">
        <f ca="1">IFERROR(__xludf.DUMMYFUNCTION("""COMPUTED_VALUE"""),"Bijit")</f>
        <v>Bijit</v>
      </c>
      <c r="C530" s="6" t="str">
        <f ca="1">IFERROR(__xludf.DUMMYFUNCTION("""COMPUTED_VALUE"""),"ishaan009@gmail.com")</f>
        <v>ishaan009@gmail.com</v>
      </c>
      <c r="D530" s="6">
        <f ca="1">IFERROR(__xludf.DUMMYFUNCTION("""COMPUTED_VALUE"""),8820150886)</f>
        <v>8820150886</v>
      </c>
      <c r="E530" s="6" t="str">
        <f ca="1">IFERROR(__xludf.DUMMYFUNCTION("""COMPUTED_VALUE"""),"Reference")</f>
        <v>Reference</v>
      </c>
      <c r="F530" s="6" t="str">
        <f ca="1">IFERROR(__xludf.DUMMYFUNCTION("""COMPUTED_VALUE"""),"PSM")</f>
        <v>PSM</v>
      </c>
      <c r="G530" s="80">
        <f ca="1">IFERROR(__xludf.DUMMYFUNCTION("""COMPUTED_VALUE"""),44409)</f>
        <v>44409</v>
      </c>
      <c r="H530" s="6" t="str">
        <f ca="1">IFERROR(__xludf.DUMMYFUNCTION("""COMPUTED_VALUE"""),"Won")</f>
        <v>Won</v>
      </c>
      <c r="I530" s="6" t="str">
        <f ca="1">IFERROR(__xludf.DUMMYFUNCTION("""COMPUTED_VALUE"""),"7-8 Aug 2021")</f>
        <v>7-8 Aug 2021</v>
      </c>
      <c r="J530" s="6">
        <f ca="1">IFERROR(__xludf.DUMMYFUNCTION("""COMPUTED_VALUE"""),1)</f>
        <v>1</v>
      </c>
      <c r="K530" s="8">
        <f ca="1">IFERROR(__xludf.DUMMYFUNCTION("""COMPUTED_VALUE"""),21000)</f>
        <v>21000</v>
      </c>
      <c r="L530" s="8">
        <f ca="1">IFERROR(__xludf.DUMMYFUNCTION("""COMPUTED_VALUE"""),240.494732020155)</f>
        <v>240.494732020155</v>
      </c>
      <c r="M530" s="96">
        <f ca="1">IFERROR(__xludf.DUMMYFUNCTION("""COMPUTED_VALUE"""),44414)</f>
        <v>44414</v>
      </c>
      <c r="N530" s="6" t="str">
        <f ca="1">IFERROR(__xludf.DUMMYFUNCTION("""COMPUTED_VALUE"""),"F10")</f>
        <v>F10</v>
      </c>
      <c r="O530" s="97">
        <f ca="1">IFERROR(__xludf.DUMMYFUNCTION("""COMPUTED_VALUE"""),44414)</f>
        <v>44414</v>
      </c>
      <c r="P530" s="6" t="str">
        <f ca="1">IFERROR(__xludf.DUMMYFUNCTION("""COMPUTED_VALUE"""),"CSTM_3DGKDRXJDGT")</f>
        <v>CSTM_3DGKDRXJDGT</v>
      </c>
      <c r="Q530" s="6"/>
      <c r="R530" s="6" t="str">
        <f ca="1">IFERROR(__xludf.DUMMYFUNCTION("""COMPUTED_VALUE"""),"Pending")</f>
        <v>Pending</v>
      </c>
      <c r="S530" s="6" t="str">
        <f ca="1">IFERROR(__xludf.DUMMYFUNCTION("""COMPUTED_VALUE"""),"Category")</f>
        <v>Category</v>
      </c>
      <c r="T530" s="6"/>
      <c r="U530" s="6"/>
      <c r="V530" s="6"/>
      <c r="W530" s="6"/>
      <c r="X530" s="6"/>
      <c r="Y530" s="6"/>
      <c r="Z530" s="6"/>
      <c r="AA530" s="6"/>
      <c r="AB530" s="6"/>
      <c r="AC530" s="6"/>
      <c r="AD530" s="6"/>
      <c r="AE530" s="6"/>
      <c r="AF530" s="6"/>
      <c r="AG530" s="6"/>
      <c r="AH530" s="6"/>
      <c r="AI530" s="6"/>
      <c r="AJ530" s="6"/>
      <c r="AK530" s="6"/>
      <c r="AL530" s="6"/>
    </row>
    <row r="531" spans="1:38">
      <c r="A531" s="96">
        <f ca="1">IFERROR(__xludf.DUMMYFUNCTION("""COMPUTED_VALUE"""),44414)</f>
        <v>44414</v>
      </c>
      <c r="B531" s="6" t="str">
        <f ca="1">IFERROR(__xludf.DUMMYFUNCTION("""COMPUTED_VALUE"""),"Malti Sharma")</f>
        <v>Malti Sharma</v>
      </c>
      <c r="C531" s="6" t="str">
        <f ca="1">IFERROR(__xludf.DUMMYFUNCTION("""COMPUTED_VALUE"""),"malti.sharma012@gmail.com")</f>
        <v>malti.sharma012@gmail.com</v>
      </c>
      <c r="D531" s="6">
        <f ca="1">IFERROR(__xludf.DUMMYFUNCTION("""COMPUTED_VALUE"""),9780300523)</f>
        <v>9780300523</v>
      </c>
      <c r="E531" s="6" t="str">
        <f ca="1">IFERROR(__xludf.DUMMYFUNCTION("""COMPUTED_VALUE"""),"Reference")</f>
        <v>Reference</v>
      </c>
      <c r="F531" s="6" t="str">
        <f ca="1">IFERROR(__xludf.DUMMYFUNCTION("""COMPUTED_VALUE"""),"PSM")</f>
        <v>PSM</v>
      </c>
      <c r="G531" s="80">
        <f ca="1">IFERROR(__xludf.DUMMYFUNCTION("""COMPUTED_VALUE"""),44409)</f>
        <v>44409</v>
      </c>
      <c r="H531" s="6" t="str">
        <f ca="1">IFERROR(__xludf.DUMMYFUNCTION("""COMPUTED_VALUE"""),"Won")</f>
        <v>Won</v>
      </c>
      <c r="I531" s="6" t="str">
        <f ca="1">IFERROR(__xludf.DUMMYFUNCTION("""COMPUTED_VALUE"""),"14-15 Aug 2021")</f>
        <v>14-15 Aug 2021</v>
      </c>
      <c r="J531" s="6">
        <f ca="1">IFERROR(__xludf.DUMMYFUNCTION("""COMPUTED_VALUE"""),1)</f>
        <v>1</v>
      </c>
      <c r="K531" s="8">
        <f ca="1">IFERROR(__xludf.DUMMYFUNCTION("""COMPUTED_VALUE"""),21000)</f>
        <v>21000</v>
      </c>
      <c r="L531" s="8">
        <f ca="1">IFERROR(__xludf.DUMMYFUNCTION("""COMPUTED_VALUE"""),240.494732020155)</f>
        <v>240.494732020155</v>
      </c>
      <c r="M531" s="96">
        <f ca="1">IFERROR(__xludf.DUMMYFUNCTION("""COMPUTED_VALUE"""),44414)</f>
        <v>44414</v>
      </c>
      <c r="N531" s="6" t="str">
        <f ca="1">IFERROR(__xludf.DUMMYFUNCTION("""COMPUTED_VALUE"""),"F10")</f>
        <v>F10</v>
      </c>
      <c r="O531" s="97">
        <f ca="1">IFERROR(__xludf.DUMMYFUNCTION("""COMPUTED_VALUE"""),44414)</f>
        <v>44414</v>
      </c>
      <c r="P531" s="6" t="str">
        <f ca="1">IFERROR(__xludf.DUMMYFUNCTION("""COMPUTED_VALUE"""),"CSTM_2QH502LNSSO")</f>
        <v>CSTM_2QH502LNSSO</v>
      </c>
      <c r="Q531" s="6" t="str">
        <f ca="1">IFERROR(__xludf.DUMMYFUNCTION("""COMPUTED_VALUE"""),"Keerti")</f>
        <v>Keerti</v>
      </c>
      <c r="R531" s="6" t="str">
        <f ca="1">IFERROR(__xludf.DUMMYFUNCTION("""COMPUTED_VALUE"""),"Pending")</f>
        <v>Pending</v>
      </c>
      <c r="S531" s="6" t="str">
        <f ca="1">IFERROR(__xludf.DUMMYFUNCTION("""COMPUTED_VALUE"""),"Category")</f>
        <v>Category</v>
      </c>
      <c r="T531" s="6"/>
      <c r="U531" s="6"/>
      <c r="V531" s="6"/>
      <c r="W531" s="6"/>
      <c r="X531" s="6"/>
      <c r="Y531" s="6"/>
      <c r="Z531" s="6"/>
      <c r="AA531" s="6"/>
      <c r="AB531" s="6"/>
      <c r="AC531" s="6"/>
      <c r="AD531" s="6"/>
      <c r="AE531" s="6"/>
      <c r="AF531" s="6"/>
      <c r="AG531" s="6"/>
      <c r="AH531" s="6"/>
      <c r="AI531" s="6"/>
      <c r="AJ531" s="6"/>
      <c r="AK531" s="6"/>
      <c r="AL531" s="6"/>
    </row>
    <row r="532" spans="1:38">
      <c r="A532" s="96">
        <f ca="1">IFERROR(__xludf.DUMMYFUNCTION("""COMPUTED_VALUE"""),44414)</f>
        <v>44414</v>
      </c>
      <c r="B532" s="6" t="str">
        <f ca="1">IFERROR(__xludf.DUMMYFUNCTION("""COMPUTED_VALUE"""),"Nabajyoti Acharya")</f>
        <v>Nabajyoti Acharya</v>
      </c>
      <c r="C532" s="6" t="str">
        <f ca="1">IFERROR(__xludf.DUMMYFUNCTION("""COMPUTED_VALUE"""),"nabajyoti.acharya@gmail.com")</f>
        <v>nabajyoti.acharya@gmail.com</v>
      </c>
      <c r="D532" s="6">
        <f ca="1">IFERROR(__xludf.DUMMYFUNCTION("""COMPUTED_VALUE"""),9769474669)</f>
        <v>9769474669</v>
      </c>
      <c r="E532" s="6" t="str">
        <f ca="1">IFERROR(__xludf.DUMMYFUNCTION("""COMPUTED_VALUE"""),"Chat_triggered")</f>
        <v>Chat_triggered</v>
      </c>
      <c r="F532" s="6" t="str">
        <f ca="1">IFERROR(__xludf.DUMMYFUNCTION("""COMPUTED_VALUE"""),"PSPO")</f>
        <v>PSPO</v>
      </c>
      <c r="G532" s="80">
        <f ca="1">IFERROR(__xludf.DUMMYFUNCTION("""COMPUTED_VALUE"""),44409)</f>
        <v>44409</v>
      </c>
      <c r="H532" s="6" t="str">
        <f ca="1">IFERROR(__xludf.DUMMYFUNCTION("""COMPUTED_VALUE"""),"Won")</f>
        <v>Won</v>
      </c>
      <c r="I532" s="6" t="str">
        <f ca="1">IFERROR(__xludf.DUMMYFUNCTION("""COMPUTED_VALUE"""),"7-8 Aug 2021")</f>
        <v>7-8 Aug 2021</v>
      </c>
      <c r="J532" s="6">
        <f ca="1">IFERROR(__xludf.DUMMYFUNCTION("""COMPUTED_VALUE"""),1)</f>
        <v>1</v>
      </c>
      <c r="K532" s="8">
        <f ca="1">IFERROR(__xludf.DUMMYFUNCTION("""COMPUTED_VALUE"""),21000)</f>
        <v>21000</v>
      </c>
      <c r="L532" s="8">
        <f ca="1">IFERROR(__xludf.DUMMYFUNCTION("""COMPUTED_VALUE"""),240.494732020155)</f>
        <v>240.494732020155</v>
      </c>
      <c r="M532" s="96">
        <f ca="1">IFERROR(__xludf.DUMMYFUNCTION("""COMPUTED_VALUE"""),44414)</f>
        <v>44414</v>
      </c>
      <c r="N532" s="6" t="str">
        <f ca="1">IFERROR(__xludf.DUMMYFUNCTION("""COMPUTED_VALUE"""),"F10")</f>
        <v>F10</v>
      </c>
      <c r="O532" s="97">
        <f ca="1">IFERROR(__xludf.DUMMYFUNCTION("""COMPUTED_VALUE"""),44414)</f>
        <v>44414</v>
      </c>
      <c r="P532" s="6" t="str">
        <f ca="1">IFERROR(__xludf.DUMMYFUNCTION("""COMPUTED_VALUE"""),"CSTM_206U8837EZ1")</f>
        <v>CSTM_206U8837EZ1</v>
      </c>
      <c r="Q532" s="6"/>
      <c r="R532" s="6" t="str">
        <f ca="1">IFERROR(__xludf.DUMMYFUNCTION("""COMPUTED_VALUE"""),"Done. Good feedback.")</f>
        <v>Done. Good feedback.</v>
      </c>
      <c r="S532" s="6" t="str">
        <f ca="1">IFERROR(__xludf.DUMMYFUNCTION("""COMPUTED_VALUE"""),"Category")</f>
        <v>Category</v>
      </c>
      <c r="T532" s="6"/>
      <c r="U532" s="6"/>
      <c r="V532" s="6"/>
      <c r="W532" s="6"/>
      <c r="X532" s="6"/>
      <c r="Y532" s="6"/>
      <c r="Z532" s="6"/>
      <c r="AA532" s="6"/>
      <c r="AB532" s="6"/>
      <c r="AC532" s="6"/>
      <c r="AD532" s="6"/>
      <c r="AE532" s="6"/>
      <c r="AF532" s="6"/>
      <c r="AG532" s="6"/>
      <c r="AH532" s="6"/>
      <c r="AI532" s="6"/>
      <c r="AJ532" s="6"/>
      <c r="AK532" s="6"/>
      <c r="AL532" s="6"/>
    </row>
    <row r="533" spans="1:38">
      <c r="A533" s="96">
        <f ca="1">IFERROR(__xludf.DUMMYFUNCTION("""COMPUTED_VALUE"""),44415)</f>
        <v>44415</v>
      </c>
      <c r="B533" s="6" t="str">
        <f ca="1">IFERROR(__xludf.DUMMYFUNCTION("""COMPUTED_VALUE"""),"Ravi Tripathi")</f>
        <v>Ravi Tripathi</v>
      </c>
      <c r="C533" s="6" t="str">
        <f ca="1">IFERROR(__xludf.DUMMYFUNCTION("""COMPUTED_VALUE"""),"21ravitripathi@gmail.com")</f>
        <v>21ravitripathi@gmail.com</v>
      </c>
      <c r="D533" s="6">
        <f ca="1">IFERROR(__xludf.DUMMYFUNCTION("""COMPUTED_VALUE"""),9866676541)</f>
        <v>9866676541</v>
      </c>
      <c r="E533" s="6" t="str">
        <f ca="1">IFERROR(__xludf.DUMMYFUNCTION("""COMPUTED_VALUE"""),"chat_initiated")</f>
        <v>chat_initiated</v>
      </c>
      <c r="F533" s="6" t="str">
        <f ca="1">IFERROR(__xludf.DUMMYFUNCTION("""COMPUTED_VALUE"""),"SAFe Agile")</f>
        <v>SAFe Agile</v>
      </c>
      <c r="G533" s="80">
        <f ca="1">IFERROR(__xludf.DUMMYFUNCTION("""COMPUTED_VALUE"""),44409)</f>
        <v>44409</v>
      </c>
      <c r="H533" s="6" t="str">
        <f ca="1">IFERROR(__xludf.DUMMYFUNCTION("""COMPUTED_VALUE"""),"Won")</f>
        <v>Won</v>
      </c>
      <c r="I533" s="6" t="str">
        <f ca="1">IFERROR(__xludf.DUMMYFUNCTION("""COMPUTED_VALUE"""),"28-29 Aug 2021")</f>
        <v>28-29 Aug 2021</v>
      </c>
      <c r="J533" s="6">
        <f ca="1">IFERROR(__xludf.DUMMYFUNCTION("""COMPUTED_VALUE"""),1)</f>
        <v>1</v>
      </c>
      <c r="K533" s="8">
        <f ca="1">IFERROR(__xludf.DUMMYFUNCTION("""COMPUTED_VALUE"""),46000)</f>
        <v>46000</v>
      </c>
      <c r="L533" s="8">
        <f ca="1">IFERROR(__xludf.DUMMYFUNCTION("""COMPUTED_VALUE"""),526.797984425103)</f>
        <v>526.79798442510298</v>
      </c>
      <c r="M533" s="96">
        <f ca="1">IFERROR(__xludf.DUMMYFUNCTION("""COMPUTED_VALUE"""),44415)</f>
        <v>44415</v>
      </c>
      <c r="N533" s="6" t="str">
        <f ca="1">IFERROR(__xludf.DUMMYFUNCTION("""COMPUTED_VALUE"""),"F10")</f>
        <v>F10</v>
      </c>
      <c r="O533" s="97">
        <f ca="1">IFERROR(__xludf.DUMMYFUNCTION("""COMPUTED_VALUE"""),44415)</f>
        <v>44415</v>
      </c>
      <c r="P533" s="6" t="str">
        <f ca="1">IFERROR(__xludf.DUMMYFUNCTION("""COMPUTED_VALUE"""),"CSTM_EMFCCMYCU52")</f>
        <v>CSTM_EMFCCMYCU52</v>
      </c>
      <c r="Q533" s="6"/>
      <c r="R533" s="6" t="str">
        <f ca="1">IFERROR(__xludf.DUMMYFUNCTION("""COMPUTED_VALUE"""),"Done. Good Feedback.")</f>
        <v>Done. Good Feedback.</v>
      </c>
      <c r="S533" s="6" t="str">
        <f ca="1">IFERROR(__xludf.DUMMYFUNCTION("""COMPUTED_VALUE"""),"SAFe")</f>
        <v>SAFe</v>
      </c>
      <c r="T533" s="6"/>
      <c r="U533" s="6"/>
      <c r="V533" s="6"/>
      <c r="W533" s="6"/>
      <c r="X533" s="6"/>
      <c r="Y533" s="6"/>
      <c r="Z533" s="6"/>
      <c r="AA533" s="6"/>
      <c r="AB533" s="6"/>
      <c r="AC533" s="6"/>
      <c r="AD533" s="6"/>
      <c r="AE533" s="6"/>
      <c r="AF533" s="6"/>
      <c r="AG533" s="6"/>
      <c r="AH533" s="6"/>
      <c r="AI533" s="6"/>
      <c r="AJ533" s="6"/>
      <c r="AK533" s="6"/>
      <c r="AL533" s="6"/>
    </row>
    <row r="534" spans="1:38">
      <c r="A534" s="96">
        <f ca="1">IFERROR(__xludf.DUMMYFUNCTION("""COMPUTED_VALUE"""),44417)</f>
        <v>44417</v>
      </c>
      <c r="B534" s="6" t="str">
        <f ca="1">IFERROR(__xludf.DUMMYFUNCTION("""COMPUTED_VALUE"""),"Mamatha E")</f>
        <v>Mamatha E</v>
      </c>
      <c r="C534" s="6" t="str">
        <f ca="1">IFERROR(__xludf.DUMMYFUNCTION("""COMPUTED_VALUE"""),"mamathae18@gmail.com")</f>
        <v>mamathae18@gmail.com</v>
      </c>
      <c r="D534" s="6">
        <f ca="1">IFERROR(__xludf.DUMMYFUNCTION("""COMPUTED_VALUE"""),7676160778)</f>
        <v>7676160778</v>
      </c>
      <c r="E534" s="6" t="str">
        <f ca="1">IFERROR(__xludf.DUMMYFUNCTION("""COMPUTED_VALUE"""),"Query box")</f>
        <v>Query box</v>
      </c>
      <c r="F534" s="6" t="str">
        <f ca="1">IFERROR(__xludf.DUMMYFUNCTION("""COMPUTED_VALUE"""),"SAFe Agile")</f>
        <v>SAFe Agile</v>
      </c>
      <c r="G534" s="80">
        <f ca="1">IFERROR(__xludf.DUMMYFUNCTION("""COMPUTED_VALUE"""),44409)</f>
        <v>44409</v>
      </c>
      <c r="H534" s="6" t="str">
        <f ca="1">IFERROR(__xludf.DUMMYFUNCTION("""COMPUTED_VALUE"""),"Won")</f>
        <v>Won</v>
      </c>
      <c r="I534" s="6" t="str">
        <f ca="1">IFERROR(__xludf.DUMMYFUNCTION("""COMPUTED_VALUE"""),"14-15 Aug 2021")</f>
        <v>14-15 Aug 2021</v>
      </c>
      <c r="J534" s="6">
        <f ca="1">IFERROR(__xludf.DUMMYFUNCTION("""COMPUTED_VALUE"""),1)</f>
        <v>1</v>
      </c>
      <c r="K534" s="8">
        <f ca="1">IFERROR(__xludf.DUMMYFUNCTION("""COMPUTED_VALUE"""),45000)</f>
        <v>45000</v>
      </c>
      <c r="L534" s="8">
        <f ca="1">IFERROR(__xludf.DUMMYFUNCTION("""COMPUTED_VALUE"""),515.345854328905)</f>
        <v>515.34585432890503</v>
      </c>
      <c r="M534" s="96">
        <f ca="1">IFERROR(__xludf.DUMMYFUNCTION("""COMPUTED_VALUE"""),44417)</f>
        <v>44417</v>
      </c>
      <c r="N534" s="6" t="str">
        <f ca="1">IFERROR(__xludf.DUMMYFUNCTION("""COMPUTED_VALUE"""),"F10")</f>
        <v>F10</v>
      </c>
      <c r="O534" s="97">
        <f ca="1">IFERROR(__xludf.DUMMYFUNCTION("""COMPUTED_VALUE"""),44417)</f>
        <v>44417</v>
      </c>
      <c r="P534" s="6" t="str">
        <f ca="1">IFERROR(__xludf.DUMMYFUNCTION("""COMPUTED_VALUE"""),"CSTM_3QTIFU94QKV")</f>
        <v>CSTM_3QTIFU94QKV</v>
      </c>
      <c r="Q534" s="6"/>
      <c r="R534" s="6" t="str">
        <f ca="1">IFERROR(__xludf.DUMMYFUNCTION("""COMPUTED_VALUE"""),"Pending")</f>
        <v>Pending</v>
      </c>
      <c r="S534" s="6" t="str">
        <f ca="1">IFERROR(__xludf.DUMMYFUNCTION("""COMPUTED_VALUE"""),"SAFe")</f>
        <v>SAFe</v>
      </c>
      <c r="T534" s="6"/>
      <c r="U534" s="6"/>
      <c r="V534" s="6"/>
      <c r="W534" s="6"/>
      <c r="X534" s="6"/>
      <c r="Y534" s="6"/>
      <c r="Z534" s="6"/>
      <c r="AA534" s="6"/>
      <c r="AB534" s="6"/>
      <c r="AC534" s="6"/>
      <c r="AD534" s="6"/>
      <c r="AE534" s="6"/>
      <c r="AF534" s="6"/>
      <c r="AG534" s="6"/>
      <c r="AH534" s="6"/>
      <c r="AI534" s="6"/>
      <c r="AJ534" s="6"/>
      <c r="AK534" s="6"/>
      <c r="AL534" s="6"/>
    </row>
    <row r="535" spans="1:38">
      <c r="A535" s="96">
        <f ca="1">IFERROR(__xludf.DUMMYFUNCTION("""COMPUTED_VALUE"""),44418)</f>
        <v>44418</v>
      </c>
      <c r="B535" s="6" t="str">
        <f ca="1">IFERROR(__xludf.DUMMYFUNCTION("""COMPUTED_VALUE"""),"Nimisha")</f>
        <v>Nimisha</v>
      </c>
      <c r="C535" s="6" t="str">
        <f ca="1">IFERROR(__xludf.DUMMYFUNCTION("""COMPUTED_VALUE"""),"nimisha_sinha2001@yahoo.com")</f>
        <v>nimisha_sinha2001@yahoo.com</v>
      </c>
      <c r="D535" s="6">
        <f ca="1">IFERROR(__xludf.DUMMYFUNCTION("""COMPUTED_VALUE"""),9686694480)</f>
        <v>9686694480</v>
      </c>
      <c r="E535" s="6" t="str">
        <f ca="1">IFERROR(__xludf.DUMMYFUNCTION("""COMPUTED_VALUE"""),"na-payment")</f>
        <v>na-payment</v>
      </c>
      <c r="F535" s="6" t="str">
        <f ca="1">IFERROR(__xludf.DUMMYFUNCTION("""COMPUTED_VALUE"""),"PSM")</f>
        <v>PSM</v>
      </c>
      <c r="G535" s="80">
        <f ca="1">IFERROR(__xludf.DUMMYFUNCTION("""COMPUTED_VALUE"""),44409)</f>
        <v>44409</v>
      </c>
      <c r="H535" s="6" t="str">
        <f ca="1">IFERROR(__xludf.DUMMYFUNCTION("""COMPUTED_VALUE"""),"Won")</f>
        <v>Won</v>
      </c>
      <c r="I535" s="6" t="str">
        <f ca="1">IFERROR(__xludf.DUMMYFUNCTION("""COMPUTED_VALUE"""),"28-29 Aug 2021")</f>
        <v>28-29 Aug 2021</v>
      </c>
      <c r="J535" s="6">
        <f ca="1">IFERROR(__xludf.DUMMYFUNCTION("""COMPUTED_VALUE"""),1)</f>
        <v>1</v>
      </c>
      <c r="K535" s="8">
        <f ca="1">IFERROR(__xludf.DUMMYFUNCTION("""COMPUTED_VALUE"""),21000)</f>
        <v>21000</v>
      </c>
      <c r="L535" s="8">
        <f ca="1">IFERROR(__xludf.DUMMYFUNCTION("""COMPUTED_VALUE"""),240.494732020155)</f>
        <v>240.494732020155</v>
      </c>
      <c r="M535" s="96">
        <f ca="1">IFERROR(__xludf.DUMMYFUNCTION("""COMPUTED_VALUE"""),44418)</f>
        <v>44418</v>
      </c>
      <c r="N535" s="6" t="str">
        <f ca="1">IFERROR(__xludf.DUMMYFUNCTION("""COMPUTED_VALUE"""),"F10")</f>
        <v>F10</v>
      </c>
      <c r="O535" s="97">
        <f ca="1">IFERROR(__xludf.DUMMYFUNCTION("""COMPUTED_VALUE"""),44418)</f>
        <v>44418</v>
      </c>
      <c r="P535" s="6" t="str">
        <f ca="1">IFERROR(__xludf.DUMMYFUNCTION("""COMPUTED_VALUE"""),"CSTM_EYJGV7DYNT8")</f>
        <v>CSTM_EYJGV7DYNT8</v>
      </c>
      <c r="Q535" s="6"/>
      <c r="R535" s="6" t="str">
        <f ca="1">IFERROR(__xludf.DUMMYFUNCTION("""COMPUTED_VALUE"""),"Done. Good feedback.")</f>
        <v>Done. Good feedback.</v>
      </c>
      <c r="S535" s="6" t="str">
        <f ca="1">IFERROR(__xludf.DUMMYFUNCTION("""COMPUTED_VALUE"""),"Category")</f>
        <v>Category</v>
      </c>
      <c r="T535" s="6"/>
      <c r="U535" s="6"/>
      <c r="V535" s="6"/>
      <c r="W535" s="6"/>
      <c r="X535" s="6"/>
      <c r="Y535" s="6"/>
      <c r="Z535" s="6"/>
      <c r="AA535" s="6"/>
      <c r="AB535" s="6"/>
      <c r="AC535" s="6"/>
      <c r="AD535" s="6"/>
      <c r="AE535" s="6"/>
      <c r="AF535" s="6"/>
      <c r="AG535" s="6"/>
      <c r="AH535" s="6"/>
      <c r="AI535" s="6"/>
      <c r="AJ535" s="6"/>
      <c r="AK535" s="6"/>
      <c r="AL535" s="6"/>
    </row>
    <row r="536" spans="1:38">
      <c r="A536" s="96">
        <f ca="1">IFERROR(__xludf.DUMMYFUNCTION("""COMPUTED_VALUE"""),44418)</f>
        <v>44418</v>
      </c>
      <c r="B536" s="6" t="str">
        <f ca="1">IFERROR(__xludf.DUMMYFUNCTION("""COMPUTED_VALUE"""),"Lipishree")</f>
        <v>Lipishree</v>
      </c>
      <c r="C536" s="6" t="str">
        <f ca="1">IFERROR(__xludf.DUMMYFUNCTION("""COMPUTED_VALUE"""),"lipishree.jena@gmail.com")</f>
        <v>lipishree.jena@gmail.com</v>
      </c>
      <c r="D536" s="6">
        <f ca="1">IFERROR(__xludf.DUMMYFUNCTION("""COMPUTED_VALUE"""),9986466684)</f>
        <v>9986466684</v>
      </c>
      <c r="E536" s="6" t="str">
        <f ca="1">IFERROR(__xludf.DUMMYFUNCTION("""COMPUTED_VALUE"""),"Account Repeat")</f>
        <v>Account Repeat</v>
      </c>
      <c r="F536" s="6" t="str">
        <f ca="1">IFERROR(__xludf.DUMMYFUNCTION("""COMPUTED_VALUE"""),"PGP Cloud")</f>
        <v>PGP Cloud</v>
      </c>
      <c r="G536" s="80">
        <f ca="1">IFERROR(__xludf.DUMMYFUNCTION("""COMPUTED_VALUE"""),44409)</f>
        <v>44409</v>
      </c>
      <c r="H536" s="6" t="str">
        <f ca="1">IFERROR(__xludf.DUMMYFUNCTION("""COMPUTED_VALUE"""),"Won")</f>
        <v>Won</v>
      </c>
      <c r="I536" s="6" t="str">
        <f ca="1">IFERROR(__xludf.DUMMYFUNCTION("""COMPUTED_VALUE"""),"Aug 2021")</f>
        <v>Aug 2021</v>
      </c>
      <c r="J536" s="6">
        <f ca="1">IFERROR(__xludf.DUMMYFUNCTION("""COMPUTED_VALUE"""),1)</f>
        <v>1</v>
      </c>
      <c r="K536" s="8">
        <f ca="1">IFERROR(__xludf.DUMMYFUNCTION("""COMPUTED_VALUE"""),15000)</f>
        <v>15000</v>
      </c>
      <c r="L536" s="8">
        <f ca="1">IFERROR(__xludf.DUMMYFUNCTION("""COMPUTED_VALUE"""),171.781951442968)</f>
        <v>171.78195144296799</v>
      </c>
      <c r="M536" s="96">
        <f ca="1">IFERROR(__xludf.DUMMYFUNCTION("""COMPUTED_VALUE"""),44418)</f>
        <v>44418</v>
      </c>
      <c r="N536" s="6" t="str">
        <f ca="1">IFERROR(__xludf.DUMMYFUNCTION("""COMPUTED_VALUE"""),"F10")</f>
        <v>F10</v>
      </c>
      <c r="O536" s="97">
        <f ca="1">IFERROR(__xludf.DUMMYFUNCTION("""COMPUTED_VALUE"""),44417)</f>
        <v>44417</v>
      </c>
      <c r="P536" s="6" t="str">
        <f ca="1">IFERROR(__xludf.DUMMYFUNCTION("""COMPUTED_VALUE"""),"CSTM_CCK3IUNYQPP")</f>
        <v>CSTM_CCK3IUNYQPP</v>
      </c>
      <c r="Q536" s="6"/>
      <c r="R536" s="6" t="str">
        <f ca="1">IFERROR(__xludf.DUMMYFUNCTION("""COMPUTED_VALUE"""),"Pending")</f>
        <v>Pending</v>
      </c>
      <c r="S536" s="6" t="str">
        <f ca="1">IFERROR(__xludf.DUMMYFUNCTION("""COMPUTED_VALUE"""),"NonCategory")</f>
        <v>NonCategory</v>
      </c>
      <c r="T536" s="6"/>
      <c r="U536" s="6"/>
      <c r="V536" s="6"/>
      <c r="W536" s="6"/>
      <c r="X536" s="6"/>
      <c r="Y536" s="6"/>
      <c r="Z536" s="6"/>
      <c r="AA536" s="6"/>
      <c r="AB536" s="6"/>
      <c r="AC536" s="6"/>
      <c r="AD536" s="6"/>
      <c r="AE536" s="6"/>
      <c r="AF536" s="6"/>
      <c r="AG536" s="6"/>
      <c r="AH536" s="6"/>
      <c r="AI536" s="6"/>
      <c r="AJ536" s="6"/>
      <c r="AK536" s="6"/>
      <c r="AL536" s="6"/>
    </row>
    <row r="537" spans="1:38">
      <c r="A537" s="96">
        <f ca="1">IFERROR(__xludf.DUMMYFUNCTION("""COMPUTED_VALUE"""),44418)</f>
        <v>44418</v>
      </c>
      <c r="B537" s="6" t="str">
        <f ca="1">IFERROR(__xludf.DUMMYFUNCTION("""COMPUTED_VALUE"""),"Lipishree")</f>
        <v>Lipishree</v>
      </c>
      <c r="C537" s="6" t="str">
        <f ca="1">IFERROR(__xludf.DUMMYFUNCTION("""COMPUTED_VALUE"""),"lipishree.jena@gmail.com")</f>
        <v>lipishree.jena@gmail.com</v>
      </c>
      <c r="D537" s="6">
        <f ca="1">IFERROR(__xludf.DUMMYFUNCTION("""COMPUTED_VALUE"""),9986466684)</f>
        <v>9986466684</v>
      </c>
      <c r="E537" s="6" t="str">
        <f ca="1">IFERROR(__xludf.DUMMYFUNCTION("""COMPUTED_VALUE"""),"Account Repeat")</f>
        <v>Account Repeat</v>
      </c>
      <c r="F537" s="6" t="str">
        <f ca="1">IFERROR(__xludf.DUMMYFUNCTION("""COMPUTED_VALUE"""),"PGP Cloud")</f>
        <v>PGP Cloud</v>
      </c>
      <c r="G537" s="80">
        <f ca="1">IFERROR(__xludf.DUMMYFUNCTION("""COMPUTED_VALUE"""),44409)</f>
        <v>44409</v>
      </c>
      <c r="H537" s="6" t="str">
        <f ca="1">IFERROR(__xludf.DUMMYFUNCTION("""COMPUTED_VALUE"""),"Won")</f>
        <v>Won</v>
      </c>
      <c r="I537" s="6" t="str">
        <f ca="1">IFERROR(__xludf.DUMMYFUNCTION("""COMPUTED_VALUE"""),"Aug 2021")</f>
        <v>Aug 2021</v>
      </c>
      <c r="J537" s="6">
        <f ca="1">IFERROR(__xludf.DUMMYFUNCTION("""COMPUTED_VALUE"""),1)</f>
        <v>1</v>
      </c>
      <c r="K537" s="8">
        <f ca="1">IFERROR(__xludf.DUMMYFUNCTION("""COMPUTED_VALUE"""),145000)</f>
        <v>145000</v>
      </c>
      <c r="L537" s="8">
        <f ca="1">IFERROR(__xludf.DUMMYFUNCTION("""COMPUTED_VALUE"""),1660.55886394869)</f>
        <v>1660.55886394869</v>
      </c>
      <c r="M537" s="96">
        <f ca="1">IFERROR(__xludf.DUMMYFUNCTION("""COMPUTED_VALUE"""),44418)</f>
        <v>44418</v>
      </c>
      <c r="N537" s="6" t="str">
        <f ca="1">IFERROR(__xludf.DUMMYFUNCTION("""COMPUTED_VALUE"""),"F10")</f>
        <v>F10</v>
      </c>
      <c r="O537" s="97">
        <f ca="1">IFERROR(__xludf.DUMMYFUNCTION("""COMPUTED_VALUE"""),44418)</f>
        <v>44418</v>
      </c>
      <c r="P537" s="6" t="str">
        <f ca="1">IFERROR(__xludf.DUMMYFUNCTION("""COMPUTED_VALUE"""),"CSTM_F06BIM409JL")</f>
        <v>CSTM_F06BIM409JL</v>
      </c>
      <c r="Q537" s="6"/>
      <c r="R537" s="6" t="str">
        <f ca="1">IFERROR(__xludf.DUMMYFUNCTION("""COMPUTED_VALUE"""),"Pending")</f>
        <v>Pending</v>
      </c>
      <c r="S537" s="6" t="str">
        <f ca="1">IFERROR(__xludf.DUMMYFUNCTION("""COMPUTED_VALUE"""),"NonCategory")</f>
        <v>NonCategory</v>
      </c>
      <c r="T537" s="6"/>
      <c r="U537" s="6"/>
      <c r="V537" s="6"/>
      <c r="W537" s="6"/>
      <c r="X537" s="6"/>
      <c r="Y537" s="6"/>
      <c r="Z537" s="6"/>
      <c r="AA537" s="6"/>
      <c r="AB537" s="6"/>
      <c r="AC537" s="6"/>
      <c r="AD537" s="6"/>
      <c r="AE537" s="6"/>
      <c r="AF537" s="6"/>
      <c r="AG537" s="6"/>
      <c r="AH537" s="6"/>
      <c r="AI537" s="6"/>
      <c r="AJ537" s="6"/>
      <c r="AK537" s="6"/>
      <c r="AL537" s="6"/>
    </row>
    <row r="538" spans="1:38">
      <c r="A538" s="96">
        <f ca="1">IFERROR(__xludf.DUMMYFUNCTION("""COMPUTED_VALUE"""),44419)</f>
        <v>44419</v>
      </c>
      <c r="B538" s="6" t="str">
        <f ca="1">IFERROR(__xludf.DUMMYFUNCTION("""COMPUTED_VALUE"""),"Sourabh Udapure")</f>
        <v>Sourabh Udapure</v>
      </c>
      <c r="C538" s="6" t="str">
        <f ca="1">IFERROR(__xludf.DUMMYFUNCTION("""COMPUTED_VALUE"""),"sourabh.udapure@gmail.com")</f>
        <v>sourabh.udapure@gmail.com</v>
      </c>
      <c r="D538" s="6">
        <f ca="1">IFERROR(__xludf.DUMMYFUNCTION("""COMPUTED_VALUE"""),8817090955)</f>
        <v>8817090955</v>
      </c>
      <c r="E538" s="6" t="str">
        <f ca="1">IFERROR(__xludf.DUMMYFUNCTION("""COMPUTED_VALUE"""),"chat_initiated")</f>
        <v>chat_initiated</v>
      </c>
      <c r="F538" s="6" t="str">
        <f ca="1">IFERROR(__xludf.DUMMYFUNCTION("""COMPUTED_VALUE"""),"PSM")</f>
        <v>PSM</v>
      </c>
      <c r="G538" s="80">
        <f ca="1">IFERROR(__xludf.DUMMYFUNCTION("""COMPUTED_VALUE"""),44409)</f>
        <v>44409</v>
      </c>
      <c r="H538" s="6" t="str">
        <f ca="1">IFERROR(__xludf.DUMMYFUNCTION("""COMPUTED_VALUE"""),"Won")</f>
        <v>Won</v>
      </c>
      <c r="I538" s="6" t="str">
        <f ca="1">IFERROR(__xludf.DUMMYFUNCTION("""COMPUTED_VALUE"""),"14-15 Aug 2021")</f>
        <v>14-15 Aug 2021</v>
      </c>
      <c r="J538" s="6">
        <f ca="1">IFERROR(__xludf.DUMMYFUNCTION("""COMPUTED_VALUE"""),1)</f>
        <v>1</v>
      </c>
      <c r="K538" s="8">
        <f ca="1">IFERROR(__xludf.DUMMYFUNCTION("""COMPUTED_VALUE"""),21000)</f>
        <v>21000</v>
      </c>
      <c r="L538" s="8">
        <f ca="1">IFERROR(__xludf.DUMMYFUNCTION("""COMPUTED_VALUE"""),240.494732020155)</f>
        <v>240.494732020155</v>
      </c>
      <c r="M538" s="96">
        <f ca="1">IFERROR(__xludf.DUMMYFUNCTION("""COMPUTED_VALUE"""),44419)</f>
        <v>44419</v>
      </c>
      <c r="N538" s="6" t="str">
        <f ca="1">IFERROR(__xludf.DUMMYFUNCTION("""COMPUTED_VALUE"""),"S10")</f>
        <v>S10</v>
      </c>
      <c r="O538" s="97">
        <f ca="1">IFERROR(__xludf.DUMMYFUNCTION("""COMPUTED_VALUE"""),44419)</f>
        <v>44419</v>
      </c>
      <c r="P538" s="6" t="str">
        <f ca="1">IFERROR(__xludf.DUMMYFUNCTION("""COMPUTED_VALUE"""),"CSTM_2F8Z4CNBDVV")</f>
        <v>CSTM_2F8Z4CNBDVV</v>
      </c>
      <c r="Q538" s="6"/>
      <c r="R538" s="6" t="str">
        <f ca="1">IFERROR(__xludf.DUMMYFUNCTION("""COMPUTED_VALUE"""),"Done. Good Feedback.")</f>
        <v>Done. Good Feedback.</v>
      </c>
      <c r="S538" s="6" t="str">
        <f ca="1">IFERROR(__xludf.DUMMYFUNCTION("""COMPUTED_VALUE"""),"Category")</f>
        <v>Category</v>
      </c>
      <c r="T538" s="6"/>
      <c r="U538" s="6"/>
      <c r="V538" s="6"/>
      <c r="W538" s="6"/>
      <c r="X538" s="6"/>
      <c r="Y538" s="6"/>
      <c r="Z538" s="6"/>
      <c r="AA538" s="6"/>
      <c r="AB538" s="6"/>
      <c r="AC538" s="6"/>
      <c r="AD538" s="6"/>
      <c r="AE538" s="6"/>
      <c r="AF538" s="6"/>
      <c r="AG538" s="6"/>
      <c r="AH538" s="6"/>
      <c r="AI538" s="6"/>
      <c r="AJ538" s="6"/>
      <c r="AK538" s="6"/>
      <c r="AL538" s="6"/>
    </row>
    <row r="539" spans="1:38">
      <c r="A539" s="96">
        <f ca="1">IFERROR(__xludf.DUMMYFUNCTION("""COMPUTED_VALUE"""),44419)</f>
        <v>44419</v>
      </c>
      <c r="B539" s="6" t="str">
        <f ca="1">IFERROR(__xludf.DUMMYFUNCTION("""COMPUTED_VALUE"""),"Niraj Singh")</f>
        <v>Niraj Singh</v>
      </c>
      <c r="C539" s="6" t="str">
        <f ca="1">IFERROR(__xludf.DUMMYFUNCTION("""COMPUTED_VALUE"""),"sinhavicky8@gmail.com")</f>
        <v>sinhavicky8@gmail.com</v>
      </c>
      <c r="D539" s="6">
        <f ca="1">IFERROR(__xludf.DUMMYFUNCTION("""COMPUTED_VALUE"""),6362394655)</f>
        <v>6362394655</v>
      </c>
      <c r="E539" s="6" t="str">
        <f ca="1">IFERROR(__xludf.DUMMYFUNCTION("""COMPUTED_VALUE"""),"Reference")</f>
        <v>Reference</v>
      </c>
      <c r="F539" s="6" t="str">
        <f ca="1">IFERROR(__xludf.DUMMYFUNCTION("""COMPUTED_VALUE"""),"CSPO")</f>
        <v>CSPO</v>
      </c>
      <c r="G539" s="80">
        <f ca="1">IFERROR(__xludf.DUMMYFUNCTION("""COMPUTED_VALUE"""),44409)</f>
        <v>44409</v>
      </c>
      <c r="H539" s="6" t="str">
        <f ca="1">IFERROR(__xludf.DUMMYFUNCTION("""COMPUTED_VALUE"""),"Won")</f>
        <v>Won</v>
      </c>
      <c r="I539" s="6" t="str">
        <f ca="1">IFERROR(__xludf.DUMMYFUNCTION("""COMPUTED_VALUE"""),"14-15 Aug 2021")</f>
        <v>14-15 Aug 2021</v>
      </c>
      <c r="J539" s="6">
        <f ca="1">IFERROR(__xludf.DUMMYFUNCTION("""COMPUTED_VALUE"""),1)</f>
        <v>1</v>
      </c>
      <c r="K539" s="8">
        <f ca="1">IFERROR(__xludf.DUMMYFUNCTION("""COMPUTED_VALUE"""),19500)</f>
        <v>19500</v>
      </c>
      <c r="L539" s="8">
        <f ca="1">IFERROR(__xludf.DUMMYFUNCTION("""COMPUTED_VALUE"""),223.316536875858)</f>
        <v>223.31653687585799</v>
      </c>
      <c r="M539" s="96">
        <f ca="1">IFERROR(__xludf.DUMMYFUNCTION("""COMPUTED_VALUE"""),44419)</f>
        <v>44419</v>
      </c>
      <c r="N539" s="6" t="str">
        <f ca="1">IFERROR(__xludf.DUMMYFUNCTION("""COMPUTED_VALUE"""),"S10")</f>
        <v>S10</v>
      </c>
      <c r="O539" s="97">
        <f ca="1">IFERROR(__xludf.DUMMYFUNCTION("""COMPUTED_VALUE"""),44419)</f>
        <v>44419</v>
      </c>
      <c r="P539" s="6" t="str">
        <f ca="1">IFERROR(__xludf.DUMMYFUNCTION("""COMPUTED_VALUE"""),"CSTM_JUTEW012VH")</f>
        <v>CSTM_JUTEW012VH</v>
      </c>
      <c r="Q539" s="6" t="str">
        <f ca="1">IFERROR(__xludf.DUMMYFUNCTION("""COMPUTED_VALUE"""),"Keerti")</f>
        <v>Keerti</v>
      </c>
      <c r="R539" s="6" t="str">
        <f ca="1">IFERROR(__xludf.DUMMYFUNCTION("""COMPUTED_VALUE"""),"Pending")</f>
        <v>Pending</v>
      </c>
      <c r="S539" s="6" t="str">
        <f ca="1">IFERROR(__xludf.DUMMYFUNCTION("""COMPUTED_VALUE"""),"Category")</f>
        <v>Category</v>
      </c>
      <c r="T539" s="6"/>
      <c r="U539" s="6"/>
      <c r="V539" s="6"/>
      <c r="W539" s="6"/>
      <c r="X539" s="6"/>
      <c r="Y539" s="6"/>
      <c r="Z539" s="6"/>
      <c r="AA539" s="6"/>
      <c r="AB539" s="6"/>
      <c r="AC539" s="6"/>
      <c r="AD539" s="6"/>
      <c r="AE539" s="6"/>
      <c r="AF539" s="6"/>
      <c r="AG539" s="6"/>
      <c r="AH539" s="6"/>
      <c r="AI539" s="6"/>
      <c r="AJ539" s="6"/>
      <c r="AK539" s="6"/>
      <c r="AL539" s="6"/>
    </row>
    <row r="540" spans="1:38">
      <c r="A540" s="96">
        <f ca="1">IFERROR(__xludf.DUMMYFUNCTION("""COMPUTED_VALUE"""),44420)</f>
        <v>44420</v>
      </c>
      <c r="B540" s="6" t="str">
        <f ca="1">IFERROR(__xludf.DUMMYFUNCTION("""COMPUTED_VALUE"""),"Sumithra Devaraj")</f>
        <v>Sumithra Devaraj</v>
      </c>
      <c r="C540" s="6" t="str">
        <f ca="1">IFERROR(__xludf.DUMMYFUNCTION("""COMPUTED_VALUE"""),"devaraj.sumithra@gmail.com")</f>
        <v>devaraj.sumithra@gmail.com</v>
      </c>
      <c r="D540" s="6">
        <f ca="1">IFERROR(__xludf.DUMMYFUNCTION("""COMPUTED_VALUE"""),8095591016)</f>
        <v>8095591016</v>
      </c>
      <c r="E540" s="6" t="str">
        <f ca="1">IFERROR(__xludf.DUMMYFUNCTION("""COMPUTED_VALUE"""),"chat_initiated")</f>
        <v>chat_initiated</v>
      </c>
      <c r="F540" s="6" t="str">
        <f ca="1">IFERROR(__xludf.DUMMYFUNCTION("""COMPUTED_VALUE"""),"ICP-ACC")</f>
        <v>ICP-ACC</v>
      </c>
      <c r="G540" s="80">
        <f ca="1">IFERROR(__xludf.DUMMYFUNCTION("""COMPUTED_VALUE"""),44409)</f>
        <v>44409</v>
      </c>
      <c r="H540" s="6" t="str">
        <f ca="1">IFERROR(__xludf.DUMMYFUNCTION("""COMPUTED_VALUE"""),"Won")</f>
        <v>Won</v>
      </c>
      <c r="I540" s="6" t="str">
        <f ca="1">IFERROR(__xludf.DUMMYFUNCTION("""COMPUTED_VALUE"""),"27-29 Aug 2021")</f>
        <v>27-29 Aug 2021</v>
      </c>
      <c r="J540" s="6">
        <f ca="1">IFERROR(__xludf.DUMMYFUNCTION("""COMPUTED_VALUE"""),1)</f>
        <v>1</v>
      </c>
      <c r="K540" s="8">
        <f ca="1">IFERROR(__xludf.DUMMYFUNCTION("""COMPUTED_VALUE"""),31000)</f>
        <v>31000</v>
      </c>
      <c r="L540" s="8">
        <f ca="1">IFERROR(__xludf.DUMMYFUNCTION("""COMPUTED_VALUE"""),355.016032982134)</f>
        <v>355.01603298213399</v>
      </c>
      <c r="M540" s="96">
        <f ca="1">IFERROR(__xludf.DUMMYFUNCTION("""COMPUTED_VALUE"""),44420)</f>
        <v>44420</v>
      </c>
      <c r="N540" s="6" t="str">
        <f ca="1">IFERROR(__xludf.DUMMYFUNCTION("""COMPUTED_VALUE"""),"S10")</f>
        <v>S10</v>
      </c>
      <c r="O540" s="97">
        <f ca="1">IFERROR(__xludf.DUMMYFUNCTION("""COMPUTED_VALUE"""),44420)</f>
        <v>44420</v>
      </c>
      <c r="P540" s="6" t="str">
        <f ca="1">IFERROR(__xludf.DUMMYFUNCTION("""COMPUTED_VALUE"""),"CSTM_DP59QK47V8P")</f>
        <v>CSTM_DP59QK47V8P</v>
      </c>
      <c r="Q540" s="6"/>
      <c r="R540" s="6" t="str">
        <f ca="1">IFERROR(__xludf.DUMMYFUNCTION("""COMPUTED_VALUE"""),"Pending")</f>
        <v>Pending</v>
      </c>
      <c r="S540" s="6" t="str">
        <f ca="1">IFERROR(__xludf.DUMMYFUNCTION("""COMPUTED_VALUE"""),"Category")</f>
        <v>Category</v>
      </c>
      <c r="T540" s="6"/>
      <c r="U540" s="6"/>
      <c r="V540" s="6"/>
      <c r="W540" s="6"/>
      <c r="X540" s="6"/>
      <c r="Y540" s="6"/>
      <c r="Z540" s="6"/>
      <c r="AA540" s="6"/>
      <c r="AB540" s="6"/>
      <c r="AC540" s="6"/>
      <c r="AD540" s="6"/>
      <c r="AE540" s="6"/>
      <c r="AF540" s="6"/>
      <c r="AG540" s="6"/>
      <c r="AH540" s="6"/>
      <c r="AI540" s="6"/>
      <c r="AJ540" s="6"/>
      <c r="AK540" s="6"/>
      <c r="AL540" s="6"/>
    </row>
    <row r="541" spans="1:38">
      <c r="A541" s="96">
        <f ca="1">IFERROR(__xludf.DUMMYFUNCTION("""COMPUTED_VALUE"""),44421)</f>
        <v>44421</v>
      </c>
      <c r="B541" s="6" t="str">
        <f ca="1">IFERROR(__xludf.DUMMYFUNCTION("""COMPUTED_VALUE"""),"Sushil Pathak")</f>
        <v>Sushil Pathak</v>
      </c>
      <c r="C541" s="6" t="str">
        <f ca="1">IFERROR(__xludf.DUMMYFUNCTION("""COMPUTED_VALUE"""),"sushil.pathak@gmail.com")</f>
        <v>sushil.pathak@gmail.com</v>
      </c>
      <c r="D541" s="6">
        <f ca="1">IFERROR(__xludf.DUMMYFUNCTION("""COMPUTED_VALUE"""),9819654085)</f>
        <v>9819654085</v>
      </c>
      <c r="E541" s="6" t="str">
        <f ca="1">IFERROR(__xludf.DUMMYFUNCTION("""COMPUTED_VALUE"""),"na-payment")</f>
        <v>na-payment</v>
      </c>
      <c r="F541" s="6" t="str">
        <f ca="1">IFERROR(__xludf.DUMMYFUNCTION("""COMPUTED_VALUE"""),"SAFe Agile")</f>
        <v>SAFe Agile</v>
      </c>
      <c r="G541" s="80">
        <f ca="1">IFERROR(__xludf.DUMMYFUNCTION("""COMPUTED_VALUE"""),44409)</f>
        <v>44409</v>
      </c>
      <c r="H541" s="6" t="str">
        <f ca="1">IFERROR(__xludf.DUMMYFUNCTION("""COMPUTED_VALUE"""),"Won")</f>
        <v>Won</v>
      </c>
      <c r="I541" s="6" t="str">
        <f ca="1">IFERROR(__xludf.DUMMYFUNCTION("""COMPUTED_VALUE"""),"14-15 Aug 2021")</f>
        <v>14-15 Aug 2021</v>
      </c>
      <c r="J541" s="6">
        <f ca="1">IFERROR(__xludf.DUMMYFUNCTION("""COMPUTED_VALUE"""),1)</f>
        <v>1</v>
      </c>
      <c r="K541" s="8">
        <f ca="1">IFERROR(__xludf.DUMMYFUNCTION("""COMPUTED_VALUE"""),45000)</f>
        <v>45000</v>
      </c>
      <c r="L541" s="8">
        <f ca="1">IFERROR(__xludf.DUMMYFUNCTION("""COMPUTED_VALUE"""),515.345854328905)</f>
        <v>515.34585432890503</v>
      </c>
      <c r="M541" s="96">
        <f ca="1">IFERROR(__xludf.DUMMYFUNCTION("""COMPUTED_VALUE"""),44421)</f>
        <v>44421</v>
      </c>
      <c r="N541" s="6" t="str">
        <f ca="1">IFERROR(__xludf.DUMMYFUNCTION("""COMPUTED_VALUE"""),"S10")</f>
        <v>S10</v>
      </c>
      <c r="O541" s="97">
        <f ca="1">IFERROR(__xludf.DUMMYFUNCTION("""COMPUTED_VALUE"""),44421)</f>
        <v>44421</v>
      </c>
      <c r="P541" s="6" t="str">
        <f ca="1">IFERROR(__xludf.DUMMYFUNCTION("""COMPUTED_VALUE"""),"CSTM_DDURM7U6MM7")</f>
        <v>CSTM_DDURM7U6MM7</v>
      </c>
      <c r="Q541" s="6"/>
      <c r="R541" s="6" t="str">
        <f ca="1">IFERROR(__xludf.DUMMYFUNCTION("""COMPUTED_VALUE"""),"Done. Good Feedback.")</f>
        <v>Done. Good Feedback.</v>
      </c>
      <c r="S541" s="6" t="str">
        <f ca="1">IFERROR(__xludf.DUMMYFUNCTION("""COMPUTED_VALUE"""),"SAFe")</f>
        <v>SAFe</v>
      </c>
      <c r="T541" s="6"/>
      <c r="U541" s="6"/>
      <c r="V541" s="6"/>
      <c r="W541" s="6"/>
      <c r="X541" s="6"/>
      <c r="Y541" s="6"/>
      <c r="Z541" s="6"/>
      <c r="AA541" s="6"/>
      <c r="AB541" s="6"/>
      <c r="AC541" s="6"/>
      <c r="AD541" s="6"/>
      <c r="AE541" s="6"/>
      <c r="AF541" s="6"/>
      <c r="AG541" s="6"/>
      <c r="AH541" s="6"/>
      <c r="AI541" s="6"/>
      <c r="AJ541" s="6"/>
      <c r="AK541" s="6"/>
      <c r="AL541" s="6"/>
    </row>
    <row r="542" spans="1:38">
      <c r="A542" s="96">
        <f ca="1">IFERROR(__xludf.DUMMYFUNCTION("""COMPUTED_VALUE"""),44421)</f>
        <v>44421</v>
      </c>
      <c r="B542" s="6" t="str">
        <f ca="1">IFERROR(__xludf.DUMMYFUNCTION("""COMPUTED_VALUE"""),"Dhanya")</f>
        <v>Dhanya</v>
      </c>
      <c r="C542" s="6" t="str">
        <f ca="1">IFERROR(__xludf.DUMMYFUNCTION("""COMPUTED_VALUE"""),"sdhanya21@gmail.com")</f>
        <v>sdhanya21@gmail.com</v>
      </c>
      <c r="D542" s="6">
        <f ca="1">IFERROR(__xludf.DUMMYFUNCTION("""COMPUTED_VALUE"""),9886716193)</f>
        <v>9886716193</v>
      </c>
      <c r="E542" s="6" t="str">
        <f ca="1">IFERROR(__xludf.DUMMYFUNCTION("""COMPUTED_VALUE"""),"Chat_triggered")</f>
        <v>Chat_triggered</v>
      </c>
      <c r="F542" s="6" t="str">
        <f ca="1">IFERROR(__xludf.DUMMYFUNCTION("""COMPUTED_VALUE"""),"SAFe Agile")</f>
        <v>SAFe Agile</v>
      </c>
      <c r="G542" s="80">
        <f ca="1">IFERROR(__xludf.DUMMYFUNCTION("""COMPUTED_VALUE"""),44409)</f>
        <v>44409</v>
      </c>
      <c r="H542" s="6" t="str">
        <f ca="1">IFERROR(__xludf.DUMMYFUNCTION("""COMPUTED_VALUE"""),"Won")</f>
        <v>Won</v>
      </c>
      <c r="I542" s="6" t="str">
        <f ca="1">IFERROR(__xludf.DUMMYFUNCTION("""COMPUTED_VALUE"""),"14-15 Aug 2021")</f>
        <v>14-15 Aug 2021</v>
      </c>
      <c r="J542" s="6">
        <f ca="1">IFERROR(__xludf.DUMMYFUNCTION("""COMPUTED_VALUE"""),1)</f>
        <v>1</v>
      </c>
      <c r="K542" s="8">
        <f ca="1">IFERROR(__xludf.DUMMYFUNCTION("""COMPUTED_VALUE"""),45000)</f>
        <v>45000</v>
      </c>
      <c r="L542" s="8">
        <f ca="1">IFERROR(__xludf.DUMMYFUNCTION("""COMPUTED_VALUE"""),515.345854328905)</f>
        <v>515.34585432890503</v>
      </c>
      <c r="M542" s="96">
        <f ca="1">IFERROR(__xludf.DUMMYFUNCTION("""COMPUTED_VALUE"""),44421)</f>
        <v>44421</v>
      </c>
      <c r="N542" s="6" t="str">
        <f ca="1">IFERROR(__xludf.DUMMYFUNCTION("""COMPUTED_VALUE"""),"S10")</f>
        <v>S10</v>
      </c>
      <c r="O542" s="97">
        <f ca="1">IFERROR(__xludf.DUMMYFUNCTION("""COMPUTED_VALUE"""),44421)</f>
        <v>44421</v>
      </c>
      <c r="P542" s="6" t="str">
        <f ca="1">IFERROR(__xludf.DUMMYFUNCTION("""COMPUTED_VALUE"""),"CSTM_H8VH2MRWKOA")</f>
        <v>CSTM_H8VH2MRWKOA</v>
      </c>
      <c r="Q542" s="6"/>
      <c r="R542" s="6" t="str">
        <f ca="1">IFERROR(__xludf.DUMMYFUNCTION("""COMPUTED_VALUE"""),"Pending")</f>
        <v>Pending</v>
      </c>
      <c r="S542" s="6" t="str">
        <f ca="1">IFERROR(__xludf.DUMMYFUNCTION("""COMPUTED_VALUE"""),"SAFe")</f>
        <v>SAFe</v>
      </c>
      <c r="T542" s="6"/>
      <c r="U542" s="6"/>
      <c r="V542" s="6"/>
      <c r="W542" s="6"/>
      <c r="X542" s="6"/>
      <c r="Y542" s="6"/>
      <c r="Z542" s="6"/>
      <c r="AA542" s="6"/>
      <c r="AB542" s="6"/>
      <c r="AC542" s="6"/>
      <c r="AD542" s="6"/>
      <c r="AE542" s="6"/>
      <c r="AF542" s="6"/>
      <c r="AG542" s="6"/>
      <c r="AH542" s="6"/>
      <c r="AI542" s="6"/>
      <c r="AJ542" s="6"/>
      <c r="AK542" s="6"/>
      <c r="AL542" s="6"/>
    </row>
    <row r="543" spans="1:38">
      <c r="A543" s="96">
        <f ca="1">IFERROR(__xludf.DUMMYFUNCTION("""COMPUTED_VALUE"""),44421)</f>
        <v>44421</v>
      </c>
      <c r="B543" s="6" t="str">
        <f ca="1">IFERROR(__xludf.DUMMYFUNCTION("""COMPUTED_VALUE"""),"Rajasekar")</f>
        <v>Rajasekar</v>
      </c>
      <c r="C543" s="6" t="str">
        <f ca="1">IFERROR(__xludf.DUMMYFUNCTION("""COMPUTED_VALUE"""),"bs_rajasekar@yahoo.co.in")</f>
        <v>bs_rajasekar@yahoo.co.in</v>
      </c>
      <c r="D543" s="6">
        <f ca="1">IFERROR(__xludf.DUMMYFUNCTION("""COMPUTED_VALUE"""),9342568873)</f>
        <v>9342568873</v>
      </c>
      <c r="E543" s="6" t="str">
        <f ca="1">IFERROR(__xludf.DUMMYFUNCTION("""COMPUTED_VALUE"""),"Reference")</f>
        <v>Reference</v>
      </c>
      <c r="F543" s="6" t="str">
        <f ca="1">IFERROR(__xludf.DUMMYFUNCTION("""COMPUTED_VALUE"""),"CSM")</f>
        <v>CSM</v>
      </c>
      <c r="G543" s="80">
        <f ca="1">IFERROR(__xludf.DUMMYFUNCTION("""COMPUTED_VALUE"""),44409)</f>
        <v>44409</v>
      </c>
      <c r="H543" s="6" t="str">
        <f ca="1">IFERROR(__xludf.DUMMYFUNCTION("""COMPUTED_VALUE"""),"Won")</f>
        <v>Won</v>
      </c>
      <c r="I543" s="6" t="str">
        <f ca="1">IFERROR(__xludf.DUMMYFUNCTION("""COMPUTED_VALUE"""),"14-15 Aug 2021")</f>
        <v>14-15 Aug 2021</v>
      </c>
      <c r="J543" s="6">
        <f ca="1">IFERROR(__xludf.DUMMYFUNCTION("""COMPUTED_VALUE"""),1)</f>
        <v>1</v>
      </c>
      <c r="K543" s="8">
        <f ca="1">IFERROR(__xludf.DUMMYFUNCTION("""COMPUTED_VALUE"""),19500)</f>
        <v>19500</v>
      </c>
      <c r="L543" s="8">
        <f ca="1">IFERROR(__xludf.DUMMYFUNCTION("""COMPUTED_VALUE"""),223.316536875858)</f>
        <v>223.31653687585799</v>
      </c>
      <c r="M543" s="96">
        <f ca="1">IFERROR(__xludf.DUMMYFUNCTION("""COMPUTED_VALUE"""),44421)</f>
        <v>44421</v>
      </c>
      <c r="N543" s="6" t="str">
        <f ca="1">IFERROR(__xludf.DUMMYFUNCTION("""COMPUTED_VALUE"""),"S10")</f>
        <v>S10</v>
      </c>
      <c r="O543" s="97">
        <f ca="1">IFERROR(__xludf.DUMMYFUNCTION("""COMPUTED_VALUE"""),44421)</f>
        <v>44421</v>
      </c>
      <c r="P543" s="6" t="str">
        <f ca="1">IFERROR(__xludf.DUMMYFUNCTION("""COMPUTED_VALUE"""),"CSTM_3D2XCXX9DRU")</f>
        <v>CSTM_3D2XCXX9DRU</v>
      </c>
      <c r="Q543" s="6" t="str">
        <f ca="1">IFERROR(__xludf.DUMMYFUNCTION("""COMPUTED_VALUE"""),"g_subbarathna@yahoo.com")</f>
        <v>g_subbarathna@yahoo.com</v>
      </c>
      <c r="R543" s="6" t="str">
        <f ca="1">IFERROR(__xludf.DUMMYFUNCTION("""COMPUTED_VALUE"""),"Done. Good Feedback.")</f>
        <v>Done. Good Feedback.</v>
      </c>
      <c r="S543" s="6" t="str">
        <f ca="1">IFERROR(__xludf.DUMMYFUNCTION("""COMPUTED_VALUE"""),"Category")</f>
        <v>Category</v>
      </c>
      <c r="T543" s="6"/>
      <c r="U543" s="6"/>
      <c r="V543" s="6"/>
      <c r="W543" s="6"/>
      <c r="X543" s="6"/>
      <c r="Y543" s="6"/>
      <c r="Z543" s="6"/>
      <c r="AA543" s="6"/>
      <c r="AB543" s="6"/>
      <c r="AC543" s="6"/>
      <c r="AD543" s="6"/>
      <c r="AE543" s="6"/>
      <c r="AF543" s="6"/>
      <c r="AG543" s="6"/>
      <c r="AH543" s="6"/>
      <c r="AI543" s="6"/>
      <c r="AJ543" s="6"/>
      <c r="AK543" s="6"/>
      <c r="AL543" s="6"/>
    </row>
    <row r="544" spans="1:38">
      <c r="A544" s="96">
        <f ca="1">IFERROR(__xludf.DUMMYFUNCTION("""COMPUTED_VALUE"""),44422)</f>
        <v>44422</v>
      </c>
      <c r="B544" s="6" t="str">
        <f ca="1">IFERROR(__xludf.DUMMYFUNCTION("""COMPUTED_VALUE"""),"Ashish")</f>
        <v>Ashish</v>
      </c>
      <c r="C544" s="6" t="str">
        <f ca="1">IFERROR(__xludf.DUMMYFUNCTION("""COMPUTED_VALUE"""),"a9953838914@gmail.com")</f>
        <v>a9953838914@gmail.com</v>
      </c>
      <c r="D544" s="6"/>
      <c r="E544" s="6" t="str">
        <f ca="1">IFERROR(__xludf.DUMMYFUNCTION("""COMPUTED_VALUE"""),"chat_initiated")</f>
        <v>chat_initiated</v>
      </c>
      <c r="F544" s="6" t="str">
        <f ca="1">IFERROR(__xludf.DUMMYFUNCTION("""COMPUTED_VALUE"""),"PSM 2")</f>
        <v>PSM 2</v>
      </c>
      <c r="G544" s="80">
        <f ca="1">IFERROR(__xludf.DUMMYFUNCTION("""COMPUTED_VALUE"""),44409)</f>
        <v>44409</v>
      </c>
      <c r="H544" s="6" t="str">
        <f ca="1">IFERROR(__xludf.DUMMYFUNCTION("""COMPUTED_VALUE"""),"Won")</f>
        <v>Won</v>
      </c>
      <c r="I544" s="6" t="str">
        <f ca="1">IFERROR(__xludf.DUMMYFUNCTION("""COMPUTED_VALUE"""),"14-15 Aug 2021")</f>
        <v>14-15 Aug 2021</v>
      </c>
      <c r="J544" s="6">
        <f ca="1">IFERROR(__xludf.DUMMYFUNCTION("""COMPUTED_VALUE"""),1)</f>
        <v>1</v>
      </c>
      <c r="K544" s="8">
        <f ca="1">IFERROR(__xludf.DUMMYFUNCTION("""COMPUTED_VALUE"""),24000)</f>
        <v>24000</v>
      </c>
      <c r="L544" s="8">
        <f ca="1">IFERROR(__xludf.DUMMYFUNCTION("""COMPUTED_VALUE"""),274.851122308749)</f>
        <v>274.85112230874898</v>
      </c>
      <c r="M544" s="96">
        <f ca="1">IFERROR(__xludf.DUMMYFUNCTION("""COMPUTED_VALUE"""),44422)</f>
        <v>44422</v>
      </c>
      <c r="N544" s="6" t="str">
        <f ca="1">IFERROR(__xludf.DUMMYFUNCTION("""COMPUTED_VALUE"""),"S10")</f>
        <v>S10</v>
      </c>
      <c r="O544" s="97">
        <f ca="1">IFERROR(__xludf.DUMMYFUNCTION("""COMPUTED_VALUE"""),44422)</f>
        <v>44422</v>
      </c>
      <c r="P544" s="6" t="str">
        <f ca="1">IFERROR(__xludf.DUMMYFUNCTION("""COMPUTED_VALUE"""),"CSTM_5NS6M29MY87")</f>
        <v>CSTM_5NS6M29MY87</v>
      </c>
      <c r="Q544" s="6"/>
      <c r="R544" s="6" t="str">
        <f ca="1">IFERROR(__xludf.DUMMYFUNCTION("""COMPUTED_VALUE"""),"Pending")</f>
        <v>Pending</v>
      </c>
      <c r="S544" s="6" t="str">
        <f ca="1">IFERROR(__xludf.DUMMYFUNCTION("""COMPUTED_VALUE"""),"Category")</f>
        <v>Category</v>
      </c>
      <c r="T544" s="6"/>
      <c r="U544" s="6"/>
      <c r="V544" s="6"/>
      <c r="W544" s="6"/>
      <c r="X544" s="6"/>
      <c r="Y544" s="6"/>
      <c r="Z544" s="6"/>
      <c r="AA544" s="6"/>
      <c r="AB544" s="6"/>
      <c r="AC544" s="6"/>
      <c r="AD544" s="6"/>
      <c r="AE544" s="6"/>
      <c r="AF544" s="6"/>
      <c r="AG544" s="6"/>
      <c r="AH544" s="6"/>
      <c r="AI544" s="6"/>
      <c r="AJ544" s="6"/>
      <c r="AK544" s="6"/>
      <c r="AL544" s="6"/>
    </row>
    <row r="545" spans="1:38">
      <c r="A545" s="96">
        <f ca="1">IFERROR(__xludf.DUMMYFUNCTION("""COMPUTED_VALUE"""),44423)</f>
        <v>44423</v>
      </c>
      <c r="B545" s="6" t="str">
        <f ca="1">IFERROR(__xludf.DUMMYFUNCTION("""COMPUTED_VALUE"""),"Nagaraj Mamidi")</f>
        <v>Nagaraj Mamidi</v>
      </c>
      <c r="C545" s="6" t="str">
        <f ca="1">IFERROR(__xludf.DUMMYFUNCTION("""COMPUTED_VALUE"""),"nagaraj.mamidi@gmail.com")</f>
        <v>nagaraj.mamidi@gmail.com</v>
      </c>
      <c r="D545" s="6">
        <f ca="1">IFERROR(__xludf.DUMMYFUNCTION("""COMPUTED_VALUE"""),9985166842)</f>
        <v>9985166842</v>
      </c>
      <c r="E545" s="6" t="str">
        <f ca="1">IFERROR(__xludf.DUMMYFUNCTION("""COMPUTED_VALUE"""),"Reference")</f>
        <v>Reference</v>
      </c>
      <c r="F545" s="6" t="str">
        <f ca="1">IFERROR(__xludf.DUMMYFUNCTION("""COMPUTED_VALUE"""),"CSPO")</f>
        <v>CSPO</v>
      </c>
      <c r="G545" s="80">
        <f ca="1">IFERROR(__xludf.DUMMYFUNCTION("""COMPUTED_VALUE"""),44409)</f>
        <v>44409</v>
      </c>
      <c r="H545" s="6" t="str">
        <f ca="1">IFERROR(__xludf.DUMMYFUNCTION("""COMPUTED_VALUE"""),"Won")</f>
        <v>Won</v>
      </c>
      <c r="I545" s="6" t="str">
        <f ca="1">IFERROR(__xludf.DUMMYFUNCTION("""COMPUTED_VALUE"""),"28-29 Aug 2021")</f>
        <v>28-29 Aug 2021</v>
      </c>
      <c r="J545" s="6">
        <f ca="1">IFERROR(__xludf.DUMMYFUNCTION("""COMPUTED_VALUE"""),1)</f>
        <v>1</v>
      </c>
      <c r="K545" s="8">
        <f ca="1">IFERROR(__xludf.DUMMYFUNCTION("""COMPUTED_VALUE"""),20000)</f>
        <v>20000</v>
      </c>
      <c r="L545" s="8">
        <f ca="1">IFERROR(__xludf.DUMMYFUNCTION("""COMPUTED_VALUE"""),229.042601923957)</f>
        <v>229.04260192395699</v>
      </c>
      <c r="M545" s="96">
        <f ca="1">IFERROR(__xludf.DUMMYFUNCTION("""COMPUTED_VALUE"""),44423)</f>
        <v>44423</v>
      </c>
      <c r="N545" s="6" t="str">
        <f ca="1">IFERROR(__xludf.DUMMYFUNCTION("""COMPUTED_VALUE"""),"S10")</f>
        <v>S10</v>
      </c>
      <c r="O545" s="97">
        <f ca="1">IFERROR(__xludf.DUMMYFUNCTION("""COMPUTED_VALUE"""),44423)</f>
        <v>44423</v>
      </c>
      <c r="P545" s="6" t="str">
        <f ca="1">IFERROR(__xludf.DUMMYFUNCTION("""COMPUTED_VALUE"""),"CSTM_ABK1V3OXUBH")</f>
        <v>CSTM_ABK1V3OXUBH</v>
      </c>
      <c r="Q545" s="6" t="str">
        <f ca="1">IFERROR(__xludf.DUMMYFUNCTION("""COMPUTED_VALUE"""),"Reference by Devi Das")</f>
        <v>Reference by Devi Das</v>
      </c>
      <c r="R545" s="6" t="str">
        <f ca="1">IFERROR(__xludf.DUMMYFUNCTION("""COMPUTED_VALUE"""),"Done. Good feedback.")</f>
        <v>Done. Good feedback.</v>
      </c>
      <c r="S545" s="6" t="str">
        <f ca="1">IFERROR(__xludf.DUMMYFUNCTION("""COMPUTED_VALUE"""),"Category")</f>
        <v>Category</v>
      </c>
      <c r="T545" s="6"/>
      <c r="U545" s="6"/>
      <c r="V545" s="6"/>
      <c r="W545" s="6"/>
      <c r="X545" s="6"/>
      <c r="Y545" s="6"/>
      <c r="Z545" s="6"/>
      <c r="AA545" s="6"/>
      <c r="AB545" s="6"/>
      <c r="AC545" s="6"/>
      <c r="AD545" s="6"/>
      <c r="AE545" s="6"/>
      <c r="AF545" s="6"/>
      <c r="AG545" s="6"/>
      <c r="AH545" s="6"/>
      <c r="AI545" s="6"/>
      <c r="AJ545" s="6"/>
      <c r="AK545" s="6"/>
      <c r="AL545" s="6"/>
    </row>
    <row r="546" spans="1:38">
      <c r="A546" s="96">
        <f ca="1">IFERROR(__xludf.DUMMYFUNCTION("""COMPUTED_VALUE"""),44424)</f>
        <v>44424</v>
      </c>
      <c r="B546" s="6" t="str">
        <f ca="1">IFERROR(__xludf.DUMMYFUNCTION("""COMPUTED_VALUE"""),"Anand")</f>
        <v>Anand</v>
      </c>
      <c r="C546" s="6" t="str">
        <f ca="1">IFERROR(__xludf.DUMMYFUNCTION("""COMPUTED_VALUE"""),"jaianand30@gmail.com")</f>
        <v>jaianand30@gmail.com</v>
      </c>
      <c r="D546" s="6">
        <f ca="1">IFERROR(__xludf.DUMMYFUNCTION("""COMPUTED_VALUE"""),9894600324)</f>
        <v>9894600324</v>
      </c>
      <c r="E546" s="6" t="str">
        <f ca="1">IFERROR(__xludf.DUMMYFUNCTION("""COMPUTED_VALUE"""),"Reference")</f>
        <v>Reference</v>
      </c>
      <c r="F546" s="6" t="str">
        <f ca="1">IFERROR(__xludf.DUMMYFUNCTION("""COMPUTED_VALUE"""),"CSM")</f>
        <v>CSM</v>
      </c>
      <c r="G546" s="80">
        <f ca="1">IFERROR(__xludf.DUMMYFUNCTION("""COMPUTED_VALUE"""),44409)</f>
        <v>44409</v>
      </c>
      <c r="H546" s="6" t="str">
        <f ca="1">IFERROR(__xludf.DUMMYFUNCTION("""COMPUTED_VALUE"""),"Won")</f>
        <v>Won</v>
      </c>
      <c r="I546" s="6" t="str">
        <f ca="1">IFERROR(__xludf.DUMMYFUNCTION("""COMPUTED_VALUE"""),"4-5 Sep 2021")</f>
        <v>4-5 Sep 2021</v>
      </c>
      <c r="J546" s="6">
        <f ca="1">IFERROR(__xludf.DUMMYFUNCTION("""COMPUTED_VALUE"""),1)</f>
        <v>1</v>
      </c>
      <c r="K546" s="8">
        <f ca="1">IFERROR(__xludf.DUMMYFUNCTION("""COMPUTED_VALUE"""),18500)</f>
        <v>18500</v>
      </c>
      <c r="L546" s="8">
        <f ca="1">IFERROR(__xludf.DUMMYFUNCTION("""COMPUTED_VALUE"""),211.864406779661)</f>
        <v>211.86440677966101</v>
      </c>
      <c r="M546" s="96">
        <f ca="1">IFERROR(__xludf.DUMMYFUNCTION("""COMPUTED_VALUE"""),44424)</f>
        <v>44424</v>
      </c>
      <c r="N546" s="6" t="str">
        <f ca="1">IFERROR(__xludf.DUMMYFUNCTION("""COMPUTED_VALUE"""),"S10")</f>
        <v>S10</v>
      </c>
      <c r="O546" s="97">
        <f ca="1">IFERROR(__xludf.DUMMYFUNCTION("""COMPUTED_VALUE"""),44424)</f>
        <v>44424</v>
      </c>
      <c r="P546" s="6" t="str">
        <f ca="1">IFERROR(__xludf.DUMMYFUNCTION("""COMPUTED_VALUE"""),"CSTM_G7HAPAJQ0A5")</f>
        <v>CSTM_G7HAPAJQ0A5</v>
      </c>
      <c r="Q546" s="6" t="str">
        <f ca="1">IFERROR(__xludf.DUMMYFUNCTION("""COMPUTED_VALUE"""),"goutham.devaraj023@gmail.com")</f>
        <v>goutham.devaraj023@gmail.com</v>
      </c>
      <c r="R546" s="6" t="str">
        <f ca="1">IFERROR(__xludf.DUMMYFUNCTION("""COMPUTED_VALUE"""),"Pending")</f>
        <v>Pending</v>
      </c>
      <c r="S546" s="6" t="str">
        <f ca="1">IFERROR(__xludf.DUMMYFUNCTION("""COMPUTED_VALUE"""),"Category")</f>
        <v>Category</v>
      </c>
      <c r="T546" s="6"/>
      <c r="U546" s="6"/>
      <c r="V546" s="6"/>
      <c r="W546" s="6"/>
      <c r="X546" s="6"/>
      <c r="Y546" s="6"/>
      <c r="Z546" s="6"/>
      <c r="AA546" s="6"/>
      <c r="AB546" s="6"/>
      <c r="AC546" s="6"/>
      <c r="AD546" s="6"/>
      <c r="AE546" s="6"/>
      <c r="AF546" s="6"/>
      <c r="AG546" s="6"/>
      <c r="AH546" s="6"/>
      <c r="AI546" s="6"/>
      <c r="AJ546" s="6"/>
      <c r="AK546" s="6"/>
      <c r="AL546" s="6"/>
    </row>
    <row r="547" spans="1:38">
      <c r="A547" s="96">
        <f ca="1">IFERROR(__xludf.DUMMYFUNCTION("""COMPUTED_VALUE"""),44424)</f>
        <v>44424</v>
      </c>
      <c r="B547" s="6" t="str">
        <f ca="1">IFERROR(__xludf.DUMMYFUNCTION("""COMPUTED_VALUE"""),"Maha Fariz")</f>
        <v>Maha Fariz</v>
      </c>
      <c r="C547" s="6" t="str">
        <f ca="1">IFERROR(__xludf.DUMMYFUNCTION("""COMPUTED_VALUE"""),"maha.fariz@bank-abc.com")</f>
        <v>maha.fariz@bank-abc.com</v>
      </c>
      <c r="D547" s="6">
        <f ca="1">IFERROR(__xludf.DUMMYFUNCTION("""COMPUTED_VALUE"""),97336432252)</f>
        <v>97336432252</v>
      </c>
      <c r="E547" s="6" t="str">
        <f ca="1">IFERROR(__xludf.DUMMYFUNCTION("""COMPUTED_VALUE"""),"Reference")</f>
        <v>Reference</v>
      </c>
      <c r="F547" s="6" t="str">
        <f ca="1">IFERROR(__xludf.DUMMYFUNCTION("""COMPUTED_VALUE"""),"CSM")</f>
        <v>CSM</v>
      </c>
      <c r="G547" s="80">
        <f ca="1">IFERROR(__xludf.DUMMYFUNCTION("""COMPUTED_VALUE"""),44409)</f>
        <v>44409</v>
      </c>
      <c r="H547" s="6" t="str">
        <f ca="1">IFERROR(__xludf.DUMMYFUNCTION("""COMPUTED_VALUE"""),"Won")</f>
        <v>Won</v>
      </c>
      <c r="I547" s="6" t="str">
        <f ca="1">IFERROR(__xludf.DUMMYFUNCTION("""COMPUTED_VALUE"""),"16-17 Oct 2021")</f>
        <v>16-17 Oct 2021</v>
      </c>
      <c r="J547" s="6">
        <f ca="1">IFERROR(__xludf.DUMMYFUNCTION("""COMPUTED_VALUE"""),1)</f>
        <v>1</v>
      </c>
      <c r="K547" s="8">
        <f ca="1">IFERROR(__xludf.DUMMYFUNCTION("""COMPUTED_VALUE"""),33470)</f>
        <v>33470</v>
      </c>
      <c r="L547" s="8">
        <f ca="1">IFERROR(__xludf.DUMMYFUNCTION("""COMPUTED_VALUE"""),383.302794319743)</f>
        <v>383.30279431974299</v>
      </c>
      <c r="M547" s="96">
        <f ca="1">IFERROR(__xludf.DUMMYFUNCTION("""COMPUTED_VALUE"""),44424)</f>
        <v>44424</v>
      </c>
      <c r="N547" s="6" t="str">
        <f ca="1">IFERROR(__xludf.DUMMYFUNCTION("""COMPUTED_VALUE"""),"S10")</f>
        <v>S10</v>
      </c>
      <c r="O547" s="97">
        <f ca="1">IFERROR(__xludf.DUMMYFUNCTION("""COMPUTED_VALUE"""),44425)</f>
        <v>44425</v>
      </c>
      <c r="P547" s="6" t="str">
        <f ca="1">IFERROR(__xludf.DUMMYFUNCTION("""COMPUTED_VALUE"""),"CSTM_AB5MQ2ZDTO1")</f>
        <v>CSTM_AB5MQ2ZDTO1</v>
      </c>
      <c r="Q547" s="6" t="str">
        <f ca="1">IFERROR(__xludf.DUMMYFUNCTION("""COMPUTED_VALUE"""),"Keerti")</f>
        <v>Keerti</v>
      </c>
      <c r="R547" s="6" t="str">
        <f ca="1">IFERROR(__xludf.DUMMYFUNCTION("""COMPUTED_VALUE"""),"Pending")</f>
        <v>Pending</v>
      </c>
      <c r="S547" s="6" t="str">
        <f ca="1">IFERROR(__xludf.DUMMYFUNCTION("""COMPUTED_VALUE"""),"Category")</f>
        <v>Category</v>
      </c>
      <c r="T547" s="6"/>
      <c r="U547" s="6"/>
      <c r="V547" s="6"/>
      <c r="W547" s="6"/>
      <c r="X547" s="6"/>
      <c r="Y547" s="6"/>
      <c r="Z547" s="6"/>
      <c r="AA547" s="6"/>
      <c r="AB547" s="6"/>
      <c r="AC547" s="6"/>
      <c r="AD547" s="6"/>
      <c r="AE547" s="6"/>
      <c r="AF547" s="6"/>
      <c r="AG547" s="6"/>
      <c r="AH547" s="6"/>
      <c r="AI547" s="6"/>
      <c r="AJ547" s="6"/>
      <c r="AK547" s="6"/>
      <c r="AL547" s="6"/>
    </row>
    <row r="548" spans="1:38">
      <c r="A548" s="96">
        <f ca="1">IFERROR(__xludf.DUMMYFUNCTION("""COMPUTED_VALUE"""),44425)</f>
        <v>44425</v>
      </c>
      <c r="B548" s="6" t="str">
        <f ca="1">IFERROR(__xludf.DUMMYFUNCTION("""COMPUTED_VALUE"""),"Sujit Chanak")</f>
        <v>Sujit Chanak</v>
      </c>
      <c r="C548" s="6" t="str">
        <f ca="1">IFERROR(__xludf.DUMMYFUNCTION("""COMPUTED_VALUE"""),"sujit.chanak@gmail.com")</f>
        <v>sujit.chanak@gmail.com</v>
      </c>
      <c r="D548" s="6">
        <f ca="1">IFERROR(__xludf.DUMMYFUNCTION("""COMPUTED_VALUE"""),9830197815)</f>
        <v>9830197815</v>
      </c>
      <c r="E548" s="6" t="str">
        <f ca="1">IFERROR(__xludf.DUMMYFUNCTION("""COMPUTED_VALUE"""),"Reference")</f>
        <v>Reference</v>
      </c>
      <c r="F548" s="6" t="str">
        <f ca="1">IFERROR(__xludf.DUMMYFUNCTION("""COMPUTED_VALUE"""),"CSM")</f>
        <v>CSM</v>
      </c>
      <c r="G548" s="80">
        <f ca="1">IFERROR(__xludf.DUMMYFUNCTION("""COMPUTED_VALUE"""),44409)</f>
        <v>44409</v>
      </c>
      <c r="H548" s="6" t="str">
        <f ca="1">IFERROR(__xludf.DUMMYFUNCTION("""COMPUTED_VALUE"""),"Won")</f>
        <v>Won</v>
      </c>
      <c r="I548" s="6" t="str">
        <f ca="1">IFERROR(__xludf.DUMMYFUNCTION("""COMPUTED_VALUE"""),"11-12 Sep 2021")</f>
        <v>11-12 Sep 2021</v>
      </c>
      <c r="J548" s="6">
        <f ca="1">IFERROR(__xludf.DUMMYFUNCTION("""COMPUTED_VALUE"""),1)</f>
        <v>1</v>
      </c>
      <c r="K548" s="8">
        <f ca="1">IFERROR(__xludf.DUMMYFUNCTION("""COMPUTED_VALUE"""),19000)</f>
        <v>19000</v>
      </c>
      <c r="L548" s="8">
        <f ca="1">IFERROR(__xludf.DUMMYFUNCTION("""COMPUTED_VALUE"""),217.590471827759)</f>
        <v>217.59047182775899</v>
      </c>
      <c r="M548" s="96">
        <f ca="1">IFERROR(__xludf.DUMMYFUNCTION("""COMPUTED_VALUE"""),44425)</f>
        <v>44425</v>
      </c>
      <c r="N548" s="6" t="str">
        <f ca="1">IFERROR(__xludf.DUMMYFUNCTION("""COMPUTED_VALUE"""),"S10")</f>
        <v>S10</v>
      </c>
      <c r="O548" s="97">
        <f ca="1">IFERROR(__xludf.DUMMYFUNCTION("""COMPUTED_VALUE"""),44425)</f>
        <v>44425</v>
      </c>
      <c r="P548" s="6" t="str">
        <f ca="1">IFERROR(__xludf.DUMMYFUNCTION("""COMPUTED_VALUE"""),"CSTM_ISGF6JGAGCU")</f>
        <v>CSTM_ISGF6JGAGCU</v>
      </c>
      <c r="Q548" s="6" t="str">
        <f ca="1">IFERROR(__xludf.DUMMYFUNCTION("""COMPUTED_VALUE"""),"chayan.giri@gmail.com")</f>
        <v>chayan.giri@gmail.com</v>
      </c>
      <c r="R548" s="6" t="str">
        <f ca="1">IFERROR(__xludf.DUMMYFUNCTION("""COMPUTED_VALUE"""),"Done. Good feedback.")</f>
        <v>Done. Good feedback.</v>
      </c>
      <c r="S548" s="6" t="str">
        <f ca="1">IFERROR(__xludf.DUMMYFUNCTION("""COMPUTED_VALUE"""),"Category")</f>
        <v>Category</v>
      </c>
      <c r="T548" s="6"/>
      <c r="U548" s="6"/>
      <c r="V548" s="6"/>
      <c r="W548" s="6"/>
      <c r="X548" s="6"/>
      <c r="Y548" s="6"/>
      <c r="Z548" s="6"/>
      <c r="AA548" s="6"/>
      <c r="AB548" s="6"/>
      <c r="AC548" s="6"/>
      <c r="AD548" s="6"/>
      <c r="AE548" s="6"/>
      <c r="AF548" s="6"/>
      <c r="AG548" s="6"/>
      <c r="AH548" s="6"/>
      <c r="AI548" s="6"/>
      <c r="AJ548" s="6"/>
      <c r="AK548" s="6"/>
      <c r="AL548" s="6"/>
    </row>
    <row r="549" spans="1:38">
      <c r="A549" s="96">
        <f ca="1">IFERROR(__xludf.DUMMYFUNCTION("""COMPUTED_VALUE"""),44426)</f>
        <v>44426</v>
      </c>
      <c r="B549" s="6" t="str">
        <f ca="1">IFERROR(__xludf.DUMMYFUNCTION("""COMPUTED_VALUE"""),"Hemanth")</f>
        <v>Hemanth</v>
      </c>
      <c r="C549" s="6" t="str">
        <f ca="1">IFERROR(__xludf.DUMMYFUNCTION("""COMPUTED_VALUE"""),"hemanthkumarg@maveric-systems.com")</f>
        <v>hemanthkumarg@maveric-systems.com</v>
      </c>
      <c r="D549" s="6">
        <f ca="1">IFERROR(__xludf.DUMMYFUNCTION("""COMPUTED_VALUE"""),9640000581)</f>
        <v>9640000581</v>
      </c>
      <c r="E549" s="6" t="str">
        <f ca="1">IFERROR(__xludf.DUMMYFUNCTION("""COMPUTED_VALUE"""),"Reference")</f>
        <v>Reference</v>
      </c>
      <c r="F549" s="6" t="str">
        <f ca="1">IFERROR(__xludf.DUMMYFUNCTION("""COMPUTED_VALUE"""),"CSM")</f>
        <v>CSM</v>
      </c>
      <c r="G549" s="80">
        <f ca="1">IFERROR(__xludf.DUMMYFUNCTION("""COMPUTED_VALUE"""),44409)</f>
        <v>44409</v>
      </c>
      <c r="H549" s="6" t="str">
        <f ca="1">IFERROR(__xludf.DUMMYFUNCTION("""COMPUTED_VALUE"""),"Won")</f>
        <v>Won</v>
      </c>
      <c r="I549" s="6" t="str">
        <f ca="1">IFERROR(__xludf.DUMMYFUNCTION("""COMPUTED_VALUE"""),"9-10 Oct 2021")</f>
        <v>9-10 Oct 2021</v>
      </c>
      <c r="J549" s="6">
        <f ca="1">IFERROR(__xludf.DUMMYFUNCTION("""COMPUTED_VALUE"""),1)</f>
        <v>1</v>
      </c>
      <c r="K549" s="8">
        <f ca="1">IFERROR(__xludf.DUMMYFUNCTION("""COMPUTED_VALUE"""),18000)</f>
        <v>18000</v>
      </c>
      <c r="L549" s="8">
        <f ca="1">IFERROR(__xludf.DUMMYFUNCTION("""COMPUTED_VALUE"""),206.138341731562)</f>
        <v>206.13834173156201</v>
      </c>
      <c r="M549" s="96">
        <f ca="1">IFERROR(__xludf.DUMMYFUNCTION("""COMPUTED_VALUE"""),44426)</f>
        <v>44426</v>
      </c>
      <c r="N549" s="6" t="str">
        <f ca="1">IFERROR(__xludf.DUMMYFUNCTION("""COMPUTED_VALUE"""),"S10")</f>
        <v>S10</v>
      </c>
      <c r="O549" s="97">
        <f ca="1">IFERROR(__xludf.DUMMYFUNCTION("""COMPUTED_VALUE"""),44427)</f>
        <v>44427</v>
      </c>
      <c r="P549" s="6" t="str">
        <f ca="1">IFERROR(__xludf.DUMMYFUNCTION("""COMPUTED_VALUE"""),"CSTM_6LTJFPY0UIE")</f>
        <v>CSTM_6LTJFPY0UIE</v>
      </c>
      <c r="Q549" s="6" t="str">
        <f ca="1">IFERROR(__xludf.DUMMYFUNCTION("""COMPUTED_VALUE"""),"Keerti")</f>
        <v>Keerti</v>
      </c>
      <c r="R549" s="6" t="str">
        <f ca="1">IFERROR(__xludf.DUMMYFUNCTION("""COMPUTED_VALUE"""),"Done. Good feedback.")</f>
        <v>Done. Good feedback.</v>
      </c>
      <c r="S549" s="6" t="str">
        <f ca="1">IFERROR(__xludf.DUMMYFUNCTION("""COMPUTED_VALUE"""),"Category")</f>
        <v>Category</v>
      </c>
      <c r="T549" s="6"/>
      <c r="U549" s="6"/>
      <c r="V549" s="6"/>
      <c r="W549" s="6"/>
      <c r="X549" s="6"/>
      <c r="Y549" s="6"/>
      <c r="Z549" s="6"/>
      <c r="AA549" s="6"/>
      <c r="AB549" s="6"/>
      <c r="AC549" s="6"/>
      <c r="AD549" s="6"/>
      <c r="AE549" s="6"/>
      <c r="AF549" s="6"/>
      <c r="AG549" s="6"/>
      <c r="AH549" s="6"/>
      <c r="AI549" s="6"/>
      <c r="AJ549" s="6"/>
      <c r="AK549" s="6"/>
      <c r="AL549" s="6"/>
    </row>
    <row r="550" spans="1:38">
      <c r="A550" s="96">
        <f ca="1">IFERROR(__xludf.DUMMYFUNCTION("""COMPUTED_VALUE"""),44426)</f>
        <v>44426</v>
      </c>
      <c r="B550" s="6" t="str">
        <f ca="1">IFERROR(__xludf.DUMMYFUNCTION("""COMPUTED_VALUE"""),"Iliyas")</f>
        <v>Iliyas</v>
      </c>
      <c r="C550" s="6" t="str">
        <f ca="1">IFERROR(__xludf.DUMMYFUNCTION("""COMPUTED_VALUE"""),"iliyaskalkan@gmail.com")</f>
        <v>iliyaskalkan@gmail.com</v>
      </c>
      <c r="D550" s="6">
        <f ca="1">IFERROR(__xludf.DUMMYFUNCTION("""COMPUTED_VALUE"""),9901977148)</f>
        <v>9901977148</v>
      </c>
      <c r="E550" s="6" t="str">
        <f ca="1">IFERROR(__xludf.DUMMYFUNCTION("""COMPUTED_VALUE"""),"Reference")</f>
        <v>Reference</v>
      </c>
      <c r="F550" s="6" t="str">
        <f ca="1">IFERROR(__xludf.DUMMYFUNCTION("""COMPUTED_VALUE"""),"ICP-ACC")</f>
        <v>ICP-ACC</v>
      </c>
      <c r="G550" s="80">
        <f ca="1">IFERROR(__xludf.DUMMYFUNCTION("""COMPUTED_VALUE"""),44409)</f>
        <v>44409</v>
      </c>
      <c r="H550" s="6" t="str">
        <f ca="1">IFERROR(__xludf.DUMMYFUNCTION("""COMPUTED_VALUE"""),"Won")</f>
        <v>Won</v>
      </c>
      <c r="I550" s="6" t="str">
        <f ca="1">IFERROR(__xludf.DUMMYFUNCTION("""COMPUTED_VALUE"""),"17-19 Sep 2021")</f>
        <v>17-19 Sep 2021</v>
      </c>
      <c r="J550" s="6">
        <f ca="1">IFERROR(__xludf.DUMMYFUNCTION("""COMPUTED_VALUE"""),1)</f>
        <v>1</v>
      </c>
      <c r="K550" s="8">
        <f ca="1">IFERROR(__xludf.DUMMYFUNCTION("""COMPUTED_VALUE"""),31000)</f>
        <v>31000</v>
      </c>
      <c r="L550" s="8">
        <f ca="1">IFERROR(__xludf.DUMMYFUNCTION("""COMPUTED_VALUE"""),355.016032982134)</f>
        <v>355.01603298213399</v>
      </c>
      <c r="M550" s="96">
        <f ca="1">IFERROR(__xludf.DUMMYFUNCTION("""COMPUTED_VALUE"""),44426)</f>
        <v>44426</v>
      </c>
      <c r="N550" s="6" t="str">
        <f ca="1">IFERROR(__xludf.DUMMYFUNCTION("""COMPUTED_VALUE"""),"S10")</f>
        <v>S10</v>
      </c>
      <c r="O550" s="97">
        <f ca="1">IFERROR(__xludf.DUMMYFUNCTION("""COMPUTED_VALUE"""),44426)</f>
        <v>44426</v>
      </c>
      <c r="P550" s="6" t="str">
        <f ca="1">IFERROR(__xludf.DUMMYFUNCTION("""COMPUTED_VALUE"""),"CSTM_3PBC5QOKH61")</f>
        <v>CSTM_3PBC5QOKH61</v>
      </c>
      <c r="Q550" s="6" t="str">
        <f ca="1">IFERROR(__xludf.DUMMYFUNCTION("""COMPUTED_VALUE"""),"griffinalexuis@gmail.com")</f>
        <v>griffinalexuis@gmail.com</v>
      </c>
      <c r="R550" s="6" t="str">
        <f ca="1">IFERROR(__xludf.DUMMYFUNCTION("""COMPUTED_VALUE"""),"Pending")</f>
        <v>Pending</v>
      </c>
      <c r="S550" s="6" t="str">
        <f ca="1">IFERROR(__xludf.DUMMYFUNCTION("""COMPUTED_VALUE"""),"Category")</f>
        <v>Category</v>
      </c>
      <c r="T550" s="6"/>
      <c r="U550" s="6"/>
      <c r="V550" s="6"/>
      <c r="W550" s="6"/>
      <c r="X550" s="6"/>
      <c r="Y550" s="6"/>
      <c r="Z550" s="6"/>
      <c r="AA550" s="6"/>
      <c r="AB550" s="6"/>
      <c r="AC550" s="6"/>
      <c r="AD550" s="6"/>
      <c r="AE550" s="6"/>
      <c r="AF550" s="6"/>
      <c r="AG550" s="6"/>
      <c r="AH550" s="6"/>
      <c r="AI550" s="6"/>
      <c r="AJ550" s="6"/>
      <c r="AK550" s="6"/>
      <c r="AL550" s="6"/>
    </row>
    <row r="551" spans="1:38">
      <c r="A551" s="96">
        <f ca="1">IFERROR(__xludf.DUMMYFUNCTION("""COMPUTED_VALUE"""),44428)</f>
        <v>44428</v>
      </c>
      <c r="B551" s="6" t="str">
        <f ca="1">IFERROR(__xludf.DUMMYFUNCTION("""COMPUTED_VALUE"""),"Swarupa")</f>
        <v>Swarupa</v>
      </c>
      <c r="C551" s="6" t="str">
        <f ca="1">IFERROR(__xludf.DUMMYFUNCTION("""COMPUTED_VALUE"""),"swapsj@gmail.com")</f>
        <v>swapsj@gmail.com</v>
      </c>
      <c r="D551" s="6">
        <f ca="1">IFERROR(__xludf.DUMMYFUNCTION("""COMPUTED_VALUE"""),9820659274)</f>
        <v>9820659274</v>
      </c>
      <c r="E551" s="6" t="str">
        <f ca="1">IFERROR(__xludf.DUMMYFUNCTION("""COMPUTED_VALUE"""),"course agenda")</f>
        <v>course agenda</v>
      </c>
      <c r="F551" s="6" t="str">
        <f ca="1">IFERROR(__xludf.DUMMYFUNCTION("""COMPUTED_VALUE"""),"SAFe Agile")</f>
        <v>SAFe Agile</v>
      </c>
      <c r="G551" s="80">
        <f ca="1">IFERROR(__xludf.DUMMYFUNCTION("""COMPUTED_VALUE"""),44409)</f>
        <v>44409</v>
      </c>
      <c r="H551" s="6" t="str">
        <f ca="1">IFERROR(__xludf.DUMMYFUNCTION("""COMPUTED_VALUE"""),"Won")</f>
        <v>Won</v>
      </c>
      <c r="I551" s="6" t="str">
        <f ca="1">IFERROR(__xludf.DUMMYFUNCTION("""COMPUTED_VALUE"""),"21-22 Aug 2021")</f>
        <v>21-22 Aug 2021</v>
      </c>
      <c r="J551" s="6">
        <f ca="1">IFERROR(__xludf.DUMMYFUNCTION("""COMPUTED_VALUE"""),1)</f>
        <v>1</v>
      </c>
      <c r="K551" s="8">
        <f ca="1">IFERROR(__xludf.DUMMYFUNCTION("""COMPUTED_VALUE"""),45000)</f>
        <v>45000</v>
      </c>
      <c r="L551" s="8">
        <f ca="1">IFERROR(__xludf.DUMMYFUNCTION("""COMPUTED_VALUE"""),515.345854328905)</f>
        <v>515.34585432890503</v>
      </c>
      <c r="M551" s="96">
        <f ca="1">IFERROR(__xludf.DUMMYFUNCTION("""COMPUTED_VALUE"""),44428)</f>
        <v>44428</v>
      </c>
      <c r="N551" s="6" t="str">
        <f ca="1">IFERROR(__xludf.DUMMYFUNCTION("""COMPUTED_VALUE"""),"S10")</f>
        <v>S10</v>
      </c>
      <c r="O551" s="97">
        <f ca="1">IFERROR(__xludf.DUMMYFUNCTION("""COMPUTED_VALUE"""),44428)</f>
        <v>44428</v>
      </c>
      <c r="P551" s="6" t="str">
        <f ca="1">IFERROR(__xludf.DUMMYFUNCTION("""COMPUTED_VALUE"""),"CSTM_5X2L1AYN3DD")</f>
        <v>CSTM_5X2L1AYN3DD</v>
      </c>
      <c r="Q551" s="6"/>
      <c r="R551" s="6" t="str">
        <f ca="1">IFERROR(__xludf.DUMMYFUNCTION("""COMPUTED_VALUE"""),"Done. Good feedback.")</f>
        <v>Done. Good feedback.</v>
      </c>
      <c r="S551" s="6" t="str">
        <f ca="1">IFERROR(__xludf.DUMMYFUNCTION("""COMPUTED_VALUE"""),"SAFe")</f>
        <v>SAFe</v>
      </c>
      <c r="T551" s="6"/>
      <c r="U551" s="6"/>
      <c r="V551" s="6"/>
      <c r="W551" s="6"/>
      <c r="X551" s="6"/>
      <c r="Y551" s="6"/>
      <c r="Z551" s="6"/>
      <c r="AA551" s="6"/>
      <c r="AB551" s="6"/>
      <c r="AC551" s="6"/>
      <c r="AD551" s="6"/>
      <c r="AE551" s="6"/>
      <c r="AF551" s="6"/>
      <c r="AG551" s="6"/>
      <c r="AH551" s="6"/>
      <c r="AI551" s="6"/>
      <c r="AJ551" s="6"/>
      <c r="AK551" s="6"/>
      <c r="AL551" s="6"/>
    </row>
    <row r="552" spans="1:38">
      <c r="A552" s="96">
        <f ca="1">IFERROR(__xludf.DUMMYFUNCTION("""COMPUTED_VALUE"""),44428)</f>
        <v>44428</v>
      </c>
      <c r="B552" s="6" t="str">
        <f ca="1">IFERROR(__xludf.DUMMYFUNCTION("""COMPUTED_VALUE"""),"Zoheb Momin")</f>
        <v>Zoheb Momin</v>
      </c>
      <c r="C552" s="6" t="str">
        <f ca="1">IFERROR(__xludf.DUMMYFUNCTION("""COMPUTED_VALUE"""),"zohebmomin@gmail.com")</f>
        <v>zohebmomin@gmail.com</v>
      </c>
      <c r="D552" s="6">
        <f ca="1">IFERROR(__xludf.DUMMYFUNCTION("""COMPUTED_VALUE"""),9923700991)</f>
        <v>9923700991</v>
      </c>
      <c r="E552" s="6" t="str">
        <f ca="1">IFERROR(__xludf.DUMMYFUNCTION("""COMPUTED_VALUE"""),"Request a call")</f>
        <v>Request a call</v>
      </c>
      <c r="F552" s="6" t="str">
        <f ca="1">IFERROR(__xludf.DUMMYFUNCTION("""COMPUTED_VALUE"""),"SAFe SSM")</f>
        <v>SAFe SSM</v>
      </c>
      <c r="G552" s="80">
        <f ca="1">IFERROR(__xludf.DUMMYFUNCTION("""COMPUTED_VALUE"""),44409)</f>
        <v>44409</v>
      </c>
      <c r="H552" s="6" t="str">
        <f ca="1">IFERROR(__xludf.DUMMYFUNCTION("""COMPUTED_VALUE"""),"Won")</f>
        <v>Won</v>
      </c>
      <c r="I552" s="6" t="str">
        <f ca="1">IFERROR(__xludf.DUMMYFUNCTION("""COMPUTED_VALUE"""),"21-22 Aug 2021")</f>
        <v>21-22 Aug 2021</v>
      </c>
      <c r="J552" s="6">
        <f ca="1">IFERROR(__xludf.DUMMYFUNCTION("""COMPUTED_VALUE"""),1)</f>
        <v>1</v>
      </c>
      <c r="K552" s="8">
        <f ca="1">IFERROR(__xludf.DUMMYFUNCTION("""COMPUTED_VALUE"""),45000)</f>
        <v>45000</v>
      </c>
      <c r="L552" s="8">
        <f ca="1">IFERROR(__xludf.DUMMYFUNCTION("""COMPUTED_VALUE"""),515.345854328905)</f>
        <v>515.34585432890503</v>
      </c>
      <c r="M552" s="96">
        <f ca="1">IFERROR(__xludf.DUMMYFUNCTION("""COMPUTED_VALUE"""),44428)</f>
        <v>44428</v>
      </c>
      <c r="N552" s="6" t="str">
        <f ca="1">IFERROR(__xludf.DUMMYFUNCTION("""COMPUTED_VALUE"""),"S10")</f>
        <v>S10</v>
      </c>
      <c r="O552" s="97">
        <f ca="1">IFERROR(__xludf.DUMMYFUNCTION("""COMPUTED_VALUE"""),44428)</f>
        <v>44428</v>
      </c>
      <c r="P552" s="6" t="str">
        <f ca="1">IFERROR(__xludf.DUMMYFUNCTION("""COMPUTED_VALUE"""),"CSTM_CW7HF3BU7KW")</f>
        <v>CSTM_CW7HF3BU7KW</v>
      </c>
      <c r="Q552" s="6"/>
      <c r="R552" s="6" t="str">
        <f ca="1">IFERROR(__xludf.DUMMYFUNCTION("""COMPUTED_VALUE"""),"Pending")</f>
        <v>Pending</v>
      </c>
      <c r="S552" s="6" t="str">
        <f ca="1">IFERROR(__xludf.DUMMYFUNCTION("""COMPUTED_VALUE"""),"SAFe")</f>
        <v>SAFe</v>
      </c>
      <c r="T552" s="6"/>
      <c r="U552" s="6"/>
      <c r="V552" s="6"/>
      <c r="W552" s="6"/>
      <c r="X552" s="6"/>
      <c r="Y552" s="6"/>
      <c r="Z552" s="6"/>
      <c r="AA552" s="6"/>
      <c r="AB552" s="6"/>
      <c r="AC552" s="6"/>
      <c r="AD552" s="6"/>
      <c r="AE552" s="6"/>
      <c r="AF552" s="6"/>
      <c r="AG552" s="6"/>
      <c r="AH552" s="6"/>
      <c r="AI552" s="6"/>
      <c r="AJ552" s="6"/>
      <c r="AK552" s="6"/>
      <c r="AL552" s="6"/>
    </row>
    <row r="553" spans="1:38">
      <c r="A553" s="96">
        <f ca="1">IFERROR(__xludf.DUMMYFUNCTION("""COMPUTED_VALUE"""),44431)</f>
        <v>44431</v>
      </c>
      <c r="B553" s="6" t="str">
        <f ca="1">IFERROR(__xludf.DUMMYFUNCTION("""COMPUTED_VALUE"""),"Ashish Tripathi")</f>
        <v>Ashish Tripathi</v>
      </c>
      <c r="C553" s="6" t="str">
        <f ca="1">IFERROR(__xludf.DUMMYFUNCTION("""COMPUTED_VALUE"""),"ashish.tripathi9@gmail.com")</f>
        <v>ashish.tripathi9@gmail.com</v>
      </c>
      <c r="D553" s="6">
        <f ca="1">IFERROR(__xludf.DUMMYFUNCTION("""COMPUTED_VALUE"""),9886806641)</f>
        <v>9886806641</v>
      </c>
      <c r="E553" s="6" t="str">
        <f ca="1">IFERROR(__xludf.DUMMYFUNCTION("""COMPUTED_VALUE"""),"Reference")</f>
        <v>Reference</v>
      </c>
      <c r="F553" s="6" t="str">
        <f ca="1">IFERROR(__xludf.DUMMYFUNCTION("""COMPUTED_VALUE"""),"CSM")</f>
        <v>CSM</v>
      </c>
      <c r="G553" s="80">
        <f ca="1">IFERROR(__xludf.DUMMYFUNCTION("""COMPUTED_VALUE"""),44409)</f>
        <v>44409</v>
      </c>
      <c r="H553" s="6" t="str">
        <f ca="1">IFERROR(__xludf.DUMMYFUNCTION("""COMPUTED_VALUE"""),"Won")</f>
        <v>Won</v>
      </c>
      <c r="I553" s="6" t="str">
        <f ca="1">IFERROR(__xludf.DUMMYFUNCTION("""COMPUTED_VALUE"""),"4-5 Sep 2021")</f>
        <v>4-5 Sep 2021</v>
      </c>
      <c r="J553" s="6">
        <f ca="1">IFERROR(__xludf.DUMMYFUNCTION("""COMPUTED_VALUE"""),1)</f>
        <v>1</v>
      </c>
      <c r="K553" s="8">
        <f ca="1">IFERROR(__xludf.DUMMYFUNCTION("""COMPUTED_VALUE"""),19000)</f>
        <v>19000</v>
      </c>
      <c r="L553" s="8">
        <f ca="1">IFERROR(__xludf.DUMMYFUNCTION("""COMPUTED_VALUE"""),217.590471827759)</f>
        <v>217.59047182775899</v>
      </c>
      <c r="M553" s="96">
        <f ca="1">IFERROR(__xludf.DUMMYFUNCTION("""COMPUTED_VALUE"""),44431)</f>
        <v>44431</v>
      </c>
      <c r="N553" s="6" t="str">
        <f ca="1">IFERROR(__xludf.DUMMYFUNCTION("""COMPUTED_VALUE"""),"T10")</f>
        <v>T10</v>
      </c>
      <c r="O553" s="97">
        <f ca="1">IFERROR(__xludf.DUMMYFUNCTION("""COMPUTED_VALUE"""),44431)</f>
        <v>44431</v>
      </c>
      <c r="P553" s="6" t="str">
        <f ca="1">IFERROR(__xludf.DUMMYFUNCTION("""COMPUTED_VALUE"""),"CSTM_C3YN4JJXYX3")</f>
        <v>CSTM_C3YN4JJXYX3</v>
      </c>
      <c r="Q553" s="6" t="str">
        <f ca="1">IFERROR(__xludf.DUMMYFUNCTION("""COMPUTED_VALUE"""),"hansdeepak@gmail.com")</f>
        <v>hansdeepak@gmail.com</v>
      </c>
      <c r="R553" s="6" t="str">
        <f ca="1">IFERROR(__xludf.DUMMYFUNCTION("""COMPUTED_VALUE"""),"Done. Good feedback.")</f>
        <v>Done. Good feedback.</v>
      </c>
      <c r="S553" s="6" t="str">
        <f ca="1">IFERROR(__xludf.DUMMYFUNCTION("""COMPUTED_VALUE"""),"Category")</f>
        <v>Category</v>
      </c>
      <c r="T553" s="6"/>
      <c r="U553" s="6"/>
      <c r="V553" s="6"/>
      <c r="W553" s="6"/>
      <c r="X553" s="6"/>
      <c r="Y553" s="6"/>
      <c r="Z553" s="6"/>
      <c r="AA553" s="6"/>
      <c r="AB553" s="6"/>
      <c r="AC553" s="6"/>
      <c r="AD553" s="6"/>
      <c r="AE553" s="6"/>
      <c r="AF553" s="6"/>
      <c r="AG553" s="6"/>
      <c r="AH553" s="6"/>
      <c r="AI553" s="6"/>
      <c r="AJ553" s="6"/>
      <c r="AK553" s="6"/>
      <c r="AL553" s="6"/>
    </row>
    <row r="554" spans="1:38">
      <c r="A554" s="96">
        <f ca="1">IFERROR(__xludf.DUMMYFUNCTION("""COMPUTED_VALUE"""),44431)</f>
        <v>44431</v>
      </c>
      <c r="B554" s="6" t="str">
        <f ca="1">IFERROR(__xludf.DUMMYFUNCTION("""COMPUTED_VALUE"""),"Shefali Nigam")</f>
        <v>Shefali Nigam</v>
      </c>
      <c r="C554" s="6" t="str">
        <f ca="1">IFERROR(__xludf.DUMMYFUNCTION("""COMPUTED_VALUE"""),"shefali.nigam7@gmail.com")</f>
        <v>shefali.nigam7@gmail.com</v>
      </c>
      <c r="D554" s="6">
        <f ca="1">IFERROR(__xludf.DUMMYFUNCTION("""COMPUTED_VALUE"""),9820138523)</f>
        <v>9820138523</v>
      </c>
      <c r="E554" s="6" t="str">
        <f ca="1">IFERROR(__xludf.DUMMYFUNCTION("""COMPUTED_VALUE"""),"Account Repeat")</f>
        <v>Account Repeat</v>
      </c>
      <c r="F554" s="6" t="str">
        <f ca="1">IFERROR(__xludf.DUMMYFUNCTION("""COMPUTED_VALUE"""),"ITIL")</f>
        <v>ITIL</v>
      </c>
      <c r="G554" s="80">
        <f ca="1">IFERROR(__xludf.DUMMYFUNCTION("""COMPUTED_VALUE"""),44409)</f>
        <v>44409</v>
      </c>
      <c r="H554" s="6" t="str">
        <f ca="1">IFERROR(__xludf.DUMMYFUNCTION("""COMPUTED_VALUE"""),"Won")</f>
        <v>Won</v>
      </c>
      <c r="I554" s="6" t="str">
        <f ca="1">IFERROR(__xludf.DUMMYFUNCTION("""COMPUTED_VALUE"""),"Sep 2021")</f>
        <v>Sep 2021</v>
      </c>
      <c r="J554" s="6">
        <f ca="1">IFERROR(__xludf.DUMMYFUNCTION("""COMPUTED_VALUE"""),1)</f>
        <v>1</v>
      </c>
      <c r="K554" s="8">
        <f ca="1">IFERROR(__xludf.DUMMYFUNCTION("""COMPUTED_VALUE"""),16000)</f>
        <v>16000</v>
      </c>
      <c r="L554" s="8">
        <f ca="1">IFERROR(__xludf.DUMMYFUNCTION("""COMPUTED_VALUE"""),183.234081539166)</f>
        <v>183.234081539166</v>
      </c>
      <c r="M554" s="96">
        <f ca="1">IFERROR(__xludf.DUMMYFUNCTION("""COMPUTED_VALUE"""),44431)</f>
        <v>44431</v>
      </c>
      <c r="N554" s="6" t="str">
        <f ca="1">IFERROR(__xludf.DUMMYFUNCTION("""COMPUTED_VALUE"""),"T10")</f>
        <v>T10</v>
      </c>
      <c r="O554" s="97">
        <f ca="1">IFERROR(__xludf.DUMMYFUNCTION("""COMPUTED_VALUE"""),44431)</f>
        <v>44431</v>
      </c>
      <c r="P554" s="6" t="str">
        <f ca="1">IFERROR(__xludf.DUMMYFUNCTION("""COMPUTED_VALUE"""),"CSTM_9X978IS7F5N")</f>
        <v>CSTM_9X978IS7F5N</v>
      </c>
      <c r="Q554" s="6"/>
      <c r="R554" s="6" t="str">
        <f ca="1">IFERROR(__xludf.DUMMYFUNCTION("""COMPUTED_VALUE"""),"Pending")</f>
        <v>Pending</v>
      </c>
      <c r="S554" s="6" t="str">
        <f ca="1">IFERROR(__xludf.DUMMYFUNCTION("""COMPUTED_VALUE"""),"NonCategory")</f>
        <v>NonCategory</v>
      </c>
      <c r="T554" s="6"/>
      <c r="U554" s="6"/>
      <c r="V554" s="6"/>
      <c r="W554" s="6"/>
      <c r="X554" s="6"/>
      <c r="Y554" s="6"/>
      <c r="Z554" s="6"/>
      <c r="AA554" s="6"/>
      <c r="AB554" s="6"/>
      <c r="AC554" s="6"/>
      <c r="AD554" s="6"/>
      <c r="AE554" s="6"/>
      <c r="AF554" s="6"/>
      <c r="AG554" s="6"/>
      <c r="AH554" s="6"/>
      <c r="AI554" s="6"/>
      <c r="AJ554" s="6"/>
      <c r="AK554" s="6"/>
      <c r="AL554" s="6"/>
    </row>
    <row r="555" spans="1:38">
      <c r="A555" s="96">
        <f ca="1">IFERROR(__xludf.DUMMYFUNCTION("""COMPUTED_VALUE"""),44431)</f>
        <v>44431</v>
      </c>
      <c r="B555" s="6" t="str">
        <f ca="1">IFERROR(__xludf.DUMMYFUNCTION("""COMPUTED_VALUE"""),"Darsana")</f>
        <v>Darsana</v>
      </c>
      <c r="C555" s="6" t="str">
        <f ca="1">IFERROR(__xludf.DUMMYFUNCTION("""COMPUTED_VALUE"""),"darsanavenugopal.27@gmail.com")</f>
        <v>darsanavenugopal.27@gmail.com</v>
      </c>
      <c r="D555" s="6">
        <f ca="1">IFERROR(__xludf.DUMMYFUNCTION("""COMPUTED_VALUE"""),9496760277)</f>
        <v>9496760277</v>
      </c>
      <c r="E555" s="6" t="str">
        <f ca="1">IFERROR(__xludf.DUMMYFUNCTION("""COMPUTED_VALUE"""),"Reference")</f>
        <v>Reference</v>
      </c>
      <c r="F555" s="6" t="str">
        <f ca="1">IFERROR(__xludf.DUMMYFUNCTION("""COMPUTED_VALUE"""),"CSM")</f>
        <v>CSM</v>
      </c>
      <c r="G555" s="80">
        <f ca="1">IFERROR(__xludf.DUMMYFUNCTION("""COMPUTED_VALUE"""),44409)</f>
        <v>44409</v>
      </c>
      <c r="H555" s="6" t="str">
        <f ca="1">IFERROR(__xludf.DUMMYFUNCTION("""COMPUTED_VALUE"""),"Won")</f>
        <v>Won</v>
      </c>
      <c r="I555" s="6" t="str">
        <f ca="1">IFERROR(__xludf.DUMMYFUNCTION("""COMPUTED_VALUE"""),"25-26 Aug 2021")</f>
        <v>25-26 Aug 2021</v>
      </c>
      <c r="J555" s="6">
        <f ca="1">IFERROR(__xludf.DUMMYFUNCTION("""COMPUTED_VALUE"""),1)</f>
        <v>1</v>
      </c>
      <c r="K555" s="8">
        <f ca="1">IFERROR(__xludf.DUMMYFUNCTION("""COMPUTED_VALUE"""),20000)</f>
        <v>20000</v>
      </c>
      <c r="L555" s="8">
        <f ca="1">IFERROR(__xludf.DUMMYFUNCTION("""COMPUTED_VALUE"""),229.042601923957)</f>
        <v>229.04260192395699</v>
      </c>
      <c r="M555" s="96">
        <f ca="1">IFERROR(__xludf.DUMMYFUNCTION("""COMPUTED_VALUE"""),44431)</f>
        <v>44431</v>
      </c>
      <c r="N555" s="6" t="str">
        <f ca="1">IFERROR(__xludf.DUMMYFUNCTION("""COMPUTED_VALUE"""),"T10")</f>
        <v>T10</v>
      </c>
      <c r="O555" s="97">
        <f ca="1">IFERROR(__xludf.DUMMYFUNCTION("""COMPUTED_VALUE"""),44432)</f>
        <v>44432</v>
      </c>
      <c r="P555" s="6" t="str">
        <f ca="1">IFERROR(__xludf.DUMMYFUNCTION("""COMPUTED_VALUE"""),"CSTM_7UXZUMBFO2A")</f>
        <v>CSTM_7UXZUMBFO2A</v>
      </c>
      <c r="Q555" s="6" t="str">
        <f ca="1">IFERROR(__xludf.DUMMYFUNCTION("""COMPUTED_VALUE"""),"Reference by Praveen Nair")</f>
        <v>Reference by Praveen Nair</v>
      </c>
      <c r="R555" s="6" t="str">
        <f ca="1">IFERROR(__xludf.DUMMYFUNCTION("""COMPUTED_VALUE"""),"Pending")</f>
        <v>Pending</v>
      </c>
      <c r="S555" s="6" t="str">
        <f ca="1">IFERROR(__xludf.DUMMYFUNCTION("""COMPUTED_VALUE"""),"Category")</f>
        <v>Category</v>
      </c>
      <c r="T555" s="6"/>
      <c r="U555" s="6"/>
      <c r="V555" s="6"/>
      <c r="W555" s="6"/>
      <c r="X555" s="6"/>
      <c r="Y555" s="6"/>
      <c r="Z555" s="6"/>
      <c r="AA555" s="6"/>
      <c r="AB555" s="6"/>
      <c r="AC555" s="6"/>
      <c r="AD555" s="6"/>
      <c r="AE555" s="6"/>
      <c r="AF555" s="6"/>
      <c r="AG555" s="6"/>
      <c r="AH555" s="6"/>
      <c r="AI555" s="6"/>
      <c r="AJ555" s="6"/>
      <c r="AK555" s="6"/>
      <c r="AL555" s="6"/>
    </row>
    <row r="556" spans="1:38">
      <c r="A556" s="96">
        <f ca="1">IFERROR(__xludf.DUMMYFUNCTION("""COMPUTED_VALUE"""),44433)</f>
        <v>44433</v>
      </c>
      <c r="B556" s="6" t="str">
        <f ca="1">IFERROR(__xludf.DUMMYFUNCTION("""COMPUTED_VALUE"""),"Vijayashree")</f>
        <v>Vijayashree</v>
      </c>
      <c r="C556" s="6" t="str">
        <f ca="1">IFERROR(__xludf.DUMMYFUNCTION("""COMPUTED_VALUE"""),"vij609@yahoo.co.in")</f>
        <v>vij609@yahoo.co.in</v>
      </c>
      <c r="D556" s="6">
        <f ca="1">IFERROR(__xludf.DUMMYFUNCTION("""COMPUTED_VALUE"""),8130888188)</f>
        <v>8130888188</v>
      </c>
      <c r="E556" s="6" t="str">
        <f ca="1">IFERROR(__xludf.DUMMYFUNCTION("""COMPUTED_VALUE"""),"Query box")</f>
        <v>Query box</v>
      </c>
      <c r="F556" s="6" t="str">
        <f ca="1">IFERROR(__xludf.DUMMYFUNCTION("""COMPUTED_VALUE"""),"SAFe Agile")</f>
        <v>SAFe Agile</v>
      </c>
      <c r="G556" s="80">
        <f ca="1">IFERROR(__xludf.DUMMYFUNCTION("""COMPUTED_VALUE"""),44409)</f>
        <v>44409</v>
      </c>
      <c r="H556" s="6" t="str">
        <f ca="1">IFERROR(__xludf.DUMMYFUNCTION("""COMPUTED_VALUE"""),"Won")</f>
        <v>Won</v>
      </c>
      <c r="I556" s="6" t="str">
        <f ca="1">IFERROR(__xludf.DUMMYFUNCTION("""COMPUTED_VALUE"""),"28-29 Aug 2021")</f>
        <v>28-29 Aug 2021</v>
      </c>
      <c r="J556" s="6">
        <f ca="1">IFERROR(__xludf.DUMMYFUNCTION("""COMPUTED_VALUE"""),1)</f>
        <v>1</v>
      </c>
      <c r="K556" s="8">
        <f ca="1">IFERROR(__xludf.DUMMYFUNCTION("""COMPUTED_VALUE"""),46000)</f>
        <v>46000</v>
      </c>
      <c r="L556" s="8">
        <f ca="1">IFERROR(__xludf.DUMMYFUNCTION("""COMPUTED_VALUE"""),526.797984425103)</f>
        <v>526.79798442510298</v>
      </c>
      <c r="M556" s="96">
        <f ca="1">IFERROR(__xludf.DUMMYFUNCTION("""COMPUTED_VALUE"""),44433)</f>
        <v>44433</v>
      </c>
      <c r="N556" s="6" t="str">
        <f ca="1">IFERROR(__xludf.DUMMYFUNCTION("""COMPUTED_VALUE"""),"T10")</f>
        <v>T10</v>
      </c>
      <c r="O556" s="97">
        <f ca="1">IFERROR(__xludf.DUMMYFUNCTION("""COMPUTED_VALUE"""),44433)</f>
        <v>44433</v>
      </c>
      <c r="P556" s="6" t="str">
        <f ca="1">IFERROR(__xludf.DUMMYFUNCTION("""COMPUTED_VALUE"""),"CSTM_V2LDFZC895")</f>
        <v>CSTM_V2LDFZC895</v>
      </c>
      <c r="Q556" s="6"/>
      <c r="R556" s="6" t="str">
        <f ca="1">IFERROR(__xludf.DUMMYFUNCTION("""COMPUTED_VALUE"""),"Done. Good feedback.")</f>
        <v>Done. Good feedback.</v>
      </c>
      <c r="S556" s="6" t="str">
        <f ca="1">IFERROR(__xludf.DUMMYFUNCTION("""COMPUTED_VALUE"""),"SAFe")</f>
        <v>SAFe</v>
      </c>
      <c r="T556" s="6"/>
      <c r="U556" s="6"/>
      <c r="V556" s="6"/>
      <c r="W556" s="6"/>
      <c r="X556" s="6"/>
      <c r="Y556" s="6"/>
      <c r="Z556" s="6"/>
      <c r="AA556" s="6"/>
      <c r="AB556" s="6"/>
      <c r="AC556" s="6"/>
      <c r="AD556" s="6"/>
      <c r="AE556" s="6"/>
      <c r="AF556" s="6"/>
      <c r="AG556" s="6"/>
      <c r="AH556" s="6"/>
      <c r="AI556" s="6"/>
      <c r="AJ556" s="6"/>
      <c r="AK556" s="6"/>
      <c r="AL556" s="6"/>
    </row>
    <row r="557" spans="1:38">
      <c r="A557" s="96">
        <f ca="1">IFERROR(__xludf.DUMMYFUNCTION("""COMPUTED_VALUE"""),44434)</f>
        <v>44434</v>
      </c>
      <c r="B557" s="6" t="str">
        <f ca="1">IFERROR(__xludf.DUMMYFUNCTION("""COMPUTED_VALUE"""),"Shyama Nair")</f>
        <v>Shyama Nair</v>
      </c>
      <c r="C557" s="6" t="str">
        <f ca="1">IFERROR(__xludf.DUMMYFUNCTION("""COMPUTED_VALUE"""),"shaymasnair95@gmail.com")</f>
        <v>shaymasnair95@gmail.com</v>
      </c>
      <c r="D557" s="6">
        <f ca="1">IFERROR(__xludf.DUMMYFUNCTION("""COMPUTED_VALUE"""),9744413607)</f>
        <v>9744413607</v>
      </c>
      <c r="E557" s="6" t="str">
        <f ca="1">IFERROR(__xludf.DUMMYFUNCTION("""COMPUTED_VALUE"""),"chat_initiated")</f>
        <v>chat_initiated</v>
      </c>
      <c r="F557" s="6" t="str">
        <f ca="1">IFERROR(__xludf.DUMMYFUNCTION("""COMPUTED_VALUE"""),"PSM")</f>
        <v>PSM</v>
      </c>
      <c r="G557" s="80">
        <f ca="1">IFERROR(__xludf.DUMMYFUNCTION("""COMPUTED_VALUE"""),44409)</f>
        <v>44409</v>
      </c>
      <c r="H557" s="6" t="str">
        <f ca="1">IFERROR(__xludf.DUMMYFUNCTION("""COMPUTED_VALUE"""),"Won")</f>
        <v>Won</v>
      </c>
      <c r="I557" s="6" t="str">
        <f ca="1">IFERROR(__xludf.DUMMYFUNCTION("""COMPUTED_VALUE"""),"4-5 Sep 2021")</f>
        <v>4-5 Sep 2021</v>
      </c>
      <c r="J557" s="6">
        <f ca="1">IFERROR(__xludf.DUMMYFUNCTION("""COMPUTED_VALUE"""),1)</f>
        <v>1</v>
      </c>
      <c r="K557" s="8">
        <f ca="1">IFERROR(__xludf.DUMMYFUNCTION("""COMPUTED_VALUE"""),20500)</f>
        <v>20500</v>
      </c>
      <c r="L557" s="8">
        <f ca="1">IFERROR(__xludf.DUMMYFUNCTION("""COMPUTED_VALUE"""),234.768666972056)</f>
        <v>234.768666972056</v>
      </c>
      <c r="M557" s="96">
        <f ca="1">IFERROR(__xludf.DUMMYFUNCTION("""COMPUTED_VALUE"""),44434)</f>
        <v>44434</v>
      </c>
      <c r="N557" s="6" t="str">
        <f ca="1">IFERROR(__xludf.DUMMYFUNCTION("""COMPUTED_VALUE"""),"T10")</f>
        <v>T10</v>
      </c>
      <c r="O557" s="97">
        <f ca="1">IFERROR(__xludf.DUMMYFUNCTION("""COMPUTED_VALUE"""),44434)</f>
        <v>44434</v>
      </c>
      <c r="P557" s="6" t="str">
        <f ca="1">IFERROR(__xludf.DUMMYFUNCTION("""COMPUTED_VALUE"""),"CSTM_4Z5ILTBZ36F")</f>
        <v>CSTM_4Z5ILTBZ36F</v>
      </c>
      <c r="Q557" s="6"/>
      <c r="R557" s="6" t="str">
        <f ca="1">IFERROR(__xludf.DUMMYFUNCTION("""COMPUTED_VALUE"""),"Done. Ok feedback.")</f>
        <v>Done. Ok feedback.</v>
      </c>
      <c r="S557" s="6" t="str">
        <f ca="1">IFERROR(__xludf.DUMMYFUNCTION("""COMPUTED_VALUE"""),"Category")</f>
        <v>Category</v>
      </c>
      <c r="T557" s="6"/>
      <c r="U557" s="6"/>
      <c r="V557" s="6"/>
      <c r="W557" s="6"/>
      <c r="X557" s="6"/>
      <c r="Y557" s="6"/>
      <c r="Z557" s="6"/>
      <c r="AA557" s="6"/>
      <c r="AB557" s="6"/>
      <c r="AC557" s="6"/>
      <c r="AD557" s="6"/>
      <c r="AE557" s="6"/>
      <c r="AF557" s="6"/>
      <c r="AG557" s="6"/>
      <c r="AH557" s="6"/>
      <c r="AI557" s="6"/>
      <c r="AJ557" s="6"/>
      <c r="AK557" s="6"/>
      <c r="AL557" s="6"/>
    </row>
    <row r="558" spans="1:38">
      <c r="A558" s="96">
        <f ca="1">IFERROR(__xludf.DUMMYFUNCTION("""COMPUTED_VALUE"""),44434)</f>
        <v>44434</v>
      </c>
      <c r="B558" s="6" t="str">
        <f ca="1">IFERROR(__xludf.DUMMYFUNCTION("""COMPUTED_VALUE"""),"Sampada Gaonkar")</f>
        <v>Sampada Gaonkar</v>
      </c>
      <c r="C558" s="6" t="str">
        <f ca="1">IFERROR(__xludf.DUMMYFUNCTION("""COMPUTED_VALUE"""),"gaonkarsampada8@gmail.com")</f>
        <v>gaonkarsampada8@gmail.com</v>
      </c>
      <c r="D558" s="6">
        <f ca="1">IFERROR(__xludf.DUMMYFUNCTION("""COMPUTED_VALUE"""),7738999242)</f>
        <v>7738999242</v>
      </c>
      <c r="E558" s="6" t="str">
        <f ca="1">IFERROR(__xludf.DUMMYFUNCTION("""COMPUTED_VALUE"""),"Reference")</f>
        <v>Reference</v>
      </c>
      <c r="F558" s="6" t="str">
        <f ca="1">IFERROR(__xludf.DUMMYFUNCTION("""COMPUTED_VALUE"""),"PSM")</f>
        <v>PSM</v>
      </c>
      <c r="G558" s="80">
        <f ca="1">IFERROR(__xludf.DUMMYFUNCTION("""COMPUTED_VALUE"""),44409)</f>
        <v>44409</v>
      </c>
      <c r="H558" s="6" t="str">
        <f ca="1">IFERROR(__xludf.DUMMYFUNCTION("""COMPUTED_VALUE"""),"Won")</f>
        <v>Won</v>
      </c>
      <c r="I558" s="6" t="str">
        <f ca="1">IFERROR(__xludf.DUMMYFUNCTION("""COMPUTED_VALUE"""),"4-5 Sep 2021")</f>
        <v>4-5 Sep 2021</v>
      </c>
      <c r="J558" s="6">
        <f ca="1">IFERROR(__xludf.DUMMYFUNCTION("""COMPUTED_VALUE"""),1)</f>
        <v>1</v>
      </c>
      <c r="K558" s="8">
        <f ca="1">IFERROR(__xludf.DUMMYFUNCTION("""COMPUTED_VALUE"""),20500)</f>
        <v>20500</v>
      </c>
      <c r="L558" s="8">
        <f ca="1">IFERROR(__xludf.DUMMYFUNCTION("""COMPUTED_VALUE"""),234.768666972056)</f>
        <v>234.768666972056</v>
      </c>
      <c r="M558" s="96">
        <f ca="1">IFERROR(__xludf.DUMMYFUNCTION("""COMPUTED_VALUE"""),44434)</f>
        <v>44434</v>
      </c>
      <c r="N558" s="6" t="str">
        <f ca="1">IFERROR(__xludf.DUMMYFUNCTION("""COMPUTED_VALUE"""),"T10")</f>
        <v>T10</v>
      </c>
      <c r="O558" s="97">
        <f ca="1">IFERROR(__xludf.DUMMYFUNCTION("""COMPUTED_VALUE"""),44434)</f>
        <v>44434</v>
      </c>
      <c r="P558" s="6" t="str">
        <f ca="1">IFERROR(__xludf.DUMMYFUNCTION("""COMPUTED_VALUE"""),"CSTM_520SRM15SCH")</f>
        <v>CSTM_520SRM15SCH</v>
      </c>
      <c r="Q558" s="6" t="str">
        <f ca="1">IFERROR(__xludf.DUMMYFUNCTION("""COMPUTED_VALUE"""),"shaymasnair95@gmail.com")</f>
        <v>shaymasnair95@gmail.com</v>
      </c>
      <c r="R558" s="6" t="str">
        <f ca="1">IFERROR(__xludf.DUMMYFUNCTION("""COMPUTED_VALUE"""),"Done. Ok feedback.")</f>
        <v>Done. Ok feedback.</v>
      </c>
      <c r="S558" s="6" t="str">
        <f ca="1">IFERROR(__xludf.DUMMYFUNCTION("""COMPUTED_VALUE"""),"Category")</f>
        <v>Category</v>
      </c>
      <c r="T558" s="6"/>
      <c r="U558" s="6"/>
      <c r="V558" s="6"/>
      <c r="W558" s="6"/>
      <c r="X558" s="6"/>
      <c r="Y558" s="6"/>
      <c r="Z558" s="6"/>
      <c r="AA558" s="6"/>
      <c r="AB558" s="6"/>
      <c r="AC558" s="6"/>
      <c r="AD558" s="6"/>
      <c r="AE558" s="6"/>
      <c r="AF558" s="6"/>
      <c r="AG558" s="6"/>
      <c r="AH558" s="6"/>
      <c r="AI558" s="6"/>
      <c r="AJ558" s="6"/>
      <c r="AK558" s="6"/>
      <c r="AL558" s="6"/>
    </row>
    <row r="559" spans="1:38">
      <c r="A559" s="96">
        <f ca="1">IFERROR(__xludf.DUMMYFUNCTION("""COMPUTED_VALUE"""),44434)</f>
        <v>44434</v>
      </c>
      <c r="B559" s="6" t="str">
        <f ca="1">IFERROR(__xludf.DUMMYFUNCTION("""COMPUTED_VALUE"""),"Sandhya")</f>
        <v>Sandhya</v>
      </c>
      <c r="C559" s="6" t="str">
        <f ca="1">IFERROR(__xludf.DUMMYFUNCTION("""COMPUTED_VALUE"""),"sandhya.shines12@gmail.com")</f>
        <v>sandhya.shines12@gmail.com</v>
      </c>
      <c r="D559" s="6">
        <f ca="1">IFERROR(__xludf.DUMMYFUNCTION("""COMPUTED_VALUE"""),7829837837)</f>
        <v>7829837837</v>
      </c>
      <c r="E559" s="6" t="str">
        <f ca="1">IFERROR(__xludf.DUMMYFUNCTION("""COMPUTED_VALUE"""),"Reference")</f>
        <v>Reference</v>
      </c>
      <c r="F559" s="6" t="str">
        <f ca="1">IFERROR(__xludf.DUMMYFUNCTION("""COMPUTED_VALUE"""),"PSM")</f>
        <v>PSM</v>
      </c>
      <c r="G559" s="80">
        <f ca="1">IFERROR(__xludf.DUMMYFUNCTION("""COMPUTED_VALUE"""),44409)</f>
        <v>44409</v>
      </c>
      <c r="H559" s="6" t="str">
        <f ca="1">IFERROR(__xludf.DUMMYFUNCTION("""COMPUTED_VALUE"""),"Won")</f>
        <v>Won</v>
      </c>
      <c r="I559" s="6" t="str">
        <f ca="1">IFERROR(__xludf.DUMMYFUNCTION("""COMPUTED_VALUE"""),"4-5 Sep 2021")</f>
        <v>4-5 Sep 2021</v>
      </c>
      <c r="J559" s="6">
        <f ca="1">IFERROR(__xludf.DUMMYFUNCTION("""COMPUTED_VALUE"""),1)</f>
        <v>1</v>
      </c>
      <c r="K559" s="8">
        <f ca="1">IFERROR(__xludf.DUMMYFUNCTION("""COMPUTED_VALUE"""),20500)</f>
        <v>20500</v>
      </c>
      <c r="L559" s="8">
        <f ca="1">IFERROR(__xludf.DUMMYFUNCTION("""COMPUTED_VALUE"""),234.768666972056)</f>
        <v>234.768666972056</v>
      </c>
      <c r="M559" s="96">
        <f ca="1">IFERROR(__xludf.DUMMYFUNCTION("""COMPUTED_VALUE"""),44434)</f>
        <v>44434</v>
      </c>
      <c r="N559" s="6" t="str">
        <f ca="1">IFERROR(__xludf.DUMMYFUNCTION("""COMPUTED_VALUE"""),"T10")</f>
        <v>T10</v>
      </c>
      <c r="O559" s="97">
        <f ca="1">IFERROR(__xludf.DUMMYFUNCTION("""COMPUTED_VALUE"""),44434)</f>
        <v>44434</v>
      </c>
      <c r="P559" s="6" t="str">
        <f ca="1">IFERROR(__xludf.DUMMYFUNCTION("""COMPUTED_VALUE"""),"CSTM_JOP2Y4K6QXV")</f>
        <v>CSTM_JOP2Y4K6QXV</v>
      </c>
      <c r="Q559" s="6" t="str">
        <f ca="1">IFERROR(__xludf.DUMMYFUNCTION("""COMPUTED_VALUE"""),"shaymasnair95@gmail.com")</f>
        <v>shaymasnair95@gmail.com</v>
      </c>
      <c r="R559" s="6" t="str">
        <f ca="1">IFERROR(__xludf.DUMMYFUNCTION("""COMPUTED_VALUE"""),"Done. Ok feedback.")</f>
        <v>Done. Ok feedback.</v>
      </c>
      <c r="S559" s="6" t="str">
        <f ca="1">IFERROR(__xludf.DUMMYFUNCTION("""COMPUTED_VALUE"""),"Category")</f>
        <v>Category</v>
      </c>
      <c r="T559" s="6"/>
      <c r="U559" s="6"/>
      <c r="V559" s="6"/>
      <c r="W559" s="6"/>
      <c r="X559" s="6"/>
      <c r="Y559" s="6"/>
      <c r="Z559" s="6"/>
      <c r="AA559" s="6"/>
      <c r="AB559" s="6"/>
      <c r="AC559" s="6"/>
      <c r="AD559" s="6"/>
      <c r="AE559" s="6"/>
      <c r="AF559" s="6"/>
      <c r="AG559" s="6"/>
      <c r="AH559" s="6"/>
      <c r="AI559" s="6"/>
      <c r="AJ559" s="6"/>
      <c r="AK559" s="6"/>
      <c r="AL559" s="6"/>
    </row>
    <row r="560" spans="1:38">
      <c r="A560" s="96">
        <f ca="1">IFERROR(__xludf.DUMMYFUNCTION("""COMPUTED_VALUE"""),44438)</f>
        <v>44438</v>
      </c>
      <c r="B560" s="6" t="str">
        <f ca="1">IFERROR(__xludf.DUMMYFUNCTION("""COMPUTED_VALUE"""),"Satiesh Gopalan")</f>
        <v>Satiesh Gopalan</v>
      </c>
      <c r="C560" s="6" t="str">
        <f ca="1">IFERROR(__xludf.DUMMYFUNCTION("""COMPUTED_VALUE"""),"ng.satiesh@yahoo.com")</f>
        <v>ng.satiesh@yahoo.com</v>
      </c>
      <c r="D560" s="6">
        <f ca="1">IFERROR(__xludf.DUMMYFUNCTION("""COMPUTED_VALUE"""),9884473741)</f>
        <v>9884473741</v>
      </c>
      <c r="E560" s="6" t="str">
        <f ca="1">IFERROR(__xludf.DUMMYFUNCTION("""COMPUTED_VALUE"""),"Query box")</f>
        <v>Query box</v>
      </c>
      <c r="F560" s="6" t="str">
        <f ca="1">IFERROR(__xludf.DUMMYFUNCTION("""COMPUTED_VALUE"""),"CSM")</f>
        <v>CSM</v>
      </c>
      <c r="G560" s="80">
        <f ca="1">IFERROR(__xludf.DUMMYFUNCTION("""COMPUTED_VALUE"""),44409)</f>
        <v>44409</v>
      </c>
      <c r="H560" s="6" t="str">
        <f ca="1">IFERROR(__xludf.DUMMYFUNCTION("""COMPUTED_VALUE"""),"Won")</f>
        <v>Won</v>
      </c>
      <c r="I560" s="6" t="str">
        <f ca="1">IFERROR(__xludf.DUMMYFUNCTION("""COMPUTED_VALUE"""),"4-5 Sep 2021")</f>
        <v>4-5 Sep 2021</v>
      </c>
      <c r="J560" s="6">
        <f ca="1">IFERROR(__xludf.DUMMYFUNCTION("""COMPUTED_VALUE"""),1)</f>
        <v>1</v>
      </c>
      <c r="K560" s="8">
        <f ca="1">IFERROR(__xludf.DUMMYFUNCTION("""COMPUTED_VALUE"""),19300)</f>
        <v>19300</v>
      </c>
      <c r="L560" s="8">
        <f ca="1">IFERROR(__xludf.DUMMYFUNCTION("""COMPUTED_VALUE"""),221.026110856619)</f>
        <v>221.026110856619</v>
      </c>
      <c r="M560" s="96">
        <f ca="1">IFERROR(__xludf.DUMMYFUNCTION("""COMPUTED_VALUE"""),44438)</f>
        <v>44438</v>
      </c>
      <c r="N560" s="6" t="str">
        <f ca="1">IFERROR(__xludf.DUMMYFUNCTION("""COMPUTED_VALUE"""),"T10")</f>
        <v>T10</v>
      </c>
      <c r="O560" s="97">
        <f ca="1">IFERROR(__xludf.DUMMYFUNCTION("""COMPUTED_VALUE"""),44438)</f>
        <v>44438</v>
      </c>
      <c r="P560" s="6" t="str">
        <f ca="1">IFERROR(__xludf.DUMMYFUNCTION("""COMPUTED_VALUE"""),"CSTM_16XD3FTBB94")</f>
        <v>CSTM_16XD3FTBB94</v>
      </c>
      <c r="Q560" s="6"/>
      <c r="R560" s="6" t="str">
        <f ca="1">IFERROR(__xludf.DUMMYFUNCTION("""COMPUTED_VALUE"""),"Done. Ok feedback.")</f>
        <v>Done. Ok feedback.</v>
      </c>
      <c r="S560" s="6" t="str">
        <f ca="1">IFERROR(__xludf.DUMMYFUNCTION("""COMPUTED_VALUE"""),"Category")</f>
        <v>Category</v>
      </c>
      <c r="T560" s="6"/>
      <c r="U560" s="6"/>
      <c r="V560" s="6"/>
      <c r="W560" s="6"/>
      <c r="X560" s="6"/>
      <c r="Y560" s="6"/>
      <c r="Z560" s="6"/>
      <c r="AA560" s="6"/>
      <c r="AB560" s="6"/>
      <c r="AC560" s="6"/>
      <c r="AD560" s="6"/>
      <c r="AE560" s="6"/>
      <c r="AF560" s="6"/>
      <c r="AG560" s="6"/>
      <c r="AH560" s="6"/>
      <c r="AI560" s="6"/>
      <c r="AJ560" s="6"/>
      <c r="AK560" s="6"/>
      <c r="AL560" s="6"/>
    </row>
    <row r="561" spans="1:38">
      <c r="A561" s="96">
        <f ca="1">IFERROR(__xludf.DUMMYFUNCTION("""COMPUTED_VALUE"""),44439)</f>
        <v>44439</v>
      </c>
      <c r="B561" s="6" t="str">
        <f ca="1">IFERROR(__xludf.DUMMYFUNCTION("""COMPUTED_VALUE"""),"Lakshmi Dangeti")</f>
        <v>Lakshmi Dangeti</v>
      </c>
      <c r="C561" s="6" t="str">
        <f ca="1">IFERROR(__xludf.DUMMYFUNCTION("""COMPUTED_VALUE"""),"prasanna.dangeti@gmail.com")</f>
        <v>prasanna.dangeti@gmail.com</v>
      </c>
      <c r="D561" s="6">
        <f ca="1">IFERROR(__xludf.DUMMYFUNCTION("""COMPUTED_VALUE"""),7670946866)</f>
        <v>7670946866</v>
      </c>
      <c r="E561" s="6" t="str">
        <f ca="1">IFERROR(__xludf.DUMMYFUNCTION("""COMPUTED_VALUE"""),"Reference")</f>
        <v>Reference</v>
      </c>
      <c r="F561" s="6" t="str">
        <f ca="1">IFERROR(__xludf.DUMMYFUNCTION("""COMPUTED_VALUE"""),"SAFe RTE")</f>
        <v>SAFe RTE</v>
      </c>
      <c r="G561" s="80">
        <f ca="1">IFERROR(__xludf.DUMMYFUNCTION("""COMPUTED_VALUE"""),44409)</f>
        <v>44409</v>
      </c>
      <c r="H561" s="6" t="str">
        <f ca="1">IFERROR(__xludf.DUMMYFUNCTION("""COMPUTED_VALUE"""),"Won")</f>
        <v>Won</v>
      </c>
      <c r="I561" s="6" t="str">
        <f ca="1">IFERROR(__xludf.DUMMYFUNCTION("""COMPUTED_VALUE"""),"4-6 Sep 2021")</f>
        <v>4-6 Sep 2021</v>
      </c>
      <c r="J561" s="6">
        <f ca="1">IFERROR(__xludf.DUMMYFUNCTION("""COMPUTED_VALUE"""),1)</f>
        <v>1</v>
      </c>
      <c r="K561" s="8">
        <f ca="1">IFERROR(__xludf.DUMMYFUNCTION("""COMPUTED_VALUE"""),59000)</f>
        <v>59000</v>
      </c>
      <c r="L561" s="8">
        <f ca="1">IFERROR(__xludf.DUMMYFUNCTION("""COMPUTED_VALUE"""),675.675675675675)</f>
        <v>675.67567567567505</v>
      </c>
      <c r="M561" s="96">
        <f ca="1">IFERROR(__xludf.DUMMYFUNCTION("""COMPUTED_VALUE"""),44439)</f>
        <v>44439</v>
      </c>
      <c r="N561" s="6" t="str">
        <f ca="1">IFERROR(__xludf.DUMMYFUNCTION("""COMPUTED_VALUE"""),"T10")</f>
        <v>T10</v>
      </c>
      <c r="O561" s="97">
        <f ca="1">IFERROR(__xludf.DUMMYFUNCTION("""COMPUTED_VALUE"""),44439)</f>
        <v>44439</v>
      </c>
      <c r="P561" s="6" t="str">
        <f ca="1">IFERROR(__xludf.DUMMYFUNCTION("""COMPUTED_VALUE"""),"SMPL_E153WXVXDX9")</f>
        <v>SMPL_E153WXVXDX9</v>
      </c>
      <c r="Q561" s="6" t="str">
        <f ca="1">IFERROR(__xludf.DUMMYFUNCTION("""COMPUTED_VALUE"""),"Aurko")</f>
        <v>Aurko</v>
      </c>
      <c r="R561" s="6" t="str">
        <f ca="1">IFERROR(__xludf.DUMMYFUNCTION("""COMPUTED_VALUE"""),"Pending")</f>
        <v>Pending</v>
      </c>
      <c r="S561" s="6" t="str">
        <f ca="1">IFERROR(__xludf.DUMMYFUNCTION("""COMPUTED_VALUE"""),"SAFe")</f>
        <v>SAFe</v>
      </c>
      <c r="T561" s="6"/>
      <c r="U561" s="6"/>
      <c r="V561" s="6"/>
      <c r="W561" s="6"/>
      <c r="X561" s="6"/>
      <c r="Y561" s="6"/>
      <c r="Z561" s="6"/>
      <c r="AA561" s="6"/>
      <c r="AB561" s="6"/>
      <c r="AC561" s="6"/>
      <c r="AD561" s="6"/>
      <c r="AE561" s="6"/>
      <c r="AF561" s="6"/>
      <c r="AG561" s="6"/>
      <c r="AH561" s="6"/>
      <c r="AI561" s="6"/>
      <c r="AJ561" s="6"/>
      <c r="AK561" s="6"/>
      <c r="AL561" s="6"/>
    </row>
    <row r="562" spans="1:38">
      <c r="A562" s="96">
        <f ca="1">IFERROR(__xludf.DUMMYFUNCTION("""COMPUTED_VALUE"""),44439)</f>
        <v>44439</v>
      </c>
      <c r="B562" s="6" t="str">
        <f ca="1">IFERROR(__xludf.DUMMYFUNCTION("""COMPUTED_VALUE"""),"Lakshmi Dangeti")</f>
        <v>Lakshmi Dangeti</v>
      </c>
      <c r="C562" s="6" t="str">
        <f ca="1">IFERROR(__xludf.DUMMYFUNCTION("""COMPUTED_VALUE"""),"prasanna.dangeti@gmail.com")</f>
        <v>prasanna.dangeti@gmail.com</v>
      </c>
      <c r="D562" s="6">
        <f ca="1">IFERROR(__xludf.DUMMYFUNCTION("""COMPUTED_VALUE"""),7670946866)</f>
        <v>7670946866</v>
      </c>
      <c r="E562" s="6" t="str">
        <f ca="1">IFERROR(__xludf.DUMMYFUNCTION("""COMPUTED_VALUE"""),"Reference")</f>
        <v>Reference</v>
      </c>
      <c r="F562" s="6" t="str">
        <f ca="1">IFERROR(__xludf.DUMMYFUNCTION("""COMPUTED_VALUE"""),"SAFe RTE")</f>
        <v>SAFe RTE</v>
      </c>
      <c r="G562" s="80">
        <f ca="1">IFERROR(__xludf.DUMMYFUNCTION("""COMPUTED_VALUE"""),44409)</f>
        <v>44409</v>
      </c>
      <c r="H562" s="6" t="str">
        <f ca="1">IFERROR(__xludf.DUMMYFUNCTION("""COMPUTED_VALUE"""),"Won")</f>
        <v>Won</v>
      </c>
      <c r="I562" s="6" t="str">
        <f ca="1">IFERROR(__xludf.DUMMYFUNCTION("""COMPUTED_VALUE"""),"4-6 Sep 2021")</f>
        <v>4-6 Sep 2021</v>
      </c>
      <c r="J562" s="6">
        <f ca="1">IFERROR(__xludf.DUMMYFUNCTION("""COMPUTED_VALUE"""),1)</f>
        <v>1</v>
      </c>
      <c r="K562" s="8">
        <f ca="1">IFERROR(__xludf.DUMMYFUNCTION("""COMPUTED_VALUE"""),59000)</f>
        <v>59000</v>
      </c>
      <c r="L562" s="8">
        <f ca="1">IFERROR(__xludf.DUMMYFUNCTION("""COMPUTED_VALUE"""),675.675675675675)</f>
        <v>675.67567567567505</v>
      </c>
      <c r="M562" s="96">
        <f ca="1">IFERROR(__xludf.DUMMYFUNCTION("""COMPUTED_VALUE"""),44439)</f>
        <v>44439</v>
      </c>
      <c r="N562" s="6" t="str">
        <f ca="1">IFERROR(__xludf.DUMMYFUNCTION("""COMPUTED_VALUE"""),"T10")</f>
        <v>T10</v>
      </c>
      <c r="O562" s="97">
        <f ca="1">IFERROR(__xludf.DUMMYFUNCTION("""COMPUTED_VALUE"""),44439)</f>
        <v>44439</v>
      </c>
      <c r="P562" s="6" t="str">
        <f ca="1">IFERROR(__xludf.DUMMYFUNCTION("""COMPUTED_VALUE"""),"SMPL_MIP1LL0IGF")</f>
        <v>SMPL_MIP1LL0IGF</v>
      </c>
      <c r="Q562" s="6" t="str">
        <f ca="1">IFERROR(__xludf.DUMMYFUNCTION("""COMPUTED_VALUE"""),"Aurko - Duplicate")</f>
        <v>Aurko - Duplicate</v>
      </c>
      <c r="R562" s="6" t="str">
        <f ca="1">IFERROR(__xludf.DUMMYFUNCTION("""COMPUTED_VALUE"""),"Pending")</f>
        <v>Pending</v>
      </c>
      <c r="S562" s="6" t="str">
        <f ca="1">IFERROR(__xludf.DUMMYFUNCTION("""COMPUTED_VALUE"""),"SAFe")</f>
        <v>SAFe</v>
      </c>
      <c r="T562" s="6"/>
      <c r="U562" s="6"/>
      <c r="V562" s="6"/>
      <c r="W562" s="6"/>
      <c r="X562" s="6"/>
      <c r="Y562" s="6"/>
      <c r="Z562" s="6"/>
      <c r="AA562" s="6"/>
      <c r="AB562" s="6"/>
      <c r="AC562" s="6"/>
      <c r="AD562" s="6"/>
      <c r="AE562" s="6"/>
      <c r="AF562" s="6"/>
      <c r="AG562" s="6"/>
      <c r="AH562" s="6"/>
      <c r="AI562" s="6"/>
      <c r="AJ562" s="6"/>
      <c r="AK562" s="6"/>
      <c r="AL562" s="6"/>
    </row>
    <row r="563" spans="1:38">
      <c r="A563" s="96">
        <f ca="1">IFERROR(__xludf.DUMMYFUNCTION("""COMPUTED_VALUE"""),44439)</f>
        <v>44439</v>
      </c>
      <c r="B563" s="6" t="str">
        <f ca="1">IFERROR(__xludf.DUMMYFUNCTION("""COMPUTED_VALUE"""),"Lakshmi Dangeti")</f>
        <v>Lakshmi Dangeti</v>
      </c>
      <c r="C563" s="6" t="str">
        <f ca="1">IFERROR(__xludf.DUMMYFUNCTION("""COMPUTED_VALUE"""),"prasanna.dangeti@gmail.com")</f>
        <v>prasanna.dangeti@gmail.com</v>
      </c>
      <c r="D563" s="6">
        <f ca="1">IFERROR(__xludf.DUMMYFUNCTION("""COMPUTED_VALUE"""),7670946866)</f>
        <v>7670946866</v>
      </c>
      <c r="E563" s="6" t="str">
        <f ca="1">IFERROR(__xludf.DUMMYFUNCTION("""COMPUTED_VALUE"""),"Reference")</f>
        <v>Reference</v>
      </c>
      <c r="F563" s="6" t="str">
        <f ca="1">IFERROR(__xludf.DUMMYFUNCTION("""COMPUTED_VALUE"""),"SAFe RTE")</f>
        <v>SAFe RTE</v>
      </c>
      <c r="G563" s="80">
        <f ca="1">IFERROR(__xludf.DUMMYFUNCTION("""COMPUTED_VALUE"""),44440)</f>
        <v>44440</v>
      </c>
      <c r="H563" s="6" t="str">
        <f ca="1">IFERROR(__xludf.DUMMYFUNCTION("""COMPUTED_VALUE"""),"Won")</f>
        <v>Won</v>
      </c>
      <c r="I563" s="6" t="str">
        <f ca="1">IFERROR(__xludf.DUMMYFUNCTION("""COMPUTED_VALUE"""),"4-6 Sep 2021")</f>
        <v>4-6 Sep 2021</v>
      </c>
      <c r="J563" s="6">
        <f ca="1">IFERROR(__xludf.DUMMYFUNCTION("""COMPUTED_VALUE"""),1)</f>
        <v>1</v>
      </c>
      <c r="K563" s="8">
        <f ca="1">IFERROR(__xludf.DUMMYFUNCTION("""COMPUTED_VALUE"""),12000)</f>
        <v>12000</v>
      </c>
      <c r="L563" s="8">
        <f ca="1">IFERROR(__xludf.DUMMYFUNCTION("""COMPUTED_VALUE"""),137.425561154374)</f>
        <v>137.42556115437401</v>
      </c>
      <c r="M563" s="96">
        <f ca="1">IFERROR(__xludf.DUMMYFUNCTION("""COMPUTED_VALUE"""),44440)</f>
        <v>44440</v>
      </c>
      <c r="N563" s="6" t="str">
        <f ca="1">IFERROR(__xludf.DUMMYFUNCTION("""COMPUTED_VALUE"""),"F10")</f>
        <v>F10</v>
      </c>
      <c r="O563" s="97">
        <f ca="1">IFERROR(__xludf.DUMMYFUNCTION("""COMPUTED_VALUE"""),44440)</f>
        <v>44440</v>
      </c>
      <c r="P563" s="6" t="str">
        <f ca="1">IFERROR(__xludf.DUMMYFUNCTION("""COMPUTED_VALUE"""),"SMPL_25DJ382KFF1")</f>
        <v>SMPL_25DJ382KFF1</v>
      </c>
      <c r="Q563" s="6" t="str">
        <f ca="1">IFERROR(__xludf.DUMMYFUNCTION("""COMPUTED_VALUE"""),"Aurko - Duplicate")</f>
        <v>Aurko - Duplicate</v>
      </c>
      <c r="R563" s="6" t="str">
        <f ca="1">IFERROR(__xludf.DUMMYFUNCTION("""COMPUTED_VALUE"""),"Pending")</f>
        <v>Pending</v>
      </c>
      <c r="S563" s="6" t="str">
        <f ca="1">IFERROR(__xludf.DUMMYFUNCTION("""COMPUTED_VALUE"""),"SAFe")</f>
        <v>SAFe</v>
      </c>
      <c r="T563" s="6"/>
      <c r="U563" s="6"/>
      <c r="V563" s="6"/>
      <c r="W563" s="6"/>
      <c r="X563" s="6"/>
      <c r="Y563" s="6"/>
      <c r="Z563" s="6"/>
      <c r="AA563" s="6"/>
      <c r="AB563" s="6"/>
      <c r="AC563" s="6"/>
      <c r="AD563" s="6"/>
      <c r="AE563" s="6"/>
      <c r="AF563" s="6"/>
      <c r="AG563" s="6"/>
      <c r="AH563" s="6"/>
      <c r="AI563" s="6"/>
      <c r="AJ563" s="6"/>
      <c r="AK563" s="6"/>
      <c r="AL563" s="6"/>
    </row>
    <row r="564" spans="1:38">
      <c r="A564" s="96">
        <f ca="1">IFERROR(__xludf.DUMMYFUNCTION("""COMPUTED_VALUE"""),44441)</f>
        <v>44441</v>
      </c>
      <c r="B564" s="6" t="str">
        <f ca="1">IFERROR(__xludf.DUMMYFUNCTION("""COMPUTED_VALUE"""),"Raghuram")</f>
        <v>Raghuram</v>
      </c>
      <c r="C564" s="6" t="str">
        <f ca="1">IFERROR(__xludf.DUMMYFUNCTION("""COMPUTED_VALUE"""),"raghu7090@gmail.com")</f>
        <v>raghu7090@gmail.com</v>
      </c>
      <c r="D564" s="6">
        <f ca="1">IFERROR(__xludf.DUMMYFUNCTION("""COMPUTED_VALUE"""),8008130007)</f>
        <v>8008130007</v>
      </c>
      <c r="E564" s="6" t="str">
        <f ca="1">IFERROR(__xludf.DUMMYFUNCTION("""COMPUTED_VALUE"""),"Query box")</f>
        <v>Query box</v>
      </c>
      <c r="F564" s="6" t="str">
        <f ca="1">IFERROR(__xludf.DUMMYFUNCTION("""COMPUTED_VALUE"""),"PSPO")</f>
        <v>PSPO</v>
      </c>
      <c r="G564" s="80">
        <f ca="1">IFERROR(__xludf.DUMMYFUNCTION("""COMPUTED_VALUE"""),44440)</f>
        <v>44440</v>
      </c>
      <c r="H564" s="6" t="str">
        <f ca="1">IFERROR(__xludf.DUMMYFUNCTION("""COMPUTED_VALUE"""),"Won")</f>
        <v>Won</v>
      </c>
      <c r="I564" s="6" t="str">
        <f ca="1">IFERROR(__xludf.DUMMYFUNCTION("""COMPUTED_VALUE"""),"25-26 Sep 2021")</f>
        <v>25-26 Sep 2021</v>
      </c>
      <c r="J564" s="6">
        <f ca="1">IFERROR(__xludf.DUMMYFUNCTION("""COMPUTED_VALUE"""),1)</f>
        <v>1</v>
      </c>
      <c r="K564" s="8">
        <f ca="1">IFERROR(__xludf.DUMMYFUNCTION("""COMPUTED_VALUE"""),21000)</f>
        <v>21000</v>
      </c>
      <c r="L564" s="8">
        <f ca="1">IFERROR(__xludf.DUMMYFUNCTION("""COMPUTED_VALUE"""),240.494732020155)</f>
        <v>240.494732020155</v>
      </c>
      <c r="M564" s="96">
        <f ca="1">IFERROR(__xludf.DUMMYFUNCTION("""COMPUTED_VALUE"""),44441)</f>
        <v>44441</v>
      </c>
      <c r="N564" s="6" t="str">
        <f ca="1">IFERROR(__xludf.DUMMYFUNCTION("""COMPUTED_VALUE"""),"F10")</f>
        <v>F10</v>
      </c>
      <c r="O564" s="97">
        <f ca="1">IFERROR(__xludf.DUMMYFUNCTION("""COMPUTED_VALUE"""),44441)</f>
        <v>44441</v>
      </c>
      <c r="P564" s="6" t="str">
        <f ca="1">IFERROR(__xludf.DUMMYFUNCTION("""COMPUTED_VALUE"""),"CSTM_1ECC8UECQ4U")</f>
        <v>CSTM_1ECC8UECQ4U</v>
      </c>
      <c r="Q564" s="6"/>
      <c r="R564" s="6" t="str">
        <f ca="1">IFERROR(__xludf.DUMMYFUNCTION("""COMPUTED_VALUE"""),"Done. Good feedback.")</f>
        <v>Done. Good feedback.</v>
      </c>
      <c r="S564" s="6" t="str">
        <f ca="1">IFERROR(__xludf.DUMMYFUNCTION("""COMPUTED_VALUE"""),"Category")</f>
        <v>Category</v>
      </c>
      <c r="T564" s="6"/>
      <c r="U564" s="6"/>
      <c r="V564" s="6"/>
      <c r="W564" s="6"/>
      <c r="X564" s="6"/>
      <c r="Y564" s="6"/>
      <c r="Z564" s="6"/>
      <c r="AA564" s="6"/>
      <c r="AB564" s="6"/>
      <c r="AC564" s="6"/>
      <c r="AD564" s="6"/>
      <c r="AE564" s="6"/>
      <c r="AF564" s="6"/>
      <c r="AG564" s="6"/>
      <c r="AH564" s="6"/>
      <c r="AI564" s="6"/>
      <c r="AJ564" s="6"/>
      <c r="AK564" s="6"/>
      <c r="AL564" s="6"/>
    </row>
    <row r="565" spans="1:38">
      <c r="A565" s="96">
        <f ca="1">IFERROR(__xludf.DUMMYFUNCTION("""COMPUTED_VALUE"""),44441)</f>
        <v>44441</v>
      </c>
      <c r="B565" s="6" t="str">
        <f ca="1">IFERROR(__xludf.DUMMYFUNCTION("""COMPUTED_VALUE"""),"Imran Khan")</f>
        <v>Imran Khan</v>
      </c>
      <c r="C565" s="6" t="str">
        <f ca="1">IFERROR(__xludf.DUMMYFUNCTION("""COMPUTED_VALUE"""),"imranazizkhan83@gmail.com")</f>
        <v>imranazizkhan83@gmail.com</v>
      </c>
      <c r="D565" s="6">
        <f ca="1">IFERROR(__xludf.DUMMYFUNCTION("""COMPUTED_VALUE"""),7045913652)</f>
        <v>7045913652</v>
      </c>
      <c r="E565" s="6" t="str">
        <f ca="1">IFERROR(__xludf.DUMMYFUNCTION("""COMPUTED_VALUE"""),"Account Repeat")</f>
        <v>Account Repeat</v>
      </c>
      <c r="F565" s="6" t="str">
        <f ca="1">IFERROR(__xludf.DUMMYFUNCTION("""COMPUTED_VALUE"""),"ITILv4")</f>
        <v>ITILv4</v>
      </c>
      <c r="G565" s="80">
        <f ca="1">IFERROR(__xludf.DUMMYFUNCTION("""COMPUTED_VALUE"""),44440)</f>
        <v>44440</v>
      </c>
      <c r="H565" s="6" t="str">
        <f ca="1">IFERROR(__xludf.DUMMYFUNCTION("""COMPUTED_VALUE"""),"Won")</f>
        <v>Won</v>
      </c>
      <c r="I565" s="6" t="str">
        <f ca="1">IFERROR(__xludf.DUMMYFUNCTION("""COMPUTED_VALUE"""),"18 Sep 2021")</f>
        <v>18 Sep 2021</v>
      </c>
      <c r="J565" s="6">
        <f ca="1">IFERROR(__xludf.DUMMYFUNCTION("""COMPUTED_VALUE"""),1)</f>
        <v>1</v>
      </c>
      <c r="K565" s="8">
        <f ca="1">IFERROR(__xludf.DUMMYFUNCTION("""COMPUTED_VALUE"""),16000)</f>
        <v>16000</v>
      </c>
      <c r="L565" s="8">
        <f ca="1">IFERROR(__xludf.DUMMYFUNCTION("""COMPUTED_VALUE"""),183.234081539166)</f>
        <v>183.234081539166</v>
      </c>
      <c r="M565" s="96">
        <f ca="1">IFERROR(__xludf.DUMMYFUNCTION("""COMPUTED_VALUE"""),44441)</f>
        <v>44441</v>
      </c>
      <c r="N565" s="6" t="str">
        <f ca="1">IFERROR(__xludf.DUMMYFUNCTION("""COMPUTED_VALUE"""),"S10")</f>
        <v>S10</v>
      </c>
      <c r="O565" s="97">
        <f ca="1">IFERROR(__xludf.DUMMYFUNCTION("""COMPUTED_VALUE"""),44455)</f>
        <v>44455</v>
      </c>
      <c r="P565" s="6" t="str">
        <f ca="1">IFERROR(__xludf.DUMMYFUNCTION("""COMPUTED_VALUE"""),"CSTM_1C7Y9IOKFL7")</f>
        <v>CSTM_1C7Y9IOKFL7</v>
      </c>
      <c r="Q565" s="6"/>
      <c r="R565" s="6" t="str">
        <f ca="1">IFERROR(__xludf.DUMMYFUNCTION("""COMPUTED_VALUE"""),"Pending")</f>
        <v>Pending</v>
      </c>
      <c r="S565" s="6" t="str">
        <f ca="1">IFERROR(__xludf.DUMMYFUNCTION("""COMPUTED_VALUE"""),"NonCategory")</f>
        <v>NonCategory</v>
      </c>
      <c r="T565" s="6"/>
      <c r="U565" s="6"/>
      <c r="V565" s="6"/>
      <c r="W565" s="6"/>
      <c r="X565" s="6"/>
      <c r="Y565" s="6"/>
      <c r="Z565" s="6"/>
      <c r="AA565" s="6"/>
      <c r="AB565" s="6"/>
      <c r="AC565" s="6"/>
      <c r="AD565" s="6"/>
      <c r="AE565" s="6"/>
      <c r="AF565" s="6"/>
      <c r="AG565" s="6"/>
      <c r="AH565" s="6"/>
      <c r="AI565" s="6"/>
      <c r="AJ565" s="6"/>
      <c r="AK565" s="6"/>
      <c r="AL565" s="6"/>
    </row>
    <row r="566" spans="1:38">
      <c r="A566" s="96">
        <f ca="1">IFERROR(__xludf.DUMMYFUNCTION("""COMPUTED_VALUE"""),44441)</f>
        <v>44441</v>
      </c>
      <c r="B566" s="6" t="str">
        <f ca="1">IFERROR(__xludf.DUMMYFUNCTION("""COMPUTED_VALUE"""),"Varsha")</f>
        <v>Varsha</v>
      </c>
      <c r="C566" s="6" t="str">
        <f ca="1">IFERROR(__xludf.DUMMYFUNCTION("""COMPUTED_VALUE"""),"varsha2811@gmail.com")</f>
        <v>varsha2811@gmail.com</v>
      </c>
      <c r="D566" s="6">
        <f ca="1">IFERROR(__xludf.DUMMYFUNCTION("""COMPUTED_VALUE"""),7798162585)</f>
        <v>7798162585</v>
      </c>
      <c r="E566" s="6" t="str">
        <f ca="1">IFERROR(__xludf.DUMMYFUNCTION("""COMPUTED_VALUE"""),"Reference")</f>
        <v>Reference</v>
      </c>
      <c r="F566" s="6" t="str">
        <f ca="1">IFERROR(__xludf.DUMMYFUNCTION("""COMPUTED_VALUE"""),"PMP")</f>
        <v>PMP</v>
      </c>
      <c r="G566" s="80">
        <f ca="1">IFERROR(__xludf.DUMMYFUNCTION("""COMPUTED_VALUE"""),44440)</f>
        <v>44440</v>
      </c>
      <c r="H566" s="6" t="str">
        <f ca="1">IFERROR(__xludf.DUMMYFUNCTION("""COMPUTED_VALUE"""),"Won")</f>
        <v>Won</v>
      </c>
      <c r="I566" s="6" t="str">
        <f ca="1">IFERROR(__xludf.DUMMYFUNCTION("""COMPUTED_VALUE"""),"6 Sep 2021")</f>
        <v>6 Sep 2021</v>
      </c>
      <c r="J566" s="6">
        <f ca="1">IFERROR(__xludf.DUMMYFUNCTION("""COMPUTED_VALUE"""),1)</f>
        <v>1</v>
      </c>
      <c r="K566" s="8">
        <f ca="1">IFERROR(__xludf.DUMMYFUNCTION("""COMPUTED_VALUE"""),12000)</f>
        <v>12000</v>
      </c>
      <c r="L566" s="8">
        <f ca="1">IFERROR(__xludf.DUMMYFUNCTION("""COMPUTED_VALUE"""),137.425561154374)</f>
        <v>137.42556115437401</v>
      </c>
      <c r="M566" s="96">
        <f ca="1">IFERROR(__xludf.DUMMYFUNCTION("""COMPUTED_VALUE"""),44441)</f>
        <v>44441</v>
      </c>
      <c r="N566" s="6" t="str">
        <f ca="1">IFERROR(__xludf.DUMMYFUNCTION("""COMPUTED_VALUE"""),"F10")</f>
        <v>F10</v>
      </c>
      <c r="O566" s="97">
        <f ca="1">IFERROR(__xludf.DUMMYFUNCTION("""COMPUTED_VALUE"""),44441)</f>
        <v>44441</v>
      </c>
      <c r="P566" s="6" t="str">
        <f ca="1">IFERROR(__xludf.DUMMYFUNCTION("""COMPUTED_VALUE"""),"CSTM_JGITR1V1ZOC")</f>
        <v>CSTM_JGITR1V1ZOC</v>
      </c>
      <c r="Q566" s="6" t="str">
        <f ca="1">IFERROR(__xludf.DUMMYFUNCTION("""COMPUTED_VALUE"""),"Keerti")</f>
        <v>Keerti</v>
      </c>
      <c r="R566" s="6" t="str">
        <f ca="1">IFERROR(__xludf.DUMMYFUNCTION("""COMPUTED_VALUE"""),"Pending")</f>
        <v>Pending</v>
      </c>
      <c r="S566" s="6" t="str">
        <f ca="1">IFERROR(__xludf.DUMMYFUNCTION("""COMPUTED_VALUE"""),"NonCategory")</f>
        <v>NonCategory</v>
      </c>
      <c r="T566" s="6"/>
      <c r="U566" s="6"/>
      <c r="V566" s="6"/>
      <c r="W566" s="6"/>
      <c r="X566" s="6"/>
      <c r="Y566" s="6"/>
      <c r="Z566" s="6"/>
      <c r="AA566" s="6"/>
      <c r="AB566" s="6"/>
      <c r="AC566" s="6"/>
      <c r="AD566" s="6"/>
      <c r="AE566" s="6"/>
      <c r="AF566" s="6"/>
      <c r="AG566" s="6"/>
      <c r="AH566" s="6"/>
      <c r="AI566" s="6"/>
      <c r="AJ566" s="6"/>
      <c r="AK566" s="6"/>
      <c r="AL566" s="6"/>
    </row>
    <row r="567" spans="1:38">
      <c r="A567" s="96">
        <f ca="1">IFERROR(__xludf.DUMMYFUNCTION("""COMPUTED_VALUE"""),44441)</f>
        <v>44441</v>
      </c>
      <c r="B567" s="6" t="str">
        <f ca="1">IFERROR(__xludf.DUMMYFUNCTION("""COMPUTED_VALUE"""),"Yogita Banekar")</f>
        <v>Yogita Banekar</v>
      </c>
      <c r="C567" s="6" t="str">
        <f ca="1">IFERROR(__xludf.DUMMYFUNCTION("""COMPUTED_VALUE"""),"yogita.banekar@gmail.com")</f>
        <v>yogita.banekar@gmail.com</v>
      </c>
      <c r="D567" s="6">
        <f ca="1">IFERROR(__xludf.DUMMYFUNCTION("""COMPUTED_VALUE"""),9765714933)</f>
        <v>9765714933</v>
      </c>
      <c r="E567" s="6" t="str">
        <f ca="1">IFERROR(__xludf.DUMMYFUNCTION("""COMPUTED_VALUE"""),"Reference")</f>
        <v>Reference</v>
      </c>
      <c r="F567" s="6" t="str">
        <f ca="1">IFERROR(__xludf.DUMMYFUNCTION("""COMPUTED_VALUE"""),"PMP")</f>
        <v>PMP</v>
      </c>
      <c r="G567" s="80">
        <f ca="1">IFERROR(__xludf.DUMMYFUNCTION("""COMPUTED_VALUE"""),44440)</f>
        <v>44440</v>
      </c>
      <c r="H567" s="6" t="str">
        <f ca="1">IFERROR(__xludf.DUMMYFUNCTION("""COMPUTED_VALUE"""),"Won")</f>
        <v>Won</v>
      </c>
      <c r="I567" s="6" t="str">
        <f ca="1">IFERROR(__xludf.DUMMYFUNCTION("""COMPUTED_VALUE"""),"6 Sep 2021")</f>
        <v>6 Sep 2021</v>
      </c>
      <c r="J567" s="6">
        <f ca="1">IFERROR(__xludf.DUMMYFUNCTION("""COMPUTED_VALUE"""),1)</f>
        <v>1</v>
      </c>
      <c r="K567" s="8">
        <f ca="1">IFERROR(__xludf.DUMMYFUNCTION("""COMPUTED_VALUE"""),12000)</f>
        <v>12000</v>
      </c>
      <c r="L567" s="8">
        <f ca="1">IFERROR(__xludf.DUMMYFUNCTION("""COMPUTED_VALUE"""),137.425561154374)</f>
        <v>137.42556115437401</v>
      </c>
      <c r="M567" s="96">
        <f ca="1">IFERROR(__xludf.DUMMYFUNCTION("""COMPUTED_VALUE"""),44441)</f>
        <v>44441</v>
      </c>
      <c r="N567" s="6" t="str">
        <f ca="1">IFERROR(__xludf.DUMMYFUNCTION("""COMPUTED_VALUE"""),"F10")</f>
        <v>F10</v>
      </c>
      <c r="O567" s="97">
        <f ca="1">IFERROR(__xludf.DUMMYFUNCTION("""COMPUTED_VALUE"""),44441)</f>
        <v>44441</v>
      </c>
      <c r="P567" s="6" t="str">
        <f ca="1">IFERROR(__xludf.DUMMYFUNCTION("""COMPUTED_VALUE"""),"CSTM_I8B3Z8YF97Z")</f>
        <v>CSTM_I8B3Z8YF97Z</v>
      </c>
      <c r="Q567" s="6" t="str">
        <f ca="1">IFERROR(__xludf.DUMMYFUNCTION("""COMPUTED_VALUE"""),"Keerti")</f>
        <v>Keerti</v>
      </c>
      <c r="R567" s="6" t="str">
        <f ca="1">IFERROR(__xludf.DUMMYFUNCTION("""COMPUTED_VALUE"""),"Pending")</f>
        <v>Pending</v>
      </c>
      <c r="S567" s="6" t="str">
        <f ca="1">IFERROR(__xludf.DUMMYFUNCTION("""COMPUTED_VALUE"""),"NonCategory")</f>
        <v>NonCategory</v>
      </c>
      <c r="T567" s="6"/>
      <c r="U567" s="6"/>
      <c r="V567" s="6"/>
      <c r="W567" s="6"/>
      <c r="X567" s="6"/>
      <c r="Y567" s="6"/>
      <c r="Z567" s="6"/>
      <c r="AA567" s="6"/>
      <c r="AB567" s="6"/>
      <c r="AC567" s="6"/>
      <c r="AD567" s="6"/>
      <c r="AE567" s="6"/>
      <c r="AF567" s="6"/>
      <c r="AG567" s="6"/>
      <c r="AH567" s="6"/>
      <c r="AI567" s="6"/>
      <c r="AJ567" s="6"/>
      <c r="AK567" s="6"/>
      <c r="AL567" s="6"/>
    </row>
    <row r="568" spans="1:38">
      <c r="A568" s="96">
        <f ca="1">IFERROR(__xludf.DUMMYFUNCTION("""COMPUTED_VALUE"""),44442)</f>
        <v>44442</v>
      </c>
      <c r="B568" s="6" t="str">
        <f ca="1">IFERROR(__xludf.DUMMYFUNCTION("""COMPUTED_VALUE"""),"Uthra Balaji")</f>
        <v>Uthra Balaji</v>
      </c>
      <c r="C568" s="6" t="str">
        <f ca="1">IFERROR(__xludf.DUMMYFUNCTION("""COMPUTED_VALUE"""),"uthraabalaji@gmail.com")</f>
        <v>uthraabalaji@gmail.com</v>
      </c>
      <c r="D568" s="6">
        <f ca="1">IFERROR(__xludf.DUMMYFUNCTION("""COMPUTED_VALUE"""),9840915423)</f>
        <v>9840915423</v>
      </c>
      <c r="E568" s="6" t="str">
        <f ca="1">IFERROR(__xludf.DUMMYFUNCTION("""COMPUTED_VALUE"""),"course preview")</f>
        <v>course preview</v>
      </c>
      <c r="F568" s="6" t="str">
        <f ca="1">IFERROR(__xludf.DUMMYFUNCTION("""COMPUTED_VALUE"""),"CSM")</f>
        <v>CSM</v>
      </c>
      <c r="G568" s="80">
        <f ca="1">IFERROR(__xludf.DUMMYFUNCTION("""COMPUTED_VALUE"""),44440)</f>
        <v>44440</v>
      </c>
      <c r="H568" s="6" t="str">
        <f ca="1">IFERROR(__xludf.DUMMYFUNCTION("""COMPUTED_VALUE"""),"Won")</f>
        <v>Won</v>
      </c>
      <c r="I568" s="6" t="str">
        <f ca="1">IFERROR(__xludf.DUMMYFUNCTION("""COMPUTED_VALUE"""),"4-5 Sep 2021")</f>
        <v>4-5 Sep 2021</v>
      </c>
      <c r="J568" s="6">
        <f ca="1">IFERROR(__xludf.DUMMYFUNCTION("""COMPUTED_VALUE"""),1)</f>
        <v>1</v>
      </c>
      <c r="K568" s="8">
        <f ca="1">IFERROR(__xludf.DUMMYFUNCTION("""COMPUTED_VALUE"""),20000)</f>
        <v>20000</v>
      </c>
      <c r="L568" s="8">
        <f ca="1">IFERROR(__xludf.DUMMYFUNCTION("""COMPUTED_VALUE"""),229.042601923957)</f>
        <v>229.04260192395699</v>
      </c>
      <c r="M568" s="96">
        <f ca="1">IFERROR(__xludf.DUMMYFUNCTION("""COMPUTED_VALUE"""),44442)</f>
        <v>44442</v>
      </c>
      <c r="N568" s="6" t="str">
        <f ca="1">IFERROR(__xludf.DUMMYFUNCTION("""COMPUTED_VALUE"""),"F10")</f>
        <v>F10</v>
      </c>
      <c r="O568" s="97">
        <f ca="1">IFERROR(__xludf.DUMMYFUNCTION("""COMPUTED_VALUE"""),44442)</f>
        <v>44442</v>
      </c>
      <c r="P568" s="6" t="str">
        <f ca="1">IFERROR(__xludf.DUMMYFUNCTION("""COMPUTED_VALUE"""),"CSTM_5PBJ3FQZ49I")</f>
        <v>CSTM_5PBJ3FQZ49I</v>
      </c>
      <c r="Q568" s="6"/>
      <c r="R568" s="6" t="str">
        <f ca="1">IFERROR(__xludf.DUMMYFUNCTION("""COMPUTED_VALUE"""),"Done. Good feedback.")</f>
        <v>Done. Good feedback.</v>
      </c>
      <c r="S568" s="6" t="str">
        <f ca="1">IFERROR(__xludf.DUMMYFUNCTION("""COMPUTED_VALUE"""),"Category")</f>
        <v>Category</v>
      </c>
      <c r="T568" s="6"/>
      <c r="U568" s="6"/>
      <c r="V568" s="6"/>
      <c r="W568" s="6"/>
      <c r="X568" s="6"/>
      <c r="Y568" s="6"/>
      <c r="Z568" s="6"/>
      <c r="AA568" s="6"/>
      <c r="AB568" s="6"/>
      <c r="AC568" s="6"/>
      <c r="AD568" s="6"/>
      <c r="AE568" s="6"/>
      <c r="AF568" s="6"/>
      <c r="AG568" s="6"/>
      <c r="AH568" s="6"/>
      <c r="AI568" s="6"/>
      <c r="AJ568" s="6"/>
      <c r="AK568" s="6"/>
      <c r="AL568" s="6"/>
    </row>
    <row r="569" spans="1:38">
      <c r="A569" s="96">
        <f ca="1">IFERROR(__xludf.DUMMYFUNCTION("""COMPUTED_VALUE"""),44442)</f>
        <v>44442</v>
      </c>
      <c r="B569" s="6" t="str">
        <f ca="1">IFERROR(__xludf.DUMMYFUNCTION("""COMPUTED_VALUE"""),"Srikanth GVS")</f>
        <v>Srikanth GVS</v>
      </c>
      <c r="C569" s="6" t="str">
        <f ca="1">IFERROR(__xludf.DUMMYFUNCTION("""COMPUTED_VALUE"""),"gvssrikanth01@gmail.com")</f>
        <v>gvssrikanth01@gmail.com</v>
      </c>
      <c r="D569" s="6">
        <f ca="1">IFERROR(__xludf.DUMMYFUNCTION("""COMPUTED_VALUE"""),9500069109)</f>
        <v>9500069109</v>
      </c>
      <c r="E569" s="6" t="str">
        <f ca="1">IFERROR(__xludf.DUMMYFUNCTION("""COMPUTED_VALUE"""),"Chat_triggered")</f>
        <v>Chat_triggered</v>
      </c>
      <c r="F569" s="6" t="str">
        <f ca="1">IFERROR(__xludf.DUMMYFUNCTION("""COMPUTED_VALUE"""),"CBAP")</f>
        <v>CBAP</v>
      </c>
      <c r="G569" s="80">
        <f ca="1">IFERROR(__xludf.DUMMYFUNCTION("""COMPUTED_VALUE"""),44440)</f>
        <v>44440</v>
      </c>
      <c r="H569" s="6" t="str">
        <f ca="1">IFERROR(__xludf.DUMMYFUNCTION("""COMPUTED_VALUE"""),"Won")</f>
        <v>Won</v>
      </c>
      <c r="I569" s="6" t="str">
        <f ca="1">IFERROR(__xludf.DUMMYFUNCTION("""COMPUTED_VALUE"""),"LVC")</f>
        <v>LVC</v>
      </c>
      <c r="J569" s="6">
        <f ca="1">IFERROR(__xludf.DUMMYFUNCTION("""COMPUTED_VALUE"""),1)</f>
        <v>1</v>
      </c>
      <c r="K569" s="8">
        <f ca="1">IFERROR(__xludf.DUMMYFUNCTION("""COMPUTED_VALUE"""),12788)</f>
        <v>12788</v>
      </c>
      <c r="L569" s="8">
        <f ca="1">IFERROR(__xludf.DUMMYFUNCTION("""COMPUTED_VALUE"""),146.449839670178)</f>
        <v>146.44983967017799</v>
      </c>
      <c r="M569" s="96">
        <f ca="1">IFERROR(__xludf.DUMMYFUNCTION("""COMPUTED_VALUE"""),44441)</f>
        <v>44441</v>
      </c>
      <c r="N569" s="6" t="str">
        <f ca="1">IFERROR(__xludf.DUMMYFUNCTION("""COMPUTED_VALUE"""),"F10")</f>
        <v>F10</v>
      </c>
      <c r="O569" s="97">
        <f ca="1">IFERROR(__xludf.DUMMYFUNCTION("""COMPUTED_VALUE"""),44441)</f>
        <v>44441</v>
      </c>
      <c r="P569" s="6" t="str">
        <f ca="1">IFERROR(__xludf.DUMMYFUNCTION("""COMPUTED_VALUE"""),"CSTM_EDFUYCSJXZN")</f>
        <v>CSTM_EDFUYCSJXZN</v>
      </c>
      <c r="Q569" s="6"/>
      <c r="R569" s="6" t="str">
        <f ca="1">IFERROR(__xludf.DUMMYFUNCTION("""COMPUTED_VALUE"""),"Pending")</f>
        <v>Pending</v>
      </c>
      <c r="S569" s="6" t="str">
        <f ca="1">IFERROR(__xludf.DUMMYFUNCTION("""COMPUTED_VALUE"""),"NonCategory")</f>
        <v>NonCategory</v>
      </c>
      <c r="T569" s="6"/>
      <c r="U569" s="6"/>
      <c r="V569" s="6"/>
      <c r="W569" s="6"/>
      <c r="X569" s="6"/>
      <c r="Y569" s="6"/>
      <c r="Z569" s="6"/>
      <c r="AA569" s="6"/>
      <c r="AB569" s="6"/>
      <c r="AC569" s="6"/>
      <c r="AD569" s="6"/>
      <c r="AE569" s="6"/>
      <c r="AF569" s="6"/>
      <c r="AG569" s="6"/>
      <c r="AH569" s="6"/>
      <c r="AI569" s="6"/>
      <c r="AJ569" s="6"/>
      <c r="AK569" s="6"/>
      <c r="AL569" s="6"/>
    </row>
    <row r="570" spans="1:38">
      <c r="A570" s="96">
        <f ca="1">IFERROR(__xludf.DUMMYFUNCTION("""COMPUTED_VALUE"""),44443)</f>
        <v>44443</v>
      </c>
      <c r="B570" s="6" t="str">
        <f ca="1">IFERROR(__xludf.DUMMYFUNCTION("""COMPUTED_VALUE"""),"Dhanya S")</f>
        <v>Dhanya S</v>
      </c>
      <c r="C570" s="6" t="str">
        <f ca="1">IFERROR(__xludf.DUMMYFUNCTION("""COMPUTED_VALUE"""),"sdhanya21@gmail.com")</f>
        <v>sdhanya21@gmail.com</v>
      </c>
      <c r="D570" s="6">
        <f ca="1">IFERROR(__xludf.DUMMYFUNCTION("""COMPUTED_VALUE"""),9886716193)</f>
        <v>9886716193</v>
      </c>
      <c r="E570" s="6" t="str">
        <f ca="1">IFERROR(__xludf.DUMMYFUNCTION("""COMPUTED_VALUE"""),"Account Repeat")</f>
        <v>Account Repeat</v>
      </c>
      <c r="F570" s="6" t="str">
        <f ca="1">IFERROR(__xludf.DUMMYFUNCTION("""COMPUTED_VALUE"""),"Prince 2 F&amp;P")</f>
        <v>Prince 2 F&amp;P</v>
      </c>
      <c r="G570" s="80">
        <f ca="1">IFERROR(__xludf.DUMMYFUNCTION("""COMPUTED_VALUE"""),44440)</f>
        <v>44440</v>
      </c>
      <c r="H570" s="6" t="str">
        <f ca="1">IFERROR(__xludf.DUMMYFUNCTION("""COMPUTED_VALUE"""),"Won")</f>
        <v>Won</v>
      </c>
      <c r="I570" s="6" t="str">
        <f ca="1">IFERROR(__xludf.DUMMYFUNCTION("""COMPUTED_VALUE"""),"4 Sep 2021")</f>
        <v>4 Sep 2021</v>
      </c>
      <c r="J570" s="6">
        <f ca="1">IFERROR(__xludf.DUMMYFUNCTION("""COMPUTED_VALUE"""),1)</f>
        <v>1</v>
      </c>
      <c r="K570" s="8">
        <f ca="1">IFERROR(__xludf.DUMMYFUNCTION("""COMPUTED_VALUE"""),38000)</f>
        <v>38000</v>
      </c>
      <c r="L570" s="8">
        <f ca="1">IFERROR(__xludf.DUMMYFUNCTION("""COMPUTED_VALUE"""),435.180943655519)</f>
        <v>435.180943655519</v>
      </c>
      <c r="M570" s="96">
        <f ca="1">IFERROR(__xludf.DUMMYFUNCTION("""COMPUTED_VALUE"""),44443)</f>
        <v>44443</v>
      </c>
      <c r="N570" s="6" t="str">
        <f ca="1">IFERROR(__xludf.DUMMYFUNCTION("""COMPUTED_VALUE"""),"F10")</f>
        <v>F10</v>
      </c>
      <c r="O570" s="97">
        <f ca="1">IFERROR(__xludf.DUMMYFUNCTION("""COMPUTED_VALUE"""),44443)</f>
        <v>44443</v>
      </c>
      <c r="P570" s="6" t="str">
        <f ca="1">IFERROR(__xludf.DUMMYFUNCTION("""COMPUTED_VALUE"""),"CSTM_4KN9E646NIQ")</f>
        <v>CSTM_4KN9E646NIQ</v>
      </c>
      <c r="Q570" s="6"/>
      <c r="R570" s="6" t="str">
        <f ca="1">IFERROR(__xludf.DUMMYFUNCTION("""COMPUTED_VALUE"""),"Pending")</f>
        <v>Pending</v>
      </c>
      <c r="S570" s="6" t="str">
        <f ca="1">IFERROR(__xludf.DUMMYFUNCTION("""COMPUTED_VALUE"""),"NonCategory")</f>
        <v>NonCategory</v>
      </c>
      <c r="T570" s="6"/>
      <c r="U570" s="6"/>
      <c r="V570" s="6"/>
      <c r="W570" s="6"/>
      <c r="X570" s="6"/>
      <c r="Y570" s="6"/>
      <c r="Z570" s="6"/>
      <c r="AA570" s="6"/>
      <c r="AB570" s="6"/>
      <c r="AC570" s="6"/>
      <c r="AD570" s="6"/>
      <c r="AE570" s="6"/>
      <c r="AF570" s="6"/>
      <c r="AG570" s="6"/>
      <c r="AH570" s="6"/>
      <c r="AI570" s="6"/>
      <c r="AJ570" s="6"/>
      <c r="AK570" s="6"/>
      <c r="AL570" s="6"/>
    </row>
    <row r="571" spans="1:38">
      <c r="A571" s="96">
        <f ca="1">IFERROR(__xludf.DUMMYFUNCTION("""COMPUTED_VALUE"""),44444)</f>
        <v>44444</v>
      </c>
      <c r="B571" s="6" t="str">
        <f ca="1">IFERROR(__xludf.DUMMYFUNCTION("""COMPUTED_VALUE"""),"Anand Mohan")</f>
        <v>Anand Mohan</v>
      </c>
      <c r="C571" s="6" t="str">
        <f ca="1">IFERROR(__xludf.DUMMYFUNCTION("""COMPUTED_VALUE"""),"gayathrianand05@yahoo.com/ anandbabumohan@gmail.com")</f>
        <v>gayathrianand05@yahoo.com/ anandbabumohan@gmail.com</v>
      </c>
      <c r="D571" s="6">
        <f ca="1">IFERROR(__xludf.DUMMYFUNCTION("""COMPUTED_VALUE"""),9619939606)</f>
        <v>9619939606</v>
      </c>
      <c r="E571" s="6" t="str">
        <f ca="1">IFERROR(__xludf.DUMMYFUNCTION("""COMPUTED_VALUE"""),"Reference")</f>
        <v>Reference</v>
      </c>
      <c r="F571" s="6" t="str">
        <f ca="1">IFERROR(__xludf.DUMMYFUNCTION("""COMPUTED_VALUE"""),"SAFe Agile")</f>
        <v>SAFe Agile</v>
      </c>
      <c r="G571" s="80">
        <f ca="1">IFERROR(__xludf.DUMMYFUNCTION("""COMPUTED_VALUE"""),44440)</f>
        <v>44440</v>
      </c>
      <c r="H571" s="6" t="str">
        <f ca="1">IFERROR(__xludf.DUMMYFUNCTION("""COMPUTED_VALUE"""),"Won")</f>
        <v>Won</v>
      </c>
      <c r="I571" s="6" t="str">
        <f ca="1">IFERROR(__xludf.DUMMYFUNCTION("""COMPUTED_VALUE"""),"11-12 Sep 2021")</f>
        <v>11-12 Sep 2021</v>
      </c>
      <c r="J571" s="6">
        <f ca="1">IFERROR(__xludf.DUMMYFUNCTION("""COMPUTED_VALUE"""),1)</f>
        <v>1</v>
      </c>
      <c r="K571" s="8">
        <f ca="1">IFERROR(__xludf.DUMMYFUNCTION("""COMPUTED_VALUE"""),45000)</f>
        <v>45000</v>
      </c>
      <c r="L571" s="8">
        <f ca="1">IFERROR(__xludf.DUMMYFUNCTION("""COMPUTED_VALUE"""),515.345854328905)</f>
        <v>515.34585432890503</v>
      </c>
      <c r="M571" s="96">
        <f ca="1">IFERROR(__xludf.DUMMYFUNCTION("""COMPUTED_VALUE"""),44444)</f>
        <v>44444</v>
      </c>
      <c r="N571" s="6" t="str">
        <f ca="1">IFERROR(__xludf.DUMMYFUNCTION("""COMPUTED_VALUE"""),"F10")</f>
        <v>F10</v>
      </c>
      <c r="O571" s="97">
        <f ca="1">IFERROR(__xludf.DUMMYFUNCTION("""COMPUTED_VALUE"""),44444)</f>
        <v>44444</v>
      </c>
      <c r="P571" s="6" t="str">
        <f ca="1">IFERROR(__xludf.DUMMYFUNCTION("""COMPUTED_VALUE"""),"CSTM_3ZU67B4Q94B")</f>
        <v>CSTM_3ZU67B4Q94B</v>
      </c>
      <c r="Q571" s="6" t="str">
        <f ca="1">IFERROR(__xludf.DUMMYFUNCTION("""COMPUTED_VALUE"""),"Aurko")</f>
        <v>Aurko</v>
      </c>
      <c r="R571" s="6" t="str">
        <f ca="1">IFERROR(__xludf.DUMMYFUNCTION("""COMPUTED_VALUE"""),"Pending")</f>
        <v>Pending</v>
      </c>
      <c r="S571" s="6" t="str">
        <f ca="1">IFERROR(__xludf.DUMMYFUNCTION("""COMPUTED_VALUE"""),"SAFe")</f>
        <v>SAFe</v>
      </c>
      <c r="T571" s="6"/>
      <c r="U571" s="6"/>
      <c r="V571" s="6"/>
      <c r="W571" s="6"/>
      <c r="X571" s="6"/>
      <c r="Y571" s="6"/>
      <c r="Z571" s="6"/>
      <c r="AA571" s="6"/>
      <c r="AB571" s="6"/>
      <c r="AC571" s="6"/>
      <c r="AD571" s="6"/>
      <c r="AE571" s="6"/>
      <c r="AF571" s="6"/>
      <c r="AG571" s="6"/>
      <c r="AH571" s="6"/>
      <c r="AI571" s="6"/>
      <c r="AJ571" s="6"/>
      <c r="AK571" s="6"/>
      <c r="AL571" s="6"/>
    </row>
    <row r="572" spans="1:38">
      <c r="A572" s="96">
        <f ca="1">IFERROR(__xludf.DUMMYFUNCTION("""COMPUTED_VALUE"""),44445)</f>
        <v>44445</v>
      </c>
      <c r="B572" s="6" t="str">
        <f ca="1">IFERROR(__xludf.DUMMYFUNCTION("""COMPUTED_VALUE"""),"Hema")</f>
        <v>Hema</v>
      </c>
      <c r="C572" s="6" t="str">
        <f ca="1">IFERROR(__xludf.DUMMYFUNCTION("""COMPUTED_VALUE"""),"knhema81@gmail.com")</f>
        <v>knhema81@gmail.com</v>
      </c>
      <c r="D572" s="6">
        <f ca="1">IFERROR(__xludf.DUMMYFUNCTION("""COMPUTED_VALUE"""),9972812149)</f>
        <v>9972812149</v>
      </c>
      <c r="E572" s="6" t="str">
        <f ca="1">IFERROR(__xludf.DUMMYFUNCTION("""COMPUTED_VALUE"""),"Account Repeat")</f>
        <v>Account Repeat</v>
      </c>
      <c r="F572" s="6" t="str">
        <f ca="1">IFERROR(__xludf.DUMMYFUNCTION("""COMPUTED_VALUE"""),"PGP PM")</f>
        <v>PGP PM</v>
      </c>
      <c r="G572" s="80">
        <f ca="1">IFERROR(__xludf.DUMMYFUNCTION("""COMPUTED_VALUE"""),44440)</f>
        <v>44440</v>
      </c>
      <c r="H572" s="6" t="str">
        <f ca="1">IFERROR(__xludf.DUMMYFUNCTION("""COMPUTED_VALUE"""),"Won")</f>
        <v>Won</v>
      </c>
      <c r="I572" s="6" t="str">
        <f ca="1">IFERROR(__xludf.DUMMYFUNCTION("""COMPUTED_VALUE"""),"18 Sep 2021")</f>
        <v>18 Sep 2021</v>
      </c>
      <c r="J572" s="6">
        <f ca="1">IFERROR(__xludf.DUMMYFUNCTION("""COMPUTED_VALUE"""),1)</f>
        <v>1</v>
      </c>
      <c r="K572" s="8">
        <f ca="1">IFERROR(__xludf.DUMMYFUNCTION("""COMPUTED_VALUE"""),17000)</f>
        <v>17000</v>
      </c>
      <c r="L572" s="8">
        <f ca="1">IFERROR(__xludf.DUMMYFUNCTION("""COMPUTED_VALUE"""),194.686211635364)</f>
        <v>194.686211635364</v>
      </c>
      <c r="M572" s="96">
        <f ca="1">IFERROR(__xludf.DUMMYFUNCTION("""COMPUTED_VALUE"""),44445)</f>
        <v>44445</v>
      </c>
      <c r="N572" s="6" t="str">
        <f ca="1">IFERROR(__xludf.DUMMYFUNCTION("""COMPUTED_VALUE"""),"F10")</f>
        <v>F10</v>
      </c>
      <c r="O572" s="97">
        <f ca="1">IFERROR(__xludf.DUMMYFUNCTION("""COMPUTED_VALUE"""),44445)</f>
        <v>44445</v>
      </c>
      <c r="P572" s="6" t="str">
        <f ca="1">IFERROR(__xludf.DUMMYFUNCTION("""COMPUTED_VALUE"""),"CSTM_GS45ICXTSIT")</f>
        <v>CSTM_GS45ICXTSIT</v>
      </c>
      <c r="Q572" s="6"/>
      <c r="R572" s="6" t="str">
        <f ca="1">IFERROR(__xludf.DUMMYFUNCTION("""COMPUTED_VALUE"""),"Pending")</f>
        <v>Pending</v>
      </c>
      <c r="S572" s="6" t="str">
        <f ca="1">IFERROR(__xludf.DUMMYFUNCTION("""COMPUTED_VALUE"""),"NonCategory")</f>
        <v>NonCategory</v>
      </c>
      <c r="T572" s="6"/>
      <c r="U572" s="6"/>
      <c r="V572" s="6"/>
      <c r="W572" s="6"/>
      <c r="X572" s="6"/>
      <c r="Y572" s="6"/>
      <c r="Z572" s="6"/>
      <c r="AA572" s="6"/>
      <c r="AB572" s="6"/>
      <c r="AC572" s="6"/>
      <c r="AD572" s="6"/>
      <c r="AE572" s="6"/>
      <c r="AF572" s="6"/>
      <c r="AG572" s="6"/>
      <c r="AH572" s="6"/>
      <c r="AI572" s="6"/>
      <c r="AJ572" s="6"/>
      <c r="AK572" s="6"/>
      <c r="AL572" s="6"/>
    </row>
    <row r="573" spans="1:38">
      <c r="A573" s="96">
        <f ca="1">IFERROR(__xludf.DUMMYFUNCTION("""COMPUTED_VALUE"""),44446)</f>
        <v>44446</v>
      </c>
      <c r="B573" s="6" t="str">
        <f ca="1">IFERROR(__xludf.DUMMYFUNCTION("""COMPUTED_VALUE"""),"Vivek Garg")</f>
        <v>Vivek Garg</v>
      </c>
      <c r="C573" s="6" t="str">
        <f ca="1">IFERROR(__xludf.DUMMYFUNCTION("""COMPUTED_VALUE"""),"callvivek.garg@gmail.com")</f>
        <v>callvivek.garg@gmail.com</v>
      </c>
      <c r="D573" s="6">
        <f ca="1">IFERROR(__xludf.DUMMYFUNCTION("""COMPUTED_VALUE"""),9952480808)</f>
        <v>9952480808</v>
      </c>
      <c r="E573" s="6" t="str">
        <f ca="1">IFERROR(__xludf.DUMMYFUNCTION("""COMPUTED_VALUE"""),"Query box")</f>
        <v>Query box</v>
      </c>
      <c r="F573" s="6" t="str">
        <f ca="1">IFERROR(__xludf.DUMMYFUNCTION("""COMPUTED_VALUE"""),"PSM")</f>
        <v>PSM</v>
      </c>
      <c r="G573" s="80">
        <f ca="1">IFERROR(__xludf.DUMMYFUNCTION("""COMPUTED_VALUE"""),44440)</f>
        <v>44440</v>
      </c>
      <c r="H573" s="6" t="str">
        <f ca="1">IFERROR(__xludf.DUMMYFUNCTION("""COMPUTED_VALUE"""),"Won")</f>
        <v>Won</v>
      </c>
      <c r="I573" s="6" t="str">
        <f ca="1">IFERROR(__xludf.DUMMYFUNCTION("""COMPUTED_VALUE"""),"18-19 Sep 2021")</f>
        <v>18-19 Sep 2021</v>
      </c>
      <c r="J573" s="6">
        <f ca="1">IFERROR(__xludf.DUMMYFUNCTION("""COMPUTED_VALUE"""),1)</f>
        <v>1</v>
      </c>
      <c r="K573" s="8">
        <f ca="1">IFERROR(__xludf.DUMMYFUNCTION("""COMPUTED_VALUE"""),21000)</f>
        <v>21000</v>
      </c>
      <c r="L573" s="8">
        <f ca="1">IFERROR(__xludf.DUMMYFUNCTION("""COMPUTED_VALUE"""),240.494732020155)</f>
        <v>240.494732020155</v>
      </c>
      <c r="M573" s="96">
        <f ca="1">IFERROR(__xludf.DUMMYFUNCTION("""COMPUTED_VALUE"""),44446)</f>
        <v>44446</v>
      </c>
      <c r="N573" s="6" t="str">
        <f ca="1">IFERROR(__xludf.DUMMYFUNCTION("""COMPUTED_VALUE"""),"F10")</f>
        <v>F10</v>
      </c>
      <c r="O573" s="97">
        <f ca="1">IFERROR(__xludf.DUMMYFUNCTION("""COMPUTED_VALUE"""),44446)</f>
        <v>44446</v>
      </c>
      <c r="P573" s="6" t="str">
        <f ca="1">IFERROR(__xludf.DUMMYFUNCTION("""COMPUTED_VALUE"""),"CSTM_E9G1L9CM846")</f>
        <v>CSTM_E9G1L9CM846</v>
      </c>
      <c r="Q573" s="6"/>
      <c r="R573" s="6" t="str">
        <f ca="1">IFERROR(__xludf.DUMMYFUNCTION("""COMPUTED_VALUE"""),"Pending")</f>
        <v>Pending</v>
      </c>
      <c r="S573" s="6" t="str">
        <f ca="1">IFERROR(__xludf.DUMMYFUNCTION("""COMPUTED_VALUE"""),"Category")</f>
        <v>Category</v>
      </c>
      <c r="T573" s="6"/>
      <c r="U573" s="6"/>
      <c r="V573" s="6"/>
      <c r="W573" s="6"/>
      <c r="X573" s="6"/>
      <c r="Y573" s="6"/>
      <c r="Z573" s="6"/>
      <c r="AA573" s="6"/>
      <c r="AB573" s="6"/>
      <c r="AC573" s="6"/>
      <c r="AD573" s="6"/>
      <c r="AE573" s="6"/>
      <c r="AF573" s="6"/>
      <c r="AG573" s="6"/>
      <c r="AH573" s="6"/>
      <c r="AI573" s="6"/>
      <c r="AJ573" s="6"/>
      <c r="AK573" s="6"/>
      <c r="AL573" s="6"/>
    </row>
    <row r="574" spans="1:38">
      <c r="A574" s="96">
        <f ca="1">IFERROR(__xludf.DUMMYFUNCTION("""COMPUTED_VALUE"""),44446)</f>
        <v>44446</v>
      </c>
      <c r="B574" s="6" t="str">
        <f ca="1">IFERROR(__xludf.DUMMYFUNCTION("""COMPUTED_VALUE"""),"Sheldon")</f>
        <v>Sheldon</v>
      </c>
      <c r="C574" s="6" t="str">
        <f ca="1">IFERROR(__xludf.DUMMYFUNCTION("""COMPUTED_VALUE"""),"sheldon8726@yahoo.com")</f>
        <v>sheldon8726@yahoo.com</v>
      </c>
      <c r="D574" s="6">
        <f ca="1">IFERROR(__xludf.DUMMYFUNCTION("""COMPUTED_VALUE"""),8970751077)</f>
        <v>8970751077</v>
      </c>
      <c r="E574" s="6" t="str">
        <f ca="1">IFERROR(__xludf.DUMMYFUNCTION("""COMPUTED_VALUE"""),"Query box")</f>
        <v>Query box</v>
      </c>
      <c r="F574" s="6" t="str">
        <f ca="1">IFERROR(__xludf.DUMMYFUNCTION("""COMPUTED_VALUE"""),"SAFe Agile")</f>
        <v>SAFe Agile</v>
      </c>
      <c r="G574" s="80">
        <f ca="1">IFERROR(__xludf.DUMMYFUNCTION("""COMPUTED_VALUE"""),44440)</f>
        <v>44440</v>
      </c>
      <c r="H574" s="6" t="str">
        <f ca="1">IFERROR(__xludf.DUMMYFUNCTION("""COMPUTED_VALUE"""),"Opportunity")</f>
        <v>Opportunity</v>
      </c>
      <c r="I574" s="6" t="str">
        <f ca="1">IFERROR(__xludf.DUMMYFUNCTION("""COMPUTED_VALUE"""),"11-12 Sep 2021")</f>
        <v>11-12 Sep 2021</v>
      </c>
      <c r="J574" s="6">
        <f ca="1">IFERROR(__xludf.DUMMYFUNCTION("""COMPUTED_VALUE"""),1)</f>
        <v>1</v>
      </c>
      <c r="K574" s="8">
        <f ca="1">IFERROR(__xludf.DUMMYFUNCTION("""COMPUTED_VALUE"""),45000)</f>
        <v>45000</v>
      </c>
      <c r="L574" s="8">
        <f ca="1">IFERROR(__xludf.DUMMYFUNCTION("""COMPUTED_VALUE"""),515.345854328905)</f>
        <v>515.34585432890503</v>
      </c>
      <c r="M574" s="96">
        <f ca="1">IFERROR(__xludf.DUMMYFUNCTION("""COMPUTED_VALUE"""),44446)</f>
        <v>44446</v>
      </c>
      <c r="N574" s="6"/>
      <c r="O574" s="97"/>
      <c r="P574" s="6"/>
      <c r="Q574" s="6"/>
      <c r="R574" s="6"/>
      <c r="S574" s="6" t="str">
        <f ca="1">IFERROR(__xludf.DUMMYFUNCTION("""COMPUTED_VALUE"""),"SAFe")</f>
        <v>SAFe</v>
      </c>
      <c r="T574" s="6"/>
      <c r="U574" s="6"/>
      <c r="V574" s="6"/>
      <c r="W574" s="6"/>
      <c r="X574" s="6"/>
      <c r="Y574" s="6"/>
      <c r="Z574" s="6"/>
      <c r="AA574" s="6"/>
      <c r="AB574" s="6"/>
      <c r="AC574" s="6"/>
      <c r="AD574" s="6"/>
      <c r="AE574" s="6"/>
      <c r="AF574" s="6"/>
      <c r="AG574" s="6"/>
      <c r="AH574" s="6"/>
      <c r="AI574" s="6"/>
      <c r="AJ574" s="6"/>
      <c r="AK574" s="6"/>
      <c r="AL574" s="6"/>
    </row>
    <row r="575" spans="1:38">
      <c r="A575" s="96">
        <f ca="1">IFERROR(__xludf.DUMMYFUNCTION("""COMPUTED_VALUE"""),44446)</f>
        <v>44446</v>
      </c>
      <c r="B575" s="6" t="str">
        <f ca="1">IFERROR(__xludf.DUMMYFUNCTION("""COMPUTED_VALUE"""),"Suraj S")</f>
        <v>Suraj S</v>
      </c>
      <c r="C575" s="6" t="str">
        <f ca="1">IFERROR(__xludf.DUMMYFUNCTION("""COMPUTED_VALUE"""),"surajsoffice@gmail.com")</f>
        <v>surajsoffice@gmail.com</v>
      </c>
      <c r="D575" s="6">
        <f ca="1">IFERROR(__xludf.DUMMYFUNCTION("""COMPUTED_VALUE"""),7028865512)</f>
        <v>7028865512</v>
      </c>
      <c r="E575" s="6" t="str">
        <f ca="1">IFERROR(__xludf.DUMMYFUNCTION("""COMPUTED_VALUE"""),"Reference")</f>
        <v>Reference</v>
      </c>
      <c r="F575" s="6" t="str">
        <f ca="1">IFERROR(__xludf.DUMMYFUNCTION("""COMPUTED_VALUE"""),"CSPO")</f>
        <v>CSPO</v>
      </c>
      <c r="G575" s="80">
        <f ca="1">IFERROR(__xludf.DUMMYFUNCTION("""COMPUTED_VALUE"""),44440)</f>
        <v>44440</v>
      </c>
      <c r="H575" s="6" t="str">
        <f ca="1">IFERROR(__xludf.DUMMYFUNCTION("""COMPUTED_VALUE"""),"Won")</f>
        <v>Won</v>
      </c>
      <c r="I575" s="6" t="str">
        <f ca="1">IFERROR(__xludf.DUMMYFUNCTION("""COMPUTED_VALUE"""),"27-28 Sep 2021")</f>
        <v>27-28 Sep 2021</v>
      </c>
      <c r="J575" s="6">
        <f ca="1">IFERROR(__xludf.DUMMYFUNCTION("""COMPUTED_VALUE"""),1)</f>
        <v>1</v>
      </c>
      <c r="K575" s="8">
        <f ca="1">IFERROR(__xludf.DUMMYFUNCTION("""COMPUTED_VALUE"""),18000)</f>
        <v>18000</v>
      </c>
      <c r="L575" s="8">
        <f ca="1">IFERROR(__xludf.DUMMYFUNCTION("""COMPUTED_VALUE"""),206.138341731562)</f>
        <v>206.13834173156201</v>
      </c>
      <c r="M575" s="96">
        <f ca="1">IFERROR(__xludf.DUMMYFUNCTION("""COMPUTED_VALUE"""),44446)</f>
        <v>44446</v>
      </c>
      <c r="N575" s="6" t="str">
        <f ca="1">IFERROR(__xludf.DUMMYFUNCTION("""COMPUTED_VALUE"""),"F10")</f>
        <v>F10</v>
      </c>
      <c r="O575" s="97">
        <f ca="1">IFERROR(__xludf.DUMMYFUNCTION("""COMPUTED_VALUE"""),44446)</f>
        <v>44446</v>
      </c>
      <c r="P575" s="6" t="str">
        <f ca="1">IFERROR(__xludf.DUMMYFUNCTION("""COMPUTED_VALUE"""),"CSTM_6RSAIJFXAXV")</f>
        <v>CSTM_6RSAIJFXAXV</v>
      </c>
      <c r="Q575" s="6" t="str">
        <f ca="1">IFERROR(__xludf.DUMMYFUNCTION("""COMPUTED_VALUE"""),"epgpcic@iimidr.ac.in")</f>
        <v>epgpcic@iimidr.ac.in</v>
      </c>
      <c r="R575" s="6" t="str">
        <f ca="1">IFERROR(__xludf.DUMMYFUNCTION("""COMPUTED_VALUE"""),"Pending")</f>
        <v>Pending</v>
      </c>
      <c r="S575" s="6" t="str">
        <f ca="1">IFERROR(__xludf.DUMMYFUNCTION("""COMPUTED_VALUE"""),"Category")</f>
        <v>Category</v>
      </c>
      <c r="T575" s="6"/>
      <c r="U575" s="6"/>
      <c r="V575" s="6"/>
      <c r="W575" s="6"/>
      <c r="X575" s="6"/>
      <c r="Y575" s="6"/>
      <c r="Z575" s="6"/>
      <c r="AA575" s="6"/>
      <c r="AB575" s="6"/>
      <c r="AC575" s="6"/>
      <c r="AD575" s="6"/>
      <c r="AE575" s="6"/>
      <c r="AF575" s="6"/>
      <c r="AG575" s="6"/>
      <c r="AH575" s="6"/>
      <c r="AI575" s="6"/>
      <c r="AJ575" s="6"/>
      <c r="AK575" s="6"/>
      <c r="AL575" s="6"/>
    </row>
    <row r="576" spans="1:38">
      <c r="A576" s="96">
        <f ca="1">IFERROR(__xludf.DUMMYFUNCTION("""COMPUTED_VALUE"""),44446)</f>
        <v>44446</v>
      </c>
      <c r="B576" s="6" t="str">
        <f ca="1">IFERROR(__xludf.DUMMYFUNCTION("""COMPUTED_VALUE"""),"Hema")</f>
        <v>Hema</v>
      </c>
      <c r="C576" s="6" t="str">
        <f ca="1">IFERROR(__xludf.DUMMYFUNCTION("""COMPUTED_VALUE"""),"knhema81@gmail.com")</f>
        <v>knhema81@gmail.com</v>
      </c>
      <c r="D576" s="6">
        <f ca="1">IFERROR(__xludf.DUMMYFUNCTION("""COMPUTED_VALUE"""),9972812149)</f>
        <v>9972812149</v>
      </c>
      <c r="E576" s="6" t="str">
        <f ca="1">IFERROR(__xludf.DUMMYFUNCTION("""COMPUTED_VALUE"""),"Account Repeat")</f>
        <v>Account Repeat</v>
      </c>
      <c r="F576" s="6" t="str">
        <f ca="1">IFERROR(__xludf.DUMMYFUNCTION("""COMPUTED_VALUE"""),"PGP PM")</f>
        <v>PGP PM</v>
      </c>
      <c r="G576" s="80">
        <f ca="1">IFERROR(__xludf.DUMMYFUNCTION("""COMPUTED_VALUE"""),44440)</f>
        <v>44440</v>
      </c>
      <c r="H576" s="6" t="str">
        <f ca="1">IFERROR(__xludf.DUMMYFUNCTION("""COMPUTED_VALUE"""),"Won")</f>
        <v>Won</v>
      </c>
      <c r="I576" s="6" t="str">
        <f ca="1">IFERROR(__xludf.DUMMYFUNCTION("""COMPUTED_VALUE"""),"18 Sep 2021")</f>
        <v>18 Sep 2021</v>
      </c>
      <c r="J576" s="6">
        <f ca="1">IFERROR(__xludf.DUMMYFUNCTION("""COMPUTED_VALUE"""),1)</f>
        <v>1</v>
      </c>
      <c r="K576" s="8">
        <f ca="1">IFERROR(__xludf.DUMMYFUNCTION("""COMPUTED_VALUE"""),101000)</f>
        <v>101000</v>
      </c>
      <c r="L576" s="8">
        <f ca="1">IFERROR(__xludf.DUMMYFUNCTION("""COMPUTED_VALUE"""),1156.66513971598)</f>
        <v>1156.6651397159801</v>
      </c>
      <c r="M576" s="96">
        <f ca="1">IFERROR(__xludf.DUMMYFUNCTION("""COMPUTED_VALUE"""),44446)</f>
        <v>44446</v>
      </c>
      <c r="N576" s="6" t="str">
        <f ca="1">IFERROR(__xludf.DUMMYFUNCTION("""COMPUTED_VALUE"""),"F10")</f>
        <v>F10</v>
      </c>
      <c r="O576" s="97">
        <f ca="1">IFERROR(__xludf.DUMMYFUNCTION("""COMPUTED_VALUE"""),44446)</f>
        <v>44446</v>
      </c>
      <c r="P576" s="6" t="str">
        <f ca="1">IFERROR(__xludf.DUMMYFUNCTION("""COMPUTED_VALUE"""),"CSTM_8YRV7DWG52A")</f>
        <v>CSTM_8YRV7DWG52A</v>
      </c>
      <c r="Q576" s="6"/>
      <c r="R576" s="6" t="str">
        <f ca="1">IFERROR(__xludf.DUMMYFUNCTION("""COMPUTED_VALUE"""),"Pending")</f>
        <v>Pending</v>
      </c>
      <c r="S576" s="6" t="str">
        <f ca="1">IFERROR(__xludf.DUMMYFUNCTION("""COMPUTED_VALUE"""),"NonCategory")</f>
        <v>NonCategory</v>
      </c>
      <c r="T576" s="6"/>
      <c r="U576" s="6"/>
      <c r="V576" s="6"/>
      <c r="W576" s="6"/>
      <c r="X576" s="6"/>
      <c r="Y576" s="6"/>
      <c r="Z576" s="6"/>
      <c r="AA576" s="6"/>
      <c r="AB576" s="6"/>
      <c r="AC576" s="6"/>
      <c r="AD576" s="6"/>
      <c r="AE576" s="6"/>
      <c r="AF576" s="6"/>
      <c r="AG576" s="6"/>
      <c r="AH576" s="6"/>
      <c r="AI576" s="6"/>
      <c r="AJ576" s="6"/>
      <c r="AK576" s="6"/>
      <c r="AL576" s="6"/>
    </row>
    <row r="577" spans="1:38">
      <c r="A577" s="96">
        <f ca="1">IFERROR(__xludf.DUMMYFUNCTION("""COMPUTED_VALUE"""),44446)</f>
        <v>44446</v>
      </c>
      <c r="B577" s="6" t="str">
        <f ca="1">IFERROR(__xludf.DUMMYFUNCTION("""COMPUTED_VALUE"""),"Vishu G")</f>
        <v>Vishu G</v>
      </c>
      <c r="C577" s="6" t="str">
        <f ca="1">IFERROR(__xludf.DUMMYFUNCTION("""COMPUTED_VALUE"""),"e21vishug@iimidr.ac.in")</f>
        <v>e21vishug@iimidr.ac.in</v>
      </c>
      <c r="D577" s="6">
        <f ca="1">IFERROR(__xludf.DUMMYFUNCTION("""COMPUTED_VALUE"""),9481777567)</f>
        <v>9481777567</v>
      </c>
      <c r="E577" s="6" t="str">
        <f ca="1">IFERROR(__xludf.DUMMYFUNCTION("""COMPUTED_VALUE"""),"Reference")</f>
        <v>Reference</v>
      </c>
      <c r="F577" s="6" t="str">
        <f ca="1">IFERROR(__xludf.DUMMYFUNCTION("""COMPUTED_VALUE"""),"CSPO")</f>
        <v>CSPO</v>
      </c>
      <c r="G577" s="80">
        <f ca="1">IFERROR(__xludf.DUMMYFUNCTION("""COMPUTED_VALUE"""),44440)</f>
        <v>44440</v>
      </c>
      <c r="H577" s="6" t="str">
        <f ca="1">IFERROR(__xludf.DUMMYFUNCTION("""COMPUTED_VALUE"""),"Won")</f>
        <v>Won</v>
      </c>
      <c r="I577" s="6" t="str">
        <f ca="1">IFERROR(__xludf.DUMMYFUNCTION("""COMPUTED_VALUE"""),"27-28 Sep 2021")</f>
        <v>27-28 Sep 2021</v>
      </c>
      <c r="J577" s="6">
        <f ca="1">IFERROR(__xludf.DUMMYFUNCTION("""COMPUTED_VALUE"""),1)</f>
        <v>1</v>
      </c>
      <c r="K577" s="8">
        <f ca="1">IFERROR(__xludf.DUMMYFUNCTION("""COMPUTED_VALUE"""),18000)</f>
        <v>18000</v>
      </c>
      <c r="L577" s="8">
        <f ca="1">IFERROR(__xludf.DUMMYFUNCTION("""COMPUTED_VALUE"""),206.138341731562)</f>
        <v>206.13834173156201</v>
      </c>
      <c r="M577" s="96">
        <f ca="1">IFERROR(__xludf.DUMMYFUNCTION("""COMPUTED_VALUE"""),44446)</f>
        <v>44446</v>
      </c>
      <c r="N577" s="6" t="str">
        <f ca="1">IFERROR(__xludf.DUMMYFUNCTION("""COMPUTED_VALUE"""),"F10")</f>
        <v>F10</v>
      </c>
      <c r="O577" s="97">
        <f ca="1">IFERROR(__xludf.DUMMYFUNCTION("""COMPUTED_VALUE"""),44446)</f>
        <v>44446</v>
      </c>
      <c r="P577" s="6" t="str">
        <f ca="1">IFERROR(__xludf.DUMMYFUNCTION("""COMPUTED_VALUE"""),"CSTM_4N62KHP6AMC")</f>
        <v>CSTM_4N62KHP6AMC</v>
      </c>
      <c r="Q577" s="6" t="str">
        <f ca="1">IFERROR(__xludf.DUMMYFUNCTION("""COMPUTED_VALUE"""),"epgpcic@iimidr.ac.in")</f>
        <v>epgpcic@iimidr.ac.in</v>
      </c>
      <c r="R577" s="6" t="str">
        <f ca="1">IFERROR(__xludf.DUMMYFUNCTION("""COMPUTED_VALUE"""),"Pending")</f>
        <v>Pending</v>
      </c>
      <c r="S577" s="6" t="str">
        <f ca="1">IFERROR(__xludf.DUMMYFUNCTION("""COMPUTED_VALUE"""),"Category")</f>
        <v>Category</v>
      </c>
      <c r="T577" s="6"/>
      <c r="U577" s="6"/>
      <c r="V577" s="6"/>
      <c r="W577" s="6"/>
      <c r="X577" s="6"/>
      <c r="Y577" s="6"/>
      <c r="Z577" s="6"/>
      <c r="AA577" s="6"/>
      <c r="AB577" s="6"/>
      <c r="AC577" s="6"/>
      <c r="AD577" s="6"/>
      <c r="AE577" s="6"/>
      <c r="AF577" s="6"/>
      <c r="AG577" s="6"/>
      <c r="AH577" s="6"/>
      <c r="AI577" s="6"/>
      <c r="AJ577" s="6"/>
      <c r="AK577" s="6"/>
      <c r="AL577" s="6"/>
    </row>
    <row r="578" spans="1:38">
      <c r="A578" s="96">
        <f ca="1">IFERROR(__xludf.DUMMYFUNCTION("""COMPUTED_VALUE"""),44446)</f>
        <v>44446</v>
      </c>
      <c r="B578" s="6" t="str">
        <f ca="1">IFERROR(__xludf.DUMMYFUNCTION("""COMPUTED_VALUE"""),"Arjun")</f>
        <v>Arjun</v>
      </c>
      <c r="C578" s="6" t="str">
        <f ca="1">IFERROR(__xludf.DUMMYFUNCTION("""COMPUTED_VALUE"""),"e21arjunb@iimidr.ac.in")</f>
        <v>e21arjunb@iimidr.ac.in</v>
      </c>
      <c r="D578" s="6">
        <f ca="1">IFERROR(__xludf.DUMMYFUNCTION("""COMPUTED_VALUE"""),8237850563)</f>
        <v>8237850563</v>
      </c>
      <c r="E578" s="6" t="str">
        <f ca="1">IFERROR(__xludf.DUMMYFUNCTION("""COMPUTED_VALUE"""),"Reference")</f>
        <v>Reference</v>
      </c>
      <c r="F578" s="6" t="str">
        <f ca="1">IFERROR(__xludf.DUMMYFUNCTION("""COMPUTED_VALUE"""),"CSPO")</f>
        <v>CSPO</v>
      </c>
      <c r="G578" s="80">
        <f ca="1">IFERROR(__xludf.DUMMYFUNCTION("""COMPUTED_VALUE"""),44440)</f>
        <v>44440</v>
      </c>
      <c r="H578" s="6" t="str">
        <f ca="1">IFERROR(__xludf.DUMMYFUNCTION("""COMPUTED_VALUE"""),"Won")</f>
        <v>Won</v>
      </c>
      <c r="I578" s="6" t="str">
        <f ca="1">IFERROR(__xludf.DUMMYFUNCTION("""COMPUTED_VALUE"""),"27-28 Sep 2021")</f>
        <v>27-28 Sep 2021</v>
      </c>
      <c r="J578" s="6">
        <f ca="1">IFERROR(__xludf.DUMMYFUNCTION("""COMPUTED_VALUE"""),1)</f>
        <v>1</v>
      </c>
      <c r="K578" s="8">
        <f ca="1">IFERROR(__xludf.DUMMYFUNCTION("""COMPUTED_VALUE"""),18000)</f>
        <v>18000</v>
      </c>
      <c r="L578" s="8">
        <f ca="1">IFERROR(__xludf.DUMMYFUNCTION("""COMPUTED_VALUE"""),206.138341731562)</f>
        <v>206.13834173156201</v>
      </c>
      <c r="M578" s="96">
        <f ca="1">IFERROR(__xludf.DUMMYFUNCTION("""COMPUTED_VALUE"""),44446)</f>
        <v>44446</v>
      </c>
      <c r="N578" s="6" t="str">
        <f ca="1">IFERROR(__xludf.DUMMYFUNCTION("""COMPUTED_VALUE"""),"F10")</f>
        <v>F10</v>
      </c>
      <c r="O578" s="97">
        <f ca="1">IFERROR(__xludf.DUMMYFUNCTION("""COMPUTED_VALUE"""),44446)</f>
        <v>44446</v>
      </c>
      <c r="P578" s="6" t="str">
        <f ca="1">IFERROR(__xludf.DUMMYFUNCTION("""COMPUTED_VALUE"""),"CSTM_79FYQS14FKL")</f>
        <v>CSTM_79FYQS14FKL</v>
      </c>
      <c r="Q578" s="6" t="str">
        <f ca="1">IFERROR(__xludf.DUMMYFUNCTION("""COMPUTED_VALUE"""),"epgpcic@iimidr.ac.in")</f>
        <v>epgpcic@iimidr.ac.in</v>
      </c>
      <c r="R578" s="6" t="str">
        <f ca="1">IFERROR(__xludf.DUMMYFUNCTION("""COMPUTED_VALUE"""),"Pending")</f>
        <v>Pending</v>
      </c>
      <c r="S578" s="6" t="str">
        <f ca="1">IFERROR(__xludf.DUMMYFUNCTION("""COMPUTED_VALUE"""),"Category")</f>
        <v>Category</v>
      </c>
      <c r="T578" s="6"/>
      <c r="U578" s="6"/>
      <c r="V578" s="6"/>
      <c r="W578" s="6"/>
      <c r="X578" s="6"/>
      <c r="Y578" s="6"/>
      <c r="Z578" s="6"/>
      <c r="AA578" s="6"/>
      <c r="AB578" s="6"/>
      <c r="AC578" s="6"/>
      <c r="AD578" s="6"/>
      <c r="AE578" s="6"/>
      <c r="AF578" s="6"/>
      <c r="AG578" s="6"/>
      <c r="AH578" s="6"/>
      <c r="AI578" s="6"/>
      <c r="AJ578" s="6"/>
      <c r="AK578" s="6"/>
      <c r="AL578" s="6"/>
    </row>
    <row r="579" spans="1:38">
      <c r="A579" s="96">
        <f ca="1">IFERROR(__xludf.DUMMYFUNCTION("""COMPUTED_VALUE"""),44446)</f>
        <v>44446</v>
      </c>
      <c r="B579" s="6" t="str">
        <f ca="1">IFERROR(__xludf.DUMMYFUNCTION("""COMPUTED_VALUE"""),"Datta Maske")</f>
        <v>Datta Maske</v>
      </c>
      <c r="C579" s="6" t="str">
        <f ca="1">IFERROR(__xludf.DUMMYFUNCTION("""COMPUTED_VALUE"""),"e21dattam@iimidr.ac.in")</f>
        <v>e21dattam@iimidr.ac.in</v>
      </c>
      <c r="D579" s="6">
        <f ca="1">IFERROR(__xludf.DUMMYFUNCTION("""COMPUTED_VALUE"""),9130276849)</f>
        <v>9130276849</v>
      </c>
      <c r="E579" s="6" t="str">
        <f ca="1">IFERROR(__xludf.DUMMYFUNCTION("""COMPUTED_VALUE"""),"Reference")</f>
        <v>Reference</v>
      </c>
      <c r="F579" s="6" t="str">
        <f ca="1">IFERROR(__xludf.DUMMYFUNCTION("""COMPUTED_VALUE"""),"CSPO")</f>
        <v>CSPO</v>
      </c>
      <c r="G579" s="80">
        <f ca="1">IFERROR(__xludf.DUMMYFUNCTION("""COMPUTED_VALUE"""),44440)</f>
        <v>44440</v>
      </c>
      <c r="H579" s="6" t="str">
        <f ca="1">IFERROR(__xludf.DUMMYFUNCTION("""COMPUTED_VALUE"""),"Won")</f>
        <v>Won</v>
      </c>
      <c r="I579" s="6" t="str">
        <f ca="1">IFERROR(__xludf.DUMMYFUNCTION("""COMPUTED_VALUE"""),"27-28 Sep 2021")</f>
        <v>27-28 Sep 2021</v>
      </c>
      <c r="J579" s="6">
        <f ca="1">IFERROR(__xludf.DUMMYFUNCTION("""COMPUTED_VALUE"""),1)</f>
        <v>1</v>
      </c>
      <c r="K579" s="8">
        <f ca="1">IFERROR(__xludf.DUMMYFUNCTION("""COMPUTED_VALUE"""),18000)</f>
        <v>18000</v>
      </c>
      <c r="L579" s="8">
        <f ca="1">IFERROR(__xludf.DUMMYFUNCTION("""COMPUTED_VALUE"""),206.138341731562)</f>
        <v>206.13834173156201</v>
      </c>
      <c r="M579" s="96">
        <f ca="1">IFERROR(__xludf.DUMMYFUNCTION("""COMPUTED_VALUE"""),44446)</f>
        <v>44446</v>
      </c>
      <c r="N579" s="6" t="str">
        <f ca="1">IFERROR(__xludf.DUMMYFUNCTION("""COMPUTED_VALUE"""),"F10")</f>
        <v>F10</v>
      </c>
      <c r="O579" s="97">
        <f ca="1">IFERROR(__xludf.DUMMYFUNCTION("""COMPUTED_VALUE"""),44446)</f>
        <v>44446</v>
      </c>
      <c r="P579" s="6" t="str">
        <f ca="1">IFERROR(__xludf.DUMMYFUNCTION("""COMPUTED_VALUE"""),"CSTM_A9RQW48E57O")</f>
        <v>CSTM_A9RQW48E57O</v>
      </c>
      <c r="Q579" s="6" t="str">
        <f ca="1">IFERROR(__xludf.DUMMYFUNCTION("""COMPUTED_VALUE"""),"epgpcic@iimidr.ac.in")</f>
        <v>epgpcic@iimidr.ac.in</v>
      </c>
      <c r="R579" s="6" t="str">
        <f ca="1">IFERROR(__xludf.DUMMYFUNCTION("""COMPUTED_VALUE"""),"Pending")</f>
        <v>Pending</v>
      </c>
      <c r="S579" s="6" t="str">
        <f ca="1">IFERROR(__xludf.DUMMYFUNCTION("""COMPUTED_VALUE"""),"Category")</f>
        <v>Category</v>
      </c>
      <c r="T579" s="6"/>
      <c r="U579" s="6"/>
      <c r="V579" s="6"/>
      <c r="W579" s="6"/>
      <c r="X579" s="6"/>
      <c r="Y579" s="6"/>
      <c r="Z579" s="6"/>
      <c r="AA579" s="6"/>
      <c r="AB579" s="6"/>
      <c r="AC579" s="6"/>
      <c r="AD579" s="6"/>
      <c r="AE579" s="6"/>
      <c r="AF579" s="6"/>
      <c r="AG579" s="6"/>
      <c r="AH579" s="6"/>
      <c r="AI579" s="6"/>
      <c r="AJ579" s="6"/>
      <c r="AK579" s="6"/>
      <c r="AL579" s="6"/>
    </row>
    <row r="580" spans="1:38">
      <c r="A580" s="96">
        <f ca="1">IFERROR(__xludf.DUMMYFUNCTION("""COMPUTED_VALUE"""),44446)</f>
        <v>44446</v>
      </c>
      <c r="B580" s="6" t="str">
        <f ca="1">IFERROR(__xludf.DUMMYFUNCTION("""COMPUTED_VALUE"""),"Shubham Pal")</f>
        <v>Shubham Pal</v>
      </c>
      <c r="C580" s="6" t="str">
        <f ca="1">IFERROR(__xludf.DUMMYFUNCTION("""COMPUTED_VALUE"""),"e21shubhamp@iimidr.ac.in")</f>
        <v>e21shubhamp@iimidr.ac.in</v>
      </c>
      <c r="D580" s="6">
        <f ca="1">IFERROR(__xludf.DUMMYFUNCTION("""COMPUTED_VALUE"""),9481492046)</f>
        <v>9481492046</v>
      </c>
      <c r="E580" s="6" t="str">
        <f ca="1">IFERROR(__xludf.DUMMYFUNCTION("""COMPUTED_VALUE"""),"Reference")</f>
        <v>Reference</v>
      </c>
      <c r="F580" s="6" t="str">
        <f ca="1">IFERROR(__xludf.DUMMYFUNCTION("""COMPUTED_VALUE"""),"CSPO")</f>
        <v>CSPO</v>
      </c>
      <c r="G580" s="80">
        <f ca="1">IFERROR(__xludf.DUMMYFUNCTION("""COMPUTED_VALUE"""),44440)</f>
        <v>44440</v>
      </c>
      <c r="H580" s="6" t="str">
        <f ca="1">IFERROR(__xludf.DUMMYFUNCTION("""COMPUTED_VALUE"""),"Won")</f>
        <v>Won</v>
      </c>
      <c r="I580" s="6" t="str">
        <f ca="1">IFERROR(__xludf.DUMMYFUNCTION("""COMPUTED_VALUE"""),"27-28 Sep 2021")</f>
        <v>27-28 Sep 2021</v>
      </c>
      <c r="J580" s="6">
        <f ca="1">IFERROR(__xludf.DUMMYFUNCTION("""COMPUTED_VALUE"""),1)</f>
        <v>1</v>
      </c>
      <c r="K580" s="8">
        <f ca="1">IFERROR(__xludf.DUMMYFUNCTION("""COMPUTED_VALUE"""),18000)</f>
        <v>18000</v>
      </c>
      <c r="L580" s="8">
        <f ca="1">IFERROR(__xludf.DUMMYFUNCTION("""COMPUTED_VALUE"""),206.138341731562)</f>
        <v>206.13834173156201</v>
      </c>
      <c r="M580" s="96">
        <f ca="1">IFERROR(__xludf.DUMMYFUNCTION("""COMPUTED_VALUE"""),44446)</f>
        <v>44446</v>
      </c>
      <c r="N580" s="6" t="str">
        <f ca="1">IFERROR(__xludf.DUMMYFUNCTION("""COMPUTED_VALUE"""),"F10")</f>
        <v>F10</v>
      </c>
      <c r="O580" s="97">
        <f ca="1">IFERROR(__xludf.DUMMYFUNCTION("""COMPUTED_VALUE"""),44446)</f>
        <v>44446</v>
      </c>
      <c r="P580" s="6" t="str">
        <f ca="1">IFERROR(__xludf.DUMMYFUNCTION("""COMPUTED_VALUE"""),"CSTM_IZ07X88PWJ7")</f>
        <v>CSTM_IZ07X88PWJ7</v>
      </c>
      <c r="Q580" s="6" t="str">
        <f ca="1">IFERROR(__xludf.DUMMYFUNCTION("""COMPUTED_VALUE"""),"epgpcic@iimidr.ac.in")</f>
        <v>epgpcic@iimidr.ac.in</v>
      </c>
      <c r="R580" s="6" t="str">
        <f ca="1">IFERROR(__xludf.DUMMYFUNCTION("""COMPUTED_VALUE"""),"Pending")</f>
        <v>Pending</v>
      </c>
      <c r="S580" s="6" t="str">
        <f ca="1">IFERROR(__xludf.DUMMYFUNCTION("""COMPUTED_VALUE"""),"Category")</f>
        <v>Category</v>
      </c>
      <c r="T580" s="6"/>
      <c r="U580" s="6"/>
      <c r="V580" s="6"/>
      <c r="W580" s="6"/>
      <c r="X580" s="6"/>
      <c r="Y580" s="6"/>
      <c r="Z580" s="6"/>
      <c r="AA580" s="6"/>
      <c r="AB580" s="6"/>
      <c r="AC580" s="6"/>
      <c r="AD580" s="6"/>
      <c r="AE580" s="6"/>
      <c r="AF580" s="6"/>
      <c r="AG580" s="6"/>
      <c r="AH580" s="6"/>
      <c r="AI580" s="6"/>
      <c r="AJ580" s="6"/>
      <c r="AK580" s="6"/>
      <c r="AL580" s="6"/>
    </row>
    <row r="581" spans="1:38">
      <c r="A581" s="96">
        <f ca="1">IFERROR(__xludf.DUMMYFUNCTION("""COMPUTED_VALUE"""),44446)</f>
        <v>44446</v>
      </c>
      <c r="B581" s="6" t="str">
        <f ca="1">IFERROR(__xludf.DUMMYFUNCTION("""COMPUTED_VALUE"""),"Prafula Singh")</f>
        <v>Prafula Singh</v>
      </c>
      <c r="C581" s="6" t="str">
        <f ca="1">IFERROR(__xludf.DUMMYFUNCTION("""COMPUTED_VALUE"""),"e21prafullas@iimidr.ac.in")</f>
        <v>e21prafullas@iimidr.ac.in</v>
      </c>
      <c r="D581" s="6">
        <f ca="1">IFERROR(__xludf.DUMMYFUNCTION("""COMPUTED_VALUE"""),8007555700)</f>
        <v>8007555700</v>
      </c>
      <c r="E581" s="6" t="str">
        <f ca="1">IFERROR(__xludf.DUMMYFUNCTION("""COMPUTED_VALUE"""),"Reference")</f>
        <v>Reference</v>
      </c>
      <c r="F581" s="6" t="str">
        <f ca="1">IFERROR(__xludf.DUMMYFUNCTION("""COMPUTED_VALUE"""),"CSPO")</f>
        <v>CSPO</v>
      </c>
      <c r="G581" s="80">
        <f ca="1">IFERROR(__xludf.DUMMYFUNCTION("""COMPUTED_VALUE"""),44440)</f>
        <v>44440</v>
      </c>
      <c r="H581" s="6" t="str">
        <f ca="1">IFERROR(__xludf.DUMMYFUNCTION("""COMPUTED_VALUE"""),"Won")</f>
        <v>Won</v>
      </c>
      <c r="I581" s="6" t="str">
        <f ca="1">IFERROR(__xludf.DUMMYFUNCTION("""COMPUTED_VALUE"""),"27-28 Sep 2021")</f>
        <v>27-28 Sep 2021</v>
      </c>
      <c r="J581" s="6">
        <f ca="1">IFERROR(__xludf.DUMMYFUNCTION("""COMPUTED_VALUE"""),1)</f>
        <v>1</v>
      </c>
      <c r="K581" s="8">
        <f ca="1">IFERROR(__xludf.DUMMYFUNCTION("""COMPUTED_VALUE"""),18000)</f>
        <v>18000</v>
      </c>
      <c r="L581" s="8">
        <f ca="1">IFERROR(__xludf.DUMMYFUNCTION("""COMPUTED_VALUE"""),206.138341731562)</f>
        <v>206.13834173156201</v>
      </c>
      <c r="M581" s="96">
        <f ca="1">IFERROR(__xludf.DUMMYFUNCTION("""COMPUTED_VALUE"""),44446)</f>
        <v>44446</v>
      </c>
      <c r="N581" s="6" t="str">
        <f ca="1">IFERROR(__xludf.DUMMYFUNCTION("""COMPUTED_VALUE"""),"F10")</f>
        <v>F10</v>
      </c>
      <c r="O581" s="97">
        <f ca="1">IFERROR(__xludf.DUMMYFUNCTION("""COMPUTED_VALUE"""),44446)</f>
        <v>44446</v>
      </c>
      <c r="P581" s="6" t="str">
        <f ca="1">IFERROR(__xludf.DUMMYFUNCTION("""COMPUTED_VALUE"""),"CSTM_19N6VOOFP4F")</f>
        <v>CSTM_19N6VOOFP4F</v>
      </c>
      <c r="Q581" s="6" t="str">
        <f ca="1">IFERROR(__xludf.DUMMYFUNCTION("""COMPUTED_VALUE"""),"epgpcic@iimidr.ac.in")</f>
        <v>epgpcic@iimidr.ac.in</v>
      </c>
      <c r="R581" s="6" t="str">
        <f ca="1">IFERROR(__xludf.DUMMYFUNCTION("""COMPUTED_VALUE"""),"Pending")</f>
        <v>Pending</v>
      </c>
      <c r="S581" s="6" t="str">
        <f ca="1">IFERROR(__xludf.DUMMYFUNCTION("""COMPUTED_VALUE"""),"Category")</f>
        <v>Category</v>
      </c>
      <c r="T581" s="6"/>
      <c r="U581" s="6"/>
      <c r="V581" s="6"/>
      <c r="W581" s="6"/>
      <c r="X581" s="6"/>
      <c r="Y581" s="6"/>
      <c r="Z581" s="6"/>
      <c r="AA581" s="6"/>
      <c r="AB581" s="6"/>
      <c r="AC581" s="6"/>
      <c r="AD581" s="6"/>
      <c r="AE581" s="6"/>
      <c r="AF581" s="6"/>
      <c r="AG581" s="6"/>
      <c r="AH581" s="6"/>
      <c r="AI581" s="6"/>
      <c r="AJ581" s="6"/>
      <c r="AK581" s="6"/>
      <c r="AL581" s="6"/>
    </row>
    <row r="582" spans="1:38">
      <c r="A582" s="96">
        <f ca="1">IFERROR(__xludf.DUMMYFUNCTION("""COMPUTED_VALUE"""),44446)</f>
        <v>44446</v>
      </c>
      <c r="B582" s="6" t="str">
        <f ca="1">IFERROR(__xludf.DUMMYFUNCTION("""COMPUTED_VALUE"""),"M.Vineeth Kumar")</f>
        <v>M.Vineeth Kumar</v>
      </c>
      <c r="C582" s="6" t="str">
        <f ca="1">IFERROR(__xludf.DUMMYFUNCTION("""COMPUTED_VALUE"""),"e21vineethm@iimidr.ac.in")</f>
        <v>e21vineethm@iimidr.ac.in</v>
      </c>
      <c r="D582" s="6">
        <f ca="1">IFERROR(__xludf.DUMMYFUNCTION("""COMPUTED_VALUE"""),8897803061)</f>
        <v>8897803061</v>
      </c>
      <c r="E582" s="6" t="str">
        <f ca="1">IFERROR(__xludf.DUMMYFUNCTION("""COMPUTED_VALUE"""),"Reference")</f>
        <v>Reference</v>
      </c>
      <c r="F582" s="6" t="str">
        <f ca="1">IFERROR(__xludf.DUMMYFUNCTION("""COMPUTED_VALUE"""),"CSPO")</f>
        <v>CSPO</v>
      </c>
      <c r="G582" s="80">
        <f ca="1">IFERROR(__xludf.DUMMYFUNCTION("""COMPUTED_VALUE"""),44440)</f>
        <v>44440</v>
      </c>
      <c r="H582" s="6" t="str">
        <f ca="1">IFERROR(__xludf.DUMMYFUNCTION("""COMPUTED_VALUE"""),"Won")</f>
        <v>Won</v>
      </c>
      <c r="I582" s="6" t="str">
        <f ca="1">IFERROR(__xludf.DUMMYFUNCTION("""COMPUTED_VALUE"""),"27-28 Sep 2021")</f>
        <v>27-28 Sep 2021</v>
      </c>
      <c r="J582" s="6">
        <f ca="1">IFERROR(__xludf.DUMMYFUNCTION("""COMPUTED_VALUE"""),1)</f>
        <v>1</v>
      </c>
      <c r="K582" s="8">
        <f ca="1">IFERROR(__xludf.DUMMYFUNCTION("""COMPUTED_VALUE"""),18000)</f>
        <v>18000</v>
      </c>
      <c r="L582" s="8">
        <f ca="1">IFERROR(__xludf.DUMMYFUNCTION("""COMPUTED_VALUE"""),206.138341731562)</f>
        <v>206.13834173156201</v>
      </c>
      <c r="M582" s="96">
        <f ca="1">IFERROR(__xludf.DUMMYFUNCTION("""COMPUTED_VALUE"""),44446)</f>
        <v>44446</v>
      </c>
      <c r="N582" s="6" t="str">
        <f ca="1">IFERROR(__xludf.DUMMYFUNCTION("""COMPUTED_VALUE"""),"F10")</f>
        <v>F10</v>
      </c>
      <c r="O582" s="97">
        <f ca="1">IFERROR(__xludf.DUMMYFUNCTION("""COMPUTED_VALUE"""),44446)</f>
        <v>44446</v>
      </c>
      <c r="P582" s="6" t="str">
        <f ca="1">IFERROR(__xludf.DUMMYFUNCTION("""COMPUTED_VALUE"""),"CSTM_7KYNIEH62CY")</f>
        <v>CSTM_7KYNIEH62CY</v>
      </c>
      <c r="Q582" s="6" t="str">
        <f ca="1">IFERROR(__xludf.DUMMYFUNCTION("""COMPUTED_VALUE"""),"epgpcic@iimidr.ac.in")</f>
        <v>epgpcic@iimidr.ac.in</v>
      </c>
      <c r="R582" s="6" t="str">
        <f ca="1">IFERROR(__xludf.DUMMYFUNCTION("""COMPUTED_VALUE"""),"Pending")</f>
        <v>Pending</v>
      </c>
      <c r="S582" s="6" t="str">
        <f ca="1">IFERROR(__xludf.DUMMYFUNCTION("""COMPUTED_VALUE"""),"Category")</f>
        <v>Category</v>
      </c>
      <c r="T582" s="6"/>
      <c r="U582" s="6"/>
      <c r="V582" s="6"/>
      <c r="W582" s="6"/>
      <c r="X582" s="6"/>
      <c r="Y582" s="6"/>
      <c r="Z582" s="6"/>
      <c r="AA582" s="6"/>
      <c r="AB582" s="6"/>
      <c r="AC582" s="6"/>
      <c r="AD582" s="6"/>
      <c r="AE582" s="6"/>
      <c r="AF582" s="6"/>
      <c r="AG582" s="6"/>
      <c r="AH582" s="6"/>
      <c r="AI582" s="6"/>
      <c r="AJ582" s="6"/>
      <c r="AK582" s="6"/>
      <c r="AL582" s="6"/>
    </row>
    <row r="583" spans="1:38">
      <c r="A583" s="96">
        <f ca="1">IFERROR(__xludf.DUMMYFUNCTION("""COMPUTED_VALUE"""),44446)</f>
        <v>44446</v>
      </c>
      <c r="B583" s="6" t="str">
        <f ca="1">IFERROR(__xludf.DUMMYFUNCTION("""COMPUTED_VALUE"""),"Chaitanya Mahajan")</f>
        <v>Chaitanya Mahajan</v>
      </c>
      <c r="C583" s="6" t="str">
        <f ca="1">IFERROR(__xludf.DUMMYFUNCTION("""COMPUTED_VALUE"""),"e21chaitanyam@iimidr.ac.in")</f>
        <v>e21chaitanyam@iimidr.ac.in</v>
      </c>
      <c r="D583" s="6">
        <f ca="1">IFERROR(__xludf.DUMMYFUNCTION("""COMPUTED_VALUE"""),9766354018)</f>
        <v>9766354018</v>
      </c>
      <c r="E583" s="6" t="str">
        <f ca="1">IFERROR(__xludf.DUMMYFUNCTION("""COMPUTED_VALUE"""),"Reference")</f>
        <v>Reference</v>
      </c>
      <c r="F583" s="6" t="str">
        <f ca="1">IFERROR(__xludf.DUMMYFUNCTION("""COMPUTED_VALUE"""),"CSPO")</f>
        <v>CSPO</v>
      </c>
      <c r="G583" s="80">
        <f ca="1">IFERROR(__xludf.DUMMYFUNCTION("""COMPUTED_VALUE"""),44440)</f>
        <v>44440</v>
      </c>
      <c r="H583" s="6" t="str">
        <f ca="1">IFERROR(__xludf.DUMMYFUNCTION("""COMPUTED_VALUE"""),"Won")</f>
        <v>Won</v>
      </c>
      <c r="I583" s="6" t="str">
        <f ca="1">IFERROR(__xludf.DUMMYFUNCTION("""COMPUTED_VALUE"""),"27-28 Sep 2021")</f>
        <v>27-28 Sep 2021</v>
      </c>
      <c r="J583" s="6">
        <f ca="1">IFERROR(__xludf.DUMMYFUNCTION("""COMPUTED_VALUE"""),1)</f>
        <v>1</v>
      </c>
      <c r="K583" s="8">
        <f ca="1">IFERROR(__xludf.DUMMYFUNCTION("""COMPUTED_VALUE"""),18000)</f>
        <v>18000</v>
      </c>
      <c r="L583" s="8">
        <f ca="1">IFERROR(__xludf.DUMMYFUNCTION("""COMPUTED_VALUE"""),206.138341731562)</f>
        <v>206.13834173156201</v>
      </c>
      <c r="M583" s="96">
        <f ca="1">IFERROR(__xludf.DUMMYFUNCTION("""COMPUTED_VALUE"""),44446)</f>
        <v>44446</v>
      </c>
      <c r="N583" s="6" t="str">
        <f ca="1">IFERROR(__xludf.DUMMYFUNCTION("""COMPUTED_VALUE"""),"F10")</f>
        <v>F10</v>
      </c>
      <c r="O583" s="97">
        <f ca="1">IFERROR(__xludf.DUMMYFUNCTION("""COMPUTED_VALUE"""),44446)</f>
        <v>44446</v>
      </c>
      <c r="P583" s="6" t="str">
        <f ca="1">IFERROR(__xludf.DUMMYFUNCTION("""COMPUTED_VALUE"""),"CSTM_2TB98GK3PNN")</f>
        <v>CSTM_2TB98GK3PNN</v>
      </c>
      <c r="Q583" s="6" t="str">
        <f ca="1">IFERROR(__xludf.DUMMYFUNCTION("""COMPUTED_VALUE"""),"epgpcic@iimidr.ac.in")</f>
        <v>epgpcic@iimidr.ac.in</v>
      </c>
      <c r="R583" s="6" t="str">
        <f ca="1">IFERROR(__xludf.DUMMYFUNCTION("""COMPUTED_VALUE"""),"Pending")</f>
        <v>Pending</v>
      </c>
      <c r="S583" s="6" t="str">
        <f ca="1">IFERROR(__xludf.DUMMYFUNCTION("""COMPUTED_VALUE"""),"Category")</f>
        <v>Category</v>
      </c>
      <c r="T583" s="6"/>
      <c r="U583" s="6"/>
      <c r="V583" s="6"/>
      <c r="W583" s="6"/>
      <c r="X583" s="6"/>
      <c r="Y583" s="6"/>
      <c r="Z583" s="6"/>
      <c r="AA583" s="6"/>
      <c r="AB583" s="6"/>
      <c r="AC583" s="6"/>
      <c r="AD583" s="6"/>
      <c r="AE583" s="6"/>
      <c r="AF583" s="6"/>
      <c r="AG583" s="6"/>
      <c r="AH583" s="6"/>
      <c r="AI583" s="6"/>
      <c r="AJ583" s="6"/>
      <c r="AK583" s="6"/>
      <c r="AL583" s="6"/>
    </row>
    <row r="584" spans="1:38">
      <c r="A584" s="96">
        <f ca="1">IFERROR(__xludf.DUMMYFUNCTION("""COMPUTED_VALUE"""),44446)</f>
        <v>44446</v>
      </c>
      <c r="B584" s="6" t="str">
        <f ca="1">IFERROR(__xludf.DUMMYFUNCTION("""COMPUTED_VALUE"""),"Shikhar Srivastava")</f>
        <v>Shikhar Srivastava</v>
      </c>
      <c r="C584" s="6" t="str">
        <f ca="1">IFERROR(__xludf.DUMMYFUNCTION("""COMPUTED_VALUE"""),"e21shikhars@iimidr.ac.in")</f>
        <v>e21shikhars@iimidr.ac.in</v>
      </c>
      <c r="D584" s="6">
        <f ca="1">IFERROR(__xludf.DUMMYFUNCTION("""COMPUTED_VALUE"""),8318911751)</f>
        <v>8318911751</v>
      </c>
      <c r="E584" s="6" t="str">
        <f ca="1">IFERROR(__xludf.DUMMYFUNCTION("""COMPUTED_VALUE"""),"Reference")</f>
        <v>Reference</v>
      </c>
      <c r="F584" s="6" t="str">
        <f ca="1">IFERROR(__xludf.DUMMYFUNCTION("""COMPUTED_VALUE"""),"CSPO")</f>
        <v>CSPO</v>
      </c>
      <c r="G584" s="80">
        <f ca="1">IFERROR(__xludf.DUMMYFUNCTION("""COMPUTED_VALUE"""),44440)</f>
        <v>44440</v>
      </c>
      <c r="H584" s="6" t="str">
        <f ca="1">IFERROR(__xludf.DUMMYFUNCTION("""COMPUTED_VALUE"""),"Won")</f>
        <v>Won</v>
      </c>
      <c r="I584" s="6" t="str">
        <f ca="1">IFERROR(__xludf.DUMMYFUNCTION("""COMPUTED_VALUE"""),"27-28 Sep 2021")</f>
        <v>27-28 Sep 2021</v>
      </c>
      <c r="J584" s="6">
        <f ca="1">IFERROR(__xludf.DUMMYFUNCTION("""COMPUTED_VALUE"""),1)</f>
        <v>1</v>
      </c>
      <c r="K584" s="8">
        <f ca="1">IFERROR(__xludf.DUMMYFUNCTION("""COMPUTED_VALUE"""),18000)</f>
        <v>18000</v>
      </c>
      <c r="L584" s="8">
        <f ca="1">IFERROR(__xludf.DUMMYFUNCTION("""COMPUTED_VALUE"""),206.138341731562)</f>
        <v>206.13834173156201</v>
      </c>
      <c r="M584" s="96">
        <f ca="1">IFERROR(__xludf.DUMMYFUNCTION("""COMPUTED_VALUE"""),44446)</f>
        <v>44446</v>
      </c>
      <c r="N584" s="6" t="str">
        <f ca="1">IFERROR(__xludf.DUMMYFUNCTION("""COMPUTED_VALUE"""),"F10")</f>
        <v>F10</v>
      </c>
      <c r="O584" s="97">
        <f ca="1">IFERROR(__xludf.DUMMYFUNCTION("""COMPUTED_VALUE"""),44446)</f>
        <v>44446</v>
      </c>
      <c r="P584" s="6" t="str">
        <f ca="1">IFERROR(__xludf.DUMMYFUNCTION("""COMPUTED_VALUE"""),"CSTM_9TLUWVIBME6")</f>
        <v>CSTM_9TLUWVIBME6</v>
      </c>
      <c r="Q584" s="6" t="str">
        <f ca="1">IFERROR(__xludf.DUMMYFUNCTION("""COMPUTED_VALUE"""),"epgpcic@iimidr.ac.in")</f>
        <v>epgpcic@iimidr.ac.in</v>
      </c>
      <c r="R584" s="6" t="str">
        <f ca="1">IFERROR(__xludf.DUMMYFUNCTION("""COMPUTED_VALUE"""),"Pending")</f>
        <v>Pending</v>
      </c>
      <c r="S584" s="6" t="str">
        <f ca="1">IFERROR(__xludf.DUMMYFUNCTION("""COMPUTED_VALUE"""),"Category")</f>
        <v>Category</v>
      </c>
      <c r="T584" s="6"/>
      <c r="U584" s="6"/>
      <c r="V584" s="6"/>
      <c r="W584" s="6"/>
      <c r="X584" s="6"/>
      <c r="Y584" s="6"/>
      <c r="Z584" s="6"/>
      <c r="AA584" s="6"/>
      <c r="AB584" s="6"/>
      <c r="AC584" s="6"/>
      <c r="AD584" s="6"/>
      <c r="AE584" s="6"/>
      <c r="AF584" s="6"/>
      <c r="AG584" s="6"/>
      <c r="AH584" s="6"/>
      <c r="AI584" s="6"/>
      <c r="AJ584" s="6"/>
      <c r="AK584" s="6"/>
      <c r="AL584" s="6"/>
    </row>
    <row r="585" spans="1:38">
      <c r="A585" s="96">
        <f ca="1">IFERROR(__xludf.DUMMYFUNCTION("""COMPUTED_VALUE"""),44446)</f>
        <v>44446</v>
      </c>
      <c r="B585" s="6" t="str">
        <f ca="1">IFERROR(__xludf.DUMMYFUNCTION("""COMPUTED_VALUE"""),"Vikram T")</f>
        <v>Vikram T</v>
      </c>
      <c r="C585" s="6" t="str">
        <f ca="1">IFERROR(__xludf.DUMMYFUNCTION("""COMPUTED_VALUE"""),"e21vikramt@iimidr.ac.in")</f>
        <v>e21vikramt@iimidr.ac.in</v>
      </c>
      <c r="D585" s="6">
        <f ca="1">IFERROR(__xludf.DUMMYFUNCTION("""COMPUTED_VALUE"""),9044060580)</f>
        <v>9044060580</v>
      </c>
      <c r="E585" s="6" t="str">
        <f ca="1">IFERROR(__xludf.DUMMYFUNCTION("""COMPUTED_VALUE"""),"Reference")</f>
        <v>Reference</v>
      </c>
      <c r="F585" s="6" t="str">
        <f ca="1">IFERROR(__xludf.DUMMYFUNCTION("""COMPUTED_VALUE"""),"CSPO")</f>
        <v>CSPO</v>
      </c>
      <c r="G585" s="80">
        <f ca="1">IFERROR(__xludf.DUMMYFUNCTION("""COMPUTED_VALUE"""),44440)</f>
        <v>44440</v>
      </c>
      <c r="H585" s="6" t="str">
        <f ca="1">IFERROR(__xludf.DUMMYFUNCTION("""COMPUTED_VALUE"""),"Won")</f>
        <v>Won</v>
      </c>
      <c r="I585" s="6" t="str">
        <f ca="1">IFERROR(__xludf.DUMMYFUNCTION("""COMPUTED_VALUE"""),"27-28 Sep 2021")</f>
        <v>27-28 Sep 2021</v>
      </c>
      <c r="J585" s="6">
        <f ca="1">IFERROR(__xludf.DUMMYFUNCTION("""COMPUTED_VALUE"""),1)</f>
        <v>1</v>
      </c>
      <c r="K585" s="8">
        <f ca="1">IFERROR(__xludf.DUMMYFUNCTION("""COMPUTED_VALUE"""),18000)</f>
        <v>18000</v>
      </c>
      <c r="L585" s="8">
        <f ca="1">IFERROR(__xludf.DUMMYFUNCTION("""COMPUTED_VALUE"""),206.138341731562)</f>
        <v>206.13834173156201</v>
      </c>
      <c r="M585" s="96">
        <f ca="1">IFERROR(__xludf.DUMMYFUNCTION("""COMPUTED_VALUE"""),44446)</f>
        <v>44446</v>
      </c>
      <c r="N585" s="6" t="str">
        <f ca="1">IFERROR(__xludf.DUMMYFUNCTION("""COMPUTED_VALUE"""),"F10")</f>
        <v>F10</v>
      </c>
      <c r="O585" s="97">
        <f ca="1">IFERROR(__xludf.DUMMYFUNCTION("""COMPUTED_VALUE"""),44446)</f>
        <v>44446</v>
      </c>
      <c r="P585" s="6" t="str">
        <f ca="1">IFERROR(__xludf.DUMMYFUNCTION("""COMPUTED_VALUE"""),"CSTM_2213MM4V22P")</f>
        <v>CSTM_2213MM4V22P</v>
      </c>
      <c r="Q585" s="6" t="str">
        <f ca="1">IFERROR(__xludf.DUMMYFUNCTION("""COMPUTED_VALUE"""),"epgpcic@iimidr.ac.in")</f>
        <v>epgpcic@iimidr.ac.in</v>
      </c>
      <c r="R585" s="6" t="str">
        <f ca="1">IFERROR(__xludf.DUMMYFUNCTION("""COMPUTED_VALUE"""),"Pending")</f>
        <v>Pending</v>
      </c>
      <c r="S585" s="6" t="str">
        <f ca="1">IFERROR(__xludf.DUMMYFUNCTION("""COMPUTED_VALUE"""),"Category")</f>
        <v>Category</v>
      </c>
      <c r="T585" s="6"/>
      <c r="U585" s="6"/>
      <c r="V585" s="6"/>
      <c r="W585" s="6"/>
      <c r="X585" s="6"/>
      <c r="Y585" s="6"/>
      <c r="Z585" s="6"/>
      <c r="AA585" s="6"/>
      <c r="AB585" s="6"/>
      <c r="AC585" s="6"/>
      <c r="AD585" s="6"/>
      <c r="AE585" s="6"/>
      <c r="AF585" s="6"/>
      <c r="AG585" s="6"/>
      <c r="AH585" s="6"/>
      <c r="AI585" s="6"/>
      <c r="AJ585" s="6"/>
      <c r="AK585" s="6"/>
      <c r="AL585" s="6"/>
    </row>
    <row r="586" spans="1:38">
      <c r="A586" s="96">
        <f ca="1">IFERROR(__xludf.DUMMYFUNCTION("""COMPUTED_VALUE"""),44446)</f>
        <v>44446</v>
      </c>
      <c r="B586" s="6" t="str">
        <f ca="1">IFERROR(__xludf.DUMMYFUNCTION("""COMPUTED_VALUE"""),"Suchita")</f>
        <v>Suchita</v>
      </c>
      <c r="C586" s="6" t="str">
        <f ca="1">IFERROR(__xludf.DUMMYFUNCTION("""COMPUTED_VALUE"""),"e21suchita@iimidr.ac.in")</f>
        <v>e21suchita@iimidr.ac.in</v>
      </c>
      <c r="D586" s="6"/>
      <c r="E586" s="6" t="str">
        <f ca="1">IFERROR(__xludf.DUMMYFUNCTION("""COMPUTED_VALUE"""),"Reference")</f>
        <v>Reference</v>
      </c>
      <c r="F586" s="6" t="str">
        <f ca="1">IFERROR(__xludf.DUMMYFUNCTION("""COMPUTED_VALUE"""),"CSPO")</f>
        <v>CSPO</v>
      </c>
      <c r="G586" s="80">
        <f ca="1">IFERROR(__xludf.DUMMYFUNCTION("""COMPUTED_VALUE"""),44440)</f>
        <v>44440</v>
      </c>
      <c r="H586" s="6" t="str">
        <f ca="1">IFERROR(__xludf.DUMMYFUNCTION("""COMPUTED_VALUE"""),"Won")</f>
        <v>Won</v>
      </c>
      <c r="I586" s="6" t="str">
        <f ca="1">IFERROR(__xludf.DUMMYFUNCTION("""COMPUTED_VALUE"""),"27-28 Sep 2021")</f>
        <v>27-28 Sep 2021</v>
      </c>
      <c r="J586" s="6">
        <f ca="1">IFERROR(__xludf.DUMMYFUNCTION("""COMPUTED_VALUE"""),1)</f>
        <v>1</v>
      </c>
      <c r="K586" s="8">
        <f ca="1">IFERROR(__xludf.DUMMYFUNCTION("""COMPUTED_VALUE"""),18000)</f>
        <v>18000</v>
      </c>
      <c r="L586" s="8">
        <f ca="1">IFERROR(__xludf.DUMMYFUNCTION("""COMPUTED_VALUE"""),206.138341731562)</f>
        <v>206.13834173156201</v>
      </c>
      <c r="M586" s="96">
        <f ca="1">IFERROR(__xludf.DUMMYFUNCTION("""COMPUTED_VALUE"""),44446)</f>
        <v>44446</v>
      </c>
      <c r="N586" s="6" t="str">
        <f ca="1">IFERROR(__xludf.DUMMYFUNCTION("""COMPUTED_VALUE"""),"F10")</f>
        <v>F10</v>
      </c>
      <c r="O586" s="97">
        <f ca="1">IFERROR(__xludf.DUMMYFUNCTION("""COMPUTED_VALUE"""),44446)</f>
        <v>44446</v>
      </c>
      <c r="P586" s="6" t="str">
        <f ca="1">IFERROR(__xludf.DUMMYFUNCTION("""COMPUTED_VALUE"""),"CSTM_5OCGBNR9C54")</f>
        <v>CSTM_5OCGBNR9C54</v>
      </c>
      <c r="Q586" s="6" t="str">
        <f ca="1">IFERROR(__xludf.DUMMYFUNCTION("""COMPUTED_VALUE"""),"epgpcic@iimidr.ac.in")</f>
        <v>epgpcic@iimidr.ac.in</v>
      </c>
      <c r="R586" s="6" t="str">
        <f ca="1">IFERROR(__xludf.DUMMYFUNCTION("""COMPUTED_VALUE"""),"Pending")</f>
        <v>Pending</v>
      </c>
      <c r="S586" s="6" t="str">
        <f ca="1">IFERROR(__xludf.DUMMYFUNCTION("""COMPUTED_VALUE"""),"Category")</f>
        <v>Category</v>
      </c>
      <c r="T586" s="6"/>
      <c r="U586" s="6"/>
      <c r="V586" s="6"/>
      <c r="W586" s="6"/>
      <c r="X586" s="6"/>
      <c r="Y586" s="6"/>
      <c r="Z586" s="6"/>
      <c r="AA586" s="6"/>
      <c r="AB586" s="6"/>
      <c r="AC586" s="6"/>
      <c r="AD586" s="6"/>
      <c r="AE586" s="6"/>
      <c r="AF586" s="6"/>
      <c r="AG586" s="6"/>
      <c r="AH586" s="6"/>
      <c r="AI586" s="6"/>
      <c r="AJ586" s="6"/>
      <c r="AK586" s="6"/>
      <c r="AL586" s="6"/>
    </row>
    <row r="587" spans="1:38">
      <c r="A587" s="96">
        <f ca="1">IFERROR(__xludf.DUMMYFUNCTION("""COMPUTED_VALUE"""),44446)</f>
        <v>44446</v>
      </c>
      <c r="B587" s="6" t="str">
        <f ca="1">IFERROR(__xludf.DUMMYFUNCTION("""COMPUTED_VALUE"""),"Amay Chourasia")</f>
        <v>Amay Chourasia</v>
      </c>
      <c r="C587" s="6" t="str">
        <f ca="1">IFERROR(__xludf.DUMMYFUNCTION("""COMPUTED_VALUE"""),"e21amayc@iimidr.ac.in")</f>
        <v>e21amayc@iimidr.ac.in</v>
      </c>
      <c r="D587" s="6">
        <f ca="1">IFERROR(__xludf.DUMMYFUNCTION("""COMPUTED_VALUE"""),9503772268)</f>
        <v>9503772268</v>
      </c>
      <c r="E587" s="6" t="str">
        <f ca="1">IFERROR(__xludf.DUMMYFUNCTION("""COMPUTED_VALUE"""),"Reference")</f>
        <v>Reference</v>
      </c>
      <c r="F587" s="6" t="str">
        <f ca="1">IFERROR(__xludf.DUMMYFUNCTION("""COMPUTED_VALUE"""),"CSPO")</f>
        <v>CSPO</v>
      </c>
      <c r="G587" s="80">
        <f ca="1">IFERROR(__xludf.DUMMYFUNCTION("""COMPUTED_VALUE"""),44440)</f>
        <v>44440</v>
      </c>
      <c r="H587" s="6" t="str">
        <f ca="1">IFERROR(__xludf.DUMMYFUNCTION("""COMPUTED_VALUE"""),"Won")</f>
        <v>Won</v>
      </c>
      <c r="I587" s="6" t="str">
        <f ca="1">IFERROR(__xludf.DUMMYFUNCTION("""COMPUTED_VALUE"""),"27-28 Sep 2021")</f>
        <v>27-28 Sep 2021</v>
      </c>
      <c r="J587" s="6">
        <f ca="1">IFERROR(__xludf.DUMMYFUNCTION("""COMPUTED_VALUE"""),1)</f>
        <v>1</v>
      </c>
      <c r="K587" s="8">
        <f ca="1">IFERROR(__xludf.DUMMYFUNCTION("""COMPUTED_VALUE"""),18000)</f>
        <v>18000</v>
      </c>
      <c r="L587" s="8">
        <f ca="1">IFERROR(__xludf.DUMMYFUNCTION("""COMPUTED_VALUE"""),206.138341731562)</f>
        <v>206.13834173156201</v>
      </c>
      <c r="M587" s="96">
        <f ca="1">IFERROR(__xludf.DUMMYFUNCTION("""COMPUTED_VALUE"""),44446)</f>
        <v>44446</v>
      </c>
      <c r="N587" s="6" t="str">
        <f ca="1">IFERROR(__xludf.DUMMYFUNCTION("""COMPUTED_VALUE"""),"F10")</f>
        <v>F10</v>
      </c>
      <c r="O587" s="97">
        <f ca="1">IFERROR(__xludf.DUMMYFUNCTION("""COMPUTED_VALUE"""),44446)</f>
        <v>44446</v>
      </c>
      <c r="P587" s="6" t="str">
        <f ca="1">IFERROR(__xludf.DUMMYFUNCTION("""COMPUTED_VALUE"""),"CSTM_24WDSEU0RI1")</f>
        <v>CSTM_24WDSEU0RI1</v>
      </c>
      <c r="Q587" s="6" t="str">
        <f ca="1">IFERROR(__xludf.DUMMYFUNCTION("""COMPUTED_VALUE"""),"epgpcic@iimidr.ac.in")</f>
        <v>epgpcic@iimidr.ac.in</v>
      </c>
      <c r="R587" s="6" t="str">
        <f ca="1">IFERROR(__xludf.DUMMYFUNCTION("""COMPUTED_VALUE"""),"Pending")</f>
        <v>Pending</v>
      </c>
      <c r="S587" s="6" t="str">
        <f ca="1">IFERROR(__xludf.DUMMYFUNCTION("""COMPUTED_VALUE"""),"Category")</f>
        <v>Category</v>
      </c>
      <c r="T587" s="6"/>
      <c r="U587" s="6"/>
      <c r="V587" s="6"/>
      <c r="W587" s="6"/>
      <c r="X587" s="6"/>
      <c r="Y587" s="6"/>
      <c r="Z587" s="6"/>
      <c r="AA587" s="6"/>
      <c r="AB587" s="6"/>
      <c r="AC587" s="6"/>
      <c r="AD587" s="6"/>
      <c r="AE587" s="6"/>
      <c r="AF587" s="6"/>
      <c r="AG587" s="6"/>
      <c r="AH587" s="6"/>
      <c r="AI587" s="6"/>
      <c r="AJ587" s="6"/>
      <c r="AK587" s="6"/>
      <c r="AL587" s="6"/>
    </row>
    <row r="588" spans="1:38">
      <c r="A588" s="96">
        <f ca="1">IFERROR(__xludf.DUMMYFUNCTION("""COMPUTED_VALUE"""),44446)</f>
        <v>44446</v>
      </c>
      <c r="B588" s="6" t="str">
        <f ca="1">IFERROR(__xludf.DUMMYFUNCTION("""COMPUTED_VALUE"""),"Nilanjan Goswami")</f>
        <v>Nilanjan Goswami</v>
      </c>
      <c r="C588" s="6" t="str">
        <f ca="1">IFERROR(__xludf.DUMMYFUNCTION("""COMPUTED_VALUE"""),"e21nilanjang@iimidr.ac.in")</f>
        <v>e21nilanjang@iimidr.ac.in</v>
      </c>
      <c r="D588" s="6">
        <f ca="1">IFERROR(__xludf.DUMMYFUNCTION("""COMPUTED_VALUE"""),8822097789)</f>
        <v>8822097789</v>
      </c>
      <c r="E588" s="6" t="str">
        <f ca="1">IFERROR(__xludf.DUMMYFUNCTION("""COMPUTED_VALUE"""),"Reference")</f>
        <v>Reference</v>
      </c>
      <c r="F588" s="6" t="str">
        <f ca="1">IFERROR(__xludf.DUMMYFUNCTION("""COMPUTED_VALUE"""),"CSPO")</f>
        <v>CSPO</v>
      </c>
      <c r="G588" s="80">
        <f ca="1">IFERROR(__xludf.DUMMYFUNCTION("""COMPUTED_VALUE"""),44440)</f>
        <v>44440</v>
      </c>
      <c r="H588" s="6" t="str">
        <f ca="1">IFERROR(__xludf.DUMMYFUNCTION("""COMPUTED_VALUE"""),"Won")</f>
        <v>Won</v>
      </c>
      <c r="I588" s="6" t="str">
        <f ca="1">IFERROR(__xludf.DUMMYFUNCTION("""COMPUTED_VALUE"""),"27-28 Sep 2021")</f>
        <v>27-28 Sep 2021</v>
      </c>
      <c r="J588" s="6">
        <f ca="1">IFERROR(__xludf.DUMMYFUNCTION("""COMPUTED_VALUE"""),1)</f>
        <v>1</v>
      </c>
      <c r="K588" s="8">
        <f ca="1">IFERROR(__xludf.DUMMYFUNCTION("""COMPUTED_VALUE"""),18000)</f>
        <v>18000</v>
      </c>
      <c r="L588" s="8">
        <f ca="1">IFERROR(__xludf.DUMMYFUNCTION("""COMPUTED_VALUE"""),206.138341731562)</f>
        <v>206.13834173156201</v>
      </c>
      <c r="M588" s="96">
        <f ca="1">IFERROR(__xludf.DUMMYFUNCTION("""COMPUTED_VALUE"""),44446)</f>
        <v>44446</v>
      </c>
      <c r="N588" s="6" t="str">
        <f ca="1">IFERROR(__xludf.DUMMYFUNCTION("""COMPUTED_VALUE"""),"F10")</f>
        <v>F10</v>
      </c>
      <c r="O588" s="97">
        <f ca="1">IFERROR(__xludf.DUMMYFUNCTION("""COMPUTED_VALUE"""),44446)</f>
        <v>44446</v>
      </c>
      <c r="P588" s="6" t="str">
        <f ca="1">IFERROR(__xludf.DUMMYFUNCTION("""COMPUTED_VALUE"""),"CSTM_6ZTVEA3Z46X")</f>
        <v>CSTM_6ZTVEA3Z46X</v>
      </c>
      <c r="Q588" s="6" t="str">
        <f ca="1">IFERROR(__xludf.DUMMYFUNCTION("""COMPUTED_VALUE"""),"epgpcic@iimidr.ac.in")</f>
        <v>epgpcic@iimidr.ac.in</v>
      </c>
      <c r="R588" s="6" t="str">
        <f ca="1">IFERROR(__xludf.DUMMYFUNCTION("""COMPUTED_VALUE"""),"Pending")</f>
        <v>Pending</v>
      </c>
      <c r="S588" s="6" t="str">
        <f ca="1">IFERROR(__xludf.DUMMYFUNCTION("""COMPUTED_VALUE"""),"Category")</f>
        <v>Category</v>
      </c>
      <c r="T588" s="6"/>
      <c r="U588" s="6"/>
      <c r="V588" s="6"/>
      <c r="W588" s="6"/>
      <c r="X588" s="6"/>
      <c r="Y588" s="6"/>
      <c r="Z588" s="6"/>
      <c r="AA588" s="6"/>
      <c r="AB588" s="6"/>
      <c r="AC588" s="6"/>
      <c r="AD588" s="6"/>
      <c r="AE588" s="6"/>
      <c r="AF588" s="6"/>
      <c r="AG588" s="6"/>
      <c r="AH588" s="6"/>
      <c r="AI588" s="6"/>
      <c r="AJ588" s="6"/>
      <c r="AK588" s="6"/>
      <c r="AL588" s="6"/>
    </row>
    <row r="589" spans="1:38">
      <c r="A589" s="96">
        <f ca="1">IFERROR(__xludf.DUMMYFUNCTION("""COMPUTED_VALUE"""),44447)</f>
        <v>44447</v>
      </c>
      <c r="B589" s="6" t="str">
        <f ca="1">IFERROR(__xludf.DUMMYFUNCTION("""COMPUTED_VALUE"""),"Shreyas Pattabhi")</f>
        <v>Shreyas Pattabhi</v>
      </c>
      <c r="C589" s="6" t="str">
        <f ca="1">IFERROR(__xludf.DUMMYFUNCTION("""COMPUTED_VALUE"""),"gladiatorshreyas1@gmail.com")</f>
        <v>gladiatorshreyas1@gmail.com</v>
      </c>
      <c r="D589" s="6">
        <f ca="1">IFERROR(__xludf.DUMMYFUNCTION("""COMPUTED_VALUE"""),9902586601)</f>
        <v>9902586601</v>
      </c>
      <c r="E589" s="6" t="str">
        <f ca="1">IFERROR(__xludf.DUMMYFUNCTION("""COMPUTED_VALUE"""),"Chat_triggered")</f>
        <v>Chat_triggered</v>
      </c>
      <c r="F589" s="6" t="str">
        <f ca="1">IFERROR(__xludf.DUMMYFUNCTION("""COMPUTED_VALUE"""),"SAFe Agile")</f>
        <v>SAFe Agile</v>
      </c>
      <c r="G589" s="80">
        <f ca="1">IFERROR(__xludf.DUMMYFUNCTION("""COMPUTED_VALUE"""),44440)</f>
        <v>44440</v>
      </c>
      <c r="H589" s="6" t="str">
        <f ca="1">IFERROR(__xludf.DUMMYFUNCTION("""COMPUTED_VALUE"""),"Won")</f>
        <v>Won</v>
      </c>
      <c r="I589" s="6" t="str">
        <f ca="1">IFERROR(__xludf.DUMMYFUNCTION("""COMPUTED_VALUE"""),"11-12 Sep 2021")</f>
        <v>11-12 Sep 2021</v>
      </c>
      <c r="J589" s="6">
        <f ca="1">IFERROR(__xludf.DUMMYFUNCTION("""COMPUTED_VALUE"""),1)</f>
        <v>1</v>
      </c>
      <c r="K589" s="8">
        <f ca="1">IFERROR(__xludf.DUMMYFUNCTION("""COMPUTED_VALUE"""),47000)</f>
        <v>47000</v>
      </c>
      <c r="L589" s="8">
        <f ca="1">IFERROR(__xludf.DUMMYFUNCTION("""COMPUTED_VALUE"""),538.2501145213)</f>
        <v>538.25011452130002</v>
      </c>
      <c r="M589" s="96">
        <f ca="1">IFERROR(__xludf.DUMMYFUNCTION("""COMPUTED_VALUE"""),44447)</f>
        <v>44447</v>
      </c>
      <c r="N589" s="6" t="str">
        <f ca="1">IFERROR(__xludf.DUMMYFUNCTION("""COMPUTED_VALUE"""),"F10")</f>
        <v>F10</v>
      </c>
      <c r="O589" s="97">
        <f ca="1">IFERROR(__xludf.DUMMYFUNCTION("""COMPUTED_VALUE"""),44447)</f>
        <v>44447</v>
      </c>
      <c r="P589" s="6" t="str">
        <f ca="1">IFERROR(__xludf.DUMMYFUNCTION("""COMPUTED_VALUE"""),"CSTM_30R0E46DM9F")</f>
        <v>CSTM_30R0E46DM9F</v>
      </c>
      <c r="Q589" s="6"/>
      <c r="R589" s="6" t="str">
        <f ca="1">IFERROR(__xludf.DUMMYFUNCTION("""COMPUTED_VALUE"""),"Done. Good feedback.")</f>
        <v>Done. Good feedback.</v>
      </c>
      <c r="S589" s="6" t="str">
        <f ca="1">IFERROR(__xludf.DUMMYFUNCTION("""COMPUTED_VALUE"""),"SAFe")</f>
        <v>SAFe</v>
      </c>
      <c r="T589" s="6"/>
      <c r="U589" s="6"/>
      <c r="V589" s="6"/>
      <c r="W589" s="6"/>
      <c r="X589" s="6"/>
      <c r="Y589" s="6"/>
      <c r="Z589" s="6"/>
      <c r="AA589" s="6"/>
      <c r="AB589" s="6"/>
      <c r="AC589" s="6"/>
      <c r="AD589" s="6"/>
      <c r="AE589" s="6"/>
      <c r="AF589" s="6"/>
      <c r="AG589" s="6"/>
      <c r="AH589" s="6"/>
      <c r="AI589" s="6"/>
      <c r="AJ589" s="6"/>
      <c r="AK589" s="6"/>
      <c r="AL589" s="6"/>
    </row>
    <row r="590" spans="1:38">
      <c r="A590" s="96">
        <f ca="1">IFERROR(__xludf.DUMMYFUNCTION("""COMPUTED_VALUE"""),44447)</f>
        <v>44447</v>
      </c>
      <c r="B590" s="6" t="str">
        <f ca="1">IFERROR(__xludf.DUMMYFUNCTION("""COMPUTED_VALUE"""),"Tejaswini Lalge")</f>
        <v>Tejaswini Lalge</v>
      </c>
      <c r="C590" s="6" t="str">
        <f ca="1">IFERROR(__xludf.DUMMYFUNCTION("""COMPUTED_VALUE"""),"tejaswini.lalge@cognizant.com")</f>
        <v>tejaswini.lalge@cognizant.com</v>
      </c>
      <c r="D590" s="6">
        <f ca="1">IFERROR(__xludf.DUMMYFUNCTION("""COMPUTED_VALUE"""),8805126330)</f>
        <v>8805126330</v>
      </c>
      <c r="E590" s="6" t="str">
        <f ca="1">IFERROR(__xludf.DUMMYFUNCTION("""COMPUTED_VALUE"""),"Reference")</f>
        <v>Reference</v>
      </c>
      <c r="F590" s="6" t="str">
        <f ca="1">IFERROR(__xludf.DUMMYFUNCTION("""COMPUTED_VALUE"""),"PSM")</f>
        <v>PSM</v>
      </c>
      <c r="G590" s="80">
        <f ca="1">IFERROR(__xludf.DUMMYFUNCTION("""COMPUTED_VALUE"""),44440)</f>
        <v>44440</v>
      </c>
      <c r="H590" s="6" t="str">
        <f ca="1">IFERROR(__xludf.DUMMYFUNCTION("""COMPUTED_VALUE"""),"Won")</f>
        <v>Won</v>
      </c>
      <c r="I590" s="6" t="str">
        <f ca="1">IFERROR(__xludf.DUMMYFUNCTION("""COMPUTED_VALUE"""),"18-19 Sep 2021")</f>
        <v>18-19 Sep 2021</v>
      </c>
      <c r="J590" s="6">
        <f ca="1">IFERROR(__xludf.DUMMYFUNCTION("""COMPUTED_VALUE"""),1)</f>
        <v>1</v>
      </c>
      <c r="K590" s="8">
        <f ca="1">IFERROR(__xludf.DUMMYFUNCTION("""COMPUTED_VALUE"""),21000)</f>
        <v>21000</v>
      </c>
      <c r="L590" s="8">
        <f ca="1">IFERROR(__xludf.DUMMYFUNCTION("""COMPUTED_VALUE"""),240.494732020155)</f>
        <v>240.494732020155</v>
      </c>
      <c r="M590" s="96">
        <f ca="1">IFERROR(__xludf.DUMMYFUNCTION("""COMPUTED_VALUE"""),44447)</f>
        <v>44447</v>
      </c>
      <c r="N590" s="6" t="str">
        <f ca="1">IFERROR(__xludf.DUMMYFUNCTION("""COMPUTED_VALUE"""),"F10")</f>
        <v>F10</v>
      </c>
      <c r="O590" s="97">
        <f ca="1">IFERROR(__xludf.DUMMYFUNCTION("""COMPUTED_VALUE"""),44447)</f>
        <v>44447</v>
      </c>
      <c r="P590" s="6" t="str">
        <f ca="1">IFERROR(__xludf.DUMMYFUNCTION("""COMPUTED_VALUE"""),"CSTM_24CI7VCCQVX")</f>
        <v>CSTM_24CI7VCCQVX</v>
      </c>
      <c r="Q590" s="6" t="str">
        <f ca="1">IFERROR(__xludf.DUMMYFUNCTION("""COMPUTED_VALUE"""),"sudharamamahi@gmail.com")</f>
        <v>sudharamamahi@gmail.com</v>
      </c>
      <c r="R590" s="6" t="str">
        <f ca="1">IFERROR(__xludf.DUMMYFUNCTION("""COMPUTED_VALUE"""),"Done. Good feedback.")</f>
        <v>Done. Good feedback.</v>
      </c>
      <c r="S590" s="6" t="str">
        <f ca="1">IFERROR(__xludf.DUMMYFUNCTION("""COMPUTED_VALUE"""),"Category")</f>
        <v>Category</v>
      </c>
      <c r="T590" s="6"/>
      <c r="U590" s="6"/>
      <c r="V590" s="6"/>
      <c r="W590" s="6"/>
      <c r="X590" s="6"/>
      <c r="Y590" s="6"/>
      <c r="Z590" s="6"/>
      <c r="AA590" s="6"/>
      <c r="AB590" s="6"/>
      <c r="AC590" s="6"/>
      <c r="AD590" s="6"/>
      <c r="AE590" s="6"/>
      <c r="AF590" s="6"/>
      <c r="AG590" s="6"/>
      <c r="AH590" s="6"/>
      <c r="AI590" s="6"/>
      <c r="AJ590" s="6"/>
      <c r="AK590" s="6"/>
      <c r="AL590" s="6"/>
    </row>
    <row r="591" spans="1:38">
      <c r="A591" s="96">
        <f ca="1">IFERROR(__xludf.DUMMYFUNCTION("""COMPUTED_VALUE"""),44447)</f>
        <v>44447</v>
      </c>
      <c r="B591" s="6" t="str">
        <f ca="1">IFERROR(__xludf.DUMMYFUNCTION("""COMPUTED_VALUE"""),"Sahishnu")</f>
        <v>Sahishnu</v>
      </c>
      <c r="C591" s="6" t="str">
        <f ca="1">IFERROR(__xludf.DUMMYFUNCTION("""COMPUTED_VALUE"""),"e21sahishnus@iimidr.ac.in")</f>
        <v>e21sahishnus@iimidr.ac.in</v>
      </c>
      <c r="D591" s="6">
        <f ca="1">IFERROR(__xludf.DUMMYFUNCTION("""COMPUTED_VALUE"""),9007016762)</f>
        <v>9007016762</v>
      </c>
      <c r="E591" s="6" t="str">
        <f ca="1">IFERROR(__xludf.DUMMYFUNCTION("""COMPUTED_VALUE"""),"Reference")</f>
        <v>Reference</v>
      </c>
      <c r="F591" s="6" t="str">
        <f ca="1">IFERROR(__xludf.DUMMYFUNCTION("""COMPUTED_VALUE"""),"CSPO")</f>
        <v>CSPO</v>
      </c>
      <c r="G591" s="80">
        <f ca="1">IFERROR(__xludf.DUMMYFUNCTION("""COMPUTED_VALUE"""),44440)</f>
        <v>44440</v>
      </c>
      <c r="H591" s="6" t="str">
        <f ca="1">IFERROR(__xludf.DUMMYFUNCTION("""COMPUTED_VALUE"""),"Won")</f>
        <v>Won</v>
      </c>
      <c r="I591" s="6" t="str">
        <f ca="1">IFERROR(__xludf.DUMMYFUNCTION("""COMPUTED_VALUE"""),"27-28 Sep 2021")</f>
        <v>27-28 Sep 2021</v>
      </c>
      <c r="J591" s="6">
        <f ca="1">IFERROR(__xludf.DUMMYFUNCTION("""COMPUTED_VALUE"""),1)</f>
        <v>1</v>
      </c>
      <c r="K591" s="8">
        <f ca="1">IFERROR(__xludf.DUMMYFUNCTION("""COMPUTED_VALUE"""),18000)</f>
        <v>18000</v>
      </c>
      <c r="L591" s="8">
        <f ca="1">IFERROR(__xludf.DUMMYFUNCTION("""COMPUTED_VALUE"""),206.138341731562)</f>
        <v>206.13834173156201</v>
      </c>
      <c r="M591" s="96">
        <f ca="1">IFERROR(__xludf.DUMMYFUNCTION("""COMPUTED_VALUE"""),44447)</f>
        <v>44447</v>
      </c>
      <c r="N591" s="6" t="str">
        <f ca="1">IFERROR(__xludf.DUMMYFUNCTION("""COMPUTED_VALUE"""),"F10")</f>
        <v>F10</v>
      </c>
      <c r="O591" s="97">
        <f ca="1">IFERROR(__xludf.DUMMYFUNCTION("""COMPUTED_VALUE"""),44447)</f>
        <v>44447</v>
      </c>
      <c r="P591" s="6" t="str">
        <f ca="1">IFERROR(__xludf.DUMMYFUNCTION("""COMPUTED_VALUE"""),"CSTM_6YGRIL6T48Q")</f>
        <v>CSTM_6YGRIL6T48Q</v>
      </c>
      <c r="Q591" s="6" t="str">
        <f ca="1">IFERROR(__xludf.DUMMYFUNCTION("""COMPUTED_VALUE"""),"epgpcic@iimidr.ac.in")</f>
        <v>epgpcic@iimidr.ac.in</v>
      </c>
      <c r="R591" s="6" t="str">
        <f ca="1">IFERROR(__xludf.DUMMYFUNCTION("""COMPUTED_VALUE"""),"Pending")</f>
        <v>Pending</v>
      </c>
      <c r="S591" s="6" t="str">
        <f ca="1">IFERROR(__xludf.DUMMYFUNCTION("""COMPUTED_VALUE"""),"Category")</f>
        <v>Category</v>
      </c>
      <c r="T591" s="6"/>
      <c r="U591" s="6"/>
      <c r="V591" s="6"/>
      <c r="W591" s="6"/>
      <c r="X591" s="6"/>
      <c r="Y591" s="6"/>
      <c r="Z591" s="6"/>
      <c r="AA591" s="6"/>
      <c r="AB591" s="6"/>
      <c r="AC591" s="6"/>
      <c r="AD591" s="6"/>
      <c r="AE591" s="6"/>
      <c r="AF591" s="6"/>
      <c r="AG591" s="6"/>
      <c r="AH591" s="6"/>
      <c r="AI591" s="6"/>
      <c r="AJ591" s="6"/>
      <c r="AK591" s="6"/>
      <c r="AL591" s="6"/>
    </row>
    <row r="592" spans="1:38">
      <c r="A592" s="96">
        <f ca="1">IFERROR(__xludf.DUMMYFUNCTION("""COMPUTED_VALUE"""),44447)</f>
        <v>44447</v>
      </c>
      <c r="B592" s="6" t="str">
        <f ca="1">IFERROR(__xludf.DUMMYFUNCTION("""COMPUTED_VALUE"""),"Atul K")</f>
        <v>Atul K</v>
      </c>
      <c r="C592" s="6" t="str">
        <f ca="1">IFERROR(__xludf.DUMMYFUNCTION("""COMPUTED_VALUE"""),"e21atulk@iimidr.ac.in")</f>
        <v>e21atulk@iimidr.ac.in</v>
      </c>
      <c r="D592" s="6">
        <f ca="1">IFERROR(__xludf.DUMMYFUNCTION("""COMPUTED_VALUE"""),9916606401)</f>
        <v>9916606401</v>
      </c>
      <c r="E592" s="6" t="str">
        <f ca="1">IFERROR(__xludf.DUMMYFUNCTION("""COMPUTED_VALUE"""),"Reference")</f>
        <v>Reference</v>
      </c>
      <c r="F592" s="6" t="str">
        <f ca="1">IFERROR(__xludf.DUMMYFUNCTION("""COMPUTED_VALUE"""),"CSPO")</f>
        <v>CSPO</v>
      </c>
      <c r="G592" s="80">
        <f ca="1">IFERROR(__xludf.DUMMYFUNCTION("""COMPUTED_VALUE"""),44440)</f>
        <v>44440</v>
      </c>
      <c r="H592" s="6" t="str">
        <f ca="1">IFERROR(__xludf.DUMMYFUNCTION("""COMPUTED_VALUE"""),"Won")</f>
        <v>Won</v>
      </c>
      <c r="I592" s="6" t="str">
        <f ca="1">IFERROR(__xludf.DUMMYFUNCTION("""COMPUTED_VALUE"""),"27-28 Sep 2021")</f>
        <v>27-28 Sep 2021</v>
      </c>
      <c r="J592" s="6">
        <f ca="1">IFERROR(__xludf.DUMMYFUNCTION("""COMPUTED_VALUE"""),1)</f>
        <v>1</v>
      </c>
      <c r="K592" s="8">
        <f ca="1">IFERROR(__xludf.DUMMYFUNCTION("""COMPUTED_VALUE"""),18000)</f>
        <v>18000</v>
      </c>
      <c r="L592" s="8">
        <f ca="1">IFERROR(__xludf.DUMMYFUNCTION("""COMPUTED_VALUE"""),206.138341731562)</f>
        <v>206.13834173156201</v>
      </c>
      <c r="M592" s="96">
        <f ca="1">IFERROR(__xludf.DUMMYFUNCTION("""COMPUTED_VALUE"""),44447)</f>
        <v>44447</v>
      </c>
      <c r="N592" s="6" t="str">
        <f ca="1">IFERROR(__xludf.DUMMYFUNCTION("""COMPUTED_VALUE"""),"F10")</f>
        <v>F10</v>
      </c>
      <c r="O592" s="97">
        <f ca="1">IFERROR(__xludf.DUMMYFUNCTION("""COMPUTED_VALUE"""),44447)</f>
        <v>44447</v>
      </c>
      <c r="P592" s="6" t="str">
        <f ca="1">IFERROR(__xludf.DUMMYFUNCTION("""COMPUTED_VALUE"""),"CSTM_BP9DCY2U1JU")</f>
        <v>CSTM_BP9DCY2U1JU</v>
      </c>
      <c r="Q592" s="6" t="str">
        <f ca="1">IFERROR(__xludf.DUMMYFUNCTION("""COMPUTED_VALUE"""),"epgpcic@iimidr.ac.in")</f>
        <v>epgpcic@iimidr.ac.in</v>
      </c>
      <c r="R592" s="6" t="str">
        <f ca="1">IFERROR(__xludf.DUMMYFUNCTION("""COMPUTED_VALUE"""),"Pending")</f>
        <v>Pending</v>
      </c>
      <c r="S592" s="6" t="str">
        <f ca="1">IFERROR(__xludf.DUMMYFUNCTION("""COMPUTED_VALUE"""),"Category")</f>
        <v>Category</v>
      </c>
      <c r="T592" s="6"/>
      <c r="U592" s="6"/>
      <c r="V592" s="6"/>
      <c r="W592" s="6"/>
      <c r="X592" s="6"/>
      <c r="Y592" s="6"/>
      <c r="Z592" s="6"/>
      <c r="AA592" s="6"/>
      <c r="AB592" s="6"/>
      <c r="AC592" s="6"/>
      <c r="AD592" s="6"/>
      <c r="AE592" s="6"/>
      <c r="AF592" s="6"/>
      <c r="AG592" s="6"/>
      <c r="AH592" s="6"/>
      <c r="AI592" s="6"/>
      <c r="AJ592" s="6"/>
      <c r="AK592" s="6"/>
      <c r="AL592" s="6"/>
    </row>
    <row r="593" spans="1:38">
      <c r="A593" s="96">
        <f ca="1">IFERROR(__xludf.DUMMYFUNCTION("""COMPUTED_VALUE"""),44448)</f>
        <v>44448</v>
      </c>
      <c r="B593" s="6" t="str">
        <f ca="1">IFERROR(__xludf.DUMMYFUNCTION("""COMPUTED_VALUE"""),"Mahesh Reddy")</f>
        <v>Mahesh Reddy</v>
      </c>
      <c r="C593" s="6" t="str">
        <f ca="1">IFERROR(__xludf.DUMMYFUNCTION("""COMPUTED_VALUE"""),"1985maheshreddy@gmail.com")</f>
        <v>1985maheshreddy@gmail.com</v>
      </c>
      <c r="D593" s="6">
        <f ca="1">IFERROR(__xludf.DUMMYFUNCTION("""COMPUTED_VALUE"""),9502662460)</f>
        <v>9502662460</v>
      </c>
      <c r="E593" s="6" t="str">
        <f ca="1">IFERROR(__xludf.DUMMYFUNCTION("""COMPUTED_VALUE"""),"Reference")</f>
        <v>Reference</v>
      </c>
      <c r="F593" s="6" t="str">
        <f ca="1">IFERROR(__xludf.DUMMYFUNCTION("""COMPUTED_VALUE"""),"CSM")</f>
        <v>CSM</v>
      </c>
      <c r="G593" s="80">
        <f ca="1">IFERROR(__xludf.DUMMYFUNCTION("""COMPUTED_VALUE"""),44440)</f>
        <v>44440</v>
      </c>
      <c r="H593" s="6" t="str">
        <f ca="1">IFERROR(__xludf.DUMMYFUNCTION("""COMPUTED_VALUE"""),"Won")</f>
        <v>Won</v>
      </c>
      <c r="I593" s="6" t="str">
        <f ca="1">IFERROR(__xludf.DUMMYFUNCTION("""COMPUTED_VALUE"""),"16-17 Sep 2021")</f>
        <v>16-17 Sep 2021</v>
      </c>
      <c r="J593" s="6">
        <f ca="1">IFERROR(__xludf.DUMMYFUNCTION("""COMPUTED_VALUE"""),1)</f>
        <v>1</v>
      </c>
      <c r="K593" s="8">
        <f ca="1">IFERROR(__xludf.DUMMYFUNCTION("""COMPUTED_VALUE"""),20000)</f>
        <v>20000</v>
      </c>
      <c r="L593" s="8">
        <f ca="1">IFERROR(__xludf.DUMMYFUNCTION("""COMPUTED_VALUE"""),229.042601923957)</f>
        <v>229.04260192395699</v>
      </c>
      <c r="M593" s="96">
        <f ca="1">IFERROR(__xludf.DUMMYFUNCTION("""COMPUTED_VALUE"""),44448)</f>
        <v>44448</v>
      </c>
      <c r="N593" s="6" t="str">
        <f ca="1">IFERROR(__xludf.DUMMYFUNCTION("""COMPUTED_VALUE"""),"F10")</f>
        <v>F10</v>
      </c>
      <c r="O593" s="97">
        <f ca="1">IFERROR(__xludf.DUMMYFUNCTION("""COMPUTED_VALUE"""),44448)</f>
        <v>44448</v>
      </c>
      <c r="P593" s="6" t="str">
        <f ca="1">IFERROR(__xludf.DUMMYFUNCTION("""COMPUTED_VALUE"""),"CSTM_1SHCGRQ7856")</f>
        <v>CSTM_1SHCGRQ7856</v>
      </c>
      <c r="Q593" s="6" t="str">
        <f ca="1">IFERROR(__xludf.DUMMYFUNCTION("""COMPUTED_VALUE"""),"Reference by Praveen Nair")</f>
        <v>Reference by Praveen Nair</v>
      </c>
      <c r="R593" s="6" t="str">
        <f ca="1">IFERROR(__xludf.DUMMYFUNCTION("""COMPUTED_VALUE"""),"Pending")</f>
        <v>Pending</v>
      </c>
      <c r="S593" s="6" t="str">
        <f ca="1">IFERROR(__xludf.DUMMYFUNCTION("""COMPUTED_VALUE"""),"Category")</f>
        <v>Category</v>
      </c>
      <c r="T593" s="6"/>
      <c r="U593" s="6"/>
      <c r="V593" s="6"/>
      <c r="W593" s="6"/>
      <c r="X593" s="6"/>
      <c r="Y593" s="6"/>
      <c r="Z593" s="6"/>
      <c r="AA593" s="6"/>
      <c r="AB593" s="6"/>
      <c r="AC593" s="6"/>
      <c r="AD593" s="6"/>
      <c r="AE593" s="6"/>
      <c r="AF593" s="6"/>
      <c r="AG593" s="6"/>
      <c r="AH593" s="6"/>
      <c r="AI593" s="6"/>
      <c r="AJ593" s="6"/>
      <c r="AK593" s="6"/>
      <c r="AL593" s="6"/>
    </row>
    <row r="594" spans="1:38">
      <c r="A594" s="96">
        <f ca="1">IFERROR(__xludf.DUMMYFUNCTION("""COMPUTED_VALUE"""),44448)</f>
        <v>44448</v>
      </c>
      <c r="B594" s="6" t="str">
        <f ca="1">IFERROR(__xludf.DUMMYFUNCTION("""COMPUTED_VALUE"""),"Rushikesh")</f>
        <v>Rushikesh</v>
      </c>
      <c r="C594" s="6" t="str">
        <f ca="1">IFERROR(__xludf.DUMMYFUNCTION("""COMPUTED_VALUE"""),"ranade.rushi@gmail.com")</f>
        <v>ranade.rushi@gmail.com</v>
      </c>
      <c r="D594" s="6">
        <f ca="1">IFERROR(__xludf.DUMMYFUNCTION("""COMPUTED_VALUE"""),8956145655)</f>
        <v>8956145655</v>
      </c>
      <c r="E594" s="6" t="str">
        <f ca="1">IFERROR(__xludf.DUMMYFUNCTION("""COMPUTED_VALUE"""),"chat_initiated")</f>
        <v>chat_initiated</v>
      </c>
      <c r="F594" s="6" t="str">
        <f ca="1">IFERROR(__xludf.DUMMYFUNCTION("""COMPUTED_VALUE"""),"SAFe Agile")</f>
        <v>SAFe Agile</v>
      </c>
      <c r="G594" s="80">
        <f ca="1">IFERROR(__xludf.DUMMYFUNCTION("""COMPUTED_VALUE"""),44440)</f>
        <v>44440</v>
      </c>
      <c r="H594" s="6" t="str">
        <f ca="1">IFERROR(__xludf.DUMMYFUNCTION("""COMPUTED_VALUE"""),"Won")</f>
        <v>Won</v>
      </c>
      <c r="I594" s="6" t="str">
        <f ca="1">IFERROR(__xludf.DUMMYFUNCTION("""COMPUTED_VALUE"""),"11-12 Sep 2021")</f>
        <v>11-12 Sep 2021</v>
      </c>
      <c r="J594" s="6">
        <f ca="1">IFERROR(__xludf.DUMMYFUNCTION("""COMPUTED_VALUE"""),1)</f>
        <v>1</v>
      </c>
      <c r="K594" s="8">
        <f ca="1">IFERROR(__xludf.DUMMYFUNCTION("""COMPUTED_VALUE"""),45000)</f>
        <v>45000</v>
      </c>
      <c r="L594" s="8">
        <f ca="1">IFERROR(__xludf.DUMMYFUNCTION("""COMPUTED_VALUE"""),515.345854328905)</f>
        <v>515.34585432890503</v>
      </c>
      <c r="M594" s="96">
        <f ca="1">IFERROR(__xludf.DUMMYFUNCTION("""COMPUTED_VALUE"""),44448)</f>
        <v>44448</v>
      </c>
      <c r="N594" s="6" t="str">
        <f ca="1">IFERROR(__xludf.DUMMYFUNCTION("""COMPUTED_VALUE"""),"F10")</f>
        <v>F10</v>
      </c>
      <c r="O594" s="97">
        <f ca="1">IFERROR(__xludf.DUMMYFUNCTION("""COMPUTED_VALUE"""),44448)</f>
        <v>44448</v>
      </c>
      <c r="P594" s="6" t="str">
        <f ca="1">IFERROR(__xludf.DUMMYFUNCTION("""COMPUTED_VALUE"""),"CSTM_FS7DCWO3S3S")</f>
        <v>CSTM_FS7DCWO3S3S</v>
      </c>
      <c r="Q594" s="6"/>
      <c r="R594" s="6" t="str">
        <f ca="1">IFERROR(__xludf.DUMMYFUNCTION("""COMPUTED_VALUE"""),"Done. Good feedback.")</f>
        <v>Done. Good feedback.</v>
      </c>
      <c r="S594" s="6" t="str">
        <f ca="1">IFERROR(__xludf.DUMMYFUNCTION("""COMPUTED_VALUE"""),"SAFe")</f>
        <v>SAFe</v>
      </c>
      <c r="T594" s="6"/>
      <c r="U594" s="6"/>
      <c r="V594" s="6"/>
      <c r="W594" s="6"/>
      <c r="X594" s="6"/>
      <c r="Y594" s="6"/>
      <c r="Z594" s="6"/>
      <c r="AA594" s="6"/>
      <c r="AB594" s="6"/>
      <c r="AC594" s="6"/>
      <c r="AD594" s="6"/>
      <c r="AE594" s="6"/>
      <c r="AF594" s="6"/>
      <c r="AG594" s="6"/>
      <c r="AH594" s="6"/>
      <c r="AI594" s="6"/>
      <c r="AJ594" s="6"/>
      <c r="AK594" s="6"/>
      <c r="AL594" s="6"/>
    </row>
    <row r="595" spans="1:38">
      <c r="A595" s="96">
        <f ca="1">IFERROR(__xludf.DUMMYFUNCTION("""COMPUTED_VALUE"""),44449)</f>
        <v>44449</v>
      </c>
      <c r="B595" s="6" t="str">
        <f ca="1">IFERROR(__xludf.DUMMYFUNCTION("""COMPUTED_VALUE"""),"Sandeep Shastry")</f>
        <v>Sandeep Shastry</v>
      </c>
      <c r="C595" s="6" t="str">
        <f ca="1">IFERROR(__xludf.DUMMYFUNCTION("""COMPUTED_VALUE"""),"sshastry.43@gmail.com")</f>
        <v>sshastry.43@gmail.com</v>
      </c>
      <c r="D595" s="6">
        <f ca="1">IFERROR(__xludf.DUMMYFUNCTION("""COMPUTED_VALUE"""),9513005969)</f>
        <v>9513005969</v>
      </c>
      <c r="E595" s="6" t="str">
        <f ca="1">IFERROR(__xludf.DUMMYFUNCTION("""COMPUTED_VALUE"""),"na-payment")</f>
        <v>na-payment</v>
      </c>
      <c r="F595" s="6" t="str">
        <f ca="1">IFERROR(__xludf.DUMMYFUNCTION("""COMPUTED_VALUE"""),"PSM")</f>
        <v>PSM</v>
      </c>
      <c r="G595" s="80">
        <f ca="1">IFERROR(__xludf.DUMMYFUNCTION("""COMPUTED_VALUE"""),44440)</f>
        <v>44440</v>
      </c>
      <c r="H595" s="6" t="str">
        <f ca="1">IFERROR(__xludf.DUMMYFUNCTION("""COMPUTED_VALUE"""),"Won")</f>
        <v>Won</v>
      </c>
      <c r="I595" s="6" t="str">
        <f ca="1">IFERROR(__xludf.DUMMYFUNCTION("""COMPUTED_VALUE"""),"18-19 Sep 2021")</f>
        <v>18-19 Sep 2021</v>
      </c>
      <c r="J595" s="6">
        <f ca="1">IFERROR(__xludf.DUMMYFUNCTION("""COMPUTED_VALUE"""),1)</f>
        <v>1</v>
      </c>
      <c r="K595" s="8">
        <f ca="1">IFERROR(__xludf.DUMMYFUNCTION("""COMPUTED_VALUE"""),21000)</f>
        <v>21000</v>
      </c>
      <c r="L595" s="8">
        <f ca="1">IFERROR(__xludf.DUMMYFUNCTION("""COMPUTED_VALUE"""),240.494732020155)</f>
        <v>240.494732020155</v>
      </c>
      <c r="M595" s="96">
        <f ca="1">IFERROR(__xludf.DUMMYFUNCTION("""COMPUTED_VALUE"""),44449)</f>
        <v>44449</v>
      </c>
      <c r="N595" s="6" t="str">
        <f ca="1">IFERROR(__xludf.DUMMYFUNCTION("""COMPUTED_VALUE"""),"F10")</f>
        <v>F10</v>
      </c>
      <c r="O595" s="97">
        <f ca="1">IFERROR(__xludf.DUMMYFUNCTION("""COMPUTED_VALUE"""),44449)</f>
        <v>44449</v>
      </c>
      <c r="P595" s="6" t="str">
        <f ca="1">IFERROR(__xludf.DUMMYFUNCTION("""COMPUTED_VALUE"""),"CSTM_CKK4E3X6867")</f>
        <v>CSTM_CKK4E3X6867</v>
      </c>
      <c r="Q595" s="6"/>
      <c r="R595" s="6" t="str">
        <f ca="1">IFERROR(__xludf.DUMMYFUNCTION("""COMPUTED_VALUE"""),"Done. Good feedback.")</f>
        <v>Done. Good feedback.</v>
      </c>
      <c r="S595" s="6" t="str">
        <f ca="1">IFERROR(__xludf.DUMMYFUNCTION("""COMPUTED_VALUE"""),"Category")</f>
        <v>Category</v>
      </c>
      <c r="T595" s="6"/>
      <c r="U595" s="6"/>
      <c r="V595" s="6"/>
      <c r="W595" s="6"/>
      <c r="X595" s="6"/>
      <c r="Y595" s="6"/>
      <c r="Z595" s="6"/>
      <c r="AA595" s="6"/>
      <c r="AB595" s="6"/>
      <c r="AC595" s="6"/>
      <c r="AD595" s="6"/>
      <c r="AE595" s="6"/>
      <c r="AF595" s="6"/>
      <c r="AG595" s="6"/>
      <c r="AH595" s="6"/>
      <c r="AI595" s="6"/>
      <c r="AJ595" s="6"/>
      <c r="AK595" s="6"/>
      <c r="AL595" s="6"/>
    </row>
    <row r="596" spans="1:38">
      <c r="A596" s="96">
        <f ca="1">IFERROR(__xludf.DUMMYFUNCTION("""COMPUTED_VALUE"""),44449)</f>
        <v>44449</v>
      </c>
      <c r="B596" s="6" t="str">
        <f ca="1">IFERROR(__xludf.DUMMYFUNCTION("""COMPUTED_VALUE"""),"Darsana")</f>
        <v>Darsana</v>
      </c>
      <c r="C596" s="6" t="str">
        <f ca="1">IFERROR(__xludf.DUMMYFUNCTION("""COMPUTED_VALUE"""),"darsanavenugopal.27@gmail.com")</f>
        <v>darsanavenugopal.27@gmail.com</v>
      </c>
      <c r="D596" s="6">
        <f ca="1">IFERROR(__xludf.DUMMYFUNCTION("""COMPUTED_VALUE"""),9496760277)</f>
        <v>9496760277</v>
      </c>
      <c r="E596" s="6" t="str">
        <f ca="1">IFERROR(__xludf.DUMMYFUNCTION("""COMPUTED_VALUE"""),"Account Repeat")</f>
        <v>Account Repeat</v>
      </c>
      <c r="F596" s="6" t="str">
        <f ca="1">IFERROR(__xludf.DUMMYFUNCTION("""COMPUTED_VALUE"""),"CSPO")</f>
        <v>CSPO</v>
      </c>
      <c r="G596" s="80">
        <f ca="1">IFERROR(__xludf.DUMMYFUNCTION("""COMPUTED_VALUE"""),44440)</f>
        <v>44440</v>
      </c>
      <c r="H596" s="6" t="str">
        <f ca="1">IFERROR(__xludf.DUMMYFUNCTION("""COMPUTED_VALUE"""),"Won")</f>
        <v>Won</v>
      </c>
      <c r="I596" s="6" t="str">
        <f ca="1">IFERROR(__xludf.DUMMYFUNCTION("""COMPUTED_VALUE"""),"18-19 Sep 2021")</f>
        <v>18-19 Sep 2021</v>
      </c>
      <c r="J596" s="6">
        <f ca="1">IFERROR(__xludf.DUMMYFUNCTION("""COMPUTED_VALUE"""),1)</f>
        <v>1</v>
      </c>
      <c r="K596" s="8">
        <f ca="1">IFERROR(__xludf.DUMMYFUNCTION("""COMPUTED_VALUE"""),20000)</f>
        <v>20000</v>
      </c>
      <c r="L596" s="8">
        <f ca="1">IFERROR(__xludf.DUMMYFUNCTION("""COMPUTED_VALUE"""),229.042601923957)</f>
        <v>229.04260192395699</v>
      </c>
      <c r="M596" s="96">
        <f ca="1">IFERROR(__xludf.DUMMYFUNCTION("""COMPUTED_VALUE"""),44449)</f>
        <v>44449</v>
      </c>
      <c r="N596" s="6" t="str">
        <f ca="1">IFERROR(__xludf.DUMMYFUNCTION("""COMPUTED_VALUE"""),"F10")</f>
        <v>F10</v>
      </c>
      <c r="O596" s="97">
        <f ca="1">IFERROR(__xludf.DUMMYFUNCTION("""COMPUTED_VALUE"""),44449)</f>
        <v>44449</v>
      </c>
      <c r="P596" s="6" t="str">
        <f ca="1">IFERROR(__xludf.DUMMYFUNCTION("""COMPUTED_VALUE"""),"CSTM_4JLGEMSC4DL")</f>
        <v>CSTM_4JLGEMSC4DL</v>
      </c>
      <c r="Q596" s="6"/>
      <c r="R596" s="6" t="str">
        <f ca="1">IFERROR(__xludf.DUMMYFUNCTION("""COMPUTED_VALUE"""),"Done. Good feedback.")</f>
        <v>Done. Good feedback.</v>
      </c>
      <c r="S596" s="6" t="str">
        <f ca="1">IFERROR(__xludf.DUMMYFUNCTION("""COMPUTED_VALUE"""),"Category")</f>
        <v>Category</v>
      </c>
      <c r="T596" s="6"/>
      <c r="U596" s="6"/>
      <c r="V596" s="6"/>
      <c r="W596" s="6"/>
      <c r="X596" s="6"/>
      <c r="Y596" s="6"/>
      <c r="Z596" s="6"/>
      <c r="AA596" s="6"/>
      <c r="AB596" s="6"/>
      <c r="AC596" s="6"/>
      <c r="AD596" s="6"/>
      <c r="AE596" s="6"/>
      <c r="AF596" s="6"/>
      <c r="AG596" s="6"/>
      <c r="AH596" s="6"/>
      <c r="AI596" s="6"/>
      <c r="AJ596" s="6"/>
      <c r="AK596" s="6"/>
      <c r="AL596" s="6"/>
    </row>
    <row r="597" spans="1:38">
      <c r="A597" s="96">
        <f ca="1">IFERROR(__xludf.DUMMYFUNCTION("""COMPUTED_VALUE"""),44452)</f>
        <v>44452</v>
      </c>
      <c r="B597" s="6" t="str">
        <f ca="1">IFERROR(__xludf.DUMMYFUNCTION("""COMPUTED_VALUE"""),"Karan Sehgal")</f>
        <v>Karan Sehgal</v>
      </c>
      <c r="C597" s="6" t="str">
        <f ca="1">IFERROR(__xludf.DUMMYFUNCTION("""COMPUTED_VALUE"""),"e21karans@iimidr.ac.in")</f>
        <v>e21karans@iimidr.ac.in</v>
      </c>
      <c r="D597" s="6">
        <f ca="1">IFERROR(__xludf.DUMMYFUNCTION("""COMPUTED_VALUE"""),9953292533)</f>
        <v>9953292533</v>
      </c>
      <c r="E597" s="6" t="str">
        <f ca="1">IFERROR(__xludf.DUMMYFUNCTION("""COMPUTED_VALUE"""),"Reference")</f>
        <v>Reference</v>
      </c>
      <c r="F597" s="6" t="str">
        <f ca="1">IFERROR(__xludf.DUMMYFUNCTION("""COMPUTED_VALUE"""),"CSPO")</f>
        <v>CSPO</v>
      </c>
      <c r="G597" s="80">
        <f ca="1">IFERROR(__xludf.DUMMYFUNCTION("""COMPUTED_VALUE"""),44440)</f>
        <v>44440</v>
      </c>
      <c r="H597" s="6" t="str">
        <f ca="1">IFERROR(__xludf.DUMMYFUNCTION("""COMPUTED_VALUE"""),"Won")</f>
        <v>Won</v>
      </c>
      <c r="I597" s="6" t="str">
        <f ca="1">IFERROR(__xludf.DUMMYFUNCTION("""COMPUTED_VALUE"""),"27-28 Sep 2021")</f>
        <v>27-28 Sep 2021</v>
      </c>
      <c r="J597" s="6">
        <f ca="1">IFERROR(__xludf.DUMMYFUNCTION("""COMPUTED_VALUE"""),1)</f>
        <v>1</v>
      </c>
      <c r="K597" s="8">
        <f ca="1">IFERROR(__xludf.DUMMYFUNCTION("""COMPUTED_VALUE"""),18000)</f>
        <v>18000</v>
      </c>
      <c r="L597" s="8">
        <f ca="1">IFERROR(__xludf.DUMMYFUNCTION("""COMPUTED_VALUE"""),206.138341731562)</f>
        <v>206.13834173156201</v>
      </c>
      <c r="M597" s="96">
        <f ca="1">IFERROR(__xludf.DUMMYFUNCTION("""COMPUTED_VALUE"""),44452)</f>
        <v>44452</v>
      </c>
      <c r="N597" s="6" t="str">
        <f ca="1">IFERROR(__xludf.DUMMYFUNCTION("""COMPUTED_VALUE"""),"S10")</f>
        <v>S10</v>
      </c>
      <c r="O597" s="97">
        <f ca="1">IFERROR(__xludf.DUMMYFUNCTION("""COMPUTED_VALUE"""),44452)</f>
        <v>44452</v>
      </c>
      <c r="P597" s="6" t="str">
        <f ca="1">IFERROR(__xludf.DUMMYFUNCTION("""COMPUTED_VALUE"""),"CSTM_61A74ITEQDX")</f>
        <v>CSTM_61A74ITEQDX</v>
      </c>
      <c r="Q597" s="6" t="str">
        <f ca="1">IFERROR(__xludf.DUMMYFUNCTION("""COMPUTED_VALUE"""),"epgpcic@iimidr.ac.in")</f>
        <v>epgpcic@iimidr.ac.in</v>
      </c>
      <c r="R597" s="6" t="str">
        <f ca="1">IFERROR(__xludf.DUMMYFUNCTION("""COMPUTED_VALUE"""),"Pending")</f>
        <v>Pending</v>
      </c>
      <c r="S597" s="6" t="str">
        <f ca="1">IFERROR(__xludf.DUMMYFUNCTION("""COMPUTED_VALUE"""),"Category")</f>
        <v>Category</v>
      </c>
      <c r="T597" s="6"/>
      <c r="U597" s="6"/>
      <c r="V597" s="6"/>
      <c r="W597" s="6"/>
      <c r="X597" s="6"/>
      <c r="Y597" s="6"/>
      <c r="Z597" s="6"/>
      <c r="AA597" s="6"/>
      <c r="AB597" s="6"/>
      <c r="AC597" s="6"/>
      <c r="AD597" s="6"/>
      <c r="AE597" s="6"/>
      <c r="AF597" s="6"/>
      <c r="AG597" s="6"/>
      <c r="AH597" s="6"/>
      <c r="AI597" s="6"/>
      <c r="AJ597" s="6"/>
      <c r="AK597" s="6"/>
      <c r="AL597" s="6"/>
    </row>
    <row r="598" spans="1:38">
      <c r="A598" s="96">
        <f ca="1">IFERROR(__xludf.DUMMYFUNCTION("""COMPUTED_VALUE"""),44453)</f>
        <v>44453</v>
      </c>
      <c r="B598" s="6" t="str">
        <f ca="1">IFERROR(__xludf.DUMMYFUNCTION("""COMPUTED_VALUE"""),"Vivek Pant")</f>
        <v>Vivek Pant</v>
      </c>
      <c r="C598" s="6" t="str">
        <f ca="1">IFERROR(__xludf.DUMMYFUNCTION("""COMPUTED_VALUE"""),"e21vivekp@iimidr.ac.in")</f>
        <v>e21vivekp@iimidr.ac.in</v>
      </c>
      <c r="D598" s="6">
        <f ca="1">IFERROR(__xludf.DUMMYFUNCTION("""COMPUTED_VALUE"""),9719674208)</f>
        <v>9719674208</v>
      </c>
      <c r="E598" s="6" t="str">
        <f ca="1">IFERROR(__xludf.DUMMYFUNCTION("""COMPUTED_VALUE"""),"Reference")</f>
        <v>Reference</v>
      </c>
      <c r="F598" s="6" t="str">
        <f ca="1">IFERROR(__xludf.DUMMYFUNCTION("""COMPUTED_VALUE"""),"CSPO")</f>
        <v>CSPO</v>
      </c>
      <c r="G598" s="80">
        <f ca="1">IFERROR(__xludf.DUMMYFUNCTION("""COMPUTED_VALUE"""),44440)</f>
        <v>44440</v>
      </c>
      <c r="H598" s="6" t="str">
        <f ca="1">IFERROR(__xludf.DUMMYFUNCTION("""COMPUTED_VALUE"""),"Won")</f>
        <v>Won</v>
      </c>
      <c r="I598" s="6" t="str">
        <f ca="1">IFERROR(__xludf.DUMMYFUNCTION("""COMPUTED_VALUE"""),"27-28 Sep 2021")</f>
        <v>27-28 Sep 2021</v>
      </c>
      <c r="J598" s="6">
        <f ca="1">IFERROR(__xludf.DUMMYFUNCTION("""COMPUTED_VALUE"""),1)</f>
        <v>1</v>
      </c>
      <c r="K598" s="8">
        <f ca="1">IFERROR(__xludf.DUMMYFUNCTION("""COMPUTED_VALUE"""),18000)</f>
        <v>18000</v>
      </c>
      <c r="L598" s="8">
        <f ca="1">IFERROR(__xludf.DUMMYFUNCTION("""COMPUTED_VALUE"""),206.138341731562)</f>
        <v>206.13834173156201</v>
      </c>
      <c r="M598" s="96">
        <f ca="1">IFERROR(__xludf.DUMMYFUNCTION("""COMPUTED_VALUE"""),44453)</f>
        <v>44453</v>
      </c>
      <c r="N598" s="6" t="str">
        <f ca="1">IFERROR(__xludf.DUMMYFUNCTION("""COMPUTED_VALUE"""),"S10")</f>
        <v>S10</v>
      </c>
      <c r="O598" s="97">
        <f ca="1">IFERROR(__xludf.DUMMYFUNCTION("""COMPUTED_VALUE"""),44453)</f>
        <v>44453</v>
      </c>
      <c r="P598" s="6" t="str">
        <f ca="1">IFERROR(__xludf.DUMMYFUNCTION("""COMPUTED_VALUE"""),"CSTM_35PIJUSJB6E")</f>
        <v>CSTM_35PIJUSJB6E</v>
      </c>
      <c r="Q598" s="6" t="str">
        <f ca="1">IFERROR(__xludf.DUMMYFUNCTION("""COMPUTED_VALUE"""),"epgpcic@iimidr.ac.in")</f>
        <v>epgpcic@iimidr.ac.in</v>
      </c>
      <c r="R598" s="6" t="str">
        <f ca="1">IFERROR(__xludf.DUMMYFUNCTION("""COMPUTED_VALUE"""),"Pending")</f>
        <v>Pending</v>
      </c>
      <c r="S598" s="6" t="str">
        <f ca="1">IFERROR(__xludf.DUMMYFUNCTION("""COMPUTED_VALUE"""),"Category")</f>
        <v>Category</v>
      </c>
      <c r="T598" s="6"/>
      <c r="U598" s="6"/>
      <c r="V598" s="6"/>
      <c r="W598" s="6"/>
      <c r="X598" s="6"/>
      <c r="Y598" s="6"/>
      <c r="Z598" s="6"/>
      <c r="AA598" s="6"/>
      <c r="AB598" s="6"/>
      <c r="AC598" s="6"/>
      <c r="AD598" s="6"/>
      <c r="AE598" s="6"/>
      <c r="AF598" s="6"/>
      <c r="AG598" s="6"/>
      <c r="AH598" s="6"/>
      <c r="AI598" s="6"/>
      <c r="AJ598" s="6"/>
      <c r="AK598" s="6"/>
      <c r="AL598" s="6"/>
    </row>
    <row r="599" spans="1:38">
      <c r="A599" s="96">
        <f ca="1">IFERROR(__xludf.DUMMYFUNCTION("""COMPUTED_VALUE"""),44453)</f>
        <v>44453</v>
      </c>
      <c r="B599" s="6" t="str">
        <f ca="1">IFERROR(__xludf.DUMMYFUNCTION("""COMPUTED_VALUE"""),"Neeraj Saxena")</f>
        <v>Neeraj Saxena</v>
      </c>
      <c r="C599" s="6" t="str">
        <f ca="1">IFERROR(__xludf.DUMMYFUNCTION("""COMPUTED_VALUE"""),"neerajsaxena37@gmail.com")</f>
        <v>neerajsaxena37@gmail.com</v>
      </c>
      <c r="D599" s="6">
        <f ca="1">IFERROR(__xludf.DUMMYFUNCTION("""COMPUTED_VALUE"""),9885216160)</f>
        <v>9885216160</v>
      </c>
      <c r="E599" s="6" t="str">
        <f ca="1">IFERROR(__xludf.DUMMYFUNCTION("""COMPUTED_VALUE"""),"Query box")</f>
        <v>Query box</v>
      </c>
      <c r="F599" s="6" t="str">
        <f ca="1">IFERROR(__xludf.DUMMYFUNCTION("""COMPUTED_VALUE"""),"SAFe POPM")</f>
        <v>SAFe POPM</v>
      </c>
      <c r="G599" s="80">
        <f ca="1">IFERROR(__xludf.DUMMYFUNCTION("""COMPUTED_VALUE"""),44440)</f>
        <v>44440</v>
      </c>
      <c r="H599" s="6" t="str">
        <f ca="1">IFERROR(__xludf.DUMMYFUNCTION("""COMPUTED_VALUE"""),"Won")</f>
        <v>Won</v>
      </c>
      <c r="I599" s="6" t="str">
        <f ca="1">IFERROR(__xludf.DUMMYFUNCTION("""COMPUTED_VALUE"""),"2-3 Oct 2021")</f>
        <v>2-3 Oct 2021</v>
      </c>
      <c r="J599" s="6">
        <f ca="1">IFERROR(__xludf.DUMMYFUNCTION("""COMPUTED_VALUE"""),1)</f>
        <v>1</v>
      </c>
      <c r="K599" s="8">
        <f ca="1">IFERROR(__xludf.DUMMYFUNCTION("""COMPUTED_VALUE"""),45000)</f>
        <v>45000</v>
      </c>
      <c r="L599" s="8">
        <f ca="1">IFERROR(__xludf.DUMMYFUNCTION("""COMPUTED_VALUE"""),515.345854328905)</f>
        <v>515.34585432890503</v>
      </c>
      <c r="M599" s="96">
        <f ca="1">IFERROR(__xludf.DUMMYFUNCTION("""COMPUTED_VALUE"""),44454)</f>
        <v>44454</v>
      </c>
      <c r="N599" s="6" t="str">
        <f ca="1">IFERROR(__xludf.DUMMYFUNCTION("""COMPUTED_VALUE"""),"S10")</f>
        <v>S10</v>
      </c>
      <c r="O599" s="97">
        <f ca="1">IFERROR(__xludf.DUMMYFUNCTION("""COMPUTED_VALUE"""),44454)</f>
        <v>44454</v>
      </c>
      <c r="P599" s="6" t="str">
        <f ca="1">IFERROR(__xludf.DUMMYFUNCTION("""COMPUTED_VALUE"""),"CSTM_C5026X53KRT")</f>
        <v>CSTM_C5026X53KRT</v>
      </c>
      <c r="Q599" s="6"/>
      <c r="R599" s="6" t="str">
        <f ca="1">IFERROR(__xludf.DUMMYFUNCTION("""COMPUTED_VALUE"""),"Done. Good feedback.")</f>
        <v>Done. Good feedback.</v>
      </c>
      <c r="S599" s="6" t="str">
        <f ca="1">IFERROR(__xludf.DUMMYFUNCTION("""COMPUTED_VALUE"""),"SAFe")</f>
        <v>SAFe</v>
      </c>
      <c r="T599" s="6"/>
      <c r="U599" s="6"/>
      <c r="V599" s="6"/>
      <c r="W599" s="6"/>
      <c r="X599" s="6"/>
      <c r="Y599" s="6"/>
      <c r="Z599" s="6"/>
      <c r="AA599" s="6"/>
      <c r="AB599" s="6"/>
      <c r="AC599" s="6"/>
      <c r="AD599" s="6"/>
      <c r="AE599" s="6"/>
      <c r="AF599" s="6"/>
      <c r="AG599" s="6"/>
      <c r="AH599" s="6"/>
      <c r="AI599" s="6"/>
      <c r="AJ599" s="6"/>
      <c r="AK599" s="6"/>
      <c r="AL599" s="6"/>
    </row>
    <row r="600" spans="1:38">
      <c r="A600" s="96">
        <f ca="1">IFERROR(__xludf.DUMMYFUNCTION("""COMPUTED_VALUE"""),44454)</f>
        <v>44454</v>
      </c>
      <c r="B600" s="6" t="str">
        <f ca="1">IFERROR(__xludf.DUMMYFUNCTION("""COMPUTED_VALUE"""),"Sumit Hirawat")</f>
        <v>Sumit Hirawat</v>
      </c>
      <c r="C600" s="6" t="str">
        <f ca="1">IFERROR(__xludf.DUMMYFUNCTION("""COMPUTED_VALUE"""),"sumithirawat61@gmail.com")</f>
        <v>sumithirawat61@gmail.com</v>
      </c>
      <c r="D600" s="6">
        <f ca="1">IFERROR(__xludf.DUMMYFUNCTION("""COMPUTED_VALUE"""),8800423312)</f>
        <v>8800423312</v>
      </c>
      <c r="E600" s="6" t="str">
        <f ca="1">IFERROR(__xludf.DUMMYFUNCTION("""COMPUTED_VALUE"""),"Reference")</f>
        <v>Reference</v>
      </c>
      <c r="F600" s="6" t="str">
        <f ca="1">IFERROR(__xludf.DUMMYFUNCTION("""COMPUTED_VALUE"""),"SAFe POPM")</f>
        <v>SAFe POPM</v>
      </c>
      <c r="G600" s="80">
        <f ca="1">IFERROR(__xludf.DUMMYFUNCTION("""COMPUTED_VALUE"""),44440)</f>
        <v>44440</v>
      </c>
      <c r="H600" s="6" t="str">
        <f ca="1">IFERROR(__xludf.DUMMYFUNCTION("""COMPUTED_VALUE"""),"Won")</f>
        <v>Won</v>
      </c>
      <c r="I600" s="6" t="str">
        <f ca="1">IFERROR(__xludf.DUMMYFUNCTION("""COMPUTED_VALUE"""),"2-3 Oct 2021")</f>
        <v>2-3 Oct 2021</v>
      </c>
      <c r="J600" s="6">
        <f ca="1">IFERROR(__xludf.DUMMYFUNCTION("""COMPUTED_VALUE"""),1)</f>
        <v>1</v>
      </c>
      <c r="K600" s="8">
        <f ca="1">IFERROR(__xludf.DUMMYFUNCTION("""COMPUTED_VALUE"""),45000)</f>
        <v>45000</v>
      </c>
      <c r="L600" s="8">
        <f ca="1">IFERROR(__xludf.DUMMYFUNCTION("""COMPUTED_VALUE"""),515.345854328905)</f>
        <v>515.34585432890503</v>
      </c>
      <c r="M600" s="96">
        <f ca="1">IFERROR(__xludf.DUMMYFUNCTION("""COMPUTED_VALUE"""),44454)</f>
        <v>44454</v>
      </c>
      <c r="N600" s="6" t="str">
        <f ca="1">IFERROR(__xludf.DUMMYFUNCTION("""COMPUTED_VALUE"""),"S10")</f>
        <v>S10</v>
      </c>
      <c r="O600" s="97">
        <f ca="1">IFERROR(__xludf.DUMMYFUNCTION("""COMPUTED_VALUE"""),44454)</f>
        <v>44454</v>
      </c>
      <c r="P600" s="6" t="str">
        <f ca="1">IFERROR(__xludf.DUMMYFUNCTION("""COMPUTED_VALUE"""),"CSTM_1TOLXSUZXLX")</f>
        <v>CSTM_1TOLXSUZXLX</v>
      </c>
      <c r="Q600" s="6" t="str">
        <f ca="1">IFERROR(__xludf.DUMMYFUNCTION("""COMPUTED_VALUE"""),"epgpcic@iimidr.ac.in")</f>
        <v>epgpcic@iimidr.ac.in</v>
      </c>
      <c r="R600" s="6" t="str">
        <f ca="1">IFERROR(__xludf.DUMMYFUNCTION("""COMPUTED_VALUE"""),"Done. Good feedback.")</f>
        <v>Done. Good feedback.</v>
      </c>
      <c r="S600" s="6" t="str">
        <f ca="1">IFERROR(__xludf.DUMMYFUNCTION("""COMPUTED_VALUE"""),"SAFe")</f>
        <v>SAFe</v>
      </c>
      <c r="T600" s="6"/>
      <c r="U600" s="6"/>
      <c r="V600" s="6"/>
      <c r="W600" s="6"/>
      <c r="X600" s="6"/>
      <c r="Y600" s="6"/>
      <c r="Z600" s="6"/>
      <c r="AA600" s="6"/>
      <c r="AB600" s="6"/>
      <c r="AC600" s="6"/>
      <c r="AD600" s="6"/>
      <c r="AE600" s="6"/>
      <c r="AF600" s="6"/>
      <c r="AG600" s="6"/>
      <c r="AH600" s="6"/>
      <c r="AI600" s="6"/>
      <c r="AJ600" s="6"/>
      <c r="AK600" s="6"/>
      <c r="AL600" s="6"/>
    </row>
    <row r="601" spans="1:38">
      <c r="A601" s="96">
        <f ca="1">IFERROR(__xludf.DUMMYFUNCTION("""COMPUTED_VALUE"""),44454)</f>
        <v>44454</v>
      </c>
      <c r="B601" s="6" t="str">
        <f ca="1">IFERROR(__xludf.DUMMYFUNCTION("""COMPUTED_VALUE"""),"Aakansha")</f>
        <v>Aakansha</v>
      </c>
      <c r="C601" s="6" t="str">
        <f ca="1">IFERROR(__xludf.DUMMYFUNCTION("""COMPUTED_VALUE"""),"aakanksha22duggal@gmail.com")</f>
        <v>aakanksha22duggal@gmail.com</v>
      </c>
      <c r="D601" s="6">
        <f ca="1">IFERROR(__xludf.DUMMYFUNCTION("""COMPUTED_VALUE"""),9718985958)</f>
        <v>9718985958</v>
      </c>
      <c r="E601" s="6" t="str">
        <f ca="1">IFERROR(__xludf.DUMMYFUNCTION("""COMPUTED_VALUE"""),"Chat_triggered")</f>
        <v>Chat_triggered</v>
      </c>
      <c r="F601" s="6" t="str">
        <f ca="1">IFERROR(__xludf.DUMMYFUNCTION("""COMPUTED_VALUE"""),"CSM")</f>
        <v>CSM</v>
      </c>
      <c r="G601" s="80">
        <f ca="1">IFERROR(__xludf.DUMMYFUNCTION("""COMPUTED_VALUE"""),44440)</f>
        <v>44440</v>
      </c>
      <c r="H601" s="6" t="str">
        <f ca="1">IFERROR(__xludf.DUMMYFUNCTION("""COMPUTED_VALUE"""),"Won")</f>
        <v>Won</v>
      </c>
      <c r="I601" s="6" t="str">
        <f ca="1">IFERROR(__xludf.DUMMYFUNCTION("""COMPUTED_VALUE"""),"18-19 Sep 2021")</f>
        <v>18-19 Sep 2021</v>
      </c>
      <c r="J601" s="6">
        <f ca="1">IFERROR(__xludf.DUMMYFUNCTION("""COMPUTED_VALUE"""),1)</f>
        <v>1</v>
      </c>
      <c r="K601" s="8">
        <f ca="1">IFERROR(__xludf.DUMMYFUNCTION("""COMPUTED_VALUE"""),20000)</f>
        <v>20000</v>
      </c>
      <c r="L601" s="8">
        <f ca="1">IFERROR(__xludf.DUMMYFUNCTION("""COMPUTED_VALUE"""),229.042601923957)</f>
        <v>229.04260192395699</v>
      </c>
      <c r="M601" s="96">
        <f ca="1">IFERROR(__xludf.DUMMYFUNCTION("""COMPUTED_VALUE"""),44454)</f>
        <v>44454</v>
      </c>
      <c r="N601" s="6" t="str">
        <f ca="1">IFERROR(__xludf.DUMMYFUNCTION("""COMPUTED_VALUE"""),"S10")</f>
        <v>S10</v>
      </c>
      <c r="O601" s="97">
        <f ca="1">IFERROR(__xludf.DUMMYFUNCTION("""COMPUTED_VALUE"""),44454)</f>
        <v>44454</v>
      </c>
      <c r="P601" s="6" t="str">
        <f ca="1">IFERROR(__xludf.DUMMYFUNCTION("""COMPUTED_VALUE"""),"CSTM_BKNCAMG6LN3")</f>
        <v>CSTM_BKNCAMG6LN3</v>
      </c>
      <c r="Q601" s="6"/>
      <c r="R601" s="6" t="str">
        <f ca="1">IFERROR(__xludf.DUMMYFUNCTION("""COMPUTED_VALUE"""),"Done. Good feedback.")</f>
        <v>Done. Good feedback.</v>
      </c>
      <c r="S601" s="6" t="str">
        <f ca="1">IFERROR(__xludf.DUMMYFUNCTION("""COMPUTED_VALUE"""),"Category")</f>
        <v>Category</v>
      </c>
      <c r="T601" s="6"/>
      <c r="U601" s="6"/>
      <c r="V601" s="6"/>
      <c r="W601" s="6"/>
      <c r="X601" s="6"/>
      <c r="Y601" s="6"/>
      <c r="Z601" s="6"/>
      <c r="AA601" s="6"/>
      <c r="AB601" s="6"/>
      <c r="AC601" s="6"/>
      <c r="AD601" s="6"/>
      <c r="AE601" s="6"/>
      <c r="AF601" s="6"/>
      <c r="AG601" s="6"/>
      <c r="AH601" s="6"/>
      <c r="AI601" s="6"/>
      <c r="AJ601" s="6"/>
      <c r="AK601" s="6"/>
      <c r="AL601" s="6"/>
    </row>
    <row r="602" spans="1:38">
      <c r="A602" s="96">
        <f ca="1">IFERROR(__xludf.DUMMYFUNCTION("""COMPUTED_VALUE"""),44455)</f>
        <v>44455</v>
      </c>
      <c r="B602" s="6" t="str">
        <f ca="1">IFERROR(__xludf.DUMMYFUNCTION("""COMPUTED_VALUE"""),"Shweta Mulay")</f>
        <v>Shweta Mulay</v>
      </c>
      <c r="C602" s="6" t="str">
        <f ca="1">IFERROR(__xludf.DUMMYFUNCTION("""COMPUTED_VALUE"""),"shwetamulay28@gmail.com")</f>
        <v>shwetamulay28@gmail.com</v>
      </c>
      <c r="D602" s="6">
        <f ca="1">IFERROR(__xludf.DUMMYFUNCTION("""COMPUTED_VALUE"""),9922595381)</f>
        <v>9922595381</v>
      </c>
      <c r="E602" s="6" t="str">
        <f ca="1">IFERROR(__xludf.DUMMYFUNCTION("""COMPUTED_VALUE"""),"course agenda")</f>
        <v>course agenda</v>
      </c>
      <c r="F602" s="6" t="str">
        <f ca="1">IFERROR(__xludf.DUMMYFUNCTION("""COMPUTED_VALUE"""),"CSM")</f>
        <v>CSM</v>
      </c>
      <c r="G602" s="80">
        <f ca="1">IFERROR(__xludf.DUMMYFUNCTION("""COMPUTED_VALUE"""),44440)</f>
        <v>44440</v>
      </c>
      <c r="H602" s="6" t="str">
        <f ca="1">IFERROR(__xludf.DUMMYFUNCTION("""COMPUTED_VALUE"""),"Won")</f>
        <v>Won</v>
      </c>
      <c r="I602" s="6" t="str">
        <f ca="1">IFERROR(__xludf.DUMMYFUNCTION("""COMPUTED_VALUE"""),"25-26 Sep 2021")</f>
        <v>25-26 Sep 2021</v>
      </c>
      <c r="J602" s="6">
        <f ca="1">IFERROR(__xludf.DUMMYFUNCTION("""COMPUTED_VALUE"""),1)</f>
        <v>1</v>
      </c>
      <c r="K602" s="8">
        <f ca="1">IFERROR(__xludf.DUMMYFUNCTION("""COMPUTED_VALUE"""),20000)</f>
        <v>20000</v>
      </c>
      <c r="L602" s="8">
        <f ca="1">IFERROR(__xludf.DUMMYFUNCTION("""COMPUTED_VALUE"""),229.042601923957)</f>
        <v>229.04260192395699</v>
      </c>
      <c r="M602" s="96">
        <f ca="1">IFERROR(__xludf.DUMMYFUNCTION("""COMPUTED_VALUE"""),44455)</f>
        <v>44455</v>
      </c>
      <c r="N602" s="6" t="str">
        <f ca="1">IFERROR(__xludf.DUMMYFUNCTION("""COMPUTED_VALUE"""),"S10")</f>
        <v>S10</v>
      </c>
      <c r="O602" s="97">
        <f ca="1">IFERROR(__xludf.DUMMYFUNCTION("""COMPUTED_VALUE"""),44455)</f>
        <v>44455</v>
      </c>
      <c r="P602" s="6" t="str">
        <f ca="1">IFERROR(__xludf.DUMMYFUNCTION("""COMPUTED_VALUE"""),"CSTM_ARU8CGFOA8F")</f>
        <v>CSTM_ARU8CGFOA8F</v>
      </c>
      <c r="Q602" s="6"/>
      <c r="R602" s="6" t="str">
        <f ca="1">IFERROR(__xludf.DUMMYFUNCTION("""COMPUTED_VALUE"""),"Done. Good feedback.")</f>
        <v>Done. Good feedback.</v>
      </c>
      <c r="S602" s="6" t="str">
        <f ca="1">IFERROR(__xludf.DUMMYFUNCTION("""COMPUTED_VALUE"""),"Category")</f>
        <v>Category</v>
      </c>
      <c r="T602" s="6"/>
      <c r="U602" s="6"/>
      <c r="V602" s="6"/>
      <c r="W602" s="6"/>
      <c r="X602" s="6"/>
      <c r="Y602" s="6"/>
      <c r="Z602" s="6"/>
      <c r="AA602" s="6"/>
      <c r="AB602" s="6"/>
      <c r="AC602" s="6"/>
      <c r="AD602" s="6"/>
      <c r="AE602" s="6"/>
      <c r="AF602" s="6"/>
      <c r="AG602" s="6"/>
      <c r="AH602" s="6"/>
      <c r="AI602" s="6"/>
      <c r="AJ602" s="6"/>
      <c r="AK602" s="6"/>
      <c r="AL602" s="6"/>
    </row>
    <row r="603" spans="1:38">
      <c r="A603" s="96">
        <f ca="1">IFERROR(__xludf.DUMMYFUNCTION("""COMPUTED_VALUE"""),44455)</f>
        <v>44455</v>
      </c>
      <c r="B603" s="6" t="str">
        <f ca="1">IFERROR(__xludf.DUMMYFUNCTION("""COMPUTED_VALUE"""),"Shardul Pratap Singh")</f>
        <v>Shardul Pratap Singh</v>
      </c>
      <c r="C603" s="6" t="str">
        <f ca="1">IFERROR(__xludf.DUMMYFUNCTION("""COMPUTED_VALUE"""),"e21sharduls@iimidr.ac.in")</f>
        <v>e21sharduls@iimidr.ac.in</v>
      </c>
      <c r="D603" s="6">
        <f ca="1">IFERROR(__xludf.DUMMYFUNCTION("""COMPUTED_VALUE"""),9685271958)</f>
        <v>9685271958</v>
      </c>
      <c r="E603" s="6" t="str">
        <f ca="1">IFERROR(__xludf.DUMMYFUNCTION("""COMPUTED_VALUE"""),"Reference")</f>
        <v>Reference</v>
      </c>
      <c r="F603" s="6" t="str">
        <f ca="1">IFERROR(__xludf.DUMMYFUNCTION("""COMPUTED_VALUE"""),"CSPO")</f>
        <v>CSPO</v>
      </c>
      <c r="G603" s="80">
        <f ca="1">IFERROR(__xludf.DUMMYFUNCTION("""COMPUTED_VALUE"""),44440)</f>
        <v>44440</v>
      </c>
      <c r="H603" s="6" t="str">
        <f ca="1">IFERROR(__xludf.DUMMYFUNCTION("""COMPUTED_VALUE"""),"Won")</f>
        <v>Won</v>
      </c>
      <c r="I603" s="6" t="str">
        <f ca="1">IFERROR(__xludf.DUMMYFUNCTION("""COMPUTED_VALUE"""),"27-28 Sep 2021")</f>
        <v>27-28 Sep 2021</v>
      </c>
      <c r="J603" s="6">
        <f ca="1">IFERROR(__xludf.DUMMYFUNCTION("""COMPUTED_VALUE"""),1)</f>
        <v>1</v>
      </c>
      <c r="K603" s="8">
        <f ca="1">IFERROR(__xludf.DUMMYFUNCTION("""COMPUTED_VALUE"""),18000)</f>
        <v>18000</v>
      </c>
      <c r="L603" s="8">
        <f ca="1">IFERROR(__xludf.DUMMYFUNCTION("""COMPUTED_VALUE"""),206.138341731562)</f>
        <v>206.13834173156201</v>
      </c>
      <c r="M603" s="96">
        <f ca="1">IFERROR(__xludf.DUMMYFUNCTION("""COMPUTED_VALUE"""),44455)</f>
        <v>44455</v>
      </c>
      <c r="N603" s="6" t="str">
        <f ca="1">IFERROR(__xludf.DUMMYFUNCTION("""COMPUTED_VALUE"""),"S10")</f>
        <v>S10</v>
      </c>
      <c r="O603" s="97">
        <f ca="1">IFERROR(__xludf.DUMMYFUNCTION("""COMPUTED_VALUE"""),44455)</f>
        <v>44455</v>
      </c>
      <c r="P603" s="6" t="str">
        <f ca="1">IFERROR(__xludf.DUMMYFUNCTION("""COMPUTED_VALUE"""),"CSTM_GY9J21ZBB10")</f>
        <v>CSTM_GY9J21ZBB10</v>
      </c>
      <c r="Q603" s="6" t="str">
        <f ca="1">IFERROR(__xludf.DUMMYFUNCTION("""COMPUTED_VALUE"""),"epgpcic@iimidr.ac.in")</f>
        <v>epgpcic@iimidr.ac.in</v>
      </c>
      <c r="R603" s="6" t="str">
        <f ca="1">IFERROR(__xludf.DUMMYFUNCTION("""COMPUTED_VALUE"""),"Pending")</f>
        <v>Pending</v>
      </c>
      <c r="S603" s="6" t="str">
        <f ca="1">IFERROR(__xludf.DUMMYFUNCTION("""COMPUTED_VALUE"""),"Category")</f>
        <v>Category</v>
      </c>
      <c r="T603" s="6"/>
      <c r="U603" s="6"/>
      <c r="V603" s="6"/>
      <c r="W603" s="6"/>
      <c r="X603" s="6"/>
      <c r="Y603" s="6"/>
      <c r="Z603" s="6"/>
      <c r="AA603" s="6"/>
      <c r="AB603" s="6"/>
      <c r="AC603" s="6"/>
      <c r="AD603" s="6"/>
      <c r="AE603" s="6"/>
      <c r="AF603" s="6"/>
      <c r="AG603" s="6"/>
      <c r="AH603" s="6"/>
      <c r="AI603" s="6"/>
      <c r="AJ603" s="6"/>
      <c r="AK603" s="6"/>
      <c r="AL603" s="6"/>
    </row>
    <row r="604" spans="1:38">
      <c r="A604" s="96">
        <f ca="1">IFERROR(__xludf.DUMMYFUNCTION("""COMPUTED_VALUE"""),44455)</f>
        <v>44455</v>
      </c>
      <c r="B604" s="6" t="str">
        <f ca="1">IFERROR(__xludf.DUMMYFUNCTION("""COMPUTED_VALUE"""),"Chandra Prabhahar C")</f>
        <v>Chandra Prabhahar C</v>
      </c>
      <c r="C604" s="6" t="str">
        <f ca="1">IFERROR(__xludf.DUMMYFUNCTION("""COMPUTED_VALUE"""),"e21chandrac@iimidr.ac.in")</f>
        <v>e21chandrac@iimidr.ac.in</v>
      </c>
      <c r="D604" s="6">
        <f ca="1">IFERROR(__xludf.DUMMYFUNCTION("""COMPUTED_VALUE"""),9940529141)</f>
        <v>9940529141</v>
      </c>
      <c r="E604" s="6" t="str">
        <f ca="1">IFERROR(__xludf.DUMMYFUNCTION("""COMPUTED_VALUE"""),"Reference")</f>
        <v>Reference</v>
      </c>
      <c r="F604" s="6" t="str">
        <f ca="1">IFERROR(__xludf.DUMMYFUNCTION("""COMPUTED_VALUE"""),"CSPO")</f>
        <v>CSPO</v>
      </c>
      <c r="G604" s="80">
        <f ca="1">IFERROR(__xludf.DUMMYFUNCTION("""COMPUTED_VALUE"""),44440)</f>
        <v>44440</v>
      </c>
      <c r="H604" s="6" t="str">
        <f ca="1">IFERROR(__xludf.DUMMYFUNCTION("""COMPUTED_VALUE"""),"Won")</f>
        <v>Won</v>
      </c>
      <c r="I604" s="6" t="str">
        <f ca="1">IFERROR(__xludf.DUMMYFUNCTION("""COMPUTED_VALUE"""),"27-28 Sep 2021")</f>
        <v>27-28 Sep 2021</v>
      </c>
      <c r="J604" s="6">
        <f ca="1">IFERROR(__xludf.DUMMYFUNCTION("""COMPUTED_VALUE"""),1)</f>
        <v>1</v>
      </c>
      <c r="K604" s="8">
        <f ca="1">IFERROR(__xludf.DUMMYFUNCTION("""COMPUTED_VALUE"""),18000)</f>
        <v>18000</v>
      </c>
      <c r="L604" s="8">
        <f ca="1">IFERROR(__xludf.DUMMYFUNCTION("""COMPUTED_VALUE"""),206.138341731562)</f>
        <v>206.13834173156201</v>
      </c>
      <c r="M604" s="96">
        <f ca="1">IFERROR(__xludf.DUMMYFUNCTION("""COMPUTED_VALUE"""),44455)</f>
        <v>44455</v>
      </c>
      <c r="N604" s="6" t="str">
        <f ca="1">IFERROR(__xludf.DUMMYFUNCTION("""COMPUTED_VALUE"""),"S10")</f>
        <v>S10</v>
      </c>
      <c r="O604" s="97">
        <f ca="1">IFERROR(__xludf.DUMMYFUNCTION("""COMPUTED_VALUE"""),44455)</f>
        <v>44455</v>
      </c>
      <c r="P604" s="6" t="str">
        <f ca="1">IFERROR(__xludf.DUMMYFUNCTION("""COMPUTED_VALUE"""),"CSTM_2S19NLW5CMN")</f>
        <v>CSTM_2S19NLW5CMN</v>
      </c>
      <c r="Q604" s="6" t="str">
        <f ca="1">IFERROR(__xludf.DUMMYFUNCTION("""COMPUTED_VALUE"""),"epgpcic@iimidr.ac.in")</f>
        <v>epgpcic@iimidr.ac.in</v>
      </c>
      <c r="R604" s="6" t="str">
        <f ca="1">IFERROR(__xludf.DUMMYFUNCTION("""COMPUTED_VALUE"""),"Pending")</f>
        <v>Pending</v>
      </c>
      <c r="S604" s="6" t="str">
        <f ca="1">IFERROR(__xludf.DUMMYFUNCTION("""COMPUTED_VALUE"""),"Category")</f>
        <v>Category</v>
      </c>
      <c r="T604" s="6"/>
      <c r="U604" s="6"/>
      <c r="V604" s="6"/>
      <c r="W604" s="6"/>
      <c r="X604" s="6"/>
      <c r="Y604" s="6"/>
      <c r="Z604" s="6"/>
      <c r="AA604" s="6"/>
      <c r="AB604" s="6"/>
      <c r="AC604" s="6"/>
      <c r="AD604" s="6"/>
      <c r="AE604" s="6"/>
      <c r="AF604" s="6"/>
      <c r="AG604" s="6"/>
      <c r="AH604" s="6"/>
      <c r="AI604" s="6"/>
      <c r="AJ604" s="6"/>
      <c r="AK604" s="6"/>
      <c r="AL604" s="6"/>
    </row>
    <row r="605" spans="1:38">
      <c r="A605" s="96">
        <f ca="1">IFERROR(__xludf.DUMMYFUNCTION("""COMPUTED_VALUE"""),44455)</f>
        <v>44455</v>
      </c>
      <c r="B605" s="6" t="str">
        <f ca="1">IFERROR(__xludf.DUMMYFUNCTION("""COMPUTED_VALUE"""),"Aman Srivastava")</f>
        <v>Aman Srivastava</v>
      </c>
      <c r="C605" s="6" t="str">
        <f ca="1">IFERROR(__xludf.DUMMYFUNCTION("""COMPUTED_VALUE"""),"e21amans@iimidr.ac.in")</f>
        <v>e21amans@iimidr.ac.in</v>
      </c>
      <c r="D605" s="6">
        <f ca="1">IFERROR(__xludf.DUMMYFUNCTION("""COMPUTED_VALUE"""),9453162758)</f>
        <v>9453162758</v>
      </c>
      <c r="E605" s="6" t="str">
        <f ca="1">IFERROR(__xludf.DUMMYFUNCTION("""COMPUTED_VALUE"""),"Reference")</f>
        <v>Reference</v>
      </c>
      <c r="F605" s="6" t="str">
        <f ca="1">IFERROR(__xludf.DUMMYFUNCTION("""COMPUTED_VALUE"""),"CSPO")</f>
        <v>CSPO</v>
      </c>
      <c r="G605" s="80">
        <f ca="1">IFERROR(__xludf.DUMMYFUNCTION("""COMPUTED_VALUE"""),44440)</f>
        <v>44440</v>
      </c>
      <c r="H605" s="6" t="str">
        <f ca="1">IFERROR(__xludf.DUMMYFUNCTION("""COMPUTED_VALUE"""),"Won")</f>
        <v>Won</v>
      </c>
      <c r="I605" s="6" t="str">
        <f ca="1">IFERROR(__xludf.DUMMYFUNCTION("""COMPUTED_VALUE"""),"27-28 Sep 2021")</f>
        <v>27-28 Sep 2021</v>
      </c>
      <c r="J605" s="6">
        <f ca="1">IFERROR(__xludf.DUMMYFUNCTION("""COMPUTED_VALUE"""),1)</f>
        <v>1</v>
      </c>
      <c r="K605" s="8">
        <f ca="1">IFERROR(__xludf.DUMMYFUNCTION("""COMPUTED_VALUE"""),18000)</f>
        <v>18000</v>
      </c>
      <c r="L605" s="8">
        <f ca="1">IFERROR(__xludf.DUMMYFUNCTION("""COMPUTED_VALUE"""),206.138341731562)</f>
        <v>206.13834173156201</v>
      </c>
      <c r="M605" s="96">
        <f ca="1">IFERROR(__xludf.DUMMYFUNCTION("""COMPUTED_VALUE"""),44455)</f>
        <v>44455</v>
      </c>
      <c r="N605" s="6" t="str">
        <f ca="1">IFERROR(__xludf.DUMMYFUNCTION("""COMPUTED_VALUE"""),"S10")</f>
        <v>S10</v>
      </c>
      <c r="O605" s="97">
        <f ca="1">IFERROR(__xludf.DUMMYFUNCTION("""COMPUTED_VALUE"""),44455)</f>
        <v>44455</v>
      </c>
      <c r="P605" s="6" t="str">
        <f ca="1">IFERROR(__xludf.DUMMYFUNCTION("""COMPUTED_VALUE"""),"CSTM_G3R89TRLZPC")</f>
        <v>CSTM_G3R89TRLZPC</v>
      </c>
      <c r="Q605" s="6" t="str">
        <f ca="1">IFERROR(__xludf.DUMMYFUNCTION("""COMPUTED_VALUE"""),"epgpcic@iimidr.ac.in")</f>
        <v>epgpcic@iimidr.ac.in</v>
      </c>
      <c r="R605" s="6" t="str">
        <f ca="1">IFERROR(__xludf.DUMMYFUNCTION("""COMPUTED_VALUE"""),"Pending")</f>
        <v>Pending</v>
      </c>
      <c r="S605" s="6" t="str">
        <f ca="1">IFERROR(__xludf.DUMMYFUNCTION("""COMPUTED_VALUE"""),"Category")</f>
        <v>Category</v>
      </c>
      <c r="T605" s="6"/>
      <c r="U605" s="6"/>
      <c r="V605" s="6"/>
      <c r="W605" s="6"/>
      <c r="X605" s="6"/>
      <c r="Y605" s="6"/>
      <c r="Z605" s="6"/>
      <c r="AA605" s="6"/>
      <c r="AB605" s="6"/>
      <c r="AC605" s="6"/>
      <c r="AD605" s="6"/>
      <c r="AE605" s="6"/>
      <c r="AF605" s="6"/>
      <c r="AG605" s="6"/>
      <c r="AH605" s="6"/>
      <c r="AI605" s="6"/>
      <c r="AJ605" s="6"/>
      <c r="AK605" s="6"/>
      <c r="AL605" s="6"/>
    </row>
    <row r="606" spans="1:38">
      <c r="A606" s="96">
        <f ca="1">IFERROR(__xludf.DUMMYFUNCTION("""COMPUTED_VALUE"""),44455)</f>
        <v>44455</v>
      </c>
      <c r="B606" s="6" t="str">
        <f ca="1">IFERROR(__xludf.DUMMYFUNCTION("""COMPUTED_VALUE"""),"Kandala Chaitanya")</f>
        <v>Kandala Chaitanya</v>
      </c>
      <c r="C606" s="6" t="str">
        <f ca="1">IFERROR(__xludf.DUMMYFUNCTION("""COMPUTED_VALUE"""),"e21kandalac@iimidr.ac.in")</f>
        <v>e21kandalac@iimidr.ac.in</v>
      </c>
      <c r="D606" s="6">
        <f ca="1">IFERROR(__xludf.DUMMYFUNCTION("""COMPUTED_VALUE"""),8143471534)</f>
        <v>8143471534</v>
      </c>
      <c r="E606" s="6" t="str">
        <f ca="1">IFERROR(__xludf.DUMMYFUNCTION("""COMPUTED_VALUE"""),"Reference")</f>
        <v>Reference</v>
      </c>
      <c r="F606" s="6" t="str">
        <f ca="1">IFERROR(__xludf.DUMMYFUNCTION("""COMPUTED_VALUE"""),"CSPO")</f>
        <v>CSPO</v>
      </c>
      <c r="G606" s="80">
        <f ca="1">IFERROR(__xludf.DUMMYFUNCTION("""COMPUTED_VALUE"""),44440)</f>
        <v>44440</v>
      </c>
      <c r="H606" s="6" t="str">
        <f ca="1">IFERROR(__xludf.DUMMYFUNCTION("""COMPUTED_VALUE"""),"Won")</f>
        <v>Won</v>
      </c>
      <c r="I606" s="6" t="str">
        <f ca="1">IFERROR(__xludf.DUMMYFUNCTION("""COMPUTED_VALUE"""),"27-28 Sep 2021")</f>
        <v>27-28 Sep 2021</v>
      </c>
      <c r="J606" s="6">
        <f ca="1">IFERROR(__xludf.DUMMYFUNCTION("""COMPUTED_VALUE"""),1)</f>
        <v>1</v>
      </c>
      <c r="K606" s="8">
        <f ca="1">IFERROR(__xludf.DUMMYFUNCTION("""COMPUTED_VALUE"""),18000)</f>
        <v>18000</v>
      </c>
      <c r="L606" s="8">
        <f ca="1">IFERROR(__xludf.DUMMYFUNCTION("""COMPUTED_VALUE"""),206.138341731562)</f>
        <v>206.13834173156201</v>
      </c>
      <c r="M606" s="96">
        <f ca="1">IFERROR(__xludf.DUMMYFUNCTION("""COMPUTED_VALUE"""),44455)</f>
        <v>44455</v>
      </c>
      <c r="N606" s="6" t="str">
        <f ca="1">IFERROR(__xludf.DUMMYFUNCTION("""COMPUTED_VALUE"""),"S10")</f>
        <v>S10</v>
      </c>
      <c r="O606" s="97">
        <f ca="1">IFERROR(__xludf.DUMMYFUNCTION("""COMPUTED_VALUE"""),44455)</f>
        <v>44455</v>
      </c>
      <c r="P606" s="6" t="str">
        <f ca="1">IFERROR(__xludf.DUMMYFUNCTION("""COMPUTED_VALUE"""),"CSTM_I1XJW7TOATE")</f>
        <v>CSTM_I1XJW7TOATE</v>
      </c>
      <c r="Q606" s="6" t="str">
        <f ca="1">IFERROR(__xludf.DUMMYFUNCTION("""COMPUTED_VALUE"""),"epgpcic@iimidr.ac.in")</f>
        <v>epgpcic@iimidr.ac.in</v>
      </c>
      <c r="R606" s="6" t="str">
        <f ca="1">IFERROR(__xludf.DUMMYFUNCTION("""COMPUTED_VALUE"""),"Pending")</f>
        <v>Pending</v>
      </c>
      <c r="S606" s="6" t="str">
        <f ca="1">IFERROR(__xludf.DUMMYFUNCTION("""COMPUTED_VALUE"""),"Category")</f>
        <v>Category</v>
      </c>
      <c r="T606" s="6"/>
      <c r="U606" s="6"/>
      <c r="V606" s="6"/>
      <c r="W606" s="6"/>
      <c r="X606" s="6"/>
      <c r="Y606" s="6"/>
      <c r="Z606" s="6"/>
      <c r="AA606" s="6"/>
      <c r="AB606" s="6"/>
      <c r="AC606" s="6"/>
      <c r="AD606" s="6"/>
      <c r="AE606" s="6"/>
      <c r="AF606" s="6"/>
      <c r="AG606" s="6"/>
      <c r="AH606" s="6"/>
      <c r="AI606" s="6"/>
      <c r="AJ606" s="6"/>
      <c r="AK606" s="6"/>
      <c r="AL606" s="6"/>
    </row>
    <row r="607" spans="1:38">
      <c r="A607" s="96">
        <f ca="1">IFERROR(__xludf.DUMMYFUNCTION("""COMPUTED_VALUE"""),44456)</f>
        <v>44456</v>
      </c>
      <c r="B607" s="6" t="str">
        <f ca="1">IFERROR(__xludf.DUMMYFUNCTION("""COMPUTED_VALUE"""),"Palanivel")</f>
        <v>Palanivel</v>
      </c>
      <c r="C607" s="6" t="str">
        <f ca="1">IFERROR(__xludf.DUMMYFUNCTION("""COMPUTED_VALUE"""),"palanivel.n@gmail.com")</f>
        <v>palanivel.n@gmail.com</v>
      </c>
      <c r="D607" s="6">
        <f ca="1">IFERROR(__xludf.DUMMYFUNCTION("""COMPUTED_VALUE"""),9600015838)</f>
        <v>9600015838</v>
      </c>
      <c r="E607" s="6" t="str">
        <f ca="1">IFERROR(__xludf.DUMMYFUNCTION("""COMPUTED_VALUE"""),"chat_initiated")</f>
        <v>chat_initiated</v>
      </c>
      <c r="F607" s="6" t="str">
        <f ca="1">IFERROR(__xludf.DUMMYFUNCTION("""COMPUTED_VALUE"""),"CSM")</f>
        <v>CSM</v>
      </c>
      <c r="G607" s="80">
        <f ca="1">IFERROR(__xludf.DUMMYFUNCTION("""COMPUTED_VALUE"""),44440)</f>
        <v>44440</v>
      </c>
      <c r="H607" s="6" t="str">
        <f ca="1">IFERROR(__xludf.DUMMYFUNCTION("""COMPUTED_VALUE"""),"Won")</f>
        <v>Won</v>
      </c>
      <c r="I607" s="6" t="str">
        <f ca="1">IFERROR(__xludf.DUMMYFUNCTION("""COMPUTED_VALUE"""),"25-26 Sep 2021")</f>
        <v>25-26 Sep 2021</v>
      </c>
      <c r="J607" s="6">
        <f ca="1">IFERROR(__xludf.DUMMYFUNCTION("""COMPUTED_VALUE"""),1)</f>
        <v>1</v>
      </c>
      <c r="K607" s="8">
        <f ca="1">IFERROR(__xludf.DUMMYFUNCTION("""COMPUTED_VALUE"""),18500)</f>
        <v>18500</v>
      </c>
      <c r="L607" s="8">
        <f ca="1">IFERROR(__xludf.DUMMYFUNCTION("""COMPUTED_VALUE"""),211.864406779661)</f>
        <v>211.86440677966101</v>
      </c>
      <c r="M607" s="96">
        <f ca="1">IFERROR(__xludf.DUMMYFUNCTION("""COMPUTED_VALUE"""),44456)</f>
        <v>44456</v>
      </c>
      <c r="N607" s="6" t="str">
        <f ca="1">IFERROR(__xludf.DUMMYFUNCTION("""COMPUTED_VALUE"""),"S10")</f>
        <v>S10</v>
      </c>
      <c r="O607" s="97">
        <f ca="1">IFERROR(__xludf.DUMMYFUNCTION("""COMPUTED_VALUE"""),44456)</f>
        <v>44456</v>
      </c>
      <c r="P607" s="6" t="str">
        <f ca="1">IFERROR(__xludf.DUMMYFUNCTION("""COMPUTED_VALUE"""),"CSTM_2B077O7W775")</f>
        <v>CSTM_2B077O7W775</v>
      </c>
      <c r="Q607" s="6"/>
      <c r="R607" s="6" t="str">
        <f ca="1">IFERROR(__xludf.DUMMYFUNCTION("""COMPUTED_VALUE"""),"Done. Good feedback.")</f>
        <v>Done. Good feedback.</v>
      </c>
      <c r="S607" s="6" t="str">
        <f ca="1">IFERROR(__xludf.DUMMYFUNCTION("""COMPUTED_VALUE"""),"Category")</f>
        <v>Category</v>
      </c>
      <c r="T607" s="6"/>
      <c r="U607" s="6"/>
      <c r="V607" s="6"/>
      <c r="W607" s="6"/>
      <c r="X607" s="6"/>
      <c r="Y607" s="6"/>
      <c r="Z607" s="6"/>
      <c r="AA607" s="6"/>
      <c r="AB607" s="6"/>
      <c r="AC607" s="6"/>
      <c r="AD607" s="6"/>
      <c r="AE607" s="6"/>
      <c r="AF607" s="6"/>
      <c r="AG607" s="6"/>
      <c r="AH607" s="6"/>
      <c r="AI607" s="6"/>
      <c r="AJ607" s="6"/>
      <c r="AK607" s="6"/>
      <c r="AL607" s="6"/>
    </row>
    <row r="608" spans="1:38">
      <c r="A608" s="96">
        <f ca="1">IFERROR(__xludf.DUMMYFUNCTION("""COMPUTED_VALUE"""),44456)</f>
        <v>44456</v>
      </c>
      <c r="B608" s="6" t="str">
        <f ca="1">IFERROR(__xludf.DUMMYFUNCTION("""COMPUTED_VALUE"""),"Mitesh Solanki")</f>
        <v>Mitesh Solanki</v>
      </c>
      <c r="C608" s="6" t="str">
        <f ca="1">IFERROR(__xludf.DUMMYFUNCTION("""COMPUTED_VALUE"""),"ma.solanki@yahoo.com")</f>
        <v>ma.solanki@yahoo.com</v>
      </c>
      <c r="D608" s="6">
        <f ca="1">IFERROR(__xludf.DUMMYFUNCTION("""COMPUTED_VALUE"""),7507187917)</f>
        <v>7507187917</v>
      </c>
      <c r="E608" s="6" t="str">
        <f ca="1">IFERROR(__xludf.DUMMYFUNCTION("""COMPUTED_VALUE"""),"Account Repeat")</f>
        <v>Account Repeat</v>
      </c>
      <c r="F608" s="6" t="str">
        <f ca="1">IFERROR(__xludf.DUMMYFUNCTION("""COMPUTED_VALUE"""),"PMP")</f>
        <v>PMP</v>
      </c>
      <c r="G608" s="80">
        <f ca="1">IFERROR(__xludf.DUMMYFUNCTION("""COMPUTED_VALUE"""),44440)</f>
        <v>44440</v>
      </c>
      <c r="H608" s="6" t="str">
        <f ca="1">IFERROR(__xludf.DUMMYFUNCTION("""COMPUTED_VALUE"""),"Won")</f>
        <v>Won</v>
      </c>
      <c r="I608" s="6" t="str">
        <f ca="1">IFERROR(__xludf.DUMMYFUNCTION("""COMPUTED_VALUE"""),"25 Sep 2021")</f>
        <v>25 Sep 2021</v>
      </c>
      <c r="J608" s="6">
        <f ca="1">IFERROR(__xludf.DUMMYFUNCTION("""COMPUTED_VALUE"""),1)</f>
        <v>1</v>
      </c>
      <c r="K608" s="8">
        <f ca="1">IFERROR(__xludf.DUMMYFUNCTION("""COMPUTED_VALUE"""),11000)</f>
        <v>11000</v>
      </c>
      <c r="L608" s="8">
        <f ca="1">IFERROR(__xludf.DUMMYFUNCTION("""COMPUTED_VALUE"""),125.973431058176)</f>
        <v>125.973431058176</v>
      </c>
      <c r="M608" s="96">
        <f ca="1">IFERROR(__xludf.DUMMYFUNCTION("""COMPUTED_VALUE"""),44456)</f>
        <v>44456</v>
      </c>
      <c r="N608" s="6" t="str">
        <f ca="1">IFERROR(__xludf.DUMMYFUNCTION("""COMPUTED_VALUE"""),"S10")</f>
        <v>S10</v>
      </c>
      <c r="O608" s="97">
        <f ca="1">IFERROR(__xludf.DUMMYFUNCTION("""COMPUTED_VALUE"""),44456)</f>
        <v>44456</v>
      </c>
      <c r="P608" s="6" t="str">
        <f ca="1">IFERROR(__xludf.DUMMYFUNCTION("""COMPUTED_VALUE"""),"CSTM_B5E6WIDIM0R")</f>
        <v>CSTM_B5E6WIDIM0R</v>
      </c>
      <c r="Q608" s="6"/>
      <c r="R608" s="6" t="str">
        <f ca="1">IFERROR(__xludf.DUMMYFUNCTION("""COMPUTED_VALUE"""),"Pending")</f>
        <v>Pending</v>
      </c>
      <c r="S608" s="6" t="str">
        <f ca="1">IFERROR(__xludf.DUMMYFUNCTION("""COMPUTED_VALUE"""),"NonCategory")</f>
        <v>NonCategory</v>
      </c>
      <c r="T608" s="6"/>
      <c r="U608" s="6"/>
      <c r="V608" s="6"/>
      <c r="W608" s="6"/>
      <c r="X608" s="6"/>
      <c r="Y608" s="6"/>
      <c r="Z608" s="6"/>
      <c r="AA608" s="6"/>
      <c r="AB608" s="6"/>
      <c r="AC608" s="6"/>
      <c r="AD608" s="6"/>
      <c r="AE608" s="6"/>
      <c r="AF608" s="6"/>
      <c r="AG608" s="6"/>
      <c r="AH608" s="6"/>
      <c r="AI608" s="6"/>
      <c r="AJ608" s="6"/>
      <c r="AK608" s="6"/>
      <c r="AL608" s="6"/>
    </row>
    <row r="609" spans="1:38">
      <c r="A609" s="96">
        <f ca="1">IFERROR(__xludf.DUMMYFUNCTION("""COMPUTED_VALUE"""),44456)</f>
        <v>44456</v>
      </c>
      <c r="B609" s="6" t="str">
        <f ca="1">IFERROR(__xludf.DUMMYFUNCTION("""COMPUTED_VALUE"""),"Mitesh Solanki")</f>
        <v>Mitesh Solanki</v>
      </c>
      <c r="C609" s="6" t="str">
        <f ca="1">IFERROR(__xludf.DUMMYFUNCTION("""COMPUTED_VALUE"""),"ma.solanki@yahoo.com")</f>
        <v>ma.solanki@yahoo.com</v>
      </c>
      <c r="D609" s="6">
        <f ca="1">IFERROR(__xludf.DUMMYFUNCTION("""COMPUTED_VALUE"""),7507187917)</f>
        <v>7507187917</v>
      </c>
      <c r="E609" s="6" t="str">
        <f ca="1">IFERROR(__xludf.DUMMYFUNCTION("""COMPUTED_VALUE"""),"Account Repeat")</f>
        <v>Account Repeat</v>
      </c>
      <c r="F609" s="6" t="str">
        <f ca="1">IFERROR(__xludf.DUMMYFUNCTION("""COMPUTED_VALUE"""),"PMP Exam + Membership")</f>
        <v>PMP Exam + Membership</v>
      </c>
      <c r="G609" s="80">
        <f ca="1">IFERROR(__xludf.DUMMYFUNCTION("""COMPUTED_VALUE"""),44440)</f>
        <v>44440</v>
      </c>
      <c r="H609" s="6" t="str">
        <f ca="1">IFERROR(__xludf.DUMMYFUNCTION("""COMPUTED_VALUE"""),"Won")</f>
        <v>Won</v>
      </c>
      <c r="I609" s="6" t="str">
        <f ca="1">IFERROR(__xludf.DUMMYFUNCTION("""COMPUTED_VALUE"""),"25 Sep 2021")</f>
        <v>25 Sep 2021</v>
      </c>
      <c r="J609" s="6">
        <f ca="1">IFERROR(__xludf.DUMMYFUNCTION("""COMPUTED_VALUE"""),1)</f>
        <v>1</v>
      </c>
      <c r="K609" s="8">
        <f ca="1">IFERROR(__xludf.DUMMYFUNCTION("""COMPUTED_VALUE"""),37000)</f>
        <v>37000</v>
      </c>
      <c r="L609" s="8">
        <f ca="1">IFERROR(__xludf.DUMMYFUNCTION("""COMPUTED_VALUE"""),423.728813559322)</f>
        <v>423.72881355932202</v>
      </c>
      <c r="M609" s="96">
        <f ca="1">IFERROR(__xludf.DUMMYFUNCTION("""COMPUTED_VALUE"""),44456)</f>
        <v>44456</v>
      </c>
      <c r="N609" s="6" t="str">
        <f ca="1">IFERROR(__xludf.DUMMYFUNCTION("""COMPUTED_VALUE"""),"S10")</f>
        <v>S10</v>
      </c>
      <c r="O609" s="97">
        <f ca="1">IFERROR(__xludf.DUMMYFUNCTION("""COMPUTED_VALUE"""),44456)</f>
        <v>44456</v>
      </c>
      <c r="P609" s="6" t="str">
        <f ca="1">IFERROR(__xludf.DUMMYFUNCTION("""COMPUTED_VALUE"""),"CSTM_5ORNKVB02G4")</f>
        <v>CSTM_5ORNKVB02G4</v>
      </c>
      <c r="Q609" s="6"/>
      <c r="R609" s="6" t="str">
        <f ca="1">IFERROR(__xludf.DUMMYFUNCTION("""COMPUTED_VALUE"""),"Pending")</f>
        <v>Pending</v>
      </c>
      <c r="S609" s="6" t="str">
        <f ca="1">IFERROR(__xludf.DUMMYFUNCTION("""COMPUTED_VALUE"""),"NonCategory")</f>
        <v>NonCategory</v>
      </c>
      <c r="T609" s="6"/>
      <c r="U609" s="6"/>
      <c r="V609" s="6"/>
      <c r="W609" s="6"/>
      <c r="X609" s="6"/>
      <c r="Y609" s="6"/>
      <c r="Z609" s="6"/>
      <c r="AA609" s="6"/>
      <c r="AB609" s="6"/>
      <c r="AC609" s="6"/>
      <c r="AD609" s="6"/>
      <c r="AE609" s="6"/>
      <c r="AF609" s="6"/>
      <c r="AG609" s="6"/>
      <c r="AH609" s="6"/>
      <c r="AI609" s="6"/>
      <c r="AJ609" s="6"/>
      <c r="AK609" s="6"/>
      <c r="AL609" s="6"/>
    </row>
    <row r="610" spans="1:38">
      <c r="A610" s="96">
        <f ca="1">IFERROR(__xludf.DUMMYFUNCTION("""COMPUTED_VALUE"""),44456)</f>
        <v>44456</v>
      </c>
      <c r="B610" s="6" t="str">
        <f ca="1">IFERROR(__xludf.DUMMYFUNCTION("""COMPUTED_VALUE"""),"Ankit Bhargava")</f>
        <v>Ankit Bhargava</v>
      </c>
      <c r="C610" s="6" t="str">
        <f ca="1">IFERROR(__xludf.DUMMYFUNCTION("""COMPUTED_VALUE"""),"e21ankitb@iimidr.ac.in")</f>
        <v>e21ankitb@iimidr.ac.in</v>
      </c>
      <c r="D610" s="6">
        <f ca="1">IFERROR(__xludf.DUMMYFUNCTION("""COMPUTED_VALUE"""),9818661538)</f>
        <v>9818661538</v>
      </c>
      <c r="E610" s="6" t="str">
        <f ca="1">IFERROR(__xludf.DUMMYFUNCTION("""COMPUTED_VALUE"""),"Reference")</f>
        <v>Reference</v>
      </c>
      <c r="F610" s="6" t="str">
        <f ca="1">IFERROR(__xludf.DUMMYFUNCTION("""COMPUTED_VALUE"""),"CSPO")</f>
        <v>CSPO</v>
      </c>
      <c r="G610" s="80">
        <f ca="1">IFERROR(__xludf.DUMMYFUNCTION("""COMPUTED_VALUE"""),44440)</f>
        <v>44440</v>
      </c>
      <c r="H610" s="6" t="str">
        <f ca="1">IFERROR(__xludf.DUMMYFUNCTION("""COMPUTED_VALUE"""),"Won")</f>
        <v>Won</v>
      </c>
      <c r="I610" s="6" t="str">
        <f ca="1">IFERROR(__xludf.DUMMYFUNCTION("""COMPUTED_VALUE"""),"27-28 Sep 2021")</f>
        <v>27-28 Sep 2021</v>
      </c>
      <c r="J610" s="6">
        <f ca="1">IFERROR(__xludf.DUMMYFUNCTION("""COMPUTED_VALUE"""),1)</f>
        <v>1</v>
      </c>
      <c r="K610" s="8">
        <f ca="1">IFERROR(__xludf.DUMMYFUNCTION("""COMPUTED_VALUE"""),18000)</f>
        <v>18000</v>
      </c>
      <c r="L610" s="8">
        <f ca="1">IFERROR(__xludf.DUMMYFUNCTION("""COMPUTED_VALUE"""),206.138341731562)</f>
        <v>206.13834173156201</v>
      </c>
      <c r="M610" s="96">
        <f ca="1">IFERROR(__xludf.DUMMYFUNCTION("""COMPUTED_VALUE"""),44456)</f>
        <v>44456</v>
      </c>
      <c r="N610" s="6" t="str">
        <f ca="1">IFERROR(__xludf.DUMMYFUNCTION("""COMPUTED_VALUE"""),"S10")</f>
        <v>S10</v>
      </c>
      <c r="O610" s="97">
        <f ca="1">IFERROR(__xludf.DUMMYFUNCTION("""COMPUTED_VALUE"""),44456)</f>
        <v>44456</v>
      </c>
      <c r="P610" s="6" t="str">
        <f ca="1">IFERROR(__xludf.DUMMYFUNCTION("""COMPUTED_VALUE"""),"CSTM_6FBB3BPR12M")</f>
        <v>CSTM_6FBB3BPR12M</v>
      </c>
      <c r="Q610" s="6" t="str">
        <f ca="1">IFERROR(__xludf.DUMMYFUNCTION("""COMPUTED_VALUE"""),"epgpcic@iimidr.ac.in")</f>
        <v>epgpcic@iimidr.ac.in</v>
      </c>
      <c r="R610" s="6" t="str">
        <f ca="1">IFERROR(__xludf.DUMMYFUNCTION("""COMPUTED_VALUE"""),"Pending")</f>
        <v>Pending</v>
      </c>
      <c r="S610" s="6" t="str">
        <f ca="1">IFERROR(__xludf.DUMMYFUNCTION("""COMPUTED_VALUE"""),"Category")</f>
        <v>Category</v>
      </c>
      <c r="T610" s="6"/>
      <c r="U610" s="6"/>
      <c r="V610" s="6"/>
      <c r="W610" s="6"/>
      <c r="X610" s="6"/>
      <c r="Y610" s="6"/>
      <c r="Z610" s="6"/>
      <c r="AA610" s="6"/>
      <c r="AB610" s="6"/>
      <c r="AC610" s="6"/>
      <c r="AD610" s="6"/>
      <c r="AE610" s="6"/>
      <c r="AF610" s="6"/>
      <c r="AG610" s="6"/>
      <c r="AH610" s="6"/>
      <c r="AI610" s="6"/>
      <c r="AJ610" s="6"/>
      <c r="AK610" s="6"/>
      <c r="AL610" s="6"/>
    </row>
    <row r="611" spans="1:38">
      <c r="A611" s="96">
        <f ca="1">IFERROR(__xludf.DUMMYFUNCTION("""COMPUTED_VALUE"""),44456)</f>
        <v>44456</v>
      </c>
      <c r="B611" s="6" t="str">
        <f ca="1">IFERROR(__xludf.DUMMYFUNCTION("""COMPUTED_VALUE"""),"Sreejith S")</f>
        <v>Sreejith S</v>
      </c>
      <c r="C611" s="6" t="str">
        <f ca="1">IFERROR(__xludf.DUMMYFUNCTION("""COMPUTED_VALUE"""),"e21sreejiths@iimidr.ac.in")</f>
        <v>e21sreejiths@iimidr.ac.in</v>
      </c>
      <c r="D611" s="6">
        <f ca="1">IFERROR(__xludf.DUMMYFUNCTION("""COMPUTED_VALUE"""),9741890646)</f>
        <v>9741890646</v>
      </c>
      <c r="E611" s="6" t="str">
        <f ca="1">IFERROR(__xludf.DUMMYFUNCTION("""COMPUTED_VALUE"""),"Reference")</f>
        <v>Reference</v>
      </c>
      <c r="F611" s="6" t="str">
        <f ca="1">IFERROR(__xludf.DUMMYFUNCTION("""COMPUTED_VALUE"""),"CSPO")</f>
        <v>CSPO</v>
      </c>
      <c r="G611" s="80">
        <f ca="1">IFERROR(__xludf.DUMMYFUNCTION("""COMPUTED_VALUE"""),44440)</f>
        <v>44440</v>
      </c>
      <c r="H611" s="6" t="str">
        <f ca="1">IFERROR(__xludf.DUMMYFUNCTION("""COMPUTED_VALUE"""),"Won")</f>
        <v>Won</v>
      </c>
      <c r="I611" s="6" t="str">
        <f ca="1">IFERROR(__xludf.DUMMYFUNCTION("""COMPUTED_VALUE"""),"27-28 Sep 2021")</f>
        <v>27-28 Sep 2021</v>
      </c>
      <c r="J611" s="6">
        <f ca="1">IFERROR(__xludf.DUMMYFUNCTION("""COMPUTED_VALUE"""),1)</f>
        <v>1</v>
      </c>
      <c r="K611" s="8">
        <f ca="1">IFERROR(__xludf.DUMMYFUNCTION("""COMPUTED_VALUE"""),18000)</f>
        <v>18000</v>
      </c>
      <c r="L611" s="8">
        <f ca="1">IFERROR(__xludf.DUMMYFUNCTION("""COMPUTED_VALUE"""),206.138341731562)</f>
        <v>206.13834173156201</v>
      </c>
      <c r="M611" s="96">
        <f ca="1">IFERROR(__xludf.DUMMYFUNCTION("""COMPUTED_VALUE"""),44457)</f>
        <v>44457</v>
      </c>
      <c r="N611" s="6" t="str">
        <f ca="1">IFERROR(__xludf.DUMMYFUNCTION("""COMPUTED_VALUE"""),"S10")</f>
        <v>S10</v>
      </c>
      <c r="O611" s="97">
        <f ca="1">IFERROR(__xludf.DUMMYFUNCTION("""COMPUTED_VALUE"""),44457)</f>
        <v>44457</v>
      </c>
      <c r="P611" s="6" t="str">
        <f ca="1">IFERROR(__xludf.DUMMYFUNCTION("""COMPUTED_VALUE"""),"CSTM_HU45NRC955W")</f>
        <v>CSTM_HU45NRC955W</v>
      </c>
      <c r="Q611" s="6" t="str">
        <f ca="1">IFERROR(__xludf.DUMMYFUNCTION("""COMPUTED_VALUE"""),"epgpcic@iimidr.ac.in")</f>
        <v>epgpcic@iimidr.ac.in</v>
      </c>
      <c r="R611" s="6" t="str">
        <f ca="1">IFERROR(__xludf.DUMMYFUNCTION("""COMPUTED_VALUE"""),"Pending")</f>
        <v>Pending</v>
      </c>
      <c r="S611" s="6" t="str">
        <f ca="1">IFERROR(__xludf.DUMMYFUNCTION("""COMPUTED_VALUE"""),"Category")</f>
        <v>Category</v>
      </c>
      <c r="T611" s="6"/>
      <c r="U611" s="6"/>
      <c r="V611" s="6"/>
      <c r="W611" s="6"/>
      <c r="X611" s="6"/>
      <c r="Y611" s="6"/>
      <c r="Z611" s="6"/>
      <c r="AA611" s="6"/>
      <c r="AB611" s="6"/>
      <c r="AC611" s="6"/>
      <c r="AD611" s="6"/>
      <c r="AE611" s="6"/>
      <c r="AF611" s="6"/>
      <c r="AG611" s="6"/>
      <c r="AH611" s="6"/>
      <c r="AI611" s="6"/>
      <c r="AJ611" s="6"/>
      <c r="AK611" s="6"/>
      <c r="AL611" s="6"/>
    </row>
    <row r="612" spans="1:38">
      <c r="A612" s="96">
        <f ca="1">IFERROR(__xludf.DUMMYFUNCTION("""COMPUTED_VALUE"""),44457)</f>
        <v>44457</v>
      </c>
      <c r="B612" s="6" t="str">
        <f ca="1">IFERROR(__xludf.DUMMYFUNCTION("""COMPUTED_VALUE"""),"Chandan Rathi")</f>
        <v>Chandan Rathi</v>
      </c>
      <c r="C612" s="6" t="str">
        <f ca="1">IFERROR(__xludf.DUMMYFUNCTION("""COMPUTED_VALUE"""),"e21chandanr@iimidr.ac.in")</f>
        <v>e21chandanr@iimidr.ac.in</v>
      </c>
      <c r="D612" s="6">
        <f ca="1">IFERROR(__xludf.DUMMYFUNCTION("""COMPUTED_VALUE"""),9711561459)</f>
        <v>9711561459</v>
      </c>
      <c r="E612" s="6" t="str">
        <f ca="1">IFERROR(__xludf.DUMMYFUNCTION("""COMPUTED_VALUE"""),"Reference")</f>
        <v>Reference</v>
      </c>
      <c r="F612" s="6" t="str">
        <f ca="1">IFERROR(__xludf.DUMMYFUNCTION("""COMPUTED_VALUE"""),"CSPO")</f>
        <v>CSPO</v>
      </c>
      <c r="G612" s="80">
        <f ca="1">IFERROR(__xludf.DUMMYFUNCTION("""COMPUTED_VALUE"""),44440)</f>
        <v>44440</v>
      </c>
      <c r="H612" s="6" t="str">
        <f ca="1">IFERROR(__xludf.DUMMYFUNCTION("""COMPUTED_VALUE"""),"Opportunity")</f>
        <v>Opportunity</v>
      </c>
      <c r="I612" s="6" t="str">
        <f ca="1">IFERROR(__xludf.DUMMYFUNCTION("""COMPUTED_VALUE"""),"27-28 Sep 2021")</f>
        <v>27-28 Sep 2021</v>
      </c>
      <c r="J612" s="6">
        <f ca="1">IFERROR(__xludf.DUMMYFUNCTION("""COMPUTED_VALUE"""),1)</f>
        <v>1</v>
      </c>
      <c r="K612" s="8">
        <f ca="1">IFERROR(__xludf.DUMMYFUNCTION("""COMPUTED_VALUE"""),18000)</f>
        <v>18000</v>
      </c>
      <c r="L612" s="8">
        <f ca="1">IFERROR(__xludf.DUMMYFUNCTION("""COMPUTED_VALUE"""),206.138341731562)</f>
        <v>206.13834173156201</v>
      </c>
      <c r="M612" s="96">
        <f ca="1">IFERROR(__xludf.DUMMYFUNCTION("""COMPUTED_VALUE"""),44457)</f>
        <v>44457</v>
      </c>
      <c r="N612" s="6"/>
      <c r="O612" s="97"/>
      <c r="P612" s="6"/>
      <c r="Q612" s="6"/>
      <c r="R612" s="6"/>
      <c r="S612" s="6" t="str">
        <f ca="1">IFERROR(__xludf.DUMMYFUNCTION("""COMPUTED_VALUE"""),"Category")</f>
        <v>Category</v>
      </c>
      <c r="T612" s="6"/>
      <c r="U612" s="6"/>
      <c r="V612" s="6"/>
      <c r="W612" s="6"/>
      <c r="X612" s="6"/>
      <c r="Y612" s="6"/>
      <c r="Z612" s="6"/>
      <c r="AA612" s="6"/>
      <c r="AB612" s="6"/>
      <c r="AC612" s="6"/>
      <c r="AD612" s="6"/>
      <c r="AE612" s="6"/>
      <c r="AF612" s="6"/>
      <c r="AG612" s="6"/>
      <c r="AH612" s="6"/>
      <c r="AI612" s="6"/>
      <c r="AJ612" s="6"/>
      <c r="AK612" s="6"/>
      <c r="AL612" s="6"/>
    </row>
    <row r="613" spans="1:38">
      <c r="A613" s="96">
        <f ca="1">IFERROR(__xludf.DUMMYFUNCTION("""COMPUTED_VALUE"""),44457)</f>
        <v>44457</v>
      </c>
      <c r="B613" s="6" t="str">
        <f ca="1">IFERROR(__xludf.DUMMYFUNCTION("""COMPUTED_VALUE"""),"Kaustav De")</f>
        <v>Kaustav De</v>
      </c>
      <c r="C613" s="6" t="str">
        <f ca="1">IFERROR(__xludf.DUMMYFUNCTION("""COMPUTED_VALUE"""),"e21kaustavd@iimidr.ac.in")</f>
        <v>e21kaustavd@iimidr.ac.in</v>
      </c>
      <c r="D613" s="6">
        <f ca="1">IFERROR(__xludf.DUMMYFUNCTION("""COMPUTED_VALUE"""),7043348413)</f>
        <v>7043348413</v>
      </c>
      <c r="E613" s="6" t="str">
        <f ca="1">IFERROR(__xludf.DUMMYFUNCTION("""COMPUTED_VALUE"""),"Reference")</f>
        <v>Reference</v>
      </c>
      <c r="F613" s="6" t="str">
        <f ca="1">IFERROR(__xludf.DUMMYFUNCTION("""COMPUTED_VALUE"""),"CSPO")</f>
        <v>CSPO</v>
      </c>
      <c r="G613" s="80">
        <f ca="1">IFERROR(__xludf.DUMMYFUNCTION("""COMPUTED_VALUE"""),44440)</f>
        <v>44440</v>
      </c>
      <c r="H613" s="6" t="str">
        <f ca="1">IFERROR(__xludf.DUMMYFUNCTION("""COMPUTED_VALUE"""),"Won")</f>
        <v>Won</v>
      </c>
      <c r="I613" s="6" t="str">
        <f ca="1">IFERROR(__xludf.DUMMYFUNCTION("""COMPUTED_VALUE"""),"27-28 Sep 2021")</f>
        <v>27-28 Sep 2021</v>
      </c>
      <c r="J613" s="6">
        <f ca="1">IFERROR(__xludf.DUMMYFUNCTION("""COMPUTED_VALUE"""),1)</f>
        <v>1</v>
      </c>
      <c r="K613" s="8">
        <f ca="1">IFERROR(__xludf.DUMMYFUNCTION("""COMPUTED_VALUE"""),18000)</f>
        <v>18000</v>
      </c>
      <c r="L613" s="8">
        <f ca="1">IFERROR(__xludf.DUMMYFUNCTION("""COMPUTED_VALUE"""),206.138341731562)</f>
        <v>206.13834173156201</v>
      </c>
      <c r="M613" s="96">
        <f ca="1">IFERROR(__xludf.DUMMYFUNCTION("""COMPUTED_VALUE"""),44457)</f>
        <v>44457</v>
      </c>
      <c r="N613" s="6" t="str">
        <f ca="1">IFERROR(__xludf.DUMMYFUNCTION("""COMPUTED_VALUE"""),"S10")</f>
        <v>S10</v>
      </c>
      <c r="O613" s="97">
        <f ca="1">IFERROR(__xludf.DUMMYFUNCTION("""COMPUTED_VALUE"""),44457)</f>
        <v>44457</v>
      </c>
      <c r="P613" s="6" t="str">
        <f ca="1">IFERROR(__xludf.DUMMYFUNCTION("""COMPUTED_VALUE"""),"CSTM_4U5GHJZF684")</f>
        <v>CSTM_4U5GHJZF684</v>
      </c>
      <c r="Q613" s="6" t="str">
        <f ca="1">IFERROR(__xludf.DUMMYFUNCTION("""COMPUTED_VALUE"""),"epgpcic@iimidr.ac.in")</f>
        <v>epgpcic@iimidr.ac.in</v>
      </c>
      <c r="R613" s="6" t="str">
        <f ca="1">IFERROR(__xludf.DUMMYFUNCTION("""COMPUTED_VALUE"""),"Pending")</f>
        <v>Pending</v>
      </c>
      <c r="S613" s="6" t="str">
        <f ca="1">IFERROR(__xludf.DUMMYFUNCTION("""COMPUTED_VALUE"""),"Category")</f>
        <v>Category</v>
      </c>
      <c r="T613" s="6"/>
      <c r="U613" s="6"/>
      <c r="V613" s="6"/>
      <c r="W613" s="6"/>
      <c r="X613" s="6"/>
      <c r="Y613" s="6"/>
      <c r="Z613" s="6"/>
      <c r="AA613" s="6"/>
      <c r="AB613" s="6"/>
      <c r="AC613" s="6"/>
      <c r="AD613" s="6"/>
      <c r="AE613" s="6"/>
      <c r="AF613" s="6"/>
      <c r="AG613" s="6"/>
      <c r="AH613" s="6"/>
      <c r="AI613" s="6"/>
      <c r="AJ613" s="6"/>
      <c r="AK613" s="6"/>
      <c r="AL613" s="6"/>
    </row>
    <row r="614" spans="1:38">
      <c r="A614" s="96">
        <f ca="1">IFERROR(__xludf.DUMMYFUNCTION("""COMPUTED_VALUE"""),44457)</f>
        <v>44457</v>
      </c>
      <c r="B614" s="6" t="str">
        <f ca="1">IFERROR(__xludf.DUMMYFUNCTION("""COMPUTED_VALUE"""),"Udit Bhatia")</f>
        <v>Udit Bhatia</v>
      </c>
      <c r="C614" s="6" t="str">
        <f ca="1">IFERROR(__xludf.DUMMYFUNCTION("""COMPUTED_VALUE"""),"uditbhatia.iift1517@gmail.com")</f>
        <v>uditbhatia.iift1517@gmail.com</v>
      </c>
      <c r="D614" s="6">
        <f ca="1">IFERROR(__xludf.DUMMYFUNCTION("""COMPUTED_VALUE"""),9650340307)</f>
        <v>9650340307</v>
      </c>
      <c r="E614" s="6" t="str">
        <f ca="1">IFERROR(__xludf.DUMMYFUNCTION("""COMPUTED_VALUE"""),"na-payment")</f>
        <v>na-payment</v>
      </c>
      <c r="F614" s="6" t="str">
        <f ca="1">IFERROR(__xludf.DUMMYFUNCTION("""COMPUTED_VALUE"""),"PSPO")</f>
        <v>PSPO</v>
      </c>
      <c r="G614" s="80">
        <f ca="1">IFERROR(__xludf.DUMMYFUNCTION("""COMPUTED_VALUE"""),44440)</f>
        <v>44440</v>
      </c>
      <c r="H614" s="6" t="str">
        <f ca="1">IFERROR(__xludf.DUMMYFUNCTION("""COMPUTED_VALUE"""),"Won")</f>
        <v>Won</v>
      </c>
      <c r="I614" s="6" t="str">
        <f ca="1">IFERROR(__xludf.DUMMYFUNCTION("""COMPUTED_VALUE"""),"25-26 Sep 2021")</f>
        <v>25-26 Sep 2021</v>
      </c>
      <c r="J614" s="6">
        <f ca="1">IFERROR(__xludf.DUMMYFUNCTION("""COMPUTED_VALUE"""),1)</f>
        <v>1</v>
      </c>
      <c r="K614" s="8">
        <f ca="1">IFERROR(__xludf.DUMMYFUNCTION("""COMPUTED_VALUE"""),21000)</f>
        <v>21000</v>
      </c>
      <c r="L614" s="8">
        <f ca="1">IFERROR(__xludf.DUMMYFUNCTION("""COMPUTED_VALUE"""),240.494732020155)</f>
        <v>240.494732020155</v>
      </c>
      <c r="M614" s="96">
        <f ca="1">IFERROR(__xludf.DUMMYFUNCTION("""COMPUTED_VALUE"""),44457)</f>
        <v>44457</v>
      </c>
      <c r="N614" s="6" t="str">
        <f ca="1">IFERROR(__xludf.DUMMYFUNCTION("""COMPUTED_VALUE"""),"S10")</f>
        <v>S10</v>
      </c>
      <c r="O614" s="97">
        <f ca="1">IFERROR(__xludf.DUMMYFUNCTION("""COMPUTED_VALUE"""),44457)</f>
        <v>44457</v>
      </c>
      <c r="P614" s="6" t="str">
        <f ca="1">IFERROR(__xludf.DUMMYFUNCTION("""COMPUTED_VALUE"""),"CSTM_5EMGQ1PTXHX")</f>
        <v>CSTM_5EMGQ1PTXHX</v>
      </c>
      <c r="Q614" s="6"/>
      <c r="R614" s="6" t="str">
        <f ca="1">IFERROR(__xludf.DUMMYFUNCTION("""COMPUTED_VALUE"""),"Done. Good feedback.")</f>
        <v>Done. Good feedback.</v>
      </c>
      <c r="S614" s="6" t="str">
        <f ca="1">IFERROR(__xludf.DUMMYFUNCTION("""COMPUTED_VALUE"""),"Category")</f>
        <v>Category</v>
      </c>
      <c r="T614" s="6"/>
      <c r="U614" s="6"/>
      <c r="V614" s="6"/>
      <c r="W614" s="6"/>
      <c r="X614" s="6"/>
      <c r="Y614" s="6"/>
      <c r="Z614" s="6"/>
      <c r="AA614" s="6"/>
      <c r="AB614" s="6"/>
      <c r="AC614" s="6"/>
      <c r="AD614" s="6"/>
      <c r="AE614" s="6"/>
      <c r="AF614" s="6"/>
      <c r="AG614" s="6"/>
      <c r="AH614" s="6"/>
      <c r="AI614" s="6"/>
      <c r="AJ614" s="6"/>
      <c r="AK614" s="6"/>
      <c r="AL614" s="6"/>
    </row>
    <row r="615" spans="1:38">
      <c r="A615" s="96">
        <f ca="1">IFERROR(__xludf.DUMMYFUNCTION("""COMPUTED_VALUE"""),44457)</f>
        <v>44457</v>
      </c>
      <c r="B615" s="6" t="str">
        <f ca="1">IFERROR(__xludf.DUMMYFUNCTION("""COMPUTED_VALUE"""),"Saurabh R")</f>
        <v>Saurabh R</v>
      </c>
      <c r="C615" s="6" t="str">
        <f ca="1">IFERROR(__xludf.DUMMYFUNCTION("""COMPUTED_VALUE"""),"e21saurabhr@iimidr.ac.in")</f>
        <v>e21saurabhr@iimidr.ac.in</v>
      </c>
      <c r="D615" s="6">
        <f ca="1">IFERROR(__xludf.DUMMYFUNCTION("""COMPUTED_VALUE"""),8806512392)</f>
        <v>8806512392</v>
      </c>
      <c r="E615" s="6" t="str">
        <f ca="1">IFERROR(__xludf.DUMMYFUNCTION("""COMPUTED_VALUE"""),"Reference")</f>
        <v>Reference</v>
      </c>
      <c r="F615" s="6" t="str">
        <f ca="1">IFERROR(__xludf.DUMMYFUNCTION("""COMPUTED_VALUE"""),"CSPO")</f>
        <v>CSPO</v>
      </c>
      <c r="G615" s="80">
        <f ca="1">IFERROR(__xludf.DUMMYFUNCTION("""COMPUTED_VALUE"""),44440)</f>
        <v>44440</v>
      </c>
      <c r="H615" s="6" t="str">
        <f ca="1">IFERROR(__xludf.DUMMYFUNCTION("""COMPUTED_VALUE"""),"Won")</f>
        <v>Won</v>
      </c>
      <c r="I615" s="6" t="str">
        <f ca="1">IFERROR(__xludf.DUMMYFUNCTION("""COMPUTED_VALUE"""),"23-24 Oct 2021")</f>
        <v>23-24 Oct 2021</v>
      </c>
      <c r="J615" s="6">
        <f ca="1">IFERROR(__xludf.DUMMYFUNCTION("""COMPUTED_VALUE"""),1)</f>
        <v>1</v>
      </c>
      <c r="K615" s="8">
        <f ca="1">IFERROR(__xludf.DUMMYFUNCTION("""COMPUTED_VALUE"""),18000)</f>
        <v>18000</v>
      </c>
      <c r="L615" s="8">
        <f ca="1">IFERROR(__xludf.DUMMYFUNCTION("""COMPUTED_VALUE"""),206.138341731562)</f>
        <v>206.13834173156201</v>
      </c>
      <c r="M615" s="96">
        <f ca="1">IFERROR(__xludf.DUMMYFUNCTION("""COMPUTED_VALUE"""),44457)</f>
        <v>44457</v>
      </c>
      <c r="N615" s="6" t="str">
        <f ca="1">IFERROR(__xludf.DUMMYFUNCTION("""COMPUTED_VALUE"""),"S10")</f>
        <v>S10</v>
      </c>
      <c r="O615" s="97">
        <f ca="1">IFERROR(__xludf.DUMMYFUNCTION("""COMPUTED_VALUE"""),44457)</f>
        <v>44457</v>
      </c>
      <c r="P615" s="6" t="str">
        <f ca="1">IFERROR(__xludf.DUMMYFUNCTION("""COMPUTED_VALUE"""),"CSTM_BLKUXYY70CK")</f>
        <v>CSTM_BLKUXYY70CK</v>
      </c>
      <c r="Q615" s="6" t="str">
        <f ca="1">IFERROR(__xludf.DUMMYFUNCTION("""COMPUTED_VALUE"""),"epgpcic@iimidr.ac.in")</f>
        <v>epgpcic@iimidr.ac.in</v>
      </c>
      <c r="R615" s="6" t="str">
        <f ca="1">IFERROR(__xludf.DUMMYFUNCTION("""COMPUTED_VALUE"""),"Done. Good feedback.")</f>
        <v>Done. Good feedback.</v>
      </c>
      <c r="S615" s="6" t="str">
        <f ca="1">IFERROR(__xludf.DUMMYFUNCTION("""COMPUTED_VALUE"""),"Category")</f>
        <v>Category</v>
      </c>
      <c r="T615" s="6"/>
      <c r="U615" s="6"/>
      <c r="V615" s="6"/>
      <c r="W615" s="6"/>
      <c r="X615" s="6"/>
      <c r="Y615" s="6"/>
      <c r="Z615" s="6"/>
      <c r="AA615" s="6"/>
      <c r="AB615" s="6"/>
      <c r="AC615" s="6"/>
      <c r="AD615" s="6"/>
      <c r="AE615" s="6"/>
      <c r="AF615" s="6"/>
      <c r="AG615" s="6"/>
      <c r="AH615" s="6"/>
      <c r="AI615" s="6"/>
      <c r="AJ615" s="6"/>
      <c r="AK615" s="6"/>
      <c r="AL615" s="6"/>
    </row>
    <row r="616" spans="1:38">
      <c r="A616" s="96">
        <f ca="1">IFERROR(__xludf.DUMMYFUNCTION("""COMPUTED_VALUE"""),44457)</f>
        <v>44457</v>
      </c>
      <c r="B616" s="6" t="str">
        <f ca="1">IFERROR(__xludf.DUMMYFUNCTION("""COMPUTED_VALUE"""),"Ravi Kumar")</f>
        <v>Ravi Kumar</v>
      </c>
      <c r="C616" s="6" t="str">
        <f ca="1">IFERROR(__xludf.DUMMYFUNCTION("""COMPUTED_VALUE"""),"e21ravik@iimidr.ac.in")</f>
        <v>e21ravik@iimidr.ac.in</v>
      </c>
      <c r="D616" s="6">
        <f ca="1">IFERROR(__xludf.DUMMYFUNCTION("""COMPUTED_VALUE"""),8936859723)</f>
        <v>8936859723</v>
      </c>
      <c r="E616" s="6" t="str">
        <f ca="1">IFERROR(__xludf.DUMMYFUNCTION("""COMPUTED_VALUE"""),"Reference")</f>
        <v>Reference</v>
      </c>
      <c r="F616" s="6" t="str">
        <f ca="1">IFERROR(__xludf.DUMMYFUNCTION("""COMPUTED_VALUE"""),"CSPO")</f>
        <v>CSPO</v>
      </c>
      <c r="G616" s="80">
        <f ca="1">IFERROR(__xludf.DUMMYFUNCTION("""COMPUTED_VALUE"""),44440)</f>
        <v>44440</v>
      </c>
      <c r="H616" s="6" t="str">
        <f ca="1">IFERROR(__xludf.DUMMYFUNCTION("""COMPUTED_VALUE"""),"Won")</f>
        <v>Won</v>
      </c>
      <c r="I616" s="6" t="str">
        <f ca="1">IFERROR(__xludf.DUMMYFUNCTION("""COMPUTED_VALUE"""),"27-28 Sep 2021")</f>
        <v>27-28 Sep 2021</v>
      </c>
      <c r="J616" s="6">
        <f ca="1">IFERROR(__xludf.DUMMYFUNCTION("""COMPUTED_VALUE"""),1)</f>
        <v>1</v>
      </c>
      <c r="K616" s="8">
        <f ca="1">IFERROR(__xludf.DUMMYFUNCTION("""COMPUTED_VALUE"""),18000)</f>
        <v>18000</v>
      </c>
      <c r="L616" s="8">
        <f ca="1">IFERROR(__xludf.DUMMYFUNCTION("""COMPUTED_VALUE"""),206.138341731562)</f>
        <v>206.13834173156201</v>
      </c>
      <c r="M616" s="96">
        <f ca="1">IFERROR(__xludf.DUMMYFUNCTION("""COMPUTED_VALUE"""),44457)</f>
        <v>44457</v>
      </c>
      <c r="N616" s="6" t="str">
        <f ca="1">IFERROR(__xludf.DUMMYFUNCTION("""COMPUTED_VALUE"""),"S10")</f>
        <v>S10</v>
      </c>
      <c r="O616" s="97">
        <f ca="1">IFERROR(__xludf.DUMMYFUNCTION("""COMPUTED_VALUE"""),44457)</f>
        <v>44457</v>
      </c>
      <c r="P616" s="6" t="str">
        <f ca="1">IFERROR(__xludf.DUMMYFUNCTION("""COMPUTED_VALUE"""),"CSTM_EJI496O84R8")</f>
        <v>CSTM_EJI496O84R8</v>
      </c>
      <c r="Q616" s="6" t="str">
        <f ca="1">IFERROR(__xludf.DUMMYFUNCTION("""COMPUTED_VALUE"""),"epgpcic@iimidr.ac.in")</f>
        <v>epgpcic@iimidr.ac.in</v>
      </c>
      <c r="R616" s="6" t="str">
        <f ca="1">IFERROR(__xludf.DUMMYFUNCTION("""COMPUTED_VALUE"""),"Pending")</f>
        <v>Pending</v>
      </c>
      <c r="S616" s="6" t="str">
        <f ca="1">IFERROR(__xludf.DUMMYFUNCTION("""COMPUTED_VALUE"""),"Category")</f>
        <v>Category</v>
      </c>
      <c r="T616" s="6"/>
      <c r="U616" s="6"/>
      <c r="V616" s="6"/>
      <c r="W616" s="6"/>
      <c r="X616" s="6"/>
      <c r="Y616" s="6"/>
      <c r="Z616" s="6"/>
      <c r="AA616" s="6"/>
      <c r="AB616" s="6"/>
      <c r="AC616" s="6"/>
      <c r="AD616" s="6"/>
      <c r="AE616" s="6"/>
      <c r="AF616" s="6"/>
      <c r="AG616" s="6"/>
      <c r="AH616" s="6"/>
      <c r="AI616" s="6"/>
      <c r="AJ616" s="6"/>
      <c r="AK616" s="6"/>
      <c r="AL616" s="6"/>
    </row>
    <row r="617" spans="1:38">
      <c r="A617" s="96">
        <f ca="1">IFERROR(__xludf.DUMMYFUNCTION("""COMPUTED_VALUE"""),44457)</f>
        <v>44457</v>
      </c>
      <c r="B617" s="6" t="str">
        <f ca="1">IFERROR(__xludf.DUMMYFUNCTION("""COMPUTED_VALUE"""),"Abhishek S")</f>
        <v>Abhishek S</v>
      </c>
      <c r="C617" s="6" t="str">
        <f ca="1">IFERROR(__xludf.DUMMYFUNCTION("""COMPUTED_VALUE"""),"e21abhisheks@iimidr.ac.in")</f>
        <v>e21abhisheks@iimidr.ac.in</v>
      </c>
      <c r="D617" s="6">
        <f ca="1">IFERROR(__xludf.DUMMYFUNCTION("""COMPUTED_VALUE"""),7838343695)</f>
        <v>7838343695</v>
      </c>
      <c r="E617" s="6" t="str">
        <f ca="1">IFERROR(__xludf.DUMMYFUNCTION("""COMPUTED_VALUE"""),"Reference")</f>
        <v>Reference</v>
      </c>
      <c r="F617" s="6" t="str">
        <f ca="1">IFERROR(__xludf.DUMMYFUNCTION("""COMPUTED_VALUE"""),"CSPO")</f>
        <v>CSPO</v>
      </c>
      <c r="G617" s="80">
        <f ca="1">IFERROR(__xludf.DUMMYFUNCTION("""COMPUTED_VALUE"""),44440)</f>
        <v>44440</v>
      </c>
      <c r="H617" s="6" t="str">
        <f ca="1">IFERROR(__xludf.DUMMYFUNCTION("""COMPUTED_VALUE"""),"Won")</f>
        <v>Won</v>
      </c>
      <c r="I617" s="6" t="str">
        <f ca="1">IFERROR(__xludf.DUMMYFUNCTION("""COMPUTED_VALUE"""),"27-28 Sep 2021")</f>
        <v>27-28 Sep 2021</v>
      </c>
      <c r="J617" s="6">
        <f ca="1">IFERROR(__xludf.DUMMYFUNCTION("""COMPUTED_VALUE"""),1)</f>
        <v>1</v>
      </c>
      <c r="K617" s="8">
        <f ca="1">IFERROR(__xludf.DUMMYFUNCTION("""COMPUTED_VALUE"""),18000)</f>
        <v>18000</v>
      </c>
      <c r="L617" s="8">
        <f ca="1">IFERROR(__xludf.DUMMYFUNCTION("""COMPUTED_VALUE"""),206.138341731562)</f>
        <v>206.13834173156201</v>
      </c>
      <c r="M617" s="96">
        <f ca="1">IFERROR(__xludf.DUMMYFUNCTION("""COMPUTED_VALUE"""),44457)</f>
        <v>44457</v>
      </c>
      <c r="N617" s="6" t="str">
        <f ca="1">IFERROR(__xludf.DUMMYFUNCTION("""COMPUTED_VALUE"""),"S10")</f>
        <v>S10</v>
      </c>
      <c r="O617" s="97">
        <f ca="1">IFERROR(__xludf.DUMMYFUNCTION("""COMPUTED_VALUE"""),44457)</f>
        <v>44457</v>
      </c>
      <c r="P617" s="6" t="str">
        <f ca="1">IFERROR(__xludf.DUMMYFUNCTION("""COMPUTED_VALUE"""),"CSTM_AY1Y0U0LW6A")</f>
        <v>CSTM_AY1Y0U0LW6A</v>
      </c>
      <c r="Q617" s="6" t="str">
        <f ca="1">IFERROR(__xludf.DUMMYFUNCTION("""COMPUTED_VALUE"""),"epgpcic@iimidr.ac.in")</f>
        <v>epgpcic@iimidr.ac.in</v>
      </c>
      <c r="R617" s="6" t="str">
        <f ca="1">IFERROR(__xludf.DUMMYFUNCTION("""COMPUTED_VALUE"""),"Pending")</f>
        <v>Pending</v>
      </c>
      <c r="S617" s="6" t="str">
        <f ca="1">IFERROR(__xludf.DUMMYFUNCTION("""COMPUTED_VALUE"""),"Category")</f>
        <v>Category</v>
      </c>
      <c r="T617" s="6"/>
      <c r="U617" s="6"/>
      <c r="V617" s="6"/>
      <c r="W617" s="6"/>
      <c r="X617" s="6"/>
      <c r="Y617" s="6"/>
      <c r="Z617" s="6"/>
      <c r="AA617" s="6"/>
      <c r="AB617" s="6"/>
      <c r="AC617" s="6"/>
      <c r="AD617" s="6"/>
      <c r="AE617" s="6"/>
      <c r="AF617" s="6"/>
      <c r="AG617" s="6"/>
      <c r="AH617" s="6"/>
      <c r="AI617" s="6"/>
      <c r="AJ617" s="6"/>
      <c r="AK617" s="6"/>
      <c r="AL617" s="6"/>
    </row>
    <row r="618" spans="1:38">
      <c r="A618" s="96">
        <f ca="1">IFERROR(__xludf.DUMMYFUNCTION("""COMPUTED_VALUE"""),44457)</f>
        <v>44457</v>
      </c>
      <c r="B618" s="6" t="str">
        <f ca="1">IFERROR(__xludf.DUMMYFUNCTION("""COMPUTED_VALUE"""),"Mayank M")</f>
        <v>Mayank M</v>
      </c>
      <c r="C618" s="6" t="str">
        <f ca="1">IFERROR(__xludf.DUMMYFUNCTION("""COMPUTED_VALUE"""),"e21mayankm@iimidr.ac.in")</f>
        <v>e21mayankm@iimidr.ac.in</v>
      </c>
      <c r="D618" s="6">
        <f ca="1">IFERROR(__xludf.DUMMYFUNCTION("""COMPUTED_VALUE"""),8149331658)</f>
        <v>8149331658</v>
      </c>
      <c r="E618" s="6" t="str">
        <f ca="1">IFERROR(__xludf.DUMMYFUNCTION("""COMPUTED_VALUE"""),"Reference")</f>
        <v>Reference</v>
      </c>
      <c r="F618" s="6" t="str">
        <f ca="1">IFERROR(__xludf.DUMMYFUNCTION("""COMPUTED_VALUE"""),"CSPO")</f>
        <v>CSPO</v>
      </c>
      <c r="G618" s="80">
        <f ca="1">IFERROR(__xludf.DUMMYFUNCTION("""COMPUTED_VALUE"""),44440)</f>
        <v>44440</v>
      </c>
      <c r="H618" s="6" t="str">
        <f ca="1">IFERROR(__xludf.DUMMYFUNCTION("""COMPUTED_VALUE"""),"Won")</f>
        <v>Won</v>
      </c>
      <c r="I618" s="6" t="str">
        <f ca="1">IFERROR(__xludf.DUMMYFUNCTION("""COMPUTED_VALUE"""),"27-28 Sep 2021")</f>
        <v>27-28 Sep 2021</v>
      </c>
      <c r="J618" s="6">
        <f ca="1">IFERROR(__xludf.DUMMYFUNCTION("""COMPUTED_VALUE"""),1)</f>
        <v>1</v>
      </c>
      <c r="K618" s="8">
        <f ca="1">IFERROR(__xludf.DUMMYFUNCTION("""COMPUTED_VALUE"""),18000)</f>
        <v>18000</v>
      </c>
      <c r="L618" s="8">
        <f ca="1">IFERROR(__xludf.DUMMYFUNCTION("""COMPUTED_VALUE"""),206.138341731562)</f>
        <v>206.13834173156201</v>
      </c>
      <c r="M618" s="96">
        <f ca="1">IFERROR(__xludf.DUMMYFUNCTION("""COMPUTED_VALUE"""),44457)</f>
        <v>44457</v>
      </c>
      <c r="N618" s="6" t="str">
        <f ca="1">IFERROR(__xludf.DUMMYFUNCTION("""COMPUTED_VALUE"""),"S10")</f>
        <v>S10</v>
      </c>
      <c r="O618" s="97">
        <f ca="1">IFERROR(__xludf.DUMMYFUNCTION("""COMPUTED_VALUE"""),44457)</f>
        <v>44457</v>
      </c>
      <c r="P618" s="6" t="str">
        <f ca="1">IFERROR(__xludf.DUMMYFUNCTION("""COMPUTED_VALUE"""),"CSTM_IYDM6WCJRDG")</f>
        <v>CSTM_IYDM6WCJRDG</v>
      </c>
      <c r="Q618" s="6" t="str">
        <f ca="1">IFERROR(__xludf.DUMMYFUNCTION("""COMPUTED_VALUE"""),"epgpcic@iimidr.ac.in")</f>
        <v>epgpcic@iimidr.ac.in</v>
      </c>
      <c r="R618" s="6" t="str">
        <f ca="1">IFERROR(__xludf.DUMMYFUNCTION("""COMPUTED_VALUE"""),"Pending")</f>
        <v>Pending</v>
      </c>
      <c r="S618" s="6" t="str">
        <f ca="1">IFERROR(__xludf.DUMMYFUNCTION("""COMPUTED_VALUE"""),"Category")</f>
        <v>Category</v>
      </c>
      <c r="T618" s="6"/>
      <c r="U618" s="6"/>
      <c r="V618" s="6"/>
      <c r="W618" s="6"/>
      <c r="X618" s="6"/>
      <c r="Y618" s="6"/>
      <c r="Z618" s="6"/>
      <c r="AA618" s="6"/>
      <c r="AB618" s="6"/>
      <c r="AC618" s="6"/>
      <c r="AD618" s="6"/>
      <c r="AE618" s="6"/>
      <c r="AF618" s="6"/>
      <c r="AG618" s="6"/>
      <c r="AH618" s="6"/>
      <c r="AI618" s="6"/>
      <c r="AJ618" s="6"/>
      <c r="AK618" s="6"/>
      <c r="AL618" s="6"/>
    </row>
    <row r="619" spans="1:38">
      <c r="A619" s="96">
        <f ca="1">IFERROR(__xludf.DUMMYFUNCTION("""COMPUTED_VALUE"""),44457)</f>
        <v>44457</v>
      </c>
      <c r="B619" s="6" t="str">
        <f ca="1">IFERROR(__xludf.DUMMYFUNCTION("""COMPUTED_VALUE"""),"Ram Lakhan Mishra")</f>
        <v>Ram Lakhan Mishra</v>
      </c>
      <c r="C619" s="6" t="str">
        <f ca="1">IFERROR(__xludf.DUMMYFUNCTION("""COMPUTED_VALUE"""),"e21ramlakhanm@iimidr.ac.in")</f>
        <v>e21ramlakhanm@iimidr.ac.in</v>
      </c>
      <c r="D619" s="6">
        <f ca="1">IFERROR(__xludf.DUMMYFUNCTION("""COMPUTED_VALUE"""),9892091526)</f>
        <v>9892091526</v>
      </c>
      <c r="E619" s="6" t="str">
        <f ca="1">IFERROR(__xludf.DUMMYFUNCTION("""COMPUTED_VALUE"""),"Reference")</f>
        <v>Reference</v>
      </c>
      <c r="F619" s="6" t="str">
        <f ca="1">IFERROR(__xludf.DUMMYFUNCTION("""COMPUTED_VALUE"""),"CSPO")</f>
        <v>CSPO</v>
      </c>
      <c r="G619" s="80">
        <f ca="1">IFERROR(__xludf.DUMMYFUNCTION("""COMPUTED_VALUE"""),44440)</f>
        <v>44440</v>
      </c>
      <c r="H619" s="6" t="str">
        <f ca="1">IFERROR(__xludf.DUMMYFUNCTION("""COMPUTED_VALUE"""),"Won")</f>
        <v>Won</v>
      </c>
      <c r="I619" s="6" t="str">
        <f ca="1">IFERROR(__xludf.DUMMYFUNCTION("""COMPUTED_VALUE"""),"27-28 Sep 2021")</f>
        <v>27-28 Sep 2021</v>
      </c>
      <c r="J619" s="6">
        <f ca="1">IFERROR(__xludf.DUMMYFUNCTION("""COMPUTED_VALUE"""),1)</f>
        <v>1</v>
      </c>
      <c r="K619" s="8">
        <f ca="1">IFERROR(__xludf.DUMMYFUNCTION("""COMPUTED_VALUE"""),18000)</f>
        <v>18000</v>
      </c>
      <c r="L619" s="8">
        <f ca="1">IFERROR(__xludf.DUMMYFUNCTION("""COMPUTED_VALUE"""),206.138341731562)</f>
        <v>206.13834173156201</v>
      </c>
      <c r="M619" s="96">
        <f ca="1">IFERROR(__xludf.DUMMYFUNCTION("""COMPUTED_VALUE"""),44457)</f>
        <v>44457</v>
      </c>
      <c r="N619" s="6" t="str">
        <f ca="1">IFERROR(__xludf.DUMMYFUNCTION("""COMPUTED_VALUE"""),"S10")</f>
        <v>S10</v>
      </c>
      <c r="O619" s="97">
        <f ca="1">IFERROR(__xludf.DUMMYFUNCTION("""COMPUTED_VALUE"""),44457)</f>
        <v>44457</v>
      </c>
      <c r="P619" s="6" t="str">
        <f ca="1">IFERROR(__xludf.DUMMYFUNCTION("""COMPUTED_VALUE"""),"CSTM_7WYVPVYYGDI")</f>
        <v>CSTM_7WYVPVYYGDI</v>
      </c>
      <c r="Q619" s="6" t="str">
        <f ca="1">IFERROR(__xludf.DUMMYFUNCTION("""COMPUTED_VALUE"""),"epgpcic@iimidr.ac.in")</f>
        <v>epgpcic@iimidr.ac.in</v>
      </c>
      <c r="R619" s="6" t="str">
        <f ca="1">IFERROR(__xludf.DUMMYFUNCTION("""COMPUTED_VALUE"""),"Pending")</f>
        <v>Pending</v>
      </c>
      <c r="S619" s="6" t="str">
        <f ca="1">IFERROR(__xludf.DUMMYFUNCTION("""COMPUTED_VALUE"""),"Category")</f>
        <v>Category</v>
      </c>
      <c r="T619" s="6"/>
      <c r="U619" s="6"/>
      <c r="V619" s="6"/>
      <c r="W619" s="6"/>
      <c r="X619" s="6"/>
      <c r="Y619" s="6"/>
      <c r="Z619" s="6"/>
      <c r="AA619" s="6"/>
      <c r="AB619" s="6"/>
      <c r="AC619" s="6"/>
      <c r="AD619" s="6"/>
      <c r="AE619" s="6"/>
      <c r="AF619" s="6"/>
      <c r="AG619" s="6"/>
      <c r="AH619" s="6"/>
      <c r="AI619" s="6"/>
      <c r="AJ619" s="6"/>
      <c r="AK619" s="6"/>
      <c r="AL619" s="6"/>
    </row>
    <row r="620" spans="1:38">
      <c r="A620" s="96">
        <f ca="1">IFERROR(__xludf.DUMMYFUNCTION("""COMPUTED_VALUE"""),44458)</f>
        <v>44458</v>
      </c>
      <c r="B620" s="6" t="str">
        <f ca="1">IFERROR(__xludf.DUMMYFUNCTION("""COMPUTED_VALUE"""),"Ruchira Chatterjee")</f>
        <v>Ruchira Chatterjee</v>
      </c>
      <c r="C620" s="6" t="str">
        <f ca="1">IFERROR(__xludf.DUMMYFUNCTION("""COMPUTED_VALUE"""),"ruchirasikdar@gmail.com")</f>
        <v>ruchirasikdar@gmail.com</v>
      </c>
      <c r="D620" s="6">
        <f ca="1">IFERROR(__xludf.DUMMYFUNCTION("""COMPUTED_VALUE"""),9739602224)</f>
        <v>9739602224</v>
      </c>
      <c r="E620" s="6" t="str">
        <f ca="1">IFERROR(__xludf.DUMMYFUNCTION("""COMPUTED_VALUE"""),"Chat_triggered")</f>
        <v>Chat_triggered</v>
      </c>
      <c r="F620" s="6" t="str">
        <f ca="1">IFERROR(__xludf.DUMMYFUNCTION("""COMPUTED_VALUE"""),"SAFe Agile")</f>
        <v>SAFe Agile</v>
      </c>
      <c r="G620" s="80">
        <f ca="1">IFERROR(__xludf.DUMMYFUNCTION("""COMPUTED_VALUE"""),44440)</f>
        <v>44440</v>
      </c>
      <c r="H620" s="6" t="str">
        <f ca="1">IFERROR(__xludf.DUMMYFUNCTION("""COMPUTED_VALUE"""),"Won")</f>
        <v>Won</v>
      </c>
      <c r="I620" s="6" t="str">
        <f ca="1">IFERROR(__xludf.DUMMYFUNCTION("""COMPUTED_VALUE"""),"2-3 Oct 2021")</f>
        <v>2-3 Oct 2021</v>
      </c>
      <c r="J620" s="6">
        <f ca="1">IFERROR(__xludf.DUMMYFUNCTION("""COMPUTED_VALUE"""),1)</f>
        <v>1</v>
      </c>
      <c r="K620" s="8">
        <f ca="1">IFERROR(__xludf.DUMMYFUNCTION("""COMPUTED_VALUE"""),45000)</f>
        <v>45000</v>
      </c>
      <c r="L620" s="8">
        <f ca="1">IFERROR(__xludf.DUMMYFUNCTION("""COMPUTED_VALUE"""),515.345854328905)</f>
        <v>515.34585432890503</v>
      </c>
      <c r="M620" s="96">
        <f ca="1">IFERROR(__xludf.DUMMYFUNCTION("""COMPUTED_VALUE"""),44458)</f>
        <v>44458</v>
      </c>
      <c r="N620" s="6" t="str">
        <f ca="1">IFERROR(__xludf.DUMMYFUNCTION("""COMPUTED_VALUE"""),"S10")</f>
        <v>S10</v>
      </c>
      <c r="O620" s="97">
        <f ca="1">IFERROR(__xludf.DUMMYFUNCTION("""COMPUTED_VALUE"""),44458)</f>
        <v>44458</v>
      </c>
      <c r="P620" s="6" t="str">
        <f ca="1">IFERROR(__xludf.DUMMYFUNCTION("""COMPUTED_VALUE"""),"CSTM_805USY1R1BB")</f>
        <v>CSTM_805USY1R1BB</v>
      </c>
      <c r="Q620" s="6"/>
      <c r="R620" s="6" t="str">
        <f ca="1">IFERROR(__xludf.DUMMYFUNCTION("""COMPUTED_VALUE"""),"Pending")</f>
        <v>Pending</v>
      </c>
      <c r="S620" s="6" t="str">
        <f ca="1">IFERROR(__xludf.DUMMYFUNCTION("""COMPUTED_VALUE"""),"SAFe")</f>
        <v>SAFe</v>
      </c>
      <c r="T620" s="6"/>
      <c r="U620" s="6"/>
      <c r="V620" s="6"/>
      <c r="W620" s="6"/>
      <c r="X620" s="6"/>
      <c r="Y620" s="6"/>
      <c r="Z620" s="6"/>
      <c r="AA620" s="6"/>
      <c r="AB620" s="6"/>
      <c r="AC620" s="6"/>
      <c r="AD620" s="6"/>
      <c r="AE620" s="6"/>
      <c r="AF620" s="6"/>
      <c r="AG620" s="6"/>
      <c r="AH620" s="6"/>
      <c r="AI620" s="6"/>
      <c r="AJ620" s="6"/>
      <c r="AK620" s="6"/>
      <c r="AL620" s="6"/>
    </row>
    <row r="621" spans="1:38">
      <c r="A621" s="96">
        <f ca="1">IFERROR(__xludf.DUMMYFUNCTION("""COMPUTED_VALUE"""),44458)</f>
        <v>44458</v>
      </c>
      <c r="B621" s="6" t="str">
        <f ca="1">IFERROR(__xludf.DUMMYFUNCTION("""COMPUTED_VALUE"""),"Anand J")</f>
        <v>Anand J</v>
      </c>
      <c r="C621" s="6" t="str">
        <f ca="1">IFERROR(__xludf.DUMMYFUNCTION("""COMPUTED_VALUE"""),"e21anandj@iimidr.ac.in")</f>
        <v>e21anandj@iimidr.ac.in</v>
      </c>
      <c r="D621" s="6">
        <f ca="1">IFERROR(__xludf.DUMMYFUNCTION("""COMPUTED_VALUE"""),9552512865)</f>
        <v>9552512865</v>
      </c>
      <c r="E621" s="6" t="str">
        <f ca="1">IFERROR(__xludf.DUMMYFUNCTION("""COMPUTED_VALUE"""),"Reference")</f>
        <v>Reference</v>
      </c>
      <c r="F621" s="6" t="str">
        <f ca="1">IFERROR(__xludf.DUMMYFUNCTION("""COMPUTED_VALUE"""),"CSPO")</f>
        <v>CSPO</v>
      </c>
      <c r="G621" s="80">
        <f ca="1">IFERROR(__xludf.DUMMYFUNCTION("""COMPUTED_VALUE"""),44440)</f>
        <v>44440</v>
      </c>
      <c r="H621" s="6" t="str">
        <f ca="1">IFERROR(__xludf.DUMMYFUNCTION("""COMPUTED_VALUE"""),"Won")</f>
        <v>Won</v>
      </c>
      <c r="I621" s="6" t="str">
        <f ca="1">IFERROR(__xludf.DUMMYFUNCTION("""COMPUTED_VALUE"""),"27-28 Sep 2021")</f>
        <v>27-28 Sep 2021</v>
      </c>
      <c r="J621" s="6">
        <f ca="1">IFERROR(__xludf.DUMMYFUNCTION("""COMPUTED_VALUE"""),1)</f>
        <v>1</v>
      </c>
      <c r="K621" s="8">
        <f ca="1">IFERROR(__xludf.DUMMYFUNCTION("""COMPUTED_VALUE"""),18000)</f>
        <v>18000</v>
      </c>
      <c r="L621" s="8">
        <f ca="1">IFERROR(__xludf.DUMMYFUNCTION("""COMPUTED_VALUE"""),206.138341731562)</f>
        <v>206.13834173156201</v>
      </c>
      <c r="M621" s="96">
        <f ca="1">IFERROR(__xludf.DUMMYFUNCTION("""COMPUTED_VALUE"""),44458)</f>
        <v>44458</v>
      </c>
      <c r="N621" s="6" t="str">
        <f ca="1">IFERROR(__xludf.DUMMYFUNCTION("""COMPUTED_VALUE"""),"S10")</f>
        <v>S10</v>
      </c>
      <c r="O621" s="97">
        <f ca="1">IFERROR(__xludf.DUMMYFUNCTION("""COMPUTED_VALUE"""),44458)</f>
        <v>44458</v>
      </c>
      <c r="P621" s="6" t="str">
        <f ca="1">IFERROR(__xludf.DUMMYFUNCTION("""COMPUTED_VALUE"""),"CSTM_FWYGXL1P87Y")</f>
        <v>CSTM_FWYGXL1P87Y</v>
      </c>
      <c r="Q621" s="6" t="str">
        <f ca="1">IFERROR(__xludf.DUMMYFUNCTION("""COMPUTED_VALUE"""),"epgpcic@iimidr.ac.in")</f>
        <v>epgpcic@iimidr.ac.in</v>
      </c>
      <c r="R621" s="6" t="str">
        <f ca="1">IFERROR(__xludf.DUMMYFUNCTION("""COMPUTED_VALUE"""),"Pending")</f>
        <v>Pending</v>
      </c>
      <c r="S621" s="6" t="str">
        <f ca="1">IFERROR(__xludf.DUMMYFUNCTION("""COMPUTED_VALUE"""),"Category")</f>
        <v>Category</v>
      </c>
      <c r="T621" s="6"/>
      <c r="U621" s="6"/>
      <c r="V621" s="6"/>
      <c r="W621" s="6"/>
      <c r="X621" s="6"/>
      <c r="Y621" s="6"/>
      <c r="Z621" s="6"/>
      <c r="AA621" s="6"/>
      <c r="AB621" s="6"/>
      <c r="AC621" s="6"/>
      <c r="AD621" s="6"/>
      <c r="AE621" s="6"/>
      <c r="AF621" s="6"/>
      <c r="AG621" s="6"/>
      <c r="AH621" s="6"/>
      <c r="AI621" s="6"/>
      <c r="AJ621" s="6"/>
      <c r="AK621" s="6"/>
      <c r="AL621" s="6"/>
    </row>
    <row r="622" spans="1:38">
      <c r="A622" s="96">
        <f ca="1">IFERROR(__xludf.DUMMYFUNCTION("""COMPUTED_VALUE"""),44458)</f>
        <v>44458</v>
      </c>
      <c r="B622" s="6" t="str">
        <f ca="1">IFERROR(__xludf.DUMMYFUNCTION("""COMPUTED_VALUE"""),"Deeep")</f>
        <v>Deeep</v>
      </c>
      <c r="C622" s="6" t="str">
        <f ca="1">IFERROR(__xludf.DUMMYFUNCTION("""COMPUTED_VALUE"""),"e21deepr@iimidr.ac.in")</f>
        <v>e21deepr@iimidr.ac.in</v>
      </c>
      <c r="D622" s="6">
        <f ca="1">IFERROR(__xludf.DUMMYFUNCTION("""COMPUTED_VALUE"""),7600056064)</f>
        <v>7600056064</v>
      </c>
      <c r="E622" s="6" t="str">
        <f ca="1">IFERROR(__xludf.DUMMYFUNCTION("""COMPUTED_VALUE"""),"Reference")</f>
        <v>Reference</v>
      </c>
      <c r="F622" s="6" t="str">
        <f ca="1">IFERROR(__xludf.DUMMYFUNCTION("""COMPUTED_VALUE"""),"CSPO")</f>
        <v>CSPO</v>
      </c>
      <c r="G622" s="80">
        <f ca="1">IFERROR(__xludf.DUMMYFUNCTION("""COMPUTED_VALUE"""),44440)</f>
        <v>44440</v>
      </c>
      <c r="H622" s="6" t="str">
        <f ca="1">IFERROR(__xludf.DUMMYFUNCTION("""COMPUTED_VALUE"""),"Won")</f>
        <v>Won</v>
      </c>
      <c r="I622" s="6" t="str">
        <f ca="1">IFERROR(__xludf.DUMMYFUNCTION("""COMPUTED_VALUE"""),"27-28 Sep 2021")</f>
        <v>27-28 Sep 2021</v>
      </c>
      <c r="J622" s="6">
        <f ca="1">IFERROR(__xludf.DUMMYFUNCTION("""COMPUTED_VALUE"""),1)</f>
        <v>1</v>
      </c>
      <c r="K622" s="8">
        <f ca="1">IFERROR(__xludf.DUMMYFUNCTION("""COMPUTED_VALUE"""),18000)</f>
        <v>18000</v>
      </c>
      <c r="L622" s="8">
        <f ca="1">IFERROR(__xludf.DUMMYFUNCTION("""COMPUTED_VALUE"""),206.138341731562)</f>
        <v>206.13834173156201</v>
      </c>
      <c r="M622" s="96">
        <f ca="1">IFERROR(__xludf.DUMMYFUNCTION("""COMPUTED_VALUE"""),44458)</f>
        <v>44458</v>
      </c>
      <c r="N622" s="6" t="str">
        <f ca="1">IFERROR(__xludf.DUMMYFUNCTION("""COMPUTED_VALUE"""),"S10")</f>
        <v>S10</v>
      </c>
      <c r="O622" s="97">
        <f ca="1">IFERROR(__xludf.DUMMYFUNCTION("""COMPUTED_VALUE"""),44458)</f>
        <v>44458</v>
      </c>
      <c r="P622" s="6" t="str">
        <f ca="1">IFERROR(__xludf.DUMMYFUNCTION("""COMPUTED_VALUE"""),"CSTM_27PBTJ369BN")</f>
        <v>CSTM_27PBTJ369BN</v>
      </c>
      <c r="Q622" s="6" t="str">
        <f ca="1">IFERROR(__xludf.DUMMYFUNCTION("""COMPUTED_VALUE"""),"epgpcic@iimidr.ac.in")</f>
        <v>epgpcic@iimidr.ac.in</v>
      </c>
      <c r="R622" s="6" t="str">
        <f ca="1">IFERROR(__xludf.DUMMYFUNCTION("""COMPUTED_VALUE"""),"Pending")</f>
        <v>Pending</v>
      </c>
      <c r="S622" s="6" t="str">
        <f ca="1">IFERROR(__xludf.DUMMYFUNCTION("""COMPUTED_VALUE"""),"Category")</f>
        <v>Category</v>
      </c>
      <c r="T622" s="6"/>
      <c r="U622" s="6"/>
      <c r="V622" s="6"/>
      <c r="W622" s="6"/>
      <c r="X622" s="6"/>
      <c r="Y622" s="6"/>
      <c r="Z622" s="6"/>
      <c r="AA622" s="6"/>
      <c r="AB622" s="6"/>
      <c r="AC622" s="6"/>
      <c r="AD622" s="6"/>
      <c r="AE622" s="6"/>
      <c r="AF622" s="6"/>
      <c r="AG622" s="6"/>
      <c r="AH622" s="6"/>
      <c r="AI622" s="6"/>
      <c r="AJ622" s="6"/>
      <c r="AK622" s="6"/>
      <c r="AL622" s="6"/>
    </row>
    <row r="623" spans="1:38">
      <c r="A623" s="96">
        <f ca="1">IFERROR(__xludf.DUMMYFUNCTION("""COMPUTED_VALUE"""),44460)</f>
        <v>44460</v>
      </c>
      <c r="B623" s="6" t="str">
        <f ca="1">IFERROR(__xludf.DUMMYFUNCTION("""COMPUTED_VALUE"""),"Sivaranjani")</f>
        <v>Sivaranjani</v>
      </c>
      <c r="C623" s="6" t="str">
        <f ca="1">IFERROR(__xludf.DUMMYFUNCTION("""COMPUTED_VALUE"""),"sivaranjani.m23@gmail.com")</f>
        <v>sivaranjani.m23@gmail.com</v>
      </c>
      <c r="D623" s="6">
        <f ca="1">IFERROR(__xludf.DUMMYFUNCTION("""COMPUTED_VALUE"""),9600015838)</f>
        <v>9600015838</v>
      </c>
      <c r="E623" s="6" t="str">
        <f ca="1">IFERROR(__xludf.DUMMYFUNCTION("""COMPUTED_VALUE"""),"Reference")</f>
        <v>Reference</v>
      </c>
      <c r="F623" s="6" t="str">
        <f ca="1">IFERROR(__xludf.DUMMYFUNCTION("""COMPUTED_VALUE"""),"CSM")</f>
        <v>CSM</v>
      </c>
      <c r="G623" s="80">
        <f ca="1">IFERROR(__xludf.DUMMYFUNCTION("""COMPUTED_VALUE"""),44440)</f>
        <v>44440</v>
      </c>
      <c r="H623" s="6" t="str">
        <f ca="1">IFERROR(__xludf.DUMMYFUNCTION("""COMPUTED_VALUE"""),"Won")</f>
        <v>Won</v>
      </c>
      <c r="I623" s="6" t="str">
        <f ca="1">IFERROR(__xludf.DUMMYFUNCTION("""COMPUTED_VALUE"""),"2-3 Oct 2021")</f>
        <v>2-3 Oct 2021</v>
      </c>
      <c r="J623" s="6">
        <f ca="1">IFERROR(__xludf.DUMMYFUNCTION("""COMPUTED_VALUE"""),1)</f>
        <v>1</v>
      </c>
      <c r="K623" s="8">
        <f ca="1">IFERROR(__xludf.DUMMYFUNCTION("""COMPUTED_VALUE"""),19500)</f>
        <v>19500</v>
      </c>
      <c r="L623" s="8">
        <f ca="1">IFERROR(__xludf.DUMMYFUNCTION("""COMPUTED_VALUE"""),223.316536875858)</f>
        <v>223.31653687585799</v>
      </c>
      <c r="M623" s="96">
        <f ca="1">IFERROR(__xludf.DUMMYFUNCTION("""COMPUTED_VALUE"""),44460)</f>
        <v>44460</v>
      </c>
      <c r="N623" s="6" t="str">
        <f ca="1">IFERROR(__xludf.DUMMYFUNCTION("""COMPUTED_VALUE"""),"T10")</f>
        <v>T10</v>
      </c>
      <c r="O623" s="97">
        <f ca="1">IFERROR(__xludf.DUMMYFUNCTION("""COMPUTED_VALUE"""),44460)</f>
        <v>44460</v>
      </c>
      <c r="P623" s="6" t="str">
        <f ca="1">IFERROR(__xludf.DUMMYFUNCTION("""COMPUTED_VALUE"""),"CSTM_GVPJSEUN6PI")</f>
        <v>CSTM_GVPJSEUN6PI</v>
      </c>
      <c r="Q623" s="6" t="str">
        <f ca="1">IFERROR(__xludf.DUMMYFUNCTION("""COMPUTED_VALUE"""),"palanivel.n@gmail.com")</f>
        <v>palanivel.n@gmail.com</v>
      </c>
      <c r="R623" s="6" t="str">
        <f ca="1">IFERROR(__xludf.DUMMYFUNCTION("""COMPUTED_VALUE"""),"Pending")</f>
        <v>Pending</v>
      </c>
      <c r="S623" s="6" t="str">
        <f ca="1">IFERROR(__xludf.DUMMYFUNCTION("""COMPUTED_VALUE"""),"Category")</f>
        <v>Category</v>
      </c>
      <c r="T623" s="6"/>
      <c r="U623" s="6"/>
      <c r="V623" s="6"/>
      <c r="W623" s="6"/>
      <c r="X623" s="6"/>
      <c r="Y623" s="6"/>
      <c r="Z623" s="6"/>
      <c r="AA623" s="6"/>
      <c r="AB623" s="6"/>
      <c r="AC623" s="6"/>
      <c r="AD623" s="6"/>
      <c r="AE623" s="6"/>
      <c r="AF623" s="6"/>
      <c r="AG623" s="6"/>
      <c r="AH623" s="6"/>
      <c r="AI623" s="6"/>
      <c r="AJ623" s="6"/>
      <c r="AK623" s="6"/>
      <c r="AL623" s="6"/>
    </row>
    <row r="624" spans="1:38">
      <c r="A624" s="96">
        <f ca="1">IFERROR(__xludf.DUMMYFUNCTION("""COMPUTED_VALUE"""),44460)</f>
        <v>44460</v>
      </c>
      <c r="B624" s="6" t="str">
        <f ca="1">IFERROR(__xludf.DUMMYFUNCTION("""COMPUTED_VALUE"""),"Debaleena")</f>
        <v>Debaleena</v>
      </c>
      <c r="C624" s="6" t="str">
        <f ca="1">IFERROR(__xludf.DUMMYFUNCTION("""COMPUTED_VALUE"""),"debaleena03@gmail.com")</f>
        <v>debaleena03@gmail.com</v>
      </c>
      <c r="D624" s="6">
        <f ca="1">IFERROR(__xludf.DUMMYFUNCTION("""COMPUTED_VALUE"""),9007034940)</f>
        <v>9007034940</v>
      </c>
      <c r="E624" s="6" t="str">
        <f ca="1">IFERROR(__xludf.DUMMYFUNCTION("""COMPUTED_VALUE"""),"Account Repeat")</f>
        <v>Account Repeat</v>
      </c>
      <c r="F624" s="6" t="str">
        <f ca="1">IFERROR(__xludf.DUMMYFUNCTION("""COMPUTED_VALUE"""),"CSPO")</f>
        <v>CSPO</v>
      </c>
      <c r="G624" s="80">
        <f ca="1">IFERROR(__xludf.DUMMYFUNCTION("""COMPUTED_VALUE"""),44440)</f>
        <v>44440</v>
      </c>
      <c r="H624" s="6" t="str">
        <f ca="1">IFERROR(__xludf.DUMMYFUNCTION("""COMPUTED_VALUE"""),"Won")</f>
        <v>Won</v>
      </c>
      <c r="I624" s="6" t="str">
        <f ca="1">IFERROR(__xludf.DUMMYFUNCTION("""COMPUTED_VALUE"""),"25-26 Sep 2021")</f>
        <v>25-26 Sep 2021</v>
      </c>
      <c r="J624" s="6">
        <f ca="1">IFERROR(__xludf.DUMMYFUNCTION("""COMPUTED_VALUE"""),1)</f>
        <v>1</v>
      </c>
      <c r="K624" s="8">
        <f ca="1">IFERROR(__xludf.DUMMYFUNCTION("""COMPUTED_VALUE"""),19000)</f>
        <v>19000</v>
      </c>
      <c r="L624" s="8">
        <f ca="1">IFERROR(__xludf.DUMMYFUNCTION("""COMPUTED_VALUE"""),217.590471827759)</f>
        <v>217.59047182775899</v>
      </c>
      <c r="M624" s="96">
        <f ca="1">IFERROR(__xludf.DUMMYFUNCTION("""COMPUTED_VALUE"""),44460)</f>
        <v>44460</v>
      </c>
      <c r="N624" s="6" t="str">
        <f ca="1">IFERROR(__xludf.DUMMYFUNCTION("""COMPUTED_VALUE"""),"T10")</f>
        <v>T10</v>
      </c>
      <c r="O624" s="97">
        <f ca="1">IFERROR(__xludf.DUMMYFUNCTION("""COMPUTED_VALUE"""),44461)</f>
        <v>44461</v>
      </c>
      <c r="P624" s="6" t="str">
        <f ca="1">IFERROR(__xludf.DUMMYFUNCTION("""COMPUTED_VALUE"""),"CSTM_DMTVB84E6KD")</f>
        <v>CSTM_DMTVB84E6KD</v>
      </c>
      <c r="Q624" s="6"/>
      <c r="R624" s="6" t="str">
        <f ca="1">IFERROR(__xludf.DUMMYFUNCTION("""COMPUTED_VALUE"""),"Done. Good feedback.")</f>
        <v>Done. Good feedback.</v>
      </c>
      <c r="S624" s="6" t="str">
        <f ca="1">IFERROR(__xludf.DUMMYFUNCTION("""COMPUTED_VALUE"""),"Category")</f>
        <v>Category</v>
      </c>
      <c r="T624" s="6"/>
      <c r="U624" s="6"/>
      <c r="V624" s="6"/>
      <c r="W624" s="6"/>
      <c r="X624" s="6"/>
      <c r="Y624" s="6"/>
      <c r="Z624" s="6"/>
      <c r="AA624" s="6"/>
      <c r="AB624" s="6"/>
      <c r="AC624" s="6"/>
      <c r="AD624" s="6"/>
      <c r="AE624" s="6"/>
      <c r="AF624" s="6"/>
      <c r="AG624" s="6"/>
      <c r="AH624" s="6"/>
      <c r="AI624" s="6"/>
      <c r="AJ624" s="6"/>
      <c r="AK624" s="6"/>
      <c r="AL624" s="6"/>
    </row>
    <row r="625" spans="1:38">
      <c r="A625" s="96">
        <f ca="1">IFERROR(__xludf.DUMMYFUNCTION("""COMPUTED_VALUE"""),44461)</f>
        <v>44461</v>
      </c>
      <c r="B625" s="6" t="str">
        <f ca="1">IFERROR(__xludf.DUMMYFUNCTION("""COMPUTED_VALUE"""),"Dipak Thakare")</f>
        <v>Dipak Thakare</v>
      </c>
      <c r="C625" s="6" t="str">
        <f ca="1">IFERROR(__xludf.DUMMYFUNCTION("""COMPUTED_VALUE"""),"i.dipakthakare@gmail.com")</f>
        <v>i.dipakthakare@gmail.com</v>
      </c>
      <c r="D625" s="6">
        <f ca="1">IFERROR(__xludf.DUMMYFUNCTION("""COMPUTED_VALUE"""),9850990930)</f>
        <v>9850990930</v>
      </c>
      <c r="E625" s="6" t="str">
        <f ca="1">IFERROR(__xludf.DUMMYFUNCTION("""COMPUTED_VALUE"""),"Tollfree")</f>
        <v>Tollfree</v>
      </c>
      <c r="F625" s="6" t="str">
        <f ca="1">IFERROR(__xludf.DUMMYFUNCTION("""COMPUTED_VALUE"""),"CSM")</f>
        <v>CSM</v>
      </c>
      <c r="G625" s="80">
        <f ca="1">IFERROR(__xludf.DUMMYFUNCTION("""COMPUTED_VALUE"""),44440)</f>
        <v>44440</v>
      </c>
      <c r="H625" s="6" t="str">
        <f ca="1">IFERROR(__xludf.DUMMYFUNCTION("""COMPUTED_VALUE"""),"Won")</f>
        <v>Won</v>
      </c>
      <c r="I625" s="6" t="str">
        <f ca="1">IFERROR(__xludf.DUMMYFUNCTION("""COMPUTED_VALUE"""),"2-3 Oct 2021")</f>
        <v>2-3 Oct 2021</v>
      </c>
      <c r="J625" s="6">
        <f ca="1">IFERROR(__xludf.DUMMYFUNCTION("""COMPUTED_VALUE"""),1)</f>
        <v>1</v>
      </c>
      <c r="K625" s="8">
        <f ca="1">IFERROR(__xludf.DUMMYFUNCTION("""COMPUTED_VALUE"""),20000)</f>
        <v>20000</v>
      </c>
      <c r="L625" s="8">
        <f ca="1">IFERROR(__xludf.DUMMYFUNCTION("""COMPUTED_VALUE"""),229.042601923957)</f>
        <v>229.04260192395699</v>
      </c>
      <c r="M625" s="96">
        <f ca="1">IFERROR(__xludf.DUMMYFUNCTION("""COMPUTED_VALUE"""),44461)</f>
        <v>44461</v>
      </c>
      <c r="N625" s="6" t="str">
        <f ca="1">IFERROR(__xludf.DUMMYFUNCTION("""COMPUTED_VALUE"""),"T10")</f>
        <v>T10</v>
      </c>
      <c r="O625" s="97">
        <f ca="1">IFERROR(__xludf.DUMMYFUNCTION("""COMPUTED_VALUE"""),44461)</f>
        <v>44461</v>
      </c>
      <c r="P625" s="6" t="str">
        <f ca="1">IFERROR(__xludf.DUMMYFUNCTION("""COMPUTED_VALUE"""),"CSTM_4U3IC0ITTRD")</f>
        <v>CSTM_4U3IC0ITTRD</v>
      </c>
      <c r="Q625" s="6"/>
      <c r="R625" s="6" t="str">
        <f ca="1">IFERROR(__xludf.DUMMYFUNCTION("""COMPUTED_VALUE"""),"Done. Good feedback.")</f>
        <v>Done. Good feedback.</v>
      </c>
      <c r="S625" s="6" t="str">
        <f ca="1">IFERROR(__xludf.DUMMYFUNCTION("""COMPUTED_VALUE"""),"Category")</f>
        <v>Category</v>
      </c>
      <c r="T625" s="6"/>
      <c r="U625" s="6"/>
      <c r="V625" s="6"/>
      <c r="W625" s="6"/>
      <c r="X625" s="6"/>
      <c r="Y625" s="6"/>
      <c r="Z625" s="6"/>
      <c r="AA625" s="6"/>
      <c r="AB625" s="6"/>
      <c r="AC625" s="6"/>
      <c r="AD625" s="6"/>
      <c r="AE625" s="6"/>
      <c r="AF625" s="6"/>
      <c r="AG625" s="6"/>
      <c r="AH625" s="6"/>
      <c r="AI625" s="6"/>
      <c r="AJ625" s="6"/>
      <c r="AK625" s="6"/>
      <c r="AL625" s="6"/>
    </row>
    <row r="626" spans="1:38">
      <c r="A626" s="96">
        <f ca="1">IFERROR(__xludf.DUMMYFUNCTION("""COMPUTED_VALUE"""),44462)</f>
        <v>44462</v>
      </c>
      <c r="B626" s="6" t="str">
        <f ca="1">IFERROR(__xludf.DUMMYFUNCTION("""COMPUTED_VALUE"""),"Chandan Rathi")</f>
        <v>Chandan Rathi</v>
      </c>
      <c r="C626" s="6" t="str">
        <f ca="1">IFERROR(__xludf.DUMMYFUNCTION("""COMPUTED_VALUE"""),"e21chandanr@iimidr.ac.in")</f>
        <v>e21chandanr@iimidr.ac.in</v>
      </c>
      <c r="D626" s="6">
        <f ca="1">IFERROR(__xludf.DUMMYFUNCTION("""COMPUTED_VALUE"""),9711561459)</f>
        <v>9711561459</v>
      </c>
      <c r="E626" s="6" t="str">
        <f ca="1">IFERROR(__xludf.DUMMYFUNCTION("""COMPUTED_VALUE"""),"Reference")</f>
        <v>Reference</v>
      </c>
      <c r="F626" s="6" t="str">
        <f ca="1">IFERROR(__xludf.DUMMYFUNCTION("""COMPUTED_VALUE"""),"CSPO")</f>
        <v>CSPO</v>
      </c>
      <c r="G626" s="80">
        <f ca="1">IFERROR(__xludf.DUMMYFUNCTION("""COMPUTED_VALUE"""),44440)</f>
        <v>44440</v>
      </c>
      <c r="H626" s="6" t="str">
        <f ca="1">IFERROR(__xludf.DUMMYFUNCTION("""COMPUTED_VALUE"""),"Won")</f>
        <v>Won</v>
      </c>
      <c r="I626" s="6" t="str">
        <f ca="1">IFERROR(__xludf.DUMMYFUNCTION("""COMPUTED_VALUE"""),"27-28 Sep 2021")</f>
        <v>27-28 Sep 2021</v>
      </c>
      <c r="J626" s="6">
        <f ca="1">IFERROR(__xludf.DUMMYFUNCTION("""COMPUTED_VALUE"""),1)</f>
        <v>1</v>
      </c>
      <c r="K626" s="8">
        <f ca="1">IFERROR(__xludf.DUMMYFUNCTION("""COMPUTED_VALUE"""),18000)</f>
        <v>18000</v>
      </c>
      <c r="L626" s="8">
        <f ca="1">IFERROR(__xludf.DUMMYFUNCTION("""COMPUTED_VALUE"""),206.138341731562)</f>
        <v>206.13834173156201</v>
      </c>
      <c r="M626" s="96">
        <f ca="1">IFERROR(__xludf.DUMMYFUNCTION("""COMPUTED_VALUE"""),44462)</f>
        <v>44462</v>
      </c>
      <c r="N626" s="6" t="str">
        <f ca="1">IFERROR(__xludf.DUMMYFUNCTION("""COMPUTED_VALUE"""),"T10")</f>
        <v>T10</v>
      </c>
      <c r="O626" s="97">
        <f ca="1">IFERROR(__xludf.DUMMYFUNCTION("""COMPUTED_VALUE"""),44462)</f>
        <v>44462</v>
      </c>
      <c r="P626" s="6" t="str">
        <f ca="1">IFERROR(__xludf.DUMMYFUNCTION("""COMPUTED_VALUE"""),"CSTM_ENOY68RGT8C")</f>
        <v>CSTM_ENOY68RGT8C</v>
      </c>
      <c r="Q626" s="6" t="str">
        <f ca="1">IFERROR(__xludf.DUMMYFUNCTION("""COMPUTED_VALUE"""),"epgpcic@iimidr.ac.in")</f>
        <v>epgpcic@iimidr.ac.in</v>
      </c>
      <c r="R626" s="6" t="str">
        <f ca="1">IFERROR(__xludf.DUMMYFUNCTION("""COMPUTED_VALUE"""),"Pending")</f>
        <v>Pending</v>
      </c>
      <c r="S626" s="6" t="str">
        <f ca="1">IFERROR(__xludf.DUMMYFUNCTION("""COMPUTED_VALUE"""),"Category")</f>
        <v>Category</v>
      </c>
      <c r="T626" s="6"/>
      <c r="U626" s="6"/>
      <c r="V626" s="6"/>
      <c r="W626" s="6"/>
      <c r="X626" s="6"/>
      <c r="Y626" s="6"/>
      <c r="Z626" s="6"/>
      <c r="AA626" s="6"/>
      <c r="AB626" s="6"/>
      <c r="AC626" s="6"/>
      <c r="AD626" s="6"/>
      <c r="AE626" s="6"/>
      <c r="AF626" s="6"/>
      <c r="AG626" s="6"/>
      <c r="AH626" s="6"/>
      <c r="AI626" s="6"/>
      <c r="AJ626" s="6"/>
      <c r="AK626" s="6"/>
      <c r="AL626" s="6"/>
    </row>
    <row r="627" spans="1:38">
      <c r="A627" s="96">
        <f ca="1">IFERROR(__xludf.DUMMYFUNCTION("""COMPUTED_VALUE"""),44463)</f>
        <v>44463</v>
      </c>
      <c r="B627" s="6" t="str">
        <f ca="1">IFERROR(__xludf.DUMMYFUNCTION("""COMPUTED_VALUE"""),"Dabreo")</f>
        <v>Dabreo</v>
      </c>
      <c r="C627" s="6" t="str">
        <f ca="1">IFERROR(__xludf.DUMMYFUNCTION("""COMPUTED_VALUE"""),"dabreoadler09@gmail.com")</f>
        <v>dabreoadler09@gmail.com</v>
      </c>
      <c r="D627" s="6">
        <f ca="1">IFERROR(__xludf.DUMMYFUNCTION("""COMPUTED_VALUE"""),9168782159)</f>
        <v>9168782159</v>
      </c>
      <c r="E627" s="6" t="str">
        <f ca="1">IFERROR(__xludf.DUMMYFUNCTION("""COMPUTED_VALUE"""),"course preview")</f>
        <v>course preview</v>
      </c>
      <c r="F627" s="6" t="str">
        <f ca="1">IFERROR(__xludf.DUMMYFUNCTION("""COMPUTED_VALUE"""),"CSPO")</f>
        <v>CSPO</v>
      </c>
      <c r="G627" s="80">
        <f ca="1">IFERROR(__xludf.DUMMYFUNCTION("""COMPUTED_VALUE"""),44440)</f>
        <v>44440</v>
      </c>
      <c r="H627" s="6" t="str">
        <f ca="1">IFERROR(__xludf.DUMMYFUNCTION("""COMPUTED_VALUE"""),"Won")</f>
        <v>Won</v>
      </c>
      <c r="I627" s="6" t="str">
        <f ca="1">IFERROR(__xludf.DUMMYFUNCTION("""COMPUTED_VALUE"""),"25-26 Sep 2021")</f>
        <v>25-26 Sep 2021</v>
      </c>
      <c r="J627" s="6">
        <f ca="1">IFERROR(__xludf.DUMMYFUNCTION("""COMPUTED_VALUE"""),1)</f>
        <v>1</v>
      </c>
      <c r="K627" s="8">
        <f ca="1">IFERROR(__xludf.DUMMYFUNCTION("""COMPUTED_VALUE"""),20000)</f>
        <v>20000</v>
      </c>
      <c r="L627" s="8">
        <f ca="1">IFERROR(__xludf.DUMMYFUNCTION("""COMPUTED_VALUE"""),229.042601923957)</f>
        <v>229.04260192395699</v>
      </c>
      <c r="M627" s="96">
        <f ca="1">IFERROR(__xludf.DUMMYFUNCTION("""COMPUTED_VALUE"""),44463)</f>
        <v>44463</v>
      </c>
      <c r="N627" s="6" t="str">
        <f ca="1">IFERROR(__xludf.DUMMYFUNCTION("""COMPUTED_VALUE"""),"T10")</f>
        <v>T10</v>
      </c>
      <c r="O627" s="97">
        <f ca="1">IFERROR(__xludf.DUMMYFUNCTION("""COMPUTED_VALUE"""),44463)</f>
        <v>44463</v>
      </c>
      <c r="P627" s="6" t="str">
        <f ca="1">IFERROR(__xludf.DUMMYFUNCTION("""COMPUTED_VALUE"""),"CSTM_6VPDPUQVNKY")</f>
        <v>CSTM_6VPDPUQVNKY</v>
      </c>
      <c r="Q627" s="6"/>
      <c r="R627" s="6" t="str">
        <f ca="1">IFERROR(__xludf.DUMMYFUNCTION("""COMPUTED_VALUE"""),"Pending")</f>
        <v>Pending</v>
      </c>
      <c r="S627" s="6" t="str">
        <f ca="1">IFERROR(__xludf.DUMMYFUNCTION("""COMPUTED_VALUE"""),"Category")</f>
        <v>Category</v>
      </c>
      <c r="T627" s="6"/>
      <c r="U627" s="6"/>
      <c r="V627" s="6"/>
      <c r="W627" s="6"/>
      <c r="X627" s="6"/>
      <c r="Y627" s="6"/>
      <c r="Z627" s="6"/>
      <c r="AA627" s="6"/>
      <c r="AB627" s="6"/>
      <c r="AC627" s="6"/>
      <c r="AD627" s="6"/>
      <c r="AE627" s="6"/>
      <c r="AF627" s="6"/>
      <c r="AG627" s="6"/>
      <c r="AH627" s="6"/>
      <c r="AI627" s="6"/>
      <c r="AJ627" s="6"/>
      <c r="AK627" s="6"/>
      <c r="AL627" s="6"/>
    </row>
    <row r="628" spans="1:38">
      <c r="A628" s="96">
        <f ca="1">IFERROR(__xludf.DUMMYFUNCTION("""COMPUTED_VALUE"""),44463)</f>
        <v>44463</v>
      </c>
      <c r="B628" s="6" t="str">
        <f ca="1">IFERROR(__xludf.DUMMYFUNCTION("""COMPUTED_VALUE"""),"Uday Gajewar")</f>
        <v>Uday Gajewar</v>
      </c>
      <c r="C628" s="6" t="str">
        <f ca="1">IFERROR(__xludf.DUMMYFUNCTION("""COMPUTED_VALUE"""),"uday.gajewar@yahoo.com")</f>
        <v>uday.gajewar@yahoo.com</v>
      </c>
      <c r="D628" s="6">
        <f ca="1">IFERROR(__xludf.DUMMYFUNCTION("""COMPUTED_VALUE"""),9049800041)</f>
        <v>9049800041</v>
      </c>
      <c r="E628" s="6" t="str">
        <f ca="1">IFERROR(__xludf.DUMMYFUNCTION("""COMPUTED_VALUE"""),"Query box")</f>
        <v>Query box</v>
      </c>
      <c r="F628" s="6" t="str">
        <f ca="1">IFERROR(__xludf.DUMMYFUNCTION("""COMPUTED_VALUE"""),"SAFe Agile")</f>
        <v>SAFe Agile</v>
      </c>
      <c r="G628" s="80">
        <f ca="1">IFERROR(__xludf.DUMMYFUNCTION("""COMPUTED_VALUE"""),44440)</f>
        <v>44440</v>
      </c>
      <c r="H628" s="6" t="str">
        <f ca="1">IFERROR(__xludf.DUMMYFUNCTION("""COMPUTED_VALUE"""),"Won")</f>
        <v>Won</v>
      </c>
      <c r="I628" s="6" t="str">
        <f ca="1">IFERROR(__xludf.DUMMYFUNCTION("""COMPUTED_VALUE"""),"23-24 Oct 2021")</f>
        <v>23-24 Oct 2021</v>
      </c>
      <c r="J628" s="6">
        <f ca="1">IFERROR(__xludf.DUMMYFUNCTION("""COMPUTED_VALUE"""),1)</f>
        <v>1</v>
      </c>
      <c r="K628" s="8">
        <f ca="1">IFERROR(__xludf.DUMMYFUNCTION("""COMPUTED_VALUE"""),41000)</f>
        <v>41000</v>
      </c>
      <c r="L628" s="8">
        <f ca="1">IFERROR(__xludf.DUMMYFUNCTION("""COMPUTED_VALUE"""),469.537333944113)</f>
        <v>469.53733394411302</v>
      </c>
      <c r="M628" s="96">
        <f ca="1">IFERROR(__xludf.DUMMYFUNCTION("""COMPUTED_VALUE"""),44463)</f>
        <v>44463</v>
      </c>
      <c r="N628" s="6" t="str">
        <f ca="1">IFERROR(__xludf.DUMMYFUNCTION("""COMPUTED_VALUE"""),"T10")</f>
        <v>T10</v>
      </c>
      <c r="O628" s="97">
        <f ca="1">IFERROR(__xludf.DUMMYFUNCTION("""COMPUTED_VALUE"""),44463)</f>
        <v>44463</v>
      </c>
      <c r="P628" s="6" t="str">
        <f ca="1">IFERROR(__xludf.DUMMYFUNCTION("""COMPUTED_VALUE"""),"CSTM_I73UM5Z28BM")</f>
        <v>CSTM_I73UM5Z28BM</v>
      </c>
      <c r="Q628" s="6"/>
      <c r="R628" s="6" t="str">
        <f ca="1">IFERROR(__xludf.DUMMYFUNCTION("""COMPUTED_VALUE"""),"Done. Good feedback.")</f>
        <v>Done. Good feedback.</v>
      </c>
      <c r="S628" s="6" t="str">
        <f ca="1">IFERROR(__xludf.DUMMYFUNCTION("""COMPUTED_VALUE"""),"SAFe")</f>
        <v>SAFe</v>
      </c>
      <c r="T628" s="6"/>
      <c r="U628" s="6"/>
      <c r="V628" s="6"/>
      <c r="W628" s="6"/>
      <c r="X628" s="6"/>
      <c r="Y628" s="6"/>
      <c r="Z628" s="6"/>
      <c r="AA628" s="6"/>
      <c r="AB628" s="6"/>
      <c r="AC628" s="6"/>
      <c r="AD628" s="6"/>
      <c r="AE628" s="6"/>
      <c r="AF628" s="6"/>
      <c r="AG628" s="6"/>
      <c r="AH628" s="6"/>
      <c r="AI628" s="6"/>
      <c r="AJ628" s="6"/>
      <c r="AK628" s="6"/>
      <c r="AL628" s="6"/>
    </row>
    <row r="629" spans="1:38">
      <c r="A629" s="96">
        <f ca="1">IFERROR(__xludf.DUMMYFUNCTION("""COMPUTED_VALUE"""),44463)</f>
        <v>44463</v>
      </c>
      <c r="B629" s="6" t="str">
        <f ca="1">IFERROR(__xludf.DUMMYFUNCTION("""COMPUTED_VALUE"""),"Sangita Phansalkar")</f>
        <v>Sangita Phansalkar</v>
      </c>
      <c r="C629" s="6" t="str">
        <f ca="1">IFERROR(__xludf.DUMMYFUNCTION("""COMPUTED_VALUE"""),"sangita.phansalkar@yahoo.com")</f>
        <v>sangita.phansalkar@yahoo.com</v>
      </c>
      <c r="D629" s="6">
        <f ca="1">IFERROR(__xludf.DUMMYFUNCTION("""COMPUTED_VALUE"""),9850898004)</f>
        <v>9850898004</v>
      </c>
      <c r="E629" s="6" t="str">
        <f ca="1">IFERROR(__xludf.DUMMYFUNCTION("""COMPUTED_VALUE"""),"Reference")</f>
        <v>Reference</v>
      </c>
      <c r="F629" s="6" t="str">
        <f ca="1">IFERROR(__xludf.DUMMYFUNCTION("""COMPUTED_VALUE"""),"SAFe Agile")</f>
        <v>SAFe Agile</v>
      </c>
      <c r="G629" s="80">
        <f ca="1">IFERROR(__xludf.DUMMYFUNCTION("""COMPUTED_VALUE"""),44440)</f>
        <v>44440</v>
      </c>
      <c r="H629" s="6" t="str">
        <f ca="1">IFERROR(__xludf.DUMMYFUNCTION("""COMPUTED_VALUE"""),"Won")</f>
        <v>Won</v>
      </c>
      <c r="I629" s="6" t="str">
        <f ca="1">IFERROR(__xludf.DUMMYFUNCTION("""COMPUTED_VALUE"""),"23-24 Oct 2021")</f>
        <v>23-24 Oct 2021</v>
      </c>
      <c r="J629" s="6">
        <f ca="1">IFERROR(__xludf.DUMMYFUNCTION("""COMPUTED_VALUE"""),1)</f>
        <v>1</v>
      </c>
      <c r="K629" s="8">
        <f ca="1">IFERROR(__xludf.DUMMYFUNCTION("""COMPUTED_VALUE"""),41000)</f>
        <v>41000</v>
      </c>
      <c r="L629" s="8">
        <f ca="1">IFERROR(__xludf.DUMMYFUNCTION("""COMPUTED_VALUE"""),469.537333944113)</f>
        <v>469.53733394411302</v>
      </c>
      <c r="M629" s="96">
        <f ca="1">IFERROR(__xludf.DUMMYFUNCTION("""COMPUTED_VALUE"""),44463)</f>
        <v>44463</v>
      </c>
      <c r="N629" s="6" t="str">
        <f ca="1">IFERROR(__xludf.DUMMYFUNCTION("""COMPUTED_VALUE"""),"T10")</f>
        <v>T10</v>
      </c>
      <c r="O629" s="97">
        <f ca="1">IFERROR(__xludf.DUMMYFUNCTION("""COMPUTED_VALUE"""),44463)</f>
        <v>44463</v>
      </c>
      <c r="P629" s="6" t="str">
        <f ca="1">IFERROR(__xludf.DUMMYFUNCTION("""COMPUTED_VALUE"""),"CSTM_Q3PCIJ4126")</f>
        <v>CSTM_Q3PCIJ4126</v>
      </c>
      <c r="Q629" s="6" t="str">
        <f ca="1">IFERROR(__xludf.DUMMYFUNCTION("""COMPUTED_VALUE"""),"Reference by Uday G")</f>
        <v>Reference by Uday G</v>
      </c>
      <c r="R629" s="6" t="str">
        <f ca="1">IFERROR(__xludf.DUMMYFUNCTION("""COMPUTED_VALUE"""),"Done. Good feedback.")</f>
        <v>Done. Good feedback.</v>
      </c>
      <c r="S629" s="6" t="str">
        <f ca="1">IFERROR(__xludf.DUMMYFUNCTION("""COMPUTED_VALUE"""),"SAFe")</f>
        <v>SAFe</v>
      </c>
      <c r="T629" s="6"/>
      <c r="U629" s="6"/>
      <c r="V629" s="6"/>
      <c r="W629" s="6"/>
      <c r="X629" s="6"/>
      <c r="Y629" s="6"/>
      <c r="Z629" s="6"/>
      <c r="AA629" s="6"/>
      <c r="AB629" s="6"/>
      <c r="AC629" s="6"/>
      <c r="AD629" s="6"/>
      <c r="AE629" s="6"/>
      <c r="AF629" s="6"/>
      <c r="AG629" s="6"/>
      <c r="AH629" s="6"/>
      <c r="AI629" s="6"/>
      <c r="AJ629" s="6"/>
      <c r="AK629" s="6"/>
      <c r="AL629" s="6"/>
    </row>
    <row r="630" spans="1:38">
      <c r="A630" s="96">
        <f ca="1">IFERROR(__xludf.DUMMYFUNCTION("""COMPUTED_VALUE"""),44463)</f>
        <v>44463</v>
      </c>
      <c r="B630" s="6" t="str">
        <f ca="1">IFERROR(__xludf.DUMMYFUNCTION("""COMPUTED_VALUE"""),"Murali Kannan")</f>
        <v>Murali Kannan</v>
      </c>
      <c r="C630" s="6" t="str">
        <f ca="1">IFERROR(__xludf.DUMMYFUNCTION("""COMPUTED_VALUE"""),"murali.kannan04@gmail.com")</f>
        <v>murali.kannan04@gmail.com</v>
      </c>
      <c r="D630" s="6">
        <f ca="1">IFERROR(__xludf.DUMMYFUNCTION("""COMPUTED_VALUE"""),9604854156)</f>
        <v>9604854156</v>
      </c>
      <c r="E630" s="6" t="str">
        <f ca="1">IFERROR(__xludf.DUMMYFUNCTION("""COMPUTED_VALUE"""),"Reference")</f>
        <v>Reference</v>
      </c>
      <c r="F630" s="6" t="str">
        <f ca="1">IFERROR(__xludf.DUMMYFUNCTION("""COMPUTED_VALUE"""),"SAFe Agile")</f>
        <v>SAFe Agile</v>
      </c>
      <c r="G630" s="80">
        <f ca="1">IFERROR(__xludf.DUMMYFUNCTION("""COMPUTED_VALUE"""),44440)</f>
        <v>44440</v>
      </c>
      <c r="H630" s="6" t="str">
        <f ca="1">IFERROR(__xludf.DUMMYFUNCTION("""COMPUTED_VALUE"""),"Won")</f>
        <v>Won</v>
      </c>
      <c r="I630" s="6" t="str">
        <f ca="1">IFERROR(__xludf.DUMMYFUNCTION("""COMPUTED_VALUE"""),"23-24 Oct 2021")</f>
        <v>23-24 Oct 2021</v>
      </c>
      <c r="J630" s="6">
        <f ca="1">IFERROR(__xludf.DUMMYFUNCTION("""COMPUTED_VALUE"""),1)</f>
        <v>1</v>
      </c>
      <c r="K630" s="8">
        <f ca="1">IFERROR(__xludf.DUMMYFUNCTION("""COMPUTED_VALUE"""),41000)</f>
        <v>41000</v>
      </c>
      <c r="L630" s="8">
        <f ca="1">IFERROR(__xludf.DUMMYFUNCTION("""COMPUTED_VALUE"""),469.537333944113)</f>
        <v>469.53733394411302</v>
      </c>
      <c r="M630" s="96">
        <f ca="1">IFERROR(__xludf.DUMMYFUNCTION("""COMPUTED_VALUE"""),44463)</f>
        <v>44463</v>
      </c>
      <c r="N630" s="6" t="str">
        <f ca="1">IFERROR(__xludf.DUMMYFUNCTION("""COMPUTED_VALUE"""),"T10")</f>
        <v>T10</v>
      </c>
      <c r="O630" s="97">
        <f ca="1">IFERROR(__xludf.DUMMYFUNCTION("""COMPUTED_VALUE"""),44463)</f>
        <v>44463</v>
      </c>
      <c r="P630" s="6" t="str">
        <f ca="1">IFERROR(__xludf.DUMMYFUNCTION("""COMPUTED_VALUE"""),"CSTM_8CLO6T54STI")</f>
        <v>CSTM_8CLO6T54STI</v>
      </c>
      <c r="Q630" s="6" t="str">
        <f ca="1">IFERROR(__xludf.DUMMYFUNCTION("""COMPUTED_VALUE"""),"Reference by Uday G")</f>
        <v>Reference by Uday G</v>
      </c>
      <c r="R630" s="6" t="str">
        <f ca="1">IFERROR(__xludf.DUMMYFUNCTION("""COMPUTED_VALUE"""),"Done. Good feedback.")</f>
        <v>Done. Good feedback.</v>
      </c>
      <c r="S630" s="6" t="str">
        <f ca="1">IFERROR(__xludf.DUMMYFUNCTION("""COMPUTED_VALUE"""),"SAFe")</f>
        <v>SAFe</v>
      </c>
      <c r="T630" s="6"/>
      <c r="U630" s="6"/>
      <c r="V630" s="6"/>
      <c r="W630" s="6"/>
      <c r="X630" s="6"/>
      <c r="Y630" s="6"/>
      <c r="Z630" s="6"/>
      <c r="AA630" s="6"/>
      <c r="AB630" s="6"/>
      <c r="AC630" s="6"/>
      <c r="AD630" s="6"/>
      <c r="AE630" s="6"/>
      <c r="AF630" s="6"/>
      <c r="AG630" s="6"/>
      <c r="AH630" s="6"/>
      <c r="AI630" s="6"/>
      <c r="AJ630" s="6"/>
      <c r="AK630" s="6"/>
      <c r="AL630" s="6"/>
    </row>
    <row r="631" spans="1:38">
      <c r="A631" s="96">
        <f ca="1">IFERROR(__xludf.DUMMYFUNCTION("""COMPUTED_VALUE"""),44463)</f>
        <v>44463</v>
      </c>
      <c r="B631" s="6" t="str">
        <f ca="1">IFERROR(__xludf.DUMMYFUNCTION("""COMPUTED_VALUE"""),"Charan Sai")</f>
        <v>Charan Sai</v>
      </c>
      <c r="C631" s="6" t="str">
        <f ca="1">IFERROR(__xludf.DUMMYFUNCTION("""COMPUTED_VALUE"""),"charansai.1710@yahoo.com")</f>
        <v>charansai.1710@yahoo.com</v>
      </c>
      <c r="D631" s="6">
        <f ca="1">IFERROR(__xludf.DUMMYFUNCTION("""COMPUTED_VALUE"""),7358751914)</f>
        <v>7358751914</v>
      </c>
      <c r="E631" s="6" t="str">
        <f ca="1">IFERROR(__xludf.DUMMYFUNCTION("""COMPUTED_VALUE"""),"Chat_triggered")</f>
        <v>Chat_triggered</v>
      </c>
      <c r="F631" s="6" t="str">
        <f ca="1">IFERROR(__xludf.DUMMYFUNCTION("""COMPUTED_VALUE"""),"CSPO")</f>
        <v>CSPO</v>
      </c>
      <c r="G631" s="80">
        <f ca="1">IFERROR(__xludf.DUMMYFUNCTION("""COMPUTED_VALUE"""),44440)</f>
        <v>44440</v>
      </c>
      <c r="H631" s="6" t="str">
        <f ca="1">IFERROR(__xludf.DUMMYFUNCTION("""COMPUTED_VALUE"""),"Won")</f>
        <v>Won</v>
      </c>
      <c r="I631" s="6" t="str">
        <f ca="1">IFERROR(__xludf.DUMMYFUNCTION("""COMPUTED_VALUE"""),"7-8 Oct 2021")</f>
        <v>7-8 Oct 2021</v>
      </c>
      <c r="J631" s="6">
        <f ca="1">IFERROR(__xludf.DUMMYFUNCTION("""COMPUTED_VALUE"""),1)</f>
        <v>1</v>
      </c>
      <c r="K631" s="8">
        <f ca="1">IFERROR(__xludf.DUMMYFUNCTION("""COMPUTED_VALUE"""),20000)</f>
        <v>20000</v>
      </c>
      <c r="L631" s="8">
        <f ca="1">IFERROR(__xludf.DUMMYFUNCTION("""COMPUTED_VALUE"""),229.042601923957)</f>
        <v>229.04260192395699</v>
      </c>
      <c r="M631" s="96">
        <f ca="1">IFERROR(__xludf.DUMMYFUNCTION("""COMPUTED_VALUE"""),44463)</f>
        <v>44463</v>
      </c>
      <c r="N631" s="6" t="str">
        <f ca="1">IFERROR(__xludf.DUMMYFUNCTION("""COMPUTED_VALUE"""),"T10")</f>
        <v>T10</v>
      </c>
      <c r="O631" s="97">
        <f ca="1">IFERROR(__xludf.DUMMYFUNCTION("""COMPUTED_VALUE"""),44464)</f>
        <v>44464</v>
      </c>
      <c r="P631" s="6" t="str">
        <f ca="1">IFERROR(__xludf.DUMMYFUNCTION("""COMPUTED_VALUE"""),"CSTM_42PUG6Y7262")</f>
        <v>CSTM_42PUG6Y7262</v>
      </c>
      <c r="Q631" s="6"/>
      <c r="R631" s="6" t="str">
        <f ca="1">IFERROR(__xludf.DUMMYFUNCTION("""COMPUTED_VALUE"""),"Pending")</f>
        <v>Pending</v>
      </c>
      <c r="S631" s="6" t="str">
        <f ca="1">IFERROR(__xludf.DUMMYFUNCTION("""COMPUTED_VALUE"""),"Category")</f>
        <v>Category</v>
      </c>
      <c r="T631" s="6"/>
      <c r="U631" s="6"/>
      <c r="V631" s="6"/>
      <c r="W631" s="6"/>
      <c r="X631" s="6"/>
      <c r="Y631" s="6"/>
      <c r="Z631" s="6"/>
      <c r="AA631" s="6"/>
      <c r="AB631" s="6"/>
      <c r="AC631" s="6"/>
      <c r="AD631" s="6"/>
      <c r="AE631" s="6"/>
      <c r="AF631" s="6"/>
      <c r="AG631" s="6"/>
      <c r="AH631" s="6"/>
      <c r="AI631" s="6"/>
      <c r="AJ631" s="6"/>
      <c r="AK631" s="6"/>
      <c r="AL631" s="6"/>
    </row>
    <row r="632" spans="1:38">
      <c r="A632" s="96">
        <f ca="1">IFERROR(__xludf.DUMMYFUNCTION("""COMPUTED_VALUE"""),44466)</f>
        <v>44466</v>
      </c>
      <c r="B632" s="6" t="str">
        <f ca="1">IFERROR(__xludf.DUMMYFUNCTION("""COMPUTED_VALUE"""),"Charanya")</f>
        <v>Charanya</v>
      </c>
      <c r="C632" s="6" t="str">
        <f ca="1">IFERROR(__xludf.DUMMYFUNCTION("""COMPUTED_VALUE"""),"charanya20.v@gmail.com")</f>
        <v>charanya20.v@gmail.com</v>
      </c>
      <c r="D632" s="6">
        <f ca="1">IFERROR(__xludf.DUMMYFUNCTION("""COMPUTED_VALUE"""),9901977148)</f>
        <v>9901977148</v>
      </c>
      <c r="E632" s="6" t="str">
        <f ca="1">IFERROR(__xludf.DUMMYFUNCTION("""COMPUTED_VALUE"""),"Reference")</f>
        <v>Reference</v>
      </c>
      <c r="F632" s="6" t="str">
        <f ca="1">IFERROR(__xludf.DUMMYFUNCTION("""COMPUTED_VALUE"""),"P2 F&amp;P")</f>
        <v>P2 F&amp;P</v>
      </c>
      <c r="G632" s="80">
        <f ca="1">IFERROR(__xludf.DUMMYFUNCTION("""COMPUTED_VALUE"""),44440)</f>
        <v>44440</v>
      </c>
      <c r="H632" s="6" t="str">
        <f ca="1">IFERROR(__xludf.DUMMYFUNCTION("""COMPUTED_VALUE"""),"Won")</f>
        <v>Won</v>
      </c>
      <c r="I632" s="6" t="str">
        <f ca="1">IFERROR(__xludf.DUMMYFUNCTION("""COMPUTED_VALUE"""),"Oct 2021")</f>
        <v>Oct 2021</v>
      </c>
      <c r="J632" s="6">
        <f ca="1">IFERROR(__xludf.DUMMYFUNCTION("""COMPUTED_VALUE"""),1)</f>
        <v>1</v>
      </c>
      <c r="K632" s="8">
        <f ca="1">IFERROR(__xludf.DUMMYFUNCTION("""COMPUTED_VALUE"""),38000)</f>
        <v>38000</v>
      </c>
      <c r="L632" s="8">
        <f ca="1">IFERROR(__xludf.DUMMYFUNCTION("""COMPUTED_VALUE"""),435.180943655519)</f>
        <v>435.180943655519</v>
      </c>
      <c r="M632" s="96">
        <f ca="1">IFERROR(__xludf.DUMMYFUNCTION("""COMPUTED_VALUE"""),44466)</f>
        <v>44466</v>
      </c>
      <c r="N632" s="6" t="str">
        <f ca="1">IFERROR(__xludf.DUMMYFUNCTION("""COMPUTED_VALUE"""),"T10")</f>
        <v>T10</v>
      </c>
      <c r="O632" s="97">
        <f ca="1">IFERROR(__xludf.DUMMYFUNCTION("""COMPUTED_VALUE"""),44466)</f>
        <v>44466</v>
      </c>
      <c r="P632" s="6" t="str">
        <f ca="1">IFERROR(__xludf.DUMMYFUNCTION("""COMPUTED_VALUE"""),"CSTM_48NFDPKR4ZA")</f>
        <v>CSTM_48NFDPKR4ZA</v>
      </c>
      <c r="Q632" s="6" t="str">
        <f ca="1">IFERROR(__xludf.DUMMYFUNCTION("""COMPUTED_VALUE"""),"napra1987@yahoo.com")</f>
        <v>napra1987@yahoo.com</v>
      </c>
      <c r="R632" s="6" t="str">
        <f ca="1">IFERROR(__xludf.DUMMYFUNCTION("""COMPUTED_VALUE"""),"Pending")</f>
        <v>Pending</v>
      </c>
      <c r="S632" s="6" t="str">
        <f ca="1">IFERROR(__xludf.DUMMYFUNCTION("""COMPUTED_VALUE"""),"NonCategory")</f>
        <v>NonCategory</v>
      </c>
      <c r="T632" s="6"/>
      <c r="U632" s="6"/>
      <c r="V632" s="6"/>
      <c r="W632" s="6"/>
      <c r="X632" s="6"/>
      <c r="Y632" s="6"/>
      <c r="Z632" s="6"/>
      <c r="AA632" s="6"/>
      <c r="AB632" s="6"/>
      <c r="AC632" s="6"/>
      <c r="AD632" s="6"/>
      <c r="AE632" s="6"/>
      <c r="AF632" s="6"/>
      <c r="AG632" s="6"/>
      <c r="AH632" s="6"/>
      <c r="AI632" s="6"/>
      <c r="AJ632" s="6"/>
      <c r="AK632" s="6"/>
      <c r="AL632" s="6"/>
    </row>
    <row r="633" spans="1:38">
      <c r="A633" s="96">
        <f ca="1">IFERROR(__xludf.DUMMYFUNCTION("""COMPUTED_VALUE"""),44467)</f>
        <v>44467</v>
      </c>
      <c r="B633" s="6" t="str">
        <f ca="1">IFERROR(__xludf.DUMMYFUNCTION("""COMPUTED_VALUE"""),"Shekhar")</f>
        <v>Shekhar</v>
      </c>
      <c r="C633" s="6" t="str">
        <f ca="1">IFERROR(__xludf.DUMMYFUNCTION("""COMPUTED_VALUE"""),"e21shekharp@iimidr.ac.in")</f>
        <v>e21shekharp@iimidr.ac.in</v>
      </c>
      <c r="D633" s="6">
        <f ca="1">IFERROR(__xludf.DUMMYFUNCTION("""COMPUTED_VALUE"""),9741321818)</f>
        <v>9741321818</v>
      </c>
      <c r="E633" s="6" t="str">
        <f ca="1">IFERROR(__xludf.DUMMYFUNCTION("""COMPUTED_VALUE"""),"Reference")</f>
        <v>Reference</v>
      </c>
      <c r="F633" s="6" t="str">
        <f ca="1">IFERROR(__xludf.DUMMYFUNCTION("""COMPUTED_VALUE"""),"SAFe POPM")</f>
        <v>SAFe POPM</v>
      </c>
      <c r="G633" s="80">
        <f ca="1">IFERROR(__xludf.DUMMYFUNCTION("""COMPUTED_VALUE"""),44440)</f>
        <v>44440</v>
      </c>
      <c r="H633" s="6" t="str">
        <f ca="1">IFERROR(__xludf.DUMMYFUNCTION("""COMPUTED_VALUE"""),"Won")</f>
        <v>Won</v>
      </c>
      <c r="I633" s="6" t="str">
        <f ca="1">IFERROR(__xludf.DUMMYFUNCTION("""COMPUTED_VALUE"""),"2-3 Oct 2021")</f>
        <v>2-3 Oct 2021</v>
      </c>
      <c r="J633" s="6">
        <f ca="1">IFERROR(__xludf.DUMMYFUNCTION("""COMPUTED_VALUE"""),1)</f>
        <v>1</v>
      </c>
      <c r="K633" s="8">
        <f ca="1">IFERROR(__xludf.DUMMYFUNCTION("""COMPUTED_VALUE"""),45000)</f>
        <v>45000</v>
      </c>
      <c r="L633" s="8">
        <f ca="1">IFERROR(__xludf.DUMMYFUNCTION("""COMPUTED_VALUE"""),515.345854328905)</f>
        <v>515.34585432890503</v>
      </c>
      <c r="M633" s="96">
        <f ca="1">IFERROR(__xludf.DUMMYFUNCTION("""COMPUTED_VALUE"""),44467)</f>
        <v>44467</v>
      </c>
      <c r="N633" s="6" t="str">
        <f ca="1">IFERROR(__xludf.DUMMYFUNCTION("""COMPUTED_VALUE"""),"T10")</f>
        <v>T10</v>
      </c>
      <c r="O633" s="97">
        <f ca="1">IFERROR(__xludf.DUMMYFUNCTION("""COMPUTED_VALUE"""),44467)</f>
        <v>44467</v>
      </c>
      <c r="P633" s="6" t="str">
        <f ca="1">IFERROR(__xludf.DUMMYFUNCTION("""COMPUTED_VALUE"""),"CSTM_7M6B2ILZUZV")</f>
        <v>CSTM_7M6B2ILZUZV</v>
      </c>
      <c r="Q633" s="6" t="str">
        <f ca="1">IFERROR(__xludf.DUMMYFUNCTION("""COMPUTED_VALUE"""),"Aurko")</f>
        <v>Aurko</v>
      </c>
      <c r="R633" s="6" t="str">
        <f ca="1">IFERROR(__xludf.DUMMYFUNCTION("""COMPUTED_VALUE"""),"Done. Good feedback.")</f>
        <v>Done. Good feedback.</v>
      </c>
      <c r="S633" s="6" t="str">
        <f ca="1">IFERROR(__xludf.DUMMYFUNCTION("""COMPUTED_VALUE"""),"SAFe")</f>
        <v>SAFe</v>
      </c>
      <c r="T633" s="6"/>
      <c r="U633" s="6"/>
      <c r="V633" s="6"/>
      <c r="W633" s="6"/>
      <c r="X633" s="6"/>
      <c r="Y633" s="6"/>
      <c r="Z633" s="6"/>
      <c r="AA633" s="6"/>
      <c r="AB633" s="6"/>
      <c r="AC633" s="6"/>
      <c r="AD633" s="6"/>
      <c r="AE633" s="6"/>
      <c r="AF633" s="6"/>
      <c r="AG633" s="6"/>
      <c r="AH633" s="6"/>
      <c r="AI633" s="6"/>
      <c r="AJ633" s="6"/>
      <c r="AK633" s="6"/>
      <c r="AL633" s="6"/>
    </row>
    <row r="634" spans="1:38">
      <c r="A634" s="96">
        <f ca="1">IFERROR(__xludf.DUMMYFUNCTION("""COMPUTED_VALUE"""),44468)</f>
        <v>44468</v>
      </c>
      <c r="B634" s="6" t="str">
        <f ca="1">IFERROR(__xludf.DUMMYFUNCTION("""COMPUTED_VALUE"""),"Anand Mohan")</f>
        <v>Anand Mohan</v>
      </c>
      <c r="C634" s="6" t="str">
        <f ca="1">IFERROR(__xludf.DUMMYFUNCTION("""COMPUTED_VALUE"""),"anandbabumohan@gmail.com")</f>
        <v>anandbabumohan@gmail.com</v>
      </c>
      <c r="D634" s="6">
        <f ca="1">IFERROR(__xludf.DUMMYFUNCTION("""COMPUTED_VALUE"""),9619939606)</f>
        <v>9619939606</v>
      </c>
      <c r="E634" s="6" t="str">
        <f ca="1">IFERROR(__xludf.DUMMYFUNCTION("""COMPUTED_VALUE"""),"Account Repeat")</f>
        <v>Account Repeat</v>
      </c>
      <c r="F634" s="6" t="str">
        <f ca="1">IFERROR(__xludf.DUMMYFUNCTION("""COMPUTED_VALUE"""),"SAFe Agile")</f>
        <v>SAFe Agile</v>
      </c>
      <c r="G634" s="80">
        <f ca="1">IFERROR(__xludf.DUMMYFUNCTION("""COMPUTED_VALUE"""),44440)</f>
        <v>44440</v>
      </c>
      <c r="H634" s="6" t="str">
        <f ca="1">IFERROR(__xludf.DUMMYFUNCTION("""COMPUTED_VALUE"""),"Won")</f>
        <v>Won</v>
      </c>
      <c r="I634" s="6" t="str">
        <f ca="1">IFERROR(__xludf.DUMMYFUNCTION("""COMPUTED_VALUE"""),"P2 F&amp;P")</f>
        <v>P2 F&amp;P</v>
      </c>
      <c r="J634" s="6">
        <f ca="1">IFERROR(__xludf.DUMMYFUNCTION("""COMPUTED_VALUE"""),1)</f>
        <v>1</v>
      </c>
      <c r="K634" s="8">
        <f ca="1">IFERROR(__xludf.DUMMYFUNCTION("""COMPUTED_VALUE"""),38000)</f>
        <v>38000</v>
      </c>
      <c r="L634" s="8">
        <f ca="1">IFERROR(__xludf.DUMMYFUNCTION("""COMPUTED_VALUE"""),435.180943655519)</f>
        <v>435.180943655519</v>
      </c>
      <c r="M634" s="96">
        <f ca="1">IFERROR(__xludf.DUMMYFUNCTION("""COMPUTED_VALUE"""),44468)</f>
        <v>44468</v>
      </c>
      <c r="N634" s="6" t="str">
        <f ca="1">IFERROR(__xludf.DUMMYFUNCTION("""COMPUTED_VALUE"""),"T10")</f>
        <v>T10</v>
      </c>
      <c r="O634" s="97">
        <f ca="1">IFERROR(__xludf.DUMMYFUNCTION("""COMPUTED_VALUE"""),44467)</f>
        <v>44467</v>
      </c>
      <c r="P634" s="6" t="str">
        <f ca="1">IFERROR(__xludf.DUMMYFUNCTION("""COMPUTED_VALUE"""),"CSTM_5Q0V7G4YHY4")</f>
        <v>CSTM_5Q0V7G4YHY4</v>
      </c>
      <c r="Q634" s="6"/>
      <c r="R634" s="6" t="str">
        <f ca="1">IFERROR(__xludf.DUMMYFUNCTION("""COMPUTED_VALUE"""),"Pending")</f>
        <v>Pending</v>
      </c>
      <c r="S634" s="6" t="str">
        <f ca="1">IFERROR(__xludf.DUMMYFUNCTION("""COMPUTED_VALUE"""),"SAFe")</f>
        <v>SAFe</v>
      </c>
      <c r="T634" s="6"/>
      <c r="U634" s="6"/>
      <c r="V634" s="6"/>
      <c r="W634" s="6"/>
      <c r="X634" s="6"/>
      <c r="Y634" s="6"/>
      <c r="Z634" s="6"/>
      <c r="AA634" s="6"/>
      <c r="AB634" s="6"/>
      <c r="AC634" s="6"/>
      <c r="AD634" s="6"/>
      <c r="AE634" s="6"/>
      <c r="AF634" s="6"/>
      <c r="AG634" s="6"/>
      <c r="AH634" s="6"/>
      <c r="AI634" s="6"/>
      <c r="AJ634" s="6"/>
      <c r="AK634" s="6"/>
      <c r="AL634" s="6"/>
    </row>
    <row r="635" spans="1:38">
      <c r="A635" s="96">
        <f ca="1">IFERROR(__xludf.DUMMYFUNCTION("""COMPUTED_VALUE"""),44470)</f>
        <v>44470</v>
      </c>
      <c r="B635" s="6" t="str">
        <f ca="1">IFERROR(__xludf.DUMMYFUNCTION("""COMPUTED_VALUE"""),"Puneet Thakur")</f>
        <v>Puneet Thakur</v>
      </c>
      <c r="C635" s="6" t="str">
        <f ca="1">IFERROR(__xludf.DUMMYFUNCTION("""COMPUTED_VALUE"""),"mail.thakurp@gmail.com")</f>
        <v>mail.thakurp@gmail.com</v>
      </c>
      <c r="D635" s="6">
        <f ca="1">IFERROR(__xludf.DUMMYFUNCTION("""COMPUTED_VALUE"""),7799136021)</f>
        <v>7799136021</v>
      </c>
      <c r="E635" s="6" t="str">
        <f ca="1">IFERROR(__xludf.DUMMYFUNCTION("""COMPUTED_VALUE"""),"Query box")</f>
        <v>Query box</v>
      </c>
      <c r="F635" s="6" t="str">
        <f ca="1">IFERROR(__xludf.DUMMYFUNCTION("""COMPUTED_VALUE"""),"SAFe POPM")</f>
        <v>SAFe POPM</v>
      </c>
      <c r="G635" s="80">
        <f ca="1">IFERROR(__xludf.DUMMYFUNCTION("""COMPUTED_VALUE"""),44470)</f>
        <v>44470</v>
      </c>
      <c r="H635" s="6" t="str">
        <f ca="1">IFERROR(__xludf.DUMMYFUNCTION("""COMPUTED_VALUE"""),"Won")</f>
        <v>Won</v>
      </c>
      <c r="I635" s="6" t="str">
        <f ca="1">IFERROR(__xludf.DUMMYFUNCTION("""COMPUTED_VALUE"""),"2-3 Oct 2021")</f>
        <v>2-3 Oct 2021</v>
      </c>
      <c r="J635" s="6">
        <f ca="1">IFERROR(__xludf.DUMMYFUNCTION("""COMPUTED_VALUE"""),1)</f>
        <v>1</v>
      </c>
      <c r="K635" s="8">
        <f ca="1">IFERROR(__xludf.DUMMYFUNCTION("""COMPUTED_VALUE"""),45000)</f>
        <v>45000</v>
      </c>
      <c r="L635" s="8">
        <f ca="1">IFERROR(__xludf.DUMMYFUNCTION("""COMPUTED_VALUE"""),515.345854328905)</f>
        <v>515.34585432890503</v>
      </c>
      <c r="M635" s="96">
        <f ca="1">IFERROR(__xludf.DUMMYFUNCTION("""COMPUTED_VALUE"""),44470)</f>
        <v>44470</v>
      </c>
      <c r="N635" s="6" t="str">
        <f ca="1">IFERROR(__xludf.DUMMYFUNCTION("""COMPUTED_VALUE"""),"F10")</f>
        <v>F10</v>
      </c>
      <c r="O635" s="97">
        <f ca="1">IFERROR(__xludf.DUMMYFUNCTION("""COMPUTED_VALUE"""),44470)</f>
        <v>44470</v>
      </c>
      <c r="P635" s="6" t="str">
        <f ca="1">IFERROR(__xludf.DUMMYFUNCTION("""COMPUTED_VALUE"""),"CSTM_JE5H47A7J6T")</f>
        <v>CSTM_JE5H47A7J6T</v>
      </c>
      <c r="Q635" s="6"/>
      <c r="R635" s="6" t="str">
        <f ca="1">IFERROR(__xludf.DUMMYFUNCTION("""COMPUTED_VALUE"""),"Pending")</f>
        <v>Pending</v>
      </c>
      <c r="S635" s="6" t="str">
        <f ca="1">IFERROR(__xludf.DUMMYFUNCTION("""COMPUTED_VALUE"""),"SAFe")</f>
        <v>SAFe</v>
      </c>
      <c r="T635" s="6"/>
      <c r="U635" s="6"/>
      <c r="V635" s="6"/>
      <c r="W635" s="6"/>
      <c r="X635" s="6"/>
      <c r="Y635" s="6"/>
      <c r="Z635" s="6"/>
      <c r="AA635" s="6"/>
      <c r="AB635" s="6"/>
      <c r="AC635" s="6"/>
      <c r="AD635" s="6"/>
      <c r="AE635" s="6"/>
      <c r="AF635" s="6"/>
      <c r="AG635" s="6"/>
      <c r="AH635" s="6"/>
      <c r="AI635" s="6"/>
      <c r="AJ635" s="6"/>
      <c r="AK635" s="6"/>
      <c r="AL635" s="6"/>
    </row>
    <row r="636" spans="1:38">
      <c r="A636" s="96">
        <f ca="1">IFERROR(__xludf.DUMMYFUNCTION("""COMPUTED_VALUE"""),44470)</f>
        <v>44470</v>
      </c>
      <c r="B636" s="6" t="str">
        <f ca="1">IFERROR(__xludf.DUMMYFUNCTION("""COMPUTED_VALUE"""),"Shamal")</f>
        <v>Shamal</v>
      </c>
      <c r="C636" s="6" t="str">
        <f ca="1">IFERROR(__xludf.DUMMYFUNCTION("""COMPUTED_VALUE"""),"shamal.firake@gmail.com")</f>
        <v>shamal.firake@gmail.com</v>
      </c>
      <c r="D636" s="6">
        <f ca="1">IFERROR(__xludf.DUMMYFUNCTION("""COMPUTED_VALUE"""),9702070104)</f>
        <v>9702070104</v>
      </c>
      <c r="E636" s="6" t="str">
        <f ca="1">IFERROR(__xludf.DUMMYFUNCTION("""COMPUTED_VALUE"""),"Reference")</f>
        <v>Reference</v>
      </c>
      <c r="F636" s="6" t="str">
        <f ca="1">IFERROR(__xludf.DUMMYFUNCTION("""COMPUTED_VALUE"""),"PSM")</f>
        <v>PSM</v>
      </c>
      <c r="G636" s="80">
        <f ca="1">IFERROR(__xludf.DUMMYFUNCTION("""COMPUTED_VALUE"""),44470)</f>
        <v>44470</v>
      </c>
      <c r="H636" s="6" t="str">
        <f ca="1">IFERROR(__xludf.DUMMYFUNCTION("""COMPUTED_VALUE"""),"Won")</f>
        <v>Won</v>
      </c>
      <c r="I636" s="6" t="str">
        <f ca="1">IFERROR(__xludf.DUMMYFUNCTION("""COMPUTED_VALUE"""),"2-3 Oct 2021")</f>
        <v>2-3 Oct 2021</v>
      </c>
      <c r="J636" s="6">
        <f ca="1">IFERROR(__xludf.DUMMYFUNCTION("""COMPUTED_VALUE"""),1)</f>
        <v>1</v>
      </c>
      <c r="K636" s="8">
        <f ca="1">IFERROR(__xludf.DUMMYFUNCTION("""COMPUTED_VALUE"""),21000)</f>
        <v>21000</v>
      </c>
      <c r="L636" s="8">
        <f ca="1">IFERROR(__xludf.DUMMYFUNCTION("""COMPUTED_VALUE"""),240.494732020155)</f>
        <v>240.494732020155</v>
      </c>
      <c r="M636" s="96">
        <f ca="1">IFERROR(__xludf.DUMMYFUNCTION("""COMPUTED_VALUE"""),44470)</f>
        <v>44470</v>
      </c>
      <c r="N636" s="6" t="str">
        <f ca="1">IFERROR(__xludf.DUMMYFUNCTION("""COMPUTED_VALUE"""),"F10")</f>
        <v>F10</v>
      </c>
      <c r="O636" s="97">
        <f ca="1">IFERROR(__xludf.DUMMYFUNCTION("""COMPUTED_VALUE"""),44470)</f>
        <v>44470</v>
      </c>
      <c r="P636" s="6" t="str">
        <f ca="1">IFERROR(__xludf.DUMMYFUNCTION("""COMPUTED_VALUE"""),"CSTM_9EJQ6NVBZ9P")</f>
        <v>CSTM_9EJQ6NVBZ9P</v>
      </c>
      <c r="Q636" s="6" t="str">
        <f ca="1">IFERROR(__xludf.DUMMYFUNCTION("""COMPUTED_VALUE"""),"ravi.dutt85@gmail.com")</f>
        <v>ravi.dutt85@gmail.com</v>
      </c>
      <c r="R636" s="6" t="str">
        <f ca="1">IFERROR(__xludf.DUMMYFUNCTION("""COMPUTED_VALUE"""),"Done. Good feedback.")</f>
        <v>Done. Good feedback.</v>
      </c>
      <c r="S636" s="6" t="str">
        <f ca="1">IFERROR(__xludf.DUMMYFUNCTION("""COMPUTED_VALUE"""),"Category")</f>
        <v>Category</v>
      </c>
      <c r="T636" s="6"/>
      <c r="U636" s="6"/>
      <c r="V636" s="6"/>
      <c r="W636" s="6"/>
      <c r="X636" s="6"/>
      <c r="Y636" s="6"/>
      <c r="Z636" s="6"/>
      <c r="AA636" s="6"/>
      <c r="AB636" s="6"/>
      <c r="AC636" s="6"/>
      <c r="AD636" s="6"/>
      <c r="AE636" s="6"/>
      <c r="AF636" s="6"/>
      <c r="AG636" s="6"/>
      <c r="AH636" s="6"/>
      <c r="AI636" s="6"/>
      <c r="AJ636" s="6"/>
      <c r="AK636" s="6"/>
      <c r="AL636" s="6"/>
    </row>
    <row r="637" spans="1:38">
      <c r="A637" s="96">
        <f ca="1">IFERROR(__xludf.DUMMYFUNCTION("""COMPUTED_VALUE"""),44470)</f>
        <v>44470</v>
      </c>
      <c r="B637" s="6" t="str">
        <f ca="1">IFERROR(__xludf.DUMMYFUNCTION("""COMPUTED_VALUE"""),"Jaffer")</f>
        <v>Jaffer</v>
      </c>
      <c r="C637" s="6" t="str">
        <f ca="1">IFERROR(__xludf.DUMMYFUNCTION("""COMPUTED_VALUE"""),"jef.mentor@gmail.com")</f>
        <v>jef.mentor@gmail.com</v>
      </c>
      <c r="D637" s="6">
        <f ca="1">IFERROR(__xludf.DUMMYFUNCTION("""COMPUTED_VALUE"""),8072195684)</f>
        <v>8072195684</v>
      </c>
      <c r="E637" s="6" t="str">
        <f ca="1">IFERROR(__xludf.DUMMYFUNCTION("""COMPUTED_VALUE"""),"Tollfree")</f>
        <v>Tollfree</v>
      </c>
      <c r="F637" s="6" t="str">
        <f ca="1">IFERROR(__xludf.DUMMYFUNCTION("""COMPUTED_VALUE"""),"SAFe POPM")</f>
        <v>SAFe POPM</v>
      </c>
      <c r="G637" s="80">
        <f ca="1">IFERROR(__xludf.DUMMYFUNCTION("""COMPUTED_VALUE"""),44470)</f>
        <v>44470</v>
      </c>
      <c r="H637" s="6" t="str">
        <f ca="1">IFERROR(__xludf.DUMMYFUNCTION("""COMPUTED_VALUE"""),"Won")</f>
        <v>Won</v>
      </c>
      <c r="I637" s="6" t="str">
        <f ca="1">IFERROR(__xludf.DUMMYFUNCTION("""COMPUTED_VALUE"""),"2-3 Oct 2021")</f>
        <v>2-3 Oct 2021</v>
      </c>
      <c r="J637" s="6">
        <f ca="1">IFERROR(__xludf.DUMMYFUNCTION("""COMPUTED_VALUE"""),1)</f>
        <v>1</v>
      </c>
      <c r="K637" s="8">
        <f ca="1">IFERROR(__xludf.DUMMYFUNCTION("""COMPUTED_VALUE"""),45000)</f>
        <v>45000</v>
      </c>
      <c r="L637" s="8">
        <f ca="1">IFERROR(__xludf.DUMMYFUNCTION("""COMPUTED_VALUE"""),515.345854328905)</f>
        <v>515.34585432890503</v>
      </c>
      <c r="M637" s="96">
        <f ca="1">IFERROR(__xludf.DUMMYFUNCTION("""COMPUTED_VALUE"""),44470)</f>
        <v>44470</v>
      </c>
      <c r="N637" s="6" t="str">
        <f ca="1">IFERROR(__xludf.DUMMYFUNCTION("""COMPUTED_VALUE"""),"F10")</f>
        <v>F10</v>
      </c>
      <c r="O637" s="97">
        <f ca="1">IFERROR(__xludf.DUMMYFUNCTION("""COMPUTED_VALUE"""),44470)</f>
        <v>44470</v>
      </c>
      <c r="P637" s="6" t="str">
        <f ca="1">IFERROR(__xludf.DUMMYFUNCTION("""COMPUTED_VALUE"""),"CSTM_4OGUDH7F82Z")</f>
        <v>CSTM_4OGUDH7F82Z</v>
      </c>
      <c r="Q637" s="6"/>
      <c r="R637" s="6" t="str">
        <f ca="1">IFERROR(__xludf.DUMMYFUNCTION("""COMPUTED_VALUE"""),"Pending")</f>
        <v>Pending</v>
      </c>
      <c r="S637" s="6" t="str">
        <f ca="1">IFERROR(__xludf.DUMMYFUNCTION("""COMPUTED_VALUE"""),"SAFe")</f>
        <v>SAFe</v>
      </c>
      <c r="T637" s="6"/>
      <c r="U637" s="6"/>
      <c r="V637" s="6"/>
      <c r="W637" s="6"/>
      <c r="X637" s="6"/>
      <c r="Y637" s="6"/>
      <c r="Z637" s="6"/>
      <c r="AA637" s="6"/>
      <c r="AB637" s="6"/>
      <c r="AC637" s="6"/>
      <c r="AD637" s="6"/>
      <c r="AE637" s="6"/>
      <c r="AF637" s="6"/>
      <c r="AG637" s="6"/>
      <c r="AH637" s="6"/>
      <c r="AI637" s="6"/>
      <c r="AJ637" s="6"/>
      <c r="AK637" s="6"/>
      <c r="AL637" s="6"/>
    </row>
    <row r="638" spans="1:38">
      <c r="A638" s="96">
        <f ca="1">IFERROR(__xludf.DUMMYFUNCTION("""COMPUTED_VALUE"""),44470)</f>
        <v>44470</v>
      </c>
      <c r="B638" s="6" t="str">
        <f ca="1">IFERROR(__xludf.DUMMYFUNCTION("""COMPUTED_VALUE"""),"Krishna Kumar")</f>
        <v>Krishna Kumar</v>
      </c>
      <c r="C638" s="6" t="str">
        <f ca="1">IFERROR(__xludf.DUMMYFUNCTION("""COMPUTED_VALUE"""),"kk15.sairam@gmail.com")</f>
        <v>kk15.sairam@gmail.com</v>
      </c>
      <c r="D638" s="6">
        <f ca="1">IFERROR(__xludf.DUMMYFUNCTION("""COMPUTED_VALUE"""),9940099568)</f>
        <v>9940099568</v>
      </c>
      <c r="E638" s="6" t="str">
        <f ca="1">IFERROR(__xludf.DUMMYFUNCTION("""COMPUTED_VALUE"""),"Tollfree")</f>
        <v>Tollfree</v>
      </c>
      <c r="F638" s="6" t="str">
        <f ca="1">IFERROR(__xludf.DUMMYFUNCTION("""COMPUTED_VALUE"""),"SAFe Agile")</f>
        <v>SAFe Agile</v>
      </c>
      <c r="G638" s="80">
        <f ca="1">IFERROR(__xludf.DUMMYFUNCTION("""COMPUTED_VALUE"""),44470)</f>
        <v>44470</v>
      </c>
      <c r="H638" s="6" t="str">
        <f ca="1">IFERROR(__xludf.DUMMYFUNCTION("""COMPUTED_VALUE"""),"Won")</f>
        <v>Won</v>
      </c>
      <c r="I638" s="6" t="str">
        <f ca="1">IFERROR(__xludf.DUMMYFUNCTION("""COMPUTED_VALUE"""),"2-3 Oct 2021")</f>
        <v>2-3 Oct 2021</v>
      </c>
      <c r="J638" s="6">
        <f ca="1">IFERROR(__xludf.DUMMYFUNCTION("""COMPUTED_VALUE"""),1)</f>
        <v>1</v>
      </c>
      <c r="K638" s="8">
        <f ca="1">IFERROR(__xludf.DUMMYFUNCTION("""COMPUTED_VALUE"""),45000)</f>
        <v>45000</v>
      </c>
      <c r="L638" s="8">
        <f ca="1">IFERROR(__xludf.DUMMYFUNCTION("""COMPUTED_VALUE"""),515.345854328905)</f>
        <v>515.34585432890503</v>
      </c>
      <c r="M638" s="96">
        <f ca="1">IFERROR(__xludf.DUMMYFUNCTION("""COMPUTED_VALUE"""),44470)</f>
        <v>44470</v>
      </c>
      <c r="N638" s="6" t="str">
        <f ca="1">IFERROR(__xludf.DUMMYFUNCTION("""COMPUTED_VALUE"""),"F10")</f>
        <v>F10</v>
      </c>
      <c r="O638" s="97">
        <f ca="1">IFERROR(__xludf.DUMMYFUNCTION("""COMPUTED_VALUE"""),44470)</f>
        <v>44470</v>
      </c>
      <c r="P638" s="6" t="str">
        <f ca="1">IFERROR(__xludf.DUMMYFUNCTION("""COMPUTED_VALUE"""),"CSTM_3RDS9DWS7XF")</f>
        <v>CSTM_3RDS9DWS7XF</v>
      </c>
      <c r="Q638" s="6"/>
      <c r="R638" s="6" t="str">
        <f ca="1">IFERROR(__xludf.DUMMYFUNCTION("""COMPUTED_VALUE"""),"Pending")</f>
        <v>Pending</v>
      </c>
      <c r="S638" s="6" t="str">
        <f ca="1">IFERROR(__xludf.DUMMYFUNCTION("""COMPUTED_VALUE"""),"SAFe")</f>
        <v>SAFe</v>
      </c>
      <c r="T638" s="6"/>
      <c r="U638" s="6"/>
      <c r="V638" s="6"/>
      <c r="W638" s="6"/>
      <c r="X638" s="6"/>
      <c r="Y638" s="6"/>
      <c r="Z638" s="6"/>
      <c r="AA638" s="6"/>
      <c r="AB638" s="6"/>
      <c r="AC638" s="6"/>
      <c r="AD638" s="6"/>
      <c r="AE638" s="6"/>
      <c r="AF638" s="6"/>
      <c r="AG638" s="6"/>
      <c r="AH638" s="6"/>
      <c r="AI638" s="6"/>
      <c r="AJ638" s="6"/>
      <c r="AK638" s="6"/>
      <c r="AL638" s="6"/>
    </row>
    <row r="639" spans="1:38">
      <c r="A639" s="96">
        <f ca="1">IFERROR(__xludf.DUMMYFUNCTION("""COMPUTED_VALUE"""),44471)</f>
        <v>44471</v>
      </c>
      <c r="B639" s="6" t="str">
        <f ca="1">IFERROR(__xludf.DUMMYFUNCTION("""COMPUTED_VALUE"""),"Vanitha GA")</f>
        <v>Vanitha GA</v>
      </c>
      <c r="C639" s="6" t="str">
        <f ca="1">IFERROR(__xludf.DUMMYFUNCTION("""COMPUTED_VALUE"""),"vanitha.ga@gmail.com")</f>
        <v>vanitha.ga@gmail.com</v>
      </c>
      <c r="D639" s="6">
        <f ca="1">IFERROR(__xludf.DUMMYFUNCTION("""COMPUTED_VALUE"""),9600003855)</f>
        <v>9600003855</v>
      </c>
      <c r="E639" s="6" t="str">
        <f ca="1">IFERROR(__xludf.DUMMYFUNCTION("""COMPUTED_VALUE"""),"course agenda")</f>
        <v>course agenda</v>
      </c>
      <c r="F639" s="6" t="str">
        <f ca="1">IFERROR(__xludf.DUMMYFUNCTION("""COMPUTED_VALUE"""),"BA with Masters")</f>
        <v>BA with Masters</v>
      </c>
      <c r="G639" s="80">
        <f ca="1">IFERROR(__xludf.DUMMYFUNCTION("""COMPUTED_VALUE"""),44470)</f>
        <v>44470</v>
      </c>
      <c r="H639" s="6" t="str">
        <f ca="1">IFERROR(__xludf.DUMMYFUNCTION("""COMPUTED_VALUE"""),"Won")</f>
        <v>Won</v>
      </c>
      <c r="I639" s="6" t="str">
        <f ca="1">IFERROR(__xludf.DUMMYFUNCTION("""COMPUTED_VALUE"""),"2 Oct 2021")</f>
        <v>2 Oct 2021</v>
      </c>
      <c r="J639" s="6">
        <f ca="1">IFERROR(__xludf.DUMMYFUNCTION("""COMPUTED_VALUE"""),1)</f>
        <v>1</v>
      </c>
      <c r="K639" s="8">
        <f ca="1">IFERROR(__xludf.DUMMYFUNCTION("""COMPUTED_VALUE"""),41000)</f>
        <v>41000</v>
      </c>
      <c r="L639" s="8">
        <f ca="1">IFERROR(__xludf.DUMMYFUNCTION("""COMPUTED_VALUE"""),469.537333944113)</f>
        <v>469.53733394411302</v>
      </c>
      <c r="M639" s="96">
        <f ca="1">IFERROR(__xludf.DUMMYFUNCTION("""COMPUTED_VALUE"""),44471)</f>
        <v>44471</v>
      </c>
      <c r="N639" s="6" t="str">
        <f ca="1">IFERROR(__xludf.DUMMYFUNCTION("""COMPUTED_VALUE"""),"F10")</f>
        <v>F10</v>
      </c>
      <c r="O639" s="97">
        <f ca="1">IFERROR(__xludf.DUMMYFUNCTION("""COMPUTED_VALUE"""),44471)</f>
        <v>44471</v>
      </c>
      <c r="P639" s="6" t="str">
        <f ca="1">IFERROR(__xludf.DUMMYFUNCTION("""COMPUTED_VALUE"""),"CSTM_J2MEBGY2GOQ")</f>
        <v>CSTM_J2MEBGY2GOQ</v>
      </c>
      <c r="Q639" s="6"/>
      <c r="R639" s="6" t="str">
        <f ca="1">IFERROR(__xludf.DUMMYFUNCTION("""COMPUTED_VALUE"""),"Pending")</f>
        <v>Pending</v>
      </c>
      <c r="S639" s="6" t="str">
        <f ca="1">IFERROR(__xludf.DUMMYFUNCTION("""COMPUTED_VALUE"""),"NonCategory")</f>
        <v>NonCategory</v>
      </c>
      <c r="T639" s="6"/>
      <c r="U639" s="6"/>
      <c r="V639" s="6"/>
      <c r="W639" s="6"/>
      <c r="X639" s="6"/>
      <c r="Y639" s="6"/>
      <c r="Z639" s="6"/>
      <c r="AA639" s="6"/>
      <c r="AB639" s="6"/>
      <c r="AC639" s="6"/>
      <c r="AD639" s="6"/>
      <c r="AE639" s="6"/>
      <c r="AF639" s="6"/>
      <c r="AG639" s="6"/>
      <c r="AH639" s="6"/>
      <c r="AI639" s="6"/>
      <c r="AJ639" s="6"/>
      <c r="AK639" s="6"/>
      <c r="AL639" s="6"/>
    </row>
    <row r="640" spans="1:38">
      <c r="A640" s="96">
        <f ca="1">IFERROR(__xludf.DUMMYFUNCTION("""COMPUTED_VALUE"""),44471)</f>
        <v>44471</v>
      </c>
      <c r="B640" s="6" t="str">
        <f ca="1">IFERROR(__xludf.DUMMYFUNCTION("""COMPUTED_VALUE"""),"Abhilash Sathyapalan")</f>
        <v>Abhilash Sathyapalan</v>
      </c>
      <c r="C640" s="6" t="str">
        <f ca="1">IFERROR(__xludf.DUMMYFUNCTION("""COMPUTED_VALUE"""),"abhilash.sathyapalan@gmail.com")</f>
        <v>abhilash.sathyapalan@gmail.com</v>
      </c>
      <c r="D640" s="6">
        <f ca="1">IFERROR(__xludf.DUMMYFUNCTION("""COMPUTED_VALUE"""),9895772219)</f>
        <v>9895772219</v>
      </c>
      <c r="E640" s="6" t="str">
        <f ca="1">IFERROR(__xludf.DUMMYFUNCTION("""COMPUTED_VALUE"""),"Reference")</f>
        <v>Reference</v>
      </c>
      <c r="F640" s="6" t="str">
        <f ca="1">IFERROR(__xludf.DUMMYFUNCTION("""COMPUTED_VALUE"""),"ITIL v4")</f>
        <v>ITIL v4</v>
      </c>
      <c r="G640" s="80">
        <f ca="1">IFERROR(__xludf.DUMMYFUNCTION("""COMPUTED_VALUE"""),44470)</f>
        <v>44470</v>
      </c>
      <c r="H640" s="6" t="str">
        <f ca="1">IFERROR(__xludf.DUMMYFUNCTION("""COMPUTED_VALUE"""),"Won")</f>
        <v>Won</v>
      </c>
      <c r="I640" s="6" t="str">
        <f ca="1">IFERROR(__xludf.DUMMYFUNCTION("""COMPUTED_VALUE"""),"2 Oct 2021")</f>
        <v>2 Oct 2021</v>
      </c>
      <c r="J640" s="6">
        <f ca="1">IFERROR(__xludf.DUMMYFUNCTION("""COMPUTED_VALUE"""),1)</f>
        <v>1</v>
      </c>
      <c r="K640" s="8">
        <f ca="1">IFERROR(__xludf.DUMMYFUNCTION("""COMPUTED_VALUE"""),16000)</f>
        <v>16000</v>
      </c>
      <c r="L640" s="8">
        <f ca="1">IFERROR(__xludf.DUMMYFUNCTION("""COMPUTED_VALUE"""),183.234081539166)</f>
        <v>183.234081539166</v>
      </c>
      <c r="M640" s="96">
        <f ca="1">IFERROR(__xludf.DUMMYFUNCTION("""COMPUTED_VALUE"""),44471)</f>
        <v>44471</v>
      </c>
      <c r="N640" s="6" t="str">
        <f ca="1">IFERROR(__xludf.DUMMYFUNCTION("""COMPUTED_VALUE"""),"F10")</f>
        <v>F10</v>
      </c>
      <c r="O640" s="97">
        <f ca="1">IFERROR(__xludf.DUMMYFUNCTION("""COMPUTED_VALUE"""),44471)</f>
        <v>44471</v>
      </c>
      <c r="P640" s="6" t="str">
        <f ca="1">IFERROR(__xludf.DUMMYFUNCTION("""COMPUTED_VALUE"""),"CSTM_CO9103Y34XI")</f>
        <v>CSTM_CO9103Y34XI</v>
      </c>
      <c r="Q640" s="6" t="str">
        <f ca="1">IFERROR(__xludf.DUMMYFUNCTION("""COMPUTED_VALUE"""),"Keerti")</f>
        <v>Keerti</v>
      </c>
      <c r="R640" s="6" t="str">
        <f ca="1">IFERROR(__xludf.DUMMYFUNCTION("""COMPUTED_VALUE"""),"Pending")</f>
        <v>Pending</v>
      </c>
      <c r="S640" s="6" t="str">
        <f ca="1">IFERROR(__xludf.DUMMYFUNCTION("""COMPUTED_VALUE"""),"NonCategory")</f>
        <v>NonCategory</v>
      </c>
      <c r="T640" s="6"/>
      <c r="U640" s="6"/>
      <c r="V640" s="6"/>
      <c r="W640" s="6"/>
      <c r="X640" s="6"/>
      <c r="Y640" s="6"/>
      <c r="Z640" s="6"/>
      <c r="AA640" s="6"/>
      <c r="AB640" s="6"/>
      <c r="AC640" s="6"/>
      <c r="AD640" s="6"/>
      <c r="AE640" s="6"/>
      <c r="AF640" s="6"/>
      <c r="AG640" s="6"/>
      <c r="AH640" s="6"/>
      <c r="AI640" s="6"/>
      <c r="AJ640" s="6"/>
      <c r="AK640" s="6"/>
      <c r="AL640" s="6"/>
    </row>
    <row r="641" spans="1:38">
      <c r="A641" s="96">
        <f ca="1">IFERROR(__xludf.DUMMYFUNCTION("""COMPUTED_VALUE"""),44471)</f>
        <v>44471</v>
      </c>
      <c r="B641" s="6" t="str">
        <f ca="1">IFERROR(__xludf.DUMMYFUNCTION("""COMPUTED_VALUE"""),"Abhilash Sathyapalan")</f>
        <v>Abhilash Sathyapalan</v>
      </c>
      <c r="C641" s="6" t="str">
        <f ca="1">IFERROR(__xludf.DUMMYFUNCTION("""COMPUTED_VALUE"""),"abhilash.sathyapalan@gmail.com")</f>
        <v>abhilash.sathyapalan@gmail.com</v>
      </c>
      <c r="D641" s="6">
        <f ca="1">IFERROR(__xludf.DUMMYFUNCTION("""COMPUTED_VALUE"""),9895772219)</f>
        <v>9895772219</v>
      </c>
      <c r="E641" s="6" t="str">
        <f ca="1">IFERROR(__xludf.DUMMYFUNCTION("""COMPUTED_VALUE"""),"Account Repeat")</f>
        <v>Account Repeat</v>
      </c>
      <c r="F641" s="6" t="str">
        <f ca="1">IFERROR(__xludf.DUMMYFUNCTION("""COMPUTED_VALUE"""),"Cobit")</f>
        <v>Cobit</v>
      </c>
      <c r="G641" s="80">
        <f ca="1">IFERROR(__xludf.DUMMYFUNCTION("""COMPUTED_VALUE"""),44470)</f>
        <v>44470</v>
      </c>
      <c r="H641" s="6" t="str">
        <f ca="1">IFERROR(__xludf.DUMMYFUNCTION("""COMPUTED_VALUE"""),"Won")</f>
        <v>Won</v>
      </c>
      <c r="I641" s="6" t="str">
        <f ca="1">IFERROR(__xludf.DUMMYFUNCTION("""COMPUTED_VALUE"""),"2 Oct 2021")</f>
        <v>2 Oct 2021</v>
      </c>
      <c r="J641" s="6">
        <f ca="1">IFERROR(__xludf.DUMMYFUNCTION("""COMPUTED_VALUE"""),1)</f>
        <v>1</v>
      </c>
      <c r="K641" s="8">
        <f ca="1">IFERROR(__xludf.DUMMYFUNCTION("""COMPUTED_VALUE"""),20000)</f>
        <v>20000</v>
      </c>
      <c r="L641" s="8">
        <f ca="1">IFERROR(__xludf.DUMMYFUNCTION("""COMPUTED_VALUE"""),229.042601923957)</f>
        <v>229.04260192395699</v>
      </c>
      <c r="M641" s="96">
        <f ca="1">IFERROR(__xludf.DUMMYFUNCTION("""COMPUTED_VALUE"""),44471)</f>
        <v>44471</v>
      </c>
      <c r="N641" s="6" t="str">
        <f ca="1">IFERROR(__xludf.DUMMYFUNCTION("""COMPUTED_VALUE"""),"F10")</f>
        <v>F10</v>
      </c>
      <c r="O641" s="97">
        <f ca="1">IFERROR(__xludf.DUMMYFUNCTION("""COMPUTED_VALUE"""),44471)</f>
        <v>44471</v>
      </c>
      <c r="P641" s="6" t="str">
        <f ca="1">IFERROR(__xludf.DUMMYFUNCTION("""COMPUTED_VALUE"""),"CSTM_B5BURU00SV0")</f>
        <v>CSTM_B5BURU00SV0</v>
      </c>
      <c r="Q641" s="6"/>
      <c r="R641" s="6" t="str">
        <f ca="1">IFERROR(__xludf.DUMMYFUNCTION("""COMPUTED_VALUE"""),"Pending")</f>
        <v>Pending</v>
      </c>
      <c r="S641" s="6" t="str">
        <f ca="1">IFERROR(__xludf.DUMMYFUNCTION("""COMPUTED_VALUE"""),"NonCategory")</f>
        <v>NonCategory</v>
      </c>
      <c r="T641" s="6"/>
      <c r="U641" s="6"/>
      <c r="V641" s="6"/>
      <c r="W641" s="6"/>
      <c r="X641" s="6"/>
      <c r="Y641" s="6"/>
      <c r="Z641" s="6"/>
      <c r="AA641" s="6"/>
      <c r="AB641" s="6"/>
      <c r="AC641" s="6"/>
      <c r="AD641" s="6"/>
      <c r="AE641" s="6"/>
      <c r="AF641" s="6"/>
      <c r="AG641" s="6"/>
      <c r="AH641" s="6"/>
      <c r="AI641" s="6"/>
      <c r="AJ641" s="6"/>
      <c r="AK641" s="6"/>
      <c r="AL641" s="6"/>
    </row>
    <row r="642" spans="1:38">
      <c r="A642" s="96">
        <f ca="1">IFERROR(__xludf.DUMMYFUNCTION("""COMPUTED_VALUE"""),44473)</f>
        <v>44473</v>
      </c>
      <c r="B642" s="6" t="str">
        <f ca="1">IFERROR(__xludf.DUMMYFUNCTION("""COMPUTED_VALUE"""),"Ranbir Singh")</f>
        <v>Ranbir Singh</v>
      </c>
      <c r="C642" s="6" t="str">
        <f ca="1">IFERROR(__xludf.DUMMYFUNCTION("""COMPUTED_VALUE"""),"rsingh.vit@gmail.com")</f>
        <v>rsingh.vit@gmail.com</v>
      </c>
      <c r="D642" s="6">
        <f ca="1">IFERROR(__xludf.DUMMYFUNCTION("""COMPUTED_VALUE"""),9987707042)</f>
        <v>9987707042</v>
      </c>
      <c r="E642" s="6" t="str">
        <f ca="1">IFERROR(__xludf.DUMMYFUNCTION("""COMPUTED_VALUE"""),"Reference")</f>
        <v>Reference</v>
      </c>
      <c r="F642" s="6" t="str">
        <f ca="1">IFERROR(__xludf.DUMMYFUNCTION("""COMPUTED_VALUE"""),"CSM")</f>
        <v>CSM</v>
      </c>
      <c r="G642" s="80">
        <f ca="1">IFERROR(__xludf.DUMMYFUNCTION("""COMPUTED_VALUE"""),44470)</f>
        <v>44470</v>
      </c>
      <c r="H642" s="6" t="str">
        <f ca="1">IFERROR(__xludf.DUMMYFUNCTION("""COMPUTED_VALUE"""),"Won")</f>
        <v>Won</v>
      </c>
      <c r="I642" s="6" t="str">
        <f ca="1">IFERROR(__xludf.DUMMYFUNCTION("""COMPUTED_VALUE"""),"7-8 Oct 2021")</f>
        <v>7-8 Oct 2021</v>
      </c>
      <c r="J642" s="6">
        <f ca="1">IFERROR(__xludf.DUMMYFUNCTION("""COMPUTED_VALUE"""),1)</f>
        <v>1</v>
      </c>
      <c r="K642" s="8">
        <f ca="1">IFERROR(__xludf.DUMMYFUNCTION("""COMPUTED_VALUE"""),20000)</f>
        <v>20000</v>
      </c>
      <c r="L642" s="8">
        <f ca="1">IFERROR(__xludf.DUMMYFUNCTION("""COMPUTED_VALUE"""),229.042601923957)</f>
        <v>229.04260192395699</v>
      </c>
      <c r="M642" s="96">
        <f ca="1">IFERROR(__xludf.DUMMYFUNCTION("""COMPUTED_VALUE"""),44473)</f>
        <v>44473</v>
      </c>
      <c r="N642" s="6" t="str">
        <f ca="1">IFERROR(__xludf.DUMMYFUNCTION("""COMPUTED_VALUE"""),"F10")</f>
        <v>F10</v>
      </c>
      <c r="O642" s="97">
        <f ca="1">IFERROR(__xludf.DUMMYFUNCTION("""COMPUTED_VALUE"""),44473)</f>
        <v>44473</v>
      </c>
      <c r="P642" s="6" t="str">
        <f ca="1">IFERROR(__xludf.DUMMYFUNCTION("""COMPUTED_VALUE"""),"CSTM_GHZQTPAN5PF")</f>
        <v>CSTM_GHZQTPAN5PF</v>
      </c>
      <c r="Q642" s="6" t="str">
        <f ca="1">IFERROR(__xludf.DUMMYFUNCTION("""COMPUTED_VALUE"""),"ravi.dutt85@gmail.com")</f>
        <v>ravi.dutt85@gmail.com</v>
      </c>
      <c r="R642" s="6" t="str">
        <f ca="1">IFERROR(__xludf.DUMMYFUNCTION("""COMPUTED_VALUE"""),"Pending")</f>
        <v>Pending</v>
      </c>
      <c r="S642" s="6" t="str">
        <f ca="1">IFERROR(__xludf.DUMMYFUNCTION("""COMPUTED_VALUE"""),"Category")</f>
        <v>Category</v>
      </c>
      <c r="T642" s="6"/>
      <c r="U642" s="6"/>
      <c r="V642" s="6"/>
      <c r="W642" s="6"/>
      <c r="X642" s="6"/>
      <c r="Y642" s="6"/>
      <c r="Z642" s="6"/>
      <c r="AA642" s="6"/>
      <c r="AB642" s="6"/>
      <c r="AC642" s="6"/>
      <c r="AD642" s="6"/>
      <c r="AE642" s="6"/>
      <c r="AF642" s="6"/>
      <c r="AG642" s="6"/>
      <c r="AH642" s="6"/>
      <c r="AI642" s="6"/>
      <c r="AJ642" s="6"/>
      <c r="AK642" s="6"/>
      <c r="AL642" s="6"/>
    </row>
    <row r="643" spans="1:38">
      <c r="A643" s="96">
        <f ca="1">IFERROR(__xludf.DUMMYFUNCTION("""COMPUTED_VALUE"""),44473)</f>
        <v>44473</v>
      </c>
      <c r="B643" s="6" t="str">
        <f ca="1">IFERROR(__xludf.DUMMYFUNCTION("""COMPUTED_VALUE"""),"Neel Patel")</f>
        <v>Neel Patel</v>
      </c>
      <c r="C643" s="6" t="str">
        <f ca="1">IFERROR(__xludf.DUMMYFUNCTION("""COMPUTED_VALUE"""),"neel.patel@strausshealthcare.com")</f>
        <v>neel.patel@strausshealthcare.com</v>
      </c>
      <c r="D643" s="6">
        <f ca="1">IFERROR(__xludf.DUMMYFUNCTION("""COMPUTED_VALUE"""),9925560870)</f>
        <v>9925560870</v>
      </c>
      <c r="E643" s="6" t="str">
        <f ca="1">IFERROR(__xludf.DUMMYFUNCTION("""COMPUTED_VALUE"""),"Reference")</f>
        <v>Reference</v>
      </c>
      <c r="F643" s="6" t="str">
        <f ca="1">IFERROR(__xludf.DUMMYFUNCTION("""COMPUTED_VALUE"""),"CSPO")</f>
        <v>CSPO</v>
      </c>
      <c r="G643" s="80">
        <f ca="1">IFERROR(__xludf.DUMMYFUNCTION("""COMPUTED_VALUE"""),44470)</f>
        <v>44470</v>
      </c>
      <c r="H643" s="6" t="str">
        <f ca="1">IFERROR(__xludf.DUMMYFUNCTION("""COMPUTED_VALUE"""),"Won")</f>
        <v>Won</v>
      </c>
      <c r="I643" s="6" t="str">
        <f ca="1">IFERROR(__xludf.DUMMYFUNCTION("""COMPUTED_VALUE"""),"23-24 Oct 2021")</f>
        <v>23-24 Oct 2021</v>
      </c>
      <c r="J643" s="6">
        <f ca="1">IFERROR(__xludf.DUMMYFUNCTION("""COMPUTED_VALUE"""),1)</f>
        <v>1</v>
      </c>
      <c r="K643" s="8">
        <f ca="1">IFERROR(__xludf.DUMMYFUNCTION("""COMPUTED_VALUE"""),19000)</f>
        <v>19000</v>
      </c>
      <c r="L643" s="8">
        <f ca="1">IFERROR(__xludf.DUMMYFUNCTION("""COMPUTED_VALUE"""),217.590471827759)</f>
        <v>217.59047182775899</v>
      </c>
      <c r="M643" s="96">
        <f ca="1">IFERROR(__xludf.DUMMYFUNCTION("""COMPUTED_VALUE"""),44473)</f>
        <v>44473</v>
      </c>
      <c r="N643" s="6" t="str">
        <f ca="1">IFERROR(__xludf.DUMMYFUNCTION("""COMPUTED_VALUE"""),"F10")</f>
        <v>F10</v>
      </c>
      <c r="O643" s="97">
        <f ca="1">IFERROR(__xludf.DUMMYFUNCTION("""COMPUTED_VALUE"""),44473)</f>
        <v>44473</v>
      </c>
      <c r="P643" s="6" t="str">
        <f ca="1">IFERROR(__xludf.DUMMYFUNCTION("""COMPUTED_VALUE"""),"CSTM_9EHS14DGE3C")</f>
        <v>CSTM_9EHS14DGE3C</v>
      </c>
      <c r="Q643" s="6" t="str">
        <f ca="1">IFERROR(__xludf.DUMMYFUNCTION("""COMPUTED_VALUE"""),"monikastrauss27@gmail.com")</f>
        <v>monikastrauss27@gmail.com</v>
      </c>
      <c r="R643" s="6" t="str">
        <f ca="1">IFERROR(__xludf.DUMMYFUNCTION("""COMPUTED_VALUE"""),"Pending")</f>
        <v>Pending</v>
      </c>
      <c r="S643" s="6" t="str">
        <f ca="1">IFERROR(__xludf.DUMMYFUNCTION("""COMPUTED_VALUE"""),"Category")</f>
        <v>Category</v>
      </c>
      <c r="T643" s="6"/>
      <c r="U643" s="6"/>
      <c r="V643" s="6"/>
      <c r="W643" s="6"/>
      <c r="X643" s="6"/>
      <c r="Y643" s="6"/>
      <c r="Z643" s="6"/>
      <c r="AA643" s="6"/>
      <c r="AB643" s="6"/>
      <c r="AC643" s="6"/>
      <c r="AD643" s="6"/>
      <c r="AE643" s="6"/>
      <c r="AF643" s="6"/>
      <c r="AG643" s="6"/>
      <c r="AH643" s="6"/>
      <c r="AI643" s="6"/>
      <c r="AJ643" s="6"/>
      <c r="AK643" s="6"/>
      <c r="AL643" s="6"/>
    </row>
    <row r="644" spans="1:38">
      <c r="A644" s="96">
        <f ca="1">IFERROR(__xludf.DUMMYFUNCTION("""COMPUTED_VALUE"""),44473)</f>
        <v>44473</v>
      </c>
      <c r="B644" s="6" t="str">
        <f ca="1">IFERROR(__xludf.DUMMYFUNCTION("""COMPUTED_VALUE"""),"Debasis")</f>
        <v>Debasis</v>
      </c>
      <c r="C644" s="6" t="str">
        <f ca="1">IFERROR(__xludf.DUMMYFUNCTION("""COMPUTED_VALUE"""),"ursdeb@gmail.com")</f>
        <v>ursdeb@gmail.com</v>
      </c>
      <c r="D644" s="6">
        <f ca="1">IFERROR(__xludf.DUMMYFUNCTION("""COMPUTED_VALUE"""),9741544377)</f>
        <v>9741544377</v>
      </c>
      <c r="E644" s="6" t="str">
        <f ca="1">IFERROR(__xludf.DUMMYFUNCTION("""COMPUTED_VALUE"""),"Query box")</f>
        <v>Query box</v>
      </c>
      <c r="F644" s="6" t="str">
        <f ca="1">IFERROR(__xludf.DUMMYFUNCTION("""COMPUTED_VALUE"""),"SAFe Agile")</f>
        <v>SAFe Agile</v>
      </c>
      <c r="G644" s="80">
        <f ca="1">IFERROR(__xludf.DUMMYFUNCTION("""COMPUTED_VALUE"""),44470)</f>
        <v>44470</v>
      </c>
      <c r="H644" s="6" t="str">
        <f ca="1">IFERROR(__xludf.DUMMYFUNCTION("""COMPUTED_VALUE"""),"Won")</f>
        <v>Won</v>
      </c>
      <c r="I644" s="6" t="str">
        <f ca="1">IFERROR(__xludf.DUMMYFUNCTION("""COMPUTED_VALUE"""),"9-10 Oct 2021")</f>
        <v>9-10 Oct 2021</v>
      </c>
      <c r="J644" s="6">
        <f ca="1">IFERROR(__xludf.DUMMYFUNCTION("""COMPUTED_VALUE"""),1)</f>
        <v>1</v>
      </c>
      <c r="K644" s="8">
        <f ca="1">IFERROR(__xludf.DUMMYFUNCTION("""COMPUTED_VALUE"""),45000)</f>
        <v>45000</v>
      </c>
      <c r="L644" s="8">
        <f ca="1">IFERROR(__xludf.DUMMYFUNCTION("""COMPUTED_VALUE"""),515.345854328905)</f>
        <v>515.34585432890503</v>
      </c>
      <c r="M644" s="96">
        <f ca="1">IFERROR(__xludf.DUMMYFUNCTION("""COMPUTED_VALUE"""),44473)</f>
        <v>44473</v>
      </c>
      <c r="N644" s="6" t="str">
        <f ca="1">IFERROR(__xludf.DUMMYFUNCTION("""COMPUTED_VALUE"""),"F10")</f>
        <v>F10</v>
      </c>
      <c r="O644" s="97">
        <f ca="1">IFERROR(__xludf.DUMMYFUNCTION("""COMPUTED_VALUE"""),44473)</f>
        <v>44473</v>
      </c>
      <c r="P644" s="6" t="str">
        <f ca="1">IFERROR(__xludf.DUMMYFUNCTION("""COMPUTED_VALUE"""),"CSTM_341HV3JIJM2")</f>
        <v>CSTM_341HV3JIJM2</v>
      </c>
      <c r="Q644" s="6"/>
      <c r="R644" s="6" t="str">
        <f ca="1">IFERROR(__xludf.DUMMYFUNCTION("""COMPUTED_VALUE"""),"Done. Good feedback.")</f>
        <v>Done. Good feedback.</v>
      </c>
      <c r="S644" s="6" t="str">
        <f ca="1">IFERROR(__xludf.DUMMYFUNCTION("""COMPUTED_VALUE"""),"SAFe")</f>
        <v>SAFe</v>
      </c>
      <c r="T644" s="6"/>
      <c r="U644" s="6"/>
      <c r="V644" s="6"/>
      <c r="W644" s="6"/>
      <c r="X644" s="6"/>
      <c r="Y644" s="6"/>
      <c r="Z644" s="6"/>
      <c r="AA644" s="6"/>
      <c r="AB644" s="6"/>
      <c r="AC644" s="6"/>
      <c r="AD644" s="6"/>
      <c r="AE644" s="6"/>
      <c r="AF644" s="6"/>
      <c r="AG644" s="6"/>
      <c r="AH644" s="6"/>
      <c r="AI644" s="6"/>
      <c r="AJ644" s="6"/>
      <c r="AK644" s="6"/>
      <c r="AL644" s="6"/>
    </row>
    <row r="645" spans="1:38">
      <c r="A645" s="96">
        <f ca="1">IFERROR(__xludf.DUMMYFUNCTION("""COMPUTED_VALUE"""),44473)</f>
        <v>44473</v>
      </c>
      <c r="B645" s="6" t="str">
        <f ca="1">IFERROR(__xludf.DUMMYFUNCTION("""COMPUTED_VALUE"""),"Aastha Choubey")</f>
        <v>Aastha Choubey</v>
      </c>
      <c r="C645" s="6" t="str">
        <f ca="1">IFERROR(__xludf.DUMMYFUNCTION("""COMPUTED_VALUE"""),"aasthachoubey26@gmail.com")</f>
        <v>aasthachoubey26@gmail.com</v>
      </c>
      <c r="D645" s="6">
        <f ca="1">IFERROR(__xludf.DUMMYFUNCTION("""COMPUTED_VALUE"""),7798990386)</f>
        <v>7798990386</v>
      </c>
      <c r="E645" s="6" t="str">
        <f ca="1">IFERROR(__xludf.DUMMYFUNCTION("""COMPUTED_VALUE"""),"Query box")</f>
        <v>Query box</v>
      </c>
      <c r="F645" s="6" t="str">
        <f ca="1">IFERROR(__xludf.DUMMYFUNCTION("""COMPUTED_VALUE"""),"SAFe SSM")</f>
        <v>SAFe SSM</v>
      </c>
      <c r="G645" s="80">
        <f ca="1">IFERROR(__xludf.DUMMYFUNCTION("""COMPUTED_VALUE"""),44470)</f>
        <v>44470</v>
      </c>
      <c r="H645" s="6" t="str">
        <f ca="1">IFERROR(__xludf.DUMMYFUNCTION("""COMPUTED_VALUE"""),"Won")</f>
        <v>Won</v>
      </c>
      <c r="I645" s="6" t="str">
        <f ca="1">IFERROR(__xludf.DUMMYFUNCTION("""COMPUTED_VALUE"""),"9-10 Oct 2021")</f>
        <v>9-10 Oct 2021</v>
      </c>
      <c r="J645" s="6">
        <f ca="1">IFERROR(__xludf.DUMMYFUNCTION("""COMPUTED_VALUE"""),1)</f>
        <v>1</v>
      </c>
      <c r="K645" s="8">
        <f ca="1">IFERROR(__xludf.DUMMYFUNCTION("""COMPUTED_VALUE"""),45000)</f>
        <v>45000</v>
      </c>
      <c r="L645" s="8">
        <f ca="1">IFERROR(__xludf.DUMMYFUNCTION("""COMPUTED_VALUE"""),515.345854328905)</f>
        <v>515.34585432890503</v>
      </c>
      <c r="M645" s="96">
        <f ca="1">IFERROR(__xludf.DUMMYFUNCTION("""COMPUTED_VALUE"""),44473)</f>
        <v>44473</v>
      </c>
      <c r="N645" s="6" t="str">
        <f ca="1">IFERROR(__xludf.DUMMYFUNCTION("""COMPUTED_VALUE"""),"F10")</f>
        <v>F10</v>
      </c>
      <c r="O645" s="97">
        <f ca="1">IFERROR(__xludf.DUMMYFUNCTION("""COMPUTED_VALUE"""),44473)</f>
        <v>44473</v>
      </c>
      <c r="P645" s="6" t="str">
        <f ca="1">IFERROR(__xludf.DUMMYFUNCTION("""COMPUTED_VALUE"""),"CSTM_7PIQL3L2D81")</f>
        <v>CSTM_7PIQL3L2D81</v>
      </c>
      <c r="Q645" s="6"/>
      <c r="R645" s="6" t="str">
        <f ca="1">IFERROR(__xludf.DUMMYFUNCTION("""COMPUTED_VALUE"""),"Pending")</f>
        <v>Pending</v>
      </c>
      <c r="S645" s="6" t="str">
        <f ca="1">IFERROR(__xludf.DUMMYFUNCTION("""COMPUTED_VALUE"""),"SAFe")</f>
        <v>SAFe</v>
      </c>
      <c r="T645" s="6"/>
      <c r="U645" s="6"/>
      <c r="V645" s="6"/>
      <c r="W645" s="6"/>
      <c r="X645" s="6"/>
      <c r="Y645" s="6"/>
      <c r="Z645" s="6"/>
      <c r="AA645" s="6"/>
      <c r="AB645" s="6"/>
      <c r="AC645" s="6"/>
      <c r="AD645" s="6"/>
      <c r="AE645" s="6"/>
      <c r="AF645" s="6"/>
      <c r="AG645" s="6"/>
      <c r="AH645" s="6"/>
      <c r="AI645" s="6"/>
      <c r="AJ645" s="6"/>
      <c r="AK645" s="6"/>
      <c r="AL645" s="6"/>
    </row>
    <row r="646" spans="1:38">
      <c r="A646" s="96">
        <f ca="1">IFERROR(__xludf.DUMMYFUNCTION("""COMPUTED_VALUE"""),44473)</f>
        <v>44473</v>
      </c>
      <c r="B646" s="6" t="str">
        <f ca="1">IFERROR(__xludf.DUMMYFUNCTION("""COMPUTED_VALUE"""),"Amit Arora")</f>
        <v>Amit Arora</v>
      </c>
      <c r="C646" s="6" t="str">
        <f ca="1">IFERROR(__xludf.DUMMYFUNCTION("""COMPUTED_VALUE"""),"a.arora0603@gmail.com")</f>
        <v>a.arora0603@gmail.com</v>
      </c>
      <c r="D646" s="6">
        <f ca="1">IFERROR(__xludf.DUMMYFUNCTION("""COMPUTED_VALUE"""),9893474282)</f>
        <v>9893474282</v>
      </c>
      <c r="E646" s="6" t="str">
        <f ca="1">IFERROR(__xludf.DUMMYFUNCTION("""COMPUTED_VALUE"""),"Query box")</f>
        <v>Query box</v>
      </c>
      <c r="F646" s="6" t="str">
        <f ca="1">IFERROR(__xludf.DUMMYFUNCTION("""COMPUTED_VALUE"""),"SAFe POPM")</f>
        <v>SAFe POPM</v>
      </c>
      <c r="G646" s="80">
        <f ca="1">IFERROR(__xludf.DUMMYFUNCTION("""COMPUTED_VALUE"""),44470)</f>
        <v>44470</v>
      </c>
      <c r="H646" s="6" t="str">
        <f ca="1">IFERROR(__xludf.DUMMYFUNCTION("""COMPUTED_VALUE"""),"Won")</f>
        <v>Won</v>
      </c>
      <c r="I646" s="6" t="str">
        <f ca="1">IFERROR(__xludf.DUMMYFUNCTION("""COMPUTED_VALUE"""),"4-5 Dec 2021")</f>
        <v>4-5 Dec 2021</v>
      </c>
      <c r="J646" s="6">
        <f ca="1">IFERROR(__xludf.DUMMYFUNCTION("""COMPUTED_VALUE"""),1)</f>
        <v>1</v>
      </c>
      <c r="K646" s="8">
        <f ca="1">IFERROR(__xludf.DUMMYFUNCTION("""COMPUTED_VALUE"""),45000)</f>
        <v>45000</v>
      </c>
      <c r="L646" s="8">
        <f ca="1">IFERROR(__xludf.DUMMYFUNCTION("""COMPUTED_VALUE"""),515.345854328905)</f>
        <v>515.34585432890503</v>
      </c>
      <c r="M646" s="96">
        <f ca="1">IFERROR(__xludf.DUMMYFUNCTION("""COMPUTED_VALUE"""),44473)</f>
        <v>44473</v>
      </c>
      <c r="N646" s="6" t="str">
        <f ca="1">IFERROR(__xludf.DUMMYFUNCTION("""COMPUTED_VALUE"""),"F10")</f>
        <v>F10</v>
      </c>
      <c r="O646" s="97">
        <f ca="1">IFERROR(__xludf.DUMMYFUNCTION("""COMPUTED_VALUE"""),44473)</f>
        <v>44473</v>
      </c>
      <c r="P646" s="6" t="str">
        <f ca="1">IFERROR(__xludf.DUMMYFUNCTION("""COMPUTED_VALUE"""),"CSTM_9SGJRAYEFJL")</f>
        <v>CSTM_9SGJRAYEFJL</v>
      </c>
      <c r="Q646" s="6"/>
      <c r="R646" s="6" t="str">
        <f ca="1">IFERROR(__xludf.DUMMYFUNCTION("""COMPUTED_VALUE"""),"Done. Good feedback.")</f>
        <v>Done. Good feedback.</v>
      </c>
      <c r="S646" s="6" t="str">
        <f ca="1">IFERROR(__xludf.DUMMYFUNCTION("""COMPUTED_VALUE"""),"SAFe")</f>
        <v>SAFe</v>
      </c>
      <c r="T646" s="6"/>
      <c r="U646" s="6"/>
      <c r="V646" s="6"/>
      <c r="W646" s="6"/>
      <c r="X646" s="6"/>
      <c r="Y646" s="6"/>
      <c r="Z646" s="6"/>
      <c r="AA646" s="6"/>
      <c r="AB646" s="6"/>
      <c r="AC646" s="6"/>
      <c r="AD646" s="6"/>
      <c r="AE646" s="6"/>
      <c r="AF646" s="6"/>
      <c r="AG646" s="6"/>
      <c r="AH646" s="6"/>
      <c r="AI646" s="6"/>
      <c r="AJ646" s="6"/>
      <c r="AK646" s="6"/>
      <c r="AL646" s="6"/>
    </row>
    <row r="647" spans="1:38">
      <c r="A647" s="96">
        <f ca="1">IFERROR(__xludf.DUMMYFUNCTION("""COMPUTED_VALUE"""),44474)</f>
        <v>44474</v>
      </c>
      <c r="B647" s="6" t="str">
        <f ca="1">IFERROR(__xludf.DUMMYFUNCTION("""COMPUTED_VALUE"""),"Shahrita")</f>
        <v>Shahrita</v>
      </c>
      <c r="C647" s="6" t="str">
        <f ca="1">IFERROR(__xludf.DUMMYFUNCTION("""COMPUTED_VALUE"""),"shahrita1@gmail.com")</f>
        <v>shahrita1@gmail.com</v>
      </c>
      <c r="D647" s="6">
        <f ca="1">IFERROR(__xludf.DUMMYFUNCTION("""COMPUTED_VALUE"""),9323672937)</f>
        <v>9323672937</v>
      </c>
      <c r="E647" s="6" t="str">
        <f ca="1">IFERROR(__xludf.DUMMYFUNCTION("""COMPUTED_VALUE"""),"fpt")</f>
        <v>fpt</v>
      </c>
      <c r="F647" s="6" t="str">
        <f ca="1">IFERROR(__xludf.DUMMYFUNCTION("""COMPUTED_VALUE"""),"CSM")</f>
        <v>CSM</v>
      </c>
      <c r="G647" s="80">
        <f ca="1">IFERROR(__xludf.DUMMYFUNCTION("""COMPUTED_VALUE"""),44470)</f>
        <v>44470</v>
      </c>
      <c r="H647" s="6" t="str">
        <f ca="1">IFERROR(__xludf.DUMMYFUNCTION("""COMPUTED_VALUE"""),"Won")</f>
        <v>Won</v>
      </c>
      <c r="I647" s="6" t="str">
        <f ca="1">IFERROR(__xludf.DUMMYFUNCTION("""COMPUTED_VALUE"""),"14-15 Oct 2021")</f>
        <v>14-15 Oct 2021</v>
      </c>
      <c r="J647" s="6">
        <f ca="1">IFERROR(__xludf.DUMMYFUNCTION("""COMPUTED_VALUE"""),1)</f>
        <v>1</v>
      </c>
      <c r="K647" s="8">
        <f ca="1">IFERROR(__xludf.DUMMYFUNCTION("""COMPUTED_VALUE"""),19000)</f>
        <v>19000</v>
      </c>
      <c r="L647" s="8">
        <f ca="1">IFERROR(__xludf.DUMMYFUNCTION("""COMPUTED_VALUE"""),217.590471827759)</f>
        <v>217.59047182775899</v>
      </c>
      <c r="M647" s="96">
        <f ca="1">IFERROR(__xludf.DUMMYFUNCTION("""COMPUTED_VALUE"""),44474)</f>
        <v>44474</v>
      </c>
      <c r="N647" s="6" t="str">
        <f ca="1">IFERROR(__xludf.DUMMYFUNCTION("""COMPUTED_VALUE"""),"F10")</f>
        <v>F10</v>
      </c>
      <c r="O647" s="97">
        <f ca="1">IFERROR(__xludf.DUMMYFUNCTION("""COMPUTED_VALUE"""),44474)</f>
        <v>44474</v>
      </c>
      <c r="P647" s="6" t="str">
        <f ca="1">IFERROR(__xludf.DUMMYFUNCTION("""COMPUTED_VALUE"""),"CSTM_I2OU3SUP0U2")</f>
        <v>CSTM_I2OU3SUP0U2</v>
      </c>
      <c r="Q647" s="6"/>
      <c r="R647" s="6" t="str">
        <f ca="1">IFERROR(__xludf.DUMMYFUNCTION("""COMPUTED_VALUE"""),"Pending")</f>
        <v>Pending</v>
      </c>
      <c r="S647" s="6" t="str">
        <f ca="1">IFERROR(__xludf.DUMMYFUNCTION("""COMPUTED_VALUE"""),"Category")</f>
        <v>Category</v>
      </c>
      <c r="T647" s="6"/>
      <c r="U647" s="6"/>
      <c r="V647" s="6"/>
      <c r="W647" s="6"/>
      <c r="X647" s="6"/>
      <c r="Y647" s="6"/>
      <c r="Z647" s="6"/>
      <c r="AA647" s="6"/>
      <c r="AB647" s="6"/>
      <c r="AC647" s="6"/>
      <c r="AD647" s="6"/>
      <c r="AE647" s="6"/>
      <c r="AF647" s="6"/>
      <c r="AG647" s="6"/>
      <c r="AH647" s="6"/>
      <c r="AI647" s="6"/>
      <c r="AJ647" s="6"/>
      <c r="AK647" s="6"/>
      <c r="AL647" s="6"/>
    </row>
    <row r="648" spans="1:38">
      <c r="A648" s="96">
        <f ca="1">IFERROR(__xludf.DUMMYFUNCTION("""COMPUTED_VALUE"""),44474)</f>
        <v>44474</v>
      </c>
      <c r="B648" s="6" t="str">
        <f ca="1">IFERROR(__xludf.DUMMYFUNCTION("""COMPUTED_VALUE"""),"Giri Nirbhay")</f>
        <v>Giri Nirbhay</v>
      </c>
      <c r="C648" s="6" t="str">
        <f ca="1">IFERROR(__xludf.DUMMYFUNCTION("""COMPUTED_VALUE"""),"girinirbhay@gmail.com")</f>
        <v>girinirbhay@gmail.com</v>
      </c>
      <c r="D648" s="6">
        <f ca="1">IFERROR(__xludf.DUMMYFUNCTION("""COMPUTED_VALUE"""),9594369111)</f>
        <v>9594369111</v>
      </c>
      <c r="E648" s="6" t="str">
        <f ca="1">IFERROR(__xludf.DUMMYFUNCTION("""COMPUTED_VALUE"""),"Reference")</f>
        <v>Reference</v>
      </c>
      <c r="F648" s="6" t="str">
        <f ca="1">IFERROR(__xludf.DUMMYFUNCTION("""COMPUTED_VALUE"""),"CSM")</f>
        <v>CSM</v>
      </c>
      <c r="G648" s="80">
        <f ca="1">IFERROR(__xludf.DUMMYFUNCTION("""COMPUTED_VALUE"""),44470)</f>
        <v>44470</v>
      </c>
      <c r="H648" s="6" t="str">
        <f ca="1">IFERROR(__xludf.DUMMYFUNCTION("""COMPUTED_VALUE"""),"Won")</f>
        <v>Won</v>
      </c>
      <c r="I648" s="6" t="str">
        <f ca="1">IFERROR(__xludf.DUMMYFUNCTION("""COMPUTED_VALUE"""),"14-15 Oct 2021")</f>
        <v>14-15 Oct 2021</v>
      </c>
      <c r="J648" s="6">
        <f ca="1">IFERROR(__xludf.DUMMYFUNCTION("""COMPUTED_VALUE"""),1)</f>
        <v>1</v>
      </c>
      <c r="K648" s="8">
        <f ca="1">IFERROR(__xludf.DUMMYFUNCTION("""COMPUTED_VALUE"""),19000)</f>
        <v>19000</v>
      </c>
      <c r="L648" s="8">
        <f ca="1">IFERROR(__xludf.DUMMYFUNCTION("""COMPUTED_VALUE"""),217.590471827759)</f>
        <v>217.59047182775899</v>
      </c>
      <c r="M648" s="96">
        <f ca="1">IFERROR(__xludf.DUMMYFUNCTION("""COMPUTED_VALUE"""),44474)</f>
        <v>44474</v>
      </c>
      <c r="N648" s="6" t="str">
        <f ca="1">IFERROR(__xludf.DUMMYFUNCTION("""COMPUTED_VALUE"""),"F10")</f>
        <v>F10</v>
      </c>
      <c r="O648" s="97">
        <f ca="1">IFERROR(__xludf.DUMMYFUNCTION("""COMPUTED_VALUE"""),44474)</f>
        <v>44474</v>
      </c>
      <c r="P648" s="6" t="str">
        <f ca="1">IFERROR(__xludf.DUMMYFUNCTION("""COMPUTED_VALUE"""),"CSTM_AM4U65YWNFF")</f>
        <v>CSTM_AM4U65YWNFF</v>
      </c>
      <c r="Q648" s="6"/>
      <c r="R648" s="6" t="str">
        <f ca="1">IFERROR(__xludf.DUMMYFUNCTION("""COMPUTED_VALUE"""),"Pending")</f>
        <v>Pending</v>
      </c>
      <c r="S648" s="6" t="str">
        <f ca="1">IFERROR(__xludf.DUMMYFUNCTION("""COMPUTED_VALUE"""),"Category")</f>
        <v>Category</v>
      </c>
      <c r="T648" s="6"/>
      <c r="U648" s="6"/>
      <c r="V648" s="6"/>
      <c r="W648" s="6"/>
      <c r="X648" s="6"/>
      <c r="Y648" s="6"/>
      <c r="Z648" s="6"/>
      <c r="AA648" s="6"/>
      <c r="AB648" s="6"/>
      <c r="AC648" s="6"/>
      <c r="AD648" s="6"/>
      <c r="AE648" s="6"/>
      <c r="AF648" s="6"/>
      <c r="AG648" s="6"/>
      <c r="AH648" s="6"/>
      <c r="AI648" s="6"/>
      <c r="AJ648" s="6"/>
      <c r="AK648" s="6"/>
      <c r="AL648" s="6"/>
    </row>
    <row r="649" spans="1:38">
      <c r="A649" s="96">
        <f ca="1">IFERROR(__xludf.DUMMYFUNCTION("""COMPUTED_VALUE"""),44475)</f>
        <v>44475</v>
      </c>
      <c r="B649" s="6" t="str">
        <f ca="1">IFERROR(__xludf.DUMMYFUNCTION("""COMPUTED_VALUE"""),"Mohammed Sadiq")</f>
        <v>Mohammed Sadiq</v>
      </c>
      <c r="C649" s="6" t="str">
        <f ca="1">IFERROR(__xludf.DUMMYFUNCTION("""COMPUTED_VALUE"""),"mohammed.sadiq01@gmail.com")</f>
        <v>mohammed.sadiq01@gmail.com</v>
      </c>
      <c r="D649" s="6">
        <f ca="1">IFERROR(__xludf.DUMMYFUNCTION("""COMPUTED_VALUE"""),8217746368)</f>
        <v>8217746368</v>
      </c>
      <c r="E649" s="6" t="str">
        <f ca="1">IFERROR(__xludf.DUMMYFUNCTION("""COMPUTED_VALUE"""),"Query box")</f>
        <v>Query box</v>
      </c>
      <c r="F649" s="6" t="str">
        <f ca="1">IFERROR(__xludf.DUMMYFUNCTION("""COMPUTED_VALUE"""),"PSM")</f>
        <v>PSM</v>
      </c>
      <c r="G649" s="80">
        <f ca="1">IFERROR(__xludf.DUMMYFUNCTION("""COMPUTED_VALUE"""),44470)</f>
        <v>44470</v>
      </c>
      <c r="H649" s="6" t="str">
        <f ca="1">IFERROR(__xludf.DUMMYFUNCTION("""COMPUTED_VALUE"""),"Won")</f>
        <v>Won</v>
      </c>
      <c r="I649" s="6" t="str">
        <f ca="1">IFERROR(__xludf.DUMMYFUNCTION("""COMPUTED_VALUE"""),"9-10 Oct 2021")</f>
        <v>9-10 Oct 2021</v>
      </c>
      <c r="J649" s="6">
        <f ca="1">IFERROR(__xludf.DUMMYFUNCTION("""COMPUTED_VALUE"""),1)</f>
        <v>1</v>
      </c>
      <c r="K649" s="8">
        <f ca="1">IFERROR(__xludf.DUMMYFUNCTION("""COMPUTED_VALUE"""),21000)</f>
        <v>21000</v>
      </c>
      <c r="L649" s="8">
        <f ca="1">IFERROR(__xludf.DUMMYFUNCTION("""COMPUTED_VALUE"""),240.494732020155)</f>
        <v>240.494732020155</v>
      </c>
      <c r="M649" s="96">
        <f ca="1">IFERROR(__xludf.DUMMYFUNCTION("""COMPUTED_VALUE"""),44475)</f>
        <v>44475</v>
      </c>
      <c r="N649" s="6" t="str">
        <f ca="1">IFERROR(__xludf.DUMMYFUNCTION("""COMPUTED_VALUE"""),"F10")</f>
        <v>F10</v>
      </c>
      <c r="O649" s="97">
        <f ca="1">IFERROR(__xludf.DUMMYFUNCTION("""COMPUTED_VALUE"""),44475)</f>
        <v>44475</v>
      </c>
      <c r="P649" s="6" t="str">
        <f ca="1">IFERROR(__xludf.DUMMYFUNCTION("""COMPUTED_VALUE"""),"CSTM_DESAHGJ6ERX")</f>
        <v>CSTM_DESAHGJ6ERX</v>
      </c>
      <c r="Q649" s="6"/>
      <c r="R649" s="6" t="str">
        <f ca="1">IFERROR(__xludf.DUMMYFUNCTION("""COMPUTED_VALUE"""),"Done. Good feedback.")</f>
        <v>Done. Good feedback.</v>
      </c>
      <c r="S649" s="6" t="str">
        <f ca="1">IFERROR(__xludf.DUMMYFUNCTION("""COMPUTED_VALUE"""),"Category")</f>
        <v>Category</v>
      </c>
      <c r="T649" s="6"/>
      <c r="U649" s="6"/>
      <c r="V649" s="6"/>
      <c r="W649" s="6"/>
      <c r="X649" s="6"/>
      <c r="Y649" s="6"/>
      <c r="Z649" s="6"/>
      <c r="AA649" s="6"/>
      <c r="AB649" s="6"/>
      <c r="AC649" s="6"/>
      <c r="AD649" s="6"/>
      <c r="AE649" s="6"/>
      <c r="AF649" s="6"/>
      <c r="AG649" s="6"/>
      <c r="AH649" s="6"/>
      <c r="AI649" s="6"/>
      <c r="AJ649" s="6"/>
      <c r="AK649" s="6"/>
      <c r="AL649" s="6"/>
    </row>
    <row r="650" spans="1:38">
      <c r="A650" s="96">
        <f ca="1">IFERROR(__xludf.DUMMYFUNCTION("""COMPUTED_VALUE"""),44476)</f>
        <v>44476</v>
      </c>
      <c r="B650" s="6" t="str">
        <f ca="1">IFERROR(__xludf.DUMMYFUNCTION("""COMPUTED_VALUE"""),"Rousheen")</f>
        <v>Rousheen</v>
      </c>
      <c r="C650" s="6" t="str">
        <f ca="1">IFERROR(__xludf.DUMMYFUNCTION("""COMPUTED_VALUE"""),"rousheenmzahif@gmail.com")</f>
        <v>rousheenmzahif@gmail.com</v>
      </c>
      <c r="D650" s="6">
        <f ca="1">IFERROR(__xludf.DUMMYFUNCTION("""COMPUTED_VALUE"""),9710336809)</f>
        <v>9710336809</v>
      </c>
      <c r="E650" s="6" t="str">
        <f ca="1">IFERROR(__xludf.DUMMYFUNCTION("""COMPUTED_VALUE"""),"Query box")</f>
        <v>Query box</v>
      </c>
      <c r="F650" s="6" t="str">
        <f ca="1">IFERROR(__xludf.DUMMYFUNCTION("""COMPUTED_VALUE"""),"PSM")</f>
        <v>PSM</v>
      </c>
      <c r="G650" s="80">
        <f ca="1">IFERROR(__xludf.DUMMYFUNCTION("""COMPUTED_VALUE"""),44470)</f>
        <v>44470</v>
      </c>
      <c r="H650" s="6" t="str">
        <f ca="1">IFERROR(__xludf.DUMMYFUNCTION("""COMPUTED_VALUE"""),"Won")</f>
        <v>Won</v>
      </c>
      <c r="I650" s="6" t="str">
        <f ca="1">IFERROR(__xludf.DUMMYFUNCTION("""COMPUTED_VALUE"""),"9-10 Oct 2021")</f>
        <v>9-10 Oct 2021</v>
      </c>
      <c r="J650" s="6">
        <f ca="1">IFERROR(__xludf.DUMMYFUNCTION("""COMPUTED_VALUE"""),1)</f>
        <v>1</v>
      </c>
      <c r="K650" s="8">
        <f ca="1">IFERROR(__xludf.DUMMYFUNCTION("""COMPUTED_VALUE"""),21000)</f>
        <v>21000</v>
      </c>
      <c r="L650" s="8">
        <f ca="1">IFERROR(__xludf.DUMMYFUNCTION("""COMPUTED_VALUE"""),240.494732020155)</f>
        <v>240.494732020155</v>
      </c>
      <c r="M650" s="96">
        <f ca="1">IFERROR(__xludf.DUMMYFUNCTION("""COMPUTED_VALUE"""),44476)</f>
        <v>44476</v>
      </c>
      <c r="N650" s="6" t="str">
        <f ca="1">IFERROR(__xludf.DUMMYFUNCTION("""COMPUTED_VALUE"""),"F10")</f>
        <v>F10</v>
      </c>
      <c r="O650" s="97">
        <f ca="1">IFERROR(__xludf.DUMMYFUNCTION("""COMPUTED_VALUE"""),44476)</f>
        <v>44476</v>
      </c>
      <c r="P650" s="6" t="str">
        <f ca="1">IFERROR(__xludf.DUMMYFUNCTION("""COMPUTED_VALUE"""),"CSTM_EIJFKHOUMBV")</f>
        <v>CSTM_EIJFKHOUMBV</v>
      </c>
      <c r="Q650" s="6"/>
      <c r="R650" s="6" t="str">
        <f ca="1">IFERROR(__xludf.DUMMYFUNCTION("""COMPUTED_VALUE"""),"Pending")</f>
        <v>Pending</v>
      </c>
      <c r="S650" s="6" t="str">
        <f ca="1">IFERROR(__xludf.DUMMYFUNCTION("""COMPUTED_VALUE"""),"Category")</f>
        <v>Category</v>
      </c>
      <c r="T650" s="6"/>
      <c r="U650" s="6"/>
      <c r="V650" s="6"/>
      <c r="W650" s="6"/>
      <c r="X650" s="6"/>
      <c r="Y650" s="6"/>
      <c r="Z650" s="6"/>
      <c r="AA650" s="6"/>
      <c r="AB650" s="6"/>
      <c r="AC650" s="6"/>
      <c r="AD650" s="6"/>
      <c r="AE650" s="6"/>
      <c r="AF650" s="6"/>
      <c r="AG650" s="6"/>
      <c r="AH650" s="6"/>
      <c r="AI650" s="6"/>
      <c r="AJ650" s="6"/>
      <c r="AK650" s="6"/>
      <c r="AL650" s="6"/>
    </row>
    <row r="651" spans="1:38">
      <c r="A651" s="96">
        <f ca="1">IFERROR(__xludf.DUMMYFUNCTION("""COMPUTED_VALUE"""),44477)</f>
        <v>44477</v>
      </c>
      <c r="B651" s="6" t="str">
        <f ca="1">IFERROR(__xludf.DUMMYFUNCTION("""COMPUTED_VALUE"""),"Sanghamitra")</f>
        <v>Sanghamitra</v>
      </c>
      <c r="C651" s="6" t="str">
        <f ca="1">IFERROR(__xludf.DUMMYFUNCTION("""COMPUTED_VALUE"""),"dsanghamitra@hotmail.com")</f>
        <v>dsanghamitra@hotmail.com</v>
      </c>
      <c r="D651" s="6">
        <f ca="1">IFERROR(__xludf.DUMMYFUNCTION("""COMPUTED_VALUE"""),9945559851)</f>
        <v>9945559851</v>
      </c>
      <c r="E651" s="6" t="str">
        <f ca="1">IFERROR(__xludf.DUMMYFUNCTION("""COMPUTED_VALUE"""),"Reference")</f>
        <v>Reference</v>
      </c>
      <c r="F651" s="6" t="str">
        <f ca="1">IFERROR(__xludf.DUMMYFUNCTION("""COMPUTED_VALUE"""),"P2 F")</f>
        <v>P2 F</v>
      </c>
      <c r="G651" s="80">
        <f ca="1">IFERROR(__xludf.DUMMYFUNCTION("""COMPUTED_VALUE"""),44470)</f>
        <v>44470</v>
      </c>
      <c r="H651" s="6" t="str">
        <f ca="1">IFERROR(__xludf.DUMMYFUNCTION("""COMPUTED_VALUE"""),"Won")</f>
        <v>Won</v>
      </c>
      <c r="I651" s="6" t="str">
        <f ca="1">IFERROR(__xludf.DUMMYFUNCTION("""COMPUTED_VALUE"""),"8 Oct 2021")</f>
        <v>8 Oct 2021</v>
      </c>
      <c r="J651" s="6">
        <f ca="1">IFERROR(__xludf.DUMMYFUNCTION("""COMPUTED_VALUE"""),1)</f>
        <v>1</v>
      </c>
      <c r="K651" s="8">
        <f ca="1">IFERROR(__xludf.DUMMYFUNCTION("""COMPUTED_VALUE"""),25000)</f>
        <v>25000</v>
      </c>
      <c r="L651" s="8">
        <f ca="1">IFERROR(__xludf.DUMMYFUNCTION("""COMPUTED_VALUE"""),286.303252404947)</f>
        <v>286.30325240494699</v>
      </c>
      <c r="M651" s="96">
        <f ca="1">IFERROR(__xludf.DUMMYFUNCTION("""COMPUTED_VALUE"""),44477)</f>
        <v>44477</v>
      </c>
      <c r="N651" s="6" t="str">
        <f ca="1">IFERROR(__xludf.DUMMYFUNCTION("""COMPUTED_VALUE"""),"F10")</f>
        <v>F10</v>
      </c>
      <c r="O651" s="97">
        <f ca="1">IFERROR(__xludf.DUMMYFUNCTION("""COMPUTED_VALUE"""),44477)</f>
        <v>44477</v>
      </c>
      <c r="P651" s="6" t="str">
        <f ca="1">IFERROR(__xludf.DUMMYFUNCTION("""COMPUTED_VALUE"""),"CSTM_IC0SNH4CIP6")</f>
        <v>CSTM_IC0SNH4CIP6</v>
      </c>
      <c r="Q651" s="6" t="str">
        <f ca="1">IFERROR(__xludf.DUMMYFUNCTION("""COMPUTED_VALUE"""),"napra1987@yahoo.com")</f>
        <v>napra1987@yahoo.com</v>
      </c>
      <c r="R651" s="6" t="str">
        <f ca="1">IFERROR(__xludf.DUMMYFUNCTION("""COMPUTED_VALUE"""),"Pending")</f>
        <v>Pending</v>
      </c>
      <c r="S651" s="6" t="str">
        <f ca="1">IFERROR(__xludf.DUMMYFUNCTION("""COMPUTED_VALUE"""),"NonCategory")</f>
        <v>NonCategory</v>
      </c>
      <c r="T651" s="6"/>
      <c r="U651" s="6"/>
      <c r="V651" s="6"/>
      <c r="W651" s="6"/>
      <c r="X651" s="6"/>
      <c r="Y651" s="6"/>
      <c r="Z651" s="6"/>
      <c r="AA651" s="6"/>
      <c r="AB651" s="6"/>
      <c r="AC651" s="6"/>
      <c r="AD651" s="6"/>
      <c r="AE651" s="6"/>
      <c r="AF651" s="6"/>
      <c r="AG651" s="6"/>
      <c r="AH651" s="6"/>
      <c r="AI651" s="6"/>
      <c r="AJ651" s="6"/>
      <c r="AK651" s="6"/>
      <c r="AL651" s="6"/>
    </row>
    <row r="652" spans="1:38">
      <c r="A652" s="96">
        <f ca="1">IFERROR(__xludf.DUMMYFUNCTION("""COMPUTED_VALUE"""),44477)</f>
        <v>44477</v>
      </c>
      <c r="B652" s="6" t="str">
        <f ca="1">IFERROR(__xludf.DUMMYFUNCTION("""COMPUTED_VALUE"""),"Pooja Singh")</f>
        <v>Pooja Singh</v>
      </c>
      <c r="C652" s="6" t="str">
        <f ca="1">IFERROR(__xludf.DUMMYFUNCTION("""COMPUTED_VALUE"""),"singhpoojar10@gmail.com")</f>
        <v>singhpoojar10@gmail.com</v>
      </c>
      <c r="D652" s="6">
        <f ca="1">IFERROR(__xludf.DUMMYFUNCTION("""COMPUTED_VALUE"""),9167984439)</f>
        <v>9167984439</v>
      </c>
      <c r="E652" s="6" t="str">
        <f ca="1">IFERROR(__xludf.DUMMYFUNCTION("""COMPUTED_VALUE"""),"Tollfree")</f>
        <v>Tollfree</v>
      </c>
      <c r="F652" s="6" t="str">
        <f ca="1">IFERROR(__xludf.DUMMYFUNCTION("""COMPUTED_VALUE"""),"PSPO")</f>
        <v>PSPO</v>
      </c>
      <c r="G652" s="80">
        <f ca="1">IFERROR(__xludf.DUMMYFUNCTION("""COMPUTED_VALUE"""),44470)</f>
        <v>44470</v>
      </c>
      <c r="H652" s="6" t="str">
        <f ca="1">IFERROR(__xludf.DUMMYFUNCTION("""COMPUTED_VALUE"""),"Won")</f>
        <v>Won</v>
      </c>
      <c r="I652" s="6" t="str">
        <f ca="1">IFERROR(__xludf.DUMMYFUNCTION("""COMPUTED_VALUE"""),"13-14 Nov 2021")</f>
        <v>13-14 Nov 2021</v>
      </c>
      <c r="J652" s="6">
        <f ca="1">IFERROR(__xludf.DUMMYFUNCTION("""COMPUTED_VALUE"""),1)</f>
        <v>1</v>
      </c>
      <c r="K652" s="8">
        <f ca="1">IFERROR(__xludf.DUMMYFUNCTION("""COMPUTED_VALUE"""),21000)</f>
        <v>21000</v>
      </c>
      <c r="L652" s="8">
        <f ca="1">IFERROR(__xludf.DUMMYFUNCTION("""COMPUTED_VALUE"""),240.494732020155)</f>
        <v>240.494732020155</v>
      </c>
      <c r="M652" s="96">
        <f ca="1">IFERROR(__xludf.DUMMYFUNCTION("""COMPUTED_VALUE"""),44477)</f>
        <v>44477</v>
      </c>
      <c r="N652" s="6" t="str">
        <f ca="1">IFERROR(__xludf.DUMMYFUNCTION("""COMPUTED_VALUE"""),"F10")</f>
        <v>F10</v>
      </c>
      <c r="O652" s="97">
        <f ca="1">IFERROR(__xludf.DUMMYFUNCTION("""COMPUTED_VALUE"""),44477)</f>
        <v>44477</v>
      </c>
      <c r="P652" s="6" t="str">
        <f ca="1">IFERROR(__xludf.DUMMYFUNCTION("""COMPUTED_VALUE"""),"CSTM_69C65BH721I")</f>
        <v>CSTM_69C65BH721I</v>
      </c>
      <c r="Q652" s="6"/>
      <c r="R652" s="6" t="str">
        <f ca="1">IFERROR(__xludf.DUMMYFUNCTION("""COMPUTED_VALUE"""),"Done. Good feedback.")</f>
        <v>Done. Good feedback.</v>
      </c>
      <c r="S652" s="6" t="str">
        <f ca="1">IFERROR(__xludf.DUMMYFUNCTION("""COMPUTED_VALUE"""),"Category")</f>
        <v>Category</v>
      </c>
      <c r="T652" s="6"/>
      <c r="U652" s="6"/>
      <c r="V652" s="6"/>
      <c r="W652" s="6"/>
      <c r="X652" s="6"/>
      <c r="Y652" s="6"/>
      <c r="Z652" s="6"/>
      <c r="AA652" s="6"/>
      <c r="AB652" s="6"/>
      <c r="AC652" s="6"/>
      <c r="AD652" s="6"/>
      <c r="AE652" s="6"/>
      <c r="AF652" s="6"/>
      <c r="AG652" s="6"/>
      <c r="AH652" s="6"/>
      <c r="AI652" s="6"/>
      <c r="AJ652" s="6"/>
      <c r="AK652" s="6"/>
      <c r="AL652" s="6"/>
    </row>
    <row r="653" spans="1:38">
      <c r="A653" s="96">
        <f ca="1">IFERROR(__xludf.DUMMYFUNCTION("""COMPUTED_VALUE"""),44478)</f>
        <v>44478</v>
      </c>
      <c r="B653" s="6" t="str">
        <f ca="1">IFERROR(__xludf.DUMMYFUNCTION("""COMPUTED_VALUE"""),"Rajesh")</f>
        <v>Rajesh</v>
      </c>
      <c r="C653" s="6" t="str">
        <f ca="1">IFERROR(__xludf.DUMMYFUNCTION("""COMPUTED_VALUE"""),"rajeesh.a@gmail.com")</f>
        <v>rajeesh.a@gmail.com</v>
      </c>
      <c r="D653" s="6">
        <f ca="1">IFERROR(__xludf.DUMMYFUNCTION("""COMPUTED_VALUE"""),9747211322)</f>
        <v>9747211322</v>
      </c>
      <c r="E653" s="6" t="str">
        <f ca="1">IFERROR(__xludf.DUMMYFUNCTION("""COMPUTED_VALUE"""),"Query box")</f>
        <v>Query box</v>
      </c>
      <c r="F653" s="6" t="str">
        <f ca="1">IFERROR(__xludf.DUMMYFUNCTION("""COMPUTED_VALUE"""),"CSM")</f>
        <v>CSM</v>
      </c>
      <c r="G653" s="80">
        <f ca="1">IFERROR(__xludf.DUMMYFUNCTION("""COMPUTED_VALUE"""),44470)</f>
        <v>44470</v>
      </c>
      <c r="H653" s="6" t="str">
        <f ca="1">IFERROR(__xludf.DUMMYFUNCTION("""COMPUTED_VALUE"""),"Won")</f>
        <v>Won</v>
      </c>
      <c r="I653" s="6" t="str">
        <f ca="1">IFERROR(__xludf.DUMMYFUNCTION("""COMPUTED_VALUE"""),"23-24 Oct 2021")</f>
        <v>23-24 Oct 2021</v>
      </c>
      <c r="J653" s="6">
        <f ca="1">IFERROR(__xludf.DUMMYFUNCTION("""COMPUTED_VALUE"""),1)</f>
        <v>1</v>
      </c>
      <c r="K653" s="8">
        <f ca="1">IFERROR(__xludf.DUMMYFUNCTION("""COMPUTED_VALUE"""),21000)</f>
        <v>21000</v>
      </c>
      <c r="L653" s="8">
        <f ca="1">IFERROR(__xludf.DUMMYFUNCTION("""COMPUTED_VALUE"""),240.494732020155)</f>
        <v>240.494732020155</v>
      </c>
      <c r="M653" s="96">
        <f ca="1">IFERROR(__xludf.DUMMYFUNCTION("""COMPUTED_VALUE"""),44478)</f>
        <v>44478</v>
      </c>
      <c r="N653" s="6" t="str">
        <f ca="1">IFERROR(__xludf.DUMMYFUNCTION("""COMPUTED_VALUE"""),"F10")</f>
        <v>F10</v>
      </c>
      <c r="O653" s="97">
        <f ca="1">IFERROR(__xludf.DUMMYFUNCTION("""COMPUTED_VALUE"""),44478)</f>
        <v>44478</v>
      </c>
      <c r="P653" s="6" t="str">
        <f ca="1">IFERROR(__xludf.DUMMYFUNCTION("""COMPUTED_VALUE"""),"CSTM_J2612VJVZHL")</f>
        <v>CSTM_J2612VJVZHL</v>
      </c>
      <c r="Q653" s="6"/>
      <c r="R653" s="6" t="str">
        <f ca="1">IFERROR(__xludf.DUMMYFUNCTION("""COMPUTED_VALUE"""),"Done. Good feedback.")</f>
        <v>Done. Good feedback.</v>
      </c>
      <c r="S653" s="6" t="str">
        <f ca="1">IFERROR(__xludf.DUMMYFUNCTION("""COMPUTED_VALUE"""),"Category")</f>
        <v>Category</v>
      </c>
      <c r="T653" s="6"/>
      <c r="U653" s="6"/>
      <c r="V653" s="6"/>
      <c r="W653" s="6"/>
      <c r="X653" s="6"/>
      <c r="Y653" s="6"/>
      <c r="Z653" s="6"/>
      <c r="AA653" s="6"/>
      <c r="AB653" s="6"/>
      <c r="AC653" s="6"/>
      <c r="AD653" s="6"/>
      <c r="AE653" s="6"/>
      <c r="AF653" s="6"/>
      <c r="AG653" s="6"/>
      <c r="AH653" s="6"/>
      <c r="AI653" s="6"/>
      <c r="AJ653" s="6"/>
      <c r="AK653" s="6"/>
      <c r="AL653" s="6"/>
    </row>
    <row r="654" spans="1:38">
      <c r="A654" s="96">
        <f ca="1">IFERROR(__xludf.DUMMYFUNCTION("""COMPUTED_VALUE"""),44481)</f>
        <v>44481</v>
      </c>
      <c r="B654" s="6" t="str">
        <f ca="1">IFERROR(__xludf.DUMMYFUNCTION("""COMPUTED_VALUE"""),"Moorchana")</f>
        <v>Moorchana</v>
      </c>
      <c r="C654" s="6" t="str">
        <f ca="1">IFERROR(__xludf.DUMMYFUNCTION("""COMPUTED_VALUE"""),"moorchana.b@gmail.com")</f>
        <v>moorchana.b@gmail.com</v>
      </c>
      <c r="D654" s="6">
        <f ca="1">IFERROR(__xludf.DUMMYFUNCTION("""COMPUTED_VALUE"""),9886295088)</f>
        <v>9886295088</v>
      </c>
      <c r="E654" s="6" t="str">
        <f ca="1">IFERROR(__xludf.DUMMYFUNCTION("""COMPUTED_VALUE"""),"Reference")</f>
        <v>Reference</v>
      </c>
      <c r="F654" s="6" t="str">
        <f ca="1">IFERROR(__xludf.DUMMYFUNCTION("""COMPUTED_VALUE"""),"SAFe Agile")</f>
        <v>SAFe Agile</v>
      </c>
      <c r="G654" s="80">
        <f ca="1">IFERROR(__xludf.DUMMYFUNCTION("""COMPUTED_VALUE"""),44470)</f>
        <v>44470</v>
      </c>
      <c r="H654" s="6" t="str">
        <f ca="1">IFERROR(__xludf.DUMMYFUNCTION("""COMPUTED_VALUE"""),"Won")</f>
        <v>Won</v>
      </c>
      <c r="I654" s="6" t="str">
        <f ca="1">IFERROR(__xludf.DUMMYFUNCTION("""COMPUTED_VALUE"""),"16-17 Oct 2021")</f>
        <v>16-17 Oct 2021</v>
      </c>
      <c r="J654" s="6">
        <f ca="1">IFERROR(__xludf.DUMMYFUNCTION("""COMPUTED_VALUE"""),1)</f>
        <v>1</v>
      </c>
      <c r="K654" s="8">
        <f ca="1">IFERROR(__xludf.DUMMYFUNCTION("""COMPUTED_VALUE"""),45000)</f>
        <v>45000</v>
      </c>
      <c r="L654" s="8">
        <f ca="1">IFERROR(__xludf.DUMMYFUNCTION("""COMPUTED_VALUE"""),515.345854328905)</f>
        <v>515.34585432890503</v>
      </c>
      <c r="M654" s="96">
        <f ca="1">IFERROR(__xludf.DUMMYFUNCTION("""COMPUTED_VALUE"""),44481)</f>
        <v>44481</v>
      </c>
      <c r="N654" s="6" t="str">
        <f ca="1">IFERROR(__xludf.DUMMYFUNCTION("""COMPUTED_VALUE"""),"S10")</f>
        <v>S10</v>
      </c>
      <c r="O654" s="97">
        <f ca="1">IFERROR(__xludf.DUMMYFUNCTION("""COMPUTED_VALUE"""),44481)</f>
        <v>44481</v>
      </c>
      <c r="P654" s="6" t="str">
        <f ca="1">IFERROR(__xludf.DUMMYFUNCTION("""COMPUTED_VALUE"""),"CSTM_FXSHEWAX8JX")</f>
        <v>CSTM_FXSHEWAX8JX</v>
      </c>
      <c r="Q654" s="6" t="str">
        <f ca="1">IFERROR(__xludf.DUMMYFUNCTION("""COMPUTED_VALUE"""),"just4bhaskar@gmail.com")</f>
        <v>just4bhaskar@gmail.com</v>
      </c>
      <c r="R654" s="6" t="str">
        <f ca="1">IFERROR(__xludf.DUMMYFUNCTION("""COMPUTED_VALUE"""),"Done. Good feedback.")</f>
        <v>Done. Good feedback.</v>
      </c>
      <c r="S654" s="6" t="str">
        <f ca="1">IFERROR(__xludf.DUMMYFUNCTION("""COMPUTED_VALUE"""),"SAFe")</f>
        <v>SAFe</v>
      </c>
      <c r="T654" s="6"/>
      <c r="U654" s="6"/>
      <c r="V654" s="6"/>
      <c r="W654" s="6"/>
      <c r="X654" s="6"/>
      <c r="Y654" s="6"/>
      <c r="Z654" s="6"/>
      <c r="AA654" s="6"/>
      <c r="AB654" s="6"/>
      <c r="AC654" s="6"/>
      <c r="AD654" s="6"/>
      <c r="AE654" s="6"/>
      <c r="AF654" s="6"/>
      <c r="AG654" s="6"/>
      <c r="AH654" s="6"/>
      <c r="AI654" s="6"/>
      <c r="AJ654" s="6"/>
      <c r="AK654" s="6"/>
      <c r="AL654" s="6"/>
    </row>
    <row r="655" spans="1:38">
      <c r="A655" s="96">
        <f ca="1">IFERROR(__xludf.DUMMYFUNCTION("""COMPUTED_VALUE"""),44481)</f>
        <v>44481</v>
      </c>
      <c r="B655" s="6" t="str">
        <f ca="1">IFERROR(__xludf.DUMMYFUNCTION("""COMPUTED_VALUE"""),"Moorthy")</f>
        <v>Moorthy</v>
      </c>
      <c r="C655" s="6" t="str">
        <f ca="1">IFERROR(__xludf.DUMMYFUNCTION("""COMPUTED_VALUE"""),"k_guruparan@yahoo.com")</f>
        <v>k_guruparan@yahoo.com</v>
      </c>
      <c r="D655" s="6">
        <f ca="1">IFERROR(__xludf.DUMMYFUNCTION("""COMPUTED_VALUE"""),9791066162)</f>
        <v>9791066162</v>
      </c>
      <c r="E655" s="6" t="str">
        <f ca="1">IFERROR(__xludf.DUMMYFUNCTION("""COMPUTED_VALUE"""),"chat_initiated")</f>
        <v>chat_initiated</v>
      </c>
      <c r="F655" s="6" t="str">
        <f ca="1">IFERROR(__xludf.DUMMYFUNCTION("""COMPUTED_VALUE"""),"PSPO")</f>
        <v>PSPO</v>
      </c>
      <c r="G655" s="80">
        <f ca="1">IFERROR(__xludf.DUMMYFUNCTION("""COMPUTED_VALUE"""),44470)</f>
        <v>44470</v>
      </c>
      <c r="H655" s="6" t="str">
        <f ca="1">IFERROR(__xludf.DUMMYFUNCTION("""COMPUTED_VALUE"""),"Won")</f>
        <v>Won</v>
      </c>
      <c r="I655" s="6" t="str">
        <f ca="1">IFERROR(__xludf.DUMMYFUNCTION("""COMPUTED_VALUE"""),"16-17 Oct 2021")</f>
        <v>16-17 Oct 2021</v>
      </c>
      <c r="J655" s="6">
        <f ca="1">IFERROR(__xludf.DUMMYFUNCTION("""COMPUTED_VALUE"""),1)</f>
        <v>1</v>
      </c>
      <c r="K655" s="8">
        <f ca="1">IFERROR(__xludf.DUMMYFUNCTION("""COMPUTED_VALUE"""),21000)</f>
        <v>21000</v>
      </c>
      <c r="L655" s="8">
        <f ca="1">IFERROR(__xludf.DUMMYFUNCTION("""COMPUTED_VALUE"""),240.494732020155)</f>
        <v>240.494732020155</v>
      </c>
      <c r="M655" s="96">
        <f ca="1">IFERROR(__xludf.DUMMYFUNCTION("""COMPUTED_VALUE"""),44481)</f>
        <v>44481</v>
      </c>
      <c r="N655" s="6" t="str">
        <f ca="1">IFERROR(__xludf.DUMMYFUNCTION("""COMPUTED_VALUE"""),"S10")</f>
        <v>S10</v>
      </c>
      <c r="O655" s="97">
        <f ca="1">IFERROR(__xludf.DUMMYFUNCTION("""COMPUTED_VALUE"""),44481)</f>
        <v>44481</v>
      </c>
      <c r="P655" s="6" t="str">
        <f ca="1">IFERROR(__xludf.DUMMYFUNCTION("""COMPUTED_VALUE"""),"CSTM_81V1QY9ZQJ0")</f>
        <v>CSTM_81V1QY9ZQJ0</v>
      </c>
      <c r="Q655" s="6"/>
      <c r="R655" s="6" t="str">
        <f ca="1">IFERROR(__xludf.DUMMYFUNCTION("""COMPUTED_VALUE"""),"Done. Good feedback.")</f>
        <v>Done. Good feedback.</v>
      </c>
      <c r="S655" s="6" t="str">
        <f ca="1">IFERROR(__xludf.DUMMYFUNCTION("""COMPUTED_VALUE"""),"Category")</f>
        <v>Category</v>
      </c>
      <c r="T655" s="6"/>
      <c r="U655" s="6"/>
      <c r="V655" s="6"/>
      <c r="W655" s="6"/>
      <c r="X655" s="6"/>
      <c r="Y655" s="6"/>
      <c r="Z655" s="6"/>
      <c r="AA655" s="6"/>
      <c r="AB655" s="6"/>
      <c r="AC655" s="6"/>
      <c r="AD655" s="6"/>
      <c r="AE655" s="6"/>
      <c r="AF655" s="6"/>
      <c r="AG655" s="6"/>
      <c r="AH655" s="6"/>
      <c r="AI655" s="6"/>
      <c r="AJ655" s="6"/>
      <c r="AK655" s="6"/>
      <c r="AL655" s="6"/>
    </row>
    <row r="656" spans="1:38">
      <c r="A656" s="96">
        <f ca="1">IFERROR(__xludf.DUMMYFUNCTION("""COMPUTED_VALUE"""),44482)</f>
        <v>44482</v>
      </c>
      <c r="B656" s="6" t="str">
        <f ca="1">IFERROR(__xludf.DUMMYFUNCTION("""COMPUTED_VALUE"""),"Meena")</f>
        <v>Meena</v>
      </c>
      <c r="C656" s="6" t="str">
        <f ca="1">IFERROR(__xludf.DUMMYFUNCTION("""COMPUTED_VALUE"""),"mahameena1502@gmail.com")</f>
        <v>mahameena1502@gmail.com</v>
      </c>
      <c r="D656" s="6">
        <f ca="1">IFERROR(__xludf.DUMMYFUNCTION("""COMPUTED_VALUE"""),9962022450)</f>
        <v>9962022450</v>
      </c>
      <c r="E656" s="6" t="str">
        <f ca="1">IFERROR(__xludf.DUMMYFUNCTION("""COMPUTED_VALUE"""),"course agenda")</f>
        <v>course agenda</v>
      </c>
      <c r="F656" s="6" t="str">
        <f ca="1">IFERROR(__xludf.DUMMYFUNCTION("""COMPUTED_VALUE"""),"SAFe Agile")</f>
        <v>SAFe Agile</v>
      </c>
      <c r="G656" s="80">
        <f ca="1">IFERROR(__xludf.DUMMYFUNCTION("""COMPUTED_VALUE"""),44470)</f>
        <v>44470</v>
      </c>
      <c r="H656" s="6" t="str">
        <f ca="1">IFERROR(__xludf.DUMMYFUNCTION("""COMPUTED_VALUE"""),"Won")</f>
        <v>Won</v>
      </c>
      <c r="I656" s="6" t="str">
        <f ca="1">IFERROR(__xludf.DUMMYFUNCTION("""COMPUTED_VALUE"""),"16-17 Oct 2021")</f>
        <v>16-17 Oct 2021</v>
      </c>
      <c r="J656" s="6">
        <f ca="1">IFERROR(__xludf.DUMMYFUNCTION("""COMPUTED_VALUE"""),1)</f>
        <v>1</v>
      </c>
      <c r="K656" s="8">
        <f ca="1">IFERROR(__xludf.DUMMYFUNCTION("""COMPUTED_VALUE"""),45000)</f>
        <v>45000</v>
      </c>
      <c r="L656" s="8">
        <f ca="1">IFERROR(__xludf.DUMMYFUNCTION("""COMPUTED_VALUE"""),515.345854328905)</f>
        <v>515.34585432890503</v>
      </c>
      <c r="M656" s="96">
        <f ca="1">IFERROR(__xludf.DUMMYFUNCTION("""COMPUTED_VALUE"""),44482)</f>
        <v>44482</v>
      </c>
      <c r="N656" s="6" t="str">
        <f ca="1">IFERROR(__xludf.DUMMYFUNCTION("""COMPUTED_VALUE"""),"S10")</f>
        <v>S10</v>
      </c>
      <c r="O656" s="97">
        <f ca="1">IFERROR(__xludf.DUMMYFUNCTION("""COMPUTED_VALUE"""),44482)</f>
        <v>44482</v>
      </c>
      <c r="P656" s="6" t="str">
        <f ca="1">IFERROR(__xludf.DUMMYFUNCTION("""COMPUTED_VALUE"""),"CSTM_J20YOGSB2DW")</f>
        <v>CSTM_J20YOGSB2DW</v>
      </c>
      <c r="Q656" s="6"/>
      <c r="R656" s="6" t="str">
        <f ca="1">IFERROR(__xludf.DUMMYFUNCTION("""COMPUTED_VALUE"""),"Done. Good feedback.")</f>
        <v>Done. Good feedback.</v>
      </c>
      <c r="S656" s="6" t="str">
        <f ca="1">IFERROR(__xludf.DUMMYFUNCTION("""COMPUTED_VALUE"""),"SAFe")</f>
        <v>SAFe</v>
      </c>
      <c r="T656" s="6"/>
      <c r="U656" s="6"/>
      <c r="V656" s="6"/>
      <c r="W656" s="6"/>
      <c r="X656" s="6"/>
      <c r="Y656" s="6"/>
      <c r="Z656" s="6"/>
      <c r="AA656" s="6"/>
      <c r="AB656" s="6"/>
      <c r="AC656" s="6"/>
      <c r="AD656" s="6"/>
      <c r="AE656" s="6"/>
      <c r="AF656" s="6"/>
      <c r="AG656" s="6"/>
      <c r="AH656" s="6"/>
      <c r="AI656" s="6"/>
      <c r="AJ656" s="6"/>
      <c r="AK656" s="6"/>
      <c r="AL656" s="6"/>
    </row>
    <row r="657" spans="1:38">
      <c r="A657" s="96">
        <f ca="1">IFERROR(__xludf.DUMMYFUNCTION("""COMPUTED_VALUE"""),44482)</f>
        <v>44482</v>
      </c>
      <c r="B657" s="6" t="str">
        <f ca="1">IFERROR(__xludf.DUMMYFUNCTION("""COMPUTED_VALUE"""),"Venkatesan")</f>
        <v>Venkatesan</v>
      </c>
      <c r="C657" s="6" t="str">
        <f ca="1">IFERROR(__xludf.DUMMYFUNCTION("""COMPUTED_VALUE"""),"kpvenkatesan84@gmail.com")</f>
        <v>kpvenkatesan84@gmail.com</v>
      </c>
      <c r="D657" s="6">
        <f ca="1">IFERROR(__xludf.DUMMYFUNCTION("""COMPUTED_VALUE"""),9944662347)</f>
        <v>9944662347</v>
      </c>
      <c r="E657" s="6" t="str">
        <f ca="1">IFERROR(__xludf.DUMMYFUNCTION("""COMPUTED_VALUE"""),"Query box")</f>
        <v>Query box</v>
      </c>
      <c r="F657" s="6" t="str">
        <f ca="1">IFERROR(__xludf.DUMMYFUNCTION("""COMPUTED_VALUE"""),"CSPO")</f>
        <v>CSPO</v>
      </c>
      <c r="G657" s="80">
        <f ca="1">IFERROR(__xludf.DUMMYFUNCTION("""COMPUTED_VALUE"""),44470)</f>
        <v>44470</v>
      </c>
      <c r="H657" s="6" t="str">
        <f ca="1">IFERROR(__xludf.DUMMYFUNCTION("""COMPUTED_VALUE"""),"Won")</f>
        <v>Won</v>
      </c>
      <c r="I657" s="6" t="str">
        <f ca="1">IFERROR(__xludf.DUMMYFUNCTION("""COMPUTED_VALUE"""),"23-24 Oct 2021")</f>
        <v>23-24 Oct 2021</v>
      </c>
      <c r="J657" s="6">
        <f ca="1">IFERROR(__xludf.DUMMYFUNCTION("""COMPUTED_VALUE"""),1)</f>
        <v>1</v>
      </c>
      <c r="K657" s="8">
        <f ca="1">IFERROR(__xludf.DUMMYFUNCTION("""COMPUTED_VALUE"""),20000)</f>
        <v>20000</v>
      </c>
      <c r="L657" s="8">
        <f ca="1">IFERROR(__xludf.DUMMYFUNCTION("""COMPUTED_VALUE"""),229.042601923957)</f>
        <v>229.04260192395699</v>
      </c>
      <c r="M657" s="96">
        <f ca="1">IFERROR(__xludf.DUMMYFUNCTION("""COMPUTED_VALUE"""),44482)</f>
        <v>44482</v>
      </c>
      <c r="N657" s="6" t="str">
        <f ca="1">IFERROR(__xludf.DUMMYFUNCTION("""COMPUTED_VALUE"""),"S10")</f>
        <v>S10</v>
      </c>
      <c r="O657" s="97">
        <f ca="1">IFERROR(__xludf.DUMMYFUNCTION("""COMPUTED_VALUE"""),44482)</f>
        <v>44482</v>
      </c>
      <c r="P657" s="6" t="str">
        <f ca="1">IFERROR(__xludf.DUMMYFUNCTION("""COMPUTED_VALUE"""),"CSTM_IGGLBZXSQM1")</f>
        <v>CSTM_IGGLBZXSQM1</v>
      </c>
      <c r="Q657" s="6"/>
      <c r="R657" s="6" t="str">
        <f ca="1">IFERROR(__xludf.DUMMYFUNCTION("""COMPUTED_VALUE"""),"Done. Good feedback.")</f>
        <v>Done. Good feedback.</v>
      </c>
      <c r="S657" s="6" t="str">
        <f ca="1">IFERROR(__xludf.DUMMYFUNCTION("""COMPUTED_VALUE"""),"Category")</f>
        <v>Category</v>
      </c>
      <c r="T657" s="6"/>
      <c r="U657" s="6"/>
      <c r="V657" s="6"/>
      <c r="W657" s="6"/>
      <c r="X657" s="6"/>
      <c r="Y657" s="6"/>
      <c r="Z657" s="6"/>
      <c r="AA657" s="6"/>
      <c r="AB657" s="6"/>
      <c r="AC657" s="6"/>
      <c r="AD657" s="6"/>
      <c r="AE657" s="6"/>
      <c r="AF657" s="6"/>
      <c r="AG657" s="6"/>
      <c r="AH657" s="6"/>
      <c r="AI657" s="6"/>
      <c r="AJ657" s="6"/>
      <c r="AK657" s="6"/>
      <c r="AL657" s="6"/>
    </row>
    <row r="658" spans="1:38">
      <c r="A658" s="96">
        <f ca="1">IFERROR(__xludf.DUMMYFUNCTION("""COMPUTED_VALUE"""),44482)</f>
        <v>44482</v>
      </c>
      <c r="B658" s="6" t="str">
        <f ca="1">IFERROR(__xludf.DUMMYFUNCTION("""COMPUTED_VALUE"""),"Karolina Zakrzacka")</f>
        <v>Karolina Zakrzacka</v>
      </c>
      <c r="C658" s="6" t="str">
        <f ca="1">IFERROR(__xludf.DUMMYFUNCTION("""COMPUTED_VALUE"""),"karolina.zakrzacka@accenture.com")</f>
        <v>karolina.zakrzacka@accenture.com</v>
      </c>
      <c r="D658" s="6"/>
      <c r="E658" s="6" t="str">
        <f ca="1">IFERROR(__xludf.DUMMYFUNCTION("""COMPUTED_VALUE"""),"chat_initiated")</f>
        <v>chat_initiated</v>
      </c>
      <c r="F658" s="6" t="str">
        <f ca="1">IFERROR(__xludf.DUMMYFUNCTION("""COMPUTED_VALUE"""),"SAFe for Government")</f>
        <v>SAFe for Government</v>
      </c>
      <c r="G658" s="80">
        <f ca="1">IFERROR(__xludf.DUMMYFUNCTION("""COMPUTED_VALUE"""),44470)</f>
        <v>44470</v>
      </c>
      <c r="H658" s="6" t="str">
        <f ca="1">IFERROR(__xludf.DUMMYFUNCTION("""COMPUTED_VALUE"""),"Won")</f>
        <v>Won</v>
      </c>
      <c r="I658" s="6" t="str">
        <f ca="1">IFERROR(__xludf.DUMMYFUNCTION("""COMPUTED_VALUE"""),"25-28 Oct 2021")</f>
        <v>25-28 Oct 2021</v>
      </c>
      <c r="J658" s="6">
        <f ca="1">IFERROR(__xludf.DUMMYFUNCTION("""COMPUTED_VALUE"""),1)</f>
        <v>1</v>
      </c>
      <c r="K658" s="8">
        <f ca="1">IFERROR(__xludf.DUMMYFUNCTION("""COMPUTED_VALUE"""),297000)</f>
        <v>297000</v>
      </c>
      <c r="L658" s="8">
        <f ca="1">IFERROR(__xludf.DUMMYFUNCTION("""COMPUTED_VALUE"""),3401.28263857077)</f>
        <v>3401.2826385707699</v>
      </c>
      <c r="M658" s="96">
        <f ca="1">IFERROR(__xludf.DUMMYFUNCTION("""COMPUTED_VALUE"""),44482)</f>
        <v>44482</v>
      </c>
      <c r="N658" s="6" t="str">
        <f ca="1">IFERROR(__xludf.DUMMYFUNCTION("""COMPUTED_VALUE"""),"S10")</f>
        <v>S10</v>
      </c>
      <c r="O658" s="97">
        <f ca="1">IFERROR(__xludf.DUMMYFUNCTION("""COMPUTED_VALUE"""),44482)</f>
        <v>44482</v>
      </c>
      <c r="P658" s="6" t="str">
        <f ca="1">IFERROR(__xludf.DUMMYFUNCTION("""COMPUTED_VALUE"""),"00062233_01")</f>
        <v>00062233_01</v>
      </c>
      <c r="Q658" s="6"/>
      <c r="R658" s="6" t="str">
        <f ca="1">IFERROR(__xludf.DUMMYFUNCTION("""COMPUTED_VALUE"""),"Pending")</f>
        <v>Pending</v>
      </c>
      <c r="S658" s="6" t="str">
        <f ca="1">IFERROR(__xludf.DUMMYFUNCTION("""COMPUTED_VALUE"""),"NonCategory")</f>
        <v>NonCategory</v>
      </c>
      <c r="T658" s="6"/>
      <c r="U658" s="6"/>
      <c r="V658" s="6"/>
      <c r="W658" s="6"/>
      <c r="X658" s="6"/>
      <c r="Y658" s="6"/>
      <c r="Z658" s="6"/>
      <c r="AA658" s="6"/>
      <c r="AB658" s="6"/>
      <c r="AC658" s="6"/>
      <c r="AD658" s="6"/>
      <c r="AE658" s="6"/>
      <c r="AF658" s="6"/>
      <c r="AG658" s="6"/>
      <c r="AH658" s="6"/>
      <c r="AI658" s="6"/>
      <c r="AJ658" s="6"/>
      <c r="AK658" s="6"/>
      <c r="AL658" s="6"/>
    </row>
    <row r="659" spans="1:38">
      <c r="A659" s="96">
        <f ca="1">IFERROR(__xludf.DUMMYFUNCTION("""COMPUTED_VALUE"""),44483)</f>
        <v>44483</v>
      </c>
      <c r="B659" s="6" t="str">
        <f ca="1">IFERROR(__xludf.DUMMYFUNCTION("""COMPUTED_VALUE"""),"Thirunavakarasu")</f>
        <v>Thirunavakarasu</v>
      </c>
      <c r="C659" s="6" t="str">
        <f ca="1">IFERROR(__xludf.DUMMYFUNCTION("""COMPUTED_VALUE"""),"engineerthiru@gmail.com")</f>
        <v>engineerthiru@gmail.com</v>
      </c>
      <c r="D659" s="6">
        <f ca="1">IFERROR(__xludf.DUMMYFUNCTION("""COMPUTED_VALUE"""),7010673779)</f>
        <v>7010673779</v>
      </c>
      <c r="E659" s="6" t="str">
        <f ca="1">IFERROR(__xludf.DUMMYFUNCTION("""COMPUTED_VALUE"""),"Reference")</f>
        <v>Reference</v>
      </c>
      <c r="F659" s="6" t="str">
        <f ca="1">IFERROR(__xludf.DUMMYFUNCTION("""COMPUTED_VALUE"""),"PSM")</f>
        <v>PSM</v>
      </c>
      <c r="G659" s="80">
        <f ca="1">IFERROR(__xludf.DUMMYFUNCTION("""COMPUTED_VALUE"""),44470)</f>
        <v>44470</v>
      </c>
      <c r="H659" s="6" t="str">
        <f ca="1">IFERROR(__xludf.DUMMYFUNCTION("""COMPUTED_VALUE"""),"Won")</f>
        <v>Won</v>
      </c>
      <c r="I659" s="6" t="str">
        <f ca="1">IFERROR(__xludf.DUMMYFUNCTION("""COMPUTED_VALUE"""),"13-14 Nov 2021")</f>
        <v>13-14 Nov 2021</v>
      </c>
      <c r="J659" s="6">
        <f ca="1">IFERROR(__xludf.DUMMYFUNCTION("""COMPUTED_VALUE"""),1)</f>
        <v>1</v>
      </c>
      <c r="K659" s="8">
        <f ca="1">IFERROR(__xludf.DUMMYFUNCTION("""COMPUTED_VALUE"""),21000)</f>
        <v>21000</v>
      </c>
      <c r="L659" s="8">
        <f ca="1">IFERROR(__xludf.DUMMYFUNCTION("""COMPUTED_VALUE"""),240.494732020155)</f>
        <v>240.494732020155</v>
      </c>
      <c r="M659" s="96">
        <f ca="1">IFERROR(__xludf.DUMMYFUNCTION("""COMPUTED_VALUE"""),44483)</f>
        <v>44483</v>
      </c>
      <c r="N659" s="6" t="str">
        <f ca="1">IFERROR(__xludf.DUMMYFUNCTION("""COMPUTED_VALUE"""),"S10")</f>
        <v>S10</v>
      </c>
      <c r="O659" s="97">
        <f ca="1">IFERROR(__xludf.DUMMYFUNCTION("""COMPUTED_VALUE"""),44483)</f>
        <v>44483</v>
      </c>
      <c r="P659" s="6" t="str">
        <f ca="1">IFERROR(__xludf.DUMMYFUNCTION("""COMPUTED_VALUE"""),"CSTM_EMRFMUAY964")</f>
        <v>CSTM_EMRFMUAY964</v>
      </c>
      <c r="Q659" s="6" t="str">
        <f ca="1">IFERROR(__xludf.DUMMYFUNCTION("""COMPUTED_VALUE"""),"Aurko")</f>
        <v>Aurko</v>
      </c>
      <c r="R659" s="6" t="str">
        <f ca="1">IFERROR(__xludf.DUMMYFUNCTION("""COMPUTED_VALUE"""),"Pending")</f>
        <v>Pending</v>
      </c>
      <c r="S659" s="6" t="str">
        <f ca="1">IFERROR(__xludf.DUMMYFUNCTION("""COMPUTED_VALUE"""),"Category")</f>
        <v>Category</v>
      </c>
      <c r="T659" s="6"/>
      <c r="U659" s="6"/>
      <c r="V659" s="6"/>
      <c r="W659" s="6"/>
      <c r="X659" s="6"/>
      <c r="Y659" s="6"/>
      <c r="Z659" s="6"/>
      <c r="AA659" s="6"/>
      <c r="AB659" s="6"/>
      <c r="AC659" s="6"/>
      <c r="AD659" s="6"/>
      <c r="AE659" s="6"/>
      <c r="AF659" s="6"/>
      <c r="AG659" s="6"/>
      <c r="AH659" s="6"/>
      <c r="AI659" s="6"/>
      <c r="AJ659" s="6"/>
      <c r="AK659" s="6"/>
      <c r="AL659" s="6"/>
    </row>
    <row r="660" spans="1:38">
      <c r="A660" s="96">
        <f ca="1">IFERROR(__xludf.DUMMYFUNCTION("""COMPUTED_VALUE"""),44483)</f>
        <v>44483</v>
      </c>
      <c r="B660" s="6" t="str">
        <f ca="1">IFERROR(__xludf.DUMMYFUNCTION("""COMPUTED_VALUE"""),"Subramanian Iyer")</f>
        <v>Subramanian Iyer</v>
      </c>
      <c r="C660" s="6" t="str">
        <f ca="1">IFERROR(__xludf.DUMMYFUNCTION("""COMPUTED_VALUE"""),"skiyer@outlook.com")</f>
        <v>skiyer@outlook.com</v>
      </c>
      <c r="D660" s="6">
        <f ca="1">IFERROR(__xludf.DUMMYFUNCTION("""COMPUTED_VALUE"""),9500012397)</f>
        <v>9500012397</v>
      </c>
      <c r="E660" s="6" t="str">
        <f ca="1">IFERROR(__xludf.DUMMYFUNCTION("""COMPUTED_VALUE"""),"Account Repeat")</f>
        <v>Account Repeat</v>
      </c>
      <c r="F660" s="6" t="str">
        <f ca="1">IFERROR(__xludf.DUMMYFUNCTION("""COMPUTED_VALUE"""),"PMP Plus")</f>
        <v>PMP Plus</v>
      </c>
      <c r="G660" s="80">
        <f ca="1">IFERROR(__xludf.DUMMYFUNCTION("""COMPUTED_VALUE"""),44470)</f>
        <v>44470</v>
      </c>
      <c r="H660" s="6" t="str">
        <f ca="1">IFERROR(__xludf.DUMMYFUNCTION("""COMPUTED_VALUE"""),"Won")</f>
        <v>Won</v>
      </c>
      <c r="I660" s="6" t="str">
        <f ca="1">IFERROR(__xludf.DUMMYFUNCTION("""COMPUTED_VALUE"""),"16 Oct 2021")</f>
        <v>16 Oct 2021</v>
      </c>
      <c r="J660" s="6">
        <f ca="1">IFERROR(__xludf.DUMMYFUNCTION("""COMPUTED_VALUE"""),1)</f>
        <v>1</v>
      </c>
      <c r="K660" s="8">
        <f ca="1">IFERROR(__xludf.DUMMYFUNCTION("""COMPUTED_VALUE"""),15000)</f>
        <v>15000</v>
      </c>
      <c r="L660" s="8">
        <f ca="1">IFERROR(__xludf.DUMMYFUNCTION("""COMPUTED_VALUE"""),171.781951442968)</f>
        <v>171.78195144296799</v>
      </c>
      <c r="M660" s="96">
        <f ca="1">IFERROR(__xludf.DUMMYFUNCTION("""COMPUTED_VALUE"""),44483)</f>
        <v>44483</v>
      </c>
      <c r="N660" s="6" t="str">
        <f ca="1">IFERROR(__xludf.DUMMYFUNCTION("""COMPUTED_VALUE"""),"S10")</f>
        <v>S10</v>
      </c>
      <c r="O660" s="97">
        <f ca="1">IFERROR(__xludf.DUMMYFUNCTION("""COMPUTED_VALUE"""),44483)</f>
        <v>44483</v>
      </c>
      <c r="P660" s="6" t="str">
        <f ca="1">IFERROR(__xludf.DUMMYFUNCTION("""COMPUTED_VALUE"""),"CSTM_JFR5Q9BHHBQ")</f>
        <v>CSTM_JFR5Q9BHHBQ</v>
      </c>
      <c r="Q660" s="6"/>
      <c r="R660" s="6" t="str">
        <f ca="1">IFERROR(__xludf.DUMMYFUNCTION("""COMPUTED_VALUE"""),"Pending")</f>
        <v>Pending</v>
      </c>
      <c r="S660" s="6" t="str">
        <f ca="1">IFERROR(__xludf.DUMMYFUNCTION("""COMPUTED_VALUE"""),"NonCategory")</f>
        <v>NonCategory</v>
      </c>
      <c r="T660" s="6"/>
      <c r="U660" s="6"/>
      <c r="V660" s="6"/>
      <c r="W660" s="6"/>
      <c r="X660" s="6"/>
      <c r="Y660" s="6"/>
      <c r="Z660" s="6"/>
      <c r="AA660" s="6"/>
      <c r="AB660" s="6"/>
      <c r="AC660" s="6"/>
      <c r="AD660" s="6"/>
      <c r="AE660" s="6"/>
      <c r="AF660" s="6"/>
      <c r="AG660" s="6"/>
      <c r="AH660" s="6"/>
      <c r="AI660" s="6"/>
      <c r="AJ660" s="6"/>
      <c r="AK660" s="6"/>
      <c r="AL660" s="6"/>
    </row>
    <row r="661" spans="1:38">
      <c r="A661" s="96">
        <f ca="1">IFERROR(__xludf.DUMMYFUNCTION("""COMPUTED_VALUE"""),44483)</f>
        <v>44483</v>
      </c>
      <c r="B661" s="6" t="str">
        <f ca="1">IFERROR(__xludf.DUMMYFUNCTION("""COMPUTED_VALUE"""),"Ravi")</f>
        <v>Ravi</v>
      </c>
      <c r="C661" s="6" t="str">
        <f ca="1">IFERROR(__xludf.DUMMYFUNCTION("""COMPUTED_VALUE"""),"ravi.speridian@gmail.com")</f>
        <v>ravi.speridian@gmail.com</v>
      </c>
      <c r="D661" s="6">
        <f ca="1">IFERROR(__xludf.DUMMYFUNCTION("""COMPUTED_VALUE"""),9741532089)</f>
        <v>9741532089</v>
      </c>
      <c r="E661" s="6" t="str">
        <f ca="1">IFERROR(__xludf.DUMMYFUNCTION("""COMPUTED_VALUE"""),"Account Repeat")</f>
        <v>Account Repeat</v>
      </c>
      <c r="F661" s="6" t="str">
        <f ca="1">IFERROR(__xludf.DUMMYFUNCTION("""COMPUTED_VALUE"""),"ACSM")</f>
        <v>ACSM</v>
      </c>
      <c r="G661" s="80">
        <f ca="1">IFERROR(__xludf.DUMMYFUNCTION("""COMPUTED_VALUE"""),44470)</f>
        <v>44470</v>
      </c>
      <c r="H661" s="6" t="str">
        <f ca="1">IFERROR(__xludf.DUMMYFUNCTION("""COMPUTED_VALUE"""),"Won")</f>
        <v>Won</v>
      </c>
      <c r="I661" s="6" t="str">
        <f ca="1">IFERROR(__xludf.DUMMYFUNCTION("""COMPUTED_VALUE"""),"23-24 Oct 2021")</f>
        <v>23-24 Oct 2021</v>
      </c>
      <c r="J661" s="6">
        <f ca="1">IFERROR(__xludf.DUMMYFUNCTION("""COMPUTED_VALUE"""),1)</f>
        <v>1</v>
      </c>
      <c r="K661" s="8">
        <f ca="1">IFERROR(__xludf.DUMMYFUNCTION("""COMPUTED_VALUE"""),41000)</f>
        <v>41000</v>
      </c>
      <c r="L661" s="8">
        <f ca="1">IFERROR(__xludf.DUMMYFUNCTION("""COMPUTED_VALUE"""),469.537333944113)</f>
        <v>469.53733394411302</v>
      </c>
      <c r="M661" s="96">
        <f ca="1">IFERROR(__xludf.DUMMYFUNCTION("""COMPUTED_VALUE"""),44483)</f>
        <v>44483</v>
      </c>
      <c r="N661" s="6" t="str">
        <f ca="1">IFERROR(__xludf.DUMMYFUNCTION("""COMPUTED_VALUE"""),"S10")</f>
        <v>S10</v>
      </c>
      <c r="O661" s="97">
        <f ca="1">IFERROR(__xludf.DUMMYFUNCTION("""COMPUTED_VALUE"""),44483)</f>
        <v>44483</v>
      </c>
      <c r="P661" s="6" t="str">
        <f ca="1">IFERROR(__xludf.DUMMYFUNCTION("""COMPUTED_VALUE"""),"CSTM_FO1BNZKMJL5")</f>
        <v>CSTM_FO1BNZKMJL5</v>
      </c>
      <c r="Q661" s="6"/>
      <c r="R661" s="6" t="str">
        <f ca="1">IFERROR(__xludf.DUMMYFUNCTION("""COMPUTED_VALUE"""),"Done. Good feedback.")</f>
        <v>Done. Good feedback.</v>
      </c>
      <c r="S661" s="6" t="str">
        <f ca="1">IFERROR(__xludf.DUMMYFUNCTION("""COMPUTED_VALUE"""),"NonCategory")</f>
        <v>NonCategory</v>
      </c>
      <c r="T661" s="6"/>
      <c r="U661" s="6"/>
      <c r="V661" s="6"/>
      <c r="W661" s="6"/>
      <c r="X661" s="6"/>
      <c r="Y661" s="6"/>
      <c r="Z661" s="6"/>
      <c r="AA661" s="6"/>
      <c r="AB661" s="6"/>
      <c r="AC661" s="6"/>
      <c r="AD661" s="6"/>
      <c r="AE661" s="6"/>
      <c r="AF661" s="6"/>
      <c r="AG661" s="6"/>
      <c r="AH661" s="6"/>
      <c r="AI661" s="6"/>
      <c r="AJ661" s="6"/>
      <c r="AK661" s="6"/>
      <c r="AL661" s="6"/>
    </row>
    <row r="662" spans="1:38">
      <c r="A662" s="96">
        <f ca="1">IFERROR(__xludf.DUMMYFUNCTION("""COMPUTED_VALUE"""),44483)</f>
        <v>44483</v>
      </c>
      <c r="B662" s="6" t="str">
        <f ca="1">IFERROR(__xludf.DUMMYFUNCTION("""COMPUTED_VALUE"""),"Sarabjeet Singh")</f>
        <v>Sarabjeet Singh</v>
      </c>
      <c r="C662" s="6" t="str">
        <f ca="1">IFERROR(__xludf.DUMMYFUNCTION("""COMPUTED_VALUE"""),"vizkey@gmail.com")</f>
        <v>vizkey@gmail.com</v>
      </c>
      <c r="D662" s="6">
        <f ca="1">IFERROR(__xludf.DUMMYFUNCTION("""COMPUTED_VALUE"""),9037325369)</f>
        <v>9037325369</v>
      </c>
      <c r="E662" s="6" t="str">
        <f ca="1">IFERROR(__xludf.DUMMYFUNCTION("""COMPUTED_VALUE"""),"course agenda")</f>
        <v>course agenda</v>
      </c>
      <c r="F662" s="6" t="str">
        <f ca="1">IFERROR(__xludf.DUMMYFUNCTION("""COMPUTED_VALUE"""),"CSM")</f>
        <v>CSM</v>
      </c>
      <c r="G662" s="80">
        <f ca="1">IFERROR(__xludf.DUMMYFUNCTION("""COMPUTED_VALUE"""),44470)</f>
        <v>44470</v>
      </c>
      <c r="H662" s="6" t="str">
        <f ca="1">IFERROR(__xludf.DUMMYFUNCTION("""COMPUTED_VALUE"""),"Won")</f>
        <v>Won</v>
      </c>
      <c r="I662" s="6" t="str">
        <f ca="1">IFERROR(__xludf.DUMMYFUNCTION("""COMPUTED_VALUE"""),"23-24 Oct 2021")</f>
        <v>23-24 Oct 2021</v>
      </c>
      <c r="J662" s="6">
        <f ca="1">IFERROR(__xludf.DUMMYFUNCTION("""COMPUTED_VALUE"""),1)</f>
        <v>1</v>
      </c>
      <c r="K662" s="8">
        <f ca="1">IFERROR(__xludf.DUMMYFUNCTION("""COMPUTED_VALUE"""),20000)</f>
        <v>20000</v>
      </c>
      <c r="L662" s="8">
        <f ca="1">IFERROR(__xludf.DUMMYFUNCTION("""COMPUTED_VALUE"""),229.042601923957)</f>
        <v>229.04260192395699</v>
      </c>
      <c r="M662" s="96">
        <f ca="1">IFERROR(__xludf.DUMMYFUNCTION("""COMPUTED_VALUE"""),44483)</f>
        <v>44483</v>
      </c>
      <c r="N662" s="6" t="str">
        <f ca="1">IFERROR(__xludf.DUMMYFUNCTION("""COMPUTED_VALUE"""),"S10")</f>
        <v>S10</v>
      </c>
      <c r="O662" s="97">
        <f ca="1">IFERROR(__xludf.DUMMYFUNCTION("""COMPUTED_VALUE"""),44483)</f>
        <v>44483</v>
      </c>
      <c r="P662" s="6" t="str">
        <f ca="1">IFERROR(__xludf.DUMMYFUNCTION("""COMPUTED_VALUE"""),"CSTM_JEUT68MBBVF")</f>
        <v>CSTM_JEUT68MBBVF</v>
      </c>
      <c r="Q662" s="6"/>
      <c r="R662" s="6" t="str">
        <f ca="1">IFERROR(__xludf.DUMMYFUNCTION("""COMPUTED_VALUE"""),"Done. Good feedback.")</f>
        <v>Done. Good feedback.</v>
      </c>
      <c r="S662" s="6" t="str">
        <f ca="1">IFERROR(__xludf.DUMMYFUNCTION("""COMPUTED_VALUE"""),"Category")</f>
        <v>Category</v>
      </c>
      <c r="T662" s="6"/>
      <c r="U662" s="6"/>
      <c r="V662" s="6"/>
      <c r="W662" s="6"/>
      <c r="X662" s="6"/>
      <c r="Y662" s="6"/>
      <c r="Z662" s="6"/>
      <c r="AA662" s="6"/>
      <c r="AB662" s="6"/>
      <c r="AC662" s="6"/>
      <c r="AD662" s="6"/>
      <c r="AE662" s="6"/>
      <c r="AF662" s="6"/>
      <c r="AG662" s="6"/>
      <c r="AH662" s="6"/>
      <c r="AI662" s="6"/>
      <c r="AJ662" s="6"/>
      <c r="AK662" s="6"/>
      <c r="AL662" s="6"/>
    </row>
    <row r="663" spans="1:38">
      <c r="A663" s="96">
        <f ca="1">IFERROR(__xludf.DUMMYFUNCTION("""COMPUTED_VALUE"""),44483)</f>
        <v>44483</v>
      </c>
      <c r="B663" s="6" t="str">
        <f ca="1">IFERROR(__xludf.DUMMYFUNCTION("""COMPUTED_VALUE"""),"Sunil Manu")</f>
        <v>Sunil Manu</v>
      </c>
      <c r="C663" s="6" t="str">
        <f ca="1">IFERROR(__xludf.DUMMYFUNCTION("""COMPUTED_VALUE"""),"sunilmanu9@gmail.com")</f>
        <v>sunilmanu9@gmail.com</v>
      </c>
      <c r="D663" s="6">
        <f ca="1">IFERROR(__xludf.DUMMYFUNCTION("""COMPUTED_VALUE"""),8272821379)</f>
        <v>8272821379</v>
      </c>
      <c r="E663" s="6" t="str">
        <f ca="1">IFERROR(__xludf.DUMMYFUNCTION("""COMPUTED_VALUE"""),"Reference")</f>
        <v>Reference</v>
      </c>
      <c r="F663" s="6" t="str">
        <f ca="1">IFERROR(__xludf.DUMMYFUNCTION("""COMPUTED_VALUE"""),"CSM")</f>
        <v>CSM</v>
      </c>
      <c r="G663" s="80">
        <f ca="1">IFERROR(__xludf.DUMMYFUNCTION("""COMPUTED_VALUE"""),44470)</f>
        <v>44470</v>
      </c>
      <c r="H663" s="6" t="str">
        <f ca="1">IFERROR(__xludf.DUMMYFUNCTION("""COMPUTED_VALUE"""),"Won")</f>
        <v>Won</v>
      </c>
      <c r="I663" s="6" t="str">
        <f ca="1">IFERROR(__xludf.DUMMYFUNCTION("""COMPUTED_VALUE"""),"23-24 Oct 2021")</f>
        <v>23-24 Oct 2021</v>
      </c>
      <c r="J663" s="6">
        <f ca="1">IFERROR(__xludf.DUMMYFUNCTION("""COMPUTED_VALUE"""),1)</f>
        <v>1</v>
      </c>
      <c r="K663" s="8">
        <f ca="1">IFERROR(__xludf.DUMMYFUNCTION("""COMPUTED_VALUE"""),20000)</f>
        <v>20000</v>
      </c>
      <c r="L663" s="8">
        <f ca="1">IFERROR(__xludf.DUMMYFUNCTION("""COMPUTED_VALUE"""),229.042601923957)</f>
        <v>229.04260192395699</v>
      </c>
      <c r="M663" s="96">
        <f ca="1">IFERROR(__xludf.DUMMYFUNCTION("""COMPUTED_VALUE"""),44483)</f>
        <v>44483</v>
      </c>
      <c r="N663" s="6" t="str">
        <f ca="1">IFERROR(__xludf.DUMMYFUNCTION("""COMPUTED_VALUE"""),"S10")</f>
        <v>S10</v>
      </c>
      <c r="O663" s="97">
        <f ca="1">IFERROR(__xludf.DUMMYFUNCTION("""COMPUTED_VALUE"""),44485)</f>
        <v>44485</v>
      </c>
      <c r="P663" s="6" t="str">
        <f ca="1">IFERROR(__xludf.DUMMYFUNCTION("""COMPUTED_VALUE"""),"CSTM_5HBII1XAYX1")</f>
        <v>CSTM_5HBII1XAYX1</v>
      </c>
      <c r="Q663" s="6" t="str">
        <f ca="1">IFERROR(__xludf.DUMMYFUNCTION("""COMPUTED_VALUE"""),"vizkey@gmail.com")</f>
        <v>vizkey@gmail.com</v>
      </c>
      <c r="R663" s="6" t="str">
        <f ca="1">IFERROR(__xludf.DUMMYFUNCTION("""COMPUTED_VALUE"""),"Done. Good feedback.")</f>
        <v>Done. Good feedback.</v>
      </c>
      <c r="S663" s="6" t="str">
        <f ca="1">IFERROR(__xludf.DUMMYFUNCTION("""COMPUTED_VALUE"""),"Category")</f>
        <v>Category</v>
      </c>
      <c r="T663" s="6"/>
      <c r="U663" s="6"/>
      <c r="V663" s="6"/>
      <c r="W663" s="6"/>
      <c r="X663" s="6"/>
      <c r="Y663" s="6"/>
      <c r="Z663" s="6"/>
      <c r="AA663" s="6"/>
      <c r="AB663" s="6"/>
      <c r="AC663" s="6"/>
      <c r="AD663" s="6"/>
      <c r="AE663" s="6"/>
      <c r="AF663" s="6"/>
      <c r="AG663" s="6"/>
      <c r="AH663" s="6"/>
      <c r="AI663" s="6"/>
      <c r="AJ663" s="6"/>
      <c r="AK663" s="6"/>
      <c r="AL663" s="6"/>
    </row>
    <row r="664" spans="1:38">
      <c r="A664" s="96">
        <f ca="1">IFERROR(__xludf.DUMMYFUNCTION("""COMPUTED_VALUE"""),44483)</f>
        <v>44483</v>
      </c>
      <c r="B664" s="6" t="str">
        <f ca="1">IFERROR(__xludf.DUMMYFUNCTION("""COMPUTED_VALUE"""),"Anubhaw Ujjwal")</f>
        <v>Anubhaw Ujjwal</v>
      </c>
      <c r="C664" s="6" t="str">
        <f ca="1">IFERROR(__xludf.DUMMYFUNCTION("""COMPUTED_VALUE"""),"anubhaw.ujjwal@gmail.com")</f>
        <v>anubhaw.ujjwal@gmail.com</v>
      </c>
      <c r="D664" s="6">
        <f ca="1">IFERROR(__xludf.DUMMYFUNCTION("""COMPUTED_VALUE"""),9955230368)</f>
        <v>9955230368</v>
      </c>
      <c r="E664" s="6" t="str">
        <f ca="1">IFERROR(__xludf.DUMMYFUNCTION("""COMPUTED_VALUE"""),"Chat_triggered")</f>
        <v>Chat_triggered</v>
      </c>
      <c r="F664" s="6" t="str">
        <f ca="1">IFERROR(__xludf.DUMMYFUNCTION("""COMPUTED_VALUE"""),"PSM")</f>
        <v>PSM</v>
      </c>
      <c r="G664" s="80">
        <f ca="1">IFERROR(__xludf.DUMMYFUNCTION("""COMPUTED_VALUE"""),44470)</f>
        <v>44470</v>
      </c>
      <c r="H664" s="6" t="str">
        <f ca="1">IFERROR(__xludf.DUMMYFUNCTION("""COMPUTED_VALUE"""),"Won")</f>
        <v>Won</v>
      </c>
      <c r="I664" s="6" t="str">
        <f ca="1">IFERROR(__xludf.DUMMYFUNCTION("""COMPUTED_VALUE"""),"23-24 Oct 2021")</f>
        <v>23-24 Oct 2021</v>
      </c>
      <c r="J664" s="6">
        <f ca="1">IFERROR(__xludf.DUMMYFUNCTION("""COMPUTED_VALUE"""),1)</f>
        <v>1</v>
      </c>
      <c r="K664" s="8">
        <f ca="1">IFERROR(__xludf.DUMMYFUNCTION("""COMPUTED_VALUE"""),21000)</f>
        <v>21000</v>
      </c>
      <c r="L664" s="8">
        <f ca="1">IFERROR(__xludf.DUMMYFUNCTION("""COMPUTED_VALUE"""),240.494732020155)</f>
        <v>240.494732020155</v>
      </c>
      <c r="M664" s="96">
        <f ca="1">IFERROR(__xludf.DUMMYFUNCTION("""COMPUTED_VALUE"""),44484)</f>
        <v>44484</v>
      </c>
      <c r="N664" s="6" t="str">
        <f ca="1">IFERROR(__xludf.DUMMYFUNCTION("""COMPUTED_VALUE"""),"S10")</f>
        <v>S10</v>
      </c>
      <c r="O664" s="97">
        <f ca="1">IFERROR(__xludf.DUMMYFUNCTION("""COMPUTED_VALUE"""),44484)</f>
        <v>44484</v>
      </c>
      <c r="P664" s="6" t="str">
        <f ca="1">IFERROR(__xludf.DUMMYFUNCTION("""COMPUTED_VALUE"""),"CSTM_BF3ELTQNJW3")</f>
        <v>CSTM_BF3ELTQNJW3</v>
      </c>
      <c r="Q664" s="6"/>
      <c r="R664" s="6" t="str">
        <f ca="1">IFERROR(__xludf.DUMMYFUNCTION("""COMPUTED_VALUE"""),"Done. Good feedback.")</f>
        <v>Done. Good feedback.</v>
      </c>
      <c r="S664" s="6" t="str">
        <f ca="1">IFERROR(__xludf.DUMMYFUNCTION("""COMPUTED_VALUE"""),"Category")</f>
        <v>Category</v>
      </c>
      <c r="T664" s="6"/>
      <c r="U664" s="6"/>
      <c r="V664" s="6"/>
      <c r="W664" s="6"/>
      <c r="X664" s="6"/>
      <c r="Y664" s="6"/>
      <c r="Z664" s="6"/>
      <c r="AA664" s="6"/>
      <c r="AB664" s="6"/>
      <c r="AC664" s="6"/>
      <c r="AD664" s="6"/>
      <c r="AE664" s="6"/>
      <c r="AF664" s="6"/>
      <c r="AG664" s="6"/>
      <c r="AH664" s="6"/>
      <c r="AI664" s="6"/>
      <c r="AJ664" s="6"/>
      <c r="AK664" s="6"/>
      <c r="AL664" s="6"/>
    </row>
    <row r="665" spans="1:38">
      <c r="A665" s="96">
        <f ca="1">IFERROR(__xludf.DUMMYFUNCTION("""COMPUTED_VALUE"""),44487)</f>
        <v>44487</v>
      </c>
      <c r="B665" s="6" t="str">
        <f ca="1">IFERROR(__xludf.DUMMYFUNCTION("""COMPUTED_VALUE"""),"Balaji Muralilal")</f>
        <v>Balaji Muralilal</v>
      </c>
      <c r="C665" s="6" t="str">
        <f ca="1">IFERROR(__xludf.DUMMYFUNCTION("""COMPUTED_VALUE"""),"balaji.muralilal@gmail.com")</f>
        <v>balaji.muralilal@gmail.com</v>
      </c>
      <c r="D665" s="6">
        <f ca="1">IFERROR(__xludf.DUMMYFUNCTION("""COMPUTED_VALUE"""),9962988492)</f>
        <v>9962988492</v>
      </c>
      <c r="E665" s="6" t="str">
        <f ca="1">IFERROR(__xludf.DUMMYFUNCTION("""COMPUTED_VALUE"""),"Reference")</f>
        <v>Reference</v>
      </c>
      <c r="F665" s="6" t="str">
        <f ca="1">IFERROR(__xludf.DUMMYFUNCTION("""COMPUTED_VALUE"""),"P2 F&amp;P")</f>
        <v>P2 F&amp;P</v>
      </c>
      <c r="G665" s="80">
        <f ca="1">IFERROR(__xludf.DUMMYFUNCTION("""COMPUTED_VALUE"""),44470)</f>
        <v>44470</v>
      </c>
      <c r="H665" s="6" t="str">
        <f ca="1">IFERROR(__xludf.DUMMYFUNCTION("""COMPUTED_VALUE"""),"Won")</f>
        <v>Won</v>
      </c>
      <c r="I665" s="6" t="str">
        <f ca="1">IFERROR(__xludf.DUMMYFUNCTION("""COMPUTED_VALUE"""),"18 Oct 2021")</f>
        <v>18 Oct 2021</v>
      </c>
      <c r="J665" s="6">
        <f ca="1">IFERROR(__xludf.DUMMYFUNCTION("""COMPUTED_VALUE"""),1)</f>
        <v>1</v>
      </c>
      <c r="K665" s="8">
        <f ca="1">IFERROR(__xludf.DUMMYFUNCTION("""COMPUTED_VALUE"""),38000)</f>
        <v>38000</v>
      </c>
      <c r="L665" s="8">
        <f ca="1">IFERROR(__xludf.DUMMYFUNCTION("""COMPUTED_VALUE"""),435.180943655519)</f>
        <v>435.180943655519</v>
      </c>
      <c r="M665" s="96">
        <f ca="1">IFERROR(__xludf.DUMMYFUNCTION("""COMPUTED_VALUE"""),44487)</f>
        <v>44487</v>
      </c>
      <c r="N665" s="6" t="str">
        <f ca="1">IFERROR(__xludf.DUMMYFUNCTION("""COMPUTED_VALUE"""),"S10")</f>
        <v>S10</v>
      </c>
      <c r="O665" s="97">
        <f ca="1">IFERROR(__xludf.DUMMYFUNCTION("""COMPUTED_VALUE"""),44487)</f>
        <v>44487</v>
      </c>
      <c r="P665" s="6" t="str">
        <f ca="1">IFERROR(__xludf.DUMMYFUNCTION("""COMPUTED_VALUE"""),"CSTM_6J0LQFUMIGJ")</f>
        <v>CSTM_6J0LQFUMIGJ</v>
      </c>
      <c r="Q665" s="6" t="str">
        <f ca="1">IFERROR(__xludf.DUMMYFUNCTION("""COMPUTED_VALUE"""),"Aurko")</f>
        <v>Aurko</v>
      </c>
      <c r="R665" s="6" t="str">
        <f ca="1">IFERROR(__xludf.DUMMYFUNCTION("""COMPUTED_VALUE"""),"Pending")</f>
        <v>Pending</v>
      </c>
      <c r="S665" s="6" t="str">
        <f ca="1">IFERROR(__xludf.DUMMYFUNCTION("""COMPUTED_VALUE"""),"NonCategory")</f>
        <v>NonCategory</v>
      </c>
      <c r="T665" s="6"/>
      <c r="U665" s="6"/>
      <c r="V665" s="6"/>
      <c r="W665" s="6"/>
      <c r="X665" s="6"/>
      <c r="Y665" s="6"/>
      <c r="Z665" s="6"/>
      <c r="AA665" s="6"/>
      <c r="AB665" s="6"/>
      <c r="AC665" s="6"/>
      <c r="AD665" s="6"/>
      <c r="AE665" s="6"/>
      <c r="AF665" s="6"/>
      <c r="AG665" s="6"/>
      <c r="AH665" s="6"/>
      <c r="AI665" s="6"/>
      <c r="AJ665" s="6"/>
      <c r="AK665" s="6"/>
      <c r="AL665" s="6"/>
    </row>
    <row r="666" spans="1:38">
      <c r="A666" s="96">
        <f ca="1">IFERROR(__xludf.DUMMYFUNCTION("""COMPUTED_VALUE"""),44487)</f>
        <v>44487</v>
      </c>
      <c r="B666" s="6" t="str">
        <f ca="1">IFERROR(__xludf.DUMMYFUNCTION("""COMPUTED_VALUE"""),"Karunesh Tiwari")</f>
        <v>Karunesh Tiwari</v>
      </c>
      <c r="C666" s="6" t="str">
        <f ca="1">IFERROR(__xludf.DUMMYFUNCTION("""COMPUTED_VALUE"""),"karantiwari17@gmail.com")</f>
        <v>karantiwari17@gmail.com</v>
      </c>
      <c r="D666" s="6">
        <f ca="1">IFERROR(__xludf.DUMMYFUNCTION("""COMPUTED_VALUE"""),9566065031)</f>
        <v>9566065031</v>
      </c>
      <c r="E666" s="6" t="str">
        <f ca="1">IFERROR(__xludf.DUMMYFUNCTION("""COMPUTED_VALUE"""),"Chat_triggered")</f>
        <v>Chat_triggered</v>
      </c>
      <c r="F666" s="6" t="str">
        <f ca="1">IFERROR(__xludf.DUMMYFUNCTION("""COMPUTED_VALUE"""),"PSM")</f>
        <v>PSM</v>
      </c>
      <c r="G666" s="80">
        <f ca="1">IFERROR(__xludf.DUMMYFUNCTION("""COMPUTED_VALUE"""),44470)</f>
        <v>44470</v>
      </c>
      <c r="H666" s="6" t="str">
        <f ca="1">IFERROR(__xludf.DUMMYFUNCTION("""COMPUTED_VALUE"""),"Won")</f>
        <v>Won</v>
      </c>
      <c r="I666" s="6" t="str">
        <f ca="1">IFERROR(__xludf.DUMMYFUNCTION("""COMPUTED_VALUE"""),"23-24 Oct 2021")</f>
        <v>23-24 Oct 2021</v>
      </c>
      <c r="J666" s="6">
        <f ca="1">IFERROR(__xludf.DUMMYFUNCTION("""COMPUTED_VALUE"""),1)</f>
        <v>1</v>
      </c>
      <c r="K666" s="8">
        <f ca="1">IFERROR(__xludf.DUMMYFUNCTION("""COMPUTED_VALUE"""),21000)</f>
        <v>21000</v>
      </c>
      <c r="L666" s="8">
        <f ca="1">IFERROR(__xludf.DUMMYFUNCTION("""COMPUTED_VALUE"""),240.494732020155)</f>
        <v>240.494732020155</v>
      </c>
      <c r="M666" s="96">
        <f ca="1">IFERROR(__xludf.DUMMYFUNCTION("""COMPUTED_VALUE"""),44487)</f>
        <v>44487</v>
      </c>
      <c r="N666" s="6" t="str">
        <f ca="1">IFERROR(__xludf.DUMMYFUNCTION("""COMPUTED_VALUE"""),"S10")</f>
        <v>S10</v>
      </c>
      <c r="O666" s="97">
        <f ca="1">IFERROR(__xludf.DUMMYFUNCTION("""COMPUTED_VALUE"""),44487)</f>
        <v>44487</v>
      </c>
      <c r="P666" s="6" t="str">
        <f ca="1">IFERROR(__xludf.DUMMYFUNCTION("""COMPUTED_VALUE"""),"CSTM_EF8677LCZCR")</f>
        <v>CSTM_EF8677LCZCR</v>
      </c>
      <c r="Q666" s="6"/>
      <c r="R666" s="6" t="str">
        <f ca="1">IFERROR(__xludf.DUMMYFUNCTION("""COMPUTED_VALUE"""),"Done. Good feedback.")</f>
        <v>Done. Good feedback.</v>
      </c>
      <c r="S666" s="6" t="str">
        <f ca="1">IFERROR(__xludf.DUMMYFUNCTION("""COMPUTED_VALUE"""),"Category")</f>
        <v>Category</v>
      </c>
      <c r="T666" s="6"/>
      <c r="U666" s="6"/>
      <c r="V666" s="6"/>
      <c r="W666" s="6"/>
      <c r="X666" s="6"/>
      <c r="Y666" s="6"/>
      <c r="Z666" s="6"/>
      <c r="AA666" s="6"/>
      <c r="AB666" s="6"/>
      <c r="AC666" s="6"/>
      <c r="AD666" s="6"/>
      <c r="AE666" s="6"/>
      <c r="AF666" s="6"/>
      <c r="AG666" s="6"/>
      <c r="AH666" s="6"/>
      <c r="AI666" s="6"/>
      <c r="AJ666" s="6"/>
      <c r="AK666" s="6"/>
      <c r="AL666" s="6"/>
    </row>
    <row r="667" spans="1:38">
      <c r="A667" s="96">
        <f ca="1">IFERROR(__xludf.DUMMYFUNCTION("""COMPUTED_VALUE"""),44487)</f>
        <v>44487</v>
      </c>
      <c r="B667" s="6" t="str">
        <f ca="1">IFERROR(__xludf.DUMMYFUNCTION("""COMPUTED_VALUE"""),"Thara")</f>
        <v>Thara</v>
      </c>
      <c r="C667" s="6" t="str">
        <f ca="1">IFERROR(__xludf.DUMMYFUNCTION("""COMPUTED_VALUE"""),"thara45@yahoo.co.in")</f>
        <v>thara45@yahoo.co.in</v>
      </c>
      <c r="D667" s="6">
        <f ca="1">IFERROR(__xludf.DUMMYFUNCTION("""COMPUTED_VALUE"""),9611786435)</f>
        <v>9611786435</v>
      </c>
      <c r="E667" s="6" t="str">
        <f ca="1">IFERROR(__xludf.DUMMYFUNCTION("""COMPUTED_VALUE"""),"course preview")</f>
        <v>course preview</v>
      </c>
      <c r="F667" s="6" t="str">
        <f ca="1">IFERROR(__xludf.DUMMYFUNCTION("""COMPUTED_VALUE"""),"PSPO")</f>
        <v>PSPO</v>
      </c>
      <c r="G667" s="80">
        <f ca="1">IFERROR(__xludf.DUMMYFUNCTION("""COMPUTED_VALUE"""),44470)</f>
        <v>44470</v>
      </c>
      <c r="H667" s="6" t="str">
        <f ca="1">IFERROR(__xludf.DUMMYFUNCTION("""COMPUTED_VALUE"""),"Won")</f>
        <v>Won</v>
      </c>
      <c r="I667" s="6" t="str">
        <f ca="1">IFERROR(__xludf.DUMMYFUNCTION("""COMPUTED_VALUE"""),"30-31 Oct 2021")</f>
        <v>30-31 Oct 2021</v>
      </c>
      <c r="J667" s="6">
        <f ca="1">IFERROR(__xludf.DUMMYFUNCTION("""COMPUTED_VALUE"""),1)</f>
        <v>1</v>
      </c>
      <c r="K667" s="8">
        <f ca="1">IFERROR(__xludf.DUMMYFUNCTION("""COMPUTED_VALUE"""),21000)</f>
        <v>21000</v>
      </c>
      <c r="L667" s="8">
        <f ca="1">IFERROR(__xludf.DUMMYFUNCTION("""COMPUTED_VALUE"""),240.494732020155)</f>
        <v>240.494732020155</v>
      </c>
      <c r="M667" s="96">
        <f ca="1">IFERROR(__xludf.DUMMYFUNCTION("""COMPUTED_VALUE"""),44487)</f>
        <v>44487</v>
      </c>
      <c r="N667" s="6" t="str">
        <f ca="1">IFERROR(__xludf.DUMMYFUNCTION("""COMPUTED_VALUE"""),"S10")</f>
        <v>S10</v>
      </c>
      <c r="O667" s="97">
        <f ca="1">IFERROR(__xludf.DUMMYFUNCTION("""COMPUTED_VALUE"""),44487)</f>
        <v>44487</v>
      </c>
      <c r="P667" s="6" t="str">
        <f ca="1">IFERROR(__xludf.DUMMYFUNCTION("""COMPUTED_VALUE"""),"CSTM_D10XEBBBJUT")</f>
        <v>CSTM_D10XEBBBJUT</v>
      </c>
      <c r="Q667" s="6"/>
      <c r="R667" s="6" t="str">
        <f ca="1">IFERROR(__xludf.DUMMYFUNCTION("""COMPUTED_VALUE"""),"Done. Good feedback.")</f>
        <v>Done. Good feedback.</v>
      </c>
      <c r="S667" s="6" t="str">
        <f ca="1">IFERROR(__xludf.DUMMYFUNCTION("""COMPUTED_VALUE"""),"Category")</f>
        <v>Category</v>
      </c>
      <c r="T667" s="6"/>
      <c r="U667" s="6"/>
      <c r="V667" s="6"/>
      <c r="W667" s="6"/>
      <c r="X667" s="6"/>
      <c r="Y667" s="6"/>
      <c r="Z667" s="6"/>
      <c r="AA667" s="6"/>
      <c r="AB667" s="6"/>
      <c r="AC667" s="6"/>
      <c r="AD667" s="6"/>
      <c r="AE667" s="6"/>
      <c r="AF667" s="6"/>
      <c r="AG667" s="6"/>
      <c r="AH667" s="6"/>
      <c r="AI667" s="6"/>
      <c r="AJ667" s="6"/>
      <c r="AK667" s="6"/>
      <c r="AL667" s="6"/>
    </row>
    <row r="668" spans="1:38">
      <c r="A668" s="96">
        <f ca="1">IFERROR(__xludf.DUMMYFUNCTION("""COMPUTED_VALUE"""),44488)</f>
        <v>44488</v>
      </c>
      <c r="B668" s="6" t="str">
        <f ca="1">IFERROR(__xludf.DUMMYFUNCTION("""COMPUTED_VALUE"""),"Uma Vakkalanka")</f>
        <v>Uma Vakkalanka</v>
      </c>
      <c r="C668" s="6" t="str">
        <f ca="1">IFERROR(__xludf.DUMMYFUNCTION("""COMPUTED_VALUE"""),"uma.vakkalanka@gmail.com")</f>
        <v>uma.vakkalanka@gmail.com</v>
      </c>
      <c r="D668" s="6">
        <f ca="1">IFERROR(__xludf.DUMMYFUNCTION("""COMPUTED_VALUE"""),9885549731)</f>
        <v>9885549731</v>
      </c>
      <c r="E668" s="6" t="str">
        <f ca="1">IFERROR(__xludf.DUMMYFUNCTION("""COMPUTED_VALUE"""),"Reference")</f>
        <v>Reference</v>
      </c>
      <c r="F668" s="6" t="str">
        <f ca="1">IFERROR(__xludf.DUMMYFUNCTION("""COMPUTED_VALUE"""),"PSM")</f>
        <v>PSM</v>
      </c>
      <c r="G668" s="80">
        <f ca="1">IFERROR(__xludf.DUMMYFUNCTION("""COMPUTED_VALUE"""),44470)</f>
        <v>44470</v>
      </c>
      <c r="H668" s="6" t="str">
        <f ca="1">IFERROR(__xludf.DUMMYFUNCTION("""COMPUTED_VALUE"""),"Won")</f>
        <v>Won</v>
      </c>
      <c r="I668" s="6" t="str">
        <f ca="1">IFERROR(__xludf.DUMMYFUNCTION("""COMPUTED_VALUE"""),"23-24 Oct 2021")</f>
        <v>23-24 Oct 2021</v>
      </c>
      <c r="J668" s="6">
        <f ca="1">IFERROR(__xludf.DUMMYFUNCTION("""COMPUTED_VALUE"""),1)</f>
        <v>1</v>
      </c>
      <c r="K668" s="8">
        <f ca="1">IFERROR(__xludf.DUMMYFUNCTION("""COMPUTED_VALUE"""),21000)</f>
        <v>21000</v>
      </c>
      <c r="L668" s="8">
        <f ca="1">IFERROR(__xludf.DUMMYFUNCTION("""COMPUTED_VALUE"""),240.494732020155)</f>
        <v>240.494732020155</v>
      </c>
      <c r="M668" s="96">
        <f ca="1">IFERROR(__xludf.DUMMYFUNCTION("""COMPUTED_VALUE"""),44488)</f>
        <v>44488</v>
      </c>
      <c r="N668" s="6" t="str">
        <f ca="1">IFERROR(__xludf.DUMMYFUNCTION("""COMPUTED_VALUE"""),"S10")</f>
        <v>S10</v>
      </c>
      <c r="O668" s="97">
        <f ca="1">IFERROR(__xludf.DUMMYFUNCTION("""COMPUTED_VALUE"""),44488)</f>
        <v>44488</v>
      </c>
      <c r="P668" s="6" t="str">
        <f ca="1">IFERROR(__xludf.DUMMYFUNCTION("""COMPUTED_VALUE"""),"CSTM_9YPTM386KUE")</f>
        <v>CSTM_9YPTM386KUE</v>
      </c>
      <c r="Q668" s="6" t="str">
        <f ca="1">IFERROR(__xludf.DUMMYFUNCTION("""COMPUTED_VALUE"""),"Pragya")</f>
        <v>Pragya</v>
      </c>
      <c r="R668" s="6" t="str">
        <f ca="1">IFERROR(__xludf.DUMMYFUNCTION("""COMPUTED_VALUE"""),"Done. Good feedback.")</f>
        <v>Done. Good feedback.</v>
      </c>
      <c r="S668" s="6" t="str">
        <f ca="1">IFERROR(__xludf.DUMMYFUNCTION("""COMPUTED_VALUE"""),"Category")</f>
        <v>Category</v>
      </c>
      <c r="T668" s="6"/>
      <c r="U668" s="6"/>
      <c r="V668" s="6"/>
      <c r="W668" s="6"/>
      <c r="X668" s="6"/>
      <c r="Y668" s="6"/>
      <c r="Z668" s="6"/>
      <c r="AA668" s="6"/>
      <c r="AB668" s="6"/>
      <c r="AC668" s="6"/>
      <c r="AD668" s="6"/>
      <c r="AE668" s="6"/>
      <c r="AF668" s="6"/>
      <c r="AG668" s="6"/>
      <c r="AH668" s="6"/>
      <c r="AI668" s="6"/>
      <c r="AJ668" s="6"/>
      <c r="AK668" s="6"/>
      <c r="AL668" s="6"/>
    </row>
    <row r="669" spans="1:38">
      <c r="A669" s="96">
        <f ca="1">IFERROR(__xludf.DUMMYFUNCTION("""COMPUTED_VALUE"""),44488)</f>
        <v>44488</v>
      </c>
      <c r="B669" s="6" t="str">
        <f ca="1">IFERROR(__xludf.DUMMYFUNCTION("""COMPUTED_VALUE"""),"Prashant Daund")</f>
        <v>Prashant Daund</v>
      </c>
      <c r="C669" s="6" t="str">
        <f ca="1">IFERROR(__xludf.DUMMYFUNCTION("""COMPUTED_VALUE"""),"prashantdaund@ymail.com")</f>
        <v>prashantdaund@ymail.com</v>
      </c>
      <c r="D669" s="6">
        <f ca="1">IFERROR(__xludf.DUMMYFUNCTION("""COMPUTED_VALUE"""),9730465323)</f>
        <v>9730465323</v>
      </c>
      <c r="E669" s="6" t="str">
        <f ca="1">IFERROR(__xludf.DUMMYFUNCTION("""COMPUTED_VALUE"""),"Query box")</f>
        <v>Query box</v>
      </c>
      <c r="F669" s="6" t="str">
        <f ca="1">IFERROR(__xludf.DUMMYFUNCTION("""COMPUTED_VALUE"""),"SAFe Agile")</f>
        <v>SAFe Agile</v>
      </c>
      <c r="G669" s="80">
        <f ca="1">IFERROR(__xludf.DUMMYFUNCTION("""COMPUTED_VALUE"""),44470)</f>
        <v>44470</v>
      </c>
      <c r="H669" s="6" t="str">
        <f ca="1">IFERROR(__xludf.DUMMYFUNCTION("""COMPUTED_VALUE"""),"Won")</f>
        <v>Won</v>
      </c>
      <c r="I669" s="6" t="str">
        <f ca="1">IFERROR(__xludf.DUMMYFUNCTION("""COMPUTED_VALUE"""),"6-7 Nov 2021")</f>
        <v>6-7 Nov 2021</v>
      </c>
      <c r="J669" s="6">
        <f ca="1">IFERROR(__xludf.DUMMYFUNCTION("""COMPUTED_VALUE"""),1)</f>
        <v>1</v>
      </c>
      <c r="K669" s="8">
        <f ca="1">IFERROR(__xludf.DUMMYFUNCTION("""COMPUTED_VALUE"""),45000)</f>
        <v>45000</v>
      </c>
      <c r="L669" s="8">
        <f ca="1">IFERROR(__xludf.DUMMYFUNCTION("""COMPUTED_VALUE"""),515.345854328905)</f>
        <v>515.34585432890503</v>
      </c>
      <c r="M669" s="96">
        <f ca="1">IFERROR(__xludf.DUMMYFUNCTION("""COMPUTED_VALUE"""),44488)</f>
        <v>44488</v>
      </c>
      <c r="N669" s="6" t="str">
        <f ca="1">IFERROR(__xludf.DUMMYFUNCTION("""COMPUTED_VALUE"""),"T10")</f>
        <v>T10</v>
      </c>
      <c r="O669" s="97">
        <f ca="1">IFERROR(__xludf.DUMMYFUNCTION("""COMPUTED_VALUE"""),44490)</f>
        <v>44490</v>
      </c>
      <c r="P669" s="6" t="str">
        <f ca="1">IFERROR(__xludf.DUMMYFUNCTION("""COMPUTED_VALUE"""),"CSTM_9E26WPSAJX0")</f>
        <v>CSTM_9E26WPSAJX0</v>
      </c>
      <c r="Q669" s="6"/>
      <c r="R669" s="6" t="str">
        <f ca="1">IFERROR(__xludf.DUMMYFUNCTION("""COMPUTED_VALUE"""),"Done. Good feedback.")</f>
        <v>Done. Good feedback.</v>
      </c>
      <c r="S669" s="6" t="str">
        <f ca="1">IFERROR(__xludf.DUMMYFUNCTION("""COMPUTED_VALUE"""),"SAFe")</f>
        <v>SAFe</v>
      </c>
      <c r="T669" s="6"/>
      <c r="U669" s="6"/>
      <c r="V669" s="6"/>
      <c r="W669" s="6"/>
      <c r="X669" s="6"/>
      <c r="Y669" s="6"/>
      <c r="Z669" s="6"/>
      <c r="AA669" s="6"/>
      <c r="AB669" s="6"/>
      <c r="AC669" s="6"/>
      <c r="AD669" s="6"/>
      <c r="AE669" s="6"/>
      <c r="AF669" s="6"/>
      <c r="AG669" s="6"/>
      <c r="AH669" s="6"/>
      <c r="AI669" s="6"/>
      <c r="AJ669" s="6"/>
      <c r="AK669" s="6"/>
      <c r="AL669" s="6"/>
    </row>
    <row r="670" spans="1:38">
      <c r="A670" s="96">
        <f ca="1">IFERROR(__xludf.DUMMYFUNCTION("""COMPUTED_VALUE"""),44490)</f>
        <v>44490</v>
      </c>
      <c r="B670" s="6" t="str">
        <f ca="1">IFERROR(__xludf.DUMMYFUNCTION("""COMPUTED_VALUE"""),"Ankita Middha")</f>
        <v>Ankita Middha</v>
      </c>
      <c r="C670" s="6" t="str">
        <f ca="1">IFERROR(__xludf.DUMMYFUNCTION("""COMPUTED_VALUE"""),"ankita.middha.am@gmail.com")</f>
        <v>ankita.middha.am@gmail.com</v>
      </c>
      <c r="D670" s="6">
        <f ca="1">IFERROR(__xludf.DUMMYFUNCTION("""COMPUTED_VALUE"""),9625500513)</f>
        <v>9625500513</v>
      </c>
      <c r="E670" s="6" t="str">
        <f ca="1">IFERROR(__xludf.DUMMYFUNCTION("""COMPUTED_VALUE"""),"chat_initiated")</f>
        <v>chat_initiated</v>
      </c>
      <c r="F670" s="6" t="str">
        <f ca="1">IFERROR(__xludf.DUMMYFUNCTION("""COMPUTED_VALUE"""),"PSM")</f>
        <v>PSM</v>
      </c>
      <c r="G670" s="80">
        <f ca="1">IFERROR(__xludf.DUMMYFUNCTION("""COMPUTED_VALUE"""),44470)</f>
        <v>44470</v>
      </c>
      <c r="H670" s="6" t="str">
        <f ca="1">IFERROR(__xludf.DUMMYFUNCTION("""COMPUTED_VALUE"""),"Won")</f>
        <v>Won</v>
      </c>
      <c r="I670" s="6" t="str">
        <f ca="1">IFERROR(__xludf.DUMMYFUNCTION("""COMPUTED_VALUE"""),"30-31 Oct 2021")</f>
        <v>30-31 Oct 2021</v>
      </c>
      <c r="J670" s="6">
        <f ca="1">IFERROR(__xludf.DUMMYFUNCTION("""COMPUTED_VALUE"""),1)</f>
        <v>1</v>
      </c>
      <c r="K670" s="8">
        <f ca="1">IFERROR(__xludf.DUMMYFUNCTION("""COMPUTED_VALUE"""),21000)</f>
        <v>21000</v>
      </c>
      <c r="L670" s="8">
        <f ca="1">IFERROR(__xludf.DUMMYFUNCTION("""COMPUTED_VALUE"""),240.494732020155)</f>
        <v>240.494732020155</v>
      </c>
      <c r="M670" s="96">
        <f ca="1">IFERROR(__xludf.DUMMYFUNCTION("""COMPUTED_VALUE"""),44490)</f>
        <v>44490</v>
      </c>
      <c r="N670" s="6" t="str">
        <f ca="1">IFERROR(__xludf.DUMMYFUNCTION("""COMPUTED_VALUE"""),"T10")</f>
        <v>T10</v>
      </c>
      <c r="O670" s="97">
        <f ca="1">IFERROR(__xludf.DUMMYFUNCTION("""COMPUTED_VALUE"""),44490)</f>
        <v>44490</v>
      </c>
      <c r="P670" s="6" t="str">
        <f ca="1">IFERROR(__xludf.DUMMYFUNCTION("""COMPUTED_VALUE"""),"CSTM_1EMH9K8WMWT")</f>
        <v>CSTM_1EMH9K8WMWT</v>
      </c>
      <c r="Q670" s="6"/>
      <c r="R670" s="6" t="str">
        <f ca="1">IFERROR(__xludf.DUMMYFUNCTION("""COMPUTED_VALUE"""),"Pending")</f>
        <v>Pending</v>
      </c>
      <c r="S670" s="6" t="str">
        <f ca="1">IFERROR(__xludf.DUMMYFUNCTION("""COMPUTED_VALUE"""),"Category")</f>
        <v>Category</v>
      </c>
      <c r="T670" s="6"/>
      <c r="U670" s="6"/>
      <c r="V670" s="6"/>
      <c r="W670" s="6"/>
      <c r="X670" s="6"/>
      <c r="Y670" s="6"/>
      <c r="Z670" s="6"/>
      <c r="AA670" s="6"/>
      <c r="AB670" s="6"/>
      <c r="AC670" s="6"/>
      <c r="AD670" s="6"/>
      <c r="AE670" s="6"/>
      <c r="AF670" s="6"/>
      <c r="AG670" s="6"/>
      <c r="AH670" s="6"/>
      <c r="AI670" s="6"/>
      <c r="AJ670" s="6"/>
      <c r="AK670" s="6"/>
      <c r="AL670" s="6"/>
    </row>
    <row r="671" spans="1:38">
      <c r="A671" s="96">
        <f ca="1">IFERROR(__xludf.DUMMYFUNCTION("""COMPUTED_VALUE"""),44490)</f>
        <v>44490</v>
      </c>
      <c r="B671" s="6" t="str">
        <f ca="1">IFERROR(__xludf.DUMMYFUNCTION("""COMPUTED_VALUE"""),"Avanija")</f>
        <v>Avanija</v>
      </c>
      <c r="C671" s="6" t="str">
        <f ca="1">IFERROR(__xludf.DUMMYFUNCTION("""COMPUTED_VALUE"""),"avanija.lm@gmail.com")</f>
        <v>avanija.lm@gmail.com</v>
      </c>
      <c r="D671" s="6">
        <f ca="1">IFERROR(__xludf.DUMMYFUNCTION("""COMPUTED_VALUE"""),8939673959)</f>
        <v>8939673959</v>
      </c>
      <c r="E671" s="6" t="str">
        <f ca="1">IFERROR(__xludf.DUMMYFUNCTION("""COMPUTED_VALUE"""),"Reference")</f>
        <v>Reference</v>
      </c>
      <c r="F671" s="6" t="str">
        <f ca="1">IFERROR(__xludf.DUMMYFUNCTION("""COMPUTED_VALUE"""),"PSM")</f>
        <v>PSM</v>
      </c>
      <c r="G671" s="80">
        <f ca="1">IFERROR(__xludf.DUMMYFUNCTION("""COMPUTED_VALUE"""),44470)</f>
        <v>44470</v>
      </c>
      <c r="H671" s="6" t="str">
        <f ca="1">IFERROR(__xludf.DUMMYFUNCTION("""COMPUTED_VALUE"""),"Won")</f>
        <v>Won</v>
      </c>
      <c r="I671" s="6" t="str">
        <f ca="1">IFERROR(__xludf.DUMMYFUNCTION("""COMPUTED_VALUE"""),"23-24 Oct 2021")</f>
        <v>23-24 Oct 2021</v>
      </c>
      <c r="J671" s="6">
        <f ca="1">IFERROR(__xludf.DUMMYFUNCTION("""COMPUTED_VALUE"""),1)</f>
        <v>1</v>
      </c>
      <c r="K671" s="8">
        <f ca="1">IFERROR(__xludf.DUMMYFUNCTION("""COMPUTED_VALUE"""),21000)</f>
        <v>21000</v>
      </c>
      <c r="L671" s="8">
        <f ca="1">IFERROR(__xludf.DUMMYFUNCTION("""COMPUTED_VALUE"""),240.494732020155)</f>
        <v>240.494732020155</v>
      </c>
      <c r="M671" s="96">
        <f ca="1">IFERROR(__xludf.DUMMYFUNCTION("""COMPUTED_VALUE"""),44490)</f>
        <v>44490</v>
      </c>
      <c r="N671" s="6" t="str">
        <f ca="1">IFERROR(__xludf.DUMMYFUNCTION("""COMPUTED_VALUE"""),"T10")</f>
        <v>T10</v>
      </c>
      <c r="O671" s="97">
        <f ca="1">IFERROR(__xludf.DUMMYFUNCTION("""COMPUTED_VALUE"""),44490)</f>
        <v>44490</v>
      </c>
      <c r="P671" s="6" t="str">
        <f ca="1">IFERROR(__xludf.DUMMYFUNCTION("""COMPUTED_VALUE"""),"CSTM_G7AOIA2EBWQ")</f>
        <v>CSTM_G7AOIA2EBWQ</v>
      </c>
      <c r="Q671" s="6" t="str">
        <f ca="1">IFERROR(__xludf.DUMMYFUNCTION("""COMPUTED_VALUE"""),"Reference by Mallika")</f>
        <v>Reference by Mallika</v>
      </c>
      <c r="R671" s="6" t="str">
        <f ca="1">IFERROR(__xludf.DUMMYFUNCTION("""COMPUTED_VALUE"""),"Done. Good feedback.")</f>
        <v>Done. Good feedback.</v>
      </c>
      <c r="S671" s="6" t="str">
        <f ca="1">IFERROR(__xludf.DUMMYFUNCTION("""COMPUTED_VALUE"""),"Category")</f>
        <v>Category</v>
      </c>
      <c r="T671" s="6"/>
      <c r="U671" s="6"/>
      <c r="V671" s="6"/>
      <c r="W671" s="6"/>
      <c r="X671" s="6"/>
      <c r="Y671" s="6"/>
      <c r="Z671" s="6"/>
      <c r="AA671" s="6"/>
      <c r="AB671" s="6"/>
      <c r="AC671" s="6"/>
      <c r="AD671" s="6"/>
      <c r="AE671" s="6"/>
      <c r="AF671" s="6"/>
      <c r="AG671" s="6"/>
      <c r="AH671" s="6"/>
      <c r="AI671" s="6"/>
      <c r="AJ671" s="6"/>
      <c r="AK671" s="6"/>
      <c r="AL671" s="6"/>
    </row>
    <row r="672" spans="1:38">
      <c r="A672" s="96">
        <f ca="1">IFERROR(__xludf.DUMMYFUNCTION("""COMPUTED_VALUE"""),44490)</f>
        <v>44490</v>
      </c>
      <c r="B672" s="6" t="str">
        <f ca="1">IFERROR(__xludf.DUMMYFUNCTION("""COMPUTED_VALUE"""),"Satish")</f>
        <v>Satish</v>
      </c>
      <c r="C672" s="6" t="str">
        <f ca="1">IFERROR(__xludf.DUMMYFUNCTION("""COMPUTED_VALUE"""),"prsatish06@gmail.com")</f>
        <v>prsatish06@gmail.com</v>
      </c>
      <c r="D672" s="6">
        <f ca="1">IFERROR(__xludf.DUMMYFUNCTION("""COMPUTED_VALUE"""),9884907988)</f>
        <v>9884907988</v>
      </c>
      <c r="E672" s="6" t="str">
        <f ca="1">IFERROR(__xludf.DUMMYFUNCTION("""COMPUTED_VALUE"""),"Chat_triggered")</f>
        <v>Chat_triggered</v>
      </c>
      <c r="F672" s="6" t="str">
        <f ca="1">IFERROR(__xludf.DUMMYFUNCTION("""COMPUTED_VALUE"""),"CSM")</f>
        <v>CSM</v>
      </c>
      <c r="G672" s="80">
        <f ca="1">IFERROR(__xludf.DUMMYFUNCTION("""COMPUTED_VALUE"""),44470)</f>
        <v>44470</v>
      </c>
      <c r="H672" s="6" t="str">
        <f ca="1">IFERROR(__xludf.DUMMYFUNCTION("""COMPUTED_VALUE"""),"Won")</f>
        <v>Won</v>
      </c>
      <c r="I672" s="6" t="str">
        <f ca="1">IFERROR(__xludf.DUMMYFUNCTION("""COMPUTED_VALUE"""),"28-29 Oct 2021")</f>
        <v>28-29 Oct 2021</v>
      </c>
      <c r="J672" s="6">
        <f ca="1">IFERROR(__xludf.DUMMYFUNCTION("""COMPUTED_VALUE"""),1)</f>
        <v>1</v>
      </c>
      <c r="K672" s="8">
        <f ca="1">IFERROR(__xludf.DUMMYFUNCTION("""COMPUTED_VALUE"""),19000)</f>
        <v>19000</v>
      </c>
      <c r="L672" s="8">
        <f ca="1">IFERROR(__xludf.DUMMYFUNCTION("""COMPUTED_VALUE"""),217.590471827759)</f>
        <v>217.59047182775899</v>
      </c>
      <c r="M672" s="96">
        <f ca="1">IFERROR(__xludf.DUMMYFUNCTION("""COMPUTED_VALUE"""),44490)</f>
        <v>44490</v>
      </c>
      <c r="N672" s="6" t="str">
        <f ca="1">IFERROR(__xludf.DUMMYFUNCTION("""COMPUTED_VALUE"""),"T10")</f>
        <v>T10</v>
      </c>
      <c r="O672" s="97">
        <f ca="1">IFERROR(__xludf.DUMMYFUNCTION("""COMPUTED_VALUE"""),44490)</f>
        <v>44490</v>
      </c>
      <c r="P672" s="6" t="str">
        <f ca="1">IFERROR(__xludf.DUMMYFUNCTION("""COMPUTED_VALUE"""),"CSTM_FJJYYYW4WJ1")</f>
        <v>CSTM_FJJYYYW4WJ1</v>
      </c>
      <c r="Q672" s="6"/>
      <c r="R672" s="6" t="str">
        <f ca="1">IFERROR(__xludf.DUMMYFUNCTION("""COMPUTED_VALUE"""),"Pending")</f>
        <v>Pending</v>
      </c>
      <c r="S672" s="6" t="str">
        <f ca="1">IFERROR(__xludf.DUMMYFUNCTION("""COMPUTED_VALUE"""),"Category")</f>
        <v>Category</v>
      </c>
      <c r="T672" s="6"/>
      <c r="U672" s="6"/>
      <c r="V672" s="6"/>
      <c r="W672" s="6"/>
      <c r="X672" s="6"/>
      <c r="Y672" s="6"/>
      <c r="Z672" s="6"/>
      <c r="AA672" s="6"/>
      <c r="AB672" s="6"/>
      <c r="AC672" s="6"/>
      <c r="AD672" s="6"/>
      <c r="AE672" s="6"/>
      <c r="AF672" s="6"/>
      <c r="AG672" s="6"/>
      <c r="AH672" s="6"/>
      <c r="AI672" s="6"/>
      <c r="AJ672" s="6"/>
      <c r="AK672" s="6"/>
      <c r="AL672" s="6"/>
    </row>
    <row r="673" spans="1:38">
      <c r="A673" s="96">
        <f ca="1">IFERROR(__xludf.DUMMYFUNCTION("""COMPUTED_VALUE"""),44491)</f>
        <v>44491</v>
      </c>
      <c r="B673" s="6" t="str">
        <f ca="1">IFERROR(__xludf.DUMMYFUNCTION("""COMPUTED_VALUE"""),"Shivanee Salvi")</f>
        <v>Shivanee Salvi</v>
      </c>
      <c r="C673" s="6" t="str">
        <f ca="1">IFERROR(__xludf.DUMMYFUNCTION("""COMPUTED_VALUE"""),"shivanee.salvi@neptune-ubi.com ")</f>
        <v xml:space="preserve">shivanee.salvi@neptune-ubi.com </v>
      </c>
      <c r="D673" s="6">
        <f ca="1">IFERROR(__xludf.DUMMYFUNCTION("""COMPUTED_VALUE"""),8779493115)</f>
        <v>8779493115</v>
      </c>
      <c r="E673" s="6" t="str">
        <f ca="1">IFERROR(__xludf.DUMMYFUNCTION("""COMPUTED_VALUE"""),"course agenda")</f>
        <v>course agenda</v>
      </c>
      <c r="F673" s="6" t="str">
        <f ca="1">IFERROR(__xludf.DUMMYFUNCTION("""COMPUTED_VALUE"""),"PSM")</f>
        <v>PSM</v>
      </c>
      <c r="G673" s="80">
        <f ca="1">IFERROR(__xludf.DUMMYFUNCTION("""COMPUTED_VALUE"""),44470)</f>
        <v>44470</v>
      </c>
      <c r="H673" s="6" t="str">
        <f ca="1">IFERROR(__xludf.DUMMYFUNCTION("""COMPUTED_VALUE"""),"Won")</f>
        <v>Won</v>
      </c>
      <c r="I673" s="6" t="str">
        <f ca="1">IFERROR(__xludf.DUMMYFUNCTION("""COMPUTED_VALUE"""),"26-27 Oct 2021")</f>
        <v>26-27 Oct 2021</v>
      </c>
      <c r="J673" s="6">
        <f ca="1">IFERROR(__xludf.DUMMYFUNCTION("""COMPUTED_VALUE"""),1)</f>
        <v>1</v>
      </c>
      <c r="K673" s="8">
        <f ca="1">IFERROR(__xludf.DUMMYFUNCTION("""COMPUTED_VALUE"""),113280)</f>
        <v>113280</v>
      </c>
      <c r="L673" s="8">
        <f ca="1">IFERROR(__xludf.DUMMYFUNCTION("""COMPUTED_VALUE"""),1297.29729729729)</f>
        <v>1297.29729729729</v>
      </c>
      <c r="M673" s="96">
        <f ca="1">IFERROR(__xludf.DUMMYFUNCTION("""COMPUTED_VALUE"""),44491)</f>
        <v>44491</v>
      </c>
      <c r="N673" s="6" t="str">
        <f ca="1">IFERROR(__xludf.DUMMYFUNCTION("""COMPUTED_VALUE"""),"T10")</f>
        <v>T10</v>
      </c>
      <c r="O673" s="97">
        <f ca="1">IFERROR(__xludf.DUMMYFUNCTION("""COMPUTED_VALUE"""),44491)</f>
        <v>44491</v>
      </c>
      <c r="P673" s="6" t="str">
        <f ca="1">IFERROR(__xludf.DUMMYFUNCTION("""COMPUTED_VALUE"""),"00062287_01")</f>
        <v>00062287_01</v>
      </c>
      <c r="Q673" s="6"/>
      <c r="R673" s="6" t="str">
        <f ca="1">IFERROR(__xludf.DUMMYFUNCTION("""COMPUTED_VALUE"""),"Pending")</f>
        <v>Pending</v>
      </c>
      <c r="S673" s="6" t="str">
        <f ca="1">IFERROR(__xludf.DUMMYFUNCTION("""COMPUTED_VALUE"""),"Category")</f>
        <v>Category</v>
      </c>
      <c r="T673" s="6"/>
      <c r="U673" s="6"/>
      <c r="V673" s="6"/>
      <c r="W673" s="6"/>
      <c r="X673" s="6"/>
      <c r="Y673" s="6"/>
      <c r="Z673" s="6"/>
      <c r="AA673" s="6"/>
      <c r="AB673" s="6"/>
      <c r="AC673" s="6"/>
      <c r="AD673" s="6"/>
      <c r="AE673" s="6"/>
      <c r="AF673" s="6"/>
      <c r="AG673" s="6"/>
      <c r="AH673" s="6"/>
      <c r="AI673" s="6"/>
      <c r="AJ673" s="6"/>
      <c r="AK673" s="6"/>
      <c r="AL673" s="6"/>
    </row>
    <row r="674" spans="1:38">
      <c r="A674" s="96">
        <f ca="1">IFERROR(__xludf.DUMMYFUNCTION("""COMPUTED_VALUE"""),44494)</f>
        <v>44494</v>
      </c>
      <c r="B674" s="6" t="str">
        <f ca="1">IFERROR(__xludf.DUMMYFUNCTION("""COMPUTED_VALUE"""),"Neha Pathak")</f>
        <v>Neha Pathak</v>
      </c>
      <c r="C674" s="6" t="str">
        <f ca="1">IFERROR(__xludf.DUMMYFUNCTION("""COMPUTED_VALUE"""),"pathakneha84@gmail.com")</f>
        <v>pathakneha84@gmail.com</v>
      </c>
      <c r="D674" s="6">
        <f ca="1">IFERROR(__xludf.DUMMYFUNCTION("""COMPUTED_VALUE"""),9665741114)</f>
        <v>9665741114</v>
      </c>
      <c r="E674" s="6" t="str">
        <f ca="1">IFERROR(__xludf.DUMMYFUNCTION("""COMPUTED_VALUE"""),"Account Repeat")</f>
        <v>Account Repeat</v>
      </c>
      <c r="F674" s="6" t="str">
        <f ca="1">IFERROR(__xludf.DUMMYFUNCTION("""COMPUTED_VALUE"""),"CSPO")</f>
        <v>CSPO</v>
      </c>
      <c r="G674" s="80">
        <f ca="1">IFERROR(__xludf.DUMMYFUNCTION("""COMPUTED_VALUE"""),44470)</f>
        <v>44470</v>
      </c>
      <c r="H674" s="6" t="str">
        <f ca="1">IFERROR(__xludf.DUMMYFUNCTION("""COMPUTED_VALUE"""),"Won")</f>
        <v>Won</v>
      </c>
      <c r="I674" s="6" t="str">
        <f ca="1">IFERROR(__xludf.DUMMYFUNCTION("""COMPUTED_VALUE"""),"2-3 Nov 2021")</f>
        <v>2-3 Nov 2021</v>
      </c>
      <c r="J674" s="6">
        <f ca="1">IFERROR(__xludf.DUMMYFUNCTION("""COMPUTED_VALUE"""),1)</f>
        <v>1</v>
      </c>
      <c r="K674" s="8">
        <f ca="1">IFERROR(__xludf.DUMMYFUNCTION("""COMPUTED_VALUE"""),20000)</f>
        <v>20000</v>
      </c>
      <c r="L674" s="8">
        <f ca="1">IFERROR(__xludf.DUMMYFUNCTION("""COMPUTED_VALUE"""),229.042601923957)</f>
        <v>229.04260192395699</v>
      </c>
      <c r="M674" s="96">
        <f ca="1">IFERROR(__xludf.DUMMYFUNCTION("""COMPUTED_VALUE"""),44494)</f>
        <v>44494</v>
      </c>
      <c r="N674" s="6" t="str">
        <f ca="1">IFERROR(__xludf.DUMMYFUNCTION("""COMPUTED_VALUE"""),"T10")</f>
        <v>T10</v>
      </c>
      <c r="O674" s="97">
        <f ca="1">IFERROR(__xludf.DUMMYFUNCTION("""COMPUTED_VALUE"""),44494)</f>
        <v>44494</v>
      </c>
      <c r="P674" s="6" t="str">
        <f ca="1">IFERROR(__xludf.DUMMYFUNCTION("""COMPUTED_VALUE"""),"CSTM_HNPHO2Q5PS")</f>
        <v>CSTM_HNPHO2Q5PS</v>
      </c>
      <c r="Q674" s="6"/>
      <c r="R674" s="6" t="str">
        <f ca="1">IFERROR(__xludf.DUMMYFUNCTION("""COMPUTED_VALUE"""),"Pending")</f>
        <v>Pending</v>
      </c>
      <c r="S674" s="6" t="str">
        <f ca="1">IFERROR(__xludf.DUMMYFUNCTION("""COMPUTED_VALUE"""),"Category")</f>
        <v>Category</v>
      </c>
      <c r="T674" s="6"/>
      <c r="U674" s="6"/>
      <c r="V674" s="6"/>
      <c r="W674" s="6"/>
      <c r="X674" s="6"/>
      <c r="Y674" s="6"/>
      <c r="Z674" s="6"/>
      <c r="AA674" s="6"/>
      <c r="AB674" s="6"/>
      <c r="AC674" s="6"/>
      <c r="AD674" s="6"/>
      <c r="AE674" s="6"/>
      <c r="AF674" s="6"/>
      <c r="AG674" s="6"/>
      <c r="AH674" s="6"/>
      <c r="AI674" s="6"/>
      <c r="AJ674" s="6"/>
      <c r="AK674" s="6"/>
      <c r="AL674" s="6"/>
    </row>
    <row r="675" spans="1:38">
      <c r="A675" s="96">
        <f ca="1">IFERROR(__xludf.DUMMYFUNCTION("""COMPUTED_VALUE"""),44494)</f>
        <v>44494</v>
      </c>
      <c r="B675" s="6" t="str">
        <f ca="1">IFERROR(__xludf.DUMMYFUNCTION("""COMPUTED_VALUE"""),"Grishma Shana")</f>
        <v>Grishma Shana</v>
      </c>
      <c r="C675" s="6" t="str">
        <f ca="1">IFERROR(__xludf.DUMMYFUNCTION("""COMPUTED_VALUE"""),"grishma.shaha@kohler.com")</f>
        <v>grishma.shaha@kohler.com</v>
      </c>
      <c r="D675" s="6">
        <f ca="1">IFERROR(__xludf.DUMMYFUNCTION("""COMPUTED_VALUE"""),8007577899)</f>
        <v>8007577899</v>
      </c>
      <c r="E675" s="6" t="str">
        <f ca="1">IFERROR(__xludf.DUMMYFUNCTION("""COMPUTED_VALUE"""),"course agenda")</f>
        <v>course agenda</v>
      </c>
      <c r="F675" s="6" t="str">
        <f ca="1">IFERROR(__xludf.DUMMYFUNCTION("""COMPUTED_VALUE"""),"PSM")</f>
        <v>PSM</v>
      </c>
      <c r="G675" s="80">
        <f ca="1">IFERROR(__xludf.DUMMYFUNCTION("""COMPUTED_VALUE"""),44470)</f>
        <v>44470</v>
      </c>
      <c r="H675" s="6" t="str">
        <f ca="1">IFERROR(__xludf.DUMMYFUNCTION("""COMPUTED_VALUE"""),"Won")</f>
        <v>Won</v>
      </c>
      <c r="I675" s="6" t="str">
        <f ca="1">IFERROR(__xludf.DUMMYFUNCTION("""COMPUTED_VALUE"""),"30-31 Oct 2021")</f>
        <v>30-31 Oct 2021</v>
      </c>
      <c r="J675" s="6">
        <f ca="1">IFERROR(__xludf.DUMMYFUNCTION("""COMPUTED_VALUE"""),1)</f>
        <v>1</v>
      </c>
      <c r="K675" s="8">
        <f ca="1">IFERROR(__xludf.DUMMYFUNCTION("""COMPUTED_VALUE"""),21000)</f>
        <v>21000</v>
      </c>
      <c r="L675" s="8">
        <f ca="1">IFERROR(__xludf.DUMMYFUNCTION("""COMPUTED_VALUE"""),240.494732020155)</f>
        <v>240.494732020155</v>
      </c>
      <c r="M675" s="96">
        <f ca="1">IFERROR(__xludf.DUMMYFUNCTION("""COMPUTED_VALUE"""),44494)</f>
        <v>44494</v>
      </c>
      <c r="N675" s="6" t="str">
        <f ca="1">IFERROR(__xludf.DUMMYFUNCTION("""COMPUTED_VALUE"""),"T10")</f>
        <v>T10</v>
      </c>
      <c r="O675" s="97">
        <f ca="1">IFERROR(__xludf.DUMMYFUNCTION("""COMPUTED_VALUE"""),44494)</f>
        <v>44494</v>
      </c>
      <c r="P675" s="6" t="str">
        <f ca="1">IFERROR(__xludf.DUMMYFUNCTION("""COMPUTED_VALUE"""),"CSTM_DKZ87K6A801")</f>
        <v>CSTM_DKZ87K6A801</v>
      </c>
      <c r="Q675" s="6"/>
      <c r="R675" s="6" t="str">
        <f ca="1">IFERROR(__xludf.DUMMYFUNCTION("""COMPUTED_VALUE"""),"Done. Good feedback.")</f>
        <v>Done. Good feedback.</v>
      </c>
      <c r="S675" s="6" t="str">
        <f ca="1">IFERROR(__xludf.DUMMYFUNCTION("""COMPUTED_VALUE"""),"Category")</f>
        <v>Category</v>
      </c>
      <c r="T675" s="6"/>
      <c r="U675" s="6"/>
      <c r="V675" s="6"/>
      <c r="W675" s="6"/>
      <c r="X675" s="6"/>
      <c r="Y675" s="6"/>
      <c r="Z675" s="6"/>
      <c r="AA675" s="6"/>
      <c r="AB675" s="6"/>
      <c r="AC675" s="6"/>
      <c r="AD675" s="6"/>
      <c r="AE675" s="6"/>
      <c r="AF675" s="6"/>
      <c r="AG675" s="6"/>
      <c r="AH675" s="6"/>
      <c r="AI675" s="6"/>
      <c r="AJ675" s="6"/>
      <c r="AK675" s="6"/>
      <c r="AL675" s="6"/>
    </row>
    <row r="676" spans="1:38">
      <c r="A676" s="96">
        <f ca="1">IFERROR(__xludf.DUMMYFUNCTION("""COMPUTED_VALUE"""),44494)</f>
        <v>44494</v>
      </c>
      <c r="B676" s="6" t="str">
        <f ca="1">IFERROR(__xludf.DUMMYFUNCTION("""COMPUTED_VALUE"""),"Tanu Narayan")</f>
        <v>Tanu Narayan</v>
      </c>
      <c r="C676" s="6" t="str">
        <f ca="1">IFERROR(__xludf.DUMMYFUNCTION("""COMPUTED_VALUE"""),"tanu.narayan@gmail.com")</f>
        <v>tanu.narayan@gmail.com</v>
      </c>
      <c r="D676" s="6">
        <f ca="1">IFERROR(__xludf.DUMMYFUNCTION("""COMPUTED_VALUE"""),9960381201)</f>
        <v>9960381201</v>
      </c>
      <c r="E676" s="6" t="str">
        <f ca="1">IFERROR(__xludf.DUMMYFUNCTION("""COMPUTED_VALUE"""),"Reference")</f>
        <v>Reference</v>
      </c>
      <c r="F676" s="6" t="str">
        <f ca="1">IFERROR(__xludf.DUMMYFUNCTION("""COMPUTED_VALUE"""),"PSM")</f>
        <v>PSM</v>
      </c>
      <c r="G676" s="80">
        <f ca="1">IFERROR(__xludf.DUMMYFUNCTION("""COMPUTED_VALUE"""),44470)</f>
        <v>44470</v>
      </c>
      <c r="H676" s="6" t="str">
        <f ca="1">IFERROR(__xludf.DUMMYFUNCTION("""COMPUTED_VALUE"""),"Won")</f>
        <v>Won</v>
      </c>
      <c r="I676" s="6" t="str">
        <f ca="1">IFERROR(__xludf.DUMMYFUNCTION("""COMPUTED_VALUE"""),"30-31 Oct 2021")</f>
        <v>30-31 Oct 2021</v>
      </c>
      <c r="J676" s="6">
        <f ca="1">IFERROR(__xludf.DUMMYFUNCTION("""COMPUTED_VALUE"""),1)</f>
        <v>1</v>
      </c>
      <c r="K676" s="8">
        <f ca="1">IFERROR(__xludf.DUMMYFUNCTION("""COMPUTED_VALUE"""),21000)</f>
        <v>21000</v>
      </c>
      <c r="L676" s="8">
        <f ca="1">IFERROR(__xludf.DUMMYFUNCTION("""COMPUTED_VALUE"""),240.494732020155)</f>
        <v>240.494732020155</v>
      </c>
      <c r="M676" s="96">
        <f ca="1">IFERROR(__xludf.DUMMYFUNCTION("""COMPUTED_VALUE"""),44494)</f>
        <v>44494</v>
      </c>
      <c r="N676" s="6" t="str">
        <f ca="1">IFERROR(__xludf.DUMMYFUNCTION("""COMPUTED_VALUE"""),"T10")</f>
        <v>T10</v>
      </c>
      <c r="O676" s="97">
        <f ca="1">IFERROR(__xludf.DUMMYFUNCTION("""COMPUTED_VALUE"""),44494)</f>
        <v>44494</v>
      </c>
      <c r="P676" s="6" t="str">
        <f ca="1">IFERROR(__xludf.DUMMYFUNCTION("""COMPUTED_VALUE"""),"CSTM_1V7KG1N32EZ")</f>
        <v>CSTM_1V7KG1N32EZ</v>
      </c>
      <c r="Q676" s="6" t="str">
        <f ca="1">IFERROR(__xludf.DUMMYFUNCTION("""COMPUTED_VALUE"""),"Reference by Tejaswini Lalge")</f>
        <v>Reference by Tejaswini Lalge</v>
      </c>
      <c r="R676" s="6" t="str">
        <f ca="1">IFERROR(__xludf.DUMMYFUNCTION("""COMPUTED_VALUE"""),"Done. Good feedback.")</f>
        <v>Done. Good feedback.</v>
      </c>
      <c r="S676" s="6" t="str">
        <f ca="1">IFERROR(__xludf.DUMMYFUNCTION("""COMPUTED_VALUE"""),"Category")</f>
        <v>Category</v>
      </c>
      <c r="T676" s="6"/>
      <c r="U676" s="6"/>
      <c r="V676" s="6"/>
      <c r="W676" s="6"/>
      <c r="X676" s="6"/>
      <c r="Y676" s="6"/>
      <c r="Z676" s="6"/>
      <c r="AA676" s="6"/>
      <c r="AB676" s="6"/>
      <c r="AC676" s="6"/>
      <c r="AD676" s="6"/>
      <c r="AE676" s="6"/>
      <c r="AF676" s="6"/>
      <c r="AG676" s="6"/>
      <c r="AH676" s="6"/>
      <c r="AI676" s="6"/>
      <c r="AJ676" s="6"/>
      <c r="AK676" s="6"/>
      <c r="AL676" s="6"/>
    </row>
    <row r="677" spans="1:38">
      <c r="A677" s="96">
        <f ca="1">IFERROR(__xludf.DUMMYFUNCTION("""COMPUTED_VALUE"""),44495)</f>
        <v>44495</v>
      </c>
      <c r="B677" s="6" t="str">
        <f ca="1">IFERROR(__xludf.DUMMYFUNCTION("""COMPUTED_VALUE"""),"Debaleena")</f>
        <v>Debaleena</v>
      </c>
      <c r="C677" s="6" t="str">
        <f ca="1">IFERROR(__xludf.DUMMYFUNCTION("""COMPUTED_VALUE"""),"debaleena03@gmail.com")</f>
        <v>debaleena03@gmail.com</v>
      </c>
      <c r="D677" s="6">
        <f ca="1">IFERROR(__xludf.DUMMYFUNCTION("""COMPUTED_VALUE"""),9007034940)</f>
        <v>9007034940</v>
      </c>
      <c r="E677" s="6" t="str">
        <f ca="1">IFERROR(__xludf.DUMMYFUNCTION("""COMPUTED_VALUE"""),"Account Repeat")</f>
        <v>Account Repeat</v>
      </c>
      <c r="F677" s="6" t="str">
        <f ca="1">IFERROR(__xludf.DUMMYFUNCTION("""COMPUTED_VALUE"""),"PSM")</f>
        <v>PSM</v>
      </c>
      <c r="G677" s="80">
        <f ca="1">IFERROR(__xludf.DUMMYFUNCTION("""COMPUTED_VALUE"""),44470)</f>
        <v>44470</v>
      </c>
      <c r="H677" s="6" t="str">
        <f ca="1">IFERROR(__xludf.DUMMYFUNCTION("""COMPUTED_VALUE"""),"Won")</f>
        <v>Won</v>
      </c>
      <c r="I677" s="6" t="str">
        <f ca="1">IFERROR(__xludf.DUMMYFUNCTION("""COMPUTED_VALUE"""),"30-31 Oct 2021")</f>
        <v>30-31 Oct 2021</v>
      </c>
      <c r="J677" s="6">
        <f ca="1">IFERROR(__xludf.DUMMYFUNCTION("""COMPUTED_VALUE"""),1)</f>
        <v>1</v>
      </c>
      <c r="K677" s="8">
        <f ca="1">IFERROR(__xludf.DUMMYFUNCTION("""COMPUTED_VALUE"""),20500)</f>
        <v>20500</v>
      </c>
      <c r="L677" s="8">
        <f ca="1">IFERROR(__xludf.DUMMYFUNCTION("""COMPUTED_VALUE"""),234.768666972056)</f>
        <v>234.768666972056</v>
      </c>
      <c r="M677" s="96">
        <f ca="1">IFERROR(__xludf.DUMMYFUNCTION("""COMPUTED_VALUE"""),44495)</f>
        <v>44495</v>
      </c>
      <c r="N677" s="6" t="str">
        <f ca="1">IFERROR(__xludf.DUMMYFUNCTION("""COMPUTED_VALUE"""),"T10")</f>
        <v>T10</v>
      </c>
      <c r="O677" s="97">
        <f ca="1">IFERROR(__xludf.DUMMYFUNCTION("""COMPUTED_VALUE"""),44495)</f>
        <v>44495</v>
      </c>
      <c r="P677" s="6" t="str">
        <f ca="1">IFERROR(__xludf.DUMMYFUNCTION("""COMPUTED_VALUE"""),"CSTM_4MT7RSQFZU1")</f>
        <v>CSTM_4MT7RSQFZU1</v>
      </c>
      <c r="Q677" s="6"/>
      <c r="R677" s="6" t="str">
        <f ca="1">IFERROR(__xludf.DUMMYFUNCTION("""COMPUTED_VALUE"""),"Done. Good feedback.")</f>
        <v>Done. Good feedback.</v>
      </c>
      <c r="S677" s="6" t="str">
        <f ca="1">IFERROR(__xludf.DUMMYFUNCTION("""COMPUTED_VALUE"""),"Category")</f>
        <v>Category</v>
      </c>
      <c r="T677" s="6"/>
      <c r="U677" s="6"/>
      <c r="V677" s="6"/>
      <c r="W677" s="6"/>
      <c r="X677" s="6"/>
      <c r="Y677" s="6"/>
      <c r="Z677" s="6"/>
      <c r="AA677" s="6"/>
      <c r="AB677" s="6"/>
      <c r="AC677" s="6"/>
      <c r="AD677" s="6"/>
      <c r="AE677" s="6"/>
      <c r="AF677" s="6"/>
      <c r="AG677" s="6"/>
      <c r="AH677" s="6"/>
      <c r="AI677" s="6"/>
      <c r="AJ677" s="6"/>
      <c r="AK677" s="6"/>
      <c r="AL677" s="6"/>
    </row>
    <row r="678" spans="1:38">
      <c r="A678" s="96">
        <f ca="1">IFERROR(__xludf.DUMMYFUNCTION("""COMPUTED_VALUE"""),44495)</f>
        <v>44495</v>
      </c>
      <c r="B678" s="6" t="str">
        <f ca="1">IFERROR(__xludf.DUMMYFUNCTION("""COMPUTED_VALUE"""),"Niranjan")</f>
        <v>Niranjan</v>
      </c>
      <c r="C678" s="6" t="str">
        <f ca="1">IFERROR(__xludf.DUMMYFUNCTION("""COMPUTED_VALUE"""),"niranjan600@yahoo.co.in")</f>
        <v>niranjan600@yahoo.co.in</v>
      </c>
      <c r="D678" s="6">
        <f ca="1">IFERROR(__xludf.DUMMYFUNCTION("""COMPUTED_VALUE"""),9065062265)</f>
        <v>9065062265</v>
      </c>
      <c r="E678" s="6" t="str">
        <f ca="1">IFERROR(__xludf.DUMMYFUNCTION("""COMPUTED_VALUE"""),"Reference")</f>
        <v>Reference</v>
      </c>
      <c r="F678" s="6" t="str">
        <f ca="1">IFERROR(__xludf.DUMMYFUNCTION("""COMPUTED_VALUE"""),"CSPO")</f>
        <v>CSPO</v>
      </c>
      <c r="G678" s="80">
        <f ca="1">IFERROR(__xludf.DUMMYFUNCTION("""COMPUTED_VALUE"""),44470)</f>
        <v>44470</v>
      </c>
      <c r="H678" s="6" t="str">
        <f ca="1">IFERROR(__xludf.DUMMYFUNCTION("""COMPUTED_VALUE"""),"Won")</f>
        <v>Won</v>
      </c>
      <c r="I678" s="6" t="str">
        <f ca="1">IFERROR(__xludf.DUMMYFUNCTION("""COMPUTED_VALUE"""),"17-18 Nov 2021")</f>
        <v>17-18 Nov 2021</v>
      </c>
      <c r="J678" s="6">
        <f ca="1">IFERROR(__xludf.DUMMYFUNCTION("""COMPUTED_VALUE"""),1)</f>
        <v>1</v>
      </c>
      <c r="K678" s="8">
        <f ca="1">IFERROR(__xludf.DUMMYFUNCTION("""COMPUTED_VALUE"""),22000)</f>
        <v>22000</v>
      </c>
      <c r="L678" s="8">
        <f ca="1">IFERROR(__xludf.DUMMYFUNCTION("""COMPUTED_VALUE"""),251.946862116353)</f>
        <v>251.946862116353</v>
      </c>
      <c r="M678" s="96">
        <f ca="1">IFERROR(__xludf.DUMMYFUNCTION("""COMPUTED_VALUE"""),44495)</f>
        <v>44495</v>
      </c>
      <c r="N678" s="6" t="str">
        <f ca="1">IFERROR(__xludf.DUMMYFUNCTION("""COMPUTED_VALUE"""),"T10")</f>
        <v>T10</v>
      </c>
      <c r="O678" s="97">
        <f ca="1">IFERROR(__xludf.DUMMYFUNCTION("""COMPUTED_VALUE"""),44495)</f>
        <v>44495</v>
      </c>
      <c r="P678" s="6" t="str">
        <f ca="1">IFERROR(__xludf.DUMMYFUNCTION("""COMPUTED_VALUE"""),"CSTM_3NV4D0KAAMW")</f>
        <v>CSTM_3NV4D0KAAMW</v>
      </c>
      <c r="Q678" s="6" t="str">
        <f ca="1">IFERROR(__xludf.DUMMYFUNCTION("""COMPUTED_VALUE"""),"sunilsnair777@gmail.com")</f>
        <v>sunilsnair777@gmail.com</v>
      </c>
      <c r="R678" s="6" t="str">
        <f ca="1">IFERROR(__xludf.DUMMYFUNCTION("""COMPUTED_VALUE"""),"Pending")</f>
        <v>Pending</v>
      </c>
      <c r="S678" s="6" t="str">
        <f ca="1">IFERROR(__xludf.DUMMYFUNCTION("""COMPUTED_VALUE"""),"Category")</f>
        <v>Category</v>
      </c>
      <c r="T678" s="6"/>
      <c r="U678" s="6"/>
      <c r="V678" s="6"/>
      <c r="W678" s="6"/>
      <c r="X678" s="6"/>
      <c r="Y678" s="6"/>
      <c r="Z678" s="6"/>
      <c r="AA678" s="6"/>
      <c r="AB678" s="6"/>
      <c r="AC678" s="6"/>
      <c r="AD678" s="6"/>
      <c r="AE678" s="6"/>
      <c r="AF678" s="6"/>
      <c r="AG678" s="6"/>
      <c r="AH678" s="6"/>
      <c r="AI678" s="6"/>
      <c r="AJ678" s="6"/>
      <c r="AK678" s="6"/>
      <c r="AL678" s="6"/>
    </row>
    <row r="679" spans="1:38">
      <c r="A679" s="96">
        <f ca="1">IFERROR(__xludf.DUMMYFUNCTION("""COMPUTED_VALUE"""),44495)</f>
        <v>44495</v>
      </c>
      <c r="B679" s="6" t="str">
        <f ca="1">IFERROR(__xludf.DUMMYFUNCTION("""COMPUTED_VALUE"""),"Shivangi Rohilla")</f>
        <v>Shivangi Rohilla</v>
      </c>
      <c r="C679" s="6" t="str">
        <f ca="1">IFERROR(__xludf.DUMMYFUNCTION("""COMPUTED_VALUE"""),"shivarohila2@gmail.com")</f>
        <v>shivarohila2@gmail.com</v>
      </c>
      <c r="D679" s="6">
        <f ca="1">IFERROR(__xludf.DUMMYFUNCTION("""COMPUTED_VALUE"""),8586051174)</f>
        <v>8586051174</v>
      </c>
      <c r="E679" s="6" t="str">
        <f ca="1">IFERROR(__xludf.DUMMYFUNCTION("""COMPUTED_VALUE"""),"Reference")</f>
        <v>Reference</v>
      </c>
      <c r="F679" s="6" t="str">
        <f ca="1">IFERROR(__xludf.DUMMYFUNCTION("""COMPUTED_VALUE"""),"CSPO")</f>
        <v>CSPO</v>
      </c>
      <c r="G679" s="80">
        <f ca="1">IFERROR(__xludf.DUMMYFUNCTION("""COMPUTED_VALUE"""),44470)</f>
        <v>44470</v>
      </c>
      <c r="H679" s="6" t="str">
        <f ca="1">IFERROR(__xludf.DUMMYFUNCTION("""COMPUTED_VALUE"""),"Won")</f>
        <v>Won</v>
      </c>
      <c r="I679" s="6" t="str">
        <f ca="1">IFERROR(__xludf.DUMMYFUNCTION("""COMPUTED_VALUE"""),"17-18 Nov 2021")</f>
        <v>17-18 Nov 2021</v>
      </c>
      <c r="J679" s="6">
        <f ca="1">IFERROR(__xludf.DUMMYFUNCTION("""COMPUTED_VALUE"""),1)</f>
        <v>1</v>
      </c>
      <c r="K679" s="8">
        <f ca="1">IFERROR(__xludf.DUMMYFUNCTION("""COMPUTED_VALUE"""),22000)</f>
        <v>22000</v>
      </c>
      <c r="L679" s="8">
        <f ca="1">IFERROR(__xludf.DUMMYFUNCTION("""COMPUTED_VALUE"""),251.946862116353)</f>
        <v>251.946862116353</v>
      </c>
      <c r="M679" s="96">
        <f ca="1">IFERROR(__xludf.DUMMYFUNCTION("""COMPUTED_VALUE"""),44495)</f>
        <v>44495</v>
      </c>
      <c r="N679" s="6" t="str">
        <f ca="1">IFERROR(__xludf.DUMMYFUNCTION("""COMPUTED_VALUE"""),"T10")</f>
        <v>T10</v>
      </c>
      <c r="O679" s="97">
        <f ca="1">IFERROR(__xludf.DUMMYFUNCTION("""COMPUTED_VALUE"""),44495)</f>
        <v>44495</v>
      </c>
      <c r="P679" s="6" t="str">
        <f ca="1">IFERROR(__xludf.DUMMYFUNCTION("""COMPUTED_VALUE"""),"CSTM_7WD25Q0UHPM")</f>
        <v>CSTM_7WD25Q0UHPM</v>
      </c>
      <c r="Q679" s="6" t="str">
        <f ca="1">IFERROR(__xludf.DUMMYFUNCTION("""COMPUTED_VALUE"""),"sunilsnair777@gmail.com")</f>
        <v>sunilsnair777@gmail.com</v>
      </c>
      <c r="R679" s="6" t="str">
        <f ca="1">IFERROR(__xludf.DUMMYFUNCTION("""COMPUTED_VALUE"""),"Pending")</f>
        <v>Pending</v>
      </c>
      <c r="S679" s="6" t="str">
        <f ca="1">IFERROR(__xludf.DUMMYFUNCTION("""COMPUTED_VALUE"""),"Category")</f>
        <v>Category</v>
      </c>
      <c r="T679" s="6"/>
      <c r="U679" s="6"/>
      <c r="V679" s="6"/>
      <c r="W679" s="6"/>
      <c r="X679" s="6"/>
      <c r="Y679" s="6"/>
      <c r="Z679" s="6"/>
      <c r="AA679" s="6"/>
      <c r="AB679" s="6"/>
      <c r="AC679" s="6"/>
      <c r="AD679" s="6"/>
      <c r="AE679" s="6"/>
      <c r="AF679" s="6"/>
      <c r="AG679" s="6"/>
      <c r="AH679" s="6"/>
      <c r="AI679" s="6"/>
      <c r="AJ679" s="6"/>
      <c r="AK679" s="6"/>
      <c r="AL679" s="6"/>
    </row>
    <row r="680" spans="1:38">
      <c r="A680" s="96">
        <f ca="1">IFERROR(__xludf.DUMMYFUNCTION("""COMPUTED_VALUE"""),44495)</f>
        <v>44495</v>
      </c>
      <c r="B680" s="6" t="str">
        <f ca="1">IFERROR(__xludf.DUMMYFUNCTION("""COMPUTED_VALUE"""),"Veena")</f>
        <v>Veena</v>
      </c>
      <c r="C680" s="6" t="str">
        <f ca="1">IFERROR(__xludf.DUMMYFUNCTION("""COMPUTED_VALUE"""),"veenavr21@gmail.com")</f>
        <v>veenavr21@gmail.com</v>
      </c>
      <c r="D680" s="6">
        <f ca="1">IFERROR(__xludf.DUMMYFUNCTION("""COMPUTED_VALUE"""),7259644336)</f>
        <v>7259644336</v>
      </c>
      <c r="E680" s="6" t="str">
        <f ca="1">IFERROR(__xludf.DUMMYFUNCTION("""COMPUTED_VALUE"""),"Reference")</f>
        <v>Reference</v>
      </c>
      <c r="F680" s="6" t="str">
        <f ca="1">IFERROR(__xludf.DUMMYFUNCTION("""COMPUTED_VALUE"""),"CSPO")</f>
        <v>CSPO</v>
      </c>
      <c r="G680" s="80">
        <f ca="1">IFERROR(__xludf.DUMMYFUNCTION("""COMPUTED_VALUE"""),44470)</f>
        <v>44470</v>
      </c>
      <c r="H680" s="6" t="str">
        <f ca="1">IFERROR(__xludf.DUMMYFUNCTION("""COMPUTED_VALUE"""),"Won")</f>
        <v>Won</v>
      </c>
      <c r="I680" s="6" t="str">
        <f ca="1">IFERROR(__xludf.DUMMYFUNCTION("""COMPUTED_VALUE"""),"17-18 Nov 2021")</f>
        <v>17-18 Nov 2021</v>
      </c>
      <c r="J680" s="6">
        <f ca="1">IFERROR(__xludf.DUMMYFUNCTION("""COMPUTED_VALUE"""),1)</f>
        <v>1</v>
      </c>
      <c r="K680" s="8">
        <f ca="1">IFERROR(__xludf.DUMMYFUNCTION("""COMPUTED_VALUE"""),22000)</f>
        <v>22000</v>
      </c>
      <c r="L680" s="8">
        <f ca="1">IFERROR(__xludf.DUMMYFUNCTION("""COMPUTED_VALUE"""),251.946862116353)</f>
        <v>251.946862116353</v>
      </c>
      <c r="M680" s="96">
        <f ca="1">IFERROR(__xludf.DUMMYFUNCTION("""COMPUTED_VALUE"""),44495)</f>
        <v>44495</v>
      </c>
      <c r="N680" s="6" t="str">
        <f ca="1">IFERROR(__xludf.DUMMYFUNCTION("""COMPUTED_VALUE"""),"T10")</f>
        <v>T10</v>
      </c>
      <c r="O680" s="97">
        <f ca="1">IFERROR(__xludf.DUMMYFUNCTION("""COMPUTED_VALUE"""),44495)</f>
        <v>44495</v>
      </c>
      <c r="P680" s="6" t="str">
        <f ca="1">IFERROR(__xludf.DUMMYFUNCTION("""COMPUTED_VALUE"""),"CSTM_2IESFX8HQAO")</f>
        <v>CSTM_2IESFX8HQAO</v>
      </c>
      <c r="Q680" s="6" t="str">
        <f ca="1">IFERROR(__xludf.DUMMYFUNCTION("""COMPUTED_VALUE"""),"sunilsnair777@gmail.com")</f>
        <v>sunilsnair777@gmail.com</v>
      </c>
      <c r="R680" s="6" t="str">
        <f ca="1">IFERROR(__xludf.DUMMYFUNCTION("""COMPUTED_VALUE"""),"Pending")</f>
        <v>Pending</v>
      </c>
      <c r="S680" s="6" t="str">
        <f ca="1">IFERROR(__xludf.DUMMYFUNCTION("""COMPUTED_VALUE"""),"Category")</f>
        <v>Category</v>
      </c>
      <c r="T680" s="6"/>
      <c r="U680" s="6"/>
      <c r="V680" s="6"/>
      <c r="W680" s="6"/>
      <c r="X680" s="6"/>
      <c r="Y680" s="6"/>
      <c r="Z680" s="6"/>
      <c r="AA680" s="6"/>
      <c r="AB680" s="6"/>
      <c r="AC680" s="6"/>
      <c r="AD680" s="6"/>
      <c r="AE680" s="6"/>
      <c r="AF680" s="6"/>
      <c r="AG680" s="6"/>
      <c r="AH680" s="6"/>
      <c r="AI680" s="6"/>
      <c r="AJ680" s="6"/>
      <c r="AK680" s="6"/>
      <c r="AL680" s="6"/>
    </row>
    <row r="681" spans="1:38">
      <c r="A681" s="96">
        <f ca="1">IFERROR(__xludf.DUMMYFUNCTION("""COMPUTED_VALUE"""),44495)</f>
        <v>44495</v>
      </c>
      <c r="B681" s="6" t="str">
        <f ca="1">IFERROR(__xludf.DUMMYFUNCTION("""COMPUTED_VALUE"""),"Dayalan Ramsey")</f>
        <v>Dayalan Ramsey</v>
      </c>
      <c r="C681" s="6" t="str">
        <f ca="1">IFERROR(__xludf.DUMMYFUNCTION("""COMPUTED_VALUE"""),"dayalanramsey@gmail.com")</f>
        <v>dayalanramsey@gmail.com</v>
      </c>
      <c r="D681" s="6">
        <f ca="1">IFERROR(__xludf.DUMMYFUNCTION("""COMPUTED_VALUE"""),9791130927)</f>
        <v>9791130927</v>
      </c>
      <c r="E681" s="6" t="str">
        <f ca="1">IFERROR(__xludf.DUMMYFUNCTION("""COMPUTED_VALUE"""),"course agenda")</f>
        <v>course agenda</v>
      </c>
      <c r="F681" s="6" t="str">
        <f ca="1">IFERROR(__xludf.DUMMYFUNCTION("""COMPUTED_VALUE"""),"SAFe Agile")</f>
        <v>SAFe Agile</v>
      </c>
      <c r="G681" s="80">
        <f ca="1">IFERROR(__xludf.DUMMYFUNCTION("""COMPUTED_VALUE"""),44470)</f>
        <v>44470</v>
      </c>
      <c r="H681" s="6" t="str">
        <f ca="1">IFERROR(__xludf.DUMMYFUNCTION("""COMPUTED_VALUE"""),"Won")</f>
        <v>Won</v>
      </c>
      <c r="I681" s="6" t="str">
        <f ca="1">IFERROR(__xludf.DUMMYFUNCTION("""COMPUTED_VALUE"""),"6-7 Nov 2021")</f>
        <v>6-7 Nov 2021</v>
      </c>
      <c r="J681" s="6">
        <f ca="1">IFERROR(__xludf.DUMMYFUNCTION("""COMPUTED_VALUE"""),1)</f>
        <v>1</v>
      </c>
      <c r="K681" s="8">
        <f ca="1">IFERROR(__xludf.DUMMYFUNCTION("""COMPUTED_VALUE"""),45000)</f>
        <v>45000</v>
      </c>
      <c r="L681" s="8">
        <f ca="1">IFERROR(__xludf.DUMMYFUNCTION("""COMPUTED_VALUE"""),515.345854328905)</f>
        <v>515.34585432890503</v>
      </c>
      <c r="M681" s="96">
        <f ca="1">IFERROR(__xludf.DUMMYFUNCTION("""COMPUTED_VALUE"""),44495)</f>
        <v>44495</v>
      </c>
      <c r="N681" s="6" t="str">
        <f ca="1">IFERROR(__xludf.DUMMYFUNCTION("""COMPUTED_VALUE"""),"T10")</f>
        <v>T10</v>
      </c>
      <c r="O681" s="97">
        <f ca="1">IFERROR(__xludf.DUMMYFUNCTION("""COMPUTED_VALUE"""),44495)</f>
        <v>44495</v>
      </c>
      <c r="P681" s="6" t="str">
        <f ca="1">IFERROR(__xludf.DUMMYFUNCTION("""COMPUTED_VALUE"""),"CSTM_6MW4TBBIG72")</f>
        <v>CSTM_6MW4TBBIG72</v>
      </c>
      <c r="Q681" s="6"/>
      <c r="R681" s="6" t="str">
        <f ca="1">IFERROR(__xludf.DUMMYFUNCTION("""COMPUTED_VALUE"""),"Done. Good feedback.")</f>
        <v>Done. Good feedback.</v>
      </c>
      <c r="S681" s="6" t="str">
        <f ca="1">IFERROR(__xludf.DUMMYFUNCTION("""COMPUTED_VALUE"""),"SAFe")</f>
        <v>SAFe</v>
      </c>
      <c r="T681" s="6"/>
      <c r="U681" s="6"/>
      <c r="V681" s="6"/>
      <c r="W681" s="6"/>
      <c r="X681" s="6"/>
      <c r="Y681" s="6"/>
      <c r="Z681" s="6"/>
      <c r="AA681" s="6"/>
      <c r="AB681" s="6"/>
      <c r="AC681" s="6"/>
      <c r="AD681" s="6"/>
      <c r="AE681" s="6"/>
      <c r="AF681" s="6"/>
      <c r="AG681" s="6"/>
      <c r="AH681" s="6"/>
      <c r="AI681" s="6"/>
      <c r="AJ681" s="6"/>
      <c r="AK681" s="6"/>
      <c r="AL681" s="6"/>
    </row>
    <row r="682" spans="1:38">
      <c r="A682" s="96">
        <f ca="1">IFERROR(__xludf.DUMMYFUNCTION("""COMPUTED_VALUE"""),44496)</f>
        <v>44496</v>
      </c>
      <c r="B682" s="6" t="str">
        <f ca="1">IFERROR(__xludf.DUMMYFUNCTION("""COMPUTED_VALUE"""),"Jayashree")</f>
        <v>Jayashree</v>
      </c>
      <c r="C682" s="6" t="str">
        <f ca="1">IFERROR(__xludf.DUMMYFUNCTION("""COMPUTED_VALUE"""),"jay.jayashree@gmail.com")</f>
        <v>jay.jayashree@gmail.com</v>
      </c>
      <c r="D682" s="6">
        <f ca="1">IFERROR(__xludf.DUMMYFUNCTION("""COMPUTED_VALUE"""),9827019464)</f>
        <v>9827019464</v>
      </c>
      <c r="E682" s="6" t="str">
        <f ca="1">IFERROR(__xludf.DUMMYFUNCTION("""COMPUTED_VALUE"""),"chat_initiated")</f>
        <v>chat_initiated</v>
      </c>
      <c r="F682" s="6" t="str">
        <f ca="1">IFERROR(__xludf.DUMMYFUNCTION("""COMPUTED_VALUE"""),"CSM")</f>
        <v>CSM</v>
      </c>
      <c r="G682" s="80">
        <f ca="1">IFERROR(__xludf.DUMMYFUNCTION("""COMPUTED_VALUE"""),44470)</f>
        <v>44470</v>
      </c>
      <c r="H682" s="6" t="str">
        <f ca="1">IFERROR(__xludf.DUMMYFUNCTION("""COMPUTED_VALUE"""),"Won")</f>
        <v>Won</v>
      </c>
      <c r="I682" s="6" t="str">
        <f ca="1">IFERROR(__xludf.DUMMYFUNCTION("""COMPUTED_VALUE"""),"11-12 Nov 2021")</f>
        <v>11-12 Nov 2021</v>
      </c>
      <c r="J682" s="6">
        <f ca="1">IFERROR(__xludf.DUMMYFUNCTION("""COMPUTED_VALUE"""),1)</f>
        <v>1</v>
      </c>
      <c r="K682" s="8">
        <f ca="1">IFERROR(__xludf.DUMMYFUNCTION("""COMPUTED_VALUE"""),19000)</f>
        <v>19000</v>
      </c>
      <c r="L682" s="8">
        <f ca="1">IFERROR(__xludf.DUMMYFUNCTION("""COMPUTED_VALUE"""),217.590471827759)</f>
        <v>217.59047182775899</v>
      </c>
      <c r="M682" s="96">
        <f ca="1">IFERROR(__xludf.DUMMYFUNCTION("""COMPUTED_VALUE"""),44496)</f>
        <v>44496</v>
      </c>
      <c r="N682" s="6" t="str">
        <f ca="1">IFERROR(__xludf.DUMMYFUNCTION("""COMPUTED_VALUE"""),"T10")</f>
        <v>T10</v>
      </c>
      <c r="O682" s="97">
        <f ca="1">IFERROR(__xludf.DUMMYFUNCTION("""COMPUTED_VALUE"""),44496)</f>
        <v>44496</v>
      </c>
      <c r="P682" s="6" t="str">
        <f ca="1">IFERROR(__xludf.DUMMYFUNCTION("""COMPUTED_VALUE"""),"CSTM_4HZE1BYV6BO")</f>
        <v>CSTM_4HZE1BYV6BO</v>
      </c>
      <c r="Q682" s="6"/>
      <c r="R682" s="6" t="str">
        <f ca="1">IFERROR(__xludf.DUMMYFUNCTION("""COMPUTED_VALUE"""),"Pending")</f>
        <v>Pending</v>
      </c>
      <c r="S682" s="6" t="str">
        <f ca="1">IFERROR(__xludf.DUMMYFUNCTION("""COMPUTED_VALUE"""),"Category")</f>
        <v>Category</v>
      </c>
      <c r="T682" s="6"/>
      <c r="U682" s="6"/>
      <c r="V682" s="6"/>
      <c r="W682" s="6"/>
      <c r="X682" s="6"/>
      <c r="Y682" s="6"/>
      <c r="Z682" s="6"/>
      <c r="AA682" s="6"/>
      <c r="AB682" s="6"/>
      <c r="AC682" s="6"/>
      <c r="AD682" s="6"/>
      <c r="AE682" s="6"/>
      <c r="AF682" s="6"/>
      <c r="AG682" s="6"/>
      <c r="AH682" s="6"/>
      <c r="AI682" s="6"/>
      <c r="AJ682" s="6"/>
      <c r="AK682" s="6"/>
      <c r="AL682" s="6"/>
    </row>
    <row r="683" spans="1:38">
      <c r="A683" s="96">
        <f ca="1">IFERROR(__xludf.DUMMYFUNCTION("""COMPUTED_VALUE"""),44499)</f>
        <v>44499</v>
      </c>
      <c r="B683" s="6" t="str">
        <f ca="1">IFERROR(__xludf.DUMMYFUNCTION("""COMPUTED_VALUE"""),"Saleem Ahmed")</f>
        <v>Saleem Ahmed</v>
      </c>
      <c r="C683" s="6" t="str">
        <f ca="1">IFERROR(__xludf.DUMMYFUNCTION("""COMPUTED_VALUE"""),"salimahmed70@gmail.com")</f>
        <v>salimahmed70@gmail.com</v>
      </c>
      <c r="D683" s="6">
        <f ca="1">IFERROR(__xludf.DUMMYFUNCTION("""COMPUTED_VALUE"""),9823187612)</f>
        <v>9823187612</v>
      </c>
      <c r="E683" s="6" t="str">
        <f ca="1">IFERROR(__xludf.DUMMYFUNCTION("""COMPUTED_VALUE"""),"na-payment")</f>
        <v>na-payment</v>
      </c>
      <c r="F683" s="6" t="str">
        <f ca="1">IFERROR(__xludf.DUMMYFUNCTION("""COMPUTED_VALUE"""),"SAFe Agile")</f>
        <v>SAFe Agile</v>
      </c>
      <c r="G683" s="80">
        <f ca="1">IFERROR(__xludf.DUMMYFUNCTION("""COMPUTED_VALUE"""),44470)</f>
        <v>44470</v>
      </c>
      <c r="H683" s="6" t="str">
        <f ca="1">IFERROR(__xludf.DUMMYFUNCTION("""COMPUTED_VALUE"""),"Won")</f>
        <v>Won</v>
      </c>
      <c r="I683" s="6" t="str">
        <f ca="1">IFERROR(__xludf.DUMMYFUNCTION("""COMPUTED_VALUE"""),"13-14 Nov 2021")</f>
        <v>13-14 Nov 2021</v>
      </c>
      <c r="J683" s="6">
        <f ca="1">IFERROR(__xludf.DUMMYFUNCTION("""COMPUTED_VALUE"""),1)</f>
        <v>1</v>
      </c>
      <c r="K683" s="8">
        <f ca="1">IFERROR(__xludf.DUMMYFUNCTION("""COMPUTED_VALUE"""),45000)</f>
        <v>45000</v>
      </c>
      <c r="L683" s="8">
        <f ca="1">IFERROR(__xludf.DUMMYFUNCTION("""COMPUTED_VALUE"""),515.345854328905)</f>
        <v>515.34585432890503</v>
      </c>
      <c r="M683" s="96">
        <f ca="1">IFERROR(__xludf.DUMMYFUNCTION("""COMPUTED_VALUE"""),44499)</f>
        <v>44499</v>
      </c>
      <c r="N683" s="6" t="str">
        <f ca="1">IFERROR(__xludf.DUMMYFUNCTION("""COMPUTED_VALUE"""),"T10")</f>
        <v>T10</v>
      </c>
      <c r="O683" s="97">
        <f ca="1">IFERROR(__xludf.DUMMYFUNCTION("""COMPUTED_VALUE"""),44499)</f>
        <v>44499</v>
      </c>
      <c r="P683" s="6" t="str">
        <f ca="1">IFERROR(__xludf.DUMMYFUNCTION("""COMPUTED_VALUE"""),"CSTM_733YY3P1OCR")</f>
        <v>CSTM_733YY3P1OCR</v>
      </c>
      <c r="Q683" s="6"/>
      <c r="R683" s="6" t="str">
        <f ca="1">IFERROR(__xludf.DUMMYFUNCTION("""COMPUTED_VALUE"""),"Done. Good feedback.")</f>
        <v>Done. Good feedback.</v>
      </c>
      <c r="S683" s="6" t="str">
        <f ca="1">IFERROR(__xludf.DUMMYFUNCTION("""COMPUTED_VALUE"""),"SAFe")</f>
        <v>SAFe</v>
      </c>
      <c r="T683" s="6"/>
      <c r="U683" s="6"/>
      <c r="V683" s="6"/>
      <c r="W683" s="6"/>
      <c r="X683" s="6"/>
      <c r="Y683" s="6"/>
      <c r="Z683" s="6"/>
      <c r="AA683" s="6"/>
      <c r="AB683" s="6"/>
      <c r="AC683" s="6"/>
      <c r="AD683" s="6"/>
      <c r="AE683" s="6"/>
      <c r="AF683" s="6"/>
      <c r="AG683" s="6"/>
      <c r="AH683" s="6"/>
      <c r="AI683" s="6"/>
      <c r="AJ683" s="6"/>
      <c r="AK683" s="6"/>
      <c r="AL683" s="6"/>
    </row>
    <row r="684" spans="1:38">
      <c r="A684" s="96">
        <f ca="1">IFERROR(__xludf.DUMMYFUNCTION("""COMPUTED_VALUE"""),44502)</f>
        <v>44502</v>
      </c>
      <c r="B684" s="6" t="str">
        <f ca="1">IFERROR(__xludf.DUMMYFUNCTION("""COMPUTED_VALUE"""),"Kumaravelun")</f>
        <v>Kumaravelun</v>
      </c>
      <c r="C684" s="6" t="str">
        <f ca="1">IFERROR(__xludf.DUMMYFUNCTION("""COMPUTED_VALUE"""),"kumaravelun@gmail.com")</f>
        <v>kumaravelun@gmail.com</v>
      </c>
      <c r="D684" s="6">
        <f ca="1">IFERROR(__xludf.DUMMYFUNCTION("""COMPUTED_VALUE"""),9841320553)</f>
        <v>9841320553</v>
      </c>
      <c r="E684" s="6" t="str">
        <f ca="1">IFERROR(__xludf.DUMMYFUNCTION("""COMPUTED_VALUE"""),"chat_initiated")</f>
        <v>chat_initiated</v>
      </c>
      <c r="F684" s="6" t="str">
        <f ca="1">IFERROR(__xludf.DUMMYFUNCTION("""COMPUTED_VALUE"""),"PSM")</f>
        <v>PSM</v>
      </c>
      <c r="G684" s="80">
        <f ca="1">IFERROR(__xludf.DUMMYFUNCTION("""COMPUTED_VALUE"""),44501)</f>
        <v>44501</v>
      </c>
      <c r="H684" s="6" t="str">
        <f ca="1">IFERROR(__xludf.DUMMYFUNCTION("""COMPUTED_VALUE"""),"Won")</f>
        <v>Won</v>
      </c>
      <c r="I684" s="6" t="str">
        <f ca="1">IFERROR(__xludf.DUMMYFUNCTION("""COMPUTED_VALUE"""),"10-11 Nov 2021")</f>
        <v>10-11 Nov 2021</v>
      </c>
      <c r="J684" s="6">
        <f ca="1">IFERROR(__xludf.DUMMYFUNCTION("""COMPUTED_VALUE"""),1)</f>
        <v>1</v>
      </c>
      <c r="K684" s="8">
        <f ca="1">IFERROR(__xludf.DUMMYFUNCTION("""COMPUTED_VALUE"""),21000)</f>
        <v>21000</v>
      </c>
      <c r="L684" s="8">
        <f ca="1">IFERROR(__xludf.DUMMYFUNCTION("""COMPUTED_VALUE"""),240.494732020155)</f>
        <v>240.494732020155</v>
      </c>
      <c r="M684" s="96">
        <f ca="1">IFERROR(__xludf.DUMMYFUNCTION("""COMPUTED_VALUE"""),44502)</f>
        <v>44502</v>
      </c>
      <c r="N684" s="6" t="str">
        <f ca="1">IFERROR(__xludf.DUMMYFUNCTION("""COMPUTED_VALUE"""),"F10")</f>
        <v>F10</v>
      </c>
      <c r="O684" s="97">
        <f ca="1">IFERROR(__xludf.DUMMYFUNCTION("""COMPUTED_VALUE"""),44502)</f>
        <v>44502</v>
      </c>
      <c r="P684" s="6" t="str">
        <f ca="1">IFERROR(__xludf.DUMMYFUNCTION("""COMPUTED_VALUE"""),"CSTM_3M4DGHMHIIJ")</f>
        <v>CSTM_3M4DGHMHIIJ</v>
      </c>
      <c r="Q684" s="6"/>
      <c r="R684" s="6" t="str">
        <f ca="1">IFERROR(__xludf.DUMMYFUNCTION("""COMPUTED_VALUE"""),"Pending")</f>
        <v>Pending</v>
      </c>
      <c r="S684" s="6" t="str">
        <f ca="1">IFERROR(__xludf.DUMMYFUNCTION("""COMPUTED_VALUE"""),"Category")</f>
        <v>Category</v>
      </c>
      <c r="T684" s="6"/>
      <c r="U684" s="6"/>
      <c r="V684" s="6"/>
      <c r="W684" s="6"/>
      <c r="X684" s="6"/>
      <c r="Y684" s="6"/>
      <c r="Z684" s="6"/>
      <c r="AA684" s="6"/>
      <c r="AB684" s="6"/>
      <c r="AC684" s="6"/>
      <c r="AD684" s="6"/>
      <c r="AE684" s="6"/>
      <c r="AF684" s="6"/>
      <c r="AG684" s="6"/>
      <c r="AH684" s="6"/>
      <c r="AI684" s="6"/>
      <c r="AJ684" s="6"/>
      <c r="AK684" s="6"/>
      <c r="AL684" s="6"/>
    </row>
    <row r="685" spans="1:38">
      <c r="A685" s="96">
        <f ca="1">IFERROR(__xludf.DUMMYFUNCTION("""COMPUTED_VALUE"""),44502)</f>
        <v>44502</v>
      </c>
      <c r="B685" s="6" t="str">
        <f ca="1">IFERROR(__xludf.DUMMYFUNCTION("""COMPUTED_VALUE"""),"Koushik Paul")</f>
        <v>Koushik Paul</v>
      </c>
      <c r="C685" s="6" t="str">
        <f ca="1">IFERROR(__xludf.DUMMYFUNCTION("""COMPUTED_VALUE"""),"koushik1994paul@gmail.com")</f>
        <v>koushik1994paul@gmail.com</v>
      </c>
      <c r="D685" s="6">
        <f ca="1">IFERROR(__xludf.DUMMYFUNCTION("""COMPUTED_VALUE"""),8777089094)</f>
        <v>8777089094</v>
      </c>
      <c r="E685" s="6" t="str">
        <f ca="1">IFERROR(__xludf.DUMMYFUNCTION("""COMPUTED_VALUE"""),"Tollfree")</f>
        <v>Tollfree</v>
      </c>
      <c r="F685" s="6" t="str">
        <f ca="1">IFERROR(__xludf.DUMMYFUNCTION("""COMPUTED_VALUE"""),"Prince2 F&amp;P")</f>
        <v>Prince2 F&amp;P</v>
      </c>
      <c r="G685" s="80">
        <f ca="1">IFERROR(__xludf.DUMMYFUNCTION("""COMPUTED_VALUE"""),44501)</f>
        <v>44501</v>
      </c>
      <c r="H685" s="6" t="str">
        <f ca="1">IFERROR(__xludf.DUMMYFUNCTION("""COMPUTED_VALUE"""),"Won")</f>
        <v>Won</v>
      </c>
      <c r="I685" s="6" t="str">
        <f ca="1">IFERROR(__xludf.DUMMYFUNCTION("""COMPUTED_VALUE"""),"2 Nov 2021")</f>
        <v>2 Nov 2021</v>
      </c>
      <c r="J685" s="6">
        <f ca="1">IFERROR(__xludf.DUMMYFUNCTION("""COMPUTED_VALUE"""),1)</f>
        <v>1</v>
      </c>
      <c r="K685" s="8">
        <f ca="1">IFERROR(__xludf.DUMMYFUNCTION("""COMPUTED_VALUE"""),37000)</f>
        <v>37000</v>
      </c>
      <c r="L685" s="8">
        <f ca="1">IFERROR(__xludf.DUMMYFUNCTION("""COMPUTED_VALUE"""),423.728813559322)</f>
        <v>423.72881355932202</v>
      </c>
      <c r="M685" s="96">
        <f ca="1">IFERROR(__xludf.DUMMYFUNCTION("""COMPUTED_VALUE"""),44502)</f>
        <v>44502</v>
      </c>
      <c r="N685" s="6" t="str">
        <f ca="1">IFERROR(__xludf.DUMMYFUNCTION("""COMPUTED_VALUE"""),"F10")</f>
        <v>F10</v>
      </c>
      <c r="O685" s="97">
        <f ca="1">IFERROR(__xludf.DUMMYFUNCTION("""COMPUTED_VALUE"""),44502)</f>
        <v>44502</v>
      </c>
      <c r="P685" s="6" t="str">
        <f ca="1">IFERROR(__xludf.DUMMYFUNCTION("""COMPUTED_VALUE"""),"CSTM_JFH11DJNLMB")</f>
        <v>CSTM_JFH11DJNLMB</v>
      </c>
      <c r="Q685" s="6"/>
      <c r="R685" s="6" t="str">
        <f ca="1">IFERROR(__xludf.DUMMYFUNCTION("""COMPUTED_VALUE"""),"Pending")</f>
        <v>Pending</v>
      </c>
      <c r="S685" s="6" t="str">
        <f ca="1">IFERROR(__xludf.DUMMYFUNCTION("""COMPUTED_VALUE"""),"NonCategory")</f>
        <v>NonCategory</v>
      </c>
      <c r="T685" s="6"/>
      <c r="U685" s="6"/>
      <c r="V685" s="6"/>
      <c r="W685" s="6"/>
      <c r="X685" s="6"/>
      <c r="Y685" s="6"/>
      <c r="Z685" s="6"/>
      <c r="AA685" s="6"/>
      <c r="AB685" s="6"/>
      <c r="AC685" s="6"/>
      <c r="AD685" s="6"/>
      <c r="AE685" s="6"/>
      <c r="AF685" s="6"/>
      <c r="AG685" s="6"/>
      <c r="AH685" s="6"/>
      <c r="AI685" s="6"/>
      <c r="AJ685" s="6"/>
      <c r="AK685" s="6"/>
      <c r="AL685" s="6"/>
    </row>
    <row r="686" spans="1:38">
      <c r="A686" s="96">
        <f ca="1">IFERROR(__xludf.DUMMYFUNCTION("""COMPUTED_VALUE"""),44502)</f>
        <v>44502</v>
      </c>
      <c r="B686" s="6" t="str">
        <f ca="1">IFERROR(__xludf.DUMMYFUNCTION("""COMPUTED_VALUE"""),"Suresh Kumar")</f>
        <v>Suresh Kumar</v>
      </c>
      <c r="C686" s="6" t="str">
        <f ca="1">IFERROR(__xludf.DUMMYFUNCTION("""COMPUTED_VALUE"""),"asureshjuly@gmail.com")</f>
        <v>asureshjuly@gmail.com</v>
      </c>
      <c r="D686" s="6">
        <f ca="1">IFERROR(__xludf.DUMMYFUNCTION("""COMPUTED_VALUE"""),9952089695)</f>
        <v>9952089695</v>
      </c>
      <c r="E686" s="6" t="str">
        <f ca="1">IFERROR(__xludf.DUMMYFUNCTION("""COMPUTED_VALUE"""),"Reference")</f>
        <v>Reference</v>
      </c>
      <c r="F686" s="6" t="str">
        <f ca="1">IFERROR(__xludf.DUMMYFUNCTION("""COMPUTED_VALUE"""),"SAFe Agile")</f>
        <v>SAFe Agile</v>
      </c>
      <c r="G686" s="80">
        <f ca="1">IFERROR(__xludf.DUMMYFUNCTION("""COMPUTED_VALUE"""),44501)</f>
        <v>44501</v>
      </c>
      <c r="H686" s="6" t="str">
        <f ca="1">IFERROR(__xludf.DUMMYFUNCTION("""COMPUTED_VALUE"""),"Won")</f>
        <v>Won</v>
      </c>
      <c r="I686" s="6" t="str">
        <f ca="1">IFERROR(__xludf.DUMMYFUNCTION("""COMPUTED_VALUE"""),"6-7 Nov 2021")</f>
        <v>6-7 Nov 2021</v>
      </c>
      <c r="J686" s="6">
        <f ca="1">IFERROR(__xludf.DUMMYFUNCTION("""COMPUTED_VALUE"""),1)</f>
        <v>1</v>
      </c>
      <c r="K686" s="8">
        <f ca="1">IFERROR(__xludf.DUMMYFUNCTION("""COMPUTED_VALUE"""),41000)</f>
        <v>41000</v>
      </c>
      <c r="L686" s="8">
        <f ca="1">IFERROR(__xludf.DUMMYFUNCTION("""COMPUTED_VALUE"""),469.537333944113)</f>
        <v>469.53733394411302</v>
      </c>
      <c r="M686" s="96">
        <f ca="1">IFERROR(__xludf.DUMMYFUNCTION("""COMPUTED_VALUE"""),44502)</f>
        <v>44502</v>
      </c>
      <c r="N686" s="6" t="str">
        <f ca="1">IFERROR(__xludf.DUMMYFUNCTION("""COMPUTED_VALUE"""),"F10")</f>
        <v>F10</v>
      </c>
      <c r="O686" s="97">
        <f ca="1">IFERROR(__xludf.DUMMYFUNCTION("""COMPUTED_VALUE"""),44502)</f>
        <v>44502</v>
      </c>
      <c r="P686" s="6" t="str">
        <f ca="1">IFERROR(__xludf.DUMMYFUNCTION("""COMPUTED_VALUE"""),"CSTM_2ODXHVM0HAS")</f>
        <v>CSTM_2ODXHVM0HAS</v>
      </c>
      <c r="Q686" s="6" t="str">
        <f ca="1">IFERROR(__xludf.DUMMYFUNCTION("""COMPUTED_VALUE"""),"Keerti")</f>
        <v>Keerti</v>
      </c>
      <c r="R686" s="6" t="str">
        <f ca="1">IFERROR(__xludf.DUMMYFUNCTION("""COMPUTED_VALUE"""),"Done. Good feedback.")</f>
        <v>Done. Good feedback.</v>
      </c>
      <c r="S686" s="6" t="str">
        <f ca="1">IFERROR(__xludf.DUMMYFUNCTION("""COMPUTED_VALUE"""),"SAFe")</f>
        <v>SAFe</v>
      </c>
      <c r="T686" s="6"/>
      <c r="U686" s="6"/>
      <c r="V686" s="6"/>
      <c r="W686" s="6"/>
      <c r="X686" s="6"/>
      <c r="Y686" s="6"/>
      <c r="Z686" s="6"/>
      <c r="AA686" s="6"/>
      <c r="AB686" s="6"/>
      <c r="AC686" s="6"/>
      <c r="AD686" s="6"/>
      <c r="AE686" s="6"/>
      <c r="AF686" s="6"/>
      <c r="AG686" s="6"/>
      <c r="AH686" s="6"/>
      <c r="AI686" s="6"/>
      <c r="AJ686" s="6"/>
      <c r="AK686" s="6"/>
      <c r="AL686" s="6"/>
    </row>
    <row r="687" spans="1:38">
      <c r="A687" s="96">
        <f ca="1">IFERROR(__xludf.DUMMYFUNCTION("""COMPUTED_VALUE"""),44502)</f>
        <v>44502</v>
      </c>
      <c r="B687" s="6" t="str">
        <f ca="1">IFERROR(__xludf.DUMMYFUNCTION("""COMPUTED_VALUE"""),"Uday Shankar")</f>
        <v>Uday Shankar</v>
      </c>
      <c r="C687" s="6" t="str">
        <f ca="1">IFERROR(__xludf.DUMMYFUNCTION("""COMPUTED_VALUE"""),"reply2uday@gmail.com")</f>
        <v>reply2uday@gmail.com</v>
      </c>
      <c r="D687" s="6">
        <f ca="1">IFERROR(__xludf.DUMMYFUNCTION("""COMPUTED_VALUE"""),9884380752)</f>
        <v>9884380752</v>
      </c>
      <c r="E687" s="6" t="str">
        <f ca="1">IFERROR(__xludf.DUMMYFUNCTION("""COMPUTED_VALUE"""),"Reference")</f>
        <v>Reference</v>
      </c>
      <c r="F687" s="6" t="str">
        <f ca="1">IFERROR(__xludf.DUMMYFUNCTION("""COMPUTED_VALUE"""),"SAFe Agile")</f>
        <v>SAFe Agile</v>
      </c>
      <c r="G687" s="80">
        <f ca="1">IFERROR(__xludf.DUMMYFUNCTION("""COMPUTED_VALUE"""),44501)</f>
        <v>44501</v>
      </c>
      <c r="H687" s="6" t="str">
        <f ca="1">IFERROR(__xludf.DUMMYFUNCTION("""COMPUTED_VALUE"""),"Won")</f>
        <v>Won</v>
      </c>
      <c r="I687" s="6" t="str">
        <f ca="1">IFERROR(__xludf.DUMMYFUNCTION("""COMPUTED_VALUE"""),"6-7 Nov 2021")</f>
        <v>6-7 Nov 2021</v>
      </c>
      <c r="J687" s="6">
        <f ca="1">IFERROR(__xludf.DUMMYFUNCTION("""COMPUTED_VALUE"""),1)</f>
        <v>1</v>
      </c>
      <c r="K687" s="8">
        <f ca="1">IFERROR(__xludf.DUMMYFUNCTION("""COMPUTED_VALUE"""),41000)</f>
        <v>41000</v>
      </c>
      <c r="L687" s="8">
        <f ca="1">IFERROR(__xludf.DUMMYFUNCTION("""COMPUTED_VALUE"""),469.537333944113)</f>
        <v>469.53733394411302</v>
      </c>
      <c r="M687" s="96">
        <f ca="1">IFERROR(__xludf.DUMMYFUNCTION("""COMPUTED_VALUE"""),44502)</f>
        <v>44502</v>
      </c>
      <c r="N687" s="6" t="str">
        <f ca="1">IFERROR(__xludf.DUMMYFUNCTION("""COMPUTED_VALUE"""),"F10")</f>
        <v>F10</v>
      </c>
      <c r="O687" s="97">
        <f ca="1">IFERROR(__xludf.DUMMYFUNCTION("""COMPUTED_VALUE"""),44502)</f>
        <v>44502</v>
      </c>
      <c r="P687" s="6" t="str">
        <f ca="1">IFERROR(__xludf.DUMMYFUNCTION("""COMPUTED_VALUE"""),"CSTM_4G7H1HA5FSY")</f>
        <v>CSTM_4G7H1HA5FSY</v>
      </c>
      <c r="Q687" s="6" t="str">
        <f ca="1">IFERROR(__xludf.DUMMYFUNCTION("""COMPUTED_VALUE"""),"Pragya")</f>
        <v>Pragya</v>
      </c>
      <c r="R687" s="6" t="str">
        <f ca="1">IFERROR(__xludf.DUMMYFUNCTION("""COMPUTED_VALUE"""),"Done. Good feedback.")</f>
        <v>Done. Good feedback.</v>
      </c>
      <c r="S687" s="6" t="str">
        <f ca="1">IFERROR(__xludf.DUMMYFUNCTION("""COMPUTED_VALUE"""),"SAFe")</f>
        <v>SAFe</v>
      </c>
      <c r="T687" s="6"/>
      <c r="U687" s="6"/>
      <c r="V687" s="6"/>
      <c r="W687" s="6"/>
      <c r="X687" s="6"/>
      <c r="Y687" s="6"/>
      <c r="Z687" s="6"/>
      <c r="AA687" s="6"/>
      <c r="AB687" s="6"/>
      <c r="AC687" s="6"/>
      <c r="AD687" s="6"/>
      <c r="AE687" s="6"/>
      <c r="AF687" s="6"/>
      <c r="AG687" s="6"/>
      <c r="AH687" s="6"/>
      <c r="AI687" s="6"/>
      <c r="AJ687" s="6"/>
      <c r="AK687" s="6"/>
      <c r="AL687" s="6"/>
    </row>
    <row r="688" spans="1:38">
      <c r="A688" s="96">
        <f ca="1">IFERROR(__xludf.DUMMYFUNCTION("""COMPUTED_VALUE"""),44502)</f>
        <v>44502</v>
      </c>
      <c r="B688" s="6" t="str">
        <f ca="1">IFERROR(__xludf.DUMMYFUNCTION("""COMPUTED_VALUE"""),"Antony")</f>
        <v>Antony</v>
      </c>
      <c r="C688" s="6" t="str">
        <f ca="1">IFERROR(__xludf.DUMMYFUNCTION("""COMPUTED_VALUE"""),"antonyrajm@gmail.com")</f>
        <v>antonyrajm@gmail.com</v>
      </c>
      <c r="D688" s="6">
        <f ca="1">IFERROR(__xludf.DUMMYFUNCTION("""COMPUTED_VALUE"""),8072516208)</f>
        <v>8072516208</v>
      </c>
      <c r="E688" s="6" t="str">
        <f ca="1">IFERROR(__xludf.DUMMYFUNCTION("""COMPUTED_VALUE"""),"Reference")</f>
        <v>Reference</v>
      </c>
      <c r="F688" s="6" t="str">
        <f ca="1">IFERROR(__xludf.DUMMYFUNCTION("""COMPUTED_VALUE"""),"SAFe Agile")</f>
        <v>SAFe Agile</v>
      </c>
      <c r="G688" s="80">
        <f ca="1">IFERROR(__xludf.DUMMYFUNCTION("""COMPUTED_VALUE"""),44501)</f>
        <v>44501</v>
      </c>
      <c r="H688" s="6" t="str">
        <f ca="1">IFERROR(__xludf.DUMMYFUNCTION("""COMPUTED_VALUE"""),"Won")</f>
        <v>Won</v>
      </c>
      <c r="I688" s="6" t="str">
        <f ca="1">IFERROR(__xludf.DUMMYFUNCTION("""COMPUTED_VALUE"""),"6-7 Nov 2021")</f>
        <v>6-7 Nov 2021</v>
      </c>
      <c r="J688" s="6">
        <f ca="1">IFERROR(__xludf.DUMMYFUNCTION("""COMPUTED_VALUE"""),1)</f>
        <v>1</v>
      </c>
      <c r="K688" s="8">
        <f ca="1">IFERROR(__xludf.DUMMYFUNCTION("""COMPUTED_VALUE"""),41000)</f>
        <v>41000</v>
      </c>
      <c r="L688" s="8">
        <f ca="1">IFERROR(__xludf.DUMMYFUNCTION("""COMPUTED_VALUE"""),469.537333944113)</f>
        <v>469.53733394411302</v>
      </c>
      <c r="M688" s="96">
        <f ca="1">IFERROR(__xludf.DUMMYFUNCTION("""COMPUTED_VALUE"""),44502)</f>
        <v>44502</v>
      </c>
      <c r="N688" s="6" t="str">
        <f ca="1">IFERROR(__xludf.DUMMYFUNCTION("""COMPUTED_VALUE"""),"F10")</f>
        <v>F10</v>
      </c>
      <c r="O688" s="97">
        <f ca="1">IFERROR(__xludf.DUMMYFUNCTION("""COMPUTED_VALUE"""),44505)</f>
        <v>44505</v>
      </c>
      <c r="P688" s="6" t="str">
        <f ca="1">IFERROR(__xludf.DUMMYFUNCTION("""COMPUTED_VALUE"""),"CSTM_2U2JNXIIJJJ")</f>
        <v>CSTM_2U2JNXIIJJJ</v>
      </c>
      <c r="Q688" s="6" t="str">
        <f ca="1">IFERROR(__xludf.DUMMYFUNCTION("""COMPUTED_VALUE"""),"Pragya")</f>
        <v>Pragya</v>
      </c>
      <c r="R688" s="6" t="str">
        <f ca="1">IFERROR(__xludf.DUMMYFUNCTION("""COMPUTED_VALUE"""),"Done. Good feedback.")</f>
        <v>Done. Good feedback.</v>
      </c>
      <c r="S688" s="6" t="str">
        <f ca="1">IFERROR(__xludf.DUMMYFUNCTION("""COMPUTED_VALUE"""),"SAFe")</f>
        <v>SAFe</v>
      </c>
      <c r="T688" s="6"/>
      <c r="U688" s="6"/>
      <c r="V688" s="6"/>
      <c r="W688" s="6"/>
      <c r="X688" s="6"/>
      <c r="Y688" s="6"/>
      <c r="Z688" s="6"/>
      <c r="AA688" s="6"/>
      <c r="AB688" s="6"/>
      <c r="AC688" s="6"/>
      <c r="AD688" s="6"/>
      <c r="AE688" s="6"/>
      <c r="AF688" s="6"/>
      <c r="AG688" s="6"/>
      <c r="AH688" s="6"/>
      <c r="AI688" s="6"/>
      <c r="AJ688" s="6"/>
      <c r="AK688" s="6"/>
      <c r="AL688" s="6"/>
    </row>
    <row r="689" spans="1:38">
      <c r="A689" s="96">
        <f ca="1">IFERROR(__xludf.DUMMYFUNCTION("""COMPUTED_VALUE"""),44502)</f>
        <v>44502</v>
      </c>
      <c r="B689" s="6" t="str">
        <f ca="1">IFERROR(__xludf.DUMMYFUNCTION("""COMPUTED_VALUE"""),"Nagalakshmi")</f>
        <v>Nagalakshmi</v>
      </c>
      <c r="C689" s="6" t="str">
        <f ca="1">IFERROR(__xludf.DUMMYFUNCTION("""COMPUTED_VALUE"""),"nagu.shivam@gmail.com")</f>
        <v>nagu.shivam@gmail.com</v>
      </c>
      <c r="D689" s="6">
        <f ca="1">IFERROR(__xludf.DUMMYFUNCTION("""COMPUTED_VALUE"""),9629959962)</f>
        <v>9629959962</v>
      </c>
      <c r="E689" s="6" t="str">
        <f ca="1">IFERROR(__xludf.DUMMYFUNCTION("""COMPUTED_VALUE"""),"Reference")</f>
        <v>Reference</v>
      </c>
      <c r="F689" s="6" t="str">
        <f ca="1">IFERROR(__xludf.DUMMYFUNCTION("""COMPUTED_VALUE"""),"SAFe Agile")</f>
        <v>SAFe Agile</v>
      </c>
      <c r="G689" s="80">
        <f ca="1">IFERROR(__xludf.DUMMYFUNCTION("""COMPUTED_VALUE"""),44501)</f>
        <v>44501</v>
      </c>
      <c r="H689" s="6" t="str">
        <f ca="1">IFERROR(__xludf.DUMMYFUNCTION("""COMPUTED_VALUE"""),"Won")</f>
        <v>Won</v>
      </c>
      <c r="I689" s="6" t="str">
        <f ca="1">IFERROR(__xludf.DUMMYFUNCTION("""COMPUTED_VALUE"""),"6-7 Nov 2021")</f>
        <v>6-7 Nov 2021</v>
      </c>
      <c r="J689" s="6">
        <f ca="1">IFERROR(__xludf.DUMMYFUNCTION("""COMPUTED_VALUE"""),1)</f>
        <v>1</v>
      </c>
      <c r="K689" s="8">
        <f ca="1">IFERROR(__xludf.DUMMYFUNCTION("""COMPUTED_VALUE"""),41000)</f>
        <v>41000</v>
      </c>
      <c r="L689" s="8">
        <f ca="1">IFERROR(__xludf.DUMMYFUNCTION("""COMPUTED_VALUE"""),469.537333944113)</f>
        <v>469.53733394411302</v>
      </c>
      <c r="M689" s="96">
        <f ca="1">IFERROR(__xludf.DUMMYFUNCTION("""COMPUTED_VALUE"""),44502)</f>
        <v>44502</v>
      </c>
      <c r="N689" s="6" t="str">
        <f ca="1">IFERROR(__xludf.DUMMYFUNCTION("""COMPUTED_VALUE"""),"F10")</f>
        <v>F10</v>
      </c>
      <c r="O689" s="97">
        <f ca="1">IFERROR(__xludf.DUMMYFUNCTION("""COMPUTED_VALUE"""),44502)</f>
        <v>44502</v>
      </c>
      <c r="P689" s="6" t="str">
        <f ca="1">IFERROR(__xludf.DUMMYFUNCTION("""COMPUTED_VALUE"""),"CSTM_7X184FHF2RP")</f>
        <v>CSTM_7X184FHF2RP</v>
      </c>
      <c r="Q689" s="6" t="str">
        <f ca="1">IFERROR(__xludf.DUMMYFUNCTION("""COMPUTED_VALUE"""),"Pragya")</f>
        <v>Pragya</v>
      </c>
      <c r="R689" s="6" t="str">
        <f ca="1">IFERROR(__xludf.DUMMYFUNCTION("""COMPUTED_VALUE"""),"Done. Good feedback.")</f>
        <v>Done. Good feedback.</v>
      </c>
      <c r="S689" s="6" t="str">
        <f ca="1">IFERROR(__xludf.DUMMYFUNCTION("""COMPUTED_VALUE"""),"SAFe")</f>
        <v>SAFe</v>
      </c>
      <c r="T689" s="6"/>
      <c r="U689" s="6"/>
      <c r="V689" s="6"/>
      <c r="W689" s="6"/>
      <c r="X689" s="6"/>
      <c r="Y689" s="6"/>
      <c r="Z689" s="6"/>
      <c r="AA689" s="6"/>
      <c r="AB689" s="6"/>
      <c r="AC689" s="6"/>
      <c r="AD689" s="6"/>
      <c r="AE689" s="6"/>
      <c r="AF689" s="6"/>
      <c r="AG689" s="6"/>
      <c r="AH689" s="6"/>
      <c r="AI689" s="6"/>
      <c r="AJ689" s="6"/>
      <c r="AK689" s="6"/>
      <c r="AL689" s="6"/>
    </row>
    <row r="690" spans="1:38">
      <c r="A690" s="96">
        <f ca="1">IFERROR(__xludf.DUMMYFUNCTION("""COMPUTED_VALUE"""),44503)</f>
        <v>44503</v>
      </c>
      <c r="B690" s="6" t="str">
        <f ca="1">IFERROR(__xludf.DUMMYFUNCTION("""COMPUTED_VALUE"""),"Vasudha Sheganti")</f>
        <v>Vasudha Sheganti</v>
      </c>
      <c r="C690" s="6" t="str">
        <f ca="1">IFERROR(__xludf.DUMMYFUNCTION("""COMPUTED_VALUE"""),"vasudha.sheganti@gmail.com")</f>
        <v>vasudha.sheganti@gmail.com</v>
      </c>
      <c r="D690" s="6">
        <f ca="1">IFERROR(__xludf.DUMMYFUNCTION("""COMPUTED_VALUE"""),9600093237)</f>
        <v>9600093237</v>
      </c>
      <c r="E690" s="6" t="str">
        <f ca="1">IFERROR(__xludf.DUMMYFUNCTION("""COMPUTED_VALUE"""),"na-payment")</f>
        <v>na-payment</v>
      </c>
      <c r="F690" s="6" t="str">
        <f ca="1">IFERROR(__xludf.DUMMYFUNCTION("""COMPUTED_VALUE"""),"SAFe Agile")</f>
        <v>SAFe Agile</v>
      </c>
      <c r="G690" s="80">
        <f ca="1">IFERROR(__xludf.DUMMYFUNCTION("""COMPUTED_VALUE"""),44501)</f>
        <v>44501</v>
      </c>
      <c r="H690" s="6" t="str">
        <f ca="1">IFERROR(__xludf.DUMMYFUNCTION("""COMPUTED_VALUE"""),"Won")</f>
        <v>Won</v>
      </c>
      <c r="I690" s="6" t="str">
        <f ca="1">IFERROR(__xludf.DUMMYFUNCTION("""COMPUTED_VALUE"""),"6-7 Nov 2021")</f>
        <v>6-7 Nov 2021</v>
      </c>
      <c r="J690" s="6">
        <f ca="1">IFERROR(__xludf.DUMMYFUNCTION("""COMPUTED_VALUE"""),1)</f>
        <v>1</v>
      </c>
      <c r="K690" s="8">
        <f ca="1">IFERROR(__xludf.DUMMYFUNCTION("""COMPUTED_VALUE"""),45000)</f>
        <v>45000</v>
      </c>
      <c r="L690" s="8">
        <f ca="1">IFERROR(__xludf.DUMMYFUNCTION("""COMPUTED_VALUE"""),515.345854328905)</f>
        <v>515.34585432890503</v>
      </c>
      <c r="M690" s="96">
        <f ca="1">IFERROR(__xludf.DUMMYFUNCTION("""COMPUTED_VALUE"""),44503)</f>
        <v>44503</v>
      </c>
      <c r="N690" s="6" t="str">
        <f ca="1">IFERROR(__xludf.DUMMYFUNCTION("""COMPUTED_VALUE"""),"F10")</f>
        <v>F10</v>
      </c>
      <c r="O690" s="97">
        <f ca="1">IFERROR(__xludf.DUMMYFUNCTION("""COMPUTED_VALUE"""),44503)</f>
        <v>44503</v>
      </c>
      <c r="P690" s="6" t="str">
        <f ca="1">IFERROR(__xludf.DUMMYFUNCTION("""COMPUTED_VALUE"""),"CSTM_4ETZ4OH5EOI")</f>
        <v>CSTM_4ETZ4OH5EOI</v>
      </c>
      <c r="Q690" s="6"/>
      <c r="R690" s="6" t="str">
        <f ca="1">IFERROR(__xludf.DUMMYFUNCTION("""COMPUTED_VALUE"""),"Done. Good feedback.")</f>
        <v>Done. Good feedback.</v>
      </c>
      <c r="S690" s="6" t="str">
        <f ca="1">IFERROR(__xludf.DUMMYFUNCTION("""COMPUTED_VALUE"""),"SAFe")</f>
        <v>SAFe</v>
      </c>
      <c r="T690" s="6"/>
      <c r="U690" s="6"/>
      <c r="V690" s="6"/>
      <c r="W690" s="6"/>
      <c r="X690" s="6"/>
      <c r="Y690" s="6"/>
      <c r="Z690" s="6"/>
      <c r="AA690" s="6"/>
      <c r="AB690" s="6"/>
      <c r="AC690" s="6"/>
      <c r="AD690" s="6"/>
      <c r="AE690" s="6"/>
      <c r="AF690" s="6"/>
      <c r="AG690" s="6"/>
      <c r="AH690" s="6"/>
      <c r="AI690" s="6"/>
      <c r="AJ690" s="6"/>
      <c r="AK690" s="6"/>
      <c r="AL690" s="6"/>
    </row>
    <row r="691" spans="1:38">
      <c r="A691" s="96">
        <f ca="1">IFERROR(__xludf.DUMMYFUNCTION("""COMPUTED_VALUE"""),44506)</f>
        <v>44506</v>
      </c>
      <c r="B691" s="6" t="str">
        <f ca="1">IFERROR(__xludf.DUMMYFUNCTION("""COMPUTED_VALUE"""),"Shahrita")</f>
        <v>Shahrita</v>
      </c>
      <c r="C691" s="6" t="str">
        <f ca="1">IFERROR(__xludf.DUMMYFUNCTION("""COMPUTED_VALUE"""),"shahrita1@gmail.com")</f>
        <v>shahrita1@gmail.com</v>
      </c>
      <c r="D691" s="6">
        <f ca="1">IFERROR(__xludf.DUMMYFUNCTION("""COMPUTED_VALUE"""),9323672937)</f>
        <v>9323672937</v>
      </c>
      <c r="E691" s="6" t="str">
        <f ca="1">IFERROR(__xludf.DUMMYFUNCTION("""COMPUTED_VALUE"""),"Account Repeat")</f>
        <v>Account Repeat</v>
      </c>
      <c r="F691" s="6" t="str">
        <f ca="1">IFERROR(__xludf.DUMMYFUNCTION("""COMPUTED_VALUE"""),"PMP")</f>
        <v>PMP</v>
      </c>
      <c r="G691" s="80">
        <f ca="1">IFERROR(__xludf.DUMMYFUNCTION("""COMPUTED_VALUE"""),44501)</f>
        <v>44501</v>
      </c>
      <c r="H691" s="6" t="str">
        <f ca="1">IFERROR(__xludf.DUMMYFUNCTION("""COMPUTED_VALUE"""),"Won")</f>
        <v>Won</v>
      </c>
      <c r="I691" s="6" t="str">
        <f ca="1">IFERROR(__xludf.DUMMYFUNCTION("""COMPUTED_VALUE"""),"6 Nov 2021")</f>
        <v>6 Nov 2021</v>
      </c>
      <c r="J691" s="6">
        <f ca="1">IFERROR(__xludf.DUMMYFUNCTION("""COMPUTED_VALUE"""),1)</f>
        <v>1</v>
      </c>
      <c r="K691" s="8">
        <f ca="1">IFERROR(__xludf.DUMMYFUNCTION("""COMPUTED_VALUE"""),11000)</f>
        <v>11000</v>
      </c>
      <c r="L691" s="8">
        <f ca="1">IFERROR(__xludf.DUMMYFUNCTION("""COMPUTED_VALUE"""),125.973431058176)</f>
        <v>125.973431058176</v>
      </c>
      <c r="M691" s="96">
        <f ca="1">IFERROR(__xludf.DUMMYFUNCTION("""COMPUTED_VALUE"""),44506)</f>
        <v>44506</v>
      </c>
      <c r="N691" s="6" t="str">
        <f ca="1">IFERROR(__xludf.DUMMYFUNCTION("""COMPUTED_VALUE"""),"F10")</f>
        <v>F10</v>
      </c>
      <c r="O691" s="97">
        <f ca="1">IFERROR(__xludf.DUMMYFUNCTION("""COMPUTED_VALUE"""),44506)</f>
        <v>44506</v>
      </c>
      <c r="P691" s="6" t="str">
        <f ca="1">IFERROR(__xludf.DUMMYFUNCTION("""COMPUTED_VALUE"""),"CSTM_61GTX8BOW2I")</f>
        <v>CSTM_61GTX8BOW2I</v>
      </c>
      <c r="Q691" s="6"/>
      <c r="R691" s="6" t="str">
        <f ca="1">IFERROR(__xludf.DUMMYFUNCTION("""COMPUTED_VALUE"""),"Pending")</f>
        <v>Pending</v>
      </c>
      <c r="S691" s="6" t="str">
        <f ca="1">IFERROR(__xludf.DUMMYFUNCTION("""COMPUTED_VALUE"""),"NonCategory")</f>
        <v>NonCategory</v>
      </c>
      <c r="T691" s="6"/>
      <c r="U691" s="6"/>
      <c r="V691" s="6"/>
      <c r="W691" s="6"/>
      <c r="X691" s="6"/>
      <c r="Y691" s="6"/>
      <c r="Z691" s="6"/>
      <c r="AA691" s="6"/>
      <c r="AB691" s="6"/>
      <c r="AC691" s="6"/>
      <c r="AD691" s="6"/>
      <c r="AE691" s="6"/>
      <c r="AF691" s="6"/>
      <c r="AG691" s="6"/>
      <c r="AH691" s="6"/>
      <c r="AI691" s="6"/>
      <c r="AJ691" s="6"/>
      <c r="AK691" s="6"/>
      <c r="AL691" s="6"/>
    </row>
    <row r="692" spans="1:38">
      <c r="A692" s="96">
        <f ca="1">IFERROR(__xludf.DUMMYFUNCTION("""COMPUTED_VALUE"""),44508)</f>
        <v>44508</v>
      </c>
      <c r="B692" s="6" t="str">
        <f ca="1">IFERROR(__xludf.DUMMYFUNCTION("""COMPUTED_VALUE"""),"Apoorva Singh")</f>
        <v>Apoorva Singh</v>
      </c>
      <c r="C692" s="6" t="str">
        <f ca="1">IFERROR(__xludf.DUMMYFUNCTION("""COMPUTED_VALUE"""),"pmoapoorva@gmail.com")</f>
        <v>pmoapoorva@gmail.com</v>
      </c>
      <c r="D692" s="6">
        <f ca="1">IFERROR(__xludf.DUMMYFUNCTION("""COMPUTED_VALUE"""),7007670068)</f>
        <v>7007670068</v>
      </c>
      <c r="E692" s="6" t="str">
        <f ca="1">IFERROR(__xludf.DUMMYFUNCTION("""COMPUTED_VALUE"""),"Query box")</f>
        <v>Query box</v>
      </c>
      <c r="F692" s="6" t="str">
        <f ca="1">IFERROR(__xludf.DUMMYFUNCTION("""COMPUTED_VALUE"""),"CSM")</f>
        <v>CSM</v>
      </c>
      <c r="G692" s="80">
        <f ca="1">IFERROR(__xludf.DUMMYFUNCTION("""COMPUTED_VALUE"""),44501)</f>
        <v>44501</v>
      </c>
      <c r="H692" s="6" t="str">
        <f ca="1">IFERROR(__xludf.DUMMYFUNCTION("""COMPUTED_VALUE"""),"Won")</f>
        <v>Won</v>
      </c>
      <c r="I692" s="6" t="str">
        <f ca="1">IFERROR(__xludf.DUMMYFUNCTION("""COMPUTED_VALUE"""),"27-28 Nov 2021")</f>
        <v>27-28 Nov 2021</v>
      </c>
      <c r="J692" s="6">
        <f ca="1">IFERROR(__xludf.DUMMYFUNCTION("""COMPUTED_VALUE"""),1)</f>
        <v>1</v>
      </c>
      <c r="K692" s="8">
        <f ca="1">IFERROR(__xludf.DUMMYFUNCTION("""COMPUTED_VALUE"""),20000)</f>
        <v>20000</v>
      </c>
      <c r="L692" s="8">
        <f ca="1">IFERROR(__xludf.DUMMYFUNCTION("""COMPUTED_VALUE"""),229.042601923957)</f>
        <v>229.04260192395699</v>
      </c>
      <c r="M692" s="96">
        <f ca="1">IFERROR(__xludf.DUMMYFUNCTION("""COMPUTED_VALUE"""),44508)</f>
        <v>44508</v>
      </c>
      <c r="N692" s="6" t="str">
        <f ca="1">IFERROR(__xludf.DUMMYFUNCTION("""COMPUTED_VALUE"""),"F10")</f>
        <v>F10</v>
      </c>
      <c r="O692" s="97">
        <f ca="1">IFERROR(__xludf.DUMMYFUNCTION("""COMPUTED_VALUE"""),44508)</f>
        <v>44508</v>
      </c>
      <c r="P692" s="6" t="str">
        <f ca="1">IFERROR(__xludf.DUMMYFUNCTION("""COMPUTED_VALUE"""),"CSTM_C3Y9F9WZF65")</f>
        <v>CSTM_C3Y9F9WZF65</v>
      </c>
      <c r="Q692" s="6"/>
      <c r="R692" s="6" t="str">
        <f ca="1">IFERROR(__xludf.DUMMYFUNCTION("""COMPUTED_VALUE"""),"Pending")</f>
        <v>Pending</v>
      </c>
      <c r="S692" s="6" t="str">
        <f ca="1">IFERROR(__xludf.DUMMYFUNCTION("""COMPUTED_VALUE"""),"Category")</f>
        <v>Category</v>
      </c>
      <c r="T692" s="6"/>
      <c r="U692" s="6"/>
      <c r="V692" s="6"/>
      <c r="W692" s="6"/>
      <c r="X692" s="6"/>
      <c r="Y692" s="6"/>
      <c r="Z692" s="6"/>
      <c r="AA692" s="6"/>
      <c r="AB692" s="6"/>
      <c r="AC692" s="6"/>
      <c r="AD692" s="6"/>
      <c r="AE692" s="6"/>
      <c r="AF692" s="6"/>
      <c r="AG692" s="6"/>
      <c r="AH692" s="6"/>
      <c r="AI692" s="6"/>
      <c r="AJ692" s="6"/>
      <c r="AK692" s="6"/>
      <c r="AL692" s="6"/>
    </row>
    <row r="693" spans="1:38">
      <c r="A693" s="96">
        <f ca="1">IFERROR(__xludf.DUMMYFUNCTION("""COMPUTED_VALUE"""),44508)</f>
        <v>44508</v>
      </c>
      <c r="B693" s="6" t="str">
        <f ca="1">IFERROR(__xludf.DUMMYFUNCTION("""COMPUTED_VALUE"""),"Ganapathi Subramanian")</f>
        <v>Ganapathi Subramanian</v>
      </c>
      <c r="C693" s="6" t="str">
        <f ca="1">IFERROR(__xludf.DUMMYFUNCTION("""COMPUTED_VALUE"""),"ngsmanian@gmail.com")</f>
        <v>ngsmanian@gmail.com</v>
      </c>
      <c r="D693" s="6">
        <f ca="1">IFERROR(__xludf.DUMMYFUNCTION("""COMPUTED_VALUE"""),9841301821)</f>
        <v>9841301821</v>
      </c>
      <c r="E693" s="6" t="str">
        <f ca="1">IFERROR(__xludf.DUMMYFUNCTION("""COMPUTED_VALUE"""),"Reference")</f>
        <v>Reference</v>
      </c>
      <c r="F693" s="6" t="str">
        <f ca="1">IFERROR(__xludf.DUMMYFUNCTION("""COMPUTED_VALUE"""),"PSM")</f>
        <v>PSM</v>
      </c>
      <c r="G693" s="80">
        <f ca="1">IFERROR(__xludf.DUMMYFUNCTION("""COMPUTED_VALUE"""),44501)</f>
        <v>44501</v>
      </c>
      <c r="H693" s="6" t="str">
        <f ca="1">IFERROR(__xludf.DUMMYFUNCTION("""COMPUTED_VALUE"""),"Won")</f>
        <v>Won</v>
      </c>
      <c r="I693" s="6" t="str">
        <f ca="1">IFERROR(__xludf.DUMMYFUNCTION("""COMPUTED_VALUE"""),"13-14 Nov 2021")</f>
        <v>13-14 Nov 2021</v>
      </c>
      <c r="J693" s="6">
        <f ca="1">IFERROR(__xludf.DUMMYFUNCTION("""COMPUTED_VALUE"""),1)</f>
        <v>1</v>
      </c>
      <c r="K693" s="8">
        <f ca="1">IFERROR(__xludf.DUMMYFUNCTION("""COMPUTED_VALUE"""),21000)</f>
        <v>21000</v>
      </c>
      <c r="L693" s="8">
        <f ca="1">IFERROR(__xludf.DUMMYFUNCTION("""COMPUTED_VALUE"""),240.494732020155)</f>
        <v>240.494732020155</v>
      </c>
      <c r="M693" s="96">
        <f ca="1">IFERROR(__xludf.DUMMYFUNCTION("""COMPUTED_VALUE"""),44508)</f>
        <v>44508</v>
      </c>
      <c r="N693" s="6" t="str">
        <f ca="1">IFERROR(__xludf.DUMMYFUNCTION("""COMPUTED_VALUE"""),"F10")</f>
        <v>F10</v>
      </c>
      <c r="O693" s="97">
        <f ca="1">IFERROR(__xludf.DUMMYFUNCTION("""COMPUTED_VALUE"""),44508)</f>
        <v>44508</v>
      </c>
      <c r="P693" s="6" t="str">
        <f ca="1">IFERROR(__xludf.DUMMYFUNCTION("""COMPUTED_VALUE"""),"CSTM_87IHXMI7CX7")</f>
        <v>CSTM_87IHXMI7CX7</v>
      </c>
      <c r="Q693" s="6" t="str">
        <f ca="1">IFERROR(__xludf.DUMMYFUNCTION("""COMPUTED_VALUE"""),"Reference by Tanu N")</f>
        <v>Reference by Tanu N</v>
      </c>
      <c r="R693" s="6" t="str">
        <f ca="1">IFERROR(__xludf.DUMMYFUNCTION("""COMPUTED_VALUE"""),"Done. Good feedback.")</f>
        <v>Done. Good feedback.</v>
      </c>
      <c r="S693" s="6" t="str">
        <f ca="1">IFERROR(__xludf.DUMMYFUNCTION("""COMPUTED_VALUE"""),"Category")</f>
        <v>Category</v>
      </c>
      <c r="T693" s="6"/>
      <c r="U693" s="6"/>
      <c r="V693" s="6"/>
      <c r="W693" s="6"/>
      <c r="X693" s="6"/>
      <c r="Y693" s="6"/>
      <c r="Z693" s="6"/>
      <c r="AA693" s="6"/>
      <c r="AB693" s="6"/>
      <c r="AC693" s="6"/>
      <c r="AD693" s="6"/>
      <c r="AE693" s="6"/>
      <c r="AF693" s="6"/>
      <c r="AG693" s="6"/>
      <c r="AH693" s="6"/>
      <c r="AI693" s="6"/>
      <c r="AJ693" s="6"/>
      <c r="AK693" s="6"/>
      <c r="AL693" s="6"/>
    </row>
    <row r="694" spans="1:38">
      <c r="A694" s="96">
        <f ca="1">IFERROR(__xludf.DUMMYFUNCTION("""COMPUTED_VALUE"""),44508)</f>
        <v>44508</v>
      </c>
      <c r="B694" s="6" t="str">
        <f ca="1">IFERROR(__xludf.DUMMYFUNCTION("""COMPUTED_VALUE"""),"Anuradha Krishna")</f>
        <v>Anuradha Krishna</v>
      </c>
      <c r="C694" s="6" t="str">
        <f ca="1">IFERROR(__xludf.DUMMYFUNCTION("""COMPUTED_VALUE"""),"anuradhakrishna2016@gmail.com")</f>
        <v>anuradhakrishna2016@gmail.com</v>
      </c>
      <c r="D694" s="6">
        <f ca="1">IFERROR(__xludf.DUMMYFUNCTION("""COMPUTED_VALUE"""),9582238923)</f>
        <v>9582238923</v>
      </c>
      <c r="E694" s="6" t="str">
        <f ca="1">IFERROR(__xludf.DUMMYFUNCTION("""COMPUTED_VALUE"""),"Reference")</f>
        <v>Reference</v>
      </c>
      <c r="F694" s="6" t="str">
        <f ca="1">IFERROR(__xludf.DUMMYFUNCTION("""COMPUTED_VALUE"""),"PSPO")</f>
        <v>PSPO</v>
      </c>
      <c r="G694" s="80">
        <f ca="1">IFERROR(__xludf.DUMMYFUNCTION("""COMPUTED_VALUE"""),44501)</f>
        <v>44501</v>
      </c>
      <c r="H694" s="6" t="str">
        <f ca="1">IFERROR(__xludf.DUMMYFUNCTION("""COMPUTED_VALUE"""),"Won")</f>
        <v>Won</v>
      </c>
      <c r="I694" s="6" t="str">
        <f ca="1">IFERROR(__xludf.DUMMYFUNCTION("""COMPUTED_VALUE"""),"13-14 Nov 2021")</f>
        <v>13-14 Nov 2021</v>
      </c>
      <c r="J694" s="6">
        <f ca="1">IFERROR(__xludf.DUMMYFUNCTION("""COMPUTED_VALUE"""),1)</f>
        <v>1</v>
      </c>
      <c r="K694" s="8">
        <f ca="1">IFERROR(__xludf.DUMMYFUNCTION("""COMPUTED_VALUE"""),21000)</f>
        <v>21000</v>
      </c>
      <c r="L694" s="8">
        <f ca="1">IFERROR(__xludf.DUMMYFUNCTION("""COMPUTED_VALUE"""),240.494732020155)</f>
        <v>240.494732020155</v>
      </c>
      <c r="M694" s="96">
        <f ca="1">IFERROR(__xludf.DUMMYFUNCTION("""COMPUTED_VALUE"""),44508)</f>
        <v>44508</v>
      </c>
      <c r="N694" s="6" t="str">
        <f ca="1">IFERROR(__xludf.DUMMYFUNCTION("""COMPUTED_VALUE"""),"F10")</f>
        <v>F10</v>
      </c>
      <c r="O694" s="97">
        <f ca="1">IFERROR(__xludf.DUMMYFUNCTION("""COMPUTED_VALUE"""),44508)</f>
        <v>44508</v>
      </c>
      <c r="P694" s="6" t="str">
        <f ca="1">IFERROR(__xludf.DUMMYFUNCTION("""COMPUTED_VALUE"""),"CSTM_341W24ITG53")</f>
        <v>CSTM_341W24ITG53</v>
      </c>
      <c r="Q694" s="6" t="str">
        <f ca="1">IFERROR(__xludf.DUMMYFUNCTION("""COMPUTED_VALUE"""),"Reference by Tanu N")</f>
        <v>Reference by Tanu N</v>
      </c>
      <c r="R694" s="6" t="str">
        <f ca="1">IFERROR(__xludf.DUMMYFUNCTION("""COMPUTED_VALUE"""),"Done. Good feedback.")</f>
        <v>Done. Good feedback.</v>
      </c>
      <c r="S694" s="6" t="str">
        <f ca="1">IFERROR(__xludf.DUMMYFUNCTION("""COMPUTED_VALUE"""),"Category")</f>
        <v>Category</v>
      </c>
      <c r="T694" s="6"/>
      <c r="U694" s="6"/>
      <c r="V694" s="6"/>
      <c r="W694" s="6"/>
      <c r="X694" s="6"/>
      <c r="Y694" s="6"/>
      <c r="Z694" s="6"/>
      <c r="AA694" s="6"/>
      <c r="AB694" s="6"/>
      <c r="AC694" s="6"/>
      <c r="AD694" s="6"/>
      <c r="AE694" s="6"/>
      <c r="AF694" s="6"/>
      <c r="AG694" s="6"/>
      <c r="AH694" s="6"/>
      <c r="AI694" s="6"/>
      <c r="AJ694" s="6"/>
      <c r="AK694" s="6"/>
      <c r="AL694" s="6"/>
    </row>
    <row r="695" spans="1:38">
      <c r="A695" s="96">
        <f ca="1">IFERROR(__xludf.DUMMYFUNCTION("""COMPUTED_VALUE"""),44509)</f>
        <v>44509</v>
      </c>
      <c r="B695" s="6" t="str">
        <f ca="1">IFERROR(__xludf.DUMMYFUNCTION("""COMPUTED_VALUE"""),"Ranbir Singh")</f>
        <v>Ranbir Singh</v>
      </c>
      <c r="C695" s="6" t="str">
        <f ca="1">IFERROR(__xludf.DUMMYFUNCTION("""COMPUTED_VALUE"""),"rsingh.vit@gmail.com")</f>
        <v>rsingh.vit@gmail.com</v>
      </c>
      <c r="D695" s="6">
        <f ca="1">IFERROR(__xludf.DUMMYFUNCTION("""COMPUTED_VALUE"""),9987707042)</f>
        <v>9987707042</v>
      </c>
      <c r="E695" s="6" t="str">
        <f ca="1">IFERROR(__xludf.DUMMYFUNCTION("""COMPUTED_VALUE"""),"Account Repeat")</f>
        <v>Account Repeat</v>
      </c>
      <c r="F695" s="6" t="str">
        <f ca="1">IFERROR(__xludf.DUMMYFUNCTION("""COMPUTED_VALUE"""),"SAFe POPM")</f>
        <v>SAFe POPM</v>
      </c>
      <c r="G695" s="80">
        <f ca="1">IFERROR(__xludf.DUMMYFUNCTION("""COMPUTED_VALUE"""),44501)</f>
        <v>44501</v>
      </c>
      <c r="H695" s="6" t="str">
        <f ca="1">IFERROR(__xludf.DUMMYFUNCTION("""COMPUTED_VALUE"""),"Won")</f>
        <v>Won</v>
      </c>
      <c r="I695" s="6" t="str">
        <f ca="1">IFERROR(__xludf.DUMMYFUNCTION("""COMPUTED_VALUE"""),"13-14 Nov 2021")</f>
        <v>13-14 Nov 2021</v>
      </c>
      <c r="J695" s="6">
        <f ca="1">IFERROR(__xludf.DUMMYFUNCTION("""COMPUTED_VALUE"""),1)</f>
        <v>1</v>
      </c>
      <c r="K695" s="8">
        <f ca="1">IFERROR(__xludf.DUMMYFUNCTION("""COMPUTED_VALUE"""),45000)</f>
        <v>45000</v>
      </c>
      <c r="L695" s="8">
        <f ca="1">IFERROR(__xludf.DUMMYFUNCTION("""COMPUTED_VALUE"""),515.345854328905)</f>
        <v>515.34585432890503</v>
      </c>
      <c r="M695" s="96">
        <f ca="1">IFERROR(__xludf.DUMMYFUNCTION("""COMPUTED_VALUE"""),44509)</f>
        <v>44509</v>
      </c>
      <c r="N695" s="6" t="str">
        <f ca="1">IFERROR(__xludf.DUMMYFUNCTION("""COMPUTED_VALUE"""),"F10")</f>
        <v>F10</v>
      </c>
      <c r="O695" s="97">
        <f ca="1">IFERROR(__xludf.DUMMYFUNCTION("""COMPUTED_VALUE"""),44509)</f>
        <v>44509</v>
      </c>
      <c r="P695" s="6" t="str">
        <f ca="1">IFERROR(__xludf.DUMMYFUNCTION("""COMPUTED_VALUE"""),"CSTM_DBGN70K5R75")</f>
        <v>CSTM_DBGN70K5R75</v>
      </c>
      <c r="Q695" s="6"/>
      <c r="R695" s="6" t="str">
        <f ca="1">IFERROR(__xludf.DUMMYFUNCTION("""COMPUTED_VALUE"""),"Done. Good feedback.")</f>
        <v>Done. Good feedback.</v>
      </c>
      <c r="S695" s="6" t="str">
        <f ca="1">IFERROR(__xludf.DUMMYFUNCTION("""COMPUTED_VALUE"""),"SAFe")</f>
        <v>SAFe</v>
      </c>
      <c r="T695" s="6"/>
      <c r="U695" s="6"/>
      <c r="V695" s="6"/>
      <c r="W695" s="6"/>
      <c r="X695" s="6"/>
      <c r="Y695" s="6"/>
      <c r="Z695" s="6"/>
      <c r="AA695" s="6"/>
      <c r="AB695" s="6"/>
      <c r="AC695" s="6"/>
      <c r="AD695" s="6"/>
      <c r="AE695" s="6"/>
      <c r="AF695" s="6"/>
      <c r="AG695" s="6"/>
      <c r="AH695" s="6"/>
      <c r="AI695" s="6"/>
      <c r="AJ695" s="6"/>
      <c r="AK695" s="6"/>
      <c r="AL695" s="6"/>
    </row>
    <row r="696" spans="1:38">
      <c r="A696" s="96">
        <f ca="1">IFERROR(__xludf.DUMMYFUNCTION("""COMPUTED_VALUE"""),44509)</f>
        <v>44509</v>
      </c>
      <c r="B696" s="6" t="str">
        <f ca="1">IFERROR(__xludf.DUMMYFUNCTION("""COMPUTED_VALUE"""),"Nhanu Chavan")</f>
        <v>Nhanu Chavan</v>
      </c>
      <c r="C696" s="6" t="str">
        <f ca="1">IFERROR(__xludf.DUMMYFUNCTION("""COMPUTED_VALUE"""),"nhanuchavan@rediffmail.com")</f>
        <v>nhanuchavan@rediffmail.com</v>
      </c>
      <c r="D696" s="6">
        <f ca="1">IFERROR(__xludf.DUMMYFUNCTION("""COMPUTED_VALUE"""),9987060687)</f>
        <v>9987060687</v>
      </c>
      <c r="E696" s="6" t="str">
        <f ca="1">IFERROR(__xludf.DUMMYFUNCTION("""COMPUTED_VALUE"""),"Reference")</f>
        <v>Reference</v>
      </c>
      <c r="F696" s="6" t="str">
        <f ca="1">IFERROR(__xludf.DUMMYFUNCTION("""COMPUTED_VALUE"""),"SAFe POPM")</f>
        <v>SAFe POPM</v>
      </c>
      <c r="G696" s="80">
        <f ca="1">IFERROR(__xludf.DUMMYFUNCTION("""COMPUTED_VALUE"""),44501)</f>
        <v>44501</v>
      </c>
      <c r="H696" s="6" t="str">
        <f ca="1">IFERROR(__xludf.DUMMYFUNCTION("""COMPUTED_VALUE"""),"Won")</f>
        <v>Won</v>
      </c>
      <c r="I696" s="6" t="str">
        <f ca="1">IFERROR(__xludf.DUMMYFUNCTION("""COMPUTED_VALUE"""),"13-14 Nov 2021")</f>
        <v>13-14 Nov 2021</v>
      </c>
      <c r="J696" s="6">
        <f ca="1">IFERROR(__xludf.DUMMYFUNCTION("""COMPUTED_VALUE"""),1)</f>
        <v>1</v>
      </c>
      <c r="K696" s="8">
        <f ca="1">IFERROR(__xludf.DUMMYFUNCTION("""COMPUTED_VALUE"""),45000)</f>
        <v>45000</v>
      </c>
      <c r="L696" s="8">
        <f ca="1">IFERROR(__xludf.DUMMYFUNCTION("""COMPUTED_VALUE"""),515.345854328905)</f>
        <v>515.34585432890503</v>
      </c>
      <c r="M696" s="96">
        <f ca="1">IFERROR(__xludf.DUMMYFUNCTION("""COMPUTED_VALUE"""),44509)</f>
        <v>44509</v>
      </c>
      <c r="N696" s="6" t="str">
        <f ca="1">IFERROR(__xludf.DUMMYFUNCTION("""COMPUTED_VALUE"""),"F10")</f>
        <v>F10</v>
      </c>
      <c r="O696" s="97">
        <f ca="1">IFERROR(__xludf.DUMMYFUNCTION("""COMPUTED_VALUE"""),44509)</f>
        <v>44509</v>
      </c>
      <c r="P696" s="6" t="str">
        <f ca="1">IFERROR(__xludf.DUMMYFUNCTION("""COMPUTED_VALUE"""),"CSTM_EJVRJVSOKJB")</f>
        <v>CSTM_EJVRJVSOKJB</v>
      </c>
      <c r="Q696" s="6" t="str">
        <f ca="1">IFERROR(__xludf.DUMMYFUNCTION("""COMPUTED_VALUE"""),"Reference by Ravi Dutt")</f>
        <v>Reference by Ravi Dutt</v>
      </c>
      <c r="R696" s="6" t="str">
        <f ca="1">IFERROR(__xludf.DUMMYFUNCTION("""COMPUTED_VALUE"""),"Done. Good feedback.")</f>
        <v>Done. Good feedback.</v>
      </c>
      <c r="S696" s="6" t="str">
        <f ca="1">IFERROR(__xludf.DUMMYFUNCTION("""COMPUTED_VALUE"""),"SAFe")</f>
        <v>SAFe</v>
      </c>
      <c r="T696" s="6"/>
      <c r="U696" s="6"/>
      <c r="V696" s="6"/>
      <c r="W696" s="6"/>
      <c r="X696" s="6"/>
      <c r="Y696" s="6"/>
      <c r="Z696" s="6"/>
      <c r="AA696" s="6"/>
      <c r="AB696" s="6"/>
      <c r="AC696" s="6"/>
      <c r="AD696" s="6"/>
      <c r="AE696" s="6"/>
      <c r="AF696" s="6"/>
      <c r="AG696" s="6"/>
      <c r="AH696" s="6"/>
      <c r="AI696" s="6"/>
      <c r="AJ696" s="6"/>
      <c r="AK696" s="6"/>
      <c r="AL696" s="6"/>
    </row>
    <row r="697" spans="1:38">
      <c r="A697" s="96">
        <f ca="1">IFERROR(__xludf.DUMMYFUNCTION("""COMPUTED_VALUE"""),44509)</f>
        <v>44509</v>
      </c>
      <c r="B697" s="6" t="str">
        <f ca="1">IFERROR(__xludf.DUMMYFUNCTION("""COMPUTED_VALUE"""),"Kavita Vinod")</f>
        <v>Kavita Vinod</v>
      </c>
      <c r="C697" s="6" t="str">
        <f ca="1">IFERROR(__xludf.DUMMYFUNCTION("""COMPUTED_VALUE"""),"kavita.vinnu@gmail.com")</f>
        <v>kavita.vinnu@gmail.com</v>
      </c>
      <c r="D697" s="6">
        <f ca="1">IFERROR(__xludf.DUMMYFUNCTION("""COMPUTED_VALUE"""),9819423554)</f>
        <v>9819423554</v>
      </c>
      <c r="E697" s="6" t="str">
        <f ca="1">IFERROR(__xludf.DUMMYFUNCTION("""COMPUTED_VALUE"""),"Query box_LP")</f>
        <v>Query box_LP</v>
      </c>
      <c r="F697" s="6" t="str">
        <f ca="1">IFERROR(__xludf.DUMMYFUNCTION("""COMPUTED_VALUE"""),"PSM")</f>
        <v>PSM</v>
      </c>
      <c r="G697" s="80">
        <f ca="1">IFERROR(__xludf.DUMMYFUNCTION("""COMPUTED_VALUE"""),44501)</f>
        <v>44501</v>
      </c>
      <c r="H697" s="6" t="str">
        <f ca="1">IFERROR(__xludf.DUMMYFUNCTION("""COMPUTED_VALUE"""),"Won")</f>
        <v>Won</v>
      </c>
      <c r="I697" s="6" t="str">
        <f ca="1">IFERROR(__xludf.DUMMYFUNCTION("""COMPUTED_VALUE"""),"13-14 Nov 2021")</f>
        <v>13-14 Nov 2021</v>
      </c>
      <c r="J697" s="6">
        <f ca="1">IFERROR(__xludf.DUMMYFUNCTION("""COMPUTED_VALUE"""),1)</f>
        <v>1</v>
      </c>
      <c r="K697" s="8">
        <f ca="1">IFERROR(__xludf.DUMMYFUNCTION("""COMPUTED_VALUE"""),21000)</f>
        <v>21000</v>
      </c>
      <c r="L697" s="8">
        <f ca="1">IFERROR(__xludf.DUMMYFUNCTION("""COMPUTED_VALUE"""),240.494732020155)</f>
        <v>240.494732020155</v>
      </c>
      <c r="M697" s="96">
        <f ca="1">IFERROR(__xludf.DUMMYFUNCTION("""COMPUTED_VALUE"""),44509)</f>
        <v>44509</v>
      </c>
      <c r="N697" s="6" t="str">
        <f ca="1">IFERROR(__xludf.DUMMYFUNCTION("""COMPUTED_VALUE"""),"F10")</f>
        <v>F10</v>
      </c>
      <c r="O697" s="97">
        <f ca="1">IFERROR(__xludf.DUMMYFUNCTION("""COMPUTED_VALUE"""),44509)</f>
        <v>44509</v>
      </c>
      <c r="P697" s="6" t="str">
        <f ca="1">IFERROR(__xludf.DUMMYFUNCTION("""COMPUTED_VALUE"""),"CSTM_FMTAANLZWVR")</f>
        <v>CSTM_FMTAANLZWVR</v>
      </c>
      <c r="Q697" s="6"/>
      <c r="R697" s="6" t="str">
        <f ca="1">IFERROR(__xludf.DUMMYFUNCTION("""COMPUTED_VALUE"""),"Done. Good feedback.")</f>
        <v>Done. Good feedback.</v>
      </c>
      <c r="S697" s="6" t="str">
        <f ca="1">IFERROR(__xludf.DUMMYFUNCTION("""COMPUTED_VALUE"""),"Category")</f>
        <v>Category</v>
      </c>
      <c r="T697" s="6"/>
      <c r="U697" s="6"/>
      <c r="V697" s="6"/>
      <c r="W697" s="6"/>
      <c r="X697" s="6"/>
      <c r="Y697" s="6"/>
      <c r="Z697" s="6"/>
      <c r="AA697" s="6"/>
      <c r="AB697" s="6"/>
      <c r="AC697" s="6"/>
      <c r="AD697" s="6"/>
      <c r="AE697" s="6"/>
      <c r="AF697" s="6"/>
      <c r="AG697" s="6"/>
      <c r="AH697" s="6"/>
      <c r="AI697" s="6"/>
      <c r="AJ697" s="6"/>
      <c r="AK697" s="6"/>
      <c r="AL697" s="6"/>
    </row>
    <row r="698" spans="1:38">
      <c r="A698" s="96">
        <f ca="1">IFERROR(__xludf.DUMMYFUNCTION("""COMPUTED_VALUE"""),44509)</f>
        <v>44509</v>
      </c>
      <c r="B698" s="6" t="str">
        <f ca="1">IFERROR(__xludf.DUMMYFUNCTION("""COMPUTED_VALUE"""),"Manik Bohidar")</f>
        <v>Manik Bohidar</v>
      </c>
      <c r="C698" s="6" t="str">
        <f ca="1">IFERROR(__xludf.DUMMYFUNCTION("""COMPUTED_VALUE"""),"manik.bohidar@tcs.com")</f>
        <v>manik.bohidar@tcs.com</v>
      </c>
      <c r="D698" s="6">
        <f ca="1">IFERROR(__xludf.DUMMYFUNCTION("""COMPUTED_VALUE"""),7077645125)</f>
        <v>7077645125</v>
      </c>
      <c r="E698" s="6" t="str">
        <f ca="1">IFERROR(__xludf.DUMMYFUNCTION("""COMPUTED_VALUE"""),"course agenda")</f>
        <v>course agenda</v>
      </c>
      <c r="F698" s="6" t="str">
        <f ca="1">IFERROR(__xludf.DUMMYFUNCTION("""COMPUTED_VALUE"""),"PSM")</f>
        <v>PSM</v>
      </c>
      <c r="G698" s="80">
        <f ca="1">IFERROR(__xludf.DUMMYFUNCTION("""COMPUTED_VALUE"""),44501)</f>
        <v>44501</v>
      </c>
      <c r="H698" s="6" t="str">
        <f ca="1">IFERROR(__xludf.DUMMYFUNCTION("""COMPUTED_VALUE"""),"Won")</f>
        <v>Won</v>
      </c>
      <c r="I698" s="6" t="str">
        <f ca="1">IFERROR(__xludf.DUMMYFUNCTION("""COMPUTED_VALUE"""),"13-14 Nov 2021")</f>
        <v>13-14 Nov 2021</v>
      </c>
      <c r="J698" s="6">
        <f ca="1">IFERROR(__xludf.DUMMYFUNCTION("""COMPUTED_VALUE"""),1)</f>
        <v>1</v>
      </c>
      <c r="K698" s="8">
        <f ca="1">IFERROR(__xludf.DUMMYFUNCTION("""COMPUTED_VALUE"""),20500)</f>
        <v>20500</v>
      </c>
      <c r="L698" s="8">
        <f ca="1">IFERROR(__xludf.DUMMYFUNCTION("""COMPUTED_VALUE"""),234.768666972056)</f>
        <v>234.768666972056</v>
      </c>
      <c r="M698" s="96">
        <f ca="1">IFERROR(__xludf.DUMMYFUNCTION("""COMPUTED_VALUE"""),44509)</f>
        <v>44509</v>
      </c>
      <c r="N698" s="6" t="str">
        <f ca="1">IFERROR(__xludf.DUMMYFUNCTION("""COMPUTED_VALUE"""),"F10")</f>
        <v>F10</v>
      </c>
      <c r="O698" s="97">
        <f ca="1">IFERROR(__xludf.DUMMYFUNCTION("""COMPUTED_VALUE"""),44509)</f>
        <v>44509</v>
      </c>
      <c r="P698" s="6" t="str">
        <f ca="1">IFERROR(__xludf.DUMMYFUNCTION("""COMPUTED_VALUE"""),"CSTM_HOHLV046BX")</f>
        <v>CSTM_HOHLV046BX</v>
      </c>
      <c r="Q698" s="6"/>
      <c r="R698" s="6" t="str">
        <f ca="1">IFERROR(__xludf.DUMMYFUNCTION("""COMPUTED_VALUE"""),"Done. Good feedback.")</f>
        <v>Done. Good feedback.</v>
      </c>
      <c r="S698" s="6" t="str">
        <f ca="1">IFERROR(__xludf.DUMMYFUNCTION("""COMPUTED_VALUE"""),"Category")</f>
        <v>Category</v>
      </c>
      <c r="T698" s="6"/>
      <c r="U698" s="6"/>
      <c r="V698" s="6"/>
      <c r="W698" s="6"/>
      <c r="X698" s="6"/>
      <c r="Y698" s="6"/>
      <c r="Z698" s="6"/>
      <c r="AA698" s="6"/>
      <c r="AB698" s="6"/>
      <c r="AC698" s="6"/>
      <c r="AD698" s="6"/>
      <c r="AE698" s="6"/>
      <c r="AF698" s="6"/>
      <c r="AG698" s="6"/>
      <c r="AH698" s="6"/>
      <c r="AI698" s="6"/>
      <c r="AJ698" s="6"/>
      <c r="AK698" s="6"/>
      <c r="AL698" s="6"/>
    </row>
    <row r="699" spans="1:38">
      <c r="A699" s="96">
        <f ca="1">IFERROR(__xludf.DUMMYFUNCTION("""COMPUTED_VALUE"""),44510)</f>
        <v>44510</v>
      </c>
      <c r="B699" s="6" t="str">
        <f ca="1">IFERROR(__xludf.DUMMYFUNCTION("""COMPUTED_VALUE"""),"Akhila Chandran")</f>
        <v>Akhila Chandran</v>
      </c>
      <c r="C699" s="6" t="str">
        <f ca="1">IFERROR(__xludf.DUMMYFUNCTION("""COMPUTED_VALUE"""),"akhila.b.chandran@gmail.com")</f>
        <v>akhila.b.chandran@gmail.com</v>
      </c>
      <c r="D699" s="6">
        <f ca="1">IFERROR(__xludf.DUMMYFUNCTION("""COMPUTED_VALUE"""),9886300730)</f>
        <v>9886300730</v>
      </c>
      <c r="E699" s="6" t="str">
        <f ca="1">IFERROR(__xludf.DUMMYFUNCTION("""COMPUTED_VALUE"""),"chat_initiated")</f>
        <v>chat_initiated</v>
      </c>
      <c r="F699" s="6" t="str">
        <f ca="1">IFERROR(__xludf.DUMMYFUNCTION("""COMPUTED_VALUE"""),"PSM")</f>
        <v>PSM</v>
      </c>
      <c r="G699" s="80">
        <f ca="1">IFERROR(__xludf.DUMMYFUNCTION("""COMPUTED_VALUE"""),44501)</f>
        <v>44501</v>
      </c>
      <c r="H699" s="6" t="str">
        <f ca="1">IFERROR(__xludf.DUMMYFUNCTION("""COMPUTED_VALUE"""),"Won")</f>
        <v>Won</v>
      </c>
      <c r="I699" s="6" t="str">
        <f ca="1">IFERROR(__xludf.DUMMYFUNCTION("""COMPUTED_VALUE"""),"18-19 Dec 2021")</f>
        <v>18-19 Dec 2021</v>
      </c>
      <c r="J699" s="6">
        <f ca="1">IFERROR(__xludf.DUMMYFUNCTION("""COMPUTED_VALUE"""),1)</f>
        <v>1</v>
      </c>
      <c r="K699" s="8">
        <f ca="1">IFERROR(__xludf.DUMMYFUNCTION("""COMPUTED_VALUE"""),21000)</f>
        <v>21000</v>
      </c>
      <c r="L699" s="8">
        <f ca="1">IFERROR(__xludf.DUMMYFUNCTION("""COMPUTED_VALUE"""),240.494732020155)</f>
        <v>240.494732020155</v>
      </c>
      <c r="M699" s="96">
        <f ca="1">IFERROR(__xludf.DUMMYFUNCTION("""COMPUTED_VALUE"""),44510)</f>
        <v>44510</v>
      </c>
      <c r="N699" s="6" t="str">
        <f ca="1">IFERROR(__xludf.DUMMYFUNCTION("""COMPUTED_VALUE"""),"F10")</f>
        <v>F10</v>
      </c>
      <c r="O699" s="97">
        <f ca="1">IFERROR(__xludf.DUMMYFUNCTION("""COMPUTED_VALUE"""),44510)</f>
        <v>44510</v>
      </c>
      <c r="P699" s="6" t="str">
        <f ca="1">IFERROR(__xludf.DUMMYFUNCTION("""COMPUTED_VALUE"""),"CSTM_JJBS02FCTY7")</f>
        <v>CSTM_JJBS02FCTY7</v>
      </c>
      <c r="Q699" s="6"/>
      <c r="R699" s="6" t="str">
        <f ca="1">IFERROR(__xludf.DUMMYFUNCTION("""COMPUTED_VALUE"""),"Done. Good feedback.")</f>
        <v>Done. Good feedback.</v>
      </c>
      <c r="S699" s="6" t="str">
        <f ca="1">IFERROR(__xludf.DUMMYFUNCTION("""COMPUTED_VALUE"""),"Category")</f>
        <v>Category</v>
      </c>
      <c r="T699" s="6"/>
      <c r="U699" s="6"/>
      <c r="V699" s="6"/>
      <c r="W699" s="6"/>
      <c r="X699" s="6"/>
      <c r="Y699" s="6"/>
      <c r="Z699" s="6"/>
      <c r="AA699" s="6"/>
      <c r="AB699" s="6"/>
      <c r="AC699" s="6"/>
      <c r="AD699" s="6"/>
      <c r="AE699" s="6"/>
      <c r="AF699" s="6"/>
      <c r="AG699" s="6"/>
      <c r="AH699" s="6"/>
      <c r="AI699" s="6"/>
      <c r="AJ699" s="6"/>
      <c r="AK699" s="6"/>
      <c r="AL699" s="6"/>
    </row>
    <row r="700" spans="1:38">
      <c r="A700" s="96">
        <f ca="1">IFERROR(__xludf.DUMMYFUNCTION("""COMPUTED_VALUE"""),44510)</f>
        <v>44510</v>
      </c>
      <c r="B700" s="6" t="str">
        <f ca="1">IFERROR(__xludf.DUMMYFUNCTION("""COMPUTED_VALUE"""),"Swayang Dipta")</f>
        <v>Swayang Dipta</v>
      </c>
      <c r="C700" s="6" t="str">
        <f ca="1">IFERROR(__xludf.DUMMYFUNCTION("""COMPUTED_VALUE"""),"swayang.cse@gmail.com")</f>
        <v>swayang.cse@gmail.com</v>
      </c>
      <c r="D700" s="6">
        <f ca="1">IFERROR(__xludf.DUMMYFUNCTION("""COMPUTED_VALUE"""),9836655006)</f>
        <v>9836655006</v>
      </c>
      <c r="E700" s="6" t="str">
        <f ca="1">IFERROR(__xludf.DUMMYFUNCTION("""COMPUTED_VALUE"""),"chat_initiated")</f>
        <v>chat_initiated</v>
      </c>
      <c r="F700" s="6" t="str">
        <f ca="1">IFERROR(__xludf.DUMMYFUNCTION("""COMPUTED_VALUE"""),"PSPO")</f>
        <v>PSPO</v>
      </c>
      <c r="G700" s="80">
        <f ca="1">IFERROR(__xludf.DUMMYFUNCTION("""COMPUTED_VALUE"""),44501)</f>
        <v>44501</v>
      </c>
      <c r="H700" s="6" t="str">
        <f ca="1">IFERROR(__xludf.DUMMYFUNCTION("""COMPUTED_VALUE"""),"Won")</f>
        <v>Won</v>
      </c>
      <c r="I700" s="6" t="str">
        <f ca="1">IFERROR(__xludf.DUMMYFUNCTION("""COMPUTED_VALUE"""),"13-14 Nov 2021")</f>
        <v>13-14 Nov 2021</v>
      </c>
      <c r="J700" s="6">
        <f ca="1">IFERROR(__xludf.DUMMYFUNCTION("""COMPUTED_VALUE"""),1)</f>
        <v>1</v>
      </c>
      <c r="K700" s="8">
        <f ca="1">IFERROR(__xludf.DUMMYFUNCTION("""COMPUTED_VALUE"""),21000)</f>
        <v>21000</v>
      </c>
      <c r="L700" s="8">
        <f ca="1">IFERROR(__xludf.DUMMYFUNCTION("""COMPUTED_VALUE"""),240.494732020155)</f>
        <v>240.494732020155</v>
      </c>
      <c r="M700" s="96">
        <f ca="1">IFERROR(__xludf.DUMMYFUNCTION("""COMPUTED_VALUE"""),44510)</f>
        <v>44510</v>
      </c>
      <c r="N700" s="6" t="str">
        <f ca="1">IFERROR(__xludf.DUMMYFUNCTION("""COMPUTED_VALUE"""),"S10")</f>
        <v>S10</v>
      </c>
      <c r="O700" s="97">
        <f ca="1">IFERROR(__xludf.DUMMYFUNCTION("""COMPUTED_VALUE"""),44511)</f>
        <v>44511</v>
      </c>
      <c r="P700" s="6" t="str">
        <f ca="1">IFERROR(__xludf.DUMMYFUNCTION("""COMPUTED_VALUE"""),"CSTM_9VR1A9CFQDM")</f>
        <v>CSTM_9VR1A9CFQDM</v>
      </c>
      <c r="Q700" s="6"/>
      <c r="R700" s="6" t="str">
        <f ca="1">IFERROR(__xludf.DUMMYFUNCTION("""COMPUTED_VALUE"""),"Pending")</f>
        <v>Pending</v>
      </c>
      <c r="S700" s="6" t="str">
        <f ca="1">IFERROR(__xludf.DUMMYFUNCTION("""COMPUTED_VALUE"""),"Category")</f>
        <v>Category</v>
      </c>
      <c r="T700" s="6"/>
      <c r="U700" s="6"/>
      <c r="V700" s="6"/>
      <c r="W700" s="6"/>
      <c r="X700" s="6"/>
      <c r="Y700" s="6"/>
      <c r="Z700" s="6"/>
      <c r="AA700" s="6"/>
      <c r="AB700" s="6"/>
      <c r="AC700" s="6"/>
      <c r="AD700" s="6"/>
      <c r="AE700" s="6"/>
      <c r="AF700" s="6"/>
      <c r="AG700" s="6"/>
      <c r="AH700" s="6"/>
      <c r="AI700" s="6"/>
      <c r="AJ700" s="6"/>
      <c r="AK700" s="6"/>
      <c r="AL700" s="6"/>
    </row>
    <row r="701" spans="1:38">
      <c r="A701" s="96">
        <f ca="1">IFERROR(__xludf.DUMMYFUNCTION("""COMPUTED_VALUE"""),44510)</f>
        <v>44510</v>
      </c>
      <c r="B701" s="6" t="str">
        <f ca="1">IFERROR(__xludf.DUMMYFUNCTION("""COMPUTED_VALUE"""),"Sindhuja")</f>
        <v>Sindhuja</v>
      </c>
      <c r="C701" s="6" t="str">
        <f ca="1">IFERROR(__xludf.DUMMYFUNCTION("""COMPUTED_VALUE"""),"sindhuja.global@gmail.com")</f>
        <v>sindhuja.global@gmail.com</v>
      </c>
      <c r="D701" s="6">
        <f ca="1">IFERROR(__xludf.DUMMYFUNCTION("""COMPUTED_VALUE"""),8073622037)</f>
        <v>8073622037</v>
      </c>
      <c r="E701" s="6" t="str">
        <f ca="1">IFERROR(__xludf.DUMMYFUNCTION("""COMPUTED_VALUE"""),"refer&amp;earn")</f>
        <v>refer&amp;earn</v>
      </c>
      <c r="F701" s="6" t="str">
        <f ca="1">IFERROR(__xludf.DUMMYFUNCTION("""COMPUTED_VALUE"""),"CSM")</f>
        <v>CSM</v>
      </c>
      <c r="G701" s="80">
        <f ca="1">IFERROR(__xludf.DUMMYFUNCTION("""COMPUTED_VALUE"""),44501)</f>
        <v>44501</v>
      </c>
      <c r="H701" s="6" t="str">
        <f ca="1">IFERROR(__xludf.DUMMYFUNCTION("""COMPUTED_VALUE"""),"Won")</f>
        <v>Won</v>
      </c>
      <c r="I701" s="6" t="str">
        <f ca="1">IFERROR(__xludf.DUMMYFUNCTION("""COMPUTED_VALUE"""),"20-21 Nov 2021")</f>
        <v>20-21 Nov 2021</v>
      </c>
      <c r="J701" s="6">
        <f ca="1">IFERROR(__xludf.DUMMYFUNCTION("""COMPUTED_VALUE"""),1)</f>
        <v>1</v>
      </c>
      <c r="K701" s="8">
        <f ca="1">IFERROR(__xludf.DUMMYFUNCTION("""COMPUTED_VALUE"""),19000)</f>
        <v>19000</v>
      </c>
      <c r="L701" s="8">
        <f ca="1">IFERROR(__xludf.DUMMYFUNCTION("""COMPUTED_VALUE"""),217.590471827759)</f>
        <v>217.59047182775899</v>
      </c>
      <c r="M701" s="96">
        <f ca="1">IFERROR(__xludf.DUMMYFUNCTION("""COMPUTED_VALUE"""),44510)</f>
        <v>44510</v>
      </c>
      <c r="N701" s="6" t="str">
        <f ca="1">IFERROR(__xludf.DUMMYFUNCTION("""COMPUTED_VALUE"""),"F10")</f>
        <v>F10</v>
      </c>
      <c r="O701" s="97">
        <f ca="1">IFERROR(__xludf.DUMMYFUNCTION("""COMPUTED_VALUE"""),44510)</f>
        <v>44510</v>
      </c>
      <c r="P701" s="6" t="str">
        <f ca="1">IFERROR(__xludf.DUMMYFUNCTION("""COMPUTED_VALUE"""),"CSTM_BJA8MTT95J4")</f>
        <v>CSTM_BJA8MTT95J4</v>
      </c>
      <c r="Q701" s="6" t="str">
        <f ca="1">IFERROR(__xludf.DUMMYFUNCTION("""COMPUTED_VALUE"""),"shivareddy.slakshmi@gmail.com")</f>
        <v>shivareddy.slakshmi@gmail.com</v>
      </c>
      <c r="R701" s="6" t="str">
        <f ca="1">IFERROR(__xludf.DUMMYFUNCTION("""COMPUTED_VALUE"""),"Done. Good feedback.")</f>
        <v>Done. Good feedback.</v>
      </c>
      <c r="S701" s="6" t="str">
        <f ca="1">IFERROR(__xludf.DUMMYFUNCTION("""COMPUTED_VALUE"""),"Category")</f>
        <v>Category</v>
      </c>
      <c r="T701" s="6"/>
      <c r="U701" s="6"/>
      <c r="V701" s="6"/>
      <c r="W701" s="6"/>
      <c r="X701" s="6"/>
      <c r="Y701" s="6"/>
      <c r="Z701" s="6"/>
      <c r="AA701" s="6"/>
      <c r="AB701" s="6"/>
      <c r="AC701" s="6"/>
      <c r="AD701" s="6"/>
      <c r="AE701" s="6"/>
      <c r="AF701" s="6"/>
      <c r="AG701" s="6"/>
      <c r="AH701" s="6"/>
      <c r="AI701" s="6"/>
      <c r="AJ701" s="6"/>
      <c r="AK701" s="6"/>
      <c r="AL701" s="6"/>
    </row>
    <row r="702" spans="1:38">
      <c r="A702" s="96">
        <f ca="1">IFERROR(__xludf.DUMMYFUNCTION("""COMPUTED_VALUE"""),44510)</f>
        <v>44510</v>
      </c>
      <c r="B702" s="6" t="str">
        <f ca="1">IFERROR(__xludf.DUMMYFUNCTION("""COMPUTED_VALUE"""),"Tripta Porwal")</f>
        <v>Tripta Porwal</v>
      </c>
      <c r="C702" s="6" t="str">
        <f ca="1">IFERROR(__xludf.DUMMYFUNCTION("""COMPUTED_VALUE"""),"tripta.porwal@gmail.com")</f>
        <v>tripta.porwal@gmail.com</v>
      </c>
      <c r="D702" s="6">
        <f ca="1">IFERROR(__xludf.DUMMYFUNCTION("""COMPUTED_VALUE"""),9620218278)</f>
        <v>9620218278</v>
      </c>
      <c r="E702" s="6" t="str">
        <f ca="1">IFERROR(__xludf.DUMMYFUNCTION("""COMPUTED_VALUE"""),"Query box")</f>
        <v>Query box</v>
      </c>
      <c r="F702" s="6" t="str">
        <f ca="1">IFERROR(__xludf.DUMMYFUNCTION("""COMPUTED_VALUE"""),"SAFe SSM")</f>
        <v>SAFe SSM</v>
      </c>
      <c r="G702" s="80">
        <f ca="1">IFERROR(__xludf.DUMMYFUNCTION("""COMPUTED_VALUE"""),44501)</f>
        <v>44501</v>
      </c>
      <c r="H702" s="6" t="str">
        <f ca="1">IFERROR(__xludf.DUMMYFUNCTION("""COMPUTED_VALUE"""),"Won")</f>
        <v>Won</v>
      </c>
      <c r="I702" s="6" t="str">
        <f ca="1">IFERROR(__xludf.DUMMYFUNCTION("""COMPUTED_VALUE"""),"13-14 Nov 2021")</f>
        <v>13-14 Nov 2021</v>
      </c>
      <c r="J702" s="6">
        <f ca="1">IFERROR(__xludf.DUMMYFUNCTION("""COMPUTED_VALUE"""),1)</f>
        <v>1</v>
      </c>
      <c r="K702" s="8">
        <f ca="1">IFERROR(__xludf.DUMMYFUNCTION("""COMPUTED_VALUE"""),45000)</f>
        <v>45000</v>
      </c>
      <c r="L702" s="8">
        <f ca="1">IFERROR(__xludf.DUMMYFUNCTION("""COMPUTED_VALUE"""),515.345854328905)</f>
        <v>515.34585432890503</v>
      </c>
      <c r="M702" s="96">
        <f ca="1">IFERROR(__xludf.DUMMYFUNCTION("""COMPUTED_VALUE"""),44510)</f>
        <v>44510</v>
      </c>
      <c r="N702" s="6" t="str">
        <f ca="1">IFERROR(__xludf.DUMMYFUNCTION("""COMPUTED_VALUE"""),"F10")</f>
        <v>F10</v>
      </c>
      <c r="O702" s="97">
        <f ca="1">IFERROR(__xludf.DUMMYFUNCTION("""COMPUTED_VALUE"""),44510)</f>
        <v>44510</v>
      </c>
      <c r="P702" s="6" t="str">
        <f ca="1">IFERROR(__xludf.DUMMYFUNCTION("""COMPUTED_VALUE"""),"CSTM_BEUU1DS27AL")</f>
        <v>CSTM_BEUU1DS27AL</v>
      </c>
      <c r="Q702" s="6"/>
      <c r="R702" s="6" t="str">
        <f ca="1">IFERROR(__xludf.DUMMYFUNCTION("""COMPUTED_VALUE"""),"Pending")</f>
        <v>Pending</v>
      </c>
      <c r="S702" s="6" t="str">
        <f ca="1">IFERROR(__xludf.DUMMYFUNCTION("""COMPUTED_VALUE"""),"SAFe")</f>
        <v>SAFe</v>
      </c>
      <c r="T702" s="6"/>
      <c r="U702" s="6"/>
      <c r="V702" s="6"/>
      <c r="W702" s="6"/>
      <c r="X702" s="6"/>
      <c r="Y702" s="6"/>
      <c r="Z702" s="6"/>
      <c r="AA702" s="6"/>
      <c r="AB702" s="6"/>
      <c r="AC702" s="6"/>
      <c r="AD702" s="6"/>
      <c r="AE702" s="6"/>
      <c r="AF702" s="6"/>
      <c r="AG702" s="6"/>
      <c r="AH702" s="6"/>
      <c r="AI702" s="6"/>
      <c r="AJ702" s="6"/>
      <c r="AK702" s="6"/>
      <c r="AL702" s="6"/>
    </row>
    <row r="703" spans="1:38">
      <c r="A703" s="96">
        <f ca="1">IFERROR(__xludf.DUMMYFUNCTION("""COMPUTED_VALUE"""),44511)</f>
        <v>44511</v>
      </c>
      <c r="B703" s="6" t="str">
        <f ca="1">IFERROR(__xludf.DUMMYFUNCTION("""COMPUTED_VALUE"""),"Tanu Narayan")</f>
        <v>Tanu Narayan</v>
      </c>
      <c r="C703" s="6" t="str">
        <f ca="1">IFERROR(__xludf.DUMMYFUNCTION("""COMPUTED_VALUE"""),"tanu.narayan@yahoo.com")</f>
        <v>tanu.narayan@yahoo.com</v>
      </c>
      <c r="D703" s="6">
        <f ca="1">IFERROR(__xludf.DUMMYFUNCTION("""COMPUTED_VALUE"""),9960381201)</f>
        <v>9960381201</v>
      </c>
      <c r="E703" s="6" t="str">
        <f ca="1">IFERROR(__xludf.DUMMYFUNCTION("""COMPUTED_VALUE"""),"Reference")</f>
        <v>Reference</v>
      </c>
      <c r="F703" s="6" t="str">
        <f ca="1">IFERROR(__xludf.DUMMYFUNCTION("""COMPUTED_VALUE"""),"PSPO")</f>
        <v>PSPO</v>
      </c>
      <c r="G703" s="80">
        <f ca="1">IFERROR(__xludf.DUMMYFUNCTION("""COMPUTED_VALUE"""),44501)</f>
        <v>44501</v>
      </c>
      <c r="H703" s="6" t="str">
        <f ca="1">IFERROR(__xludf.DUMMYFUNCTION("""COMPUTED_VALUE"""),"Won")</f>
        <v>Won</v>
      </c>
      <c r="I703" s="6" t="str">
        <f ca="1">IFERROR(__xludf.DUMMYFUNCTION("""COMPUTED_VALUE"""),"13-14 Nov 2021")</f>
        <v>13-14 Nov 2021</v>
      </c>
      <c r="J703" s="6">
        <f ca="1">IFERROR(__xludf.DUMMYFUNCTION("""COMPUTED_VALUE"""),1)</f>
        <v>1</v>
      </c>
      <c r="K703" s="8">
        <f ca="1">IFERROR(__xludf.DUMMYFUNCTION("""COMPUTED_VALUE"""),21000)</f>
        <v>21000</v>
      </c>
      <c r="L703" s="8">
        <f ca="1">IFERROR(__xludf.DUMMYFUNCTION("""COMPUTED_VALUE"""),240.494732020155)</f>
        <v>240.494732020155</v>
      </c>
      <c r="M703" s="96">
        <f ca="1">IFERROR(__xludf.DUMMYFUNCTION("""COMPUTED_VALUE"""),44511)</f>
        <v>44511</v>
      </c>
      <c r="N703" s="6" t="str">
        <f ca="1">IFERROR(__xludf.DUMMYFUNCTION("""COMPUTED_VALUE"""),"S10")</f>
        <v>S10</v>
      </c>
      <c r="O703" s="97">
        <f ca="1">IFERROR(__xludf.DUMMYFUNCTION("""COMPUTED_VALUE"""),44511)</f>
        <v>44511</v>
      </c>
      <c r="P703" s="6" t="str">
        <f ca="1">IFERROR(__xludf.DUMMYFUNCTION("""COMPUTED_VALUE"""),"CSTM_EOKWX1OGC02")</f>
        <v>CSTM_EOKWX1OGC02</v>
      </c>
      <c r="Q703" s="6" t="str">
        <f ca="1">IFERROR(__xludf.DUMMYFUNCTION("""COMPUTED_VALUE"""),"govindkis@gmail.com")</f>
        <v>govindkis@gmail.com</v>
      </c>
      <c r="R703" s="6" t="str">
        <f ca="1">IFERROR(__xludf.DUMMYFUNCTION("""COMPUTED_VALUE"""),"Done. Good feedback.")</f>
        <v>Done. Good feedback.</v>
      </c>
      <c r="S703" s="6" t="str">
        <f ca="1">IFERROR(__xludf.DUMMYFUNCTION("""COMPUTED_VALUE"""),"Category")</f>
        <v>Category</v>
      </c>
      <c r="T703" s="6"/>
      <c r="U703" s="6"/>
      <c r="V703" s="6"/>
      <c r="W703" s="6"/>
      <c r="X703" s="6"/>
      <c r="Y703" s="6"/>
      <c r="Z703" s="6"/>
      <c r="AA703" s="6"/>
      <c r="AB703" s="6"/>
      <c r="AC703" s="6"/>
      <c r="AD703" s="6"/>
      <c r="AE703" s="6"/>
      <c r="AF703" s="6"/>
      <c r="AG703" s="6"/>
      <c r="AH703" s="6"/>
      <c r="AI703" s="6"/>
      <c r="AJ703" s="6"/>
      <c r="AK703" s="6"/>
      <c r="AL703" s="6"/>
    </row>
    <row r="704" spans="1:38">
      <c r="A704" s="96">
        <f ca="1">IFERROR(__xludf.DUMMYFUNCTION("""COMPUTED_VALUE"""),44511)</f>
        <v>44511</v>
      </c>
      <c r="B704" s="6" t="str">
        <f ca="1">IFERROR(__xludf.DUMMYFUNCTION("""COMPUTED_VALUE"""),"Mousumi")</f>
        <v>Mousumi</v>
      </c>
      <c r="C704" s="6" t="str">
        <f ca="1">IFERROR(__xludf.DUMMYFUNCTION("""COMPUTED_VALUE"""),"chandni.moss@gmail.com")</f>
        <v>chandni.moss@gmail.com</v>
      </c>
      <c r="D704" s="6">
        <f ca="1">IFERROR(__xludf.DUMMYFUNCTION("""COMPUTED_VALUE"""),9515495502)</f>
        <v>9515495502</v>
      </c>
      <c r="E704" s="6" t="str">
        <f ca="1">IFERROR(__xludf.DUMMYFUNCTION("""COMPUTED_VALUE"""),"Request a call")</f>
        <v>Request a call</v>
      </c>
      <c r="F704" s="6" t="str">
        <f ca="1">IFERROR(__xludf.DUMMYFUNCTION("""COMPUTED_VALUE"""),"PSPO")</f>
        <v>PSPO</v>
      </c>
      <c r="G704" s="80">
        <f ca="1">IFERROR(__xludf.DUMMYFUNCTION("""COMPUTED_VALUE"""),44501)</f>
        <v>44501</v>
      </c>
      <c r="H704" s="6" t="str">
        <f ca="1">IFERROR(__xludf.DUMMYFUNCTION("""COMPUTED_VALUE"""),"Won")</f>
        <v>Won</v>
      </c>
      <c r="I704" s="6" t="str">
        <f ca="1">IFERROR(__xludf.DUMMYFUNCTION("""COMPUTED_VALUE"""),"13-14 Nov 2021")</f>
        <v>13-14 Nov 2021</v>
      </c>
      <c r="J704" s="6">
        <f ca="1">IFERROR(__xludf.DUMMYFUNCTION("""COMPUTED_VALUE"""),1)</f>
        <v>1</v>
      </c>
      <c r="K704" s="8">
        <f ca="1">IFERROR(__xludf.DUMMYFUNCTION("""COMPUTED_VALUE"""),21000)</f>
        <v>21000</v>
      </c>
      <c r="L704" s="8">
        <f ca="1">IFERROR(__xludf.DUMMYFUNCTION("""COMPUTED_VALUE"""),240.494732020155)</f>
        <v>240.494732020155</v>
      </c>
      <c r="M704" s="96">
        <f ca="1">IFERROR(__xludf.DUMMYFUNCTION("""COMPUTED_VALUE"""),44511)</f>
        <v>44511</v>
      </c>
      <c r="N704" s="6" t="str">
        <f ca="1">IFERROR(__xludf.DUMMYFUNCTION("""COMPUTED_VALUE"""),"S10")</f>
        <v>S10</v>
      </c>
      <c r="O704" s="97">
        <f ca="1">IFERROR(__xludf.DUMMYFUNCTION("""COMPUTED_VALUE"""),44511)</f>
        <v>44511</v>
      </c>
      <c r="P704" s="6" t="str">
        <f ca="1">IFERROR(__xludf.DUMMYFUNCTION("""COMPUTED_VALUE"""),"CSTM_9JP90B7UKH9")</f>
        <v>CSTM_9JP90B7UKH9</v>
      </c>
      <c r="Q704" s="6"/>
      <c r="R704" s="6" t="str">
        <f ca="1">IFERROR(__xludf.DUMMYFUNCTION("""COMPUTED_VALUE"""),"Done. Good feedback.")</f>
        <v>Done. Good feedback.</v>
      </c>
      <c r="S704" s="6" t="str">
        <f ca="1">IFERROR(__xludf.DUMMYFUNCTION("""COMPUTED_VALUE"""),"Category")</f>
        <v>Category</v>
      </c>
      <c r="T704" s="6"/>
      <c r="U704" s="6"/>
      <c r="V704" s="6"/>
      <c r="W704" s="6"/>
      <c r="X704" s="6"/>
      <c r="Y704" s="6"/>
      <c r="Z704" s="6"/>
      <c r="AA704" s="6"/>
      <c r="AB704" s="6"/>
      <c r="AC704" s="6"/>
      <c r="AD704" s="6"/>
      <c r="AE704" s="6"/>
      <c r="AF704" s="6"/>
      <c r="AG704" s="6"/>
      <c r="AH704" s="6"/>
      <c r="AI704" s="6"/>
      <c r="AJ704" s="6"/>
      <c r="AK704" s="6"/>
      <c r="AL704" s="6"/>
    </row>
    <row r="705" spans="1:38">
      <c r="A705" s="96">
        <f ca="1">IFERROR(__xludf.DUMMYFUNCTION("""COMPUTED_VALUE"""),44512)</f>
        <v>44512</v>
      </c>
      <c r="B705" s="6" t="str">
        <f ca="1">IFERROR(__xludf.DUMMYFUNCTION("""COMPUTED_VALUE"""),"Vidya Ingle")</f>
        <v>Vidya Ingle</v>
      </c>
      <c r="C705" s="6" t="str">
        <f ca="1">IFERROR(__xludf.DUMMYFUNCTION("""COMPUTED_VALUE"""),"vidya.ingle@hotmail.com")</f>
        <v>vidya.ingle@hotmail.com</v>
      </c>
      <c r="D705" s="6">
        <f ca="1">IFERROR(__xludf.DUMMYFUNCTION("""COMPUTED_VALUE"""),9987064976)</f>
        <v>9987064976</v>
      </c>
      <c r="E705" s="6" t="str">
        <f ca="1">IFERROR(__xludf.DUMMYFUNCTION("""COMPUTED_VALUE"""),"Reference")</f>
        <v>Reference</v>
      </c>
      <c r="F705" s="6" t="str">
        <f ca="1">IFERROR(__xludf.DUMMYFUNCTION("""COMPUTED_VALUE"""),"PSPO")</f>
        <v>PSPO</v>
      </c>
      <c r="G705" s="80">
        <f ca="1">IFERROR(__xludf.DUMMYFUNCTION("""COMPUTED_VALUE"""),44501)</f>
        <v>44501</v>
      </c>
      <c r="H705" s="6" t="str">
        <f ca="1">IFERROR(__xludf.DUMMYFUNCTION("""COMPUTED_VALUE"""),"Won")</f>
        <v>Won</v>
      </c>
      <c r="I705" s="6" t="str">
        <f ca="1">IFERROR(__xludf.DUMMYFUNCTION("""COMPUTED_VALUE"""),"13-14 Nov 2021")</f>
        <v>13-14 Nov 2021</v>
      </c>
      <c r="J705" s="6">
        <f ca="1">IFERROR(__xludf.DUMMYFUNCTION("""COMPUTED_VALUE"""),1)</f>
        <v>1</v>
      </c>
      <c r="K705" s="8">
        <f ca="1">IFERROR(__xludf.DUMMYFUNCTION("""COMPUTED_VALUE"""),21000)</f>
        <v>21000</v>
      </c>
      <c r="L705" s="8">
        <f ca="1">IFERROR(__xludf.DUMMYFUNCTION("""COMPUTED_VALUE"""),240.494732020155)</f>
        <v>240.494732020155</v>
      </c>
      <c r="M705" s="96">
        <f ca="1">IFERROR(__xludf.DUMMYFUNCTION("""COMPUTED_VALUE"""),44512)</f>
        <v>44512</v>
      </c>
      <c r="N705" s="6" t="str">
        <f ca="1">IFERROR(__xludf.DUMMYFUNCTION("""COMPUTED_VALUE"""),"S10")</f>
        <v>S10</v>
      </c>
      <c r="O705" s="97">
        <f ca="1">IFERROR(__xludf.DUMMYFUNCTION("""COMPUTED_VALUE"""),44512)</f>
        <v>44512</v>
      </c>
      <c r="P705" s="6" t="str">
        <f ca="1">IFERROR(__xludf.DUMMYFUNCTION("""COMPUTED_VALUE"""),"CSTM_CW4RL54RVWG")</f>
        <v>CSTM_CW4RL54RVWG</v>
      </c>
      <c r="Q705" s="6" t="str">
        <f ca="1">IFERROR(__xludf.DUMMYFUNCTION("""COMPUTED_VALUE"""),"Reference by Shyama Nair")</f>
        <v>Reference by Shyama Nair</v>
      </c>
      <c r="R705" s="6" t="str">
        <f ca="1">IFERROR(__xludf.DUMMYFUNCTION("""COMPUTED_VALUE"""),"Done. Good feedback.")</f>
        <v>Done. Good feedback.</v>
      </c>
      <c r="S705" s="6" t="str">
        <f ca="1">IFERROR(__xludf.DUMMYFUNCTION("""COMPUTED_VALUE"""),"Category")</f>
        <v>Category</v>
      </c>
      <c r="T705" s="6"/>
      <c r="U705" s="6"/>
      <c r="V705" s="6"/>
      <c r="W705" s="6"/>
      <c r="X705" s="6"/>
      <c r="Y705" s="6"/>
      <c r="Z705" s="6"/>
      <c r="AA705" s="6"/>
      <c r="AB705" s="6"/>
      <c r="AC705" s="6"/>
      <c r="AD705" s="6"/>
      <c r="AE705" s="6"/>
      <c r="AF705" s="6"/>
      <c r="AG705" s="6"/>
      <c r="AH705" s="6"/>
      <c r="AI705" s="6"/>
      <c r="AJ705" s="6"/>
      <c r="AK705" s="6"/>
      <c r="AL705" s="6"/>
    </row>
    <row r="706" spans="1:38">
      <c r="A706" s="96">
        <f ca="1">IFERROR(__xludf.DUMMYFUNCTION("""COMPUTED_VALUE"""),44512)</f>
        <v>44512</v>
      </c>
      <c r="B706" s="6" t="str">
        <f ca="1">IFERROR(__xludf.DUMMYFUNCTION("""COMPUTED_VALUE"""),"Manish Vishal")</f>
        <v>Manish Vishal</v>
      </c>
      <c r="C706" s="6" t="str">
        <f ca="1">IFERROR(__xludf.DUMMYFUNCTION("""COMPUTED_VALUE"""),"manish.vishal@gmail.com")</f>
        <v>manish.vishal@gmail.com</v>
      </c>
      <c r="D706" s="6">
        <f ca="1">IFERROR(__xludf.DUMMYFUNCTION("""COMPUTED_VALUE"""),8861777900)</f>
        <v>8861777900</v>
      </c>
      <c r="E706" s="6" t="str">
        <f ca="1">IFERROR(__xludf.DUMMYFUNCTION("""COMPUTED_VALUE"""),"chat_initiated")</f>
        <v>chat_initiated</v>
      </c>
      <c r="F706" s="6" t="str">
        <f ca="1">IFERROR(__xludf.DUMMYFUNCTION("""COMPUTED_VALUE"""),"SAFe POPM")</f>
        <v>SAFe POPM</v>
      </c>
      <c r="G706" s="80">
        <f ca="1">IFERROR(__xludf.DUMMYFUNCTION("""COMPUTED_VALUE"""),44501)</f>
        <v>44501</v>
      </c>
      <c r="H706" s="6" t="str">
        <f ca="1">IFERROR(__xludf.DUMMYFUNCTION("""COMPUTED_VALUE"""),"Won")</f>
        <v>Won</v>
      </c>
      <c r="I706" s="6" t="str">
        <f ca="1">IFERROR(__xludf.DUMMYFUNCTION("""COMPUTED_VALUE"""),"13-14 Nov 2021")</f>
        <v>13-14 Nov 2021</v>
      </c>
      <c r="J706" s="6">
        <f ca="1">IFERROR(__xludf.DUMMYFUNCTION("""COMPUTED_VALUE"""),1)</f>
        <v>1</v>
      </c>
      <c r="K706" s="8">
        <f ca="1">IFERROR(__xludf.DUMMYFUNCTION("""COMPUTED_VALUE"""),45000)</f>
        <v>45000</v>
      </c>
      <c r="L706" s="8">
        <f ca="1">IFERROR(__xludf.DUMMYFUNCTION("""COMPUTED_VALUE"""),515.345854328905)</f>
        <v>515.34585432890503</v>
      </c>
      <c r="M706" s="96">
        <f ca="1">IFERROR(__xludf.DUMMYFUNCTION("""COMPUTED_VALUE"""),44512)</f>
        <v>44512</v>
      </c>
      <c r="N706" s="6" t="str">
        <f ca="1">IFERROR(__xludf.DUMMYFUNCTION("""COMPUTED_VALUE"""),"S10")</f>
        <v>S10</v>
      </c>
      <c r="O706" s="97">
        <f ca="1">IFERROR(__xludf.DUMMYFUNCTION("""COMPUTED_VALUE"""),44512)</f>
        <v>44512</v>
      </c>
      <c r="P706" s="6" t="str">
        <f ca="1">IFERROR(__xludf.DUMMYFUNCTION("""COMPUTED_VALUE"""),"CSTM_3PHL1AIE7QG")</f>
        <v>CSTM_3PHL1AIE7QG</v>
      </c>
      <c r="Q706" s="6"/>
      <c r="R706" s="6" t="str">
        <f ca="1">IFERROR(__xludf.DUMMYFUNCTION("""COMPUTED_VALUE"""),"Done. Good feedback.")</f>
        <v>Done. Good feedback.</v>
      </c>
      <c r="S706" s="6" t="str">
        <f ca="1">IFERROR(__xludf.DUMMYFUNCTION("""COMPUTED_VALUE"""),"SAFe")</f>
        <v>SAFe</v>
      </c>
      <c r="T706" s="6"/>
      <c r="U706" s="6"/>
      <c r="V706" s="6"/>
      <c r="W706" s="6"/>
      <c r="X706" s="6"/>
      <c r="Y706" s="6"/>
      <c r="Z706" s="6"/>
      <c r="AA706" s="6"/>
      <c r="AB706" s="6"/>
      <c r="AC706" s="6"/>
      <c r="AD706" s="6"/>
      <c r="AE706" s="6"/>
      <c r="AF706" s="6"/>
      <c r="AG706" s="6"/>
      <c r="AH706" s="6"/>
      <c r="AI706" s="6"/>
      <c r="AJ706" s="6"/>
      <c r="AK706" s="6"/>
      <c r="AL706" s="6"/>
    </row>
    <row r="707" spans="1:38">
      <c r="A707" s="96">
        <f ca="1">IFERROR(__xludf.DUMMYFUNCTION("""COMPUTED_VALUE"""),44512)</f>
        <v>44512</v>
      </c>
      <c r="B707" s="6" t="str">
        <f ca="1">IFERROR(__xludf.DUMMYFUNCTION("""COMPUTED_VALUE"""),"Bhavna Kapur")</f>
        <v>Bhavna Kapur</v>
      </c>
      <c r="C707" s="6" t="str">
        <f ca="1">IFERROR(__xludf.DUMMYFUNCTION("""COMPUTED_VALUE"""),"bhavna.satija13@gmail.com")</f>
        <v>bhavna.satija13@gmail.com</v>
      </c>
      <c r="D707" s="6">
        <f ca="1">IFERROR(__xludf.DUMMYFUNCTION("""COMPUTED_VALUE"""),8527383007)</f>
        <v>8527383007</v>
      </c>
      <c r="E707" s="6" t="str">
        <f ca="1">IFERROR(__xludf.DUMMYFUNCTION("""COMPUTED_VALUE"""),"Reference")</f>
        <v>Reference</v>
      </c>
      <c r="F707" s="6" t="str">
        <f ca="1">IFERROR(__xludf.DUMMYFUNCTION("""COMPUTED_VALUE"""),"CSPO")</f>
        <v>CSPO</v>
      </c>
      <c r="G707" s="80">
        <f ca="1">IFERROR(__xludf.DUMMYFUNCTION("""COMPUTED_VALUE"""),44501)</f>
        <v>44501</v>
      </c>
      <c r="H707" s="6" t="str">
        <f ca="1">IFERROR(__xludf.DUMMYFUNCTION("""COMPUTED_VALUE"""),"Won")</f>
        <v>Won</v>
      </c>
      <c r="I707" s="6" t="str">
        <f ca="1">IFERROR(__xludf.DUMMYFUNCTION("""COMPUTED_VALUE"""),"13-14 Nov 2021")</f>
        <v>13-14 Nov 2021</v>
      </c>
      <c r="J707" s="6">
        <f ca="1">IFERROR(__xludf.DUMMYFUNCTION("""COMPUTED_VALUE"""),1)</f>
        <v>1</v>
      </c>
      <c r="K707" s="8">
        <f ca="1">IFERROR(__xludf.DUMMYFUNCTION("""COMPUTED_VALUE"""),20000)</f>
        <v>20000</v>
      </c>
      <c r="L707" s="8">
        <f ca="1">IFERROR(__xludf.DUMMYFUNCTION("""COMPUTED_VALUE"""),229.042601923957)</f>
        <v>229.04260192395699</v>
      </c>
      <c r="M707" s="96">
        <f ca="1">IFERROR(__xludf.DUMMYFUNCTION("""COMPUTED_VALUE"""),44512)</f>
        <v>44512</v>
      </c>
      <c r="N707" s="6" t="str">
        <f ca="1">IFERROR(__xludf.DUMMYFUNCTION("""COMPUTED_VALUE"""),"S10")</f>
        <v>S10</v>
      </c>
      <c r="O707" s="97">
        <f ca="1">IFERROR(__xludf.DUMMYFUNCTION("""COMPUTED_VALUE"""),44512)</f>
        <v>44512</v>
      </c>
      <c r="P707" s="6" t="str">
        <f ca="1">IFERROR(__xludf.DUMMYFUNCTION("""COMPUTED_VALUE"""),"CSTM_46143C5R4HZ")</f>
        <v>CSTM_46143C5R4HZ</v>
      </c>
      <c r="Q707" s="6" t="str">
        <f ca="1">IFERROR(__xludf.DUMMYFUNCTION("""COMPUTED_VALUE"""),"Reference by Bhavna Kapur")</f>
        <v>Reference by Bhavna Kapur</v>
      </c>
      <c r="R707" s="6" t="str">
        <f ca="1">IFERROR(__xludf.DUMMYFUNCTION("""COMPUTED_VALUE"""),"Done. Good feedback.")</f>
        <v>Done. Good feedback.</v>
      </c>
      <c r="S707" s="6" t="str">
        <f ca="1">IFERROR(__xludf.DUMMYFUNCTION("""COMPUTED_VALUE"""),"Category")</f>
        <v>Category</v>
      </c>
      <c r="T707" s="6"/>
      <c r="U707" s="6"/>
      <c r="V707" s="6"/>
      <c r="W707" s="6"/>
      <c r="X707" s="6"/>
      <c r="Y707" s="6"/>
      <c r="Z707" s="6"/>
      <c r="AA707" s="6"/>
      <c r="AB707" s="6"/>
      <c r="AC707" s="6"/>
      <c r="AD707" s="6"/>
      <c r="AE707" s="6"/>
      <c r="AF707" s="6"/>
      <c r="AG707" s="6"/>
      <c r="AH707" s="6"/>
      <c r="AI707" s="6"/>
      <c r="AJ707" s="6"/>
      <c r="AK707" s="6"/>
      <c r="AL707" s="6"/>
    </row>
    <row r="708" spans="1:38">
      <c r="A708" s="96">
        <f ca="1">IFERROR(__xludf.DUMMYFUNCTION("""COMPUTED_VALUE"""),44516)</f>
        <v>44516</v>
      </c>
      <c r="B708" s="6" t="str">
        <f ca="1">IFERROR(__xludf.DUMMYFUNCTION("""COMPUTED_VALUE"""),"Suwarna")</f>
        <v>Suwarna</v>
      </c>
      <c r="C708" s="6" t="str">
        <f ca="1">IFERROR(__xludf.DUMMYFUNCTION("""COMPUTED_VALUE"""),"suwarnadere@gmail.com")</f>
        <v>suwarnadere@gmail.com</v>
      </c>
      <c r="D708" s="6">
        <f ca="1">IFERROR(__xludf.DUMMYFUNCTION("""COMPUTED_VALUE"""),9766004404)</f>
        <v>9766004404</v>
      </c>
      <c r="E708" s="6" t="str">
        <f ca="1">IFERROR(__xludf.DUMMYFUNCTION("""COMPUTED_VALUE"""),"fpt")</f>
        <v>fpt</v>
      </c>
      <c r="F708" s="6" t="str">
        <f ca="1">IFERROR(__xludf.DUMMYFUNCTION("""COMPUTED_VALUE"""),"PSPO")</f>
        <v>PSPO</v>
      </c>
      <c r="G708" s="80">
        <f ca="1">IFERROR(__xludf.DUMMYFUNCTION("""COMPUTED_VALUE"""),44501)</f>
        <v>44501</v>
      </c>
      <c r="H708" s="6" t="str">
        <f ca="1">IFERROR(__xludf.DUMMYFUNCTION("""COMPUTED_VALUE"""),"Won")</f>
        <v>Won</v>
      </c>
      <c r="I708" s="6" t="str">
        <f ca="1">IFERROR(__xludf.DUMMYFUNCTION("""COMPUTED_VALUE"""),"20-21 Nov 2021")</f>
        <v>20-21 Nov 2021</v>
      </c>
      <c r="J708" s="6">
        <f ca="1">IFERROR(__xludf.DUMMYFUNCTION("""COMPUTED_VALUE"""),1)</f>
        <v>1</v>
      </c>
      <c r="K708" s="8">
        <f ca="1">IFERROR(__xludf.DUMMYFUNCTION("""COMPUTED_VALUE"""),21000)</f>
        <v>21000</v>
      </c>
      <c r="L708" s="8">
        <f ca="1">IFERROR(__xludf.DUMMYFUNCTION("""COMPUTED_VALUE"""),240.494732020155)</f>
        <v>240.494732020155</v>
      </c>
      <c r="M708" s="96">
        <f ca="1">IFERROR(__xludf.DUMMYFUNCTION("""COMPUTED_VALUE"""),44516)</f>
        <v>44516</v>
      </c>
      <c r="N708" s="6" t="str">
        <f ca="1">IFERROR(__xludf.DUMMYFUNCTION("""COMPUTED_VALUE"""),"S10")</f>
        <v>S10</v>
      </c>
      <c r="O708" s="97">
        <f ca="1">IFERROR(__xludf.DUMMYFUNCTION("""COMPUTED_VALUE"""),44516)</f>
        <v>44516</v>
      </c>
      <c r="P708" s="6" t="str">
        <f ca="1">IFERROR(__xludf.DUMMYFUNCTION("""COMPUTED_VALUE"""),"CSTM_34QG1XWT2C2")</f>
        <v>CSTM_34QG1XWT2C2</v>
      </c>
      <c r="Q708" s="6"/>
      <c r="R708" s="6" t="str">
        <f ca="1">IFERROR(__xludf.DUMMYFUNCTION("""COMPUTED_VALUE"""),"Pending")</f>
        <v>Pending</v>
      </c>
      <c r="S708" s="6" t="str">
        <f ca="1">IFERROR(__xludf.DUMMYFUNCTION("""COMPUTED_VALUE"""),"Category")</f>
        <v>Category</v>
      </c>
      <c r="T708" s="6"/>
      <c r="U708" s="6"/>
      <c r="V708" s="6"/>
      <c r="W708" s="6"/>
      <c r="X708" s="6"/>
      <c r="Y708" s="6"/>
      <c r="Z708" s="6"/>
      <c r="AA708" s="6"/>
      <c r="AB708" s="6"/>
      <c r="AC708" s="6"/>
      <c r="AD708" s="6"/>
      <c r="AE708" s="6"/>
      <c r="AF708" s="6"/>
      <c r="AG708" s="6"/>
      <c r="AH708" s="6"/>
      <c r="AI708" s="6"/>
      <c r="AJ708" s="6"/>
      <c r="AK708" s="6"/>
      <c r="AL708" s="6"/>
    </row>
    <row r="709" spans="1:38">
      <c r="A709" s="96">
        <f ca="1">IFERROR(__xludf.DUMMYFUNCTION("""COMPUTED_VALUE"""),44516)</f>
        <v>44516</v>
      </c>
      <c r="B709" s="6" t="str">
        <f ca="1">IFERROR(__xludf.DUMMYFUNCTION("""COMPUTED_VALUE"""),"Mrunal Joshi")</f>
        <v>Mrunal Joshi</v>
      </c>
      <c r="C709" s="6" t="str">
        <f ca="1">IFERROR(__xludf.DUMMYFUNCTION("""COMPUTED_VALUE"""),"jmrunal@gmail.com")</f>
        <v>jmrunal@gmail.com</v>
      </c>
      <c r="D709" s="6">
        <f ca="1">IFERROR(__xludf.DUMMYFUNCTION("""COMPUTED_VALUE"""),9158986821)</f>
        <v>9158986821</v>
      </c>
      <c r="E709" s="6" t="str">
        <f ca="1">IFERROR(__xludf.DUMMYFUNCTION("""COMPUTED_VALUE"""),"Request a call")</f>
        <v>Request a call</v>
      </c>
      <c r="F709" s="6" t="str">
        <f ca="1">IFERROR(__xludf.DUMMYFUNCTION("""COMPUTED_VALUE"""),"ICP-ACC")</f>
        <v>ICP-ACC</v>
      </c>
      <c r="G709" s="80">
        <f ca="1">IFERROR(__xludf.DUMMYFUNCTION("""COMPUTED_VALUE"""),44501)</f>
        <v>44501</v>
      </c>
      <c r="H709" s="6" t="str">
        <f ca="1">IFERROR(__xludf.DUMMYFUNCTION("""COMPUTED_VALUE"""),"Won")</f>
        <v>Won</v>
      </c>
      <c r="I709" s="6" t="str">
        <f ca="1">IFERROR(__xludf.DUMMYFUNCTION("""COMPUTED_VALUE"""),"19-21 Nov 2021")</f>
        <v>19-21 Nov 2021</v>
      </c>
      <c r="J709" s="6">
        <f ca="1">IFERROR(__xludf.DUMMYFUNCTION("""COMPUTED_VALUE"""),1)</f>
        <v>1</v>
      </c>
      <c r="K709" s="8">
        <f ca="1">IFERROR(__xludf.DUMMYFUNCTION("""COMPUTED_VALUE"""),31000)</f>
        <v>31000</v>
      </c>
      <c r="L709" s="8">
        <f ca="1">IFERROR(__xludf.DUMMYFUNCTION("""COMPUTED_VALUE"""),355.016032982134)</f>
        <v>355.01603298213399</v>
      </c>
      <c r="M709" s="96">
        <f ca="1">IFERROR(__xludf.DUMMYFUNCTION("""COMPUTED_VALUE"""),44516)</f>
        <v>44516</v>
      </c>
      <c r="N709" s="6" t="str">
        <f ca="1">IFERROR(__xludf.DUMMYFUNCTION("""COMPUTED_VALUE"""),"S10")</f>
        <v>S10</v>
      </c>
      <c r="O709" s="97">
        <f ca="1">IFERROR(__xludf.DUMMYFUNCTION("""COMPUTED_VALUE"""),44516)</f>
        <v>44516</v>
      </c>
      <c r="P709" s="6" t="str">
        <f ca="1">IFERROR(__xludf.DUMMYFUNCTION("""COMPUTED_VALUE"""),"CSTM_64KASA5UOC5")</f>
        <v>CSTM_64KASA5UOC5</v>
      </c>
      <c r="Q709" s="6"/>
      <c r="R709" s="6" t="str">
        <f ca="1">IFERROR(__xludf.DUMMYFUNCTION("""COMPUTED_VALUE"""),"Pending")</f>
        <v>Pending</v>
      </c>
      <c r="S709" s="6" t="str">
        <f ca="1">IFERROR(__xludf.DUMMYFUNCTION("""COMPUTED_VALUE"""),"Category")</f>
        <v>Category</v>
      </c>
      <c r="T709" s="6"/>
      <c r="U709" s="6"/>
      <c r="V709" s="6"/>
      <c r="W709" s="6"/>
      <c r="X709" s="6"/>
      <c r="Y709" s="6"/>
      <c r="Z709" s="6"/>
      <c r="AA709" s="6"/>
      <c r="AB709" s="6"/>
      <c r="AC709" s="6"/>
      <c r="AD709" s="6"/>
      <c r="AE709" s="6"/>
      <c r="AF709" s="6"/>
      <c r="AG709" s="6"/>
      <c r="AH709" s="6"/>
      <c r="AI709" s="6"/>
      <c r="AJ709" s="6"/>
      <c r="AK709" s="6"/>
      <c r="AL709" s="6"/>
    </row>
    <row r="710" spans="1:38">
      <c r="A710" s="96">
        <f ca="1">IFERROR(__xludf.DUMMYFUNCTION("""COMPUTED_VALUE"""),44518)</f>
        <v>44518</v>
      </c>
      <c r="B710" s="6" t="str">
        <f ca="1">IFERROR(__xludf.DUMMYFUNCTION("""COMPUTED_VALUE"""),"Alka")</f>
        <v>Alka</v>
      </c>
      <c r="C710" s="6" t="str">
        <f ca="1">IFERROR(__xludf.DUMMYFUNCTION("""COMPUTED_VALUE"""),"iteralka@gmail.com")</f>
        <v>iteralka@gmail.com</v>
      </c>
      <c r="D710" s="6">
        <f ca="1">IFERROR(__xludf.DUMMYFUNCTION("""COMPUTED_VALUE"""),9306054443)</f>
        <v>9306054443</v>
      </c>
      <c r="E710" s="6" t="str">
        <f ca="1">IFERROR(__xludf.DUMMYFUNCTION("""COMPUTED_VALUE"""),"chat_initiated")</f>
        <v>chat_initiated</v>
      </c>
      <c r="F710" s="6" t="str">
        <f ca="1">IFERROR(__xludf.DUMMYFUNCTION("""COMPUTED_VALUE"""),"CSM")</f>
        <v>CSM</v>
      </c>
      <c r="G710" s="80">
        <f ca="1">IFERROR(__xludf.DUMMYFUNCTION("""COMPUTED_VALUE"""),44501)</f>
        <v>44501</v>
      </c>
      <c r="H710" s="6" t="str">
        <f ca="1">IFERROR(__xludf.DUMMYFUNCTION("""COMPUTED_VALUE"""),"Won")</f>
        <v>Won</v>
      </c>
      <c r="I710" s="6" t="str">
        <f ca="1">IFERROR(__xludf.DUMMYFUNCTION("""COMPUTED_VALUE"""),"4-5 Dec 2021")</f>
        <v>4-5 Dec 2021</v>
      </c>
      <c r="J710" s="6">
        <f ca="1">IFERROR(__xludf.DUMMYFUNCTION("""COMPUTED_VALUE"""),1)</f>
        <v>1</v>
      </c>
      <c r="K710" s="8">
        <f ca="1">IFERROR(__xludf.DUMMYFUNCTION("""COMPUTED_VALUE"""),20000)</f>
        <v>20000</v>
      </c>
      <c r="L710" s="8">
        <f ca="1">IFERROR(__xludf.DUMMYFUNCTION("""COMPUTED_VALUE"""),229.042601923957)</f>
        <v>229.04260192395699</v>
      </c>
      <c r="M710" s="96">
        <f ca="1">IFERROR(__xludf.DUMMYFUNCTION("""COMPUTED_VALUE"""),44518)</f>
        <v>44518</v>
      </c>
      <c r="N710" s="6" t="str">
        <f ca="1">IFERROR(__xludf.DUMMYFUNCTION("""COMPUTED_VALUE"""),"S10")</f>
        <v>S10</v>
      </c>
      <c r="O710" s="97">
        <f ca="1">IFERROR(__xludf.DUMMYFUNCTION("""COMPUTED_VALUE"""),44518)</f>
        <v>44518</v>
      </c>
      <c r="P710" s="6" t="str">
        <f ca="1">IFERROR(__xludf.DUMMYFUNCTION("""COMPUTED_VALUE"""),"CSTM_375CX6CHNAM")</f>
        <v>CSTM_375CX6CHNAM</v>
      </c>
      <c r="Q710" s="6"/>
      <c r="R710" s="6" t="str">
        <f ca="1">IFERROR(__xludf.DUMMYFUNCTION("""COMPUTED_VALUE"""),"Done. Good feedback.")</f>
        <v>Done. Good feedback.</v>
      </c>
      <c r="S710" s="6" t="str">
        <f ca="1">IFERROR(__xludf.DUMMYFUNCTION("""COMPUTED_VALUE"""),"Category")</f>
        <v>Category</v>
      </c>
      <c r="T710" s="6"/>
      <c r="U710" s="6"/>
      <c r="V710" s="6"/>
      <c r="W710" s="6"/>
      <c r="X710" s="6"/>
      <c r="Y710" s="6"/>
      <c r="Z710" s="6"/>
      <c r="AA710" s="6"/>
      <c r="AB710" s="6"/>
      <c r="AC710" s="6"/>
      <c r="AD710" s="6"/>
      <c r="AE710" s="6"/>
      <c r="AF710" s="6"/>
      <c r="AG710" s="6"/>
      <c r="AH710" s="6"/>
      <c r="AI710" s="6"/>
      <c r="AJ710" s="6"/>
      <c r="AK710" s="6"/>
      <c r="AL710" s="6"/>
    </row>
    <row r="711" spans="1:38">
      <c r="A711" s="96">
        <f ca="1">IFERROR(__xludf.DUMMYFUNCTION("""COMPUTED_VALUE"""),44520)</f>
        <v>44520</v>
      </c>
      <c r="B711" s="6" t="str">
        <f ca="1">IFERROR(__xludf.DUMMYFUNCTION("""COMPUTED_VALUE"""),"Lal Saheb")</f>
        <v>Lal Saheb</v>
      </c>
      <c r="C711" s="6" t="str">
        <f ca="1">IFERROR(__xludf.DUMMYFUNCTION("""COMPUTED_VALUE"""),"lal@dazos.com")</f>
        <v>lal@dazos.com</v>
      </c>
      <c r="D711" s="6">
        <f ca="1">IFERROR(__xludf.DUMMYFUNCTION("""COMPUTED_VALUE"""),9910859055)</f>
        <v>9910859055</v>
      </c>
      <c r="E711" s="6" t="str">
        <f ca="1">IFERROR(__xludf.DUMMYFUNCTION("""COMPUTED_VALUE"""),"Query box_LP")</f>
        <v>Query box_LP</v>
      </c>
      <c r="F711" s="6" t="str">
        <f ca="1">IFERROR(__xludf.DUMMYFUNCTION("""COMPUTED_VALUE"""),"PSM")</f>
        <v>PSM</v>
      </c>
      <c r="G711" s="80">
        <f ca="1">IFERROR(__xludf.DUMMYFUNCTION("""COMPUTED_VALUE"""),44501)</f>
        <v>44501</v>
      </c>
      <c r="H711" s="6" t="str">
        <f ca="1">IFERROR(__xludf.DUMMYFUNCTION("""COMPUTED_VALUE"""),"Won")</f>
        <v>Won</v>
      </c>
      <c r="I711" s="6" t="str">
        <f ca="1">IFERROR(__xludf.DUMMYFUNCTION("""COMPUTED_VALUE"""),"20-21 Nov 2021")</f>
        <v>20-21 Nov 2021</v>
      </c>
      <c r="J711" s="6">
        <f ca="1">IFERROR(__xludf.DUMMYFUNCTION("""COMPUTED_VALUE"""),1)</f>
        <v>1</v>
      </c>
      <c r="K711" s="8">
        <f ca="1">IFERROR(__xludf.DUMMYFUNCTION("""COMPUTED_VALUE"""),21000)</f>
        <v>21000</v>
      </c>
      <c r="L711" s="8">
        <f ca="1">IFERROR(__xludf.DUMMYFUNCTION("""COMPUTED_VALUE"""),240.494732020155)</f>
        <v>240.494732020155</v>
      </c>
      <c r="M711" s="96">
        <f ca="1">IFERROR(__xludf.DUMMYFUNCTION("""COMPUTED_VALUE"""),44520)</f>
        <v>44520</v>
      </c>
      <c r="N711" s="6" t="str">
        <f ca="1">IFERROR(__xludf.DUMMYFUNCTION("""COMPUTED_VALUE"""),"S10")</f>
        <v>S10</v>
      </c>
      <c r="O711" s="97">
        <f ca="1">IFERROR(__xludf.DUMMYFUNCTION("""COMPUTED_VALUE"""),44520)</f>
        <v>44520</v>
      </c>
      <c r="P711" s="6" t="str">
        <f ca="1">IFERROR(__xludf.DUMMYFUNCTION("""COMPUTED_VALUE"""),"CSTM_888M1VMXMAZ")</f>
        <v>CSTM_888M1VMXMAZ</v>
      </c>
      <c r="Q711" s="6"/>
      <c r="R711" s="6" t="str">
        <f ca="1">IFERROR(__xludf.DUMMYFUNCTION("""COMPUTED_VALUE"""),"Pending")</f>
        <v>Pending</v>
      </c>
      <c r="S711" s="6" t="str">
        <f ca="1">IFERROR(__xludf.DUMMYFUNCTION("""COMPUTED_VALUE"""),"Category")</f>
        <v>Category</v>
      </c>
      <c r="T711" s="6"/>
      <c r="U711" s="6"/>
      <c r="V711" s="6"/>
      <c r="W711" s="6"/>
      <c r="X711" s="6"/>
      <c r="Y711" s="6"/>
      <c r="Z711" s="6"/>
      <c r="AA711" s="6"/>
      <c r="AB711" s="6"/>
      <c r="AC711" s="6"/>
      <c r="AD711" s="6"/>
      <c r="AE711" s="6"/>
      <c r="AF711" s="6"/>
      <c r="AG711" s="6"/>
      <c r="AH711" s="6"/>
      <c r="AI711" s="6"/>
      <c r="AJ711" s="6"/>
      <c r="AK711" s="6"/>
      <c r="AL711" s="6"/>
    </row>
    <row r="712" spans="1:38">
      <c r="A712" s="96">
        <f ca="1">IFERROR(__xludf.DUMMYFUNCTION("""COMPUTED_VALUE"""),44521)</f>
        <v>44521</v>
      </c>
      <c r="B712" s="6" t="str">
        <f ca="1">IFERROR(__xludf.DUMMYFUNCTION("""COMPUTED_VALUE"""),"Debasis")</f>
        <v>Debasis</v>
      </c>
      <c r="C712" s="6" t="str">
        <f ca="1">IFERROR(__xludf.DUMMYFUNCTION("""COMPUTED_VALUE"""),"ursdeb@gmail.com")</f>
        <v>ursdeb@gmail.com</v>
      </c>
      <c r="D712" s="6">
        <f ca="1">IFERROR(__xludf.DUMMYFUNCTION("""COMPUTED_VALUE"""),9741544377)</f>
        <v>9741544377</v>
      </c>
      <c r="E712" s="6" t="str">
        <f ca="1">IFERROR(__xludf.DUMMYFUNCTION("""COMPUTED_VALUE"""),"Account Repeat")</f>
        <v>Account Repeat</v>
      </c>
      <c r="F712" s="6" t="str">
        <f ca="1">IFERROR(__xludf.DUMMYFUNCTION("""COMPUTED_VALUE"""),"P2 F&amp;P")</f>
        <v>P2 F&amp;P</v>
      </c>
      <c r="G712" s="80">
        <f ca="1">IFERROR(__xludf.DUMMYFUNCTION("""COMPUTED_VALUE"""),44501)</f>
        <v>44501</v>
      </c>
      <c r="H712" s="6" t="str">
        <f ca="1">IFERROR(__xludf.DUMMYFUNCTION("""COMPUTED_VALUE"""),"Won")</f>
        <v>Won</v>
      </c>
      <c r="I712" s="6" t="str">
        <f ca="1">IFERROR(__xludf.DUMMYFUNCTION("""COMPUTED_VALUE"""),"27 Nov 2021")</f>
        <v>27 Nov 2021</v>
      </c>
      <c r="J712" s="6">
        <f ca="1">IFERROR(__xludf.DUMMYFUNCTION("""COMPUTED_VALUE"""),1)</f>
        <v>1</v>
      </c>
      <c r="K712" s="8">
        <f ca="1">IFERROR(__xludf.DUMMYFUNCTION("""COMPUTED_VALUE"""),38000)</f>
        <v>38000</v>
      </c>
      <c r="L712" s="8">
        <f ca="1">IFERROR(__xludf.DUMMYFUNCTION("""COMPUTED_VALUE"""),435.180943655519)</f>
        <v>435.180943655519</v>
      </c>
      <c r="M712" s="96">
        <f ca="1">IFERROR(__xludf.DUMMYFUNCTION("""COMPUTED_VALUE"""),44521)</f>
        <v>44521</v>
      </c>
      <c r="N712" s="6" t="str">
        <f ca="1">IFERROR(__xludf.DUMMYFUNCTION("""COMPUTED_VALUE"""),"T10")</f>
        <v>T10</v>
      </c>
      <c r="O712" s="97">
        <f ca="1">IFERROR(__xludf.DUMMYFUNCTION("""COMPUTED_VALUE"""),44521)</f>
        <v>44521</v>
      </c>
      <c r="P712" s="6" t="str">
        <f ca="1">IFERROR(__xludf.DUMMYFUNCTION("""COMPUTED_VALUE"""),"CSTM_A24ZICGH90P")</f>
        <v>CSTM_A24ZICGH90P</v>
      </c>
      <c r="Q712" s="6"/>
      <c r="R712" s="6" t="str">
        <f ca="1">IFERROR(__xludf.DUMMYFUNCTION("""COMPUTED_VALUE"""),"Pending")</f>
        <v>Pending</v>
      </c>
      <c r="S712" s="6" t="str">
        <f ca="1">IFERROR(__xludf.DUMMYFUNCTION("""COMPUTED_VALUE"""),"NonCategory")</f>
        <v>NonCategory</v>
      </c>
      <c r="T712" s="6"/>
      <c r="U712" s="6"/>
      <c r="V712" s="6"/>
      <c r="W712" s="6"/>
      <c r="X712" s="6"/>
      <c r="Y712" s="6"/>
      <c r="Z712" s="6"/>
      <c r="AA712" s="6"/>
      <c r="AB712" s="6"/>
      <c r="AC712" s="6"/>
      <c r="AD712" s="6"/>
      <c r="AE712" s="6"/>
      <c r="AF712" s="6"/>
      <c r="AG712" s="6"/>
      <c r="AH712" s="6"/>
      <c r="AI712" s="6"/>
      <c r="AJ712" s="6"/>
      <c r="AK712" s="6"/>
      <c r="AL712" s="6"/>
    </row>
    <row r="713" spans="1:38">
      <c r="A713" s="96">
        <f ca="1">IFERROR(__xludf.DUMMYFUNCTION("""COMPUTED_VALUE"""),44523)</f>
        <v>44523</v>
      </c>
      <c r="B713" s="6" t="str">
        <f ca="1">IFERROR(__xludf.DUMMYFUNCTION("""COMPUTED_VALUE"""),"Rahul")</f>
        <v>Rahul</v>
      </c>
      <c r="C713" s="6" t="str">
        <f ca="1">IFERROR(__xludf.DUMMYFUNCTION("""COMPUTED_VALUE"""),"rahul8927@gmail.com")</f>
        <v>rahul8927@gmail.com</v>
      </c>
      <c r="D713" s="6">
        <f ca="1">IFERROR(__xludf.DUMMYFUNCTION("""COMPUTED_VALUE"""),9495378607)</f>
        <v>9495378607</v>
      </c>
      <c r="E713" s="6" t="str">
        <f ca="1">IFERROR(__xludf.DUMMYFUNCTION("""COMPUTED_VALUE"""),"Reference")</f>
        <v>Reference</v>
      </c>
      <c r="F713" s="6" t="str">
        <f ca="1">IFERROR(__xludf.DUMMYFUNCTION("""COMPUTED_VALUE"""),"CSPO")</f>
        <v>CSPO</v>
      </c>
      <c r="G713" s="80">
        <f ca="1">IFERROR(__xludf.DUMMYFUNCTION("""COMPUTED_VALUE"""),44501)</f>
        <v>44501</v>
      </c>
      <c r="H713" s="6" t="str">
        <f ca="1">IFERROR(__xludf.DUMMYFUNCTION("""COMPUTED_VALUE"""),"Won")</f>
        <v>Won</v>
      </c>
      <c r="I713" s="6" t="str">
        <f ca="1">IFERROR(__xludf.DUMMYFUNCTION("""COMPUTED_VALUE"""),"4-5 Dec 2021")</f>
        <v>4-5 Dec 2021</v>
      </c>
      <c r="J713" s="6">
        <f ca="1">IFERROR(__xludf.DUMMYFUNCTION("""COMPUTED_VALUE"""),1)</f>
        <v>1</v>
      </c>
      <c r="K713" s="8">
        <f ca="1">IFERROR(__xludf.DUMMYFUNCTION("""COMPUTED_VALUE"""),22000)</f>
        <v>22000</v>
      </c>
      <c r="L713" s="8">
        <f ca="1">IFERROR(__xludf.DUMMYFUNCTION("""COMPUTED_VALUE"""),251.946862116353)</f>
        <v>251.946862116353</v>
      </c>
      <c r="M713" s="96">
        <f ca="1">IFERROR(__xludf.DUMMYFUNCTION("""COMPUTED_VALUE"""),44523)</f>
        <v>44523</v>
      </c>
      <c r="N713" s="6" t="str">
        <f ca="1">IFERROR(__xludf.DUMMYFUNCTION("""COMPUTED_VALUE"""),"T10")</f>
        <v>T10</v>
      </c>
      <c r="O713" s="97">
        <f ca="1">IFERROR(__xludf.DUMMYFUNCTION("""COMPUTED_VALUE"""),44523)</f>
        <v>44523</v>
      </c>
      <c r="P713" s="6" t="str">
        <f ca="1">IFERROR(__xludf.DUMMYFUNCTION("""COMPUTED_VALUE"""),"CSTM_8PWAA4AZKMY")</f>
        <v>CSTM_8PWAA4AZKMY</v>
      </c>
      <c r="Q713" s="6" t="str">
        <f ca="1">IFERROR(__xludf.DUMMYFUNCTION("""COMPUTED_VALUE"""),"sunilsnair777@gmail.com")</f>
        <v>sunilsnair777@gmail.com</v>
      </c>
      <c r="R713" s="6" t="str">
        <f ca="1">IFERROR(__xludf.DUMMYFUNCTION("""COMPUTED_VALUE"""),"Done. Good feedback.")</f>
        <v>Done. Good feedback.</v>
      </c>
      <c r="S713" s="6" t="str">
        <f ca="1">IFERROR(__xludf.DUMMYFUNCTION("""COMPUTED_VALUE"""),"Category")</f>
        <v>Category</v>
      </c>
      <c r="T713" s="6"/>
      <c r="U713" s="6"/>
      <c r="V713" s="6"/>
      <c r="W713" s="6"/>
      <c r="X713" s="6"/>
      <c r="Y713" s="6"/>
      <c r="Z713" s="6"/>
      <c r="AA713" s="6"/>
      <c r="AB713" s="6"/>
      <c r="AC713" s="6"/>
      <c r="AD713" s="6"/>
      <c r="AE713" s="6"/>
      <c r="AF713" s="6"/>
      <c r="AG713" s="6"/>
      <c r="AH713" s="6"/>
      <c r="AI713" s="6"/>
      <c r="AJ713" s="6"/>
      <c r="AK713" s="6"/>
      <c r="AL713" s="6"/>
    </row>
    <row r="714" spans="1:38">
      <c r="A714" s="96">
        <f ca="1">IFERROR(__xludf.DUMMYFUNCTION("""COMPUTED_VALUE"""),44523)</f>
        <v>44523</v>
      </c>
      <c r="B714" s="6" t="str">
        <f ca="1">IFERROR(__xludf.DUMMYFUNCTION("""COMPUTED_VALUE"""),"Preeti Gupta")</f>
        <v>Preeti Gupta</v>
      </c>
      <c r="C714" s="6" t="str">
        <f ca="1">IFERROR(__xludf.DUMMYFUNCTION("""COMPUTED_VALUE"""),"preeti.gupta@unilever.com")</f>
        <v>preeti.gupta@unilever.com</v>
      </c>
      <c r="D714" s="6">
        <f ca="1">IFERROR(__xludf.DUMMYFUNCTION("""COMPUTED_VALUE"""),9620304432)</f>
        <v>9620304432</v>
      </c>
      <c r="E714" s="6" t="str">
        <f ca="1">IFERROR(__xludf.DUMMYFUNCTION("""COMPUTED_VALUE"""),"Query box")</f>
        <v>Query box</v>
      </c>
      <c r="F714" s="6" t="str">
        <f ca="1">IFERROR(__xludf.DUMMYFUNCTION("""COMPUTED_VALUE"""),"PSPO")</f>
        <v>PSPO</v>
      </c>
      <c r="G714" s="80">
        <f ca="1">IFERROR(__xludf.DUMMYFUNCTION("""COMPUTED_VALUE"""),44501)</f>
        <v>44501</v>
      </c>
      <c r="H714" s="6" t="str">
        <f ca="1">IFERROR(__xludf.DUMMYFUNCTION("""COMPUTED_VALUE"""),"Won")</f>
        <v>Won</v>
      </c>
      <c r="I714" s="6" t="str">
        <f ca="1">IFERROR(__xludf.DUMMYFUNCTION("""COMPUTED_VALUE"""),"11-12 Dec 2021")</f>
        <v>11-12 Dec 2021</v>
      </c>
      <c r="J714" s="6">
        <f ca="1">IFERROR(__xludf.DUMMYFUNCTION("""COMPUTED_VALUE"""),1)</f>
        <v>1</v>
      </c>
      <c r="K714" s="8">
        <f ca="1">IFERROR(__xludf.DUMMYFUNCTION("""COMPUTED_VALUE"""),21000)</f>
        <v>21000</v>
      </c>
      <c r="L714" s="8">
        <f ca="1">IFERROR(__xludf.DUMMYFUNCTION("""COMPUTED_VALUE"""),240.494732020155)</f>
        <v>240.494732020155</v>
      </c>
      <c r="M714" s="96">
        <f ca="1">IFERROR(__xludf.DUMMYFUNCTION("""COMPUTED_VALUE"""),44523)</f>
        <v>44523</v>
      </c>
      <c r="N714" s="6" t="str">
        <f ca="1">IFERROR(__xludf.DUMMYFUNCTION("""COMPUTED_VALUE"""),"T10")</f>
        <v>T10</v>
      </c>
      <c r="O714" s="97">
        <f ca="1">IFERROR(__xludf.DUMMYFUNCTION("""COMPUTED_VALUE"""),44523)</f>
        <v>44523</v>
      </c>
      <c r="P714" s="6" t="str">
        <f ca="1">IFERROR(__xludf.DUMMYFUNCTION("""COMPUTED_VALUE"""),"CSTM_5BSCXG13SEA")</f>
        <v>CSTM_5BSCXG13SEA</v>
      </c>
      <c r="Q714" s="6"/>
      <c r="R714" s="6" t="str">
        <f ca="1">IFERROR(__xludf.DUMMYFUNCTION("""COMPUTED_VALUE"""),"Pending")</f>
        <v>Pending</v>
      </c>
      <c r="S714" s="6" t="str">
        <f ca="1">IFERROR(__xludf.DUMMYFUNCTION("""COMPUTED_VALUE"""),"Category")</f>
        <v>Category</v>
      </c>
      <c r="T714" s="6"/>
      <c r="U714" s="6"/>
      <c r="V714" s="6"/>
      <c r="W714" s="6"/>
      <c r="X714" s="6"/>
      <c r="Y714" s="6"/>
      <c r="Z714" s="6"/>
      <c r="AA714" s="6"/>
      <c r="AB714" s="6"/>
      <c r="AC714" s="6"/>
      <c r="AD714" s="6"/>
      <c r="AE714" s="6"/>
      <c r="AF714" s="6"/>
      <c r="AG714" s="6"/>
      <c r="AH714" s="6"/>
      <c r="AI714" s="6"/>
      <c r="AJ714" s="6"/>
      <c r="AK714" s="6"/>
      <c r="AL714" s="6"/>
    </row>
    <row r="715" spans="1:38">
      <c r="A715" s="96">
        <f ca="1">IFERROR(__xludf.DUMMYFUNCTION("""COMPUTED_VALUE"""),44523)</f>
        <v>44523</v>
      </c>
      <c r="B715" s="6" t="str">
        <f ca="1">IFERROR(__xludf.DUMMYFUNCTION("""COMPUTED_VALUE"""),"Sudhanshu")</f>
        <v>Sudhanshu</v>
      </c>
      <c r="C715" s="6" t="str">
        <f ca="1">IFERROR(__xludf.DUMMYFUNCTION("""COMPUTED_VALUE"""),"0205.sudhanshu@gmail.com")</f>
        <v>0205.sudhanshu@gmail.com</v>
      </c>
      <c r="D715" s="6">
        <f ca="1">IFERROR(__xludf.DUMMYFUNCTION("""COMPUTED_VALUE"""),9920858044)</f>
        <v>9920858044</v>
      </c>
      <c r="E715" s="6" t="str">
        <f ca="1">IFERROR(__xludf.DUMMYFUNCTION("""COMPUTED_VALUE"""),"Reference")</f>
        <v>Reference</v>
      </c>
      <c r="F715" s="6" t="str">
        <f ca="1">IFERROR(__xludf.DUMMYFUNCTION("""COMPUTED_VALUE"""),"P2 Agile F&amp;P")</f>
        <v>P2 Agile F&amp;P</v>
      </c>
      <c r="G715" s="80">
        <f ca="1">IFERROR(__xludf.DUMMYFUNCTION("""COMPUTED_VALUE"""),44501)</f>
        <v>44501</v>
      </c>
      <c r="H715" s="6" t="str">
        <f ca="1">IFERROR(__xludf.DUMMYFUNCTION("""COMPUTED_VALUE"""),"Won")</f>
        <v>Won</v>
      </c>
      <c r="I715" s="6" t="str">
        <f ca="1">IFERROR(__xludf.DUMMYFUNCTION("""COMPUTED_VALUE"""),"23 Nov 2021")</f>
        <v>23 Nov 2021</v>
      </c>
      <c r="J715" s="6">
        <f ca="1">IFERROR(__xludf.DUMMYFUNCTION("""COMPUTED_VALUE"""),1)</f>
        <v>1</v>
      </c>
      <c r="K715" s="8">
        <f ca="1">IFERROR(__xludf.DUMMYFUNCTION("""COMPUTED_VALUE"""),43000)</f>
        <v>43000</v>
      </c>
      <c r="L715" s="8">
        <f ca="1">IFERROR(__xludf.DUMMYFUNCTION("""COMPUTED_VALUE"""),492.441594136509)</f>
        <v>492.44159413650902</v>
      </c>
      <c r="M715" s="96">
        <f ca="1">IFERROR(__xludf.DUMMYFUNCTION("""COMPUTED_VALUE"""),44523)</f>
        <v>44523</v>
      </c>
      <c r="N715" s="6" t="str">
        <f ca="1">IFERROR(__xludf.DUMMYFUNCTION("""COMPUTED_VALUE"""),"T10")</f>
        <v>T10</v>
      </c>
      <c r="O715" s="97">
        <f ca="1">IFERROR(__xludf.DUMMYFUNCTION("""COMPUTED_VALUE"""),44523)</f>
        <v>44523</v>
      </c>
      <c r="P715" s="6" t="str">
        <f ca="1">IFERROR(__xludf.DUMMYFUNCTION("""COMPUTED_VALUE"""),"CSTM_IY7DZ113VQ8")</f>
        <v>CSTM_IY7DZ113VQ8</v>
      </c>
      <c r="Q715" s="6" t="str">
        <f ca="1">IFERROR(__xludf.DUMMYFUNCTION("""COMPUTED_VALUE"""),"shefali.nigam7@gmail.com")</f>
        <v>shefali.nigam7@gmail.com</v>
      </c>
      <c r="R715" s="6" t="str">
        <f ca="1">IFERROR(__xludf.DUMMYFUNCTION("""COMPUTED_VALUE"""),"Pending")</f>
        <v>Pending</v>
      </c>
      <c r="S715" s="6" t="str">
        <f ca="1">IFERROR(__xludf.DUMMYFUNCTION("""COMPUTED_VALUE"""),"NonCategory")</f>
        <v>NonCategory</v>
      </c>
      <c r="T715" s="6"/>
      <c r="U715" s="6"/>
      <c r="V715" s="6"/>
      <c r="W715" s="6"/>
      <c r="X715" s="6"/>
      <c r="Y715" s="6"/>
      <c r="Z715" s="6"/>
      <c r="AA715" s="6"/>
      <c r="AB715" s="6"/>
      <c r="AC715" s="6"/>
      <c r="AD715" s="6"/>
      <c r="AE715" s="6"/>
      <c r="AF715" s="6"/>
      <c r="AG715" s="6"/>
      <c r="AH715" s="6"/>
      <c r="AI715" s="6"/>
      <c r="AJ715" s="6"/>
      <c r="AK715" s="6"/>
      <c r="AL715" s="6"/>
    </row>
    <row r="716" spans="1:38">
      <c r="A716" s="96">
        <f ca="1">IFERROR(__xludf.DUMMYFUNCTION("""COMPUTED_VALUE"""),44524)</f>
        <v>44524</v>
      </c>
      <c r="B716" s="6" t="str">
        <f ca="1">IFERROR(__xludf.DUMMYFUNCTION("""COMPUTED_VALUE"""),"Tanay Gunjikar")</f>
        <v>Tanay Gunjikar</v>
      </c>
      <c r="C716" s="6" t="str">
        <f ca="1">IFERROR(__xludf.DUMMYFUNCTION("""COMPUTED_VALUE"""),"drtanaygunjikar@gmail.com")</f>
        <v>drtanaygunjikar@gmail.com</v>
      </c>
      <c r="D716" s="6">
        <f ca="1">IFERROR(__xludf.DUMMYFUNCTION("""COMPUTED_VALUE"""),8369506077)</f>
        <v>8369506077</v>
      </c>
      <c r="E716" s="6" t="str">
        <f ca="1">IFERROR(__xludf.DUMMYFUNCTION("""COMPUTED_VALUE"""),"Reference")</f>
        <v>Reference</v>
      </c>
      <c r="F716" s="6" t="str">
        <f ca="1">IFERROR(__xludf.DUMMYFUNCTION("""COMPUTED_VALUE"""),"CSPO")</f>
        <v>CSPO</v>
      </c>
      <c r="G716" s="80">
        <f ca="1">IFERROR(__xludf.DUMMYFUNCTION("""COMPUTED_VALUE"""),44501)</f>
        <v>44501</v>
      </c>
      <c r="H716" s="6" t="str">
        <f ca="1">IFERROR(__xludf.DUMMYFUNCTION("""COMPUTED_VALUE"""),"Won")</f>
        <v>Won</v>
      </c>
      <c r="I716" s="6" t="str">
        <f ca="1">IFERROR(__xludf.DUMMYFUNCTION("""COMPUTED_VALUE"""),"4-5 Dec 2021")</f>
        <v>4-5 Dec 2021</v>
      </c>
      <c r="J716" s="6">
        <f ca="1">IFERROR(__xludf.DUMMYFUNCTION("""COMPUTED_VALUE"""),1)</f>
        <v>1</v>
      </c>
      <c r="K716" s="8">
        <f ca="1">IFERROR(__xludf.DUMMYFUNCTION("""COMPUTED_VALUE"""),19000)</f>
        <v>19000</v>
      </c>
      <c r="L716" s="8">
        <f ca="1">IFERROR(__xludf.DUMMYFUNCTION("""COMPUTED_VALUE"""),217.590471827759)</f>
        <v>217.59047182775899</v>
      </c>
      <c r="M716" s="96">
        <f ca="1">IFERROR(__xludf.DUMMYFUNCTION("""COMPUTED_VALUE"""),44524)</f>
        <v>44524</v>
      </c>
      <c r="N716" s="6" t="str">
        <f ca="1">IFERROR(__xludf.DUMMYFUNCTION("""COMPUTED_VALUE"""),"T10")</f>
        <v>T10</v>
      </c>
      <c r="O716" s="97">
        <f ca="1">IFERROR(__xludf.DUMMYFUNCTION("""COMPUTED_VALUE"""),44524)</f>
        <v>44524</v>
      </c>
      <c r="P716" s="6" t="str">
        <f ca="1">IFERROR(__xludf.DUMMYFUNCTION("""COMPUTED_VALUE"""),"CSTM_IL7AZING3KS")</f>
        <v>CSTM_IL7AZING3KS</v>
      </c>
      <c r="Q716" s="6" t="str">
        <f ca="1">IFERROR(__xludf.DUMMYFUNCTION("""COMPUTED_VALUE"""),"e21tanayg@iimidr.ac.in")</f>
        <v>e21tanayg@iimidr.ac.in</v>
      </c>
      <c r="R716" s="6" t="str">
        <f ca="1">IFERROR(__xludf.DUMMYFUNCTION("""COMPUTED_VALUE"""),"Done. Good feedback.")</f>
        <v>Done. Good feedback.</v>
      </c>
      <c r="S716" s="6" t="str">
        <f ca="1">IFERROR(__xludf.DUMMYFUNCTION("""COMPUTED_VALUE"""),"Category")</f>
        <v>Category</v>
      </c>
      <c r="T716" s="6"/>
      <c r="U716" s="6"/>
      <c r="V716" s="6"/>
      <c r="W716" s="6"/>
      <c r="X716" s="6"/>
      <c r="Y716" s="6"/>
      <c r="Z716" s="6"/>
      <c r="AA716" s="6"/>
      <c r="AB716" s="6"/>
      <c r="AC716" s="6"/>
      <c r="AD716" s="6"/>
      <c r="AE716" s="6"/>
      <c r="AF716" s="6"/>
      <c r="AG716" s="6"/>
      <c r="AH716" s="6"/>
      <c r="AI716" s="6"/>
      <c r="AJ716" s="6"/>
      <c r="AK716" s="6"/>
      <c r="AL716" s="6"/>
    </row>
    <row r="717" spans="1:38">
      <c r="A717" s="96">
        <f ca="1">IFERROR(__xludf.DUMMYFUNCTION("""COMPUTED_VALUE"""),44524)</f>
        <v>44524</v>
      </c>
      <c r="B717" s="6" t="str">
        <f ca="1">IFERROR(__xludf.DUMMYFUNCTION("""COMPUTED_VALUE"""),"Salil Ahuja")</f>
        <v>Salil Ahuja</v>
      </c>
      <c r="C717" s="6" t="str">
        <f ca="1">IFERROR(__xludf.DUMMYFUNCTION("""COMPUTED_VALUE"""),"salilahuja1991@gmail.com")</f>
        <v>salilahuja1991@gmail.com</v>
      </c>
      <c r="D717" s="6">
        <f ca="1">IFERROR(__xludf.DUMMYFUNCTION("""COMPUTED_VALUE"""),9896792577)</f>
        <v>9896792577</v>
      </c>
      <c r="E717" s="6" t="str">
        <f ca="1">IFERROR(__xludf.DUMMYFUNCTION("""COMPUTED_VALUE"""),"Query box")</f>
        <v>Query box</v>
      </c>
      <c r="F717" s="6" t="str">
        <f ca="1">IFERROR(__xludf.DUMMYFUNCTION("""COMPUTED_VALUE"""),"PSPO")</f>
        <v>PSPO</v>
      </c>
      <c r="G717" s="80">
        <f ca="1">IFERROR(__xludf.DUMMYFUNCTION("""COMPUTED_VALUE"""),44531)</f>
        <v>44531</v>
      </c>
      <c r="H717" s="6" t="str">
        <f ca="1">IFERROR(__xludf.DUMMYFUNCTION("""COMPUTED_VALUE"""),"Won")</f>
        <v>Won</v>
      </c>
      <c r="I717" s="6" t="str">
        <f ca="1">IFERROR(__xludf.DUMMYFUNCTION("""COMPUTED_VALUE"""),"18-19 Dec 2021")</f>
        <v>18-19 Dec 2021</v>
      </c>
      <c r="J717" s="6">
        <f ca="1">IFERROR(__xludf.DUMMYFUNCTION("""COMPUTED_VALUE"""),1)</f>
        <v>1</v>
      </c>
      <c r="K717" s="8">
        <f ca="1">IFERROR(__xludf.DUMMYFUNCTION("""COMPUTED_VALUE"""),21000)</f>
        <v>21000</v>
      </c>
      <c r="L717" s="8">
        <f ca="1">IFERROR(__xludf.DUMMYFUNCTION("""COMPUTED_VALUE"""),240.494732020155)</f>
        <v>240.494732020155</v>
      </c>
      <c r="M717" s="96">
        <f ca="1">IFERROR(__xludf.DUMMYFUNCTION("""COMPUTED_VALUE"""),44524)</f>
        <v>44524</v>
      </c>
      <c r="N717" s="6" t="str">
        <f ca="1">IFERROR(__xludf.DUMMYFUNCTION("""COMPUTED_VALUE"""),"F10")</f>
        <v>F10</v>
      </c>
      <c r="O717" s="97">
        <f ca="1">IFERROR(__xludf.DUMMYFUNCTION("""COMPUTED_VALUE"""),44531)</f>
        <v>44531</v>
      </c>
      <c r="P717" s="6" t="str">
        <f ca="1">IFERROR(__xludf.DUMMYFUNCTION("""COMPUTED_VALUE"""),"CSTM_8F0ZEZIO889")</f>
        <v>CSTM_8F0ZEZIO889</v>
      </c>
      <c r="Q717" s="6"/>
      <c r="R717" s="6" t="str">
        <f ca="1">IFERROR(__xludf.DUMMYFUNCTION("""COMPUTED_VALUE"""),"Done. Good feedback.")</f>
        <v>Done. Good feedback.</v>
      </c>
      <c r="S717" s="6" t="str">
        <f ca="1">IFERROR(__xludf.DUMMYFUNCTION("""COMPUTED_VALUE"""),"Category")</f>
        <v>Category</v>
      </c>
      <c r="T717" s="6"/>
      <c r="U717" s="6"/>
      <c r="V717" s="6"/>
      <c r="W717" s="6"/>
      <c r="X717" s="6"/>
      <c r="Y717" s="6"/>
      <c r="Z717" s="6"/>
      <c r="AA717" s="6"/>
      <c r="AB717" s="6"/>
      <c r="AC717" s="6"/>
      <c r="AD717" s="6"/>
      <c r="AE717" s="6"/>
      <c r="AF717" s="6"/>
      <c r="AG717" s="6"/>
      <c r="AH717" s="6"/>
      <c r="AI717" s="6"/>
      <c r="AJ717" s="6"/>
      <c r="AK717" s="6"/>
      <c r="AL717" s="6"/>
    </row>
    <row r="718" spans="1:38">
      <c r="A718" s="96">
        <f ca="1">IFERROR(__xludf.DUMMYFUNCTION("""COMPUTED_VALUE"""),44526)</f>
        <v>44526</v>
      </c>
      <c r="B718" s="6" t="str">
        <f ca="1">IFERROR(__xludf.DUMMYFUNCTION("""COMPUTED_VALUE"""),"Karan Mehta")</f>
        <v>Karan Mehta</v>
      </c>
      <c r="C718" s="6" t="str">
        <f ca="1">IFERROR(__xludf.DUMMYFUNCTION("""COMPUTED_VALUE"""),"karan.mehta88@hotmail.com")</f>
        <v>karan.mehta88@hotmail.com</v>
      </c>
      <c r="D718" s="6">
        <f ca="1">IFERROR(__xludf.DUMMYFUNCTION("""COMPUTED_VALUE"""),9899085383)</f>
        <v>9899085383</v>
      </c>
      <c r="E718" s="6" t="str">
        <f ca="1">IFERROR(__xludf.DUMMYFUNCTION("""COMPUTED_VALUE"""),"Query box")</f>
        <v>Query box</v>
      </c>
      <c r="F718" s="6" t="str">
        <f ca="1">IFERROR(__xludf.DUMMYFUNCTION("""COMPUTED_VALUE"""),"CSPO")</f>
        <v>CSPO</v>
      </c>
      <c r="G718" s="80">
        <f ca="1">IFERROR(__xludf.DUMMYFUNCTION("""COMPUTED_VALUE"""),44501)</f>
        <v>44501</v>
      </c>
      <c r="H718" s="6" t="str">
        <f ca="1">IFERROR(__xludf.DUMMYFUNCTION("""COMPUTED_VALUE"""),"Won")</f>
        <v>Won</v>
      </c>
      <c r="I718" s="6" t="str">
        <f ca="1">IFERROR(__xludf.DUMMYFUNCTION("""COMPUTED_VALUE"""),"11-12 Dec 2021")</f>
        <v>11-12 Dec 2021</v>
      </c>
      <c r="J718" s="6">
        <f ca="1">IFERROR(__xludf.DUMMYFUNCTION("""COMPUTED_VALUE"""),1)</f>
        <v>1</v>
      </c>
      <c r="K718" s="8">
        <f ca="1">IFERROR(__xludf.DUMMYFUNCTION("""COMPUTED_VALUE"""),20000)</f>
        <v>20000</v>
      </c>
      <c r="L718" s="8">
        <f ca="1">IFERROR(__xludf.DUMMYFUNCTION("""COMPUTED_VALUE"""),229.042601923957)</f>
        <v>229.04260192395699</v>
      </c>
      <c r="M718" s="96">
        <f ca="1">IFERROR(__xludf.DUMMYFUNCTION("""COMPUTED_VALUE"""),44526)</f>
        <v>44526</v>
      </c>
      <c r="N718" s="6" t="str">
        <f ca="1">IFERROR(__xludf.DUMMYFUNCTION("""COMPUTED_VALUE"""),"T10")</f>
        <v>T10</v>
      </c>
      <c r="O718" s="97">
        <f ca="1">IFERROR(__xludf.DUMMYFUNCTION("""COMPUTED_VALUE"""),44526)</f>
        <v>44526</v>
      </c>
      <c r="P718" s="6" t="str">
        <f ca="1">IFERROR(__xludf.DUMMYFUNCTION("""COMPUTED_VALUE"""),"CSTM_AD8V5T40J7Y")</f>
        <v>CSTM_AD8V5T40J7Y</v>
      </c>
      <c r="Q718" s="6"/>
      <c r="R718" s="6" t="str">
        <f ca="1">IFERROR(__xludf.DUMMYFUNCTION("""COMPUTED_VALUE"""),"Done. Good feedback.")</f>
        <v>Done. Good feedback.</v>
      </c>
      <c r="S718" s="6" t="str">
        <f ca="1">IFERROR(__xludf.DUMMYFUNCTION("""COMPUTED_VALUE"""),"Category")</f>
        <v>Category</v>
      </c>
      <c r="T718" s="6"/>
      <c r="U718" s="6"/>
      <c r="V718" s="6"/>
      <c r="W718" s="6"/>
      <c r="X718" s="6"/>
      <c r="Y718" s="6"/>
      <c r="Z718" s="6"/>
      <c r="AA718" s="6"/>
      <c r="AB718" s="6"/>
      <c r="AC718" s="6"/>
      <c r="AD718" s="6"/>
      <c r="AE718" s="6"/>
      <c r="AF718" s="6"/>
      <c r="AG718" s="6"/>
      <c r="AH718" s="6"/>
      <c r="AI718" s="6"/>
      <c r="AJ718" s="6"/>
      <c r="AK718" s="6"/>
      <c r="AL718" s="6"/>
    </row>
    <row r="719" spans="1:38">
      <c r="A719" s="96">
        <f ca="1">IFERROR(__xludf.DUMMYFUNCTION("""COMPUTED_VALUE"""),44526)</f>
        <v>44526</v>
      </c>
      <c r="B719" s="6" t="str">
        <f ca="1">IFERROR(__xludf.DUMMYFUNCTION("""COMPUTED_VALUE"""),"Bidyut ")</f>
        <v xml:space="preserve">Bidyut </v>
      </c>
      <c r="C719" s="6" t="str">
        <f ca="1">IFERROR(__xludf.DUMMYFUNCTION("""COMPUTED_VALUE"""),"bidyutvicky@gmail.com")</f>
        <v>bidyutvicky@gmail.com</v>
      </c>
      <c r="D719" s="6">
        <f ca="1">IFERROR(__xludf.DUMMYFUNCTION("""COMPUTED_VALUE"""),8889509711)</f>
        <v>8889509711</v>
      </c>
      <c r="E719" s="6" t="str">
        <f ca="1">IFERROR(__xludf.DUMMYFUNCTION("""COMPUTED_VALUE"""),"Query box")</f>
        <v>Query box</v>
      </c>
      <c r="F719" s="6" t="str">
        <f ca="1">IFERROR(__xludf.DUMMYFUNCTION("""COMPUTED_VALUE"""),"PSPO")</f>
        <v>PSPO</v>
      </c>
      <c r="G719" s="80">
        <f ca="1">IFERROR(__xludf.DUMMYFUNCTION("""COMPUTED_VALUE"""),44501)</f>
        <v>44501</v>
      </c>
      <c r="H719" s="6" t="str">
        <f ca="1">IFERROR(__xludf.DUMMYFUNCTION("""COMPUTED_VALUE"""),"Won")</f>
        <v>Won</v>
      </c>
      <c r="I719" s="6" t="str">
        <f ca="1">IFERROR(__xludf.DUMMYFUNCTION("""COMPUTED_VALUE"""),"11-12 Dec 2021")</f>
        <v>11-12 Dec 2021</v>
      </c>
      <c r="J719" s="6">
        <f ca="1">IFERROR(__xludf.DUMMYFUNCTION("""COMPUTED_VALUE"""),1)</f>
        <v>1</v>
      </c>
      <c r="K719" s="8">
        <f ca="1">IFERROR(__xludf.DUMMYFUNCTION("""COMPUTED_VALUE"""),21000)</f>
        <v>21000</v>
      </c>
      <c r="L719" s="8">
        <f ca="1">IFERROR(__xludf.DUMMYFUNCTION("""COMPUTED_VALUE"""),240.494732020155)</f>
        <v>240.494732020155</v>
      </c>
      <c r="M719" s="96">
        <f ca="1">IFERROR(__xludf.DUMMYFUNCTION("""COMPUTED_VALUE"""),44526)</f>
        <v>44526</v>
      </c>
      <c r="N719" s="6" t="str">
        <f ca="1">IFERROR(__xludf.DUMMYFUNCTION("""COMPUTED_VALUE"""),"T10")</f>
        <v>T10</v>
      </c>
      <c r="O719" s="97">
        <f ca="1">IFERROR(__xludf.DUMMYFUNCTION("""COMPUTED_VALUE"""),44526)</f>
        <v>44526</v>
      </c>
      <c r="P719" s="6" t="str">
        <f ca="1">IFERROR(__xludf.DUMMYFUNCTION("""COMPUTED_VALUE"""),"CSTM_C60PEZ1MLHS")</f>
        <v>CSTM_C60PEZ1MLHS</v>
      </c>
      <c r="Q719" s="6"/>
      <c r="R719" s="6" t="str">
        <f ca="1">IFERROR(__xludf.DUMMYFUNCTION("""COMPUTED_VALUE"""),"Done. Good feedback.")</f>
        <v>Done. Good feedback.</v>
      </c>
      <c r="S719" s="6" t="str">
        <f ca="1">IFERROR(__xludf.DUMMYFUNCTION("""COMPUTED_VALUE"""),"Category")</f>
        <v>Category</v>
      </c>
      <c r="T719" s="6"/>
      <c r="U719" s="6"/>
      <c r="V719" s="6"/>
      <c r="W719" s="6"/>
      <c r="X719" s="6"/>
      <c r="Y719" s="6"/>
      <c r="Z719" s="6"/>
      <c r="AA719" s="6"/>
      <c r="AB719" s="6"/>
      <c r="AC719" s="6"/>
      <c r="AD719" s="6"/>
      <c r="AE719" s="6"/>
      <c r="AF719" s="6"/>
      <c r="AG719" s="6"/>
      <c r="AH719" s="6"/>
      <c r="AI719" s="6"/>
      <c r="AJ719" s="6"/>
      <c r="AK719" s="6"/>
      <c r="AL719" s="6"/>
    </row>
    <row r="720" spans="1:38">
      <c r="A720" s="96">
        <f ca="1">IFERROR(__xludf.DUMMYFUNCTION("""COMPUTED_VALUE"""),44527)</f>
        <v>44527</v>
      </c>
      <c r="B720" s="6" t="str">
        <f ca="1">IFERROR(__xludf.DUMMYFUNCTION("""COMPUTED_VALUE"""),"Daya Bhosale")</f>
        <v>Daya Bhosale</v>
      </c>
      <c r="C720" s="6" t="str">
        <f ca="1">IFERROR(__xludf.DUMMYFUNCTION("""COMPUTED_VALUE"""),"daya.bhosale@neptune-ubi.com")</f>
        <v>daya.bhosale@neptune-ubi.com</v>
      </c>
      <c r="D720" s="6">
        <f ca="1">IFERROR(__xludf.DUMMYFUNCTION("""COMPUTED_VALUE"""),9175005225)</f>
        <v>9175005225</v>
      </c>
      <c r="E720" s="6" t="str">
        <f ca="1">IFERROR(__xludf.DUMMYFUNCTION("""COMPUTED_VALUE"""),"Account Repeat")</f>
        <v>Account Repeat</v>
      </c>
      <c r="F720" s="6" t="str">
        <f ca="1">IFERROR(__xludf.DUMMYFUNCTION("""COMPUTED_VALUE"""),"PSM")</f>
        <v>PSM</v>
      </c>
      <c r="G720" s="80">
        <f ca="1">IFERROR(__xludf.DUMMYFUNCTION("""COMPUTED_VALUE"""),44501)</f>
        <v>44501</v>
      </c>
      <c r="H720" s="6" t="str">
        <f ca="1">IFERROR(__xludf.DUMMYFUNCTION("""COMPUTED_VALUE"""),"Won")</f>
        <v>Won</v>
      </c>
      <c r="I720" s="6" t="str">
        <f ca="1">IFERROR(__xludf.DUMMYFUNCTION("""COMPUTED_VALUE"""),"13-14 Dec 2021")</f>
        <v>13-14 Dec 2021</v>
      </c>
      <c r="J720" s="6">
        <f ca="1">IFERROR(__xludf.DUMMYFUNCTION("""COMPUTED_VALUE"""),20)</f>
        <v>20</v>
      </c>
      <c r="K720" s="8">
        <f ca="1">IFERROR(__xludf.DUMMYFUNCTION("""COMPUTED_VALUE"""),141600)</f>
        <v>141600</v>
      </c>
      <c r="L720" s="8">
        <f ca="1">IFERROR(__xludf.DUMMYFUNCTION("""COMPUTED_VALUE"""),1621.62162162162)</f>
        <v>1621.6216216216201</v>
      </c>
      <c r="M720" s="96">
        <f ca="1">IFERROR(__xludf.DUMMYFUNCTION("""COMPUTED_VALUE"""),44525)</f>
        <v>44525</v>
      </c>
      <c r="N720" s="6" t="str">
        <f ca="1">IFERROR(__xludf.DUMMYFUNCTION("""COMPUTED_VALUE"""),"T10")</f>
        <v>T10</v>
      </c>
      <c r="O720" s="97">
        <f ca="1">IFERROR(__xludf.DUMMYFUNCTION("""COMPUTED_VALUE"""),44525)</f>
        <v>44525</v>
      </c>
      <c r="P720" s="6" t="str">
        <f ca="1">IFERROR(__xludf.DUMMYFUNCTION("""COMPUTED_VALUE"""),"00062616_01")</f>
        <v>00062616_01</v>
      </c>
      <c r="Q720" s="6"/>
      <c r="R720" s="6" t="str">
        <f ca="1">IFERROR(__xludf.DUMMYFUNCTION("""COMPUTED_VALUE"""),"Pending")</f>
        <v>Pending</v>
      </c>
      <c r="S720" s="6" t="str">
        <f ca="1">IFERROR(__xludf.DUMMYFUNCTION("""COMPUTED_VALUE"""),"Category")</f>
        <v>Category</v>
      </c>
      <c r="T720" s="6"/>
      <c r="U720" s="6"/>
      <c r="V720" s="6"/>
      <c r="W720" s="6"/>
      <c r="X720" s="6"/>
      <c r="Y720" s="6"/>
      <c r="Z720" s="6"/>
      <c r="AA720" s="6"/>
      <c r="AB720" s="6"/>
      <c r="AC720" s="6"/>
      <c r="AD720" s="6"/>
      <c r="AE720" s="6"/>
      <c r="AF720" s="6"/>
      <c r="AG720" s="6"/>
      <c r="AH720" s="6"/>
      <c r="AI720" s="6"/>
      <c r="AJ720" s="6"/>
      <c r="AK720" s="6"/>
      <c r="AL720" s="6"/>
    </row>
    <row r="721" spans="1:38">
      <c r="A721" s="96">
        <f ca="1">IFERROR(__xludf.DUMMYFUNCTION("""COMPUTED_VALUE"""),44528)</f>
        <v>44528</v>
      </c>
      <c r="B721" s="6" t="str">
        <f ca="1">IFERROR(__xludf.DUMMYFUNCTION("""COMPUTED_VALUE"""),"Dipandas")</f>
        <v>Dipandas</v>
      </c>
      <c r="C721" s="6" t="str">
        <f ca="1">IFERROR(__xludf.DUMMYFUNCTION("""COMPUTED_VALUE"""),"dipandasroy@gmail.com")</f>
        <v>dipandasroy@gmail.com</v>
      </c>
      <c r="D721" s="6">
        <f ca="1">IFERROR(__xludf.DUMMYFUNCTION("""COMPUTED_VALUE"""),9711992204)</f>
        <v>9711992204</v>
      </c>
      <c r="E721" s="6" t="str">
        <f ca="1">IFERROR(__xludf.DUMMYFUNCTION("""COMPUTED_VALUE"""),"Chat_triggered")</f>
        <v>Chat_triggered</v>
      </c>
      <c r="F721" s="6" t="str">
        <f ca="1">IFERROR(__xludf.DUMMYFUNCTION("""COMPUTED_VALUE"""),"CSM")</f>
        <v>CSM</v>
      </c>
      <c r="G721" s="80">
        <f ca="1">IFERROR(__xludf.DUMMYFUNCTION("""COMPUTED_VALUE"""),44501)</f>
        <v>44501</v>
      </c>
      <c r="H721" s="6" t="str">
        <f ca="1">IFERROR(__xludf.DUMMYFUNCTION("""COMPUTED_VALUE"""),"Won")</f>
        <v>Won</v>
      </c>
      <c r="I721" s="6" t="str">
        <f ca="1">IFERROR(__xludf.DUMMYFUNCTION("""COMPUTED_VALUE"""),"11-12 Dec 2021")</f>
        <v>11-12 Dec 2021</v>
      </c>
      <c r="J721" s="6">
        <f ca="1">IFERROR(__xludf.DUMMYFUNCTION("""COMPUTED_VALUE"""),1)</f>
        <v>1</v>
      </c>
      <c r="K721" s="8">
        <f ca="1">IFERROR(__xludf.DUMMYFUNCTION("""COMPUTED_VALUE"""),20000)</f>
        <v>20000</v>
      </c>
      <c r="L721" s="8">
        <f ca="1">IFERROR(__xludf.DUMMYFUNCTION("""COMPUTED_VALUE"""),229.042601923957)</f>
        <v>229.04260192395699</v>
      </c>
      <c r="M721" s="96">
        <f ca="1">IFERROR(__xludf.DUMMYFUNCTION("""COMPUTED_VALUE"""),44528)</f>
        <v>44528</v>
      </c>
      <c r="N721" s="6" t="str">
        <f ca="1">IFERROR(__xludf.DUMMYFUNCTION("""COMPUTED_VALUE"""),"T10")</f>
        <v>T10</v>
      </c>
      <c r="O721" s="97">
        <f ca="1">IFERROR(__xludf.DUMMYFUNCTION("""COMPUTED_VALUE"""),44528)</f>
        <v>44528</v>
      </c>
      <c r="P721" s="6" t="str">
        <f ca="1">IFERROR(__xludf.DUMMYFUNCTION("""COMPUTED_VALUE"""),"CSTM_D791BOPH90G")</f>
        <v>CSTM_D791BOPH90G</v>
      </c>
      <c r="Q721" s="6"/>
      <c r="R721" s="6" t="str">
        <f ca="1">IFERROR(__xludf.DUMMYFUNCTION("""COMPUTED_VALUE"""),"Done. Good feedback.")</f>
        <v>Done. Good feedback.</v>
      </c>
      <c r="S721" s="6" t="str">
        <f ca="1">IFERROR(__xludf.DUMMYFUNCTION("""COMPUTED_VALUE"""),"Category")</f>
        <v>Category</v>
      </c>
      <c r="T721" s="6"/>
      <c r="U721" s="6"/>
      <c r="V721" s="6"/>
      <c r="W721" s="6"/>
      <c r="X721" s="6"/>
      <c r="Y721" s="6"/>
      <c r="Z721" s="6"/>
      <c r="AA721" s="6"/>
      <c r="AB721" s="6"/>
      <c r="AC721" s="6"/>
      <c r="AD721" s="6"/>
      <c r="AE721" s="6"/>
      <c r="AF721" s="6"/>
      <c r="AG721" s="6"/>
      <c r="AH721" s="6"/>
      <c r="AI721" s="6"/>
      <c r="AJ721" s="6"/>
      <c r="AK721" s="6"/>
      <c r="AL721" s="6"/>
    </row>
    <row r="722" spans="1:38">
      <c r="A722" s="96">
        <f ca="1">IFERROR(__xludf.DUMMYFUNCTION("""COMPUTED_VALUE"""),44529)</f>
        <v>44529</v>
      </c>
      <c r="B722" s="6" t="str">
        <f ca="1">IFERROR(__xludf.DUMMYFUNCTION("""COMPUTED_VALUE"""),"Harish")</f>
        <v>Harish</v>
      </c>
      <c r="C722" s="6" t="str">
        <f ca="1">IFERROR(__xludf.DUMMYFUNCTION("""COMPUTED_VALUE"""),"harishver85@gmail.com")</f>
        <v>harishver85@gmail.com</v>
      </c>
      <c r="D722" s="6">
        <f ca="1">IFERROR(__xludf.DUMMYFUNCTION("""COMPUTED_VALUE"""),9911087425)</f>
        <v>9911087425</v>
      </c>
      <c r="E722" s="6" t="str">
        <f ca="1">IFERROR(__xludf.DUMMYFUNCTION("""COMPUTED_VALUE"""),"Chat_triggered")</f>
        <v>Chat_triggered</v>
      </c>
      <c r="F722" s="6" t="str">
        <f ca="1">IFERROR(__xludf.DUMMYFUNCTION("""COMPUTED_VALUE"""),"PSPO")</f>
        <v>PSPO</v>
      </c>
      <c r="G722" s="80">
        <f ca="1">IFERROR(__xludf.DUMMYFUNCTION("""COMPUTED_VALUE"""),44501)</f>
        <v>44501</v>
      </c>
      <c r="H722" s="6" t="str">
        <f ca="1">IFERROR(__xludf.DUMMYFUNCTION("""COMPUTED_VALUE"""),"Won")</f>
        <v>Won</v>
      </c>
      <c r="I722" s="6" t="str">
        <f ca="1">IFERROR(__xludf.DUMMYFUNCTION("""COMPUTED_VALUE"""),"11-12 Dec 2021")</f>
        <v>11-12 Dec 2021</v>
      </c>
      <c r="J722" s="6">
        <f ca="1">IFERROR(__xludf.DUMMYFUNCTION("""COMPUTED_VALUE"""),1)</f>
        <v>1</v>
      </c>
      <c r="K722" s="8">
        <f ca="1">IFERROR(__xludf.DUMMYFUNCTION("""COMPUTED_VALUE"""),21000)</f>
        <v>21000</v>
      </c>
      <c r="L722" s="8">
        <f ca="1">IFERROR(__xludf.DUMMYFUNCTION("""COMPUTED_VALUE"""),240.494732020155)</f>
        <v>240.494732020155</v>
      </c>
      <c r="M722" s="96">
        <f ca="1">IFERROR(__xludf.DUMMYFUNCTION("""COMPUTED_VALUE"""),44529)</f>
        <v>44529</v>
      </c>
      <c r="N722" s="6" t="str">
        <f ca="1">IFERROR(__xludf.DUMMYFUNCTION("""COMPUTED_VALUE"""),"T10")</f>
        <v>T10</v>
      </c>
      <c r="O722" s="97">
        <f ca="1">IFERROR(__xludf.DUMMYFUNCTION("""COMPUTED_VALUE"""),44529)</f>
        <v>44529</v>
      </c>
      <c r="P722" s="6" t="str">
        <f ca="1">IFERROR(__xludf.DUMMYFUNCTION("""COMPUTED_VALUE"""),"CSTM_203QJ2Y926V")</f>
        <v>CSTM_203QJ2Y926V</v>
      </c>
      <c r="Q722" s="6"/>
      <c r="R722" s="6" t="str">
        <f ca="1">IFERROR(__xludf.DUMMYFUNCTION("""COMPUTED_VALUE"""),"Done. Good feedback.")</f>
        <v>Done. Good feedback.</v>
      </c>
      <c r="S722" s="6" t="str">
        <f ca="1">IFERROR(__xludf.DUMMYFUNCTION("""COMPUTED_VALUE"""),"Category")</f>
        <v>Category</v>
      </c>
      <c r="T722" s="6"/>
      <c r="U722" s="6"/>
      <c r="V722" s="6"/>
      <c r="W722" s="6"/>
      <c r="X722" s="6"/>
      <c r="Y722" s="6"/>
      <c r="Z722" s="6"/>
      <c r="AA722" s="6"/>
      <c r="AB722" s="6"/>
      <c r="AC722" s="6"/>
      <c r="AD722" s="6"/>
      <c r="AE722" s="6"/>
      <c r="AF722" s="6"/>
      <c r="AG722" s="6"/>
      <c r="AH722" s="6"/>
      <c r="AI722" s="6"/>
      <c r="AJ722" s="6"/>
      <c r="AK722" s="6"/>
      <c r="AL722" s="6"/>
    </row>
    <row r="723" spans="1:38">
      <c r="A723" s="96">
        <f ca="1">IFERROR(__xludf.DUMMYFUNCTION("""COMPUTED_VALUE"""),44529)</f>
        <v>44529</v>
      </c>
      <c r="B723" s="6" t="str">
        <f ca="1">IFERROR(__xludf.DUMMYFUNCTION("""COMPUTED_VALUE"""),"Hina Bhatia")</f>
        <v>Hina Bhatia</v>
      </c>
      <c r="C723" s="6" t="str">
        <f ca="1">IFERROR(__xludf.DUMMYFUNCTION("""COMPUTED_VALUE"""),"bhatiahina11@gmail.com")</f>
        <v>bhatiahina11@gmail.com</v>
      </c>
      <c r="D723" s="6">
        <f ca="1">IFERROR(__xludf.DUMMYFUNCTION("""COMPUTED_VALUE"""),8860961793)</f>
        <v>8860961793</v>
      </c>
      <c r="E723" s="6" t="str">
        <f ca="1">IFERROR(__xludf.DUMMYFUNCTION("""COMPUTED_VALUE"""),"Chat_triggered")</f>
        <v>Chat_triggered</v>
      </c>
      <c r="F723" s="6" t="str">
        <f ca="1">IFERROR(__xludf.DUMMYFUNCTION("""COMPUTED_VALUE"""),"PSPO")</f>
        <v>PSPO</v>
      </c>
      <c r="G723" s="80">
        <f ca="1">IFERROR(__xludf.DUMMYFUNCTION("""COMPUTED_VALUE"""),44501)</f>
        <v>44501</v>
      </c>
      <c r="H723" s="6" t="str">
        <f ca="1">IFERROR(__xludf.DUMMYFUNCTION("""COMPUTED_VALUE"""),"Won")</f>
        <v>Won</v>
      </c>
      <c r="I723" s="6" t="str">
        <f ca="1">IFERROR(__xludf.DUMMYFUNCTION("""COMPUTED_VALUE"""),"18-19 Dec 2021")</f>
        <v>18-19 Dec 2021</v>
      </c>
      <c r="J723" s="6">
        <f ca="1">IFERROR(__xludf.DUMMYFUNCTION("""COMPUTED_VALUE"""),1)</f>
        <v>1</v>
      </c>
      <c r="K723" s="8">
        <f ca="1">IFERROR(__xludf.DUMMYFUNCTION("""COMPUTED_VALUE"""),21000)</f>
        <v>21000</v>
      </c>
      <c r="L723" s="8">
        <f ca="1">IFERROR(__xludf.DUMMYFUNCTION("""COMPUTED_VALUE"""),240.494732020155)</f>
        <v>240.494732020155</v>
      </c>
      <c r="M723" s="96">
        <f ca="1">IFERROR(__xludf.DUMMYFUNCTION("""COMPUTED_VALUE"""),44529)</f>
        <v>44529</v>
      </c>
      <c r="N723" s="6" t="str">
        <f ca="1">IFERROR(__xludf.DUMMYFUNCTION("""COMPUTED_VALUE"""),"T10")</f>
        <v>T10</v>
      </c>
      <c r="O723" s="97">
        <f ca="1">IFERROR(__xludf.DUMMYFUNCTION("""COMPUTED_VALUE"""),44529)</f>
        <v>44529</v>
      </c>
      <c r="P723" s="6" t="str">
        <f ca="1">IFERROR(__xludf.DUMMYFUNCTION("""COMPUTED_VALUE"""),"CSTM_ATJFICUKG4S")</f>
        <v>CSTM_ATJFICUKG4S</v>
      </c>
      <c r="Q723" s="6"/>
      <c r="R723" s="6" t="str">
        <f ca="1">IFERROR(__xludf.DUMMYFUNCTION("""COMPUTED_VALUE"""),"Pending")</f>
        <v>Pending</v>
      </c>
      <c r="S723" s="6" t="str">
        <f ca="1">IFERROR(__xludf.DUMMYFUNCTION("""COMPUTED_VALUE"""),"Category")</f>
        <v>Category</v>
      </c>
      <c r="T723" s="6"/>
      <c r="U723" s="6"/>
      <c r="V723" s="6"/>
      <c r="W723" s="6"/>
      <c r="X723" s="6"/>
      <c r="Y723" s="6"/>
      <c r="Z723" s="6"/>
      <c r="AA723" s="6"/>
      <c r="AB723" s="6"/>
      <c r="AC723" s="6"/>
      <c r="AD723" s="6"/>
      <c r="AE723" s="6"/>
      <c r="AF723" s="6"/>
      <c r="AG723" s="6"/>
      <c r="AH723" s="6"/>
      <c r="AI723" s="6"/>
      <c r="AJ723" s="6"/>
      <c r="AK723" s="6"/>
      <c r="AL723" s="6"/>
    </row>
    <row r="724" spans="1:38">
      <c r="A724" s="96">
        <f ca="1">IFERROR(__xludf.DUMMYFUNCTION("""COMPUTED_VALUE"""),44530)</f>
        <v>44530</v>
      </c>
      <c r="B724" s="6" t="str">
        <f ca="1">IFERROR(__xludf.DUMMYFUNCTION("""COMPUTED_VALUE"""),"Abhishek Ghosh")</f>
        <v>Abhishek Ghosh</v>
      </c>
      <c r="C724" s="6" t="str">
        <f ca="1">IFERROR(__xludf.DUMMYFUNCTION("""COMPUTED_VALUE"""),"abhishekmou@gmail.com")</f>
        <v>abhishekmou@gmail.com</v>
      </c>
      <c r="D724" s="6">
        <f ca="1">IFERROR(__xludf.DUMMYFUNCTION("""COMPUTED_VALUE"""),9985677334)</f>
        <v>9985677334</v>
      </c>
      <c r="E724" s="6" t="str">
        <f ca="1">IFERROR(__xludf.DUMMYFUNCTION("""COMPUTED_VALUE"""),"chat_initiated")</f>
        <v>chat_initiated</v>
      </c>
      <c r="F724" s="6" t="str">
        <f ca="1">IFERROR(__xludf.DUMMYFUNCTION("""COMPUTED_VALUE"""),"PSPO")</f>
        <v>PSPO</v>
      </c>
      <c r="G724" s="80">
        <f ca="1">IFERROR(__xludf.DUMMYFUNCTION("""COMPUTED_VALUE"""),44501)</f>
        <v>44501</v>
      </c>
      <c r="H724" s="6" t="str">
        <f ca="1">IFERROR(__xludf.DUMMYFUNCTION("""COMPUTED_VALUE"""),"Won")</f>
        <v>Won</v>
      </c>
      <c r="I724" s="6" t="str">
        <f ca="1">IFERROR(__xludf.DUMMYFUNCTION("""COMPUTED_VALUE"""),"11-12 Dec 2021")</f>
        <v>11-12 Dec 2021</v>
      </c>
      <c r="J724" s="6">
        <f ca="1">IFERROR(__xludf.DUMMYFUNCTION("""COMPUTED_VALUE"""),1)</f>
        <v>1</v>
      </c>
      <c r="K724" s="8">
        <f ca="1">IFERROR(__xludf.DUMMYFUNCTION("""COMPUTED_VALUE"""),21000)</f>
        <v>21000</v>
      </c>
      <c r="L724" s="8">
        <f ca="1">IFERROR(__xludf.DUMMYFUNCTION("""COMPUTED_VALUE"""),240.494732020155)</f>
        <v>240.494732020155</v>
      </c>
      <c r="M724" s="96">
        <f ca="1">IFERROR(__xludf.DUMMYFUNCTION("""COMPUTED_VALUE"""),44530)</f>
        <v>44530</v>
      </c>
      <c r="N724" s="6" t="str">
        <f ca="1">IFERROR(__xludf.DUMMYFUNCTION("""COMPUTED_VALUE"""),"T10")</f>
        <v>T10</v>
      </c>
      <c r="O724" s="97">
        <f ca="1">IFERROR(__xludf.DUMMYFUNCTION("""COMPUTED_VALUE"""),44530)</f>
        <v>44530</v>
      </c>
      <c r="P724" s="6" t="str">
        <f ca="1">IFERROR(__xludf.DUMMYFUNCTION("""COMPUTED_VALUE"""),"CSTM_GV8ERGTWCXG")</f>
        <v>CSTM_GV8ERGTWCXG</v>
      </c>
      <c r="Q724" s="6"/>
      <c r="R724" s="6" t="str">
        <f ca="1">IFERROR(__xludf.DUMMYFUNCTION("""COMPUTED_VALUE"""),"Done. Good feedback.")</f>
        <v>Done. Good feedback.</v>
      </c>
      <c r="S724" s="6" t="str">
        <f ca="1">IFERROR(__xludf.DUMMYFUNCTION("""COMPUTED_VALUE"""),"Category")</f>
        <v>Category</v>
      </c>
      <c r="T724" s="6"/>
      <c r="U724" s="6"/>
      <c r="V724" s="6"/>
      <c r="W724" s="6"/>
      <c r="X724" s="6"/>
      <c r="Y724" s="6"/>
      <c r="Z724" s="6"/>
      <c r="AA724" s="6"/>
      <c r="AB724" s="6"/>
      <c r="AC724" s="6"/>
      <c r="AD724" s="6"/>
      <c r="AE724" s="6"/>
      <c r="AF724" s="6"/>
      <c r="AG724" s="6"/>
      <c r="AH724" s="6"/>
      <c r="AI724" s="6"/>
      <c r="AJ724" s="6"/>
      <c r="AK724" s="6"/>
      <c r="AL724" s="6"/>
    </row>
    <row r="725" spans="1:38">
      <c r="A725" s="96">
        <f ca="1">IFERROR(__xludf.DUMMYFUNCTION("""COMPUTED_VALUE"""),44530)</f>
        <v>44530</v>
      </c>
      <c r="B725" s="6" t="str">
        <f ca="1">IFERROR(__xludf.DUMMYFUNCTION("""COMPUTED_VALUE"""),"Swapna Shivashankaran")</f>
        <v>Swapna Shivashankaran</v>
      </c>
      <c r="C725" s="6" t="str">
        <f ca="1">IFERROR(__xludf.DUMMYFUNCTION("""COMPUTED_VALUE"""),"swapnashivan@gmail.com")</f>
        <v>swapnashivan@gmail.com</v>
      </c>
      <c r="D725" s="6">
        <f ca="1">IFERROR(__xludf.DUMMYFUNCTION("""COMPUTED_VALUE"""),9845435435)</f>
        <v>9845435435</v>
      </c>
      <c r="E725" s="6" t="str">
        <f ca="1">IFERROR(__xludf.DUMMYFUNCTION("""COMPUTED_VALUE"""),"Query box")</f>
        <v>Query box</v>
      </c>
      <c r="F725" s="6" t="str">
        <f ca="1">IFERROR(__xludf.DUMMYFUNCTION("""COMPUTED_VALUE"""),"ITIL v4")</f>
        <v>ITIL v4</v>
      </c>
      <c r="G725" s="80">
        <f ca="1">IFERROR(__xludf.DUMMYFUNCTION("""COMPUTED_VALUE"""),44501)</f>
        <v>44501</v>
      </c>
      <c r="H725" s="6" t="str">
        <f ca="1">IFERROR(__xludf.DUMMYFUNCTION("""COMPUTED_VALUE"""),"Won")</f>
        <v>Won</v>
      </c>
      <c r="I725" s="6" t="str">
        <f ca="1">IFERROR(__xludf.DUMMYFUNCTION("""COMPUTED_VALUE"""),"30 Nov 2021")</f>
        <v>30 Nov 2021</v>
      </c>
      <c r="J725" s="6">
        <f ca="1">IFERROR(__xludf.DUMMYFUNCTION("""COMPUTED_VALUE"""),1)</f>
        <v>1</v>
      </c>
      <c r="K725" s="8">
        <f ca="1">IFERROR(__xludf.DUMMYFUNCTION("""COMPUTED_VALUE"""),15500)</f>
        <v>15500</v>
      </c>
      <c r="L725" s="8">
        <f ca="1">IFERROR(__xludf.DUMMYFUNCTION("""COMPUTED_VALUE"""),177.508016491067)</f>
        <v>177.508016491067</v>
      </c>
      <c r="M725" s="96">
        <f ca="1">IFERROR(__xludf.DUMMYFUNCTION("""COMPUTED_VALUE"""),44530)</f>
        <v>44530</v>
      </c>
      <c r="N725" s="6" t="str">
        <f ca="1">IFERROR(__xludf.DUMMYFUNCTION("""COMPUTED_VALUE"""),"T10")</f>
        <v>T10</v>
      </c>
      <c r="O725" s="97">
        <f ca="1">IFERROR(__xludf.DUMMYFUNCTION("""COMPUTED_VALUE"""),44530)</f>
        <v>44530</v>
      </c>
      <c r="P725" s="6" t="str">
        <f ca="1">IFERROR(__xludf.DUMMYFUNCTION("""COMPUTED_VALUE"""),"CSTM_HXD3875HGH1")</f>
        <v>CSTM_HXD3875HGH1</v>
      </c>
      <c r="Q725" s="6"/>
      <c r="R725" s="6" t="str">
        <f ca="1">IFERROR(__xludf.DUMMYFUNCTION("""COMPUTED_VALUE"""),"Pending")</f>
        <v>Pending</v>
      </c>
      <c r="S725" s="6" t="str">
        <f ca="1">IFERROR(__xludf.DUMMYFUNCTION("""COMPUTED_VALUE"""),"NonCategory")</f>
        <v>NonCategory</v>
      </c>
      <c r="T725" s="6"/>
      <c r="U725" s="6"/>
      <c r="V725" s="6"/>
      <c r="W725" s="6"/>
      <c r="X725" s="6"/>
      <c r="Y725" s="6"/>
      <c r="Z725" s="6"/>
      <c r="AA725" s="6"/>
      <c r="AB725" s="6"/>
      <c r="AC725" s="6"/>
      <c r="AD725" s="6"/>
      <c r="AE725" s="6"/>
      <c r="AF725" s="6"/>
      <c r="AG725" s="6"/>
      <c r="AH725" s="6"/>
      <c r="AI725" s="6"/>
      <c r="AJ725" s="6"/>
      <c r="AK725" s="6"/>
      <c r="AL725" s="6"/>
    </row>
    <row r="726" spans="1:38">
      <c r="A726" s="96">
        <f ca="1">IFERROR(__xludf.DUMMYFUNCTION("""COMPUTED_VALUE"""),44530)</f>
        <v>44530</v>
      </c>
      <c r="B726" s="6" t="str">
        <f ca="1">IFERROR(__xludf.DUMMYFUNCTION("""COMPUTED_VALUE"""),"Chandrashekhar")</f>
        <v>Chandrashekhar</v>
      </c>
      <c r="C726" s="6" t="str">
        <f ca="1">IFERROR(__xludf.DUMMYFUNCTION("""COMPUTED_VALUE"""),"ws.chandu@gmail.com")</f>
        <v>ws.chandu@gmail.com</v>
      </c>
      <c r="D726" s="6">
        <f ca="1">IFERROR(__xludf.DUMMYFUNCTION("""COMPUTED_VALUE"""),8919394401)</f>
        <v>8919394401</v>
      </c>
      <c r="E726" s="6" t="str">
        <f ca="1">IFERROR(__xludf.DUMMYFUNCTION("""COMPUTED_VALUE"""),"Reference")</f>
        <v>Reference</v>
      </c>
      <c r="F726" s="6" t="str">
        <f ca="1">IFERROR(__xludf.DUMMYFUNCTION("""COMPUTED_VALUE"""),"PSM")</f>
        <v>PSM</v>
      </c>
      <c r="G726" s="80">
        <f ca="1">IFERROR(__xludf.DUMMYFUNCTION("""COMPUTED_VALUE"""),44501)</f>
        <v>44501</v>
      </c>
      <c r="H726" s="6" t="str">
        <f ca="1">IFERROR(__xludf.DUMMYFUNCTION("""COMPUTED_VALUE"""),"Won")</f>
        <v>Won</v>
      </c>
      <c r="I726" s="6" t="str">
        <f ca="1">IFERROR(__xludf.DUMMYFUNCTION("""COMPUTED_VALUE"""),"4-5 Dec 2021")</f>
        <v>4-5 Dec 2021</v>
      </c>
      <c r="J726" s="6">
        <f ca="1">IFERROR(__xludf.DUMMYFUNCTION("""COMPUTED_VALUE"""),1)</f>
        <v>1</v>
      </c>
      <c r="K726" s="8">
        <f ca="1">IFERROR(__xludf.DUMMYFUNCTION("""COMPUTED_VALUE"""),21000)</f>
        <v>21000</v>
      </c>
      <c r="L726" s="8">
        <f ca="1">IFERROR(__xludf.DUMMYFUNCTION("""COMPUTED_VALUE"""),240.494732020155)</f>
        <v>240.494732020155</v>
      </c>
      <c r="M726" s="96">
        <f ca="1">IFERROR(__xludf.DUMMYFUNCTION("""COMPUTED_VALUE"""),44530)</f>
        <v>44530</v>
      </c>
      <c r="N726" s="6" t="str">
        <f ca="1">IFERROR(__xludf.DUMMYFUNCTION("""COMPUTED_VALUE"""),"T10")</f>
        <v>T10</v>
      </c>
      <c r="O726" s="97">
        <f ca="1">IFERROR(__xludf.DUMMYFUNCTION("""COMPUTED_VALUE"""),44530)</f>
        <v>44530</v>
      </c>
      <c r="P726" s="6" t="str">
        <f ca="1">IFERROR(__xludf.DUMMYFUNCTION("""COMPUTED_VALUE"""),"CSTM_3QXF8OQG3Q1")</f>
        <v>CSTM_3QXF8OQG3Q1</v>
      </c>
      <c r="Q726" s="6" t="str">
        <f ca="1">IFERROR(__xludf.DUMMYFUNCTION("""COMPUTED_VALUE"""),"Aurko")</f>
        <v>Aurko</v>
      </c>
      <c r="R726" s="6" t="str">
        <f ca="1">IFERROR(__xludf.DUMMYFUNCTION("""COMPUTED_VALUE"""),"Done. Good feedback.")</f>
        <v>Done. Good feedback.</v>
      </c>
      <c r="S726" s="6" t="str">
        <f ca="1">IFERROR(__xludf.DUMMYFUNCTION("""COMPUTED_VALUE"""),"Category")</f>
        <v>Category</v>
      </c>
      <c r="T726" s="6"/>
      <c r="U726" s="6"/>
      <c r="V726" s="6"/>
      <c r="W726" s="6"/>
      <c r="X726" s="6"/>
      <c r="Y726" s="6"/>
      <c r="Z726" s="6"/>
      <c r="AA726" s="6"/>
      <c r="AB726" s="6"/>
      <c r="AC726" s="6"/>
      <c r="AD726" s="6"/>
      <c r="AE726" s="6"/>
      <c r="AF726" s="6"/>
      <c r="AG726" s="6"/>
      <c r="AH726" s="6"/>
      <c r="AI726" s="6"/>
      <c r="AJ726" s="6"/>
      <c r="AK726" s="6"/>
      <c r="AL726" s="6"/>
    </row>
    <row r="727" spans="1:38">
      <c r="A727" s="96">
        <f ca="1">IFERROR(__xludf.DUMMYFUNCTION("""COMPUTED_VALUE"""),44530)</f>
        <v>44530</v>
      </c>
      <c r="B727" s="6" t="str">
        <f ca="1">IFERROR(__xludf.DUMMYFUNCTION("""COMPUTED_VALUE"""),"Arun Rangan")</f>
        <v>Arun Rangan</v>
      </c>
      <c r="C727" s="6" t="str">
        <f ca="1">IFERROR(__xludf.DUMMYFUNCTION("""COMPUTED_VALUE"""),"arun_rangan_2001@yahoo.co.in")</f>
        <v>arun_rangan_2001@yahoo.co.in</v>
      </c>
      <c r="D727" s="6">
        <f ca="1">IFERROR(__xludf.DUMMYFUNCTION("""COMPUTED_VALUE"""),9880514575)</f>
        <v>9880514575</v>
      </c>
      <c r="E727" s="6" t="str">
        <f ca="1">IFERROR(__xludf.DUMMYFUNCTION("""COMPUTED_VALUE"""),"Account Repeat")</f>
        <v>Account Repeat</v>
      </c>
      <c r="F727" s="6" t="str">
        <f ca="1">IFERROR(__xludf.DUMMYFUNCTION("""COMPUTED_VALUE"""),"PSM")</f>
        <v>PSM</v>
      </c>
      <c r="G727" s="80">
        <f ca="1">IFERROR(__xludf.DUMMYFUNCTION("""COMPUTED_VALUE"""),44501)</f>
        <v>44501</v>
      </c>
      <c r="H727" s="6" t="str">
        <f ca="1">IFERROR(__xludf.DUMMYFUNCTION("""COMPUTED_VALUE"""),"Won")</f>
        <v>Won</v>
      </c>
      <c r="I727" s="6" t="str">
        <f ca="1">IFERROR(__xludf.DUMMYFUNCTION("""COMPUTED_VALUE"""),"4-5 Dec 2021")</f>
        <v>4-5 Dec 2021</v>
      </c>
      <c r="J727" s="6">
        <f ca="1">IFERROR(__xludf.DUMMYFUNCTION("""COMPUTED_VALUE"""),1)</f>
        <v>1</v>
      </c>
      <c r="K727" s="8">
        <f ca="1">IFERROR(__xludf.DUMMYFUNCTION("""COMPUTED_VALUE"""),21000)</f>
        <v>21000</v>
      </c>
      <c r="L727" s="8">
        <f ca="1">IFERROR(__xludf.DUMMYFUNCTION("""COMPUTED_VALUE"""),240.494732020155)</f>
        <v>240.494732020155</v>
      </c>
      <c r="M727" s="96">
        <f ca="1">IFERROR(__xludf.DUMMYFUNCTION("""COMPUTED_VALUE"""),44530)</f>
        <v>44530</v>
      </c>
      <c r="N727" s="6" t="str">
        <f ca="1">IFERROR(__xludf.DUMMYFUNCTION("""COMPUTED_VALUE"""),"T10")</f>
        <v>T10</v>
      </c>
      <c r="O727" s="97">
        <f ca="1">IFERROR(__xludf.DUMMYFUNCTION("""COMPUTED_VALUE"""),44530)</f>
        <v>44530</v>
      </c>
      <c r="P727" s="6" t="str">
        <f ca="1">IFERROR(__xludf.DUMMYFUNCTION("""COMPUTED_VALUE"""),"CSTM_HNZYL77N7CB")</f>
        <v>CSTM_HNZYL77N7CB</v>
      </c>
      <c r="Q727" s="6"/>
      <c r="R727" s="6" t="str">
        <f ca="1">IFERROR(__xludf.DUMMYFUNCTION("""COMPUTED_VALUE"""),"Done. Good feedback.")</f>
        <v>Done. Good feedback.</v>
      </c>
      <c r="S727" s="6" t="str">
        <f ca="1">IFERROR(__xludf.DUMMYFUNCTION("""COMPUTED_VALUE"""),"Category")</f>
        <v>Category</v>
      </c>
      <c r="T727" s="6"/>
      <c r="U727" s="6"/>
      <c r="V727" s="6"/>
      <c r="W727" s="6"/>
      <c r="X727" s="6"/>
      <c r="Y727" s="6"/>
      <c r="Z727" s="6"/>
      <c r="AA727" s="6"/>
      <c r="AB727" s="6"/>
      <c r="AC727" s="6"/>
      <c r="AD727" s="6"/>
      <c r="AE727" s="6"/>
      <c r="AF727" s="6"/>
      <c r="AG727" s="6"/>
      <c r="AH727" s="6"/>
      <c r="AI727" s="6"/>
      <c r="AJ727" s="6"/>
      <c r="AK727" s="6"/>
      <c r="AL727" s="6"/>
    </row>
    <row r="728" spans="1:38">
      <c r="A728" s="96">
        <f ca="1">IFERROR(__xludf.DUMMYFUNCTION("""COMPUTED_VALUE"""),44530)</f>
        <v>44530</v>
      </c>
      <c r="B728" s="6" t="str">
        <f ca="1">IFERROR(__xludf.DUMMYFUNCTION("""COMPUTED_VALUE"""),"Vivek Soni")</f>
        <v>Vivek Soni</v>
      </c>
      <c r="C728" s="6" t="str">
        <f ca="1">IFERROR(__xludf.DUMMYFUNCTION("""COMPUTED_VALUE"""),"soniviky@gmail.com")</f>
        <v>soniviky@gmail.com</v>
      </c>
      <c r="D728" s="6">
        <f ca="1">IFERROR(__xludf.DUMMYFUNCTION("""COMPUTED_VALUE"""),9455144948)</f>
        <v>9455144948</v>
      </c>
      <c r="E728" s="6" t="str">
        <f ca="1">IFERROR(__xludf.DUMMYFUNCTION("""COMPUTED_VALUE"""),"Reference")</f>
        <v>Reference</v>
      </c>
      <c r="F728" s="6" t="str">
        <f ca="1">IFERROR(__xludf.DUMMYFUNCTION("""COMPUTED_VALUE"""),"PSM")</f>
        <v>PSM</v>
      </c>
      <c r="G728" s="80">
        <f ca="1">IFERROR(__xludf.DUMMYFUNCTION("""COMPUTED_VALUE"""),44501)</f>
        <v>44501</v>
      </c>
      <c r="H728" s="6" t="str">
        <f ca="1">IFERROR(__xludf.DUMMYFUNCTION("""COMPUTED_VALUE"""),"Won")</f>
        <v>Won</v>
      </c>
      <c r="I728" s="6" t="str">
        <f ca="1">IFERROR(__xludf.DUMMYFUNCTION("""COMPUTED_VALUE"""),"18-19 Dec 2021")</f>
        <v>18-19 Dec 2021</v>
      </c>
      <c r="J728" s="6">
        <f ca="1">IFERROR(__xludf.DUMMYFUNCTION("""COMPUTED_VALUE"""),1)</f>
        <v>1</v>
      </c>
      <c r="K728" s="8">
        <f ca="1">IFERROR(__xludf.DUMMYFUNCTION("""COMPUTED_VALUE"""),21000)</f>
        <v>21000</v>
      </c>
      <c r="L728" s="8">
        <f ca="1">IFERROR(__xludf.DUMMYFUNCTION("""COMPUTED_VALUE"""),240.494732020155)</f>
        <v>240.494732020155</v>
      </c>
      <c r="M728" s="96">
        <f ca="1">IFERROR(__xludf.DUMMYFUNCTION("""COMPUTED_VALUE"""),44530)</f>
        <v>44530</v>
      </c>
      <c r="N728" s="6" t="str">
        <f ca="1">IFERROR(__xludf.DUMMYFUNCTION("""COMPUTED_VALUE"""),"T10")</f>
        <v>T10</v>
      </c>
      <c r="O728" s="97">
        <f ca="1">IFERROR(__xludf.DUMMYFUNCTION("""COMPUTED_VALUE"""),44530)</f>
        <v>44530</v>
      </c>
      <c r="P728" s="6" t="str">
        <f ca="1">IFERROR(__xludf.DUMMYFUNCTION("""COMPUTED_VALUE"""),"CSTM_AIWB8JB0XI3")</f>
        <v>CSTM_AIWB8JB0XI3</v>
      </c>
      <c r="Q728" s="6" t="str">
        <f ca="1">IFERROR(__xludf.DUMMYFUNCTION("""COMPUTED_VALUE"""),"Reference by Ramakrishna")</f>
        <v>Reference by Ramakrishna</v>
      </c>
      <c r="R728" s="6" t="str">
        <f ca="1">IFERROR(__xludf.DUMMYFUNCTION("""COMPUTED_VALUE"""),"Done. Good feedback.")</f>
        <v>Done. Good feedback.</v>
      </c>
      <c r="S728" s="6" t="str">
        <f ca="1">IFERROR(__xludf.DUMMYFUNCTION("""COMPUTED_VALUE"""),"Category")</f>
        <v>Category</v>
      </c>
      <c r="T728" s="6"/>
      <c r="U728" s="6"/>
      <c r="V728" s="6"/>
      <c r="W728" s="6"/>
      <c r="X728" s="6"/>
      <c r="Y728" s="6"/>
      <c r="Z728" s="6"/>
      <c r="AA728" s="6"/>
      <c r="AB728" s="6"/>
      <c r="AC728" s="6"/>
      <c r="AD728" s="6"/>
      <c r="AE728" s="6"/>
      <c r="AF728" s="6"/>
      <c r="AG728" s="6"/>
      <c r="AH728" s="6"/>
      <c r="AI728" s="6"/>
      <c r="AJ728" s="6"/>
      <c r="AK728" s="6"/>
      <c r="AL728" s="6"/>
    </row>
    <row r="729" spans="1:38">
      <c r="A729" s="96">
        <f ca="1">IFERROR(__xludf.DUMMYFUNCTION("""COMPUTED_VALUE"""),44530)</f>
        <v>44530</v>
      </c>
      <c r="B729" s="6" t="str">
        <f ca="1">IFERROR(__xludf.DUMMYFUNCTION("""COMPUTED_VALUE"""),"Srishti Srivastava")</f>
        <v>Srishti Srivastava</v>
      </c>
      <c r="C729" s="6" t="str">
        <f ca="1">IFERROR(__xludf.DUMMYFUNCTION("""COMPUTED_VALUE"""),"srishti.srivastava211@gmail.com")</f>
        <v>srishti.srivastava211@gmail.com</v>
      </c>
      <c r="D729" s="6">
        <f ca="1">IFERROR(__xludf.DUMMYFUNCTION("""COMPUTED_VALUE"""),9450490735)</f>
        <v>9450490735</v>
      </c>
      <c r="E729" s="6" t="str">
        <f ca="1">IFERROR(__xludf.DUMMYFUNCTION("""COMPUTED_VALUE"""),"Reference")</f>
        <v>Reference</v>
      </c>
      <c r="F729" s="6" t="str">
        <f ca="1">IFERROR(__xludf.DUMMYFUNCTION("""COMPUTED_VALUE"""),"PSM")</f>
        <v>PSM</v>
      </c>
      <c r="G729" s="80">
        <f ca="1">IFERROR(__xludf.DUMMYFUNCTION("""COMPUTED_VALUE"""),44501)</f>
        <v>44501</v>
      </c>
      <c r="H729" s="6" t="str">
        <f ca="1">IFERROR(__xludf.DUMMYFUNCTION("""COMPUTED_VALUE"""),"Won")</f>
        <v>Won</v>
      </c>
      <c r="I729" s="6" t="str">
        <f ca="1">IFERROR(__xludf.DUMMYFUNCTION("""COMPUTED_VALUE"""),"18-19 Dec 2021")</f>
        <v>18-19 Dec 2021</v>
      </c>
      <c r="J729" s="6">
        <f ca="1">IFERROR(__xludf.DUMMYFUNCTION("""COMPUTED_VALUE"""),1)</f>
        <v>1</v>
      </c>
      <c r="K729" s="8">
        <f ca="1">IFERROR(__xludf.DUMMYFUNCTION("""COMPUTED_VALUE"""),21000)</f>
        <v>21000</v>
      </c>
      <c r="L729" s="8">
        <f ca="1">IFERROR(__xludf.DUMMYFUNCTION("""COMPUTED_VALUE"""),240.494732020155)</f>
        <v>240.494732020155</v>
      </c>
      <c r="M729" s="96">
        <f ca="1">IFERROR(__xludf.DUMMYFUNCTION("""COMPUTED_VALUE"""),44530)</f>
        <v>44530</v>
      </c>
      <c r="N729" s="6" t="str">
        <f ca="1">IFERROR(__xludf.DUMMYFUNCTION("""COMPUTED_VALUE"""),"T10")</f>
        <v>T10</v>
      </c>
      <c r="O729" s="97">
        <f ca="1">IFERROR(__xludf.DUMMYFUNCTION("""COMPUTED_VALUE"""),44530)</f>
        <v>44530</v>
      </c>
      <c r="P729" s="6" t="str">
        <f ca="1">IFERROR(__xludf.DUMMYFUNCTION("""COMPUTED_VALUE"""),"CSTM_EU6EY6644XV")</f>
        <v>CSTM_EU6EY6644XV</v>
      </c>
      <c r="Q729" s="6" t="str">
        <f ca="1">IFERROR(__xludf.DUMMYFUNCTION("""COMPUTED_VALUE"""),"Reference by Vivek Soni")</f>
        <v>Reference by Vivek Soni</v>
      </c>
      <c r="R729" s="6" t="str">
        <f ca="1">IFERROR(__xludf.DUMMYFUNCTION("""COMPUTED_VALUE"""),"Done. Good feedback.")</f>
        <v>Done. Good feedback.</v>
      </c>
      <c r="S729" s="6" t="str">
        <f ca="1">IFERROR(__xludf.DUMMYFUNCTION("""COMPUTED_VALUE"""),"Category")</f>
        <v>Category</v>
      </c>
      <c r="T729" s="6"/>
      <c r="U729" s="6"/>
      <c r="V729" s="6"/>
      <c r="W729" s="6"/>
      <c r="X729" s="6"/>
      <c r="Y729" s="6"/>
      <c r="Z729" s="6"/>
      <c r="AA729" s="6"/>
      <c r="AB729" s="6"/>
      <c r="AC729" s="6"/>
      <c r="AD729" s="6"/>
      <c r="AE729" s="6"/>
      <c r="AF729" s="6"/>
      <c r="AG729" s="6"/>
      <c r="AH729" s="6"/>
      <c r="AI729" s="6"/>
      <c r="AJ729" s="6"/>
      <c r="AK729" s="6"/>
      <c r="AL729" s="6"/>
    </row>
    <row r="730" spans="1:38">
      <c r="A730" s="96">
        <f ca="1">IFERROR(__xludf.DUMMYFUNCTION("""COMPUTED_VALUE"""),44531)</f>
        <v>44531</v>
      </c>
      <c r="B730" s="6" t="str">
        <f ca="1">IFERROR(__xludf.DUMMYFUNCTION("""COMPUTED_VALUE"""),"Mahesha Baswan")</f>
        <v>Mahesha Baswan</v>
      </c>
      <c r="C730" s="6" t="str">
        <f ca="1">IFERROR(__xludf.DUMMYFUNCTION("""COMPUTED_VALUE"""),"mahesha.baswan@gmail.com")</f>
        <v>mahesha.baswan@gmail.com</v>
      </c>
      <c r="D730" s="6">
        <f ca="1">IFERROR(__xludf.DUMMYFUNCTION("""COMPUTED_VALUE"""),9886573928)</f>
        <v>9886573928</v>
      </c>
      <c r="E730" s="6" t="str">
        <f ca="1">IFERROR(__xludf.DUMMYFUNCTION("""COMPUTED_VALUE"""),"Chat_triggered")</f>
        <v>Chat_triggered</v>
      </c>
      <c r="F730" s="6" t="str">
        <f ca="1">IFERROR(__xludf.DUMMYFUNCTION("""COMPUTED_VALUE"""),"SAFe Agile")</f>
        <v>SAFe Agile</v>
      </c>
      <c r="G730" s="80">
        <f ca="1">IFERROR(__xludf.DUMMYFUNCTION("""COMPUTED_VALUE"""),44531)</f>
        <v>44531</v>
      </c>
      <c r="H730" s="6" t="str">
        <f ca="1">IFERROR(__xludf.DUMMYFUNCTION("""COMPUTED_VALUE"""),"Won")</f>
        <v>Won</v>
      </c>
      <c r="I730" s="6" t="str">
        <f ca="1">IFERROR(__xludf.DUMMYFUNCTION("""COMPUTED_VALUE"""),"18-19 Dec 2021")</f>
        <v>18-19 Dec 2021</v>
      </c>
      <c r="J730" s="6">
        <f ca="1">IFERROR(__xludf.DUMMYFUNCTION("""COMPUTED_VALUE"""),1)</f>
        <v>1</v>
      </c>
      <c r="K730" s="8">
        <f ca="1">IFERROR(__xludf.DUMMYFUNCTION("""COMPUTED_VALUE"""),45000)</f>
        <v>45000</v>
      </c>
      <c r="L730" s="8">
        <f ca="1">IFERROR(__xludf.DUMMYFUNCTION("""COMPUTED_VALUE"""),515.345854328905)</f>
        <v>515.34585432890503</v>
      </c>
      <c r="M730" s="96">
        <f ca="1">IFERROR(__xludf.DUMMYFUNCTION("""COMPUTED_VALUE"""),44531)</f>
        <v>44531</v>
      </c>
      <c r="N730" s="6" t="str">
        <f ca="1">IFERROR(__xludf.DUMMYFUNCTION("""COMPUTED_VALUE"""),"F10")</f>
        <v>F10</v>
      </c>
      <c r="O730" s="97">
        <f ca="1">IFERROR(__xludf.DUMMYFUNCTION("""COMPUTED_VALUE"""),44531)</f>
        <v>44531</v>
      </c>
      <c r="P730" s="6" t="str">
        <f ca="1">IFERROR(__xludf.DUMMYFUNCTION("""COMPUTED_VALUE"""),"CSTM_1DQ4VGQV4WJ")</f>
        <v>CSTM_1DQ4VGQV4WJ</v>
      </c>
      <c r="Q730" s="6"/>
      <c r="R730" s="6" t="str">
        <f ca="1">IFERROR(__xludf.DUMMYFUNCTION("""COMPUTED_VALUE"""),"Pending")</f>
        <v>Pending</v>
      </c>
      <c r="S730" s="6" t="str">
        <f ca="1">IFERROR(__xludf.DUMMYFUNCTION("""COMPUTED_VALUE"""),"SAFe")</f>
        <v>SAFe</v>
      </c>
      <c r="T730" s="6"/>
      <c r="U730" s="6"/>
      <c r="V730" s="6"/>
      <c r="W730" s="6"/>
      <c r="X730" s="6"/>
      <c r="Y730" s="6"/>
      <c r="Z730" s="6"/>
      <c r="AA730" s="6"/>
      <c r="AB730" s="6"/>
      <c r="AC730" s="6"/>
      <c r="AD730" s="6"/>
      <c r="AE730" s="6"/>
      <c r="AF730" s="6"/>
      <c r="AG730" s="6"/>
      <c r="AH730" s="6"/>
      <c r="AI730" s="6"/>
      <c r="AJ730" s="6"/>
      <c r="AK730" s="6"/>
      <c r="AL730" s="6"/>
    </row>
    <row r="731" spans="1:38">
      <c r="A731" s="96">
        <f ca="1">IFERROR(__xludf.DUMMYFUNCTION("""COMPUTED_VALUE"""),44532)</f>
        <v>44532</v>
      </c>
      <c r="B731" s="6" t="str">
        <f ca="1">IFERROR(__xludf.DUMMYFUNCTION("""COMPUTED_VALUE"""),"Neeti Jain")</f>
        <v>Neeti Jain</v>
      </c>
      <c r="C731" s="6" t="str">
        <f ca="1">IFERROR(__xludf.DUMMYFUNCTION("""COMPUTED_VALUE"""),"jain.neeti200@gmail.com")</f>
        <v>jain.neeti200@gmail.com</v>
      </c>
      <c r="D731" s="6">
        <f ca="1">IFERROR(__xludf.DUMMYFUNCTION("""COMPUTED_VALUE"""),8171054820)</f>
        <v>8171054820</v>
      </c>
      <c r="E731" s="6" t="str">
        <f ca="1">IFERROR(__xludf.DUMMYFUNCTION("""COMPUTED_VALUE"""),"Reference")</f>
        <v>Reference</v>
      </c>
      <c r="F731" s="6" t="str">
        <f ca="1">IFERROR(__xludf.DUMMYFUNCTION("""COMPUTED_VALUE"""),"CSM")</f>
        <v>CSM</v>
      </c>
      <c r="G731" s="80">
        <f ca="1">IFERROR(__xludf.DUMMYFUNCTION("""COMPUTED_VALUE"""),44531)</f>
        <v>44531</v>
      </c>
      <c r="H731" s="6" t="str">
        <f ca="1">IFERROR(__xludf.DUMMYFUNCTION("""COMPUTED_VALUE"""),"Won")</f>
        <v>Won</v>
      </c>
      <c r="I731" s="6" t="str">
        <f ca="1">IFERROR(__xludf.DUMMYFUNCTION("""COMPUTED_VALUE"""),"6-7 Dec 2021")</f>
        <v>6-7 Dec 2021</v>
      </c>
      <c r="J731" s="6">
        <f ca="1">IFERROR(__xludf.DUMMYFUNCTION("""COMPUTED_VALUE"""),1)</f>
        <v>1</v>
      </c>
      <c r="K731" s="8">
        <f ca="1">IFERROR(__xludf.DUMMYFUNCTION("""COMPUTED_VALUE"""),20000)</f>
        <v>20000</v>
      </c>
      <c r="L731" s="8">
        <f ca="1">IFERROR(__xludf.DUMMYFUNCTION("""COMPUTED_VALUE"""),229.042601923957)</f>
        <v>229.04260192395699</v>
      </c>
      <c r="M731" s="96">
        <f ca="1">IFERROR(__xludf.DUMMYFUNCTION("""COMPUTED_VALUE"""),44532)</f>
        <v>44532</v>
      </c>
      <c r="N731" s="6" t="str">
        <f ca="1">IFERROR(__xludf.DUMMYFUNCTION("""COMPUTED_VALUE"""),"F10")</f>
        <v>F10</v>
      </c>
      <c r="O731" s="97">
        <f ca="1">IFERROR(__xludf.DUMMYFUNCTION("""COMPUTED_VALUE"""),44532)</f>
        <v>44532</v>
      </c>
      <c r="P731" s="6" t="str">
        <f ca="1">IFERROR(__xludf.DUMMYFUNCTION("""COMPUTED_VALUE"""),"CSTM_GVFFBFAOGPY")</f>
        <v>CSTM_GVFFBFAOGPY</v>
      </c>
      <c r="Q731" s="6" t="str">
        <f ca="1">IFERROR(__xludf.DUMMYFUNCTION("""COMPUTED_VALUE"""),"pmoapoorva@gmail.com")</f>
        <v>pmoapoorva@gmail.com</v>
      </c>
      <c r="R731" s="6" t="str">
        <f ca="1">IFERROR(__xludf.DUMMYFUNCTION("""COMPUTED_VALUE"""),"Pending")</f>
        <v>Pending</v>
      </c>
      <c r="S731" s="6" t="str">
        <f ca="1">IFERROR(__xludf.DUMMYFUNCTION("""COMPUTED_VALUE"""),"Category")</f>
        <v>Category</v>
      </c>
      <c r="T731" s="6"/>
      <c r="U731" s="6"/>
      <c r="V731" s="6"/>
      <c r="W731" s="6"/>
      <c r="X731" s="6"/>
      <c r="Y731" s="6"/>
      <c r="Z731" s="6"/>
      <c r="AA731" s="6"/>
      <c r="AB731" s="6"/>
      <c r="AC731" s="6"/>
      <c r="AD731" s="6"/>
      <c r="AE731" s="6"/>
      <c r="AF731" s="6"/>
      <c r="AG731" s="6"/>
      <c r="AH731" s="6"/>
      <c r="AI731" s="6"/>
      <c r="AJ731" s="6"/>
      <c r="AK731" s="6"/>
      <c r="AL731" s="6"/>
    </row>
    <row r="732" spans="1:38">
      <c r="A732" s="96">
        <f ca="1">IFERROR(__xludf.DUMMYFUNCTION("""COMPUTED_VALUE"""),44532)</f>
        <v>44532</v>
      </c>
      <c r="B732" s="6" t="str">
        <f ca="1">IFERROR(__xludf.DUMMYFUNCTION("""COMPUTED_VALUE"""),"Pragna Katuru")</f>
        <v>Pragna Katuru</v>
      </c>
      <c r="C732" s="6" t="str">
        <f ca="1">IFERROR(__xludf.DUMMYFUNCTION("""COMPUTED_VALUE"""),"pragna.katuru@gmail.com")</f>
        <v>pragna.katuru@gmail.com</v>
      </c>
      <c r="D732" s="6">
        <f ca="1">IFERROR(__xludf.DUMMYFUNCTION("""COMPUTED_VALUE"""),9248883833)</f>
        <v>9248883833</v>
      </c>
      <c r="E732" s="6" t="str">
        <f ca="1">IFERROR(__xludf.DUMMYFUNCTION("""COMPUTED_VALUE"""),"chat_initiated")</f>
        <v>chat_initiated</v>
      </c>
      <c r="F732" s="6" t="str">
        <f ca="1">IFERROR(__xludf.DUMMYFUNCTION("""COMPUTED_VALUE"""),"PSPO")</f>
        <v>PSPO</v>
      </c>
      <c r="G732" s="80">
        <f ca="1">IFERROR(__xludf.DUMMYFUNCTION("""COMPUTED_VALUE"""),44531)</f>
        <v>44531</v>
      </c>
      <c r="H732" s="6" t="str">
        <f ca="1">IFERROR(__xludf.DUMMYFUNCTION("""COMPUTED_VALUE"""),"Won")</f>
        <v>Won</v>
      </c>
      <c r="I732" s="6" t="str">
        <f ca="1">IFERROR(__xludf.DUMMYFUNCTION("""COMPUTED_VALUE"""),"4-5 Dec 2021")</f>
        <v>4-5 Dec 2021</v>
      </c>
      <c r="J732" s="6">
        <f ca="1">IFERROR(__xludf.DUMMYFUNCTION("""COMPUTED_VALUE"""),1)</f>
        <v>1</v>
      </c>
      <c r="K732" s="8">
        <f ca="1">IFERROR(__xludf.DUMMYFUNCTION("""COMPUTED_VALUE"""),21000)</f>
        <v>21000</v>
      </c>
      <c r="L732" s="8">
        <f ca="1">IFERROR(__xludf.DUMMYFUNCTION("""COMPUTED_VALUE"""),240.494732020155)</f>
        <v>240.494732020155</v>
      </c>
      <c r="M732" s="96">
        <f ca="1">IFERROR(__xludf.DUMMYFUNCTION("""COMPUTED_VALUE"""),44532)</f>
        <v>44532</v>
      </c>
      <c r="N732" s="6" t="str">
        <f ca="1">IFERROR(__xludf.DUMMYFUNCTION("""COMPUTED_VALUE"""),"F10")</f>
        <v>F10</v>
      </c>
      <c r="O732" s="97">
        <f ca="1">IFERROR(__xludf.DUMMYFUNCTION("""COMPUTED_VALUE"""),44532)</f>
        <v>44532</v>
      </c>
      <c r="P732" s="6" t="str">
        <f ca="1">IFERROR(__xludf.DUMMYFUNCTION("""COMPUTED_VALUE"""),"CSTM_DO9PQIKSLFZ")</f>
        <v>CSTM_DO9PQIKSLFZ</v>
      </c>
      <c r="Q732" s="6"/>
      <c r="R732" s="6" t="str">
        <f ca="1">IFERROR(__xludf.DUMMYFUNCTION("""COMPUTED_VALUE"""),"Done. Good feedback.")</f>
        <v>Done. Good feedback.</v>
      </c>
      <c r="S732" s="6" t="str">
        <f ca="1">IFERROR(__xludf.DUMMYFUNCTION("""COMPUTED_VALUE"""),"Category")</f>
        <v>Category</v>
      </c>
      <c r="T732" s="6"/>
      <c r="U732" s="6"/>
      <c r="V732" s="6"/>
      <c r="W732" s="6"/>
      <c r="X732" s="6"/>
      <c r="Y732" s="6"/>
      <c r="Z732" s="6"/>
      <c r="AA732" s="6"/>
      <c r="AB732" s="6"/>
      <c r="AC732" s="6"/>
      <c r="AD732" s="6"/>
      <c r="AE732" s="6"/>
      <c r="AF732" s="6"/>
      <c r="AG732" s="6"/>
      <c r="AH732" s="6"/>
      <c r="AI732" s="6"/>
      <c r="AJ732" s="6"/>
      <c r="AK732" s="6"/>
      <c r="AL732" s="6"/>
    </row>
    <row r="733" spans="1:38">
      <c r="A733" s="96">
        <f ca="1">IFERROR(__xludf.DUMMYFUNCTION("""COMPUTED_VALUE"""),44532)</f>
        <v>44532</v>
      </c>
      <c r="B733" s="6" t="str">
        <f ca="1">IFERROR(__xludf.DUMMYFUNCTION("""COMPUTED_VALUE"""),"Varun ")</f>
        <v xml:space="preserve">Varun </v>
      </c>
      <c r="C733" s="6" t="str">
        <f ca="1">IFERROR(__xludf.DUMMYFUNCTION("""COMPUTED_VALUE"""),"varun.s3@cognizant.com")</f>
        <v>varun.s3@cognizant.com</v>
      </c>
      <c r="D733" s="6">
        <f ca="1">IFERROR(__xludf.DUMMYFUNCTION("""COMPUTED_VALUE"""),9539770097)</f>
        <v>9539770097</v>
      </c>
      <c r="E733" s="6" t="str">
        <f ca="1">IFERROR(__xludf.DUMMYFUNCTION("""COMPUTED_VALUE"""),"Reference")</f>
        <v>Reference</v>
      </c>
      <c r="F733" s="6" t="str">
        <f ca="1">IFERROR(__xludf.DUMMYFUNCTION("""COMPUTED_VALUE"""),"CSPO")</f>
        <v>CSPO</v>
      </c>
      <c r="G733" s="80">
        <f ca="1">IFERROR(__xludf.DUMMYFUNCTION("""COMPUTED_VALUE"""),44531)</f>
        <v>44531</v>
      </c>
      <c r="H733" s="6" t="str">
        <f ca="1">IFERROR(__xludf.DUMMYFUNCTION("""COMPUTED_VALUE"""),"Won")</f>
        <v>Won</v>
      </c>
      <c r="I733" s="6" t="str">
        <f ca="1">IFERROR(__xludf.DUMMYFUNCTION("""COMPUTED_VALUE"""),"4-5 Dec 2021")</f>
        <v>4-5 Dec 2021</v>
      </c>
      <c r="J733" s="6">
        <f ca="1">IFERROR(__xludf.DUMMYFUNCTION("""COMPUTED_VALUE"""),1)</f>
        <v>1</v>
      </c>
      <c r="K733" s="8">
        <f ca="1">IFERROR(__xludf.DUMMYFUNCTION("""COMPUTED_VALUE"""),22000)</f>
        <v>22000</v>
      </c>
      <c r="L733" s="8">
        <f ca="1">IFERROR(__xludf.DUMMYFUNCTION("""COMPUTED_VALUE"""),251.946862116353)</f>
        <v>251.946862116353</v>
      </c>
      <c r="M733" s="96">
        <f ca="1">IFERROR(__xludf.DUMMYFUNCTION("""COMPUTED_VALUE"""),44532)</f>
        <v>44532</v>
      </c>
      <c r="N733" s="6" t="str">
        <f ca="1">IFERROR(__xludf.DUMMYFUNCTION("""COMPUTED_VALUE"""),"F10")</f>
        <v>F10</v>
      </c>
      <c r="O733" s="97">
        <f ca="1">IFERROR(__xludf.DUMMYFUNCTION("""COMPUTED_VALUE"""),44532)</f>
        <v>44532</v>
      </c>
      <c r="P733" s="6" t="str">
        <f ca="1">IFERROR(__xludf.DUMMYFUNCTION("""COMPUTED_VALUE"""),"CSTM_IF861I4GO8U")</f>
        <v>CSTM_IF861I4GO8U</v>
      </c>
      <c r="Q733" s="6" t="str">
        <f ca="1">IFERROR(__xludf.DUMMYFUNCTION("""COMPUTED_VALUE"""),"Reference by Rahul - Cognizant")</f>
        <v>Reference by Rahul - Cognizant</v>
      </c>
      <c r="R733" s="6" t="str">
        <f ca="1">IFERROR(__xludf.DUMMYFUNCTION("""COMPUTED_VALUE"""),"Done. Good feedback.")</f>
        <v>Done. Good feedback.</v>
      </c>
      <c r="S733" s="6" t="str">
        <f ca="1">IFERROR(__xludf.DUMMYFUNCTION("""COMPUTED_VALUE"""),"Category")</f>
        <v>Category</v>
      </c>
      <c r="T733" s="6"/>
      <c r="U733" s="6"/>
      <c r="V733" s="6"/>
      <c r="W733" s="6"/>
      <c r="X733" s="6"/>
      <c r="Y733" s="6"/>
      <c r="Z733" s="6"/>
      <c r="AA733" s="6"/>
      <c r="AB733" s="6"/>
      <c r="AC733" s="6"/>
      <c r="AD733" s="6"/>
      <c r="AE733" s="6"/>
      <c r="AF733" s="6"/>
      <c r="AG733" s="6"/>
      <c r="AH733" s="6"/>
      <c r="AI733" s="6"/>
      <c r="AJ733" s="6"/>
      <c r="AK733" s="6"/>
      <c r="AL733" s="6"/>
    </row>
    <row r="734" spans="1:38">
      <c r="A734" s="96">
        <f ca="1">IFERROR(__xludf.DUMMYFUNCTION("""COMPUTED_VALUE"""),44532)</f>
        <v>44532</v>
      </c>
      <c r="B734" s="6" t="str">
        <f ca="1">IFERROR(__xludf.DUMMYFUNCTION("""COMPUTED_VALUE"""),"Darshan")</f>
        <v>Darshan</v>
      </c>
      <c r="C734" s="6" t="str">
        <f ca="1">IFERROR(__xludf.DUMMYFUNCTION("""COMPUTED_VALUE"""),"darshan611987@yahoo.com")</f>
        <v>darshan611987@yahoo.com</v>
      </c>
      <c r="D734" s="6">
        <f ca="1">IFERROR(__xludf.DUMMYFUNCTION("""COMPUTED_VALUE"""),9819015098)</f>
        <v>9819015098</v>
      </c>
      <c r="E734" s="6" t="str">
        <f ca="1">IFERROR(__xludf.DUMMYFUNCTION("""COMPUTED_VALUE"""),"Query box_LP")</f>
        <v>Query box_LP</v>
      </c>
      <c r="F734" s="6" t="str">
        <f ca="1">IFERROR(__xludf.DUMMYFUNCTION("""COMPUTED_VALUE"""),"ITIL")</f>
        <v>ITIL</v>
      </c>
      <c r="G734" s="80">
        <f ca="1">IFERROR(__xludf.DUMMYFUNCTION("""COMPUTED_VALUE"""),44531)</f>
        <v>44531</v>
      </c>
      <c r="H734" s="6" t="str">
        <f ca="1">IFERROR(__xludf.DUMMYFUNCTION("""COMPUTED_VALUE"""),"Won")</f>
        <v>Won</v>
      </c>
      <c r="I734" s="6" t="str">
        <f ca="1">IFERROR(__xludf.DUMMYFUNCTION("""COMPUTED_VALUE"""),"4 Dec 2021")</f>
        <v>4 Dec 2021</v>
      </c>
      <c r="J734" s="6">
        <f ca="1">IFERROR(__xludf.DUMMYFUNCTION("""COMPUTED_VALUE"""),1)</f>
        <v>1</v>
      </c>
      <c r="K734" s="8">
        <f ca="1">IFERROR(__xludf.DUMMYFUNCTION("""COMPUTED_VALUE"""),16000)</f>
        <v>16000</v>
      </c>
      <c r="L734" s="8">
        <f ca="1">IFERROR(__xludf.DUMMYFUNCTION("""COMPUTED_VALUE"""),183.234081539166)</f>
        <v>183.234081539166</v>
      </c>
      <c r="M734" s="96">
        <f ca="1">IFERROR(__xludf.DUMMYFUNCTION("""COMPUTED_VALUE"""),44532)</f>
        <v>44532</v>
      </c>
      <c r="N734" s="6" t="str">
        <f ca="1">IFERROR(__xludf.DUMMYFUNCTION("""COMPUTED_VALUE"""),"F10")</f>
        <v>F10</v>
      </c>
      <c r="O734" s="97">
        <f ca="1">IFERROR(__xludf.DUMMYFUNCTION("""COMPUTED_VALUE"""),44532)</f>
        <v>44532</v>
      </c>
      <c r="P734" s="6" t="str">
        <f ca="1">IFERROR(__xludf.DUMMYFUNCTION("""COMPUTED_VALUE"""),"CSTM_DO4NC3Q17DJ")</f>
        <v>CSTM_DO4NC3Q17DJ</v>
      </c>
      <c r="Q734" s="6"/>
      <c r="R734" s="6" t="str">
        <f ca="1">IFERROR(__xludf.DUMMYFUNCTION("""COMPUTED_VALUE"""),"Pending")</f>
        <v>Pending</v>
      </c>
      <c r="S734" s="6" t="str">
        <f ca="1">IFERROR(__xludf.DUMMYFUNCTION("""COMPUTED_VALUE"""),"NonCategory")</f>
        <v>NonCategory</v>
      </c>
      <c r="T734" s="6"/>
      <c r="U734" s="6"/>
      <c r="V734" s="6"/>
      <c r="W734" s="6"/>
      <c r="X734" s="6"/>
      <c r="Y734" s="6"/>
      <c r="Z734" s="6"/>
      <c r="AA734" s="6"/>
      <c r="AB734" s="6"/>
      <c r="AC734" s="6"/>
      <c r="AD734" s="6"/>
      <c r="AE734" s="6"/>
      <c r="AF734" s="6"/>
      <c r="AG734" s="6"/>
      <c r="AH734" s="6"/>
      <c r="AI734" s="6"/>
      <c r="AJ734" s="6"/>
      <c r="AK734" s="6"/>
      <c r="AL734" s="6"/>
    </row>
    <row r="735" spans="1:38">
      <c r="A735" s="96">
        <f ca="1">IFERROR(__xludf.DUMMYFUNCTION("""COMPUTED_VALUE"""),44533)</f>
        <v>44533</v>
      </c>
      <c r="B735" s="6" t="str">
        <f ca="1">IFERROR(__xludf.DUMMYFUNCTION("""COMPUTED_VALUE"""),"Bijith C")</f>
        <v>Bijith C</v>
      </c>
      <c r="C735" s="6" t="str">
        <f ca="1">IFERROR(__xludf.DUMMYFUNCTION("""COMPUTED_VALUE"""),"bijithc@gmail.com")</f>
        <v>bijithc@gmail.com</v>
      </c>
      <c r="D735" s="6">
        <f ca="1">IFERROR(__xludf.DUMMYFUNCTION("""COMPUTED_VALUE"""),8600061081)</f>
        <v>8600061081</v>
      </c>
      <c r="E735" s="6" t="str">
        <f ca="1">IFERROR(__xludf.DUMMYFUNCTION("""COMPUTED_VALUE"""),"course agenda")</f>
        <v>course agenda</v>
      </c>
      <c r="F735" s="6" t="str">
        <f ca="1">IFERROR(__xludf.DUMMYFUNCTION("""COMPUTED_VALUE"""),"CSM")</f>
        <v>CSM</v>
      </c>
      <c r="G735" s="80">
        <f ca="1">IFERROR(__xludf.DUMMYFUNCTION("""COMPUTED_VALUE"""),44531)</f>
        <v>44531</v>
      </c>
      <c r="H735" s="6" t="str">
        <f ca="1">IFERROR(__xludf.DUMMYFUNCTION("""COMPUTED_VALUE"""),"Won")</f>
        <v>Won</v>
      </c>
      <c r="I735" s="6" t="str">
        <f ca="1">IFERROR(__xludf.DUMMYFUNCTION("""COMPUTED_VALUE"""),"22-23 Jan 2021")</f>
        <v>22-23 Jan 2021</v>
      </c>
      <c r="J735" s="6">
        <f ca="1">IFERROR(__xludf.DUMMYFUNCTION("""COMPUTED_VALUE"""),1)</f>
        <v>1</v>
      </c>
      <c r="K735" s="8">
        <f ca="1">IFERROR(__xludf.DUMMYFUNCTION("""COMPUTED_VALUE"""),20000)</f>
        <v>20000</v>
      </c>
      <c r="L735" s="8">
        <f ca="1">IFERROR(__xludf.DUMMYFUNCTION("""COMPUTED_VALUE"""),229.042601923957)</f>
        <v>229.04260192395699</v>
      </c>
      <c r="M735" s="96">
        <f ca="1">IFERROR(__xludf.DUMMYFUNCTION("""COMPUTED_VALUE"""),44533)</f>
        <v>44533</v>
      </c>
      <c r="N735" s="6" t="str">
        <f ca="1">IFERROR(__xludf.DUMMYFUNCTION("""COMPUTED_VALUE"""),"F10")</f>
        <v>F10</v>
      </c>
      <c r="O735" s="97">
        <f ca="1">IFERROR(__xludf.DUMMYFUNCTION("""COMPUTED_VALUE"""),44533)</f>
        <v>44533</v>
      </c>
      <c r="P735" s="6" t="str">
        <f ca="1">IFERROR(__xludf.DUMMYFUNCTION("""COMPUTED_VALUE"""),"CSTM_8NW6MZJPFX9")</f>
        <v>CSTM_8NW6MZJPFX9</v>
      </c>
      <c r="Q735" s="6"/>
      <c r="R735" s="6" t="str">
        <f ca="1">IFERROR(__xludf.DUMMYFUNCTION("""COMPUTED_VALUE"""),"Pending")</f>
        <v>Pending</v>
      </c>
      <c r="S735" s="6" t="str">
        <f ca="1">IFERROR(__xludf.DUMMYFUNCTION("""COMPUTED_VALUE"""),"Category")</f>
        <v>Category</v>
      </c>
      <c r="T735" s="6"/>
      <c r="U735" s="6"/>
      <c r="V735" s="6"/>
      <c r="W735" s="6"/>
      <c r="X735" s="6"/>
      <c r="Y735" s="6"/>
      <c r="Z735" s="6"/>
      <c r="AA735" s="6"/>
      <c r="AB735" s="6"/>
      <c r="AC735" s="6"/>
      <c r="AD735" s="6"/>
      <c r="AE735" s="6"/>
      <c r="AF735" s="6"/>
      <c r="AG735" s="6"/>
      <c r="AH735" s="6"/>
      <c r="AI735" s="6"/>
      <c r="AJ735" s="6"/>
      <c r="AK735" s="6"/>
      <c r="AL735" s="6"/>
    </row>
    <row r="736" spans="1:38">
      <c r="A736" s="96">
        <f ca="1">IFERROR(__xludf.DUMMYFUNCTION("""COMPUTED_VALUE"""),44533)</f>
        <v>44533</v>
      </c>
      <c r="B736" s="6" t="str">
        <f ca="1">IFERROR(__xludf.DUMMYFUNCTION("""COMPUTED_VALUE"""),"Srijini")</f>
        <v>Srijini</v>
      </c>
      <c r="C736" s="6" t="str">
        <f ca="1">IFERROR(__xludf.DUMMYFUNCTION("""COMPUTED_VALUE"""),"sinjini7@gmail.com")</f>
        <v>sinjini7@gmail.com</v>
      </c>
      <c r="D736" s="6">
        <f ca="1">IFERROR(__xludf.DUMMYFUNCTION("""COMPUTED_VALUE"""),8017447388)</f>
        <v>8017447388</v>
      </c>
      <c r="E736" s="6" t="str">
        <f ca="1">IFERROR(__xludf.DUMMYFUNCTION("""COMPUTED_VALUE"""),"Account Repeat")</f>
        <v>Account Repeat</v>
      </c>
      <c r="F736" s="6" t="str">
        <f ca="1">IFERROR(__xludf.DUMMYFUNCTION("""COMPUTED_VALUE"""),"PSPO")</f>
        <v>PSPO</v>
      </c>
      <c r="G736" s="80">
        <f ca="1">IFERROR(__xludf.DUMMYFUNCTION("""COMPUTED_VALUE"""),44531)</f>
        <v>44531</v>
      </c>
      <c r="H736" s="6" t="str">
        <f ca="1">IFERROR(__xludf.DUMMYFUNCTION("""COMPUTED_VALUE"""),"Won")</f>
        <v>Won</v>
      </c>
      <c r="I736" s="6" t="str">
        <f ca="1">IFERROR(__xludf.DUMMYFUNCTION("""COMPUTED_VALUE"""),"11-12 Dec 2021")</f>
        <v>11-12 Dec 2021</v>
      </c>
      <c r="J736" s="6">
        <f ca="1">IFERROR(__xludf.DUMMYFUNCTION("""COMPUTED_VALUE"""),1)</f>
        <v>1</v>
      </c>
      <c r="K736" s="8">
        <f ca="1">IFERROR(__xludf.DUMMYFUNCTION("""COMPUTED_VALUE"""),21000)</f>
        <v>21000</v>
      </c>
      <c r="L736" s="8">
        <f ca="1">IFERROR(__xludf.DUMMYFUNCTION("""COMPUTED_VALUE"""),240.494732020155)</f>
        <v>240.494732020155</v>
      </c>
      <c r="M736" s="96">
        <f ca="1">IFERROR(__xludf.DUMMYFUNCTION("""COMPUTED_VALUE"""),44533)</f>
        <v>44533</v>
      </c>
      <c r="N736" s="6" t="str">
        <f ca="1">IFERROR(__xludf.DUMMYFUNCTION("""COMPUTED_VALUE"""),"F10")</f>
        <v>F10</v>
      </c>
      <c r="O736" s="97">
        <f ca="1">IFERROR(__xludf.DUMMYFUNCTION("""COMPUTED_VALUE"""),44533)</f>
        <v>44533</v>
      </c>
      <c r="P736" s="6" t="str">
        <f ca="1">IFERROR(__xludf.DUMMYFUNCTION("""COMPUTED_VALUE"""),"CSTM_4NRWOE19PPZ")</f>
        <v>CSTM_4NRWOE19PPZ</v>
      </c>
      <c r="Q736" s="6"/>
      <c r="R736" s="6" t="str">
        <f ca="1">IFERROR(__xludf.DUMMYFUNCTION("""COMPUTED_VALUE"""),"Done. Good feedback.")</f>
        <v>Done. Good feedback.</v>
      </c>
      <c r="S736" s="6" t="str">
        <f ca="1">IFERROR(__xludf.DUMMYFUNCTION("""COMPUTED_VALUE"""),"Category")</f>
        <v>Category</v>
      </c>
      <c r="T736" s="6"/>
      <c r="U736" s="6"/>
      <c r="V736" s="6"/>
      <c r="W736" s="6"/>
      <c r="X736" s="6"/>
      <c r="Y736" s="6"/>
      <c r="Z736" s="6"/>
      <c r="AA736" s="6"/>
      <c r="AB736" s="6"/>
      <c r="AC736" s="6"/>
      <c r="AD736" s="6"/>
      <c r="AE736" s="6"/>
      <c r="AF736" s="6"/>
      <c r="AG736" s="6"/>
      <c r="AH736" s="6"/>
      <c r="AI736" s="6"/>
      <c r="AJ736" s="6"/>
      <c r="AK736" s="6"/>
      <c r="AL736" s="6"/>
    </row>
    <row r="737" spans="1:38">
      <c r="A737" s="96">
        <f ca="1">IFERROR(__xludf.DUMMYFUNCTION("""COMPUTED_VALUE"""),44534)</f>
        <v>44534</v>
      </c>
      <c r="B737" s="6" t="str">
        <f ca="1">IFERROR(__xludf.DUMMYFUNCTION("""COMPUTED_VALUE"""),"Omkar Kulkarni")</f>
        <v>Omkar Kulkarni</v>
      </c>
      <c r="C737" s="6" t="str">
        <f ca="1">IFERROR(__xludf.DUMMYFUNCTION("""COMPUTED_VALUE"""),"omkarkulkarni.learning@gmail.com")</f>
        <v>omkarkulkarni.learning@gmail.com</v>
      </c>
      <c r="D737" s="6">
        <f ca="1">IFERROR(__xludf.DUMMYFUNCTION("""COMPUTED_VALUE"""),8976415426)</f>
        <v>8976415426</v>
      </c>
      <c r="E737" s="6" t="str">
        <f ca="1">IFERROR(__xludf.DUMMYFUNCTION("""COMPUTED_VALUE"""),"Chat_triggered")</f>
        <v>Chat_triggered</v>
      </c>
      <c r="F737" s="6" t="str">
        <f ca="1">IFERROR(__xludf.DUMMYFUNCTION("""COMPUTED_VALUE"""),"PSM")</f>
        <v>PSM</v>
      </c>
      <c r="G737" s="80">
        <f ca="1">IFERROR(__xludf.DUMMYFUNCTION("""COMPUTED_VALUE"""),44531)</f>
        <v>44531</v>
      </c>
      <c r="H737" s="6" t="str">
        <f ca="1">IFERROR(__xludf.DUMMYFUNCTION("""COMPUTED_VALUE"""),"Won")</f>
        <v>Won</v>
      </c>
      <c r="I737" s="6" t="str">
        <f ca="1">IFERROR(__xludf.DUMMYFUNCTION("""COMPUTED_VALUE"""),"18-19 Dec 2021")</f>
        <v>18-19 Dec 2021</v>
      </c>
      <c r="J737" s="6">
        <f ca="1">IFERROR(__xludf.DUMMYFUNCTION("""COMPUTED_VALUE"""),1)</f>
        <v>1</v>
      </c>
      <c r="K737" s="8">
        <f ca="1">IFERROR(__xludf.DUMMYFUNCTION("""COMPUTED_VALUE"""),21000)</f>
        <v>21000</v>
      </c>
      <c r="L737" s="8">
        <f ca="1">IFERROR(__xludf.DUMMYFUNCTION("""COMPUTED_VALUE"""),240.494732020155)</f>
        <v>240.494732020155</v>
      </c>
      <c r="M737" s="96">
        <f ca="1">IFERROR(__xludf.DUMMYFUNCTION("""COMPUTED_VALUE"""),44534)</f>
        <v>44534</v>
      </c>
      <c r="N737" s="6" t="str">
        <f ca="1">IFERROR(__xludf.DUMMYFUNCTION("""COMPUTED_VALUE"""),"F10")</f>
        <v>F10</v>
      </c>
      <c r="O737" s="97">
        <f ca="1">IFERROR(__xludf.DUMMYFUNCTION("""COMPUTED_VALUE"""),44534)</f>
        <v>44534</v>
      </c>
      <c r="P737" s="6" t="str">
        <f ca="1">IFERROR(__xludf.DUMMYFUNCTION("""COMPUTED_VALUE"""),"CSTM_D2Z35RKKLN6")</f>
        <v>CSTM_D2Z35RKKLN6</v>
      </c>
      <c r="Q737" s="6"/>
      <c r="R737" s="6" t="str">
        <f ca="1">IFERROR(__xludf.DUMMYFUNCTION("""COMPUTED_VALUE"""),"Done. Good feedback.")</f>
        <v>Done. Good feedback.</v>
      </c>
      <c r="S737" s="6" t="str">
        <f ca="1">IFERROR(__xludf.DUMMYFUNCTION("""COMPUTED_VALUE"""),"Category")</f>
        <v>Category</v>
      </c>
      <c r="T737" s="6"/>
      <c r="U737" s="6"/>
      <c r="V737" s="6"/>
      <c r="W737" s="6"/>
      <c r="X737" s="6"/>
      <c r="Y737" s="6"/>
      <c r="Z737" s="6"/>
      <c r="AA737" s="6"/>
      <c r="AB737" s="6"/>
      <c r="AC737" s="6"/>
      <c r="AD737" s="6"/>
      <c r="AE737" s="6"/>
      <c r="AF737" s="6"/>
      <c r="AG737" s="6"/>
      <c r="AH737" s="6"/>
      <c r="AI737" s="6"/>
      <c r="AJ737" s="6"/>
      <c r="AK737" s="6"/>
      <c r="AL737" s="6"/>
    </row>
    <row r="738" spans="1:38">
      <c r="A738" s="96">
        <f ca="1">IFERROR(__xludf.DUMMYFUNCTION("""COMPUTED_VALUE"""),44534)</f>
        <v>44534</v>
      </c>
      <c r="B738" s="6" t="str">
        <f ca="1">IFERROR(__xludf.DUMMYFUNCTION("""COMPUTED_VALUE"""),"Karthik Sundar")</f>
        <v>Karthik Sundar</v>
      </c>
      <c r="C738" s="6" t="str">
        <f ca="1">IFERROR(__xludf.DUMMYFUNCTION("""COMPUTED_VALUE"""),"karthisudar@gmail.com")</f>
        <v>karthisudar@gmail.com</v>
      </c>
      <c r="D738" s="6">
        <f ca="1">IFERROR(__xludf.DUMMYFUNCTION("""COMPUTED_VALUE"""),9944851660)</f>
        <v>9944851660</v>
      </c>
      <c r="E738" s="6" t="str">
        <f ca="1">IFERROR(__xludf.DUMMYFUNCTION("""COMPUTED_VALUE"""),"Reference")</f>
        <v>Reference</v>
      </c>
      <c r="F738" s="6" t="str">
        <f ca="1">IFERROR(__xludf.DUMMYFUNCTION("""COMPUTED_VALUE"""),"SAFe Agile")</f>
        <v>SAFe Agile</v>
      </c>
      <c r="G738" s="80">
        <f ca="1">IFERROR(__xludf.DUMMYFUNCTION("""COMPUTED_VALUE"""),44531)</f>
        <v>44531</v>
      </c>
      <c r="H738" s="6" t="str">
        <f ca="1">IFERROR(__xludf.DUMMYFUNCTION("""COMPUTED_VALUE"""),"Won")</f>
        <v>Won</v>
      </c>
      <c r="I738" s="6" t="str">
        <f ca="1">IFERROR(__xludf.DUMMYFUNCTION("""COMPUTED_VALUE"""),"11-12 Dec 2021")</f>
        <v>11-12 Dec 2021</v>
      </c>
      <c r="J738" s="6">
        <f ca="1">IFERROR(__xludf.DUMMYFUNCTION("""COMPUTED_VALUE"""),1)</f>
        <v>1</v>
      </c>
      <c r="K738" s="8">
        <f ca="1">IFERROR(__xludf.DUMMYFUNCTION("""COMPUTED_VALUE"""),45000)</f>
        <v>45000</v>
      </c>
      <c r="L738" s="8">
        <f ca="1">IFERROR(__xludf.DUMMYFUNCTION("""COMPUTED_VALUE"""),515.345854328905)</f>
        <v>515.34585432890503</v>
      </c>
      <c r="M738" s="96">
        <f ca="1">IFERROR(__xludf.DUMMYFUNCTION("""COMPUTED_VALUE"""),44534)</f>
        <v>44534</v>
      </c>
      <c r="N738" s="6" t="str">
        <f ca="1">IFERROR(__xludf.DUMMYFUNCTION("""COMPUTED_VALUE"""),"F10")</f>
        <v>F10</v>
      </c>
      <c r="O738" s="97">
        <f ca="1">IFERROR(__xludf.DUMMYFUNCTION("""COMPUTED_VALUE"""),44534)</f>
        <v>44534</v>
      </c>
      <c r="P738" s="6" t="str">
        <f ca="1">IFERROR(__xludf.DUMMYFUNCTION("""COMPUTED_VALUE"""),"CSTM_39CH87ML441")</f>
        <v>CSTM_39CH87ML441</v>
      </c>
      <c r="Q738" s="6" t="str">
        <f ca="1">IFERROR(__xludf.DUMMYFUNCTION("""COMPUTED_VALUE"""),"Pragya K")</f>
        <v>Pragya K</v>
      </c>
      <c r="R738" s="6" t="str">
        <f ca="1">IFERROR(__xludf.DUMMYFUNCTION("""COMPUTED_VALUE"""),"Done. Good feedback.")</f>
        <v>Done. Good feedback.</v>
      </c>
      <c r="S738" s="6" t="str">
        <f ca="1">IFERROR(__xludf.DUMMYFUNCTION("""COMPUTED_VALUE"""),"SAFe")</f>
        <v>SAFe</v>
      </c>
      <c r="T738" s="6"/>
      <c r="U738" s="6"/>
      <c r="V738" s="6"/>
      <c r="W738" s="6"/>
      <c r="X738" s="6"/>
      <c r="Y738" s="6"/>
      <c r="Z738" s="6"/>
      <c r="AA738" s="6"/>
      <c r="AB738" s="6"/>
      <c r="AC738" s="6"/>
      <c r="AD738" s="6"/>
      <c r="AE738" s="6"/>
      <c r="AF738" s="6"/>
      <c r="AG738" s="6"/>
      <c r="AH738" s="6"/>
      <c r="AI738" s="6"/>
      <c r="AJ738" s="6"/>
      <c r="AK738" s="6"/>
      <c r="AL738" s="6"/>
    </row>
    <row r="739" spans="1:38">
      <c r="A739" s="96">
        <f ca="1">IFERROR(__xludf.DUMMYFUNCTION("""COMPUTED_VALUE"""),44536)</f>
        <v>44536</v>
      </c>
      <c r="B739" s="6" t="str">
        <f ca="1">IFERROR(__xludf.DUMMYFUNCTION("""COMPUTED_VALUE"""),"Shaileja")</f>
        <v>Shaileja</v>
      </c>
      <c r="C739" s="6" t="str">
        <f ca="1">IFERROR(__xludf.DUMMYFUNCTION("""COMPUTED_VALUE"""),"pshaileja15@gmail.com")</f>
        <v>pshaileja15@gmail.com</v>
      </c>
      <c r="D739" s="6">
        <f ca="1">IFERROR(__xludf.DUMMYFUNCTION("""COMPUTED_VALUE"""),9886703190)</f>
        <v>9886703190</v>
      </c>
      <c r="E739" s="6" t="str">
        <f ca="1">IFERROR(__xludf.DUMMYFUNCTION("""COMPUTED_VALUE"""),"chat_initiated")</f>
        <v>chat_initiated</v>
      </c>
      <c r="F739" s="6" t="str">
        <f ca="1">IFERROR(__xludf.DUMMYFUNCTION("""COMPUTED_VALUE"""),"SAFe SSM")</f>
        <v>SAFe SSM</v>
      </c>
      <c r="G739" s="80">
        <f ca="1">IFERROR(__xludf.DUMMYFUNCTION("""COMPUTED_VALUE"""),44531)</f>
        <v>44531</v>
      </c>
      <c r="H739" s="6" t="str">
        <f ca="1">IFERROR(__xludf.DUMMYFUNCTION("""COMPUTED_VALUE"""),"Won")</f>
        <v>Won</v>
      </c>
      <c r="I739" s="6" t="str">
        <f ca="1">IFERROR(__xludf.DUMMYFUNCTION("""COMPUTED_VALUE"""),"11-12 Dec 2021")</f>
        <v>11-12 Dec 2021</v>
      </c>
      <c r="J739" s="6">
        <f ca="1">IFERROR(__xludf.DUMMYFUNCTION("""COMPUTED_VALUE"""),1)</f>
        <v>1</v>
      </c>
      <c r="K739" s="8">
        <f ca="1">IFERROR(__xludf.DUMMYFUNCTION("""COMPUTED_VALUE"""),45000)</f>
        <v>45000</v>
      </c>
      <c r="L739" s="8">
        <f ca="1">IFERROR(__xludf.DUMMYFUNCTION("""COMPUTED_VALUE"""),515.345854328905)</f>
        <v>515.34585432890503</v>
      </c>
      <c r="M739" s="96">
        <f ca="1">IFERROR(__xludf.DUMMYFUNCTION("""COMPUTED_VALUE"""),44536)</f>
        <v>44536</v>
      </c>
      <c r="N739" s="6" t="str">
        <f ca="1">IFERROR(__xludf.DUMMYFUNCTION("""COMPUTED_VALUE"""),"F10")</f>
        <v>F10</v>
      </c>
      <c r="O739" s="97">
        <f ca="1">IFERROR(__xludf.DUMMYFUNCTION("""COMPUTED_VALUE"""),44536)</f>
        <v>44536</v>
      </c>
      <c r="P739" s="6" t="str">
        <f ca="1">IFERROR(__xludf.DUMMYFUNCTION("""COMPUTED_VALUE"""),"CSTM_5IYREGSEW10")</f>
        <v>CSTM_5IYREGSEW10</v>
      </c>
      <c r="Q739" s="6"/>
      <c r="R739" s="6" t="str">
        <f ca="1">IFERROR(__xludf.DUMMYFUNCTION("""COMPUTED_VALUE"""),"Done. Good feedback.")</f>
        <v>Done. Good feedback.</v>
      </c>
      <c r="S739" s="6" t="str">
        <f ca="1">IFERROR(__xludf.DUMMYFUNCTION("""COMPUTED_VALUE"""),"SAFe")</f>
        <v>SAFe</v>
      </c>
      <c r="T739" s="6"/>
      <c r="U739" s="6"/>
      <c r="V739" s="6"/>
      <c r="W739" s="6"/>
      <c r="X739" s="6"/>
      <c r="Y739" s="6"/>
      <c r="Z739" s="6"/>
      <c r="AA739" s="6"/>
      <c r="AB739" s="6"/>
      <c r="AC739" s="6"/>
      <c r="AD739" s="6"/>
      <c r="AE739" s="6"/>
      <c r="AF739" s="6"/>
      <c r="AG739" s="6"/>
      <c r="AH739" s="6"/>
      <c r="AI739" s="6"/>
      <c r="AJ739" s="6"/>
      <c r="AK739" s="6"/>
      <c r="AL739" s="6"/>
    </row>
    <row r="740" spans="1:38">
      <c r="A740" s="96">
        <f ca="1">IFERROR(__xludf.DUMMYFUNCTION("""COMPUTED_VALUE"""),44537)</f>
        <v>44537</v>
      </c>
      <c r="B740" s="6" t="str">
        <f ca="1">IFERROR(__xludf.DUMMYFUNCTION("""COMPUTED_VALUE"""),"Yogesh Patel")</f>
        <v>Yogesh Patel</v>
      </c>
      <c r="C740" s="6" t="str">
        <f ca="1">IFERROR(__xludf.DUMMYFUNCTION("""COMPUTED_VALUE"""),"drp.rdp@gmail.com")</f>
        <v>drp.rdp@gmail.com</v>
      </c>
      <c r="D740" s="6">
        <f ca="1">IFERROR(__xludf.DUMMYFUNCTION("""COMPUTED_VALUE"""),9662744155)</f>
        <v>9662744155</v>
      </c>
      <c r="E740" s="6" t="str">
        <f ca="1">IFERROR(__xludf.DUMMYFUNCTION("""COMPUTED_VALUE"""),"Query box_LP")</f>
        <v>Query box_LP</v>
      </c>
      <c r="F740" s="6" t="str">
        <f ca="1">IFERROR(__xludf.DUMMYFUNCTION("""COMPUTED_VALUE"""),"CSM")</f>
        <v>CSM</v>
      </c>
      <c r="G740" s="80">
        <f ca="1">IFERROR(__xludf.DUMMYFUNCTION("""COMPUTED_VALUE"""),44531)</f>
        <v>44531</v>
      </c>
      <c r="H740" s="6" t="str">
        <f ca="1">IFERROR(__xludf.DUMMYFUNCTION("""COMPUTED_VALUE"""),"Won")</f>
        <v>Won</v>
      </c>
      <c r="I740" s="6" t="str">
        <f ca="1">IFERROR(__xludf.DUMMYFUNCTION("""COMPUTED_VALUE"""),"25-26 Dec 2021")</f>
        <v>25-26 Dec 2021</v>
      </c>
      <c r="J740" s="6">
        <f ca="1">IFERROR(__xludf.DUMMYFUNCTION("""COMPUTED_VALUE"""),1)</f>
        <v>1</v>
      </c>
      <c r="K740" s="8">
        <f ca="1">IFERROR(__xludf.DUMMYFUNCTION("""COMPUTED_VALUE"""),19000)</f>
        <v>19000</v>
      </c>
      <c r="L740" s="8">
        <f ca="1">IFERROR(__xludf.DUMMYFUNCTION("""COMPUTED_VALUE"""),217.590471827759)</f>
        <v>217.59047182775899</v>
      </c>
      <c r="M740" s="96">
        <f ca="1">IFERROR(__xludf.DUMMYFUNCTION("""COMPUTED_VALUE"""),44537)</f>
        <v>44537</v>
      </c>
      <c r="N740" s="6" t="str">
        <f ca="1">IFERROR(__xludf.DUMMYFUNCTION("""COMPUTED_VALUE"""),"F10")</f>
        <v>F10</v>
      </c>
      <c r="O740" s="97">
        <f ca="1">IFERROR(__xludf.DUMMYFUNCTION("""COMPUTED_VALUE"""),44537)</f>
        <v>44537</v>
      </c>
      <c r="P740" s="6" t="str">
        <f ca="1">IFERROR(__xludf.DUMMYFUNCTION("""COMPUTED_VALUE"""),"CSTM_HK7JT65C1MR")</f>
        <v>CSTM_HK7JT65C1MR</v>
      </c>
      <c r="Q740" s="6"/>
      <c r="R740" s="6" t="str">
        <f ca="1">IFERROR(__xludf.DUMMYFUNCTION("""COMPUTED_VALUE"""),"Done. Good feedback.")</f>
        <v>Done. Good feedback.</v>
      </c>
      <c r="S740" s="6" t="str">
        <f ca="1">IFERROR(__xludf.DUMMYFUNCTION("""COMPUTED_VALUE"""),"Category")</f>
        <v>Category</v>
      </c>
      <c r="T740" s="6"/>
      <c r="U740" s="6"/>
      <c r="V740" s="6"/>
      <c r="W740" s="6"/>
      <c r="X740" s="6"/>
      <c r="Y740" s="6"/>
      <c r="Z740" s="6"/>
      <c r="AA740" s="6"/>
      <c r="AB740" s="6"/>
      <c r="AC740" s="6"/>
      <c r="AD740" s="6"/>
      <c r="AE740" s="6"/>
      <c r="AF740" s="6"/>
      <c r="AG740" s="6"/>
      <c r="AH740" s="6"/>
      <c r="AI740" s="6"/>
      <c r="AJ740" s="6"/>
      <c r="AK740" s="6"/>
      <c r="AL740" s="6"/>
    </row>
    <row r="741" spans="1:38">
      <c r="A741" s="96">
        <f ca="1">IFERROR(__xludf.DUMMYFUNCTION("""COMPUTED_VALUE"""),44537)</f>
        <v>44537</v>
      </c>
      <c r="B741" s="6" t="str">
        <f ca="1">IFERROR(__xludf.DUMMYFUNCTION("""COMPUTED_VALUE"""),"Udgeet Patel")</f>
        <v>Udgeet Patel</v>
      </c>
      <c r="C741" s="6" t="str">
        <f ca="1">IFERROR(__xludf.DUMMYFUNCTION("""COMPUTED_VALUE"""),"udgeetspatel@gmail.com")</f>
        <v>udgeetspatel@gmail.com</v>
      </c>
      <c r="D741" s="6">
        <f ca="1">IFERROR(__xludf.DUMMYFUNCTION("""COMPUTED_VALUE"""),9408879643)</f>
        <v>9408879643</v>
      </c>
      <c r="E741" s="6" t="str">
        <f ca="1">IFERROR(__xludf.DUMMYFUNCTION("""COMPUTED_VALUE"""),"Reference")</f>
        <v>Reference</v>
      </c>
      <c r="F741" s="6" t="str">
        <f ca="1">IFERROR(__xludf.DUMMYFUNCTION("""COMPUTED_VALUE"""),"CSM")</f>
        <v>CSM</v>
      </c>
      <c r="G741" s="80">
        <f ca="1">IFERROR(__xludf.DUMMYFUNCTION("""COMPUTED_VALUE"""),44531)</f>
        <v>44531</v>
      </c>
      <c r="H741" s="6" t="str">
        <f ca="1">IFERROR(__xludf.DUMMYFUNCTION("""COMPUTED_VALUE"""),"Won")</f>
        <v>Won</v>
      </c>
      <c r="I741" s="6" t="str">
        <f ca="1">IFERROR(__xludf.DUMMYFUNCTION("""COMPUTED_VALUE"""),"25-26 Dec 2021")</f>
        <v>25-26 Dec 2021</v>
      </c>
      <c r="J741" s="6">
        <f ca="1">IFERROR(__xludf.DUMMYFUNCTION("""COMPUTED_VALUE"""),1)</f>
        <v>1</v>
      </c>
      <c r="K741" s="8">
        <f ca="1">IFERROR(__xludf.DUMMYFUNCTION("""COMPUTED_VALUE"""),19000)</f>
        <v>19000</v>
      </c>
      <c r="L741" s="8">
        <f ca="1">IFERROR(__xludf.DUMMYFUNCTION("""COMPUTED_VALUE"""),217.590471827759)</f>
        <v>217.59047182775899</v>
      </c>
      <c r="M741" s="96">
        <f ca="1">IFERROR(__xludf.DUMMYFUNCTION("""COMPUTED_VALUE"""),44537)</f>
        <v>44537</v>
      </c>
      <c r="N741" s="6" t="str">
        <f ca="1">IFERROR(__xludf.DUMMYFUNCTION("""COMPUTED_VALUE"""),"F10")</f>
        <v>F10</v>
      </c>
      <c r="O741" s="97">
        <f ca="1">IFERROR(__xludf.DUMMYFUNCTION("""COMPUTED_VALUE"""),44537)</f>
        <v>44537</v>
      </c>
      <c r="P741" s="6" t="str">
        <f ca="1">IFERROR(__xludf.DUMMYFUNCTION("""COMPUTED_VALUE"""),"CSTM_FSK8RB2KB3I")</f>
        <v>CSTM_FSK8RB2KB3I</v>
      </c>
      <c r="Q741" s="6" t="str">
        <f ca="1">IFERROR(__xludf.DUMMYFUNCTION("""COMPUTED_VALUE"""),"Reference by Yogesh Patel")</f>
        <v>Reference by Yogesh Patel</v>
      </c>
      <c r="R741" s="6" t="str">
        <f ca="1">IFERROR(__xludf.DUMMYFUNCTION("""COMPUTED_VALUE"""),"Done. Good feedback.")</f>
        <v>Done. Good feedback.</v>
      </c>
      <c r="S741" s="6" t="str">
        <f ca="1">IFERROR(__xludf.DUMMYFUNCTION("""COMPUTED_VALUE"""),"Category")</f>
        <v>Category</v>
      </c>
      <c r="T741" s="6"/>
      <c r="U741" s="6"/>
      <c r="V741" s="6"/>
      <c r="W741" s="6"/>
      <c r="X741" s="6"/>
      <c r="Y741" s="6"/>
      <c r="Z741" s="6"/>
      <c r="AA741" s="6"/>
      <c r="AB741" s="6"/>
      <c r="AC741" s="6"/>
      <c r="AD741" s="6"/>
      <c r="AE741" s="6"/>
      <c r="AF741" s="6"/>
      <c r="AG741" s="6"/>
      <c r="AH741" s="6"/>
      <c r="AI741" s="6"/>
      <c r="AJ741" s="6"/>
      <c r="AK741" s="6"/>
      <c r="AL741" s="6"/>
    </row>
    <row r="742" spans="1:38">
      <c r="A742" s="96">
        <f ca="1">IFERROR(__xludf.DUMMYFUNCTION("""COMPUTED_VALUE"""),44538)</f>
        <v>44538</v>
      </c>
      <c r="B742" s="6" t="str">
        <f ca="1">IFERROR(__xludf.DUMMYFUNCTION("""COMPUTED_VALUE"""),"Dhiraj Bhatt")</f>
        <v>Dhiraj Bhatt</v>
      </c>
      <c r="C742" s="6" t="str">
        <f ca="1">IFERROR(__xludf.DUMMYFUNCTION("""COMPUTED_VALUE"""),"bhatt_dhiraj@rediffmail.com")</f>
        <v>bhatt_dhiraj@rediffmail.com</v>
      </c>
      <c r="D742" s="6">
        <f ca="1">IFERROR(__xludf.DUMMYFUNCTION("""COMPUTED_VALUE"""),9819029474)</f>
        <v>9819029474</v>
      </c>
      <c r="E742" s="6" t="str">
        <f ca="1">IFERROR(__xludf.DUMMYFUNCTION("""COMPUTED_VALUE"""),"Chat_triggered")</f>
        <v>Chat_triggered</v>
      </c>
      <c r="F742" s="6" t="str">
        <f ca="1">IFERROR(__xludf.DUMMYFUNCTION("""COMPUTED_VALUE"""),"PSM")</f>
        <v>PSM</v>
      </c>
      <c r="G742" s="80">
        <f ca="1">IFERROR(__xludf.DUMMYFUNCTION("""COMPUTED_VALUE"""),44531)</f>
        <v>44531</v>
      </c>
      <c r="H742" s="6" t="str">
        <f ca="1">IFERROR(__xludf.DUMMYFUNCTION("""COMPUTED_VALUE"""),"Won")</f>
        <v>Won</v>
      </c>
      <c r="I742" s="6" t="str">
        <f ca="1">IFERROR(__xludf.DUMMYFUNCTION("""COMPUTED_VALUE"""),"18-19 Dec 2021")</f>
        <v>18-19 Dec 2021</v>
      </c>
      <c r="J742" s="6">
        <f ca="1">IFERROR(__xludf.DUMMYFUNCTION("""COMPUTED_VALUE"""),1)</f>
        <v>1</v>
      </c>
      <c r="K742" s="8">
        <f ca="1">IFERROR(__xludf.DUMMYFUNCTION("""COMPUTED_VALUE"""),21000)</f>
        <v>21000</v>
      </c>
      <c r="L742" s="8">
        <f ca="1">IFERROR(__xludf.DUMMYFUNCTION("""COMPUTED_VALUE"""),240.494732020155)</f>
        <v>240.494732020155</v>
      </c>
      <c r="M742" s="96">
        <f ca="1">IFERROR(__xludf.DUMMYFUNCTION("""COMPUTED_VALUE"""),44538)</f>
        <v>44538</v>
      </c>
      <c r="N742" s="6" t="str">
        <f ca="1">IFERROR(__xludf.DUMMYFUNCTION("""COMPUTED_VALUE"""),"F10")</f>
        <v>F10</v>
      </c>
      <c r="O742" s="97">
        <f ca="1">IFERROR(__xludf.DUMMYFUNCTION("""COMPUTED_VALUE"""),44538)</f>
        <v>44538</v>
      </c>
      <c r="P742" s="6" t="str">
        <f ca="1">IFERROR(__xludf.DUMMYFUNCTION("""COMPUTED_VALUE"""),"CSTM_5W2QR13T1NV")</f>
        <v>CSTM_5W2QR13T1NV</v>
      </c>
      <c r="Q742" s="6"/>
      <c r="R742" s="6" t="str">
        <f ca="1">IFERROR(__xludf.DUMMYFUNCTION("""COMPUTED_VALUE"""),"Done. Good feedback.")</f>
        <v>Done. Good feedback.</v>
      </c>
      <c r="S742" s="6" t="str">
        <f ca="1">IFERROR(__xludf.DUMMYFUNCTION("""COMPUTED_VALUE"""),"Category")</f>
        <v>Category</v>
      </c>
      <c r="T742" s="6"/>
      <c r="U742" s="6"/>
      <c r="V742" s="6"/>
      <c r="W742" s="6"/>
      <c r="X742" s="6"/>
      <c r="Y742" s="6"/>
      <c r="Z742" s="6"/>
      <c r="AA742" s="6"/>
      <c r="AB742" s="6"/>
      <c r="AC742" s="6"/>
      <c r="AD742" s="6"/>
      <c r="AE742" s="6"/>
      <c r="AF742" s="6"/>
      <c r="AG742" s="6"/>
      <c r="AH742" s="6"/>
      <c r="AI742" s="6"/>
      <c r="AJ742" s="6"/>
      <c r="AK742" s="6"/>
      <c r="AL742" s="6"/>
    </row>
    <row r="743" spans="1:38">
      <c r="A743" s="96">
        <f ca="1">IFERROR(__xludf.DUMMYFUNCTION("""COMPUTED_VALUE"""),44539)</f>
        <v>44539</v>
      </c>
      <c r="B743" s="6" t="str">
        <f ca="1">IFERROR(__xludf.DUMMYFUNCTION("""COMPUTED_VALUE"""),"Nidhita Shilpi")</f>
        <v>Nidhita Shilpi</v>
      </c>
      <c r="C743" s="6" t="str">
        <f ca="1">IFERROR(__xludf.DUMMYFUNCTION("""COMPUTED_VALUE"""),"nidhita.arc@gmail.com")</f>
        <v>nidhita.arc@gmail.com</v>
      </c>
      <c r="D743" s="6">
        <f ca="1">IFERROR(__xludf.DUMMYFUNCTION("""COMPUTED_VALUE"""),9999999999)</f>
        <v>9999999999</v>
      </c>
      <c r="E743" s="6" t="str">
        <f ca="1">IFERROR(__xludf.DUMMYFUNCTION("""COMPUTED_VALUE"""),"chat_initiated")</f>
        <v>chat_initiated</v>
      </c>
      <c r="F743" s="6" t="str">
        <f ca="1">IFERROR(__xludf.DUMMYFUNCTION("""COMPUTED_VALUE"""),"PMI-ACP")</f>
        <v>PMI-ACP</v>
      </c>
      <c r="G743" s="80">
        <f ca="1">IFERROR(__xludf.DUMMYFUNCTION("""COMPUTED_VALUE"""),44531)</f>
        <v>44531</v>
      </c>
      <c r="H743" s="6" t="str">
        <f ca="1">IFERROR(__xludf.DUMMYFUNCTION("""COMPUTED_VALUE"""),"Won")</f>
        <v>Won</v>
      </c>
      <c r="I743" s="6" t="str">
        <f ca="1">IFERROR(__xludf.DUMMYFUNCTION("""COMPUTED_VALUE"""),"9 Dec 2021")</f>
        <v>9 Dec 2021</v>
      </c>
      <c r="J743" s="6">
        <f ca="1">IFERROR(__xludf.DUMMYFUNCTION("""COMPUTED_VALUE"""),1)</f>
        <v>1</v>
      </c>
      <c r="K743" s="8">
        <f ca="1">IFERROR(__xludf.DUMMYFUNCTION("""COMPUTED_VALUE"""),11000)</f>
        <v>11000</v>
      </c>
      <c r="L743" s="8">
        <f ca="1">IFERROR(__xludf.DUMMYFUNCTION("""COMPUTED_VALUE"""),125.973431058176)</f>
        <v>125.973431058176</v>
      </c>
      <c r="M743" s="96">
        <f ca="1">IFERROR(__xludf.DUMMYFUNCTION("""COMPUTED_VALUE"""),44539)</f>
        <v>44539</v>
      </c>
      <c r="N743" s="6" t="str">
        <f ca="1">IFERROR(__xludf.DUMMYFUNCTION("""COMPUTED_VALUE"""),"F10")</f>
        <v>F10</v>
      </c>
      <c r="O743" s="97">
        <f ca="1">IFERROR(__xludf.DUMMYFUNCTION("""COMPUTED_VALUE"""),44540)</f>
        <v>44540</v>
      </c>
      <c r="P743" s="6" t="str">
        <f ca="1">IFERROR(__xludf.DUMMYFUNCTION("""COMPUTED_VALUE"""),"CSTM_OX8DH477XB")</f>
        <v>CSTM_OX8DH477XB</v>
      </c>
      <c r="Q743" s="6"/>
      <c r="R743" s="6" t="str">
        <f ca="1">IFERROR(__xludf.DUMMYFUNCTION("""COMPUTED_VALUE"""),"Pending")</f>
        <v>Pending</v>
      </c>
      <c r="S743" s="6" t="str">
        <f ca="1">IFERROR(__xludf.DUMMYFUNCTION("""COMPUTED_VALUE"""),"Category")</f>
        <v>Category</v>
      </c>
      <c r="T743" s="6"/>
      <c r="U743" s="6"/>
      <c r="V743" s="6"/>
      <c r="W743" s="6"/>
      <c r="X743" s="6"/>
      <c r="Y743" s="6"/>
      <c r="Z743" s="6"/>
      <c r="AA743" s="6"/>
      <c r="AB743" s="6"/>
      <c r="AC743" s="6"/>
      <c r="AD743" s="6"/>
      <c r="AE743" s="6"/>
      <c r="AF743" s="6"/>
      <c r="AG743" s="6"/>
      <c r="AH743" s="6"/>
      <c r="AI743" s="6"/>
      <c r="AJ743" s="6"/>
      <c r="AK743" s="6"/>
      <c r="AL743" s="6"/>
    </row>
    <row r="744" spans="1:38">
      <c r="A744" s="96">
        <f ca="1">IFERROR(__xludf.DUMMYFUNCTION("""COMPUTED_VALUE"""),44539)</f>
        <v>44539</v>
      </c>
      <c r="B744" s="6" t="str">
        <f ca="1">IFERROR(__xludf.DUMMYFUNCTION("""COMPUTED_VALUE"""),"Vikram Goel")</f>
        <v>Vikram Goel</v>
      </c>
      <c r="C744" s="6" t="str">
        <f ca="1">IFERROR(__xludf.DUMMYFUNCTION("""COMPUTED_VALUE"""),"vikram_goel1@yahoo.com")</f>
        <v>vikram_goel1@yahoo.com</v>
      </c>
      <c r="D744" s="6">
        <f ca="1">IFERROR(__xludf.DUMMYFUNCTION("""COMPUTED_VALUE"""),9711931155)</f>
        <v>9711931155</v>
      </c>
      <c r="E744" s="6" t="str">
        <f ca="1">IFERROR(__xludf.DUMMYFUNCTION("""COMPUTED_VALUE"""),"chat_initiated")</f>
        <v>chat_initiated</v>
      </c>
      <c r="F744" s="6" t="str">
        <f ca="1">IFERROR(__xludf.DUMMYFUNCTION("""COMPUTED_VALUE"""),"SAFe Agile")</f>
        <v>SAFe Agile</v>
      </c>
      <c r="G744" s="80">
        <f ca="1">IFERROR(__xludf.DUMMYFUNCTION("""COMPUTED_VALUE"""),44531)</f>
        <v>44531</v>
      </c>
      <c r="H744" s="6" t="str">
        <f ca="1">IFERROR(__xludf.DUMMYFUNCTION("""COMPUTED_VALUE"""),"Won")</f>
        <v>Won</v>
      </c>
      <c r="I744" s="6" t="str">
        <f ca="1">IFERROR(__xludf.DUMMYFUNCTION("""COMPUTED_VALUE"""),"11-12 Dec 2021")</f>
        <v>11-12 Dec 2021</v>
      </c>
      <c r="J744" s="6">
        <f ca="1">IFERROR(__xludf.DUMMYFUNCTION("""COMPUTED_VALUE"""),1)</f>
        <v>1</v>
      </c>
      <c r="K744" s="8">
        <f ca="1">IFERROR(__xludf.DUMMYFUNCTION("""COMPUTED_VALUE"""),45000)</f>
        <v>45000</v>
      </c>
      <c r="L744" s="8">
        <f ca="1">IFERROR(__xludf.DUMMYFUNCTION("""COMPUTED_VALUE"""),515.345854328905)</f>
        <v>515.34585432890503</v>
      </c>
      <c r="M744" s="96">
        <f ca="1">IFERROR(__xludf.DUMMYFUNCTION("""COMPUTED_VALUE"""),44539)</f>
        <v>44539</v>
      </c>
      <c r="N744" s="6" t="str">
        <f ca="1">IFERROR(__xludf.DUMMYFUNCTION("""COMPUTED_VALUE"""),"F10")</f>
        <v>F10</v>
      </c>
      <c r="O744" s="97">
        <f ca="1">IFERROR(__xludf.DUMMYFUNCTION("""COMPUTED_VALUE"""),44539)</f>
        <v>44539</v>
      </c>
      <c r="P744" s="6" t="str">
        <f ca="1">IFERROR(__xludf.DUMMYFUNCTION("""COMPUTED_VALUE"""),"CSTM_8Q6T7ZSYIFS")</f>
        <v>CSTM_8Q6T7ZSYIFS</v>
      </c>
      <c r="Q744" s="6"/>
      <c r="R744" s="6" t="str">
        <f ca="1">IFERROR(__xludf.DUMMYFUNCTION("""COMPUTED_VALUE"""),"Done. Good feedback.")</f>
        <v>Done. Good feedback.</v>
      </c>
      <c r="S744" s="6" t="str">
        <f ca="1">IFERROR(__xludf.DUMMYFUNCTION("""COMPUTED_VALUE"""),"SAFe")</f>
        <v>SAFe</v>
      </c>
      <c r="T744" s="6"/>
      <c r="U744" s="6"/>
      <c r="V744" s="6"/>
      <c r="W744" s="6"/>
      <c r="X744" s="6"/>
      <c r="Y744" s="6"/>
      <c r="Z744" s="6"/>
      <c r="AA744" s="6"/>
      <c r="AB744" s="6"/>
      <c r="AC744" s="6"/>
      <c r="AD744" s="6"/>
      <c r="AE744" s="6"/>
      <c r="AF744" s="6"/>
      <c r="AG744" s="6"/>
      <c r="AH744" s="6"/>
      <c r="AI744" s="6"/>
      <c r="AJ744" s="6"/>
      <c r="AK744" s="6"/>
      <c r="AL744" s="6"/>
    </row>
    <row r="745" spans="1:38">
      <c r="A745" s="96">
        <f ca="1">IFERROR(__xludf.DUMMYFUNCTION("""COMPUTED_VALUE"""),44540)</f>
        <v>44540</v>
      </c>
      <c r="B745" s="6" t="str">
        <f ca="1">IFERROR(__xludf.DUMMYFUNCTION("""COMPUTED_VALUE"""),"Soumya Prakash")</f>
        <v>Soumya Prakash</v>
      </c>
      <c r="C745" s="6" t="str">
        <f ca="1">IFERROR(__xludf.DUMMYFUNCTION("""COMPUTED_VALUE"""),"prasoumya@gmail.com")</f>
        <v>prasoumya@gmail.com</v>
      </c>
      <c r="D745" s="6">
        <f ca="1">IFERROR(__xludf.DUMMYFUNCTION("""COMPUTED_VALUE"""),9940126129)</f>
        <v>9940126129</v>
      </c>
      <c r="E745" s="6" t="str">
        <f ca="1">IFERROR(__xludf.DUMMYFUNCTION("""COMPUTED_VALUE"""),"refer&amp;earn")</f>
        <v>refer&amp;earn</v>
      </c>
      <c r="F745" s="6" t="str">
        <f ca="1">IFERROR(__xludf.DUMMYFUNCTION("""COMPUTED_VALUE"""),"SAFe Agile")</f>
        <v>SAFe Agile</v>
      </c>
      <c r="G745" s="80">
        <f ca="1">IFERROR(__xludf.DUMMYFUNCTION("""COMPUTED_VALUE"""),44531)</f>
        <v>44531</v>
      </c>
      <c r="H745" s="6" t="str">
        <f ca="1">IFERROR(__xludf.DUMMYFUNCTION("""COMPUTED_VALUE"""),"Won")</f>
        <v>Won</v>
      </c>
      <c r="I745" s="6" t="str">
        <f ca="1">IFERROR(__xludf.DUMMYFUNCTION("""COMPUTED_VALUE"""),"11-12 Dec 2021")</f>
        <v>11-12 Dec 2021</v>
      </c>
      <c r="J745" s="6">
        <f ca="1">IFERROR(__xludf.DUMMYFUNCTION("""COMPUTED_VALUE"""),1)</f>
        <v>1</v>
      </c>
      <c r="K745" s="8">
        <f ca="1">IFERROR(__xludf.DUMMYFUNCTION("""COMPUTED_VALUE"""),42000)</f>
        <v>42000</v>
      </c>
      <c r="L745" s="8">
        <f ca="1">IFERROR(__xludf.DUMMYFUNCTION("""COMPUTED_VALUE"""),480.989464040311)</f>
        <v>480.98946404031102</v>
      </c>
      <c r="M745" s="96">
        <f ca="1">IFERROR(__xludf.DUMMYFUNCTION("""COMPUTED_VALUE"""),44540)</f>
        <v>44540</v>
      </c>
      <c r="N745" s="6" t="str">
        <f ca="1">IFERROR(__xludf.DUMMYFUNCTION("""COMPUTED_VALUE"""),"F10")</f>
        <v>F10</v>
      </c>
      <c r="O745" s="97">
        <f ca="1">IFERROR(__xludf.DUMMYFUNCTION("""COMPUTED_VALUE"""),44540)</f>
        <v>44540</v>
      </c>
      <c r="P745" s="6" t="str">
        <f ca="1">IFERROR(__xludf.DUMMYFUNCTION("""COMPUTED_VALUE"""),"CSTM_BXZ4L7G4Z3I")</f>
        <v>CSTM_BXZ4L7G4Z3I</v>
      </c>
      <c r="Q745" s="6" t="str">
        <f ca="1">IFERROR(__xludf.DUMMYFUNCTION("""COMPUTED_VALUE"""),"ursdeb@gmail.com")</f>
        <v>ursdeb@gmail.com</v>
      </c>
      <c r="R745" s="6" t="str">
        <f ca="1">IFERROR(__xludf.DUMMYFUNCTION("""COMPUTED_VALUE"""),"Pending")</f>
        <v>Pending</v>
      </c>
      <c r="S745" s="6" t="str">
        <f ca="1">IFERROR(__xludf.DUMMYFUNCTION("""COMPUTED_VALUE"""),"SAFe")</f>
        <v>SAFe</v>
      </c>
      <c r="T745" s="6"/>
      <c r="U745" s="6"/>
      <c r="V745" s="6"/>
      <c r="W745" s="6"/>
      <c r="X745" s="6"/>
      <c r="Y745" s="6"/>
      <c r="Z745" s="6"/>
      <c r="AA745" s="6"/>
      <c r="AB745" s="6"/>
      <c r="AC745" s="6"/>
      <c r="AD745" s="6"/>
      <c r="AE745" s="6"/>
      <c r="AF745" s="6"/>
      <c r="AG745" s="6"/>
      <c r="AH745" s="6"/>
      <c r="AI745" s="6"/>
      <c r="AJ745" s="6"/>
      <c r="AK745" s="6"/>
      <c r="AL745" s="6"/>
    </row>
    <row r="746" spans="1:38">
      <c r="A746" s="96">
        <f ca="1">IFERROR(__xludf.DUMMYFUNCTION("""COMPUTED_VALUE"""),44540)</f>
        <v>44540</v>
      </c>
      <c r="B746" s="6" t="str">
        <f ca="1">IFERROR(__xludf.DUMMYFUNCTION("""COMPUTED_VALUE"""),"Shubham Mishra")</f>
        <v>Shubham Mishra</v>
      </c>
      <c r="C746" s="6" t="str">
        <f ca="1">IFERROR(__xludf.DUMMYFUNCTION("""COMPUTED_VALUE"""),"mishrasubham5@gmail.com")</f>
        <v>mishrasubham5@gmail.com</v>
      </c>
      <c r="D746" s="6">
        <f ca="1">IFERROR(__xludf.DUMMYFUNCTION("""COMPUTED_VALUE"""),8860190858)</f>
        <v>8860190858</v>
      </c>
      <c r="E746" s="6" t="str">
        <f ca="1">IFERROR(__xludf.DUMMYFUNCTION("""COMPUTED_VALUE"""),"Query box")</f>
        <v>Query box</v>
      </c>
      <c r="F746" s="6" t="str">
        <f ca="1">IFERROR(__xludf.DUMMYFUNCTION("""COMPUTED_VALUE"""),"CSM")</f>
        <v>CSM</v>
      </c>
      <c r="G746" s="80">
        <f ca="1">IFERROR(__xludf.DUMMYFUNCTION("""COMPUTED_VALUE"""),44531)</f>
        <v>44531</v>
      </c>
      <c r="H746" s="6" t="str">
        <f ca="1">IFERROR(__xludf.DUMMYFUNCTION("""COMPUTED_VALUE"""),"Opportunity")</f>
        <v>Opportunity</v>
      </c>
      <c r="I746" s="6" t="str">
        <f ca="1">IFERROR(__xludf.DUMMYFUNCTION("""COMPUTED_VALUE"""),"11-12 Dec 2021")</f>
        <v>11-12 Dec 2021</v>
      </c>
      <c r="J746" s="6">
        <f ca="1">IFERROR(__xludf.DUMMYFUNCTION("""COMPUTED_VALUE"""),1)</f>
        <v>1</v>
      </c>
      <c r="K746" s="8">
        <f ca="1">IFERROR(__xludf.DUMMYFUNCTION("""COMPUTED_VALUE"""),20000)</f>
        <v>20000</v>
      </c>
      <c r="L746" s="8">
        <f ca="1">IFERROR(__xludf.DUMMYFUNCTION("""COMPUTED_VALUE"""),229.042601923957)</f>
        <v>229.04260192395699</v>
      </c>
      <c r="M746" s="96">
        <f ca="1">IFERROR(__xludf.DUMMYFUNCTION("""COMPUTED_VALUE"""),44540)</f>
        <v>44540</v>
      </c>
      <c r="N746" s="6"/>
      <c r="O746" s="97"/>
      <c r="P746" s="6"/>
      <c r="Q746" s="6"/>
      <c r="R746" s="6"/>
      <c r="S746" s="6" t="str">
        <f ca="1">IFERROR(__xludf.DUMMYFUNCTION("""COMPUTED_VALUE"""),"Category")</f>
        <v>Category</v>
      </c>
      <c r="T746" s="6"/>
      <c r="U746" s="6"/>
      <c r="V746" s="6"/>
      <c r="W746" s="6"/>
      <c r="X746" s="6"/>
      <c r="Y746" s="6"/>
      <c r="Z746" s="6"/>
      <c r="AA746" s="6"/>
      <c r="AB746" s="6"/>
      <c r="AC746" s="6"/>
      <c r="AD746" s="6"/>
      <c r="AE746" s="6"/>
      <c r="AF746" s="6"/>
      <c r="AG746" s="6"/>
      <c r="AH746" s="6"/>
      <c r="AI746" s="6"/>
      <c r="AJ746" s="6"/>
      <c r="AK746" s="6"/>
      <c r="AL746" s="6"/>
    </row>
    <row r="747" spans="1:38">
      <c r="A747" s="96">
        <f ca="1">IFERROR(__xludf.DUMMYFUNCTION("""COMPUTED_VALUE"""),44542)</f>
        <v>44542</v>
      </c>
      <c r="B747" s="6" t="str">
        <f ca="1">IFERROR(__xludf.DUMMYFUNCTION("""COMPUTED_VALUE"""),"Prakhar")</f>
        <v>Prakhar</v>
      </c>
      <c r="C747" s="6" t="str">
        <f ca="1">IFERROR(__xludf.DUMMYFUNCTION("""COMPUTED_VALUE"""),"pksprakhar@gmail.com")</f>
        <v>pksprakhar@gmail.com</v>
      </c>
      <c r="D747" s="6">
        <f ca="1">IFERROR(__xludf.DUMMYFUNCTION("""COMPUTED_VALUE"""),9582465710)</f>
        <v>9582465710</v>
      </c>
      <c r="E747" s="6" t="str">
        <f ca="1">IFERROR(__xludf.DUMMYFUNCTION("""COMPUTED_VALUE"""),"chat_initiated")</f>
        <v>chat_initiated</v>
      </c>
      <c r="F747" s="6" t="str">
        <f ca="1">IFERROR(__xludf.DUMMYFUNCTION("""COMPUTED_VALUE"""),"PSPO")</f>
        <v>PSPO</v>
      </c>
      <c r="G747" s="80">
        <f ca="1">IFERROR(__xludf.DUMMYFUNCTION("""COMPUTED_VALUE"""),44531)</f>
        <v>44531</v>
      </c>
      <c r="H747" s="6" t="str">
        <f ca="1">IFERROR(__xludf.DUMMYFUNCTION("""COMPUTED_VALUE"""),"Won")</f>
        <v>Won</v>
      </c>
      <c r="I747" s="6" t="str">
        <f ca="1">IFERROR(__xludf.DUMMYFUNCTION("""COMPUTED_VALUE"""),"25-26 Dec 2021")</f>
        <v>25-26 Dec 2021</v>
      </c>
      <c r="J747" s="6">
        <f ca="1">IFERROR(__xludf.DUMMYFUNCTION("""COMPUTED_VALUE"""),1)</f>
        <v>1</v>
      </c>
      <c r="K747" s="8">
        <f ca="1">IFERROR(__xludf.DUMMYFUNCTION("""COMPUTED_VALUE"""),20500)</f>
        <v>20500</v>
      </c>
      <c r="L747" s="8">
        <f ca="1">IFERROR(__xludf.DUMMYFUNCTION("""COMPUTED_VALUE"""),234.768666972056)</f>
        <v>234.768666972056</v>
      </c>
      <c r="M747" s="96">
        <f ca="1">IFERROR(__xludf.DUMMYFUNCTION("""COMPUTED_VALUE"""),44542)</f>
        <v>44542</v>
      </c>
      <c r="N747" s="6" t="str">
        <f ca="1">IFERROR(__xludf.DUMMYFUNCTION("""COMPUTED_VALUE"""),"S10")</f>
        <v>S10</v>
      </c>
      <c r="O747" s="97">
        <f ca="1">IFERROR(__xludf.DUMMYFUNCTION("""COMPUTED_VALUE"""),44542)</f>
        <v>44542</v>
      </c>
      <c r="P747" s="6" t="str">
        <f ca="1">IFERROR(__xludf.DUMMYFUNCTION("""COMPUTED_VALUE"""),"CSTM_5AOZXEULHRE")</f>
        <v>CSTM_5AOZXEULHRE</v>
      </c>
      <c r="Q747" s="6"/>
      <c r="R747" s="6" t="str">
        <f ca="1">IFERROR(__xludf.DUMMYFUNCTION("""COMPUTED_VALUE"""),"Done. Good feedback.")</f>
        <v>Done. Good feedback.</v>
      </c>
      <c r="S747" s="6" t="str">
        <f ca="1">IFERROR(__xludf.DUMMYFUNCTION("""COMPUTED_VALUE"""),"Category")</f>
        <v>Category</v>
      </c>
      <c r="T747" s="6"/>
      <c r="U747" s="6"/>
      <c r="V747" s="6"/>
      <c r="W747" s="6"/>
      <c r="X747" s="6"/>
      <c r="Y747" s="6"/>
      <c r="Z747" s="6"/>
      <c r="AA747" s="6"/>
      <c r="AB747" s="6"/>
      <c r="AC747" s="6"/>
      <c r="AD747" s="6"/>
      <c r="AE747" s="6"/>
      <c r="AF747" s="6"/>
      <c r="AG747" s="6"/>
      <c r="AH747" s="6"/>
      <c r="AI747" s="6"/>
      <c r="AJ747" s="6"/>
      <c r="AK747" s="6"/>
      <c r="AL747" s="6"/>
    </row>
    <row r="748" spans="1:38">
      <c r="A748" s="96">
        <f ca="1">IFERROR(__xludf.DUMMYFUNCTION("""COMPUTED_VALUE"""),44542)</f>
        <v>44542</v>
      </c>
      <c r="B748" s="6" t="str">
        <f ca="1">IFERROR(__xludf.DUMMYFUNCTION("""COMPUTED_VALUE"""),"Gautam Sikka")</f>
        <v>Gautam Sikka</v>
      </c>
      <c r="C748" s="6" t="str">
        <f ca="1">IFERROR(__xludf.DUMMYFUNCTION("""COMPUTED_VALUE"""),"gautam.sikka@gmail.com")</f>
        <v>gautam.sikka@gmail.com</v>
      </c>
      <c r="D748" s="6">
        <f ca="1">IFERROR(__xludf.DUMMYFUNCTION("""COMPUTED_VALUE"""),9810037585)</f>
        <v>9810037585</v>
      </c>
      <c r="E748" s="6" t="str">
        <f ca="1">IFERROR(__xludf.DUMMYFUNCTION("""COMPUTED_VALUE"""),"Reference")</f>
        <v>Reference</v>
      </c>
      <c r="F748" s="6" t="str">
        <f ca="1">IFERROR(__xludf.DUMMYFUNCTION("""COMPUTED_VALUE"""),"PSPO")</f>
        <v>PSPO</v>
      </c>
      <c r="G748" s="80">
        <f ca="1">IFERROR(__xludf.DUMMYFUNCTION("""COMPUTED_VALUE"""),44531)</f>
        <v>44531</v>
      </c>
      <c r="H748" s="6" t="str">
        <f ca="1">IFERROR(__xludf.DUMMYFUNCTION("""COMPUTED_VALUE"""),"Won")</f>
        <v>Won</v>
      </c>
      <c r="I748" s="6" t="str">
        <f ca="1">IFERROR(__xludf.DUMMYFUNCTION("""COMPUTED_VALUE"""),"25-26 Dec 2021")</f>
        <v>25-26 Dec 2021</v>
      </c>
      <c r="J748" s="6">
        <f ca="1">IFERROR(__xludf.DUMMYFUNCTION("""COMPUTED_VALUE"""),1)</f>
        <v>1</v>
      </c>
      <c r="K748" s="8">
        <f ca="1">IFERROR(__xludf.DUMMYFUNCTION("""COMPUTED_VALUE"""),20500)</f>
        <v>20500</v>
      </c>
      <c r="L748" s="8">
        <f ca="1">IFERROR(__xludf.DUMMYFUNCTION("""COMPUTED_VALUE"""),234.768666972056)</f>
        <v>234.768666972056</v>
      </c>
      <c r="M748" s="96">
        <f ca="1">IFERROR(__xludf.DUMMYFUNCTION("""COMPUTED_VALUE"""),44542)</f>
        <v>44542</v>
      </c>
      <c r="N748" s="6" t="str">
        <f ca="1">IFERROR(__xludf.DUMMYFUNCTION("""COMPUTED_VALUE"""),"S10")</f>
        <v>S10</v>
      </c>
      <c r="O748" s="97">
        <f ca="1">IFERROR(__xludf.DUMMYFUNCTION("""COMPUTED_VALUE"""),44542)</f>
        <v>44542</v>
      </c>
      <c r="P748" s="6" t="str">
        <f ca="1">IFERROR(__xludf.DUMMYFUNCTION("""COMPUTED_VALUE"""),"CSTM_ERNZUXL7YA0")</f>
        <v>CSTM_ERNZUXL7YA0</v>
      </c>
      <c r="Q748" s="6" t="str">
        <f ca="1">IFERROR(__xludf.DUMMYFUNCTION("""COMPUTED_VALUE"""),"pksprakhar@gmail.com")</f>
        <v>pksprakhar@gmail.com</v>
      </c>
      <c r="R748" s="6" t="str">
        <f ca="1">IFERROR(__xludf.DUMMYFUNCTION("""COMPUTED_VALUE"""),"Done. Good feedback.")</f>
        <v>Done. Good feedback.</v>
      </c>
      <c r="S748" s="6" t="str">
        <f ca="1">IFERROR(__xludf.DUMMYFUNCTION("""COMPUTED_VALUE"""),"Category")</f>
        <v>Category</v>
      </c>
      <c r="T748" s="6"/>
      <c r="U748" s="6"/>
      <c r="V748" s="6"/>
      <c r="W748" s="6"/>
      <c r="X748" s="6"/>
      <c r="Y748" s="6"/>
      <c r="Z748" s="6"/>
      <c r="AA748" s="6"/>
      <c r="AB748" s="6"/>
      <c r="AC748" s="6"/>
      <c r="AD748" s="6"/>
      <c r="AE748" s="6"/>
      <c r="AF748" s="6"/>
      <c r="AG748" s="6"/>
      <c r="AH748" s="6"/>
      <c r="AI748" s="6"/>
      <c r="AJ748" s="6"/>
      <c r="AK748" s="6"/>
      <c r="AL748" s="6"/>
    </row>
    <row r="749" spans="1:38">
      <c r="A749" s="96">
        <f ca="1">IFERROR(__xludf.DUMMYFUNCTION("""COMPUTED_VALUE"""),44542)</f>
        <v>44542</v>
      </c>
      <c r="B749" s="6" t="str">
        <f ca="1">IFERROR(__xludf.DUMMYFUNCTION("""COMPUTED_VALUE"""),"Shiv Maikhuri")</f>
        <v>Shiv Maikhuri</v>
      </c>
      <c r="C749" s="6" t="str">
        <f ca="1">IFERROR(__xludf.DUMMYFUNCTION("""COMPUTED_VALUE"""),"shiv.maikhuri@gmail.com")</f>
        <v>shiv.maikhuri@gmail.com</v>
      </c>
      <c r="D749" s="6">
        <f ca="1">IFERROR(__xludf.DUMMYFUNCTION("""COMPUTED_VALUE"""),9818160618)</f>
        <v>9818160618</v>
      </c>
      <c r="E749" s="6" t="str">
        <f ca="1">IFERROR(__xludf.DUMMYFUNCTION("""COMPUTED_VALUE"""),"Reference")</f>
        <v>Reference</v>
      </c>
      <c r="F749" s="6" t="str">
        <f ca="1">IFERROR(__xludf.DUMMYFUNCTION("""COMPUTED_VALUE"""),"PSPO")</f>
        <v>PSPO</v>
      </c>
      <c r="G749" s="80">
        <f ca="1">IFERROR(__xludf.DUMMYFUNCTION("""COMPUTED_VALUE"""),44531)</f>
        <v>44531</v>
      </c>
      <c r="H749" s="6" t="str">
        <f ca="1">IFERROR(__xludf.DUMMYFUNCTION("""COMPUTED_VALUE"""),"Won")</f>
        <v>Won</v>
      </c>
      <c r="I749" s="6" t="str">
        <f ca="1">IFERROR(__xludf.DUMMYFUNCTION("""COMPUTED_VALUE"""),"25-26 Dec 2021")</f>
        <v>25-26 Dec 2021</v>
      </c>
      <c r="J749" s="6">
        <f ca="1">IFERROR(__xludf.DUMMYFUNCTION("""COMPUTED_VALUE"""),1)</f>
        <v>1</v>
      </c>
      <c r="K749" s="8">
        <f ca="1">IFERROR(__xludf.DUMMYFUNCTION("""COMPUTED_VALUE"""),20500)</f>
        <v>20500</v>
      </c>
      <c r="L749" s="8">
        <f ca="1">IFERROR(__xludf.DUMMYFUNCTION("""COMPUTED_VALUE"""),234.768666972056)</f>
        <v>234.768666972056</v>
      </c>
      <c r="M749" s="96">
        <f ca="1">IFERROR(__xludf.DUMMYFUNCTION("""COMPUTED_VALUE"""),44542)</f>
        <v>44542</v>
      </c>
      <c r="N749" s="6" t="str">
        <f ca="1">IFERROR(__xludf.DUMMYFUNCTION("""COMPUTED_VALUE"""),"S10")</f>
        <v>S10</v>
      </c>
      <c r="O749" s="97">
        <f ca="1">IFERROR(__xludf.DUMMYFUNCTION("""COMPUTED_VALUE"""),44542)</f>
        <v>44542</v>
      </c>
      <c r="P749" s="6" t="str">
        <f ca="1">IFERROR(__xludf.DUMMYFUNCTION("""COMPUTED_VALUE"""),"CSTM_8AWVRNXIZRX")</f>
        <v>CSTM_8AWVRNXIZRX</v>
      </c>
      <c r="Q749" s="6" t="str">
        <f ca="1">IFERROR(__xludf.DUMMYFUNCTION("""COMPUTED_VALUE"""),"pksprakhar@gmail.com")</f>
        <v>pksprakhar@gmail.com</v>
      </c>
      <c r="R749" s="6" t="str">
        <f ca="1">IFERROR(__xludf.DUMMYFUNCTION("""COMPUTED_VALUE"""),"Done. Good feedback.")</f>
        <v>Done. Good feedback.</v>
      </c>
      <c r="S749" s="6" t="str">
        <f ca="1">IFERROR(__xludf.DUMMYFUNCTION("""COMPUTED_VALUE"""),"Category")</f>
        <v>Category</v>
      </c>
      <c r="T749" s="6"/>
      <c r="U749" s="6"/>
      <c r="V749" s="6"/>
      <c r="W749" s="6"/>
      <c r="X749" s="6"/>
      <c r="Y749" s="6"/>
      <c r="Z749" s="6"/>
      <c r="AA749" s="6"/>
      <c r="AB749" s="6"/>
      <c r="AC749" s="6"/>
      <c r="AD749" s="6"/>
      <c r="AE749" s="6"/>
      <c r="AF749" s="6"/>
      <c r="AG749" s="6"/>
      <c r="AH749" s="6"/>
      <c r="AI749" s="6"/>
      <c r="AJ749" s="6"/>
      <c r="AK749" s="6"/>
      <c r="AL749" s="6"/>
    </row>
    <row r="750" spans="1:38">
      <c r="A750" s="96">
        <f ca="1">IFERROR(__xludf.DUMMYFUNCTION("""COMPUTED_VALUE"""),44542)</f>
        <v>44542</v>
      </c>
      <c r="B750" s="6" t="str">
        <f ca="1">IFERROR(__xludf.DUMMYFUNCTION("""COMPUTED_VALUE"""),"Rahul Hajela")</f>
        <v>Rahul Hajela</v>
      </c>
      <c r="C750" s="6" t="str">
        <f ca="1">IFERROR(__xludf.DUMMYFUNCTION("""COMPUTED_VALUE"""),"rahulhajela@gmail.com")</f>
        <v>rahulhajela@gmail.com</v>
      </c>
      <c r="D750" s="6">
        <f ca="1">IFERROR(__xludf.DUMMYFUNCTION("""COMPUTED_VALUE"""),9599691445)</f>
        <v>9599691445</v>
      </c>
      <c r="E750" s="6" t="str">
        <f ca="1">IFERROR(__xludf.DUMMYFUNCTION("""COMPUTED_VALUE"""),"Reference")</f>
        <v>Reference</v>
      </c>
      <c r="F750" s="6" t="str">
        <f ca="1">IFERROR(__xludf.DUMMYFUNCTION("""COMPUTED_VALUE"""),"PSPO")</f>
        <v>PSPO</v>
      </c>
      <c r="G750" s="80">
        <f ca="1">IFERROR(__xludf.DUMMYFUNCTION("""COMPUTED_VALUE"""),44531)</f>
        <v>44531</v>
      </c>
      <c r="H750" s="6" t="str">
        <f ca="1">IFERROR(__xludf.DUMMYFUNCTION("""COMPUTED_VALUE"""),"Won")</f>
        <v>Won</v>
      </c>
      <c r="I750" s="6" t="str">
        <f ca="1">IFERROR(__xludf.DUMMYFUNCTION("""COMPUTED_VALUE"""),"25-26 Dec 2021")</f>
        <v>25-26 Dec 2021</v>
      </c>
      <c r="J750" s="6">
        <f ca="1">IFERROR(__xludf.DUMMYFUNCTION("""COMPUTED_VALUE"""),1)</f>
        <v>1</v>
      </c>
      <c r="K750" s="8">
        <f ca="1">IFERROR(__xludf.DUMMYFUNCTION("""COMPUTED_VALUE"""),20500)</f>
        <v>20500</v>
      </c>
      <c r="L750" s="8">
        <f ca="1">IFERROR(__xludf.DUMMYFUNCTION("""COMPUTED_VALUE"""),234.768666972056)</f>
        <v>234.768666972056</v>
      </c>
      <c r="M750" s="96">
        <f ca="1">IFERROR(__xludf.DUMMYFUNCTION("""COMPUTED_VALUE"""),44542)</f>
        <v>44542</v>
      </c>
      <c r="N750" s="6" t="str">
        <f ca="1">IFERROR(__xludf.DUMMYFUNCTION("""COMPUTED_VALUE"""),"S10")</f>
        <v>S10</v>
      </c>
      <c r="O750" s="97">
        <f ca="1">IFERROR(__xludf.DUMMYFUNCTION("""COMPUTED_VALUE"""),44542)</f>
        <v>44542</v>
      </c>
      <c r="P750" s="6" t="str">
        <f ca="1">IFERROR(__xludf.DUMMYFUNCTION("""COMPUTED_VALUE"""),"CSTM_55C2OMDFK54")</f>
        <v>CSTM_55C2OMDFK54</v>
      </c>
      <c r="Q750" s="6" t="str">
        <f ca="1">IFERROR(__xludf.DUMMYFUNCTION("""COMPUTED_VALUE"""),"pksprakhar@gmail.com")</f>
        <v>pksprakhar@gmail.com</v>
      </c>
      <c r="R750" s="6" t="str">
        <f ca="1">IFERROR(__xludf.DUMMYFUNCTION("""COMPUTED_VALUE"""),"Done. Good feedback.")</f>
        <v>Done. Good feedback.</v>
      </c>
      <c r="S750" s="6" t="str">
        <f ca="1">IFERROR(__xludf.DUMMYFUNCTION("""COMPUTED_VALUE"""),"Category")</f>
        <v>Category</v>
      </c>
      <c r="T750" s="6"/>
      <c r="U750" s="6"/>
      <c r="V750" s="6"/>
      <c r="W750" s="6"/>
      <c r="X750" s="6"/>
      <c r="Y750" s="6"/>
      <c r="Z750" s="6"/>
      <c r="AA750" s="6"/>
      <c r="AB750" s="6"/>
      <c r="AC750" s="6"/>
      <c r="AD750" s="6"/>
      <c r="AE750" s="6"/>
      <c r="AF750" s="6"/>
      <c r="AG750" s="6"/>
      <c r="AH750" s="6"/>
      <c r="AI750" s="6"/>
      <c r="AJ750" s="6"/>
      <c r="AK750" s="6"/>
      <c r="AL750" s="6"/>
    </row>
    <row r="751" spans="1:38">
      <c r="A751" s="96">
        <f ca="1">IFERROR(__xludf.DUMMYFUNCTION("""COMPUTED_VALUE"""),44542)</f>
        <v>44542</v>
      </c>
      <c r="B751" s="6" t="str">
        <f ca="1">IFERROR(__xludf.DUMMYFUNCTION("""COMPUTED_VALUE"""),"Anoop Sharma")</f>
        <v>Anoop Sharma</v>
      </c>
      <c r="C751" s="6" t="str">
        <f ca="1">IFERROR(__xludf.DUMMYFUNCTION("""COMPUTED_VALUE"""),"anoopsharma8@gmail.com")</f>
        <v>anoopsharma8@gmail.com</v>
      </c>
      <c r="D751" s="6">
        <f ca="1">IFERROR(__xludf.DUMMYFUNCTION("""COMPUTED_VALUE"""),9654138270)</f>
        <v>9654138270</v>
      </c>
      <c r="E751" s="6" t="str">
        <f ca="1">IFERROR(__xludf.DUMMYFUNCTION("""COMPUTED_VALUE"""),"Reference")</f>
        <v>Reference</v>
      </c>
      <c r="F751" s="6" t="str">
        <f ca="1">IFERROR(__xludf.DUMMYFUNCTION("""COMPUTED_VALUE"""),"PSPO")</f>
        <v>PSPO</v>
      </c>
      <c r="G751" s="80">
        <f ca="1">IFERROR(__xludf.DUMMYFUNCTION("""COMPUTED_VALUE"""),44531)</f>
        <v>44531</v>
      </c>
      <c r="H751" s="6" t="str">
        <f ca="1">IFERROR(__xludf.DUMMYFUNCTION("""COMPUTED_VALUE"""),"Won")</f>
        <v>Won</v>
      </c>
      <c r="I751" s="6" t="str">
        <f ca="1">IFERROR(__xludf.DUMMYFUNCTION("""COMPUTED_VALUE"""),"25-26 Dec 2021")</f>
        <v>25-26 Dec 2021</v>
      </c>
      <c r="J751" s="6">
        <f ca="1">IFERROR(__xludf.DUMMYFUNCTION("""COMPUTED_VALUE"""),1)</f>
        <v>1</v>
      </c>
      <c r="K751" s="8">
        <f ca="1">IFERROR(__xludf.DUMMYFUNCTION("""COMPUTED_VALUE"""),20500)</f>
        <v>20500</v>
      </c>
      <c r="L751" s="8">
        <f ca="1">IFERROR(__xludf.DUMMYFUNCTION("""COMPUTED_VALUE"""),234.768666972056)</f>
        <v>234.768666972056</v>
      </c>
      <c r="M751" s="96">
        <f ca="1">IFERROR(__xludf.DUMMYFUNCTION("""COMPUTED_VALUE"""),44542)</f>
        <v>44542</v>
      </c>
      <c r="N751" s="6" t="str">
        <f ca="1">IFERROR(__xludf.DUMMYFUNCTION("""COMPUTED_VALUE"""),"S10")</f>
        <v>S10</v>
      </c>
      <c r="O751" s="97">
        <f ca="1">IFERROR(__xludf.DUMMYFUNCTION("""COMPUTED_VALUE"""),44542)</f>
        <v>44542</v>
      </c>
      <c r="P751" s="6" t="str">
        <f ca="1">IFERROR(__xludf.DUMMYFUNCTION("""COMPUTED_VALUE"""),"CSTM_CDWTX624DA8")</f>
        <v>CSTM_CDWTX624DA8</v>
      </c>
      <c r="Q751" s="6" t="str">
        <f ca="1">IFERROR(__xludf.DUMMYFUNCTION("""COMPUTED_VALUE"""),"pksprakhar@gmail.com")</f>
        <v>pksprakhar@gmail.com</v>
      </c>
      <c r="R751" s="6" t="str">
        <f ca="1">IFERROR(__xludf.DUMMYFUNCTION("""COMPUTED_VALUE"""),"Done. Good feedback.")</f>
        <v>Done. Good feedback.</v>
      </c>
      <c r="S751" s="6" t="str">
        <f ca="1">IFERROR(__xludf.DUMMYFUNCTION("""COMPUTED_VALUE"""),"Category")</f>
        <v>Category</v>
      </c>
      <c r="T751" s="6"/>
      <c r="U751" s="6"/>
      <c r="V751" s="6"/>
      <c r="W751" s="6"/>
      <c r="X751" s="6"/>
      <c r="Y751" s="6"/>
      <c r="Z751" s="6"/>
      <c r="AA751" s="6"/>
      <c r="AB751" s="6"/>
      <c r="AC751" s="6"/>
      <c r="AD751" s="6"/>
      <c r="AE751" s="6"/>
      <c r="AF751" s="6"/>
      <c r="AG751" s="6"/>
      <c r="AH751" s="6"/>
      <c r="AI751" s="6"/>
      <c r="AJ751" s="6"/>
      <c r="AK751" s="6"/>
      <c r="AL751" s="6"/>
    </row>
    <row r="752" spans="1:38">
      <c r="A752" s="96">
        <f ca="1">IFERROR(__xludf.DUMMYFUNCTION("""COMPUTED_VALUE"""),44542)</f>
        <v>44542</v>
      </c>
      <c r="B752" s="6" t="str">
        <f ca="1">IFERROR(__xludf.DUMMYFUNCTION("""COMPUTED_VALUE"""),"Manish Upadhyay")</f>
        <v>Manish Upadhyay</v>
      </c>
      <c r="C752" s="6" t="str">
        <f ca="1">IFERROR(__xludf.DUMMYFUNCTION("""COMPUTED_VALUE"""),"manish.upadhyay@velocis.in")</f>
        <v>manish.upadhyay@velocis.in</v>
      </c>
      <c r="D752" s="6">
        <f ca="1">IFERROR(__xludf.DUMMYFUNCTION("""COMPUTED_VALUE"""),9958122577)</f>
        <v>9958122577</v>
      </c>
      <c r="E752" s="6" t="str">
        <f ca="1">IFERROR(__xludf.DUMMYFUNCTION("""COMPUTED_VALUE"""),"Reference")</f>
        <v>Reference</v>
      </c>
      <c r="F752" s="6" t="str">
        <f ca="1">IFERROR(__xludf.DUMMYFUNCTION("""COMPUTED_VALUE"""),"PSPO")</f>
        <v>PSPO</v>
      </c>
      <c r="G752" s="80">
        <f ca="1">IFERROR(__xludf.DUMMYFUNCTION("""COMPUTED_VALUE"""),44531)</f>
        <v>44531</v>
      </c>
      <c r="H752" s="6" t="str">
        <f ca="1">IFERROR(__xludf.DUMMYFUNCTION("""COMPUTED_VALUE"""),"Won")</f>
        <v>Won</v>
      </c>
      <c r="I752" s="6" t="str">
        <f ca="1">IFERROR(__xludf.DUMMYFUNCTION("""COMPUTED_VALUE"""),"25-26 Dec 2021")</f>
        <v>25-26 Dec 2021</v>
      </c>
      <c r="J752" s="6">
        <f ca="1">IFERROR(__xludf.DUMMYFUNCTION("""COMPUTED_VALUE"""),1)</f>
        <v>1</v>
      </c>
      <c r="K752" s="8">
        <f ca="1">IFERROR(__xludf.DUMMYFUNCTION("""COMPUTED_VALUE"""),20500)</f>
        <v>20500</v>
      </c>
      <c r="L752" s="8">
        <f ca="1">IFERROR(__xludf.DUMMYFUNCTION("""COMPUTED_VALUE"""),234.768666972056)</f>
        <v>234.768666972056</v>
      </c>
      <c r="M752" s="96">
        <f ca="1">IFERROR(__xludf.DUMMYFUNCTION("""COMPUTED_VALUE"""),44542)</f>
        <v>44542</v>
      </c>
      <c r="N752" s="6" t="str">
        <f ca="1">IFERROR(__xludf.DUMMYFUNCTION("""COMPUTED_VALUE"""),"S10")</f>
        <v>S10</v>
      </c>
      <c r="O752" s="97">
        <f ca="1">IFERROR(__xludf.DUMMYFUNCTION("""COMPUTED_VALUE"""),44542)</f>
        <v>44542</v>
      </c>
      <c r="P752" s="6" t="str">
        <f ca="1">IFERROR(__xludf.DUMMYFUNCTION("""COMPUTED_VALUE"""),"CSTM_35E81INBI45")</f>
        <v>CSTM_35E81INBI45</v>
      </c>
      <c r="Q752" s="6" t="str">
        <f ca="1">IFERROR(__xludf.DUMMYFUNCTION("""COMPUTED_VALUE"""),"pksprakhar@gmail.com")</f>
        <v>pksprakhar@gmail.com</v>
      </c>
      <c r="R752" s="6" t="str">
        <f ca="1">IFERROR(__xludf.DUMMYFUNCTION("""COMPUTED_VALUE"""),"Pending")</f>
        <v>Pending</v>
      </c>
      <c r="S752" s="6" t="str">
        <f ca="1">IFERROR(__xludf.DUMMYFUNCTION("""COMPUTED_VALUE"""),"Category")</f>
        <v>Category</v>
      </c>
      <c r="T752" s="6"/>
      <c r="U752" s="6"/>
      <c r="V752" s="6"/>
      <c r="W752" s="6"/>
      <c r="X752" s="6"/>
      <c r="Y752" s="6"/>
      <c r="Z752" s="6"/>
      <c r="AA752" s="6"/>
      <c r="AB752" s="6"/>
      <c r="AC752" s="6"/>
      <c r="AD752" s="6"/>
      <c r="AE752" s="6"/>
      <c r="AF752" s="6"/>
      <c r="AG752" s="6"/>
      <c r="AH752" s="6"/>
      <c r="AI752" s="6"/>
      <c r="AJ752" s="6"/>
      <c r="AK752" s="6"/>
      <c r="AL752" s="6"/>
    </row>
    <row r="753" spans="1:38">
      <c r="A753" s="96">
        <f ca="1">IFERROR(__xludf.DUMMYFUNCTION("""COMPUTED_VALUE"""),44543)</f>
        <v>44543</v>
      </c>
      <c r="B753" s="6" t="str">
        <f ca="1">IFERROR(__xludf.DUMMYFUNCTION("""COMPUTED_VALUE"""),"Deepa")</f>
        <v>Deepa</v>
      </c>
      <c r="C753" s="6" t="str">
        <f ca="1">IFERROR(__xludf.DUMMYFUNCTION("""COMPUTED_VALUE"""),"deepajomy530@gmail.com")</f>
        <v>deepajomy530@gmail.com</v>
      </c>
      <c r="D753" s="6">
        <f ca="1">IFERROR(__xludf.DUMMYFUNCTION("""COMPUTED_VALUE"""),8136961630)</f>
        <v>8136961630</v>
      </c>
      <c r="E753" s="6" t="str">
        <f ca="1">IFERROR(__xludf.DUMMYFUNCTION("""COMPUTED_VALUE"""),"Query box_LP")</f>
        <v>Query box_LP</v>
      </c>
      <c r="F753" s="6" t="str">
        <f ca="1">IFERROR(__xludf.DUMMYFUNCTION("""COMPUTED_VALUE"""),"CSM")</f>
        <v>CSM</v>
      </c>
      <c r="G753" s="80">
        <f ca="1">IFERROR(__xludf.DUMMYFUNCTION("""COMPUTED_VALUE"""),44531)</f>
        <v>44531</v>
      </c>
      <c r="H753" s="6" t="str">
        <f ca="1">IFERROR(__xludf.DUMMYFUNCTION("""COMPUTED_VALUE"""),"Won")</f>
        <v>Won</v>
      </c>
      <c r="I753" s="6" t="str">
        <f ca="1">IFERROR(__xludf.DUMMYFUNCTION("""COMPUTED_VALUE"""),"8-9 Jan 2022")</f>
        <v>8-9 Jan 2022</v>
      </c>
      <c r="J753" s="6">
        <f ca="1">IFERROR(__xludf.DUMMYFUNCTION("""COMPUTED_VALUE"""),1)</f>
        <v>1</v>
      </c>
      <c r="K753" s="8">
        <f ca="1">IFERROR(__xludf.DUMMYFUNCTION("""COMPUTED_VALUE"""),20000)</f>
        <v>20000</v>
      </c>
      <c r="L753" s="8">
        <f ca="1">IFERROR(__xludf.DUMMYFUNCTION("""COMPUTED_VALUE"""),229.042601923957)</f>
        <v>229.04260192395699</v>
      </c>
      <c r="M753" s="96">
        <f ca="1">IFERROR(__xludf.DUMMYFUNCTION("""COMPUTED_VALUE"""),44543)</f>
        <v>44543</v>
      </c>
      <c r="N753" s="6" t="str">
        <f ca="1">IFERROR(__xludf.DUMMYFUNCTION("""COMPUTED_VALUE"""),"S10")</f>
        <v>S10</v>
      </c>
      <c r="O753" s="97">
        <f ca="1">IFERROR(__xludf.DUMMYFUNCTION("""COMPUTED_VALUE"""),44543)</f>
        <v>44543</v>
      </c>
      <c r="P753" s="6" t="str">
        <f ca="1">IFERROR(__xludf.DUMMYFUNCTION("""COMPUTED_VALUE"""),"CSTM_1TZX7RMEN1B")</f>
        <v>CSTM_1TZX7RMEN1B</v>
      </c>
      <c r="Q753" s="6"/>
      <c r="R753" s="6" t="str">
        <f ca="1">IFERROR(__xludf.DUMMYFUNCTION("""COMPUTED_VALUE"""),"Done. Good feedback.")</f>
        <v>Done. Good feedback.</v>
      </c>
      <c r="S753" s="6" t="str">
        <f ca="1">IFERROR(__xludf.DUMMYFUNCTION("""COMPUTED_VALUE"""),"Category")</f>
        <v>Category</v>
      </c>
      <c r="T753" s="6"/>
      <c r="U753" s="6"/>
      <c r="V753" s="6"/>
      <c r="W753" s="6"/>
      <c r="X753" s="6"/>
      <c r="Y753" s="6"/>
      <c r="Z753" s="6"/>
      <c r="AA753" s="6"/>
      <c r="AB753" s="6"/>
      <c r="AC753" s="6"/>
      <c r="AD753" s="6"/>
      <c r="AE753" s="6"/>
      <c r="AF753" s="6"/>
      <c r="AG753" s="6"/>
      <c r="AH753" s="6"/>
      <c r="AI753" s="6"/>
      <c r="AJ753" s="6"/>
      <c r="AK753" s="6"/>
      <c r="AL753" s="6"/>
    </row>
    <row r="754" spans="1:38">
      <c r="A754" s="96">
        <f ca="1">IFERROR(__xludf.DUMMYFUNCTION("""COMPUTED_VALUE"""),44544)</f>
        <v>44544</v>
      </c>
      <c r="B754" s="6" t="str">
        <f ca="1">IFERROR(__xludf.DUMMYFUNCTION("""COMPUTED_VALUE"""),"Nishant Shah")</f>
        <v>Nishant Shah</v>
      </c>
      <c r="C754" s="6" t="str">
        <f ca="1">IFERROR(__xludf.DUMMYFUNCTION("""COMPUTED_VALUE"""),"shahnishant.it@gmail.com")</f>
        <v>shahnishant.it@gmail.com</v>
      </c>
      <c r="D754" s="6">
        <f ca="1">IFERROR(__xludf.DUMMYFUNCTION("""COMPUTED_VALUE"""),9428799300)</f>
        <v>9428799300</v>
      </c>
      <c r="E754" s="6" t="str">
        <f ca="1">IFERROR(__xludf.DUMMYFUNCTION("""COMPUTED_VALUE"""),"refer&amp;earn")</f>
        <v>refer&amp;earn</v>
      </c>
      <c r="F754" s="6" t="str">
        <f ca="1">IFERROR(__xludf.DUMMYFUNCTION("""COMPUTED_VALUE"""),"CSM")</f>
        <v>CSM</v>
      </c>
      <c r="G754" s="80">
        <f ca="1">IFERROR(__xludf.DUMMYFUNCTION("""COMPUTED_VALUE"""),44531)</f>
        <v>44531</v>
      </c>
      <c r="H754" s="6" t="str">
        <f ca="1">IFERROR(__xludf.DUMMYFUNCTION("""COMPUTED_VALUE"""),"Won")</f>
        <v>Won</v>
      </c>
      <c r="I754" s="6" t="str">
        <f ca="1">IFERROR(__xludf.DUMMYFUNCTION("""COMPUTED_VALUE"""),"25-26 Dec 2021")</f>
        <v>25-26 Dec 2021</v>
      </c>
      <c r="J754" s="6">
        <f ca="1">IFERROR(__xludf.DUMMYFUNCTION("""COMPUTED_VALUE"""),1)</f>
        <v>1</v>
      </c>
      <c r="K754" s="8">
        <f ca="1">IFERROR(__xludf.DUMMYFUNCTION("""COMPUTED_VALUE"""),19000)</f>
        <v>19000</v>
      </c>
      <c r="L754" s="8">
        <f ca="1">IFERROR(__xludf.DUMMYFUNCTION("""COMPUTED_VALUE"""),217.590471827759)</f>
        <v>217.59047182775899</v>
      </c>
      <c r="M754" s="96">
        <f ca="1">IFERROR(__xludf.DUMMYFUNCTION("""COMPUTED_VALUE"""),44544)</f>
        <v>44544</v>
      </c>
      <c r="N754" s="6" t="str">
        <f ca="1">IFERROR(__xludf.DUMMYFUNCTION("""COMPUTED_VALUE"""),"S10")</f>
        <v>S10</v>
      </c>
      <c r="O754" s="97">
        <f ca="1">IFERROR(__xludf.DUMMYFUNCTION("""COMPUTED_VALUE"""),44544)</f>
        <v>44544</v>
      </c>
      <c r="P754" s="6" t="str">
        <f ca="1">IFERROR(__xludf.DUMMYFUNCTION("""COMPUTED_VALUE"""),"CSTM_77P882GCS42")</f>
        <v>CSTM_77P882GCS42</v>
      </c>
      <c r="Q754" s="6" t="str">
        <f ca="1">IFERROR(__xludf.DUMMYFUNCTION("""COMPUTED_VALUE"""),"pateljigarb@gmail.com")</f>
        <v>pateljigarb@gmail.com</v>
      </c>
      <c r="R754" s="6" t="str">
        <f ca="1">IFERROR(__xludf.DUMMYFUNCTION("""COMPUTED_VALUE"""),"Done. Good feedback.")</f>
        <v>Done. Good feedback.</v>
      </c>
      <c r="S754" s="6" t="str">
        <f ca="1">IFERROR(__xludf.DUMMYFUNCTION("""COMPUTED_VALUE"""),"Category")</f>
        <v>Category</v>
      </c>
      <c r="T754" s="6"/>
      <c r="U754" s="6"/>
      <c r="V754" s="6"/>
      <c r="W754" s="6"/>
      <c r="X754" s="6"/>
      <c r="Y754" s="6"/>
      <c r="Z754" s="6"/>
      <c r="AA754" s="6"/>
      <c r="AB754" s="6"/>
      <c r="AC754" s="6"/>
      <c r="AD754" s="6"/>
      <c r="AE754" s="6"/>
      <c r="AF754" s="6"/>
      <c r="AG754" s="6"/>
      <c r="AH754" s="6"/>
      <c r="AI754" s="6"/>
      <c r="AJ754" s="6"/>
      <c r="AK754" s="6"/>
      <c r="AL754" s="6"/>
    </row>
    <row r="755" spans="1:38">
      <c r="A755" s="96">
        <f ca="1">IFERROR(__xludf.DUMMYFUNCTION("""COMPUTED_VALUE"""),44544)</f>
        <v>44544</v>
      </c>
      <c r="B755" s="6" t="str">
        <f ca="1">IFERROR(__xludf.DUMMYFUNCTION("""COMPUTED_VALUE"""),"Raman Kakara")</f>
        <v>Raman Kakara</v>
      </c>
      <c r="C755" s="6" t="str">
        <f ca="1">IFERROR(__xludf.DUMMYFUNCTION("""COMPUTED_VALUE"""),"raman.kakara@gmail.com")</f>
        <v>raman.kakara@gmail.com</v>
      </c>
      <c r="D755" s="6">
        <f ca="1">IFERROR(__xludf.DUMMYFUNCTION("""COMPUTED_VALUE"""),9886291564)</f>
        <v>9886291564</v>
      </c>
      <c r="E755" s="6" t="str">
        <f ca="1">IFERROR(__xludf.DUMMYFUNCTION("""COMPUTED_VALUE"""),"Query box")</f>
        <v>Query box</v>
      </c>
      <c r="F755" s="6" t="str">
        <f ca="1">IFERROR(__xludf.DUMMYFUNCTION("""COMPUTED_VALUE"""),"SAFe Agile")</f>
        <v>SAFe Agile</v>
      </c>
      <c r="G755" s="80">
        <f ca="1">IFERROR(__xludf.DUMMYFUNCTION("""COMPUTED_VALUE"""),44531)</f>
        <v>44531</v>
      </c>
      <c r="H755" s="6" t="str">
        <f ca="1">IFERROR(__xludf.DUMMYFUNCTION("""COMPUTED_VALUE"""),"Won")</f>
        <v>Won</v>
      </c>
      <c r="I755" s="6" t="str">
        <f ca="1">IFERROR(__xludf.DUMMYFUNCTION("""COMPUTED_VALUE"""),"18-19 Dec 2021")</f>
        <v>18-19 Dec 2021</v>
      </c>
      <c r="J755" s="6">
        <f ca="1">IFERROR(__xludf.DUMMYFUNCTION("""COMPUTED_VALUE"""),1)</f>
        <v>1</v>
      </c>
      <c r="K755" s="8">
        <f ca="1">IFERROR(__xludf.DUMMYFUNCTION("""COMPUTED_VALUE"""),41000)</f>
        <v>41000</v>
      </c>
      <c r="L755" s="8">
        <f ca="1">IFERROR(__xludf.DUMMYFUNCTION("""COMPUTED_VALUE"""),469.537333944113)</f>
        <v>469.53733394411302</v>
      </c>
      <c r="M755" s="96">
        <f ca="1">IFERROR(__xludf.DUMMYFUNCTION("""COMPUTED_VALUE"""),44544)</f>
        <v>44544</v>
      </c>
      <c r="N755" s="6" t="str">
        <f ca="1">IFERROR(__xludf.DUMMYFUNCTION("""COMPUTED_VALUE"""),"S10")</f>
        <v>S10</v>
      </c>
      <c r="O755" s="97">
        <f ca="1">IFERROR(__xludf.DUMMYFUNCTION("""COMPUTED_VALUE"""),44544)</f>
        <v>44544</v>
      </c>
      <c r="P755" s="6" t="str">
        <f ca="1">IFERROR(__xludf.DUMMYFUNCTION("""COMPUTED_VALUE"""),"CSTM_2OQSODXKUD8")</f>
        <v>CSTM_2OQSODXKUD8</v>
      </c>
      <c r="Q755" s="6"/>
      <c r="R755" s="6" t="str">
        <f ca="1">IFERROR(__xludf.DUMMYFUNCTION("""COMPUTED_VALUE"""),"Done. Good feedback.")</f>
        <v>Done. Good feedback.</v>
      </c>
      <c r="S755" s="6" t="str">
        <f ca="1">IFERROR(__xludf.DUMMYFUNCTION("""COMPUTED_VALUE"""),"SAFe")</f>
        <v>SAFe</v>
      </c>
      <c r="T755" s="6"/>
      <c r="U755" s="6"/>
      <c r="V755" s="6"/>
      <c r="W755" s="6"/>
      <c r="X755" s="6"/>
      <c r="Y755" s="6"/>
      <c r="Z755" s="6"/>
      <c r="AA755" s="6"/>
      <c r="AB755" s="6"/>
      <c r="AC755" s="6"/>
      <c r="AD755" s="6"/>
      <c r="AE755" s="6"/>
      <c r="AF755" s="6"/>
      <c r="AG755" s="6"/>
      <c r="AH755" s="6"/>
      <c r="AI755" s="6"/>
      <c r="AJ755" s="6"/>
      <c r="AK755" s="6"/>
      <c r="AL755" s="6"/>
    </row>
    <row r="756" spans="1:38">
      <c r="A756" s="96">
        <f ca="1">IFERROR(__xludf.DUMMYFUNCTION("""COMPUTED_VALUE"""),44545)</f>
        <v>44545</v>
      </c>
      <c r="B756" s="6" t="str">
        <f ca="1">IFERROR(__xludf.DUMMYFUNCTION("""COMPUTED_VALUE"""),"Prachiti Raut")</f>
        <v>Prachiti Raut</v>
      </c>
      <c r="C756" s="6" t="str">
        <f ca="1">IFERROR(__xludf.DUMMYFUNCTION("""COMPUTED_VALUE"""),"prachiti.n.raut@gmail.com")</f>
        <v>prachiti.n.raut@gmail.com</v>
      </c>
      <c r="D756" s="6">
        <f ca="1">IFERROR(__xludf.DUMMYFUNCTION("""COMPUTED_VALUE"""),9960450612)</f>
        <v>9960450612</v>
      </c>
      <c r="E756" s="6" t="str">
        <f ca="1">IFERROR(__xludf.DUMMYFUNCTION("""COMPUTED_VALUE"""),"chat_initiated")</f>
        <v>chat_initiated</v>
      </c>
      <c r="F756" s="6" t="str">
        <f ca="1">IFERROR(__xludf.DUMMYFUNCTION("""COMPUTED_VALUE"""),"SAFe Agile")</f>
        <v>SAFe Agile</v>
      </c>
      <c r="G756" s="80">
        <f ca="1">IFERROR(__xludf.DUMMYFUNCTION("""COMPUTED_VALUE"""),44531)</f>
        <v>44531</v>
      </c>
      <c r="H756" s="6" t="str">
        <f ca="1">IFERROR(__xludf.DUMMYFUNCTION("""COMPUTED_VALUE"""),"Won")</f>
        <v>Won</v>
      </c>
      <c r="I756" s="6" t="str">
        <f ca="1">IFERROR(__xludf.DUMMYFUNCTION("""COMPUTED_VALUE"""),"18-19 Dec 2021")</f>
        <v>18-19 Dec 2021</v>
      </c>
      <c r="J756" s="6">
        <f ca="1">IFERROR(__xludf.DUMMYFUNCTION("""COMPUTED_VALUE"""),1)</f>
        <v>1</v>
      </c>
      <c r="K756" s="8">
        <f ca="1">IFERROR(__xludf.DUMMYFUNCTION("""COMPUTED_VALUE"""),45000)</f>
        <v>45000</v>
      </c>
      <c r="L756" s="8">
        <f ca="1">IFERROR(__xludf.DUMMYFUNCTION("""COMPUTED_VALUE"""),515.345854328905)</f>
        <v>515.34585432890503</v>
      </c>
      <c r="M756" s="96">
        <f ca="1">IFERROR(__xludf.DUMMYFUNCTION("""COMPUTED_VALUE"""),44545)</f>
        <v>44545</v>
      </c>
      <c r="N756" s="6" t="str">
        <f ca="1">IFERROR(__xludf.DUMMYFUNCTION("""COMPUTED_VALUE"""),"S10")</f>
        <v>S10</v>
      </c>
      <c r="O756" s="97">
        <f ca="1">IFERROR(__xludf.DUMMYFUNCTION("""COMPUTED_VALUE"""),44545)</f>
        <v>44545</v>
      </c>
      <c r="P756" s="6" t="str">
        <f ca="1">IFERROR(__xludf.DUMMYFUNCTION("""COMPUTED_VALUE"""),"CSTM_6LRZV0IUPFC")</f>
        <v>CSTM_6LRZV0IUPFC</v>
      </c>
      <c r="Q756" s="6"/>
      <c r="R756" s="6" t="str">
        <f ca="1">IFERROR(__xludf.DUMMYFUNCTION("""COMPUTED_VALUE"""),"Done. Good feedback.")</f>
        <v>Done. Good feedback.</v>
      </c>
      <c r="S756" s="6" t="str">
        <f ca="1">IFERROR(__xludf.DUMMYFUNCTION("""COMPUTED_VALUE"""),"SAFe")</f>
        <v>SAFe</v>
      </c>
      <c r="T756" s="6"/>
      <c r="U756" s="6"/>
      <c r="V756" s="6"/>
      <c r="W756" s="6"/>
      <c r="X756" s="6"/>
      <c r="Y756" s="6"/>
      <c r="Z756" s="6"/>
      <c r="AA756" s="6"/>
      <c r="AB756" s="6"/>
      <c r="AC756" s="6"/>
      <c r="AD756" s="6"/>
      <c r="AE756" s="6"/>
      <c r="AF756" s="6"/>
      <c r="AG756" s="6"/>
      <c r="AH756" s="6"/>
      <c r="AI756" s="6"/>
      <c r="AJ756" s="6"/>
      <c r="AK756" s="6"/>
      <c r="AL756" s="6"/>
    </row>
    <row r="757" spans="1:38">
      <c r="A757" s="96">
        <f ca="1">IFERROR(__xludf.DUMMYFUNCTION("""COMPUTED_VALUE"""),44546)</f>
        <v>44546</v>
      </c>
      <c r="B757" s="6" t="str">
        <f ca="1">IFERROR(__xludf.DUMMYFUNCTION("""COMPUTED_VALUE"""),"Meenal Gokhale")</f>
        <v>Meenal Gokhale</v>
      </c>
      <c r="C757" s="6" t="str">
        <f ca="1">IFERROR(__xludf.DUMMYFUNCTION("""COMPUTED_VALUE"""),"meenal.gokhale@gmail.com")</f>
        <v>meenal.gokhale@gmail.com</v>
      </c>
      <c r="D757" s="6">
        <f ca="1">IFERROR(__xludf.DUMMYFUNCTION("""COMPUTED_VALUE"""),8080521883)</f>
        <v>8080521883</v>
      </c>
      <c r="E757" s="6" t="str">
        <f ca="1">IFERROR(__xludf.DUMMYFUNCTION("""COMPUTED_VALUE"""),"Query box")</f>
        <v>Query box</v>
      </c>
      <c r="F757" s="6" t="str">
        <f ca="1">IFERROR(__xludf.DUMMYFUNCTION("""COMPUTED_VALUE"""),"SAFe Agile")</f>
        <v>SAFe Agile</v>
      </c>
      <c r="G757" s="80">
        <f ca="1">IFERROR(__xludf.DUMMYFUNCTION("""COMPUTED_VALUE"""),44531)</f>
        <v>44531</v>
      </c>
      <c r="H757" s="6" t="str">
        <f ca="1">IFERROR(__xludf.DUMMYFUNCTION("""COMPUTED_VALUE"""),"Won")</f>
        <v>Won</v>
      </c>
      <c r="I757" s="6" t="str">
        <f ca="1">IFERROR(__xludf.DUMMYFUNCTION("""COMPUTED_VALUE"""),"25-26 Dec 2021")</f>
        <v>25-26 Dec 2021</v>
      </c>
      <c r="J757" s="6">
        <f ca="1">IFERROR(__xludf.DUMMYFUNCTION("""COMPUTED_VALUE"""),1)</f>
        <v>1</v>
      </c>
      <c r="K757" s="8">
        <f ca="1">IFERROR(__xludf.DUMMYFUNCTION("""COMPUTED_VALUE"""),42000)</f>
        <v>42000</v>
      </c>
      <c r="L757" s="8">
        <f ca="1">IFERROR(__xludf.DUMMYFUNCTION("""COMPUTED_VALUE"""),480.989464040311)</f>
        <v>480.98946404031102</v>
      </c>
      <c r="M757" s="96">
        <f ca="1">IFERROR(__xludf.DUMMYFUNCTION("""COMPUTED_VALUE"""),44546)</f>
        <v>44546</v>
      </c>
      <c r="N757" s="6" t="str">
        <f ca="1">IFERROR(__xludf.DUMMYFUNCTION("""COMPUTED_VALUE"""),"S10")</f>
        <v>S10</v>
      </c>
      <c r="O757" s="97">
        <f ca="1">IFERROR(__xludf.DUMMYFUNCTION("""COMPUTED_VALUE"""),44546)</f>
        <v>44546</v>
      </c>
      <c r="P757" s="6" t="str">
        <f ca="1">IFERROR(__xludf.DUMMYFUNCTION("""COMPUTED_VALUE"""),"CSTM_E3VC62Y255P")</f>
        <v>CSTM_E3VC62Y255P</v>
      </c>
      <c r="Q757" s="6"/>
      <c r="R757" s="6" t="str">
        <f ca="1">IFERROR(__xludf.DUMMYFUNCTION("""COMPUTED_VALUE"""),"Pending")</f>
        <v>Pending</v>
      </c>
      <c r="S757" s="6" t="str">
        <f ca="1">IFERROR(__xludf.DUMMYFUNCTION("""COMPUTED_VALUE"""),"SAFe")</f>
        <v>SAFe</v>
      </c>
      <c r="T757" s="6"/>
      <c r="U757" s="6"/>
      <c r="V757" s="6"/>
      <c r="W757" s="6"/>
      <c r="X757" s="6"/>
      <c r="Y757" s="6"/>
      <c r="Z757" s="6"/>
      <c r="AA757" s="6"/>
      <c r="AB757" s="6"/>
      <c r="AC757" s="6"/>
      <c r="AD757" s="6"/>
      <c r="AE757" s="6"/>
      <c r="AF757" s="6"/>
      <c r="AG757" s="6"/>
      <c r="AH757" s="6"/>
      <c r="AI757" s="6"/>
      <c r="AJ757" s="6"/>
      <c r="AK757" s="6"/>
      <c r="AL757" s="6"/>
    </row>
    <row r="758" spans="1:38">
      <c r="A758" s="96">
        <f ca="1">IFERROR(__xludf.DUMMYFUNCTION("""COMPUTED_VALUE"""),44547)</f>
        <v>44547</v>
      </c>
      <c r="B758" s="6" t="str">
        <f ca="1">IFERROR(__xludf.DUMMYFUNCTION("""COMPUTED_VALUE"""),"Pushpraj Verma")</f>
        <v>Pushpraj Verma</v>
      </c>
      <c r="C758" s="6" t="str">
        <f ca="1">IFERROR(__xludf.DUMMYFUNCTION("""COMPUTED_VALUE"""),"pushpraj.verma2015@gmail.com")</f>
        <v>pushpraj.verma2015@gmail.com</v>
      </c>
      <c r="D758" s="6">
        <f ca="1">IFERROR(__xludf.DUMMYFUNCTION("""COMPUTED_VALUE"""),7406882255)</f>
        <v>7406882255</v>
      </c>
      <c r="E758" s="6" t="str">
        <f ca="1">IFERROR(__xludf.DUMMYFUNCTION("""COMPUTED_VALUE"""),"refer&amp;earn")</f>
        <v>refer&amp;earn</v>
      </c>
      <c r="F758" s="6" t="str">
        <f ca="1">IFERROR(__xludf.DUMMYFUNCTION("""COMPUTED_VALUE"""),"CSM")</f>
        <v>CSM</v>
      </c>
      <c r="G758" s="80">
        <f ca="1">IFERROR(__xludf.DUMMYFUNCTION("""COMPUTED_VALUE"""),44531)</f>
        <v>44531</v>
      </c>
      <c r="H758" s="6" t="str">
        <f ca="1">IFERROR(__xludf.DUMMYFUNCTION("""COMPUTED_VALUE"""),"Opportunity")</f>
        <v>Opportunity</v>
      </c>
      <c r="I758" s="6" t="str">
        <f ca="1">IFERROR(__xludf.DUMMYFUNCTION("""COMPUTED_VALUE"""),"8-9 Jan 2022")</f>
        <v>8-9 Jan 2022</v>
      </c>
      <c r="J758" s="6">
        <f ca="1">IFERROR(__xludf.DUMMYFUNCTION("""COMPUTED_VALUE"""),1)</f>
        <v>1</v>
      </c>
      <c r="K758" s="8">
        <f ca="1">IFERROR(__xludf.DUMMYFUNCTION("""COMPUTED_VALUE"""),19000)</f>
        <v>19000</v>
      </c>
      <c r="L758" s="8">
        <f ca="1">IFERROR(__xludf.DUMMYFUNCTION("""COMPUTED_VALUE"""),217.590471827759)</f>
        <v>217.59047182775899</v>
      </c>
      <c r="M758" s="96">
        <f ca="1">IFERROR(__xludf.DUMMYFUNCTION("""COMPUTED_VALUE"""),44547)</f>
        <v>44547</v>
      </c>
      <c r="N758" s="6"/>
      <c r="O758" s="97"/>
      <c r="P758" s="6"/>
      <c r="Q758" s="6"/>
      <c r="R758" s="6"/>
      <c r="S758" s="6" t="str">
        <f ca="1">IFERROR(__xludf.DUMMYFUNCTION("""COMPUTED_VALUE"""),"Category")</f>
        <v>Category</v>
      </c>
      <c r="T758" s="6"/>
      <c r="U758" s="6"/>
      <c r="V758" s="6"/>
      <c r="W758" s="6"/>
      <c r="X758" s="6"/>
      <c r="Y758" s="6"/>
      <c r="Z758" s="6"/>
      <c r="AA758" s="6"/>
      <c r="AB758" s="6"/>
      <c r="AC758" s="6"/>
      <c r="AD758" s="6"/>
      <c r="AE758" s="6"/>
      <c r="AF758" s="6"/>
      <c r="AG758" s="6"/>
      <c r="AH758" s="6"/>
      <c r="AI758" s="6"/>
      <c r="AJ758" s="6"/>
      <c r="AK758" s="6"/>
      <c r="AL758" s="6"/>
    </row>
    <row r="759" spans="1:38">
      <c r="A759" s="96">
        <f ca="1">IFERROR(__xludf.DUMMYFUNCTION("""COMPUTED_VALUE"""),44547)</f>
        <v>44547</v>
      </c>
      <c r="B759" s="6" t="str">
        <f ca="1">IFERROR(__xludf.DUMMYFUNCTION("""COMPUTED_VALUE"""),"Deepak")</f>
        <v>Deepak</v>
      </c>
      <c r="C759" s="6" t="str">
        <f ca="1">IFERROR(__xludf.DUMMYFUNCTION("""COMPUTED_VALUE"""),"deeps.blaze@gmail.com")</f>
        <v>deeps.blaze@gmail.com</v>
      </c>
      <c r="D759" s="6">
        <f ca="1">IFERROR(__xludf.DUMMYFUNCTION("""COMPUTED_VALUE"""),9962707985)</f>
        <v>9962707985</v>
      </c>
      <c r="E759" s="6" t="str">
        <f ca="1">IFERROR(__xludf.DUMMYFUNCTION("""COMPUTED_VALUE"""),"Reference")</f>
        <v>Reference</v>
      </c>
      <c r="F759" s="6" t="str">
        <f ca="1">IFERROR(__xludf.DUMMYFUNCTION("""COMPUTED_VALUE"""),"CSPO")</f>
        <v>CSPO</v>
      </c>
      <c r="G759" s="80">
        <f ca="1">IFERROR(__xludf.DUMMYFUNCTION("""COMPUTED_VALUE"""),44531)</f>
        <v>44531</v>
      </c>
      <c r="H759" s="6" t="str">
        <f ca="1">IFERROR(__xludf.DUMMYFUNCTION("""COMPUTED_VALUE"""),"Won")</f>
        <v>Won</v>
      </c>
      <c r="I759" s="6" t="str">
        <f ca="1">IFERROR(__xludf.DUMMYFUNCTION("""COMPUTED_VALUE"""),"15-16 Jan 2022")</f>
        <v>15-16 Jan 2022</v>
      </c>
      <c r="J759" s="6">
        <f ca="1">IFERROR(__xludf.DUMMYFUNCTION("""COMPUTED_VALUE"""),1)</f>
        <v>1</v>
      </c>
      <c r="K759" s="8">
        <f ca="1">IFERROR(__xludf.DUMMYFUNCTION("""COMPUTED_VALUE"""),20000)</f>
        <v>20000</v>
      </c>
      <c r="L759" s="8">
        <f ca="1">IFERROR(__xludf.DUMMYFUNCTION("""COMPUTED_VALUE"""),229.042601923957)</f>
        <v>229.04260192395699</v>
      </c>
      <c r="M759" s="96">
        <f ca="1">IFERROR(__xludf.DUMMYFUNCTION("""COMPUTED_VALUE"""),44547)</f>
        <v>44547</v>
      </c>
      <c r="N759" s="6" t="str">
        <f ca="1">IFERROR(__xludf.DUMMYFUNCTION("""COMPUTED_VALUE"""),"S10")</f>
        <v>S10</v>
      </c>
      <c r="O759" s="97">
        <f ca="1">IFERROR(__xludf.DUMMYFUNCTION("""COMPUTED_VALUE"""),44547)</f>
        <v>44547</v>
      </c>
      <c r="P759" s="6" t="str">
        <f ca="1">IFERROR(__xludf.DUMMYFUNCTION("""COMPUTED_VALUE"""),"CSTM_2GOTRJEWQYF")</f>
        <v>CSTM_2GOTRJEWQYF</v>
      </c>
      <c r="Q759" s="6" t="str">
        <f ca="1">IFERROR(__xludf.DUMMYFUNCTION("""COMPUTED_VALUE"""),"Pragya K")</f>
        <v>Pragya K</v>
      </c>
      <c r="R759" s="6" t="str">
        <f ca="1">IFERROR(__xludf.DUMMYFUNCTION("""COMPUTED_VALUE"""),"Done. Good feedback.")</f>
        <v>Done. Good feedback.</v>
      </c>
      <c r="S759" s="6" t="str">
        <f ca="1">IFERROR(__xludf.DUMMYFUNCTION("""COMPUTED_VALUE"""),"Category")</f>
        <v>Category</v>
      </c>
      <c r="T759" s="6"/>
      <c r="U759" s="6"/>
      <c r="V759" s="6"/>
      <c r="W759" s="6"/>
      <c r="X759" s="6"/>
      <c r="Y759" s="6"/>
      <c r="Z759" s="6"/>
      <c r="AA759" s="6"/>
      <c r="AB759" s="6"/>
      <c r="AC759" s="6"/>
      <c r="AD759" s="6"/>
      <c r="AE759" s="6"/>
      <c r="AF759" s="6"/>
      <c r="AG759" s="6"/>
      <c r="AH759" s="6"/>
      <c r="AI759" s="6"/>
      <c r="AJ759" s="6"/>
      <c r="AK759" s="6"/>
      <c r="AL759" s="6"/>
    </row>
    <row r="760" spans="1:38">
      <c r="A760" s="96">
        <f ca="1">IFERROR(__xludf.DUMMYFUNCTION("""COMPUTED_VALUE"""),44548)</f>
        <v>44548</v>
      </c>
      <c r="B760" s="6" t="str">
        <f ca="1">IFERROR(__xludf.DUMMYFUNCTION("""COMPUTED_VALUE"""),"Yogendran")</f>
        <v>Yogendran</v>
      </c>
      <c r="C760" s="6" t="str">
        <f ca="1">IFERROR(__xludf.DUMMYFUNCTION("""COMPUTED_VALUE"""),"yogendran_j@yahoo.com")</f>
        <v>yogendran_j@yahoo.com</v>
      </c>
      <c r="D760" s="6">
        <f ca="1">IFERROR(__xludf.DUMMYFUNCTION("""COMPUTED_VALUE"""),9941195311)</f>
        <v>9941195311</v>
      </c>
      <c r="E760" s="6" t="str">
        <f ca="1">IFERROR(__xludf.DUMMYFUNCTION("""COMPUTED_VALUE"""),"Reference")</f>
        <v>Reference</v>
      </c>
      <c r="F760" s="6" t="str">
        <f ca="1">IFERROR(__xludf.DUMMYFUNCTION("""COMPUTED_VALUE"""),"PSM")</f>
        <v>PSM</v>
      </c>
      <c r="G760" s="80">
        <f ca="1">IFERROR(__xludf.DUMMYFUNCTION("""COMPUTED_VALUE"""),44531)</f>
        <v>44531</v>
      </c>
      <c r="H760" s="6" t="str">
        <f ca="1">IFERROR(__xludf.DUMMYFUNCTION("""COMPUTED_VALUE"""),"Won")</f>
        <v>Won</v>
      </c>
      <c r="I760" s="6" t="str">
        <f ca="1">IFERROR(__xludf.DUMMYFUNCTION("""COMPUTED_VALUE"""),"8-9 Jan 2022")</f>
        <v>8-9 Jan 2022</v>
      </c>
      <c r="J760" s="6">
        <f ca="1">IFERROR(__xludf.DUMMYFUNCTION("""COMPUTED_VALUE"""),1)</f>
        <v>1</v>
      </c>
      <c r="K760" s="8">
        <f ca="1">IFERROR(__xludf.DUMMYFUNCTION("""COMPUTED_VALUE"""),21000)</f>
        <v>21000</v>
      </c>
      <c r="L760" s="8">
        <f ca="1">IFERROR(__xludf.DUMMYFUNCTION("""COMPUTED_VALUE"""),240.494732020155)</f>
        <v>240.494732020155</v>
      </c>
      <c r="M760" s="96">
        <f ca="1">IFERROR(__xludf.DUMMYFUNCTION("""COMPUTED_VALUE"""),44548)</f>
        <v>44548</v>
      </c>
      <c r="N760" s="6" t="str">
        <f ca="1">IFERROR(__xludf.DUMMYFUNCTION("""COMPUTED_VALUE"""),"S10")</f>
        <v>S10</v>
      </c>
      <c r="O760" s="97">
        <f ca="1">IFERROR(__xludf.DUMMYFUNCTION("""COMPUTED_VALUE"""),44548)</f>
        <v>44548</v>
      </c>
      <c r="P760" s="6" t="str">
        <f ca="1">IFERROR(__xludf.DUMMYFUNCTION("""COMPUTED_VALUE"""),"CSTM_ABMSMLGV9IM")</f>
        <v>CSTM_ABMSMLGV9IM</v>
      </c>
      <c r="Q760" s="6" t="str">
        <f ca="1">IFERROR(__xludf.DUMMYFUNCTION("""COMPUTED_VALUE"""),"Reference by Thirunavakarasu")</f>
        <v>Reference by Thirunavakarasu</v>
      </c>
      <c r="R760" s="6" t="str">
        <f ca="1">IFERROR(__xludf.DUMMYFUNCTION("""COMPUTED_VALUE"""),"Pending")</f>
        <v>Pending</v>
      </c>
      <c r="S760" s="6" t="str">
        <f ca="1">IFERROR(__xludf.DUMMYFUNCTION("""COMPUTED_VALUE"""),"Category")</f>
        <v>Category</v>
      </c>
      <c r="T760" s="6"/>
      <c r="U760" s="6"/>
      <c r="V760" s="6"/>
      <c r="W760" s="6"/>
      <c r="X760" s="6"/>
      <c r="Y760" s="6"/>
      <c r="Z760" s="6"/>
      <c r="AA760" s="6"/>
      <c r="AB760" s="6"/>
      <c r="AC760" s="6"/>
      <c r="AD760" s="6"/>
      <c r="AE760" s="6"/>
      <c r="AF760" s="6"/>
      <c r="AG760" s="6"/>
      <c r="AH760" s="6"/>
      <c r="AI760" s="6"/>
      <c r="AJ760" s="6"/>
      <c r="AK760" s="6"/>
      <c r="AL760" s="6"/>
    </row>
    <row r="761" spans="1:38">
      <c r="A761" s="96">
        <f ca="1">IFERROR(__xludf.DUMMYFUNCTION("""COMPUTED_VALUE"""),44547)</f>
        <v>44547</v>
      </c>
      <c r="B761" s="6" t="str">
        <f ca="1">IFERROR(__xludf.DUMMYFUNCTION("""COMPUTED_VALUE"""),"Aman Mishra")</f>
        <v>Aman Mishra</v>
      </c>
      <c r="C761" s="6" t="str">
        <f ca="1">IFERROR(__xludf.DUMMYFUNCTION("""COMPUTED_VALUE"""),"amanmishra9696@gmail.com")</f>
        <v>amanmishra9696@gmail.com</v>
      </c>
      <c r="D761" s="6">
        <f ca="1">IFERROR(__xludf.DUMMYFUNCTION("""COMPUTED_VALUE"""),8383827884)</f>
        <v>8383827884</v>
      </c>
      <c r="E761" s="6" t="str">
        <f ca="1">IFERROR(__xludf.DUMMYFUNCTION("""COMPUTED_VALUE"""),"Reference")</f>
        <v>Reference</v>
      </c>
      <c r="F761" s="6" t="str">
        <f ca="1">IFERROR(__xludf.DUMMYFUNCTION("""COMPUTED_VALUE"""),"DevOps Engineer")</f>
        <v>DevOps Engineer</v>
      </c>
      <c r="G761" s="80">
        <f ca="1">IFERROR(__xludf.DUMMYFUNCTION("""COMPUTED_VALUE"""),44531)</f>
        <v>44531</v>
      </c>
      <c r="H761" s="6" t="str">
        <f ca="1">IFERROR(__xludf.DUMMYFUNCTION("""COMPUTED_VALUE"""),"Won")</f>
        <v>Won</v>
      </c>
      <c r="I761" s="6" t="str">
        <f ca="1">IFERROR(__xludf.DUMMYFUNCTION("""COMPUTED_VALUE"""),"17 Dec 2021")</f>
        <v>17 Dec 2021</v>
      </c>
      <c r="J761" s="6">
        <f ca="1">IFERROR(__xludf.DUMMYFUNCTION("""COMPUTED_VALUE"""),1)</f>
        <v>1</v>
      </c>
      <c r="K761" s="8">
        <f ca="1">IFERROR(__xludf.DUMMYFUNCTION("""COMPUTED_VALUE"""),5000)</f>
        <v>5000</v>
      </c>
      <c r="L761" s="8">
        <f ca="1">IFERROR(__xludf.DUMMYFUNCTION("""COMPUTED_VALUE"""),57.2606504809894)</f>
        <v>57.260650480989398</v>
      </c>
      <c r="M761" s="96">
        <f ca="1">IFERROR(__xludf.DUMMYFUNCTION("""COMPUTED_VALUE"""),44547)</f>
        <v>44547</v>
      </c>
      <c r="N761" s="6" t="str">
        <f ca="1">IFERROR(__xludf.DUMMYFUNCTION("""COMPUTED_VALUE"""),"S10")</f>
        <v>S10</v>
      </c>
      <c r="O761" s="97">
        <f ca="1">IFERROR(__xludf.DUMMYFUNCTION("""COMPUTED_VALUE"""),44546)</f>
        <v>44546</v>
      </c>
      <c r="P761" s="6" t="str">
        <f ca="1">IFERROR(__xludf.DUMMYFUNCTION("""COMPUTED_VALUE"""),"CSTM_PARTIAL_FIRST_3O06ZBLN294")</f>
        <v>CSTM_PARTIAL_FIRST_3O06ZBLN294</v>
      </c>
      <c r="Q761" s="6" t="str">
        <f ca="1">IFERROR(__xludf.DUMMYFUNCTION("""COMPUTED_VALUE"""),"Reference by Jyoti Mishra")</f>
        <v>Reference by Jyoti Mishra</v>
      </c>
      <c r="R761" s="6" t="str">
        <f ca="1">IFERROR(__xludf.DUMMYFUNCTION("""COMPUTED_VALUE"""),"Pending")</f>
        <v>Pending</v>
      </c>
      <c r="S761" s="6" t="str">
        <f ca="1">IFERROR(__xludf.DUMMYFUNCTION("""COMPUTED_VALUE"""),"NonCategory")</f>
        <v>NonCategory</v>
      </c>
      <c r="T761" s="6"/>
      <c r="U761" s="6"/>
      <c r="V761" s="6"/>
      <c r="W761" s="6"/>
      <c r="X761" s="6"/>
      <c r="Y761" s="6"/>
      <c r="Z761" s="6"/>
      <c r="AA761" s="6"/>
      <c r="AB761" s="6"/>
      <c r="AC761" s="6"/>
      <c r="AD761" s="6"/>
      <c r="AE761" s="6"/>
      <c r="AF761" s="6"/>
      <c r="AG761" s="6"/>
      <c r="AH761" s="6"/>
      <c r="AI761" s="6"/>
      <c r="AJ761" s="6"/>
      <c r="AK761" s="6"/>
      <c r="AL761" s="6"/>
    </row>
    <row r="762" spans="1:38">
      <c r="A762" s="96">
        <f ca="1">IFERROR(__xludf.DUMMYFUNCTION("""COMPUTED_VALUE"""),44547)</f>
        <v>44547</v>
      </c>
      <c r="B762" s="6" t="str">
        <f ca="1">IFERROR(__xludf.DUMMYFUNCTION("""COMPUTED_VALUE"""),"Aman Mishra")</f>
        <v>Aman Mishra</v>
      </c>
      <c r="C762" s="6" t="str">
        <f ca="1">IFERROR(__xludf.DUMMYFUNCTION("""COMPUTED_VALUE"""),"amanmishra9696@gmail.com")</f>
        <v>amanmishra9696@gmail.com</v>
      </c>
      <c r="D762" s="6">
        <f ca="1">IFERROR(__xludf.DUMMYFUNCTION("""COMPUTED_VALUE"""),8383827884)</f>
        <v>8383827884</v>
      </c>
      <c r="E762" s="6" t="str">
        <f ca="1">IFERROR(__xludf.DUMMYFUNCTION("""COMPUTED_VALUE"""),"Reference")</f>
        <v>Reference</v>
      </c>
      <c r="F762" s="6" t="str">
        <f ca="1">IFERROR(__xludf.DUMMYFUNCTION("""COMPUTED_VALUE"""),"DevOps Engineer")</f>
        <v>DevOps Engineer</v>
      </c>
      <c r="G762" s="80">
        <f ca="1">IFERROR(__xludf.DUMMYFUNCTION("""COMPUTED_VALUE"""),44531)</f>
        <v>44531</v>
      </c>
      <c r="H762" s="6" t="str">
        <f ca="1">IFERROR(__xludf.DUMMYFUNCTION("""COMPUTED_VALUE"""),"Won")</f>
        <v>Won</v>
      </c>
      <c r="I762" s="6" t="str">
        <f ca="1">IFERROR(__xludf.DUMMYFUNCTION("""COMPUTED_VALUE"""),"17 Dec 2021")</f>
        <v>17 Dec 2021</v>
      </c>
      <c r="J762" s="6">
        <f ca="1">IFERROR(__xludf.DUMMYFUNCTION("""COMPUTED_VALUE"""),1)</f>
        <v>1</v>
      </c>
      <c r="K762" s="8">
        <f ca="1">IFERROR(__xludf.DUMMYFUNCTION("""COMPUTED_VALUE"""),30000)</f>
        <v>30000</v>
      </c>
      <c r="L762" s="8">
        <f ca="1">IFERROR(__xludf.DUMMYFUNCTION("""COMPUTED_VALUE"""),343.563902885936)</f>
        <v>343.56390288593599</v>
      </c>
      <c r="M762" s="96">
        <f ca="1">IFERROR(__xludf.DUMMYFUNCTION("""COMPUTED_VALUE"""),44547)</f>
        <v>44547</v>
      </c>
      <c r="N762" s="6" t="str">
        <f ca="1">IFERROR(__xludf.DUMMYFUNCTION("""COMPUTED_VALUE"""),"S10")</f>
        <v>S10</v>
      </c>
      <c r="O762" s="97">
        <f ca="1">IFERROR(__xludf.DUMMYFUNCTION("""COMPUTED_VALUE"""),44547)</f>
        <v>44547</v>
      </c>
      <c r="P762" s="6" t="str">
        <f ca="1">IFERROR(__xludf.DUMMYFUNCTION("""COMPUTED_VALUE"""),"CSTM_PARTIAL_SUBS_7J40OLTSQB2")</f>
        <v>CSTM_PARTIAL_SUBS_7J40OLTSQB2</v>
      </c>
      <c r="Q762" s="6" t="str">
        <f ca="1">IFERROR(__xludf.DUMMYFUNCTION("""COMPUTED_VALUE"""),"Reference by Jyoti Mishra")</f>
        <v>Reference by Jyoti Mishra</v>
      </c>
      <c r="R762" s="6" t="str">
        <f ca="1">IFERROR(__xludf.DUMMYFUNCTION("""COMPUTED_VALUE"""),"Pending")</f>
        <v>Pending</v>
      </c>
      <c r="S762" s="6" t="str">
        <f ca="1">IFERROR(__xludf.DUMMYFUNCTION("""COMPUTED_VALUE"""),"NonCategory")</f>
        <v>NonCategory</v>
      </c>
      <c r="T762" s="6"/>
      <c r="U762" s="6"/>
      <c r="V762" s="6"/>
      <c r="W762" s="6"/>
      <c r="X762" s="6"/>
      <c r="Y762" s="6"/>
      <c r="Z762" s="6"/>
      <c r="AA762" s="6"/>
      <c r="AB762" s="6"/>
      <c r="AC762" s="6"/>
      <c r="AD762" s="6"/>
      <c r="AE762" s="6"/>
      <c r="AF762" s="6"/>
      <c r="AG762" s="6"/>
      <c r="AH762" s="6"/>
      <c r="AI762" s="6"/>
      <c r="AJ762" s="6"/>
      <c r="AK762" s="6"/>
      <c r="AL762" s="6"/>
    </row>
    <row r="763" spans="1:38">
      <c r="A763" s="96">
        <f ca="1">IFERROR(__xludf.DUMMYFUNCTION("""COMPUTED_VALUE"""),44548)</f>
        <v>44548</v>
      </c>
      <c r="B763" s="6" t="str">
        <f ca="1">IFERROR(__xludf.DUMMYFUNCTION("""COMPUTED_VALUE"""),"Sree Charan Konda")</f>
        <v>Sree Charan Konda</v>
      </c>
      <c r="C763" s="6" t="str">
        <f ca="1">IFERROR(__xludf.DUMMYFUNCTION("""COMPUTED_VALUE"""),"sreecharan.konda@gmail.com")</f>
        <v>sreecharan.konda@gmail.com</v>
      </c>
      <c r="D763" s="6">
        <f ca="1">IFERROR(__xludf.DUMMYFUNCTION("""COMPUTED_VALUE"""),8790845500)</f>
        <v>8790845500</v>
      </c>
      <c r="E763" s="6" t="str">
        <f ca="1">IFERROR(__xludf.DUMMYFUNCTION("""COMPUTED_VALUE"""),"chat_initiated")</f>
        <v>chat_initiated</v>
      </c>
      <c r="F763" s="6" t="str">
        <f ca="1">IFERROR(__xludf.DUMMYFUNCTION("""COMPUTED_VALUE"""),"SAFe Agile")</f>
        <v>SAFe Agile</v>
      </c>
      <c r="G763" s="80">
        <f ca="1">IFERROR(__xludf.DUMMYFUNCTION("""COMPUTED_VALUE"""),44531)</f>
        <v>44531</v>
      </c>
      <c r="H763" s="6" t="str">
        <f ca="1">IFERROR(__xludf.DUMMYFUNCTION("""COMPUTED_VALUE"""),"Won")</f>
        <v>Won</v>
      </c>
      <c r="I763" s="6" t="str">
        <f ca="1">IFERROR(__xludf.DUMMYFUNCTION("""COMPUTED_VALUE"""),"25-26 Dec 2021")</f>
        <v>25-26 Dec 2021</v>
      </c>
      <c r="J763" s="6">
        <f ca="1">IFERROR(__xludf.DUMMYFUNCTION("""COMPUTED_VALUE"""),1)</f>
        <v>1</v>
      </c>
      <c r="K763" s="8">
        <f ca="1">IFERROR(__xludf.DUMMYFUNCTION("""COMPUTED_VALUE"""),42000)</f>
        <v>42000</v>
      </c>
      <c r="L763" s="8">
        <f ca="1">IFERROR(__xludf.DUMMYFUNCTION("""COMPUTED_VALUE"""),480.989464040311)</f>
        <v>480.98946404031102</v>
      </c>
      <c r="M763" s="96">
        <f ca="1">IFERROR(__xludf.DUMMYFUNCTION("""COMPUTED_VALUE"""),44548)</f>
        <v>44548</v>
      </c>
      <c r="N763" s="6" t="str">
        <f ca="1">IFERROR(__xludf.DUMMYFUNCTION("""COMPUTED_VALUE"""),"S10")</f>
        <v>S10</v>
      </c>
      <c r="O763" s="97">
        <f ca="1">IFERROR(__xludf.DUMMYFUNCTION("""COMPUTED_VALUE"""),44548)</f>
        <v>44548</v>
      </c>
      <c r="P763" s="6" t="str">
        <f ca="1">IFERROR(__xludf.DUMMYFUNCTION("""COMPUTED_VALUE"""),"CSTM_83QHCMDDOBC")</f>
        <v>CSTM_83QHCMDDOBC</v>
      </c>
      <c r="Q763" s="6"/>
      <c r="R763" s="6" t="str">
        <f ca="1">IFERROR(__xludf.DUMMYFUNCTION("""COMPUTED_VALUE"""),"Done. Good feedback.")</f>
        <v>Done. Good feedback.</v>
      </c>
      <c r="S763" s="6" t="str">
        <f ca="1">IFERROR(__xludf.DUMMYFUNCTION("""COMPUTED_VALUE"""),"SAFe")</f>
        <v>SAFe</v>
      </c>
      <c r="T763" s="6"/>
      <c r="U763" s="6"/>
      <c r="V763" s="6"/>
      <c r="W763" s="6"/>
      <c r="X763" s="6"/>
      <c r="Y763" s="6"/>
      <c r="Z763" s="6"/>
      <c r="AA763" s="6"/>
      <c r="AB763" s="6"/>
      <c r="AC763" s="6"/>
      <c r="AD763" s="6"/>
      <c r="AE763" s="6"/>
      <c r="AF763" s="6"/>
      <c r="AG763" s="6"/>
      <c r="AH763" s="6"/>
      <c r="AI763" s="6"/>
      <c r="AJ763" s="6"/>
      <c r="AK763" s="6"/>
      <c r="AL763" s="6"/>
    </row>
    <row r="764" spans="1:38">
      <c r="A764" s="96">
        <f ca="1">IFERROR(__xludf.DUMMYFUNCTION("""COMPUTED_VALUE"""),44549)</f>
        <v>44549</v>
      </c>
      <c r="B764" s="6" t="str">
        <f ca="1">IFERROR(__xludf.DUMMYFUNCTION("""COMPUTED_VALUE"""),"Nitin Vatsya")</f>
        <v>Nitin Vatsya</v>
      </c>
      <c r="C764" s="6" t="str">
        <f ca="1">IFERROR(__xludf.DUMMYFUNCTION("""COMPUTED_VALUE"""),"nvatsya@gmail.com")</f>
        <v>nvatsya@gmail.com</v>
      </c>
      <c r="D764" s="6">
        <f ca="1">IFERROR(__xludf.DUMMYFUNCTION("""COMPUTED_VALUE"""),9032090247)</f>
        <v>9032090247</v>
      </c>
      <c r="E764" s="6" t="str">
        <f ca="1">IFERROR(__xludf.DUMMYFUNCTION("""COMPUTED_VALUE"""),"chat_initiated")</f>
        <v>chat_initiated</v>
      </c>
      <c r="F764" s="6" t="str">
        <f ca="1">IFERROR(__xludf.DUMMYFUNCTION("""COMPUTED_VALUE"""),"PSM")</f>
        <v>PSM</v>
      </c>
      <c r="G764" s="80">
        <f ca="1">IFERROR(__xludf.DUMMYFUNCTION("""COMPUTED_VALUE"""),44531)</f>
        <v>44531</v>
      </c>
      <c r="H764" s="6" t="str">
        <f ca="1">IFERROR(__xludf.DUMMYFUNCTION("""COMPUTED_VALUE"""),"Won")</f>
        <v>Won</v>
      </c>
      <c r="I764" s="6" t="str">
        <f ca="1">IFERROR(__xludf.DUMMYFUNCTION("""COMPUTED_VALUE"""),"25-26 Dec 2021")</f>
        <v>25-26 Dec 2021</v>
      </c>
      <c r="J764" s="6">
        <f ca="1">IFERROR(__xludf.DUMMYFUNCTION("""COMPUTED_VALUE"""),1)</f>
        <v>1</v>
      </c>
      <c r="K764" s="8">
        <f ca="1">IFERROR(__xludf.DUMMYFUNCTION("""COMPUTED_VALUE"""),21000)</f>
        <v>21000</v>
      </c>
      <c r="L764" s="8">
        <f ca="1">IFERROR(__xludf.DUMMYFUNCTION("""COMPUTED_VALUE"""),240.494732020155)</f>
        <v>240.494732020155</v>
      </c>
      <c r="M764" s="96">
        <f ca="1">IFERROR(__xludf.DUMMYFUNCTION("""COMPUTED_VALUE"""),44549)</f>
        <v>44549</v>
      </c>
      <c r="N764" s="6" t="str">
        <f ca="1">IFERROR(__xludf.DUMMYFUNCTION("""COMPUTED_VALUE"""),"S10")</f>
        <v>S10</v>
      </c>
      <c r="O764" s="97">
        <f ca="1">IFERROR(__xludf.DUMMYFUNCTION("""COMPUTED_VALUE"""),44549)</f>
        <v>44549</v>
      </c>
      <c r="P764" s="6" t="str">
        <f ca="1">IFERROR(__xludf.DUMMYFUNCTION("""COMPUTED_VALUE"""),"CSTM_2LFJ94Y122W")</f>
        <v>CSTM_2LFJ94Y122W</v>
      </c>
      <c r="Q764" s="6"/>
      <c r="R764" s="6" t="str">
        <f ca="1">IFERROR(__xludf.DUMMYFUNCTION("""COMPUTED_VALUE"""),"Done. Good feedback.")</f>
        <v>Done. Good feedback.</v>
      </c>
      <c r="S764" s="6" t="str">
        <f ca="1">IFERROR(__xludf.DUMMYFUNCTION("""COMPUTED_VALUE"""),"Category")</f>
        <v>Category</v>
      </c>
      <c r="T764" s="6"/>
      <c r="U764" s="6"/>
      <c r="V764" s="6"/>
      <c r="W764" s="6"/>
      <c r="X764" s="6"/>
      <c r="Y764" s="6"/>
      <c r="Z764" s="6"/>
      <c r="AA764" s="6"/>
      <c r="AB764" s="6"/>
      <c r="AC764" s="6"/>
      <c r="AD764" s="6"/>
      <c r="AE764" s="6"/>
      <c r="AF764" s="6"/>
      <c r="AG764" s="6"/>
      <c r="AH764" s="6"/>
      <c r="AI764" s="6"/>
      <c r="AJ764" s="6"/>
      <c r="AK764" s="6"/>
      <c r="AL764" s="6"/>
    </row>
    <row r="765" spans="1:38">
      <c r="A765" s="96">
        <f ca="1">IFERROR(__xludf.DUMMYFUNCTION("""COMPUTED_VALUE"""),44549)</f>
        <v>44549</v>
      </c>
      <c r="B765" s="6" t="str">
        <f ca="1">IFERROR(__xludf.DUMMYFUNCTION("""COMPUTED_VALUE"""),"Priyanka Chaurasiya")</f>
        <v>Priyanka Chaurasiya</v>
      </c>
      <c r="C765" s="6" t="str">
        <f ca="1">IFERROR(__xludf.DUMMYFUNCTION("""COMPUTED_VALUE"""),"chaupriyanka2011@gmail.com")</f>
        <v>chaupriyanka2011@gmail.com</v>
      </c>
      <c r="D765" s="6">
        <f ca="1">IFERROR(__xludf.DUMMYFUNCTION("""COMPUTED_VALUE"""),8879741884)</f>
        <v>8879741884</v>
      </c>
      <c r="E765" s="6" t="str">
        <f ca="1">IFERROR(__xludf.DUMMYFUNCTION("""COMPUTED_VALUE"""),"Query box")</f>
        <v>Query box</v>
      </c>
      <c r="F765" s="6" t="str">
        <f ca="1">IFERROR(__xludf.DUMMYFUNCTION("""COMPUTED_VALUE"""),"PSPO")</f>
        <v>PSPO</v>
      </c>
      <c r="G765" s="80">
        <f ca="1">IFERROR(__xludf.DUMMYFUNCTION("""COMPUTED_VALUE"""),44531)</f>
        <v>44531</v>
      </c>
      <c r="H765" s="6" t="str">
        <f ca="1">IFERROR(__xludf.DUMMYFUNCTION("""COMPUTED_VALUE"""),"Won")</f>
        <v>Won</v>
      </c>
      <c r="I765" s="6" t="str">
        <f ca="1">IFERROR(__xludf.DUMMYFUNCTION("""COMPUTED_VALUE"""),"25-26 Dec 2021")</f>
        <v>25-26 Dec 2021</v>
      </c>
      <c r="J765" s="6">
        <f ca="1">IFERROR(__xludf.DUMMYFUNCTION("""COMPUTED_VALUE"""),1)</f>
        <v>1</v>
      </c>
      <c r="K765" s="8">
        <f ca="1">IFERROR(__xludf.DUMMYFUNCTION("""COMPUTED_VALUE"""),21000)</f>
        <v>21000</v>
      </c>
      <c r="L765" s="8">
        <f ca="1">IFERROR(__xludf.DUMMYFUNCTION("""COMPUTED_VALUE"""),240.494732020155)</f>
        <v>240.494732020155</v>
      </c>
      <c r="M765" s="96">
        <f ca="1">IFERROR(__xludf.DUMMYFUNCTION("""COMPUTED_VALUE"""),44549)</f>
        <v>44549</v>
      </c>
      <c r="N765" s="6" t="str">
        <f ca="1">IFERROR(__xludf.DUMMYFUNCTION("""COMPUTED_VALUE"""),"S10")</f>
        <v>S10</v>
      </c>
      <c r="O765" s="97">
        <f ca="1">IFERROR(__xludf.DUMMYFUNCTION("""COMPUTED_VALUE"""),44550)</f>
        <v>44550</v>
      </c>
      <c r="P765" s="6" t="str">
        <f ca="1">IFERROR(__xludf.DUMMYFUNCTION("""COMPUTED_VALUE"""),"CSTM_ISJY27SZJGP")</f>
        <v>CSTM_ISJY27SZJGP</v>
      </c>
      <c r="Q765" s="6"/>
      <c r="R765" s="6" t="str">
        <f ca="1">IFERROR(__xludf.DUMMYFUNCTION("""COMPUTED_VALUE"""),"Pending")</f>
        <v>Pending</v>
      </c>
      <c r="S765" s="6" t="str">
        <f ca="1">IFERROR(__xludf.DUMMYFUNCTION("""COMPUTED_VALUE"""),"Category")</f>
        <v>Category</v>
      </c>
      <c r="T765" s="6"/>
      <c r="U765" s="6"/>
      <c r="V765" s="6"/>
      <c r="W765" s="6"/>
      <c r="X765" s="6"/>
      <c r="Y765" s="6"/>
      <c r="Z765" s="6"/>
      <c r="AA765" s="6"/>
      <c r="AB765" s="6"/>
      <c r="AC765" s="6"/>
      <c r="AD765" s="6"/>
      <c r="AE765" s="6"/>
      <c r="AF765" s="6"/>
      <c r="AG765" s="6"/>
      <c r="AH765" s="6"/>
      <c r="AI765" s="6"/>
      <c r="AJ765" s="6"/>
      <c r="AK765" s="6"/>
      <c r="AL765" s="6"/>
    </row>
    <row r="766" spans="1:38">
      <c r="A766" s="96">
        <f ca="1">IFERROR(__xludf.DUMMYFUNCTION("""COMPUTED_VALUE"""),44550)</f>
        <v>44550</v>
      </c>
      <c r="B766" s="6" t="str">
        <f ca="1">IFERROR(__xludf.DUMMYFUNCTION("""COMPUTED_VALUE"""),"Deepak")</f>
        <v>Deepak</v>
      </c>
      <c r="C766" s="6" t="str">
        <f ca="1">IFERROR(__xludf.DUMMYFUNCTION("""COMPUTED_VALUE"""),"dkgec.delhi@gmail.com")</f>
        <v>dkgec.delhi@gmail.com</v>
      </c>
      <c r="D766" s="6">
        <f ca="1">IFERROR(__xludf.DUMMYFUNCTION("""COMPUTED_VALUE"""),9136001714)</f>
        <v>9136001714</v>
      </c>
      <c r="E766" s="6" t="str">
        <f ca="1">IFERROR(__xludf.DUMMYFUNCTION("""COMPUTED_VALUE"""),"Reference")</f>
        <v>Reference</v>
      </c>
      <c r="F766" s="6" t="str">
        <f ca="1">IFERROR(__xludf.DUMMYFUNCTION("""COMPUTED_VALUE"""),"SAFe Agile")</f>
        <v>SAFe Agile</v>
      </c>
      <c r="G766" s="80">
        <f ca="1">IFERROR(__xludf.DUMMYFUNCTION("""COMPUTED_VALUE"""),44531)</f>
        <v>44531</v>
      </c>
      <c r="H766" s="6" t="str">
        <f ca="1">IFERROR(__xludf.DUMMYFUNCTION("""COMPUTED_VALUE"""),"Won")</f>
        <v>Won</v>
      </c>
      <c r="I766" s="6" t="str">
        <f ca="1">IFERROR(__xludf.DUMMYFUNCTION("""COMPUTED_VALUE"""),"25-26 Dec 2021")</f>
        <v>25-26 Dec 2021</v>
      </c>
      <c r="J766" s="6">
        <f ca="1">IFERROR(__xludf.DUMMYFUNCTION("""COMPUTED_VALUE"""),1)</f>
        <v>1</v>
      </c>
      <c r="K766" s="8">
        <f ca="1">IFERROR(__xludf.DUMMYFUNCTION("""COMPUTED_VALUE"""),40000)</f>
        <v>40000</v>
      </c>
      <c r="L766" s="8">
        <f ca="1">IFERROR(__xludf.DUMMYFUNCTION("""COMPUTED_VALUE"""),458.085203847915)</f>
        <v>458.08520384791501</v>
      </c>
      <c r="M766" s="96">
        <f ca="1">IFERROR(__xludf.DUMMYFUNCTION("""COMPUTED_VALUE"""),44550)</f>
        <v>44550</v>
      </c>
      <c r="N766" s="6" t="str">
        <f ca="1">IFERROR(__xludf.DUMMYFUNCTION("""COMPUTED_VALUE"""),"T10")</f>
        <v>T10</v>
      </c>
      <c r="O766" s="97">
        <f ca="1">IFERROR(__xludf.DUMMYFUNCTION("""COMPUTED_VALUE"""),44551)</f>
        <v>44551</v>
      </c>
      <c r="P766" s="6" t="str">
        <f ca="1">IFERROR(__xludf.DUMMYFUNCTION("""COMPUTED_VALUE"""),"CSTM_SSDF8RK1I5")</f>
        <v>CSTM_SSDF8RK1I5</v>
      </c>
      <c r="Q766" s="6" t="str">
        <f ca="1">IFERROR(__xludf.DUMMYFUNCTION("""COMPUTED_VALUE"""),"ddkgec@gmail.com")</f>
        <v>ddkgec@gmail.com</v>
      </c>
      <c r="R766" s="6" t="str">
        <f ca="1">IFERROR(__xludf.DUMMYFUNCTION("""COMPUTED_VALUE"""),"Done. Good feedback.")</f>
        <v>Done. Good feedback.</v>
      </c>
      <c r="S766" s="6" t="str">
        <f ca="1">IFERROR(__xludf.DUMMYFUNCTION("""COMPUTED_VALUE"""),"SAFe")</f>
        <v>SAFe</v>
      </c>
      <c r="T766" s="6"/>
      <c r="U766" s="6"/>
      <c r="V766" s="6"/>
      <c r="W766" s="6"/>
      <c r="X766" s="6"/>
      <c r="Y766" s="6"/>
      <c r="Z766" s="6"/>
      <c r="AA766" s="6"/>
      <c r="AB766" s="6"/>
      <c r="AC766" s="6"/>
      <c r="AD766" s="6"/>
      <c r="AE766" s="6"/>
      <c r="AF766" s="6"/>
      <c r="AG766" s="6"/>
      <c r="AH766" s="6"/>
      <c r="AI766" s="6"/>
      <c r="AJ766" s="6"/>
      <c r="AK766" s="6"/>
      <c r="AL766" s="6"/>
    </row>
    <row r="767" spans="1:38">
      <c r="A767" s="96">
        <f ca="1">IFERROR(__xludf.DUMMYFUNCTION("""COMPUTED_VALUE"""),44550)</f>
        <v>44550</v>
      </c>
      <c r="B767" s="6" t="str">
        <f ca="1">IFERROR(__xludf.DUMMYFUNCTION("""COMPUTED_VALUE"""),"Dhiraj")</f>
        <v>Dhiraj</v>
      </c>
      <c r="C767" s="6" t="str">
        <f ca="1">IFERROR(__xludf.DUMMYFUNCTION("""COMPUTED_VALUE"""),"dhiraj1891@outlook.com")</f>
        <v>dhiraj1891@outlook.com</v>
      </c>
      <c r="D767" s="6">
        <f ca="1">IFERROR(__xludf.DUMMYFUNCTION("""COMPUTED_VALUE"""),8446174800)</f>
        <v>8446174800</v>
      </c>
      <c r="E767" s="6" t="str">
        <f ca="1">IFERROR(__xludf.DUMMYFUNCTION("""COMPUTED_VALUE"""),"chat_initiated")</f>
        <v>chat_initiated</v>
      </c>
      <c r="F767" s="6" t="str">
        <f ca="1">IFERROR(__xludf.DUMMYFUNCTION("""COMPUTED_VALUE"""),"PSPO")</f>
        <v>PSPO</v>
      </c>
      <c r="G767" s="80">
        <f ca="1">IFERROR(__xludf.DUMMYFUNCTION("""COMPUTED_VALUE"""),44531)</f>
        <v>44531</v>
      </c>
      <c r="H767" s="6" t="str">
        <f ca="1">IFERROR(__xludf.DUMMYFUNCTION("""COMPUTED_VALUE"""),"Won")</f>
        <v>Won</v>
      </c>
      <c r="I767" s="6" t="str">
        <f ca="1">IFERROR(__xludf.DUMMYFUNCTION("""COMPUTED_VALUE"""),"25-26 Dec 2021")</f>
        <v>25-26 Dec 2021</v>
      </c>
      <c r="J767" s="6">
        <f ca="1">IFERROR(__xludf.DUMMYFUNCTION("""COMPUTED_VALUE"""),1)</f>
        <v>1</v>
      </c>
      <c r="K767" s="8">
        <f ca="1">IFERROR(__xludf.DUMMYFUNCTION("""COMPUTED_VALUE"""),21000)</f>
        <v>21000</v>
      </c>
      <c r="L767" s="8">
        <f ca="1">IFERROR(__xludf.DUMMYFUNCTION("""COMPUTED_VALUE"""),240.494732020155)</f>
        <v>240.494732020155</v>
      </c>
      <c r="M767" s="96">
        <f ca="1">IFERROR(__xludf.DUMMYFUNCTION("""COMPUTED_VALUE"""),44550)</f>
        <v>44550</v>
      </c>
      <c r="N767" s="6" t="str">
        <f ca="1">IFERROR(__xludf.DUMMYFUNCTION("""COMPUTED_VALUE"""),"T10")</f>
        <v>T10</v>
      </c>
      <c r="O767" s="97">
        <f ca="1">IFERROR(__xludf.DUMMYFUNCTION("""COMPUTED_VALUE"""),44551)</f>
        <v>44551</v>
      </c>
      <c r="P767" s="6" t="str">
        <f ca="1">IFERROR(__xludf.DUMMYFUNCTION("""COMPUTED_VALUE"""),"CSTM_F4NOVB1DTUJ")</f>
        <v>CSTM_F4NOVB1DTUJ</v>
      </c>
      <c r="Q767" s="6"/>
      <c r="R767" s="6" t="str">
        <f ca="1">IFERROR(__xludf.DUMMYFUNCTION("""COMPUTED_VALUE"""),"Done. Good feedback.")</f>
        <v>Done. Good feedback.</v>
      </c>
      <c r="S767" s="6" t="str">
        <f ca="1">IFERROR(__xludf.DUMMYFUNCTION("""COMPUTED_VALUE"""),"Category")</f>
        <v>Category</v>
      </c>
      <c r="T767" s="6"/>
      <c r="U767" s="6"/>
      <c r="V767" s="6"/>
      <c r="W767" s="6"/>
      <c r="X767" s="6"/>
      <c r="Y767" s="6"/>
      <c r="Z767" s="6"/>
      <c r="AA767" s="6"/>
      <c r="AB767" s="6"/>
      <c r="AC767" s="6"/>
      <c r="AD767" s="6"/>
      <c r="AE767" s="6"/>
      <c r="AF767" s="6"/>
      <c r="AG767" s="6"/>
      <c r="AH767" s="6"/>
      <c r="AI767" s="6"/>
      <c r="AJ767" s="6"/>
      <c r="AK767" s="6"/>
      <c r="AL767" s="6"/>
    </row>
    <row r="768" spans="1:38">
      <c r="A768" s="96">
        <f ca="1">IFERROR(__xludf.DUMMYFUNCTION("""COMPUTED_VALUE"""),44551)</f>
        <v>44551</v>
      </c>
      <c r="B768" s="6" t="str">
        <f ca="1">IFERROR(__xludf.DUMMYFUNCTION("""COMPUTED_VALUE"""),"Nikitha RB")</f>
        <v>Nikitha RB</v>
      </c>
      <c r="C768" s="6" t="str">
        <f ca="1">IFERROR(__xludf.DUMMYFUNCTION("""COMPUTED_VALUE"""),"nikitha.rb@gmail.com")</f>
        <v>nikitha.rb@gmail.com</v>
      </c>
      <c r="D768" s="6">
        <f ca="1">IFERROR(__xludf.DUMMYFUNCTION("""COMPUTED_VALUE"""),8971186681)</f>
        <v>8971186681</v>
      </c>
      <c r="E768" s="6" t="str">
        <f ca="1">IFERROR(__xludf.DUMMYFUNCTION("""COMPUTED_VALUE"""),"course agenda")</f>
        <v>course agenda</v>
      </c>
      <c r="F768" s="6" t="str">
        <f ca="1">IFERROR(__xludf.DUMMYFUNCTION("""COMPUTED_VALUE"""),"PSM")</f>
        <v>PSM</v>
      </c>
      <c r="G768" s="80">
        <f ca="1">IFERROR(__xludf.DUMMYFUNCTION("""COMPUTED_VALUE"""),44531)</f>
        <v>44531</v>
      </c>
      <c r="H768" s="6" t="str">
        <f ca="1">IFERROR(__xludf.DUMMYFUNCTION("""COMPUTED_VALUE"""),"Won")</f>
        <v>Won</v>
      </c>
      <c r="I768" s="6" t="str">
        <f ca="1">IFERROR(__xludf.DUMMYFUNCTION("""COMPUTED_VALUE"""),"25-26 Dec 2021")</f>
        <v>25-26 Dec 2021</v>
      </c>
      <c r="J768" s="6">
        <f ca="1">IFERROR(__xludf.DUMMYFUNCTION("""COMPUTED_VALUE"""),1)</f>
        <v>1</v>
      </c>
      <c r="K768" s="8">
        <f ca="1">IFERROR(__xludf.DUMMYFUNCTION("""COMPUTED_VALUE"""),21000)</f>
        <v>21000</v>
      </c>
      <c r="L768" s="8">
        <f ca="1">IFERROR(__xludf.DUMMYFUNCTION("""COMPUTED_VALUE"""),240.494732020155)</f>
        <v>240.494732020155</v>
      </c>
      <c r="M768" s="96">
        <f ca="1">IFERROR(__xludf.DUMMYFUNCTION("""COMPUTED_VALUE"""),44551)</f>
        <v>44551</v>
      </c>
      <c r="N768" s="6" t="str">
        <f ca="1">IFERROR(__xludf.DUMMYFUNCTION("""COMPUTED_VALUE"""),"T10")</f>
        <v>T10</v>
      </c>
      <c r="O768" s="97">
        <f ca="1">IFERROR(__xludf.DUMMYFUNCTION("""COMPUTED_VALUE"""),44551)</f>
        <v>44551</v>
      </c>
      <c r="P768" s="6" t="str">
        <f ca="1">IFERROR(__xludf.DUMMYFUNCTION("""COMPUTED_VALUE"""),"CSTM_CT2V4DTZYOH")</f>
        <v>CSTM_CT2V4DTZYOH</v>
      </c>
      <c r="Q768" s="6"/>
      <c r="R768" s="6" t="str">
        <f ca="1">IFERROR(__xludf.DUMMYFUNCTION("""COMPUTED_VALUE"""),"Done. Good feedback.")</f>
        <v>Done. Good feedback.</v>
      </c>
      <c r="S768" s="6" t="str">
        <f ca="1">IFERROR(__xludf.DUMMYFUNCTION("""COMPUTED_VALUE"""),"Category")</f>
        <v>Category</v>
      </c>
      <c r="T768" s="6"/>
      <c r="U768" s="6"/>
      <c r="V768" s="6"/>
      <c r="W768" s="6"/>
      <c r="X768" s="6"/>
      <c r="Y768" s="6"/>
      <c r="Z768" s="6"/>
      <c r="AA768" s="6"/>
      <c r="AB768" s="6"/>
      <c r="AC768" s="6"/>
      <c r="AD768" s="6"/>
      <c r="AE768" s="6"/>
      <c r="AF768" s="6"/>
      <c r="AG768" s="6"/>
      <c r="AH768" s="6"/>
      <c r="AI768" s="6"/>
      <c r="AJ768" s="6"/>
      <c r="AK768" s="6"/>
      <c r="AL768" s="6"/>
    </row>
    <row r="769" spans="1:38">
      <c r="A769" s="96">
        <f ca="1">IFERROR(__xludf.DUMMYFUNCTION("""COMPUTED_VALUE"""),44551)</f>
        <v>44551</v>
      </c>
      <c r="B769" s="6" t="str">
        <f ca="1">IFERROR(__xludf.DUMMYFUNCTION("""COMPUTED_VALUE"""),"Neelam Rajput")</f>
        <v>Neelam Rajput</v>
      </c>
      <c r="C769" s="6" t="str">
        <f ca="1">IFERROR(__xludf.DUMMYFUNCTION("""COMPUTED_VALUE"""),"neelamrajput06@gmail.com")</f>
        <v>neelamrajput06@gmail.com</v>
      </c>
      <c r="D769" s="6">
        <f ca="1">IFERROR(__xludf.DUMMYFUNCTION("""COMPUTED_VALUE"""),9158490886)</f>
        <v>9158490886</v>
      </c>
      <c r="E769" s="6" t="str">
        <f ca="1">IFERROR(__xludf.DUMMYFUNCTION("""COMPUTED_VALUE"""),"chat_initiated")</f>
        <v>chat_initiated</v>
      </c>
      <c r="F769" s="6" t="str">
        <f ca="1">IFERROR(__xludf.DUMMYFUNCTION("""COMPUTED_VALUE"""),"PSPO")</f>
        <v>PSPO</v>
      </c>
      <c r="G769" s="80">
        <f ca="1">IFERROR(__xludf.DUMMYFUNCTION("""COMPUTED_VALUE"""),44531)</f>
        <v>44531</v>
      </c>
      <c r="H769" s="6" t="str">
        <f ca="1">IFERROR(__xludf.DUMMYFUNCTION("""COMPUTED_VALUE"""),"Won")</f>
        <v>Won</v>
      </c>
      <c r="I769" s="6" t="str">
        <f ca="1">IFERROR(__xludf.DUMMYFUNCTION("""COMPUTED_VALUE"""),"25-26 Dec 2021")</f>
        <v>25-26 Dec 2021</v>
      </c>
      <c r="J769" s="6">
        <f ca="1">IFERROR(__xludf.DUMMYFUNCTION("""COMPUTED_VALUE"""),1)</f>
        <v>1</v>
      </c>
      <c r="K769" s="8">
        <f ca="1">IFERROR(__xludf.DUMMYFUNCTION("""COMPUTED_VALUE"""),21000)</f>
        <v>21000</v>
      </c>
      <c r="L769" s="8">
        <f ca="1">IFERROR(__xludf.DUMMYFUNCTION("""COMPUTED_VALUE"""),240.494732020155)</f>
        <v>240.494732020155</v>
      </c>
      <c r="M769" s="96">
        <f ca="1">IFERROR(__xludf.DUMMYFUNCTION("""COMPUTED_VALUE"""),44551)</f>
        <v>44551</v>
      </c>
      <c r="N769" s="6" t="str">
        <f ca="1">IFERROR(__xludf.DUMMYFUNCTION("""COMPUTED_VALUE"""),"T10")</f>
        <v>T10</v>
      </c>
      <c r="O769" s="97">
        <f ca="1">IFERROR(__xludf.DUMMYFUNCTION("""COMPUTED_VALUE"""),44551)</f>
        <v>44551</v>
      </c>
      <c r="P769" s="6" t="str">
        <f ca="1">IFERROR(__xludf.DUMMYFUNCTION("""COMPUTED_VALUE"""),"CSTM_CBHJ2SPVICD")</f>
        <v>CSTM_CBHJ2SPVICD</v>
      </c>
      <c r="Q769" s="6"/>
      <c r="R769" s="6" t="str">
        <f ca="1">IFERROR(__xludf.DUMMYFUNCTION("""COMPUTED_VALUE"""),"Done. Good feedback.")</f>
        <v>Done. Good feedback.</v>
      </c>
      <c r="S769" s="6" t="str">
        <f ca="1">IFERROR(__xludf.DUMMYFUNCTION("""COMPUTED_VALUE"""),"Category")</f>
        <v>Category</v>
      </c>
      <c r="T769" s="6"/>
      <c r="U769" s="6"/>
      <c r="V769" s="6"/>
      <c r="W769" s="6"/>
      <c r="X769" s="6"/>
      <c r="Y769" s="6"/>
      <c r="Z769" s="6"/>
      <c r="AA769" s="6"/>
      <c r="AB769" s="6"/>
      <c r="AC769" s="6"/>
      <c r="AD769" s="6"/>
      <c r="AE769" s="6"/>
      <c r="AF769" s="6"/>
      <c r="AG769" s="6"/>
      <c r="AH769" s="6"/>
      <c r="AI769" s="6"/>
      <c r="AJ769" s="6"/>
      <c r="AK769" s="6"/>
      <c r="AL769" s="6"/>
    </row>
    <row r="770" spans="1:38">
      <c r="A770" s="96">
        <f ca="1">IFERROR(__xludf.DUMMYFUNCTION("""COMPUTED_VALUE"""),44551)</f>
        <v>44551</v>
      </c>
      <c r="B770" s="6" t="str">
        <f ca="1">IFERROR(__xludf.DUMMYFUNCTION("""COMPUTED_VALUE"""),"Noorjahan Shaik")</f>
        <v>Noorjahan Shaik</v>
      </c>
      <c r="C770" s="6" t="str">
        <f ca="1">IFERROR(__xludf.DUMMYFUNCTION("""COMPUTED_VALUE"""),"nshaik@spglobal.com")</f>
        <v>nshaik@spglobal.com</v>
      </c>
      <c r="D770" s="6">
        <f ca="1">IFERROR(__xludf.DUMMYFUNCTION("""COMPUTED_VALUE"""),9291243339)</f>
        <v>9291243339</v>
      </c>
      <c r="E770" s="6" t="str">
        <f ca="1">IFERROR(__xludf.DUMMYFUNCTION("""COMPUTED_VALUE"""),"Reference")</f>
        <v>Reference</v>
      </c>
      <c r="F770" s="6" t="str">
        <f ca="1">IFERROR(__xludf.DUMMYFUNCTION("""COMPUTED_VALUE"""),"CSM")</f>
        <v>CSM</v>
      </c>
      <c r="G770" s="80">
        <f ca="1">IFERROR(__xludf.DUMMYFUNCTION("""COMPUTED_VALUE"""),44531)</f>
        <v>44531</v>
      </c>
      <c r="H770" s="6" t="str">
        <f ca="1">IFERROR(__xludf.DUMMYFUNCTION("""COMPUTED_VALUE"""),"Won")</f>
        <v>Won</v>
      </c>
      <c r="I770" s="6" t="str">
        <f ca="1">IFERROR(__xludf.DUMMYFUNCTION("""COMPUTED_VALUE"""),"22-23 Jan 2022")</f>
        <v>22-23 Jan 2022</v>
      </c>
      <c r="J770" s="6">
        <f ca="1">IFERROR(__xludf.DUMMYFUNCTION("""COMPUTED_VALUE"""),1)</f>
        <v>1</v>
      </c>
      <c r="K770" s="8">
        <f ca="1">IFERROR(__xludf.DUMMYFUNCTION("""COMPUTED_VALUE"""),20000)</f>
        <v>20000</v>
      </c>
      <c r="L770" s="8">
        <f ca="1">IFERROR(__xludf.DUMMYFUNCTION("""COMPUTED_VALUE"""),229.042601923957)</f>
        <v>229.04260192395699</v>
      </c>
      <c r="M770" s="96">
        <f ca="1">IFERROR(__xludf.DUMMYFUNCTION("""COMPUTED_VALUE"""),44551)</f>
        <v>44551</v>
      </c>
      <c r="N770" s="6" t="str">
        <f ca="1">IFERROR(__xludf.DUMMYFUNCTION("""COMPUTED_VALUE"""),"T10")</f>
        <v>T10</v>
      </c>
      <c r="O770" s="97">
        <f ca="1">IFERROR(__xludf.DUMMYFUNCTION("""COMPUTED_VALUE"""),44551)</f>
        <v>44551</v>
      </c>
      <c r="P770" s="6" t="str">
        <f ca="1">IFERROR(__xludf.DUMMYFUNCTION("""COMPUTED_VALUE"""),"CSTM_ER0M2DTVEFL")</f>
        <v>CSTM_ER0M2DTVEFL</v>
      </c>
      <c r="Q770" s="6" t="str">
        <f ca="1">IFERROR(__xludf.DUMMYFUNCTION("""COMPUTED_VALUE"""),"Pragya K")</f>
        <v>Pragya K</v>
      </c>
      <c r="R770" s="6" t="str">
        <f ca="1">IFERROR(__xludf.DUMMYFUNCTION("""COMPUTED_VALUE"""),"Pending")</f>
        <v>Pending</v>
      </c>
      <c r="S770" s="6" t="str">
        <f ca="1">IFERROR(__xludf.DUMMYFUNCTION("""COMPUTED_VALUE"""),"Category")</f>
        <v>Category</v>
      </c>
      <c r="T770" s="6"/>
      <c r="U770" s="6"/>
      <c r="V770" s="6"/>
      <c r="W770" s="6"/>
      <c r="X770" s="6"/>
      <c r="Y770" s="6"/>
      <c r="Z770" s="6"/>
      <c r="AA770" s="6"/>
      <c r="AB770" s="6"/>
      <c r="AC770" s="6"/>
      <c r="AD770" s="6"/>
      <c r="AE770" s="6"/>
      <c r="AF770" s="6"/>
      <c r="AG770" s="6"/>
      <c r="AH770" s="6"/>
      <c r="AI770" s="6"/>
      <c r="AJ770" s="6"/>
      <c r="AK770" s="6"/>
      <c r="AL770" s="6"/>
    </row>
    <row r="771" spans="1:38">
      <c r="A771" s="96">
        <f ca="1">IFERROR(__xludf.DUMMYFUNCTION("""COMPUTED_VALUE"""),44551)</f>
        <v>44551</v>
      </c>
      <c r="B771" s="6" t="str">
        <f ca="1">IFERROR(__xludf.DUMMYFUNCTION("""COMPUTED_VALUE"""),"Rajeshwari")</f>
        <v>Rajeshwari</v>
      </c>
      <c r="C771" s="6" t="str">
        <f ca="1">IFERROR(__xludf.DUMMYFUNCTION("""COMPUTED_VALUE"""),"rajiraj9972@gmail.com")</f>
        <v>rajiraj9972@gmail.com</v>
      </c>
      <c r="D771" s="6">
        <f ca="1">IFERROR(__xludf.DUMMYFUNCTION("""COMPUTED_VALUE"""),8056173709)</f>
        <v>8056173709</v>
      </c>
      <c r="E771" s="6" t="str">
        <f ca="1">IFERROR(__xludf.DUMMYFUNCTION("""COMPUTED_VALUE"""),"chat_initiated")</f>
        <v>chat_initiated</v>
      </c>
      <c r="F771" s="6" t="str">
        <f ca="1">IFERROR(__xludf.DUMMYFUNCTION("""COMPUTED_VALUE"""),"PSM")</f>
        <v>PSM</v>
      </c>
      <c r="G771" s="80">
        <f ca="1">IFERROR(__xludf.DUMMYFUNCTION("""COMPUTED_VALUE"""),44531)</f>
        <v>44531</v>
      </c>
      <c r="H771" s="6" t="str">
        <f ca="1">IFERROR(__xludf.DUMMYFUNCTION("""COMPUTED_VALUE"""),"Won")</f>
        <v>Won</v>
      </c>
      <c r="I771" s="6" t="str">
        <f ca="1">IFERROR(__xludf.DUMMYFUNCTION("""COMPUTED_VALUE"""),"29-30 Jan 2022")</f>
        <v>29-30 Jan 2022</v>
      </c>
      <c r="J771" s="6">
        <f ca="1">IFERROR(__xludf.DUMMYFUNCTION("""COMPUTED_VALUE"""),1)</f>
        <v>1</v>
      </c>
      <c r="K771" s="8">
        <f ca="1">IFERROR(__xludf.DUMMYFUNCTION("""COMPUTED_VALUE"""),21000)</f>
        <v>21000</v>
      </c>
      <c r="L771" s="8">
        <f ca="1">IFERROR(__xludf.DUMMYFUNCTION("""COMPUTED_VALUE"""),240.494732020155)</f>
        <v>240.494732020155</v>
      </c>
      <c r="M771" s="96">
        <f ca="1">IFERROR(__xludf.DUMMYFUNCTION("""COMPUTED_VALUE"""),44551)</f>
        <v>44551</v>
      </c>
      <c r="N771" s="6" t="str">
        <f ca="1">IFERROR(__xludf.DUMMYFUNCTION("""COMPUTED_VALUE"""),"T10")</f>
        <v>T10</v>
      </c>
      <c r="O771" s="97">
        <f ca="1">IFERROR(__xludf.DUMMYFUNCTION("""COMPUTED_VALUE"""),44551)</f>
        <v>44551</v>
      </c>
      <c r="P771" s="6" t="str">
        <f ca="1">IFERROR(__xludf.DUMMYFUNCTION("""COMPUTED_VALUE"""),"CSTM_F7VU1OU6E0E")</f>
        <v>CSTM_F7VU1OU6E0E</v>
      </c>
      <c r="Q771" s="6"/>
      <c r="R771" s="6" t="str">
        <f ca="1">IFERROR(__xludf.DUMMYFUNCTION("""COMPUTED_VALUE"""),"Pending")</f>
        <v>Pending</v>
      </c>
      <c r="S771" s="6" t="str">
        <f ca="1">IFERROR(__xludf.DUMMYFUNCTION("""COMPUTED_VALUE"""),"Category")</f>
        <v>Category</v>
      </c>
      <c r="T771" s="6"/>
      <c r="U771" s="6"/>
      <c r="V771" s="6"/>
      <c r="W771" s="6"/>
      <c r="X771" s="6"/>
      <c r="Y771" s="6"/>
      <c r="Z771" s="6"/>
      <c r="AA771" s="6"/>
      <c r="AB771" s="6"/>
      <c r="AC771" s="6"/>
      <c r="AD771" s="6"/>
      <c r="AE771" s="6"/>
      <c r="AF771" s="6"/>
      <c r="AG771" s="6"/>
      <c r="AH771" s="6"/>
      <c r="AI771" s="6"/>
      <c r="AJ771" s="6"/>
      <c r="AK771" s="6"/>
      <c r="AL771" s="6"/>
    </row>
    <row r="772" spans="1:38">
      <c r="A772" s="96">
        <f ca="1">IFERROR(__xludf.DUMMYFUNCTION("""COMPUTED_VALUE"""),44552)</f>
        <v>44552</v>
      </c>
      <c r="B772" s="6" t="str">
        <f ca="1">IFERROR(__xludf.DUMMYFUNCTION("""COMPUTED_VALUE"""),"Dhananjay Sandhan")</f>
        <v>Dhananjay Sandhan</v>
      </c>
      <c r="C772" s="6" t="str">
        <f ca="1">IFERROR(__xludf.DUMMYFUNCTION("""COMPUTED_VALUE"""),"dhananjay_sandhan99@yahoo.com")</f>
        <v>dhananjay_sandhan99@yahoo.com</v>
      </c>
      <c r="D772" s="6">
        <f ca="1">IFERROR(__xludf.DUMMYFUNCTION("""COMPUTED_VALUE"""),9860487036)</f>
        <v>9860487036</v>
      </c>
      <c r="E772" s="6" t="str">
        <f ca="1">IFERROR(__xludf.DUMMYFUNCTION("""COMPUTED_VALUE"""),"Reference")</f>
        <v>Reference</v>
      </c>
      <c r="F772" s="6" t="str">
        <f ca="1">IFERROR(__xludf.DUMMYFUNCTION("""COMPUTED_VALUE"""),"SAFe Agile")</f>
        <v>SAFe Agile</v>
      </c>
      <c r="G772" s="80">
        <f ca="1">IFERROR(__xludf.DUMMYFUNCTION("""COMPUTED_VALUE"""),44531)</f>
        <v>44531</v>
      </c>
      <c r="H772" s="6" t="str">
        <f ca="1">IFERROR(__xludf.DUMMYFUNCTION("""COMPUTED_VALUE"""),"Won")</f>
        <v>Won</v>
      </c>
      <c r="I772" s="6" t="str">
        <f ca="1">IFERROR(__xludf.DUMMYFUNCTION("""COMPUTED_VALUE"""),"25-26 Dec 2021")</f>
        <v>25-26 Dec 2021</v>
      </c>
      <c r="J772" s="6">
        <f ca="1">IFERROR(__xludf.DUMMYFUNCTION("""COMPUTED_VALUE"""),1)</f>
        <v>1</v>
      </c>
      <c r="K772" s="8">
        <f ca="1">IFERROR(__xludf.DUMMYFUNCTION("""COMPUTED_VALUE"""),41000)</f>
        <v>41000</v>
      </c>
      <c r="L772" s="8">
        <f ca="1">IFERROR(__xludf.DUMMYFUNCTION("""COMPUTED_VALUE"""),469.537333944113)</f>
        <v>469.53733394411302</v>
      </c>
      <c r="M772" s="96">
        <f ca="1">IFERROR(__xludf.DUMMYFUNCTION("""COMPUTED_VALUE"""),44552)</f>
        <v>44552</v>
      </c>
      <c r="N772" s="6" t="str">
        <f ca="1">IFERROR(__xludf.DUMMYFUNCTION("""COMPUTED_VALUE"""),"T10")</f>
        <v>T10</v>
      </c>
      <c r="O772" s="97">
        <f ca="1">IFERROR(__xludf.DUMMYFUNCTION("""COMPUTED_VALUE"""),44552)</f>
        <v>44552</v>
      </c>
      <c r="P772" s="6" t="str">
        <f ca="1">IFERROR(__xludf.DUMMYFUNCTION("""COMPUTED_VALUE"""),"CSTM_D6DGXTVPLRI")</f>
        <v>CSTM_D6DGXTVPLRI</v>
      </c>
      <c r="Q772" s="6" t="str">
        <f ca="1">IFERROR(__xludf.DUMMYFUNCTION("""COMPUTED_VALUE"""),"uday.gajewar@yahoo.com")</f>
        <v>uday.gajewar@yahoo.com</v>
      </c>
      <c r="R772" s="6" t="str">
        <f ca="1">IFERROR(__xludf.DUMMYFUNCTION("""COMPUTED_VALUE"""),"Done. Good feedback.")</f>
        <v>Done. Good feedback.</v>
      </c>
      <c r="S772" s="6" t="str">
        <f ca="1">IFERROR(__xludf.DUMMYFUNCTION("""COMPUTED_VALUE"""),"SAFe")</f>
        <v>SAFe</v>
      </c>
      <c r="T772" s="6"/>
      <c r="U772" s="6"/>
      <c r="V772" s="6"/>
      <c r="W772" s="6"/>
      <c r="X772" s="6"/>
      <c r="Y772" s="6"/>
      <c r="Z772" s="6"/>
      <c r="AA772" s="6"/>
      <c r="AB772" s="6"/>
      <c r="AC772" s="6"/>
      <c r="AD772" s="6"/>
      <c r="AE772" s="6"/>
      <c r="AF772" s="6"/>
      <c r="AG772" s="6"/>
      <c r="AH772" s="6"/>
      <c r="AI772" s="6"/>
      <c r="AJ772" s="6"/>
      <c r="AK772" s="6"/>
      <c r="AL772" s="6"/>
    </row>
    <row r="773" spans="1:38">
      <c r="A773" s="96">
        <f ca="1">IFERROR(__xludf.DUMMYFUNCTION("""COMPUTED_VALUE"""),44552)</f>
        <v>44552</v>
      </c>
      <c r="B773" s="6" t="str">
        <f ca="1">IFERROR(__xludf.DUMMYFUNCTION("""COMPUTED_VALUE"""),"Anshika Aggarwal")</f>
        <v>Anshika Aggarwal</v>
      </c>
      <c r="C773" s="6" t="str">
        <f ca="1">IFERROR(__xludf.DUMMYFUNCTION("""COMPUTED_VALUE"""),"anshika.aggarwal9@gmail.com")</f>
        <v>anshika.aggarwal9@gmail.com</v>
      </c>
      <c r="D773" s="6">
        <f ca="1">IFERROR(__xludf.DUMMYFUNCTION("""COMPUTED_VALUE"""),7760095095)</f>
        <v>7760095095</v>
      </c>
      <c r="E773" s="6" t="str">
        <f ca="1">IFERROR(__xludf.DUMMYFUNCTION("""COMPUTED_VALUE"""),"Account Repeat")</f>
        <v>Account Repeat</v>
      </c>
      <c r="F773" s="6" t="str">
        <f ca="1">IFERROR(__xludf.DUMMYFUNCTION("""COMPUTED_VALUE"""),"CSPO")</f>
        <v>CSPO</v>
      </c>
      <c r="G773" s="80">
        <f ca="1">IFERROR(__xludf.DUMMYFUNCTION("""COMPUTED_VALUE"""),44531)</f>
        <v>44531</v>
      </c>
      <c r="H773" s="6" t="str">
        <f ca="1">IFERROR(__xludf.DUMMYFUNCTION("""COMPUTED_VALUE"""),"Won")</f>
        <v>Won</v>
      </c>
      <c r="I773" s="6" t="str">
        <f ca="1">IFERROR(__xludf.DUMMYFUNCTION("""COMPUTED_VALUE"""),"18-19 Jan 2022")</f>
        <v>18-19 Jan 2022</v>
      </c>
      <c r="J773" s="6">
        <f ca="1">IFERROR(__xludf.DUMMYFUNCTION("""COMPUTED_VALUE"""),1)</f>
        <v>1</v>
      </c>
      <c r="K773" s="8">
        <f ca="1">IFERROR(__xludf.DUMMYFUNCTION("""COMPUTED_VALUE"""),20000)</f>
        <v>20000</v>
      </c>
      <c r="L773" s="8">
        <f ca="1">IFERROR(__xludf.DUMMYFUNCTION("""COMPUTED_VALUE"""),229.042601923957)</f>
        <v>229.04260192395699</v>
      </c>
      <c r="M773" s="96">
        <f ca="1">IFERROR(__xludf.DUMMYFUNCTION("""COMPUTED_VALUE"""),44552)</f>
        <v>44552</v>
      </c>
      <c r="N773" s="6" t="str">
        <f ca="1">IFERROR(__xludf.DUMMYFUNCTION("""COMPUTED_VALUE"""),"T10")</f>
        <v>T10</v>
      </c>
      <c r="O773" s="97">
        <f ca="1">IFERROR(__xludf.DUMMYFUNCTION("""COMPUTED_VALUE"""),44552)</f>
        <v>44552</v>
      </c>
      <c r="P773" s="6" t="str">
        <f ca="1">IFERROR(__xludf.DUMMYFUNCTION("""COMPUTED_VALUE"""),"CSTM_ECV7TCRT56T")</f>
        <v>CSTM_ECV7TCRT56T</v>
      </c>
      <c r="Q773" s="6"/>
      <c r="R773" s="6" t="str">
        <f ca="1">IFERROR(__xludf.DUMMYFUNCTION("""COMPUTED_VALUE"""),"Pending")</f>
        <v>Pending</v>
      </c>
      <c r="S773" s="6" t="str">
        <f ca="1">IFERROR(__xludf.DUMMYFUNCTION("""COMPUTED_VALUE"""),"Category")</f>
        <v>Category</v>
      </c>
      <c r="T773" s="6"/>
      <c r="U773" s="6"/>
      <c r="V773" s="6"/>
      <c r="W773" s="6"/>
      <c r="X773" s="6"/>
      <c r="Y773" s="6"/>
      <c r="Z773" s="6"/>
      <c r="AA773" s="6"/>
      <c r="AB773" s="6"/>
      <c r="AC773" s="6"/>
      <c r="AD773" s="6"/>
      <c r="AE773" s="6"/>
      <c r="AF773" s="6"/>
      <c r="AG773" s="6"/>
      <c r="AH773" s="6"/>
      <c r="AI773" s="6"/>
      <c r="AJ773" s="6"/>
      <c r="AK773" s="6"/>
      <c r="AL773" s="6"/>
    </row>
    <row r="774" spans="1:38">
      <c r="A774" s="96">
        <f ca="1">IFERROR(__xludf.DUMMYFUNCTION("""COMPUTED_VALUE"""),44552)</f>
        <v>44552</v>
      </c>
      <c r="B774" s="6" t="str">
        <f ca="1">IFERROR(__xludf.DUMMYFUNCTION("""COMPUTED_VALUE"""),"Tejaswini Lalge")</f>
        <v>Tejaswini Lalge</v>
      </c>
      <c r="C774" s="6" t="str">
        <f ca="1">IFERROR(__xludf.DUMMYFUNCTION("""COMPUTED_VALUE"""),"tej.lalge@gmail.com")</f>
        <v>tej.lalge@gmail.com</v>
      </c>
      <c r="D774" s="6">
        <f ca="1">IFERROR(__xludf.DUMMYFUNCTION("""COMPUTED_VALUE"""),8805126330)</f>
        <v>8805126330</v>
      </c>
      <c r="E774" s="6" t="str">
        <f ca="1">IFERROR(__xludf.DUMMYFUNCTION("""COMPUTED_VALUE"""),"Chat_triggered")</f>
        <v>Chat_triggered</v>
      </c>
      <c r="F774" s="6" t="str">
        <f ca="1">IFERROR(__xludf.DUMMYFUNCTION("""COMPUTED_VALUE"""),"PSPO")</f>
        <v>PSPO</v>
      </c>
      <c r="G774" s="80">
        <f ca="1">IFERROR(__xludf.DUMMYFUNCTION("""COMPUTED_VALUE"""),44531)</f>
        <v>44531</v>
      </c>
      <c r="H774" s="6" t="str">
        <f ca="1">IFERROR(__xludf.DUMMYFUNCTION("""COMPUTED_VALUE"""),"Won")</f>
        <v>Won</v>
      </c>
      <c r="I774" s="6" t="str">
        <f ca="1">IFERROR(__xludf.DUMMYFUNCTION("""COMPUTED_VALUE"""),"25-26 Dec 2021")</f>
        <v>25-26 Dec 2021</v>
      </c>
      <c r="J774" s="6">
        <f ca="1">IFERROR(__xludf.DUMMYFUNCTION("""COMPUTED_VALUE"""),1)</f>
        <v>1</v>
      </c>
      <c r="K774" s="8">
        <f ca="1">IFERROR(__xludf.DUMMYFUNCTION("""COMPUTED_VALUE"""),21000)</f>
        <v>21000</v>
      </c>
      <c r="L774" s="8">
        <f ca="1">IFERROR(__xludf.DUMMYFUNCTION("""COMPUTED_VALUE"""),240.494732020155)</f>
        <v>240.494732020155</v>
      </c>
      <c r="M774" s="96">
        <f ca="1">IFERROR(__xludf.DUMMYFUNCTION("""COMPUTED_VALUE"""),44552)</f>
        <v>44552</v>
      </c>
      <c r="N774" s="6" t="str">
        <f ca="1">IFERROR(__xludf.DUMMYFUNCTION("""COMPUTED_VALUE"""),"T10")</f>
        <v>T10</v>
      </c>
      <c r="O774" s="97">
        <f ca="1">IFERROR(__xludf.DUMMYFUNCTION("""COMPUTED_VALUE"""),44552)</f>
        <v>44552</v>
      </c>
      <c r="P774" s="6" t="str">
        <f ca="1">IFERROR(__xludf.DUMMYFUNCTION("""COMPUTED_VALUE"""),"CSTM_5TCX2Q9392Z")</f>
        <v>CSTM_5TCX2Q9392Z</v>
      </c>
      <c r="Q774" s="6"/>
      <c r="R774" s="6" t="str">
        <f ca="1">IFERROR(__xludf.DUMMYFUNCTION("""COMPUTED_VALUE"""),"Done. Good feedback.")</f>
        <v>Done. Good feedback.</v>
      </c>
      <c r="S774" s="6" t="str">
        <f ca="1">IFERROR(__xludf.DUMMYFUNCTION("""COMPUTED_VALUE"""),"Category")</f>
        <v>Category</v>
      </c>
      <c r="T774" s="6"/>
      <c r="U774" s="6"/>
      <c r="V774" s="6"/>
      <c r="W774" s="6"/>
      <c r="X774" s="6"/>
      <c r="Y774" s="6"/>
      <c r="Z774" s="6"/>
      <c r="AA774" s="6"/>
      <c r="AB774" s="6"/>
      <c r="AC774" s="6"/>
      <c r="AD774" s="6"/>
      <c r="AE774" s="6"/>
      <c r="AF774" s="6"/>
      <c r="AG774" s="6"/>
      <c r="AH774" s="6"/>
      <c r="AI774" s="6"/>
      <c r="AJ774" s="6"/>
      <c r="AK774" s="6"/>
      <c r="AL774" s="6"/>
    </row>
    <row r="775" spans="1:38">
      <c r="A775" s="96">
        <f ca="1">IFERROR(__xludf.DUMMYFUNCTION("""COMPUTED_VALUE"""),44553)</f>
        <v>44553</v>
      </c>
      <c r="B775" s="6" t="str">
        <f ca="1">IFERROR(__xludf.DUMMYFUNCTION("""COMPUTED_VALUE"""),"Pankaj Jain")</f>
        <v>Pankaj Jain</v>
      </c>
      <c r="C775" s="6" t="str">
        <f ca="1">IFERROR(__xludf.DUMMYFUNCTION("""COMPUTED_VALUE"""),"pjain5@dxc.com")</f>
        <v>pjain5@dxc.com</v>
      </c>
      <c r="D775" s="6">
        <f ca="1">IFERROR(__xludf.DUMMYFUNCTION("""COMPUTED_VALUE"""),9893367670)</f>
        <v>9893367670</v>
      </c>
      <c r="E775" s="6" t="str">
        <f ca="1">IFERROR(__xludf.DUMMYFUNCTION("""COMPUTED_VALUE"""),"Reference")</f>
        <v>Reference</v>
      </c>
      <c r="F775" s="6" t="str">
        <f ca="1">IFERROR(__xludf.DUMMYFUNCTION("""COMPUTED_VALUE"""),"SAFe Agile")</f>
        <v>SAFe Agile</v>
      </c>
      <c r="G775" s="80">
        <f ca="1">IFERROR(__xludf.DUMMYFUNCTION("""COMPUTED_VALUE"""),44531)</f>
        <v>44531</v>
      </c>
      <c r="H775" s="6" t="str">
        <f ca="1">IFERROR(__xludf.DUMMYFUNCTION("""COMPUTED_VALUE"""),"Won")</f>
        <v>Won</v>
      </c>
      <c r="I775" s="6" t="str">
        <f ca="1">IFERROR(__xludf.DUMMYFUNCTION("""COMPUTED_VALUE"""),"25-26 Dec 2021")</f>
        <v>25-26 Dec 2021</v>
      </c>
      <c r="J775" s="6">
        <f ca="1">IFERROR(__xludf.DUMMYFUNCTION("""COMPUTED_VALUE"""),1)</f>
        <v>1</v>
      </c>
      <c r="K775" s="8">
        <f ca="1">IFERROR(__xludf.DUMMYFUNCTION("""COMPUTED_VALUE"""),45000)</f>
        <v>45000</v>
      </c>
      <c r="L775" s="8">
        <f ca="1">IFERROR(__xludf.DUMMYFUNCTION("""COMPUTED_VALUE"""),515.345854328905)</f>
        <v>515.34585432890503</v>
      </c>
      <c r="M775" s="96">
        <f ca="1">IFERROR(__xludf.DUMMYFUNCTION("""COMPUTED_VALUE"""),44553)</f>
        <v>44553</v>
      </c>
      <c r="N775" s="6" t="str">
        <f ca="1">IFERROR(__xludf.DUMMYFUNCTION("""COMPUTED_VALUE"""),"T10")</f>
        <v>T10</v>
      </c>
      <c r="O775" s="97">
        <f ca="1">IFERROR(__xludf.DUMMYFUNCTION("""COMPUTED_VALUE"""),44553)</f>
        <v>44553</v>
      </c>
      <c r="P775" s="6" t="str">
        <f ca="1">IFERROR(__xludf.DUMMYFUNCTION("""COMPUTED_VALUE"""),"CSTM_GT22OKJDGHA")</f>
        <v>CSTM_GT22OKJDGHA</v>
      </c>
      <c r="Q775" s="6" t="str">
        <f ca="1">IFERROR(__xludf.DUMMYFUNCTION("""COMPUTED_VALUE"""),"vikram_goel1@yahoo.com")</f>
        <v>vikram_goel1@yahoo.com</v>
      </c>
      <c r="R775" s="6" t="str">
        <f ca="1">IFERROR(__xludf.DUMMYFUNCTION("""COMPUTED_VALUE"""),"Done. Good feedback.")</f>
        <v>Done. Good feedback.</v>
      </c>
      <c r="S775" s="6" t="str">
        <f ca="1">IFERROR(__xludf.DUMMYFUNCTION("""COMPUTED_VALUE"""),"SAFe")</f>
        <v>SAFe</v>
      </c>
      <c r="T775" s="6"/>
      <c r="U775" s="6"/>
      <c r="V775" s="6"/>
      <c r="W775" s="6"/>
      <c r="X775" s="6"/>
      <c r="Y775" s="6"/>
      <c r="Z775" s="6"/>
      <c r="AA775" s="6"/>
      <c r="AB775" s="6"/>
      <c r="AC775" s="6"/>
      <c r="AD775" s="6"/>
      <c r="AE775" s="6"/>
      <c r="AF775" s="6"/>
      <c r="AG775" s="6"/>
      <c r="AH775" s="6"/>
      <c r="AI775" s="6"/>
      <c r="AJ775" s="6"/>
      <c r="AK775" s="6"/>
      <c r="AL775" s="6"/>
    </row>
    <row r="776" spans="1:38">
      <c r="A776" s="96">
        <f ca="1">IFERROR(__xludf.DUMMYFUNCTION("""COMPUTED_VALUE"""),44553)</f>
        <v>44553</v>
      </c>
      <c r="B776" s="6" t="str">
        <f ca="1">IFERROR(__xludf.DUMMYFUNCTION("""COMPUTED_VALUE"""),"Prabhakaran")</f>
        <v>Prabhakaran</v>
      </c>
      <c r="C776" s="6" t="str">
        <f ca="1">IFERROR(__xludf.DUMMYFUNCTION("""COMPUTED_VALUE"""),"prabhakaran61@gmail.com")</f>
        <v>prabhakaran61@gmail.com</v>
      </c>
      <c r="D776" s="6">
        <f ca="1">IFERROR(__xludf.DUMMYFUNCTION("""COMPUTED_VALUE"""),9964923684)</f>
        <v>9964923684</v>
      </c>
      <c r="E776" s="6" t="str">
        <f ca="1">IFERROR(__xludf.DUMMYFUNCTION("""COMPUTED_VALUE"""),"Reference")</f>
        <v>Reference</v>
      </c>
      <c r="F776" s="6" t="str">
        <f ca="1">IFERROR(__xludf.DUMMYFUNCTION("""COMPUTED_VALUE"""),"CSM")</f>
        <v>CSM</v>
      </c>
      <c r="G776" s="80">
        <f ca="1">IFERROR(__xludf.DUMMYFUNCTION("""COMPUTED_VALUE"""),44531)</f>
        <v>44531</v>
      </c>
      <c r="H776" s="6" t="str">
        <f ca="1">IFERROR(__xludf.DUMMYFUNCTION("""COMPUTED_VALUE"""),"Won")</f>
        <v>Won</v>
      </c>
      <c r="I776" s="6" t="str">
        <f ca="1">IFERROR(__xludf.DUMMYFUNCTION("""COMPUTED_VALUE"""),"22-23 Jan 2022")</f>
        <v>22-23 Jan 2022</v>
      </c>
      <c r="J776" s="6">
        <f ca="1">IFERROR(__xludf.DUMMYFUNCTION("""COMPUTED_VALUE"""),1)</f>
        <v>1</v>
      </c>
      <c r="K776" s="8">
        <f ca="1">IFERROR(__xludf.DUMMYFUNCTION("""COMPUTED_VALUE"""),20000)</f>
        <v>20000</v>
      </c>
      <c r="L776" s="8">
        <f ca="1">IFERROR(__xludf.DUMMYFUNCTION("""COMPUTED_VALUE"""),229.042601923957)</f>
        <v>229.04260192395699</v>
      </c>
      <c r="M776" s="96">
        <f ca="1">IFERROR(__xludf.DUMMYFUNCTION("""COMPUTED_VALUE"""),44553)</f>
        <v>44553</v>
      </c>
      <c r="N776" s="6" t="str">
        <f ca="1">IFERROR(__xludf.DUMMYFUNCTION("""COMPUTED_VALUE"""),"T10")</f>
        <v>T10</v>
      </c>
      <c r="O776" s="97">
        <f ca="1">IFERROR(__xludf.DUMMYFUNCTION("""COMPUTED_VALUE"""),44553)</f>
        <v>44553</v>
      </c>
      <c r="P776" s="6" t="str">
        <f ca="1">IFERROR(__xludf.DUMMYFUNCTION("""COMPUTED_VALUE"""),"CSTM_8462MXQ0R99")</f>
        <v>CSTM_8462MXQ0R99</v>
      </c>
      <c r="Q776" s="6" t="str">
        <f ca="1">IFERROR(__xludf.DUMMYFUNCTION("""COMPUTED_VALUE"""),"Reference by umasibm2008@gmail.com")</f>
        <v>Reference by umasibm2008@gmail.com</v>
      </c>
      <c r="R776" s="6" t="str">
        <f ca="1">IFERROR(__xludf.DUMMYFUNCTION("""COMPUTED_VALUE"""),"Pending")</f>
        <v>Pending</v>
      </c>
      <c r="S776" s="6" t="str">
        <f ca="1">IFERROR(__xludf.DUMMYFUNCTION("""COMPUTED_VALUE"""),"Category")</f>
        <v>Category</v>
      </c>
      <c r="T776" s="6"/>
      <c r="U776" s="6"/>
      <c r="V776" s="6"/>
      <c r="W776" s="6"/>
      <c r="X776" s="6"/>
      <c r="Y776" s="6"/>
      <c r="Z776" s="6"/>
      <c r="AA776" s="6"/>
      <c r="AB776" s="6"/>
      <c r="AC776" s="6"/>
      <c r="AD776" s="6"/>
      <c r="AE776" s="6"/>
      <c r="AF776" s="6"/>
      <c r="AG776" s="6"/>
      <c r="AH776" s="6"/>
      <c r="AI776" s="6"/>
      <c r="AJ776" s="6"/>
      <c r="AK776" s="6"/>
      <c r="AL776" s="6"/>
    </row>
    <row r="777" spans="1:38">
      <c r="A777" s="96">
        <f ca="1">IFERROR(__xludf.DUMMYFUNCTION("""COMPUTED_VALUE"""),44554)</f>
        <v>44554</v>
      </c>
      <c r="B777" s="6" t="str">
        <f ca="1">IFERROR(__xludf.DUMMYFUNCTION("""COMPUTED_VALUE"""),"Pratik Sachdeva")</f>
        <v>Pratik Sachdeva</v>
      </c>
      <c r="C777" s="6" t="str">
        <f ca="1">IFERROR(__xludf.DUMMYFUNCTION("""COMPUTED_VALUE"""),"sachdevapratik@gmail.com")</f>
        <v>sachdevapratik@gmail.com</v>
      </c>
      <c r="D777" s="6">
        <f ca="1">IFERROR(__xludf.DUMMYFUNCTION("""COMPUTED_VALUE"""),9899994873)</f>
        <v>9899994873</v>
      </c>
      <c r="E777" s="6" t="str">
        <f ca="1">IFERROR(__xludf.DUMMYFUNCTION("""COMPUTED_VALUE"""),"Tollfree")</f>
        <v>Tollfree</v>
      </c>
      <c r="F777" s="6" t="str">
        <f ca="1">IFERROR(__xludf.DUMMYFUNCTION("""COMPUTED_VALUE"""),"PSM")</f>
        <v>PSM</v>
      </c>
      <c r="G777" s="80">
        <f ca="1">IFERROR(__xludf.DUMMYFUNCTION("""COMPUTED_VALUE"""),44531)</f>
        <v>44531</v>
      </c>
      <c r="H777" s="6" t="str">
        <f ca="1">IFERROR(__xludf.DUMMYFUNCTION("""COMPUTED_VALUE"""),"Won")</f>
        <v>Won</v>
      </c>
      <c r="I777" s="6" t="str">
        <f ca="1">IFERROR(__xludf.DUMMYFUNCTION("""COMPUTED_VALUE"""),"25-26 Dec 2021")</f>
        <v>25-26 Dec 2021</v>
      </c>
      <c r="J777" s="6">
        <f ca="1">IFERROR(__xludf.DUMMYFUNCTION("""COMPUTED_VALUE"""),1)</f>
        <v>1</v>
      </c>
      <c r="K777" s="8">
        <f ca="1">IFERROR(__xludf.DUMMYFUNCTION("""COMPUTED_VALUE"""),20500)</f>
        <v>20500</v>
      </c>
      <c r="L777" s="8">
        <f ca="1">IFERROR(__xludf.DUMMYFUNCTION("""COMPUTED_VALUE"""),234.768666972056)</f>
        <v>234.768666972056</v>
      </c>
      <c r="M777" s="96">
        <f ca="1">IFERROR(__xludf.DUMMYFUNCTION("""COMPUTED_VALUE"""),44554)</f>
        <v>44554</v>
      </c>
      <c r="N777" s="6" t="str">
        <f ca="1">IFERROR(__xludf.DUMMYFUNCTION("""COMPUTED_VALUE"""),"T10")</f>
        <v>T10</v>
      </c>
      <c r="O777" s="97">
        <f ca="1">IFERROR(__xludf.DUMMYFUNCTION("""COMPUTED_VALUE"""),44554)</f>
        <v>44554</v>
      </c>
      <c r="P777" s="6" t="str">
        <f ca="1">IFERROR(__xludf.DUMMYFUNCTION("""COMPUTED_VALUE"""),"CSTM_2YCI1QX4RGE")</f>
        <v>CSTM_2YCI1QX4RGE</v>
      </c>
      <c r="Q777" s="6"/>
      <c r="R777" s="6" t="str">
        <f ca="1">IFERROR(__xludf.DUMMYFUNCTION("""COMPUTED_VALUE"""),"Done. Good feedback.")</f>
        <v>Done. Good feedback.</v>
      </c>
      <c r="S777" s="6" t="str">
        <f ca="1">IFERROR(__xludf.DUMMYFUNCTION("""COMPUTED_VALUE"""),"Category")</f>
        <v>Category</v>
      </c>
      <c r="T777" s="6"/>
      <c r="U777" s="6"/>
      <c r="V777" s="6"/>
      <c r="W777" s="6"/>
      <c r="X777" s="6"/>
      <c r="Y777" s="6"/>
      <c r="Z777" s="6"/>
      <c r="AA777" s="6"/>
      <c r="AB777" s="6"/>
      <c r="AC777" s="6"/>
      <c r="AD777" s="6"/>
      <c r="AE777" s="6"/>
      <c r="AF777" s="6"/>
      <c r="AG777" s="6"/>
      <c r="AH777" s="6"/>
      <c r="AI777" s="6"/>
      <c r="AJ777" s="6"/>
      <c r="AK777" s="6"/>
      <c r="AL777" s="6"/>
    </row>
    <row r="778" spans="1:38">
      <c r="A778" s="96">
        <f ca="1">IFERROR(__xludf.DUMMYFUNCTION("""COMPUTED_VALUE"""),44554)</f>
        <v>44554</v>
      </c>
      <c r="B778" s="6" t="str">
        <f ca="1">IFERROR(__xludf.DUMMYFUNCTION("""COMPUTED_VALUE"""),"Pramod Vakkalanka")</f>
        <v>Pramod Vakkalanka</v>
      </c>
      <c r="C778" s="6" t="str">
        <f ca="1">IFERROR(__xludf.DUMMYFUNCTION("""COMPUTED_VALUE"""),"vakkalanka84@gmail.com")</f>
        <v>vakkalanka84@gmail.com</v>
      </c>
      <c r="D778" s="6">
        <f ca="1">IFERROR(__xludf.DUMMYFUNCTION("""COMPUTED_VALUE"""),8501005533)</f>
        <v>8501005533</v>
      </c>
      <c r="E778" s="6" t="str">
        <f ca="1">IFERROR(__xludf.DUMMYFUNCTION("""COMPUTED_VALUE"""),"Reference")</f>
        <v>Reference</v>
      </c>
      <c r="F778" s="6" t="str">
        <f ca="1">IFERROR(__xludf.DUMMYFUNCTION("""COMPUTED_VALUE"""),"CSM")</f>
        <v>CSM</v>
      </c>
      <c r="G778" s="80">
        <f ca="1">IFERROR(__xludf.DUMMYFUNCTION("""COMPUTED_VALUE"""),44531)</f>
        <v>44531</v>
      </c>
      <c r="H778" s="6" t="str">
        <f ca="1">IFERROR(__xludf.DUMMYFUNCTION("""COMPUTED_VALUE"""),"Won")</f>
        <v>Won</v>
      </c>
      <c r="I778" s="6" t="str">
        <f ca="1">IFERROR(__xludf.DUMMYFUNCTION("""COMPUTED_VALUE"""),"22-23 Jan 2022")</f>
        <v>22-23 Jan 2022</v>
      </c>
      <c r="J778" s="6">
        <f ca="1">IFERROR(__xludf.DUMMYFUNCTION("""COMPUTED_VALUE"""),1)</f>
        <v>1</v>
      </c>
      <c r="K778" s="8">
        <f ca="1">IFERROR(__xludf.DUMMYFUNCTION("""COMPUTED_VALUE"""),20000)</f>
        <v>20000</v>
      </c>
      <c r="L778" s="8">
        <f ca="1">IFERROR(__xludf.DUMMYFUNCTION("""COMPUTED_VALUE"""),229.042601923957)</f>
        <v>229.04260192395699</v>
      </c>
      <c r="M778" s="96">
        <f ca="1">IFERROR(__xludf.DUMMYFUNCTION("""COMPUTED_VALUE"""),44554)</f>
        <v>44554</v>
      </c>
      <c r="N778" s="6" t="str">
        <f ca="1">IFERROR(__xludf.DUMMYFUNCTION("""COMPUTED_VALUE"""),"T10")</f>
        <v>T10</v>
      </c>
      <c r="O778" s="97">
        <f ca="1">IFERROR(__xludf.DUMMYFUNCTION("""COMPUTED_VALUE"""),44554)</f>
        <v>44554</v>
      </c>
      <c r="P778" s="6" t="str">
        <f ca="1">IFERROR(__xludf.DUMMYFUNCTION("""COMPUTED_VALUE"""),"CSTM_84HRK73TDPX")</f>
        <v>CSTM_84HRK73TDPX</v>
      </c>
      <c r="Q778" s="6" t="str">
        <f ca="1">IFERROR(__xludf.DUMMYFUNCTION("""COMPUTED_VALUE"""),"Reference by Divya Ponugupai")</f>
        <v>Reference by Divya Ponugupai</v>
      </c>
      <c r="R778" s="6" t="str">
        <f ca="1">IFERROR(__xludf.DUMMYFUNCTION("""COMPUTED_VALUE"""),"Pending")</f>
        <v>Pending</v>
      </c>
      <c r="S778" s="6" t="str">
        <f ca="1">IFERROR(__xludf.DUMMYFUNCTION("""COMPUTED_VALUE"""),"Category")</f>
        <v>Category</v>
      </c>
      <c r="T778" s="6"/>
      <c r="U778" s="6"/>
      <c r="V778" s="6"/>
      <c r="W778" s="6"/>
      <c r="X778" s="6"/>
      <c r="Y778" s="6"/>
      <c r="Z778" s="6"/>
      <c r="AA778" s="6"/>
      <c r="AB778" s="6"/>
      <c r="AC778" s="6"/>
      <c r="AD778" s="6"/>
      <c r="AE778" s="6"/>
      <c r="AF778" s="6"/>
      <c r="AG778" s="6"/>
      <c r="AH778" s="6"/>
      <c r="AI778" s="6"/>
      <c r="AJ778" s="6"/>
      <c r="AK778" s="6"/>
      <c r="AL778" s="6"/>
    </row>
    <row r="779" spans="1:38">
      <c r="A779" s="96">
        <f ca="1">IFERROR(__xludf.DUMMYFUNCTION("""COMPUTED_VALUE"""),44556)</f>
        <v>44556</v>
      </c>
      <c r="B779" s="6" t="str">
        <f ca="1">IFERROR(__xludf.DUMMYFUNCTION("""COMPUTED_VALUE"""),"Meetu Chopra")</f>
        <v>Meetu Chopra</v>
      </c>
      <c r="C779" s="6" t="str">
        <f ca="1">IFERROR(__xludf.DUMMYFUNCTION("""COMPUTED_VALUE"""),"meetu.chopra06@gmail.com")</f>
        <v>meetu.chopra06@gmail.com</v>
      </c>
      <c r="D779" s="6">
        <f ca="1">IFERROR(__xludf.DUMMYFUNCTION("""COMPUTED_VALUE"""),9289663639)</f>
        <v>9289663639</v>
      </c>
      <c r="E779" s="6" t="str">
        <f ca="1">IFERROR(__xludf.DUMMYFUNCTION("""COMPUTED_VALUE"""),"Request a call")</f>
        <v>Request a call</v>
      </c>
      <c r="F779" s="6" t="str">
        <f ca="1">IFERROR(__xludf.DUMMYFUNCTION("""COMPUTED_VALUE"""),"SAFe SSM")</f>
        <v>SAFe SSM</v>
      </c>
      <c r="G779" s="80">
        <f ca="1">IFERROR(__xludf.DUMMYFUNCTION("""COMPUTED_VALUE"""),44531)</f>
        <v>44531</v>
      </c>
      <c r="H779" s="6" t="str">
        <f ca="1">IFERROR(__xludf.DUMMYFUNCTION("""COMPUTED_VALUE"""),"Won")</f>
        <v>Won</v>
      </c>
      <c r="I779" s="6" t="str">
        <f ca="1">IFERROR(__xludf.DUMMYFUNCTION("""COMPUTED_VALUE"""),"8-9 Jan 2022")</f>
        <v>8-9 Jan 2022</v>
      </c>
      <c r="J779" s="6">
        <f ca="1">IFERROR(__xludf.DUMMYFUNCTION("""COMPUTED_VALUE"""),1)</f>
        <v>1</v>
      </c>
      <c r="K779" s="8">
        <f ca="1">IFERROR(__xludf.DUMMYFUNCTION("""COMPUTED_VALUE"""),41000)</f>
        <v>41000</v>
      </c>
      <c r="L779" s="8">
        <f ca="1">IFERROR(__xludf.DUMMYFUNCTION("""COMPUTED_VALUE"""),469.537333944113)</f>
        <v>469.53733394411302</v>
      </c>
      <c r="M779" s="96">
        <f ca="1">IFERROR(__xludf.DUMMYFUNCTION("""COMPUTED_VALUE"""),44556)</f>
        <v>44556</v>
      </c>
      <c r="N779" s="6" t="str">
        <f ca="1">IFERROR(__xludf.DUMMYFUNCTION("""COMPUTED_VALUE"""),"T10")</f>
        <v>T10</v>
      </c>
      <c r="O779" s="97">
        <f ca="1">IFERROR(__xludf.DUMMYFUNCTION("""COMPUTED_VALUE"""),44556)</f>
        <v>44556</v>
      </c>
      <c r="P779" s="6" t="str">
        <f ca="1">IFERROR(__xludf.DUMMYFUNCTION("""COMPUTED_VALUE"""),"CSTM_JI6UZJQ7XNB")</f>
        <v>CSTM_JI6UZJQ7XNB</v>
      </c>
      <c r="Q779" s="6"/>
      <c r="R779" s="6" t="str">
        <f ca="1">IFERROR(__xludf.DUMMYFUNCTION("""COMPUTED_VALUE"""),"Pending")</f>
        <v>Pending</v>
      </c>
      <c r="S779" s="6" t="str">
        <f ca="1">IFERROR(__xludf.DUMMYFUNCTION("""COMPUTED_VALUE"""),"SAFe")</f>
        <v>SAFe</v>
      </c>
      <c r="T779" s="6"/>
      <c r="U779" s="6"/>
      <c r="V779" s="6"/>
      <c r="W779" s="6"/>
      <c r="X779" s="6"/>
      <c r="Y779" s="6"/>
      <c r="Z779" s="6"/>
      <c r="AA779" s="6"/>
      <c r="AB779" s="6"/>
      <c r="AC779" s="6"/>
      <c r="AD779" s="6"/>
      <c r="AE779" s="6"/>
      <c r="AF779" s="6"/>
      <c r="AG779" s="6"/>
      <c r="AH779" s="6"/>
      <c r="AI779" s="6"/>
      <c r="AJ779" s="6"/>
      <c r="AK779" s="6"/>
      <c r="AL779" s="6"/>
    </row>
    <row r="780" spans="1:38">
      <c r="A780" s="96">
        <f ca="1">IFERROR(__xludf.DUMMYFUNCTION("""COMPUTED_VALUE"""),44557)</f>
        <v>44557</v>
      </c>
      <c r="B780" s="6" t="str">
        <f ca="1">IFERROR(__xludf.DUMMYFUNCTION("""COMPUTED_VALUE"""),"Anushree")</f>
        <v>Anushree</v>
      </c>
      <c r="C780" s="6" t="str">
        <f ca="1">IFERROR(__xludf.DUMMYFUNCTION("""COMPUTED_VALUE"""),"anu.anushree06@gmail.com")</f>
        <v>anu.anushree06@gmail.com</v>
      </c>
      <c r="D780" s="6">
        <f ca="1">IFERROR(__xludf.DUMMYFUNCTION("""COMPUTED_VALUE"""),9320618506)</f>
        <v>9320618506</v>
      </c>
      <c r="E780" s="6" t="str">
        <f ca="1">IFERROR(__xludf.DUMMYFUNCTION("""COMPUTED_VALUE"""),"Chat_triggered")</f>
        <v>Chat_triggered</v>
      </c>
      <c r="F780" s="6" t="str">
        <f ca="1">IFERROR(__xludf.DUMMYFUNCTION("""COMPUTED_VALUE"""),"PSM")</f>
        <v>PSM</v>
      </c>
      <c r="G780" s="80">
        <f ca="1">IFERROR(__xludf.DUMMYFUNCTION("""COMPUTED_VALUE"""),44531)</f>
        <v>44531</v>
      </c>
      <c r="H780" s="6" t="str">
        <f ca="1">IFERROR(__xludf.DUMMYFUNCTION("""COMPUTED_VALUE"""),"Opportunity")</f>
        <v>Opportunity</v>
      </c>
      <c r="I780" s="6" t="str">
        <f ca="1">IFERROR(__xludf.DUMMYFUNCTION("""COMPUTED_VALUE"""),"15-16 Jan 2022")</f>
        <v>15-16 Jan 2022</v>
      </c>
      <c r="J780" s="6">
        <f ca="1">IFERROR(__xludf.DUMMYFUNCTION("""COMPUTED_VALUE"""),1)</f>
        <v>1</v>
      </c>
      <c r="K780" s="8">
        <f ca="1">IFERROR(__xludf.DUMMYFUNCTION("""COMPUTED_VALUE"""),21000)</f>
        <v>21000</v>
      </c>
      <c r="L780" s="8">
        <f ca="1">IFERROR(__xludf.DUMMYFUNCTION("""COMPUTED_VALUE"""),240.494732020155)</f>
        <v>240.494732020155</v>
      </c>
      <c r="M780" s="96">
        <f ca="1">IFERROR(__xludf.DUMMYFUNCTION("""COMPUTED_VALUE"""),44557)</f>
        <v>44557</v>
      </c>
      <c r="N780" s="6"/>
      <c r="O780" s="97"/>
      <c r="P780" s="6"/>
      <c r="Q780" s="6"/>
      <c r="R780" s="6"/>
      <c r="S780" s="6" t="str">
        <f ca="1">IFERROR(__xludf.DUMMYFUNCTION("""COMPUTED_VALUE"""),"Category")</f>
        <v>Category</v>
      </c>
      <c r="T780" s="6"/>
      <c r="U780" s="6"/>
      <c r="V780" s="6"/>
      <c r="W780" s="6"/>
      <c r="X780" s="6"/>
      <c r="Y780" s="6"/>
      <c r="Z780" s="6"/>
      <c r="AA780" s="6"/>
      <c r="AB780" s="6"/>
      <c r="AC780" s="6"/>
      <c r="AD780" s="6"/>
      <c r="AE780" s="6"/>
      <c r="AF780" s="6"/>
      <c r="AG780" s="6"/>
      <c r="AH780" s="6"/>
      <c r="AI780" s="6"/>
      <c r="AJ780" s="6"/>
      <c r="AK780" s="6"/>
      <c r="AL780" s="6"/>
    </row>
    <row r="781" spans="1:38">
      <c r="A781" s="96">
        <f ca="1">IFERROR(__xludf.DUMMYFUNCTION("""COMPUTED_VALUE"""),44558)</f>
        <v>44558</v>
      </c>
      <c r="B781" s="6" t="str">
        <f ca="1">IFERROR(__xludf.DUMMYFUNCTION("""COMPUTED_VALUE"""),"Neenu Tom")</f>
        <v>Neenu Tom</v>
      </c>
      <c r="C781" s="6" t="str">
        <f ca="1">IFERROR(__xludf.DUMMYFUNCTION("""COMPUTED_VALUE"""),"neenu1tom@gmail.com")</f>
        <v>neenu1tom@gmail.com</v>
      </c>
      <c r="D781" s="6">
        <f ca="1">IFERROR(__xludf.DUMMYFUNCTION("""COMPUTED_VALUE"""),9448989843)</f>
        <v>9448989843</v>
      </c>
      <c r="E781" s="6" t="str">
        <f ca="1">IFERROR(__xludf.DUMMYFUNCTION("""COMPUTED_VALUE"""),"Query box_LP")</f>
        <v>Query box_LP</v>
      </c>
      <c r="F781" s="6" t="str">
        <f ca="1">IFERROR(__xludf.DUMMYFUNCTION("""COMPUTED_VALUE"""),"CSM")</f>
        <v>CSM</v>
      </c>
      <c r="G781" s="80">
        <f ca="1">IFERROR(__xludf.DUMMYFUNCTION("""COMPUTED_VALUE"""),44531)</f>
        <v>44531</v>
      </c>
      <c r="H781" s="6" t="str">
        <f ca="1">IFERROR(__xludf.DUMMYFUNCTION("""COMPUTED_VALUE"""),"Won")</f>
        <v>Won</v>
      </c>
      <c r="I781" s="6" t="str">
        <f ca="1">IFERROR(__xludf.DUMMYFUNCTION("""COMPUTED_VALUE"""),"8-9 Jan 2022")</f>
        <v>8-9 Jan 2022</v>
      </c>
      <c r="J781" s="6">
        <f ca="1">IFERROR(__xludf.DUMMYFUNCTION("""COMPUTED_VALUE"""),1)</f>
        <v>1</v>
      </c>
      <c r="K781" s="8">
        <f ca="1">IFERROR(__xludf.DUMMYFUNCTION("""COMPUTED_VALUE"""),20000)</f>
        <v>20000</v>
      </c>
      <c r="L781" s="8">
        <f ca="1">IFERROR(__xludf.DUMMYFUNCTION("""COMPUTED_VALUE"""),229.042601923957)</f>
        <v>229.04260192395699</v>
      </c>
      <c r="M781" s="96">
        <f ca="1">IFERROR(__xludf.DUMMYFUNCTION("""COMPUTED_VALUE"""),44558)</f>
        <v>44558</v>
      </c>
      <c r="N781" s="6" t="str">
        <f ca="1">IFERROR(__xludf.DUMMYFUNCTION("""COMPUTED_VALUE"""),"T10")</f>
        <v>T10</v>
      </c>
      <c r="O781" s="97">
        <f ca="1">IFERROR(__xludf.DUMMYFUNCTION("""COMPUTED_VALUE"""),44558)</f>
        <v>44558</v>
      </c>
      <c r="P781" s="6" t="str">
        <f ca="1">IFERROR(__xludf.DUMMYFUNCTION("""COMPUTED_VALUE"""),"CSTM_6OFVHPY58JF")</f>
        <v>CSTM_6OFVHPY58JF</v>
      </c>
      <c r="Q781" s="6"/>
      <c r="R781" s="6" t="str">
        <f ca="1">IFERROR(__xludf.DUMMYFUNCTION("""COMPUTED_VALUE"""),"Pending")</f>
        <v>Pending</v>
      </c>
      <c r="S781" s="6" t="str">
        <f ca="1">IFERROR(__xludf.DUMMYFUNCTION("""COMPUTED_VALUE"""),"Category")</f>
        <v>Category</v>
      </c>
      <c r="T781" s="6"/>
      <c r="U781" s="6"/>
      <c r="V781" s="6"/>
      <c r="W781" s="6"/>
      <c r="X781" s="6"/>
      <c r="Y781" s="6"/>
      <c r="Z781" s="6"/>
      <c r="AA781" s="6"/>
      <c r="AB781" s="6"/>
      <c r="AC781" s="6"/>
      <c r="AD781" s="6"/>
      <c r="AE781" s="6"/>
      <c r="AF781" s="6"/>
      <c r="AG781" s="6"/>
      <c r="AH781" s="6"/>
      <c r="AI781" s="6"/>
      <c r="AJ781" s="6"/>
      <c r="AK781" s="6"/>
      <c r="AL781" s="6"/>
    </row>
    <row r="782" spans="1:38">
      <c r="A782" s="96">
        <f ca="1">IFERROR(__xludf.DUMMYFUNCTION("""COMPUTED_VALUE"""),44558)</f>
        <v>44558</v>
      </c>
      <c r="B782" s="6" t="str">
        <f ca="1">IFERROR(__xludf.DUMMYFUNCTION("""COMPUTED_VALUE"""),"Monika Mehta")</f>
        <v>Monika Mehta</v>
      </c>
      <c r="C782" s="6" t="str">
        <f ca="1">IFERROR(__xludf.DUMMYFUNCTION("""COMPUTED_VALUE"""),"monika.mehta@propellum.com")</f>
        <v>monika.mehta@propellum.com</v>
      </c>
      <c r="D782" s="6">
        <f ca="1">IFERROR(__xludf.DUMMYFUNCTION("""COMPUTED_VALUE"""),9833247396)</f>
        <v>9833247396</v>
      </c>
      <c r="E782" s="6" t="str">
        <f ca="1">IFERROR(__xludf.DUMMYFUNCTION("""COMPUTED_VALUE"""),"Reference")</f>
        <v>Reference</v>
      </c>
      <c r="F782" s="6" t="str">
        <f ca="1">IFERROR(__xludf.DUMMYFUNCTION("""COMPUTED_VALUE"""),"CSM")</f>
        <v>CSM</v>
      </c>
      <c r="G782" s="80">
        <f ca="1">IFERROR(__xludf.DUMMYFUNCTION("""COMPUTED_VALUE"""),44531)</f>
        <v>44531</v>
      </c>
      <c r="H782" s="6" t="str">
        <f ca="1">IFERROR(__xludf.DUMMYFUNCTION("""COMPUTED_VALUE"""),"Won")</f>
        <v>Won</v>
      </c>
      <c r="I782" s="6" t="str">
        <f ca="1">IFERROR(__xludf.DUMMYFUNCTION("""COMPUTED_VALUE"""),"15-16 Jan 2022")</f>
        <v>15-16 Jan 2022</v>
      </c>
      <c r="J782" s="6">
        <f ca="1">IFERROR(__xludf.DUMMYFUNCTION("""COMPUTED_VALUE"""),1)</f>
        <v>1</v>
      </c>
      <c r="K782" s="8">
        <f ca="1">IFERROR(__xludf.DUMMYFUNCTION("""COMPUTED_VALUE"""),20000)</f>
        <v>20000</v>
      </c>
      <c r="L782" s="8">
        <f ca="1">IFERROR(__xludf.DUMMYFUNCTION("""COMPUTED_VALUE"""),229.042601923957)</f>
        <v>229.04260192395699</v>
      </c>
      <c r="M782" s="96">
        <f ca="1">IFERROR(__xludf.DUMMYFUNCTION("""COMPUTED_VALUE"""),44558)</f>
        <v>44558</v>
      </c>
      <c r="N782" s="6" t="str">
        <f ca="1">IFERROR(__xludf.DUMMYFUNCTION("""COMPUTED_VALUE"""),"T10")</f>
        <v>T10</v>
      </c>
      <c r="O782" s="97">
        <f ca="1">IFERROR(__xludf.DUMMYFUNCTION("""COMPUTED_VALUE"""),44558)</f>
        <v>44558</v>
      </c>
      <c r="P782" s="6" t="str">
        <f ca="1">IFERROR(__xludf.DUMMYFUNCTION("""COMPUTED_VALUE"""),"CSTM_J29XPT10CIV")</f>
        <v>CSTM_J29XPT10CIV</v>
      </c>
      <c r="Q782" s="6" t="str">
        <f ca="1">IFERROR(__xludf.DUMMYFUNCTION("""COMPUTED_VALUE"""),"jain.neeti200@gmail.com")</f>
        <v>jain.neeti200@gmail.com</v>
      </c>
      <c r="R782" s="6" t="str">
        <f ca="1">IFERROR(__xludf.DUMMYFUNCTION("""COMPUTED_VALUE"""),"Pending")</f>
        <v>Pending</v>
      </c>
      <c r="S782" s="6" t="str">
        <f ca="1">IFERROR(__xludf.DUMMYFUNCTION("""COMPUTED_VALUE"""),"Category")</f>
        <v>Category</v>
      </c>
      <c r="T782" s="6"/>
      <c r="U782" s="6"/>
      <c r="V782" s="6"/>
      <c r="W782" s="6"/>
      <c r="X782" s="6"/>
      <c r="Y782" s="6"/>
      <c r="Z782" s="6"/>
      <c r="AA782" s="6"/>
      <c r="AB782" s="6"/>
      <c r="AC782" s="6"/>
      <c r="AD782" s="6"/>
      <c r="AE782" s="6"/>
      <c r="AF782" s="6"/>
      <c r="AG782" s="6"/>
      <c r="AH782" s="6"/>
      <c r="AI782" s="6"/>
      <c r="AJ782" s="6"/>
      <c r="AK782" s="6"/>
      <c r="AL782" s="6"/>
    </row>
    <row r="783" spans="1:38">
      <c r="A783" s="96">
        <f ca="1">IFERROR(__xludf.DUMMYFUNCTION("""COMPUTED_VALUE"""),44558)</f>
        <v>44558</v>
      </c>
      <c r="B783" s="6" t="str">
        <f ca="1">IFERROR(__xludf.DUMMYFUNCTION("""COMPUTED_VALUE"""),"Ganesh Rajshekar")</f>
        <v>Ganesh Rajshekar</v>
      </c>
      <c r="C783" s="6" t="str">
        <f ca="1">IFERROR(__xludf.DUMMYFUNCTION("""COMPUTED_VALUE"""),"ganeshrajshekar28@gmail.com")</f>
        <v>ganeshrajshekar28@gmail.com</v>
      </c>
      <c r="D783" s="6"/>
      <c r="E783" s="6" t="str">
        <f ca="1">IFERROR(__xludf.DUMMYFUNCTION("""COMPUTED_VALUE"""),"Chat_triggered")</f>
        <v>Chat_triggered</v>
      </c>
      <c r="F783" s="6" t="str">
        <f ca="1">IFERROR(__xludf.DUMMYFUNCTION("""COMPUTED_VALUE"""),"SAFe Agile")</f>
        <v>SAFe Agile</v>
      </c>
      <c r="G783" s="80">
        <f ca="1">IFERROR(__xludf.DUMMYFUNCTION("""COMPUTED_VALUE"""),44531)</f>
        <v>44531</v>
      </c>
      <c r="H783" s="6" t="str">
        <f ca="1">IFERROR(__xludf.DUMMYFUNCTION("""COMPUTED_VALUE"""),"Won")</f>
        <v>Won</v>
      </c>
      <c r="I783" s="6" t="str">
        <f ca="1">IFERROR(__xludf.DUMMYFUNCTION("""COMPUTED_VALUE"""),"29-30 Jan 2022")</f>
        <v>29-30 Jan 2022</v>
      </c>
      <c r="J783" s="6">
        <f ca="1">IFERROR(__xludf.DUMMYFUNCTION("""COMPUTED_VALUE"""),1)</f>
        <v>1</v>
      </c>
      <c r="K783" s="8">
        <f ca="1">IFERROR(__xludf.DUMMYFUNCTION("""COMPUTED_VALUE"""),40000)</f>
        <v>40000</v>
      </c>
      <c r="L783" s="8">
        <f ca="1">IFERROR(__xludf.DUMMYFUNCTION("""COMPUTED_VALUE"""),458.085203847915)</f>
        <v>458.08520384791501</v>
      </c>
      <c r="M783" s="96">
        <f ca="1">IFERROR(__xludf.DUMMYFUNCTION("""COMPUTED_VALUE"""),44558)</f>
        <v>44558</v>
      </c>
      <c r="N783" s="6" t="str">
        <f ca="1">IFERROR(__xludf.DUMMYFUNCTION("""COMPUTED_VALUE"""),"T10")</f>
        <v>T10</v>
      </c>
      <c r="O783" s="97">
        <f ca="1">IFERROR(__xludf.DUMMYFUNCTION("""COMPUTED_VALUE"""),44558)</f>
        <v>44558</v>
      </c>
      <c r="P783" s="6" t="str">
        <f ca="1">IFERROR(__xludf.DUMMYFUNCTION("""COMPUTED_VALUE"""),"CSTM_32ZP9DAK5H6")</f>
        <v>CSTM_32ZP9DAK5H6</v>
      </c>
      <c r="Q783" s="6"/>
      <c r="R783" s="6" t="str">
        <f ca="1">IFERROR(__xludf.DUMMYFUNCTION("""COMPUTED_VALUE"""),"Pending")</f>
        <v>Pending</v>
      </c>
      <c r="S783" s="6" t="str">
        <f ca="1">IFERROR(__xludf.DUMMYFUNCTION("""COMPUTED_VALUE"""),"SAFe")</f>
        <v>SAFe</v>
      </c>
      <c r="T783" s="6"/>
      <c r="U783" s="6"/>
      <c r="V783" s="6"/>
      <c r="W783" s="6"/>
      <c r="X783" s="6"/>
      <c r="Y783" s="6"/>
      <c r="Z783" s="6"/>
      <c r="AA783" s="6"/>
      <c r="AB783" s="6"/>
      <c r="AC783" s="6"/>
      <c r="AD783" s="6"/>
      <c r="AE783" s="6"/>
      <c r="AF783" s="6"/>
      <c r="AG783" s="6"/>
      <c r="AH783" s="6"/>
      <c r="AI783" s="6"/>
      <c r="AJ783" s="6"/>
      <c r="AK783" s="6"/>
      <c r="AL783" s="6"/>
    </row>
    <row r="784" spans="1:38">
      <c r="A784" s="96">
        <f ca="1">IFERROR(__xludf.DUMMYFUNCTION("""COMPUTED_VALUE"""),44559)</f>
        <v>44559</v>
      </c>
      <c r="B784" s="6" t="str">
        <f ca="1">IFERROR(__xludf.DUMMYFUNCTION("""COMPUTED_VALUE"""),"Jobine")</f>
        <v>Jobine</v>
      </c>
      <c r="C784" s="6" t="str">
        <f ca="1">IFERROR(__xludf.DUMMYFUNCTION("""COMPUTED_VALUE"""),"hannah262022@gmail.com")</f>
        <v>hannah262022@gmail.com</v>
      </c>
      <c r="D784" s="6">
        <f ca="1">IFERROR(__xludf.DUMMYFUNCTION("""COMPUTED_VALUE"""),9790768218)</f>
        <v>9790768218</v>
      </c>
      <c r="E784" s="6" t="str">
        <f ca="1">IFERROR(__xludf.DUMMYFUNCTION("""COMPUTED_VALUE"""),"Account Repeat")</f>
        <v>Account Repeat</v>
      </c>
      <c r="F784" s="6" t="str">
        <f ca="1">IFERROR(__xludf.DUMMYFUNCTION("""COMPUTED_VALUE"""),"Prince2 F&amp;P")</f>
        <v>Prince2 F&amp;P</v>
      </c>
      <c r="G784" s="80">
        <f ca="1">IFERROR(__xludf.DUMMYFUNCTION("""COMPUTED_VALUE"""),44531)</f>
        <v>44531</v>
      </c>
      <c r="H784" s="6" t="str">
        <f ca="1">IFERROR(__xludf.DUMMYFUNCTION("""COMPUTED_VALUE"""),"Won")</f>
        <v>Won</v>
      </c>
      <c r="I784" s="6" t="str">
        <f ca="1">IFERROR(__xludf.DUMMYFUNCTION("""COMPUTED_VALUE"""),"29 Dec 2021")</f>
        <v>29 Dec 2021</v>
      </c>
      <c r="J784" s="6">
        <f ca="1">IFERROR(__xludf.DUMMYFUNCTION("""COMPUTED_VALUE"""),1)</f>
        <v>1</v>
      </c>
      <c r="K784" s="8">
        <f ca="1">IFERROR(__xludf.DUMMYFUNCTION("""COMPUTED_VALUE"""),38000)</f>
        <v>38000</v>
      </c>
      <c r="L784" s="8">
        <f ca="1">IFERROR(__xludf.DUMMYFUNCTION("""COMPUTED_VALUE"""),435.180943655519)</f>
        <v>435.180943655519</v>
      </c>
      <c r="M784" s="96">
        <f ca="1">IFERROR(__xludf.DUMMYFUNCTION("""COMPUTED_VALUE"""),44559)</f>
        <v>44559</v>
      </c>
      <c r="N784" s="6" t="str">
        <f ca="1">IFERROR(__xludf.DUMMYFUNCTION("""COMPUTED_VALUE"""),"T10")</f>
        <v>T10</v>
      </c>
      <c r="O784" s="97">
        <f ca="1">IFERROR(__xludf.DUMMYFUNCTION("""COMPUTED_VALUE"""),44560)</f>
        <v>44560</v>
      </c>
      <c r="P784" s="6" t="str">
        <f ca="1">IFERROR(__xludf.DUMMYFUNCTION("""COMPUTED_VALUE"""),"CSTM_9H8S8JAF5BB")</f>
        <v>CSTM_9H8S8JAF5BB</v>
      </c>
      <c r="Q784" s="6"/>
      <c r="R784" s="6" t="str">
        <f ca="1">IFERROR(__xludf.DUMMYFUNCTION("""COMPUTED_VALUE"""),"Pending")</f>
        <v>Pending</v>
      </c>
      <c r="S784" s="6" t="str">
        <f ca="1">IFERROR(__xludf.DUMMYFUNCTION("""COMPUTED_VALUE"""),"NonCategory")</f>
        <v>NonCategory</v>
      </c>
      <c r="T784" s="6"/>
      <c r="U784" s="6"/>
      <c r="V784" s="6"/>
      <c r="W784" s="6"/>
      <c r="X784" s="6"/>
      <c r="Y784" s="6"/>
      <c r="Z784" s="6"/>
      <c r="AA784" s="6"/>
      <c r="AB784" s="6"/>
      <c r="AC784" s="6"/>
      <c r="AD784" s="6"/>
      <c r="AE784" s="6"/>
      <c r="AF784" s="6"/>
      <c r="AG784" s="6"/>
      <c r="AH784" s="6"/>
      <c r="AI784" s="6"/>
      <c r="AJ784" s="6"/>
      <c r="AK784" s="6"/>
      <c r="AL784" s="6"/>
    </row>
    <row r="785" spans="1:38">
      <c r="A785" s="96">
        <f ca="1">IFERROR(__xludf.DUMMYFUNCTION("""COMPUTED_VALUE"""),44560)</f>
        <v>44560</v>
      </c>
      <c r="B785" s="6" t="str">
        <f ca="1">IFERROR(__xludf.DUMMYFUNCTION("""COMPUTED_VALUE"""),"Sathish Kumar")</f>
        <v>Sathish Kumar</v>
      </c>
      <c r="C785" s="6" t="str">
        <f ca="1">IFERROR(__xludf.DUMMYFUNCTION("""COMPUTED_VALUE"""),"sathishr1982@icloud.com")</f>
        <v>sathishr1982@icloud.com</v>
      </c>
      <c r="D785" s="6">
        <f ca="1">IFERROR(__xludf.DUMMYFUNCTION("""COMPUTED_VALUE"""),9900422644)</f>
        <v>9900422644</v>
      </c>
      <c r="E785" s="6" t="str">
        <f ca="1">IFERROR(__xludf.DUMMYFUNCTION("""COMPUTED_VALUE"""),"Reference")</f>
        <v>Reference</v>
      </c>
      <c r="F785" s="6" t="str">
        <f ca="1">IFERROR(__xludf.DUMMYFUNCTION("""COMPUTED_VALUE"""),"PSM")</f>
        <v>PSM</v>
      </c>
      <c r="G785" s="80">
        <f ca="1">IFERROR(__xludf.DUMMYFUNCTION("""COMPUTED_VALUE"""),44531)</f>
        <v>44531</v>
      </c>
      <c r="H785" s="6" t="str">
        <f ca="1">IFERROR(__xludf.DUMMYFUNCTION("""COMPUTED_VALUE"""),"Won")</f>
        <v>Won</v>
      </c>
      <c r="I785" s="6" t="str">
        <f ca="1">IFERROR(__xludf.DUMMYFUNCTION("""COMPUTED_VALUE"""),"12-13 Jan 2022")</f>
        <v>12-13 Jan 2022</v>
      </c>
      <c r="J785" s="6">
        <f ca="1">IFERROR(__xludf.DUMMYFUNCTION("""COMPUTED_VALUE"""),1)</f>
        <v>1</v>
      </c>
      <c r="K785" s="8">
        <f ca="1">IFERROR(__xludf.DUMMYFUNCTION("""COMPUTED_VALUE"""),21000)</f>
        <v>21000</v>
      </c>
      <c r="L785" s="8">
        <f ca="1">IFERROR(__xludf.DUMMYFUNCTION("""COMPUTED_VALUE"""),240.494732020155)</f>
        <v>240.494732020155</v>
      </c>
      <c r="M785" s="96">
        <f ca="1">IFERROR(__xludf.DUMMYFUNCTION("""COMPUTED_VALUE"""),44560)</f>
        <v>44560</v>
      </c>
      <c r="N785" s="6" t="str">
        <f ca="1">IFERROR(__xludf.DUMMYFUNCTION("""COMPUTED_VALUE"""),"T10")</f>
        <v>T10</v>
      </c>
      <c r="O785" s="97">
        <f ca="1">IFERROR(__xludf.DUMMYFUNCTION("""COMPUTED_VALUE"""),44560)</f>
        <v>44560</v>
      </c>
      <c r="P785" s="6" t="str">
        <f ca="1">IFERROR(__xludf.DUMMYFUNCTION("""COMPUTED_VALUE"""),"CSTM_1TXL33ADRFN")</f>
        <v>CSTM_1TXL33ADRFN</v>
      </c>
      <c r="Q785" s="6" t="str">
        <f ca="1">IFERROR(__xludf.DUMMYFUNCTION("""COMPUTED_VALUE"""),"Pragya K")</f>
        <v>Pragya K</v>
      </c>
      <c r="R785" s="6" t="str">
        <f ca="1">IFERROR(__xludf.DUMMYFUNCTION("""COMPUTED_VALUE"""),"Pending")</f>
        <v>Pending</v>
      </c>
      <c r="S785" s="6" t="str">
        <f ca="1">IFERROR(__xludf.DUMMYFUNCTION("""COMPUTED_VALUE"""),"Category")</f>
        <v>Category</v>
      </c>
      <c r="T785" s="6"/>
      <c r="U785" s="6"/>
      <c r="V785" s="6"/>
      <c r="W785" s="6"/>
      <c r="X785" s="6"/>
      <c r="Y785" s="6"/>
      <c r="Z785" s="6"/>
      <c r="AA785" s="6"/>
      <c r="AB785" s="6"/>
      <c r="AC785" s="6"/>
      <c r="AD785" s="6"/>
      <c r="AE785" s="6"/>
      <c r="AF785" s="6"/>
      <c r="AG785" s="6"/>
      <c r="AH785" s="6"/>
      <c r="AI785" s="6"/>
      <c r="AJ785" s="6"/>
      <c r="AK785" s="6"/>
      <c r="AL785" s="6"/>
    </row>
    <row r="786" spans="1:38">
      <c r="A786" s="96">
        <f ca="1">IFERROR(__xludf.DUMMYFUNCTION("""COMPUTED_VALUE"""),44562)</f>
        <v>44562</v>
      </c>
      <c r="B786" s="6" t="str">
        <f ca="1">IFERROR(__xludf.DUMMYFUNCTION("""COMPUTED_VALUE"""),"Chayan Jana")</f>
        <v>Chayan Jana</v>
      </c>
      <c r="C786" s="6" t="str">
        <f ca="1">IFERROR(__xludf.DUMMYFUNCTION("""COMPUTED_VALUE"""),"chayanjana20@gmail.com")</f>
        <v>chayanjana20@gmail.com</v>
      </c>
      <c r="D786" s="6">
        <f ca="1">IFERROR(__xludf.DUMMYFUNCTION("""COMPUTED_VALUE"""),9874518720)</f>
        <v>9874518720</v>
      </c>
      <c r="E786" s="6" t="str">
        <f ca="1">IFERROR(__xludf.DUMMYFUNCTION("""COMPUTED_VALUE"""),"Query box")</f>
        <v>Query box</v>
      </c>
      <c r="F786" s="6" t="str">
        <f ca="1">IFERROR(__xludf.DUMMYFUNCTION("""COMPUTED_VALUE"""),"PSM 2")</f>
        <v>PSM 2</v>
      </c>
      <c r="G786" s="80">
        <f ca="1">IFERROR(__xludf.DUMMYFUNCTION("""COMPUTED_VALUE"""),44562)</f>
        <v>44562</v>
      </c>
      <c r="H786" s="6" t="str">
        <f ca="1">IFERROR(__xludf.DUMMYFUNCTION("""COMPUTED_VALUE"""),"Won")</f>
        <v>Won</v>
      </c>
      <c r="I786" s="6" t="str">
        <f ca="1">IFERROR(__xludf.DUMMYFUNCTION("""COMPUTED_VALUE"""),"22-23 Jan 2022")</f>
        <v>22-23 Jan 2022</v>
      </c>
      <c r="J786" s="6">
        <f ca="1">IFERROR(__xludf.DUMMYFUNCTION("""COMPUTED_VALUE"""),1)</f>
        <v>1</v>
      </c>
      <c r="K786" s="8">
        <f ca="1">IFERROR(__xludf.DUMMYFUNCTION("""COMPUTED_VALUE"""),24000)</f>
        <v>24000</v>
      </c>
      <c r="L786" s="8">
        <f ca="1">IFERROR(__xludf.DUMMYFUNCTION("""COMPUTED_VALUE"""),274.851122308749)</f>
        <v>274.85112230874898</v>
      </c>
      <c r="M786" s="96">
        <f ca="1">IFERROR(__xludf.DUMMYFUNCTION("""COMPUTED_VALUE"""),44562)</f>
        <v>44562</v>
      </c>
      <c r="N786" s="6" t="str">
        <f ca="1">IFERROR(__xludf.DUMMYFUNCTION("""COMPUTED_VALUE"""),"F10")</f>
        <v>F10</v>
      </c>
      <c r="O786" s="97">
        <f ca="1">IFERROR(__xludf.DUMMYFUNCTION("""COMPUTED_VALUE"""),44562)</f>
        <v>44562</v>
      </c>
      <c r="P786" s="6" t="str">
        <f ca="1">IFERROR(__xludf.DUMMYFUNCTION("""COMPUTED_VALUE"""),"CSTM_929B97L8C6")</f>
        <v>CSTM_929B97L8C6</v>
      </c>
      <c r="Q786" s="6"/>
      <c r="R786" s="6" t="str">
        <f ca="1">IFERROR(__xludf.DUMMYFUNCTION("""COMPUTED_VALUE"""),"Pending")</f>
        <v>Pending</v>
      </c>
      <c r="S786" s="6" t="str">
        <f ca="1">IFERROR(__xludf.DUMMYFUNCTION("""COMPUTED_VALUE"""),"Category")</f>
        <v>Category</v>
      </c>
      <c r="T786" s="6"/>
      <c r="U786" s="6"/>
      <c r="V786" s="6"/>
      <c r="W786" s="6"/>
      <c r="X786" s="6"/>
      <c r="Y786" s="6"/>
      <c r="Z786" s="6"/>
      <c r="AA786" s="6"/>
      <c r="AB786" s="6"/>
      <c r="AC786" s="6"/>
      <c r="AD786" s="6"/>
      <c r="AE786" s="6"/>
      <c r="AF786" s="6"/>
      <c r="AG786" s="6"/>
      <c r="AH786" s="6"/>
      <c r="AI786" s="6"/>
      <c r="AJ786" s="6"/>
      <c r="AK786" s="6"/>
      <c r="AL786" s="6"/>
    </row>
    <row r="787" spans="1:38">
      <c r="A787" s="96">
        <f ca="1">IFERROR(__xludf.DUMMYFUNCTION("""COMPUTED_VALUE"""),44562)</f>
        <v>44562</v>
      </c>
      <c r="B787" s="6" t="str">
        <f ca="1">IFERROR(__xludf.DUMMYFUNCTION("""COMPUTED_VALUE"""),"Amit Prasad")</f>
        <v>Amit Prasad</v>
      </c>
      <c r="C787" s="6" t="str">
        <f ca="1">IFERROR(__xludf.DUMMYFUNCTION("""COMPUTED_VALUE"""),"amit.prasad@hp.com")</f>
        <v>amit.prasad@hp.com</v>
      </c>
      <c r="D787" s="6">
        <f ca="1">IFERROR(__xludf.DUMMYFUNCTION("""COMPUTED_VALUE"""),9108010863)</f>
        <v>9108010863</v>
      </c>
      <c r="E787" s="6" t="str">
        <f ca="1">IFERROR(__xludf.DUMMYFUNCTION("""COMPUTED_VALUE"""),"Existing Account")</f>
        <v>Existing Account</v>
      </c>
      <c r="F787" s="6" t="str">
        <f ca="1">IFERROR(__xludf.DUMMYFUNCTION("""COMPUTED_VALUE"""),"PMP ")</f>
        <v xml:space="preserve">PMP </v>
      </c>
      <c r="G787" s="80">
        <f ca="1">IFERROR(__xludf.DUMMYFUNCTION("""COMPUTED_VALUE"""),44562)</f>
        <v>44562</v>
      </c>
      <c r="H787" s="6" t="str">
        <f ca="1">IFERROR(__xludf.DUMMYFUNCTION("""COMPUTED_VALUE"""),"Won")</f>
        <v>Won</v>
      </c>
      <c r="I787" s="6" t="str">
        <f ca="1">IFERROR(__xludf.DUMMYFUNCTION("""COMPUTED_VALUE"""),"1 Jan 2022")</f>
        <v>1 Jan 2022</v>
      </c>
      <c r="J787" s="6">
        <f ca="1">IFERROR(__xludf.DUMMYFUNCTION("""COMPUTED_VALUE"""),1)</f>
        <v>1</v>
      </c>
      <c r="K787" s="8">
        <f ca="1">IFERROR(__xludf.DUMMYFUNCTION("""COMPUTED_VALUE"""),12000)</f>
        <v>12000</v>
      </c>
      <c r="L787" s="8">
        <f ca="1">IFERROR(__xludf.DUMMYFUNCTION("""COMPUTED_VALUE"""),137.425561154374)</f>
        <v>137.42556115437401</v>
      </c>
      <c r="M787" s="96">
        <f ca="1">IFERROR(__xludf.DUMMYFUNCTION("""COMPUTED_VALUE"""),44562)</f>
        <v>44562</v>
      </c>
      <c r="N787" s="6" t="str">
        <f ca="1">IFERROR(__xludf.DUMMYFUNCTION("""COMPUTED_VALUE"""),"F10")</f>
        <v>F10</v>
      </c>
      <c r="O787" s="97">
        <f ca="1">IFERROR(__xludf.DUMMYFUNCTION("""COMPUTED_VALUE"""),44562)</f>
        <v>44562</v>
      </c>
      <c r="P787" s="6" t="str">
        <f ca="1">IFERROR(__xludf.DUMMYFUNCTION("""COMPUTED_VALUE"""),"CSTM_285BKQN3AQ3")</f>
        <v>CSTM_285BKQN3AQ3</v>
      </c>
      <c r="Q787" s="6"/>
      <c r="R787" s="6" t="str">
        <f ca="1">IFERROR(__xludf.DUMMYFUNCTION("""COMPUTED_VALUE"""),"Pending")</f>
        <v>Pending</v>
      </c>
      <c r="S787" s="6" t="str">
        <f ca="1">IFERROR(__xludf.DUMMYFUNCTION("""COMPUTED_VALUE"""),"NonCategory")</f>
        <v>NonCategory</v>
      </c>
      <c r="T787" s="6"/>
      <c r="U787" s="6"/>
      <c r="V787" s="6"/>
      <c r="W787" s="6"/>
      <c r="X787" s="6"/>
      <c r="Y787" s="6"/>
      <c r="Z787" s="6"/>
      <c r="AA787" s="6"/>
      <c r="AB787" s="6"/>
      <c r="AC787" s="6"/>
      <c r="AD787" s="6"/>
      <c r="AE787" s="6"/>
      <c r="AF787" s="6"/>
      <c r="AG787" s="6"/>
      <c r="AH787" s="6"/>
      <c r="AI787" s="6"/>
      <c r="AJ787" s="6"/>
      <c r="AK787" s="6"/>
      <c r="AL787" s="6"/>
    </row>
    <row r="788" spans="1:38">
      <c r="A788" s="96">
        <f ca="1">IFERROR(__xludf.DUMMYFUNCTION("""COMPUTED_VALUE"""),44564)</f>
        <v>44564</v>
      </c>
      <c r="B788" s="6" t="str">
        <f ca="1">IFERROR(__xludf.DUMMYFUNCTION("""COMPUTED_VALUE"""),"Shruti Sharma")</f>
        <v>Shruti Sharma</v>
      </c>
      <c r="C788" s="6" t="str">
        <f ca="1">IFERROR(__xludf.DUMMYFUNCTION("""COMPUTED_VALUE"""),"sharmashrut@gmail.com")</f>
        <v>sharmashrut@gmail.com</v>
      </c>
      <c r="D788" s="6">
        <f ca="1">IFERROR(__xludf.DUMMYFUNCTION("""COMPUTED_VALUE"""),9769696451)</f>
        <v>9769696451</v>
      </c>
      <c r="E788" s="6" t="str">
        <f ca="1">IFERROR(__xludf.DUMMYFUNCTION("""COMPUTED_VALUE"""),"fpt")</f>
        <v>fpt</v>
      </c>
      <c r="F788" s="6" t="str">
        <f ca="1">IFERROR(__xludf.DUMMYFUNCTION("""COMPUTED_VALUE"""),"CSM")</f>
        <v>CSM</v>
      </c>
      <c r="G788" s="80">
        <f ca="1">IFERROR(__xludf.DUMMYFUNCTION("""COMPUTED_VALUE"""),44562)</f>
        <v>44562</v>
      </c>
      <c r="H788" s="6" t="str">
        <f ca="1">IFERROR(__xludf.DUMMYFUNCTION("""COMPUTED_VALUE"""),"Won")</f>
        <v>Won</v>
      </c>
      <c r="I788" s="6" t="str">
        <f ca="1">IFERROR(__xludf.DUMMYFUNCTION("""COMPUTED_VALUE"""),"22-23 Jan 2022")</f>
        <v>22-23 Jan 2022</v>
      </c>
      <c r="J788" s="6">
        <f ca="1">IFERROR(__xludf.DUMMYFUNCTION("""COMPUTED_VALUE"""),1)</f>
        <v>1</v>
      </c>
      <c r="K788" s="8">
        <f ca="1">IFERROR(__xludf.DUMMYFUNCTION("""COMPUTED_VALUE"""),20000)</f>
        <v>20000</v>
      </c>
      <c r="L788" s="8">
        <f ca="1">IFERROR(__xludf.DUMMYFUNCTION("""COMPUTED_VALUE"""),229.042601923957)</f>
        <v>229.04260192395699</v>
      </c>
      <c r="M788" s="96">
        <f ca="1">IFERROR(__xludf.DUMMYFUNCTION("""COMPUTED_VALUE"""),44564)</f>
        <v>44564</v>
      </c>
      <c r="N788" s="6" t="str">
        <f ca="1">IFERROR(__xludf.DUMMYFUNCTION("""COMPUTED_VALUE"""),"F10")</f>
        <v>F10</v>
      </c>
      <c r="O788" s="97">
        <f ca="1">IFERROR(__xludf.DUMMYFUNCTION("""COMPUTED_VALUE"""),44564)</f>
        <v>44564</v>
      </c>
      <c r="P788" s="6" t="str">
        <f ca="1">IFERROR(__xludf.DUMMYFUNCTION("""COMPUTED_VALUE"""),"CSTM_GT0IM3W9HVJ")</f>
        <v>CSTM_GT0IM3W9HVJ</v>
      </c>
      <c r="Q788" s="6"/>
      <c r="R788" s="6" t="str">
        <f ca="1">IFERROR(__xludf.DUMMYFUNCTION("""COMPUTED_VALUE"""),"Pending")</f>
        <v>Pending</v>
      </c>
      <c r="S788" s="6" t="str">
        <f ca="1">IFERROR(__xludf.DUMMYFUNCTION("""COMPUTED_VALUE"""),"Category")</f>
        <v>Category</v>
      </c>
      <c r="T788" s="6"/>
      <c r="U788" s="6"/>
      <c r="V788" s="6"/>
      <c r="W788" s="6"/>
      <c r="X788" s="6"/>
      <c r="Y788" s="6"/>
      <c r="Z788" s="6"/>
      <c r="AA788" s="6"/>
      <c r="AB788" s="6"/>
      <c r="AC788" s="6"/>
      <c r="AD788" s="6"/>
      <c r="AE788" s="6"/>
      <c r="AF788" s="6"/>
      <c r="AG788" s="6"/>
      <c r="AH788" s="6"/>
      <c r="AI788" s="6"/>
      <c r="AJ788" s="6"/>
      <c r="AK788" s="6"/>
      <c r="AL788" s="6"/>
    </row>
    <row r="789" spans="1:38">
      <c r="A789" s="96">
        <f ca="1">IFERROR(__xludf.DUMMYFUNCTION("""COMPUTED_VALUE"""),44564)</f>
        <v>44564</v>
      </c>
      <c r="B789" s="6" t="str">
        <f ca="1">IFERROR(__xludf.DUMMYFUNCTION("""COMPUTED_VALUE"""),"Rajesh Kori")</f>
        <v>Rajesh Kori</v>
      </c>
      <c r="C789" s="6" t="str">
        <f ca="1">IFERROR(__xludf.DUMMYFUNCTION("""COMPUTED_VALUE"""),"kori.rajesh@gmail.com")</f>
        <v>kori.rajesh@gmail.com</v>
      </c>
      <c r="D789" s="6">
        <f ca="1">IFERROR(__xludf.DUMMYFUNCTION("""COMPUTED_VALUE"""),9970662763)</f>
        <v>9970662763</v>
      </c>
      <c r="E789" s="6" t="str">
        <f ca="1">IFERROR(__xludf.DUMMYFUNCTION("""COMPUTED_VALUE"""),"Query box")</f>
        <v>Query box</v>
      </c>
      <c r="F789" s="6" t="str">
        <f ca="1">IFERROR(__xludf.DUMMYFUNCTION("""COMPUTED_VALUE"""),"PSM")</f>
        <v>PSM</v>
      </c>
      <c r="G789" s="80">
        <f ca="1">IFERROR(__xludf.DUMMYFUNCTION("""COMPUTED_VALUE"""),44562)</f>
        <v>44562</v>
      </c>
      <c r="H789" s="6" t="str">
        <f ca="1">IFERROR(__xludf.DUMMYFUNCTION("""COMPUTED_VALUE"""),"Won")</f>
        <v>Won</v>
      </c>
      <c r="I789" s="6" t="str">
        <f ca="1">IFERROR(__xludf.DUMMYFUNCTION("""COMPUTED_VALUE"""),"22-23 Jan 2022")</f>
        <v>22-23 Jan 2022</v>
      </c>
      <c r="J789" s="6">
        <f ca="1">IFERROR(__xludf.DUMMYFUNCTION("""COMPUTED_VALUE"""),1)</f>
        <v>1</v>
      </c>
      <c r="K789" s="8">
        <f ca="1">IFERROR(__xludf.DUMMYFUNCTION("""COMPUTED_VALUE"""),20500)</f>
        <v>20500</v>
      </c>
      <c r="L789" s="8">
        <f ca="1">IFERROR(__xludf.DUMMYFUNCTION("""COMPUTED_VALUE"""),234.768666972056)</f>
        <v>234.768666972056</v>
      </c>
      <c r="M789" s="96">
        <f ca="1">IFERROR(__xludf.DUMMYFUNCTION("""COMPUTED_VALUE"""),44564)</f>
        <v>44564</v>
      </c>
      <c r="N789" s="6" t="str">
        <f ca="1">IFERROR(__xludf.DUMMYFUNCTION("""COMPUTED_VALUE"""),"F10")</f>
        <v>F10</v>
      </c>
      <c r="O789" s="97">
        <f ca="1">IFERROR(__xludf.DUMMYFUNCTION("""COMPUTED_VALUE"""),44564)</f>
        <v>44564</v>
      </c>
      <c r="P789" s="6" t="str">
        <f ca="1">IFERROR(__xludf.DUMMYFUNCTION("""COMPUTED_VALUE"""),"CSTM_HFI0KT9SXOU")</f>
        <v>CSTM_HFI0KT9SXOU</v>
      </c>
      <c r="Q789" s="6"/>
      <c r="R789" s="6" t="str">
        <f ca="1">IFERROR(__xludf.DUMMYFUNCTION("""COMPUTED_VALUE"""),"Pending")</f>
        <v>Pending</v>
      </c>
      <c r="S789" s="6" t="str">
        <f ca="1">IFERROR(__xludf.DUMMYFUNCTION("""COMPUTED_VALUE"""),"Category")</f>
        <v>Category</v>
      </c>
      <c r="T789" s="6"/>
      <c r="U789" s="6"/>
      <c r="V789" s="6"/>
      <c r="W789" s="6"/>
      <c r="X789" s="6"/>
      <c r="Y789" s="6"/>
      <c r="Z789" s="6"/>
      <c r="AA789" s="6"/>
      <c r="AB789" s="6"/>
      <c r="AC789" s="6"/>
      <c r="AD789" s="6"/>
      <c r="AE789" s="6"/>
      <c r="AF789" s="6"/>
      <c r="AG789" s="6"/>
      <c r="AH789" s="6"/>
      <c r="AI789" s="6"/>
      <c r="AJ789" s="6"/>
      <c r="AK789" s="6"/>
      <c r="AL789" s="6"/>
    </row>
    <row r="790" spans="1:38">
      <c r="A790" s="96">
        <f ca="1">IFERROR(__xludf.DUMMYFUNCTION("""COMPUTED_VALUE"""),44565)</f>
        <v>44565</v>
      </c>
      <c r="B790" s="6" t="str">
        <f ca="1">IFERROR(__xludf.DUMMYFUNCTION("""COMPUTED_VALUE"""),"Naaz")</f>
        <v>Naaz</v>
      </c>
      <c r="C790" s="6" t="str">
        <f ca="1">IFERROR(__xludf.DUMMYFUNCTION("""COMPUTED_VALUE"""),"naaz1zeb@gmail.com")</f>
        <v>naaz1zeb@gmail.com</v>
      </c>
      <c r="D790" s="6">
        <f ca="1">IFERROR(__xludf.DUMMYFUNCTION("""COMPUTED_VALUE"""),9823403105)</f>
        <v>9823403105</v>
      </c>
      <c r="E790" s="6" t="str">
        <f ca="1">IFERROR(__xludf.DUMMYFUNCTION("""COMPUTED_VALUE"""),"course agenda")</f>
        <v>course agenda</v>
      </c>
      <c r="F790" s="6" t="str">
        <f ca="1">IFERROR(__xludf.DUMMYFUNCTION("""COMPUTED_VALUE"""),"CSM")</f>
        <v>CSM</v>
      </c>
      <c r="G790" s="80">
        <f ca="1">IFERROR(__xludf.DUMMYFUNCTION("""COMPUTED_VALUE"""),44562)</f>
        <v>44562</v>
      </c>
      <c r="H790" s="6" t="str">
        <f ca="1">IFERROR(__xludf.DUMMYFUNCTION("""COMPUTED_VALUE"""),"Won")</f>
        <v>Won</v>
      </c>
      <c r="I790" s="6" t="str">
        <f ca="1">IFERROR(__xludf.DUMMYFUNCTION("""COMPUTED_VALUE"""),"8-9 Jan 2022")</f>
        <v>8-9 Jan 2022</v>
      </c>
      <c r="J790" s="6">
        <f ca="1">IFERROR(__xludf.DUMMYFUNCTION("""COMPUTED_VALUE"""),1)</f>
        <v>1</v>
      </c>
      <c r="K790" s="8">
        <f ca="1">IFERROR(__xludf.DUMMYFUNCTION("""COMPUTED_VALUE"""),21000)</f>
        <v>21000</v>
      </c>
      <c r="L790" s="8">
        <f ca="1">IFERROR(__xludf.DUMMYFUNCTION("""COMPUTED_VALUE"""),240.494732020155)</f>
        <v>240.494732020155</v>
      </c>
      <c r="M790" s="96">
        <f ca="1">IFERROR(__xludf.DUMMYFUNCTION("""COMPUTED_VALUE"""),44565)</f>
        <v>44565</v>
      </c>
      <c r="N790" s="6" t="str">
        <f ca="1">IFERROR(__xludf.DUMMYFUNCTION("""COMPUTED_VALUE"""),"F10")</f>
        <v>F10</v>
      </c>
      <c r="O790" s="97">
        <f ca="1">IFERROR(__xludf.DUMMYFUNCTION("""COMPUTED_VALUE"""),44565)</f>
        <v>44565</v>
      </c>
      <c r="P790" s="6" t="str">
        <f ca="1">IFERROR(__xludf.DUMMYFUNCTION("""COMPUTED_VALUE"""),"CSTM_ANVZLJTYT4V")</f>
        <v>CSTM_ANVZLJTYT4V</v>
      </c>
      <c r="Q790" s="6"/>
      <c r="R790" s="6" t="str">
        <f ca="1">IFERROR(__xludf.DUMMYFUNCTION("""COMPUTED_VALUE"""),"Done. Good feedback")</f>
        <v>Done. Good feedback</v>
      </c>
      <c r="S790" s="6" t="str">
        <f ca="1">IFERROR(__xludf.DUMMYFUNCTION("""COMPUTED_VALUE"""),"Category")</f>
        <v>Category</v>
      </c>
      <c r="T790" s="6"/>
      <c r="U790" s="6"/>
      <c r="V790" s="6"/>
      <c r="W790" s="6"/>
      <c r="X790" s="6"/>
      <c r="Y790" s="6"/>
      <c r="Z790" s="6"/>
      <c r="AA790" s="6"/>
      <c r="AB790" s="6"/>
      <c r="AC790" s="6"/>
      <c r="AD790" s="6"/>
      <c r="AE790" s="6"/>
      <c r="AF790" s="6"/>
      <c r="AG790" s="6"/>
      <c r="AH790" s="6"/>
      <c r="AI790" s="6"/>
      <c r="AJ790" s="6"/>
      <c r="AK790" s="6"/>
      <c r="AL790" s="6"/>
    </row>
    <row r="791" spans="1:38">
      <c r="A791" s="96">
        <f ca="1">IFERROR(__xludf.DUMMYFUNCTION("""COMPUTED_VALUE"""),44565)</f>
        <v>44565</v>
      </c>
      <c r="B791" s="6" t="str">
        <f ca="1">IFERROR(__xludf.DUMMYFUNCTION("""COMPUTED_VALUE"""),"Kshitij Kumar")</f>
        <v>Kshitij Kumar</v>
      </c>
      <c r="C791" s="6" t="str">
        <f ca="1">IFERROR(__xludf.DUMMYFUNCTION("""COMPUTED_VALUE"""),"kshitij.kumar@hotmail.com")</f>
        <v>kshitij.kumar@hotmail.com</v>
      </c>
      <c r="D791" s="6">
        <f ca="1">IFERROR(__xludf.DUMMYFUNCTION("""COMPUTED_VALUE"""),9999038906)</f>
        <v>9999038906</v>
      </c>
      <c r="E791" s="6" t="str">
        <f ca="1">IFERROR(__xludf.DUMMYFUNCTION("""COMPUTED_VALUE"""),"chat_initiated")</f>
        <v>chat_initiated</v>
      </c>
      <c r="F791" s="6" t="str">
        <f ca="1">IFERROR(__xludf.DUMMYFUNCTION("""COMPUTED_VALUE"""),"CSM")</f>
        <v>CSM</v>
      </c>
      <c r="G791" s="80">
        <f ca="1">IFERROR(__xludf.DUMMYFUNCTION("""COMPUTED_VALUE"""),44562)</f>
        <v>44562</v>
      </c>
      <c r="H791" s="6" t="str">
        <f ca="1">IFERROR(__xludf.DUMMYFUNCTION("""COMPUTED_VALUE"""),"Won")</f>
        <v>Won</v>
      </c>
      <c r="I791" s="6" t="str">
        <f ca="1">IFERROR(__xludf.DUMMYFUNCTION("""COMPUTED_VALUE"""),"5-6 Feb 2022")</f>
        <v>5-6 Feb 2022</v>
      </c>
      <c r="J791" s="6">
        <f ca="1">IFERROR(__xludf.DUMMYFUNCTION("""COMPUTED_VALUE"""),1)</f>
        <v>1</v>
      </c>
      <c r="K791" s="8">
        <f ca="1">IFERROR(__xludf.DUMMYFUNCTION("""COMPUTED_VALUE"""),20000)</f>
        <v>20000</v>
      </c>
      <c r="L791" s="8">
        <f ca="1">IFERROR(__xludf.DUMMYFUNCTION("""COMPUTED_VALUE"""),229.042601923957)</f>
        <v>229.04260192395699</v>
      </c>
      <c r="M791" s="96">
        <f ca="1">IFERROR(__xludf.DUMMYFUNCTION("""COMPUTED_VALUE"""),44565)</f>
        <v>44565</v>
      </c>
      <c r="N791" s="6" t="str">
        <f ca="1">IFERROR(__xludf.DUMMYFUNCTION("""COMPUTED_VALUE"""),"F10")</f>
        <v>F10</v>
      </c>
      <c r="O791" s="97">
        <f ca="1">IFERROR(__xludf.DUMMYFUNCTION("""COMPUTED_VALUE"""),44565)</f>
        <v>44565</v>
      </c>
      <c r="P791" s="6" t="str">
        <f ca="1">IFERROR(__xludf.DUMMYFUNCTION("""COMPUTED_VALUE"""),"CSTM_442YTMYYCIC")</f>
        <v>CSTM_442YTMYYCIC</v>
      </c>
      <c r="Q791" s="6"/>
      <c r="R791" s="6" t="str">
        <f ca="1">IFERROR(__xludf.DUMMYFUNCTION("""COMPUTED_VALUE"""),"Pending")</f>
        <v>Pending</v>
      </c>
      <c r="S791" s="6" t="str">
        <f ca="1">IFERROR(__xludf.DUMMYFUNCTION("""COMPUTED_VALUE"""),"Category")</f>
        <v>Category</v>
      </c>
      <c r="T791" s="6"/>
      <c r="U791" s="6"/>
      <c r="V791" s="6"/>
      <c r="W791" s="6"/>
      <c r="X791" s="6"/>
      <c r="Y791" s="6"/>
      <c r="Z791" s="6"/>
      <c r="AA791" s="6"/>
      <c r="AB791" s="6"/>
      <c r="AC791" s="6"/>
      <c r="AD791" s="6"/>
      <c r="AE791" s="6"/>
      <c r="AF791" s="6"/>
      <c r="AG791" s="6"/>
      <c r="AH791" s="6"/>
      <c r="AI791" s="6"/>
      <c r="AJ791" s="6"/>
      <c r="AK791" s="6"/>
      <c r="AL791" s="6"/>
    </row>
    <row r="792" spans="1:38">
      <c r="A792" s="96">
        <f ca="1">IFERROR(__xludf.DUMMYFUNCTION("""COMPUTED_VALUE"""),44566)</f>
        <v>44566</v>
      </c>
      <c r="B792" s="6" t="str">
        <f ca="1">IFERROR(__xludf.DUMMYFUNCTION("""COMPUTED_VALUE"""),"Parvez")</f>
        <v>Parvez</v>
      </c>
      <c r="C792" s="6" t="str">
        <f ca="1">IFERROR(__xludf.DUMMYFUNCTION("""COMPUTED_VALUE"""),"soft.parvez@gmail.com")</f>
        <v>soft.parvez@gmail.com</v>
      </c>
      <c r="D792" s="6">
        <f ca="1">IFERROR(__xludf.DUMMYFUNCTION("""COMPUTED_VALUE"""),9898793561)</f>
        <v>9898793561</v>
      </c>
      <c r="E792" s="6" t="str">
        <f ca="1">IFERROR(__xludf.DUMMYFUNCTION("""COMPUTED_VALUE"""),"Reference")</f>
        <v>Reference</v>
      </c>
      <c r="F792" s="6" t="str">
        <f ca="1">IFERROR(__xludf.DUMMYFUNCTION("""COMPUTED_VALUE"""),"CSM")</f>
        <v>CSM</v>
      </c>
      <c r="G792" s="80">
        <f ca="1">IFERROR(__xludf.DUMMYFUNCTION("""COMPUTED_VALUE"""),44562)</f>
        <v>44562</v>
      </c>
      <c r="H792" s="6" t="str">
        <f ca="1">IFERROR(__xludf.DUMMYFUNCTION("""COMPUTED_VALUE"""),"Won")</f>
        <v>Won</v>
      </c>
      <c r="I792" s="6" t="str">
        <f ca="1">IFERROR(__xludf.DUMMYFUNCTION("""COMPUTED_VALUE"""),"29-30 Jan 2022")</f>
        <v>29-30 Jan 2022</v>
      </c>
      <c r="J792" s="6">
        <f ca="1">IFERROR(__xludf.DUMMYFUNCTION("""COMPUTED_VALUE"""),1)</f>
        <v>1</v>
      </c>
      <c r="K792" s="8">
        <f ca="1">IFERROR(__xludf.DUMMYFUNCTION("""COMPUTED_VALUE"""),19000)</f>
        <v>19000</v>
      </c>
      <c r="L792" s="8">
        <f ca="1">IFERROR(__xludf.DUMMYFUNCTION("""COMPUTED_VALUE"""),217.590471827759)</f>
        <v>217.59047182775899</v>
      </c>
      <c r="M792" s="96">
        <f ca="1">IFERROR(__xludf.DUMMYFUNCTION("""COMPUTED_VALUE"""),44566)</f>
        <v>44566</v>
      </c>
      <c r="N792" s="6" t="str">
        <f ca="1">IFERROR(__xludf.DUMMYFUNCTION("""COMPUTED_VALUE"""),"F10")</f>
        <v>F10</v>
      </c>
      <c r="O792" s="97">
        <f ca="1">IFERROR(__xludf.DUMMYFUNCTION("""COMPUTED_VALUE"""),44566)</f>
        <v>44566</v>
      </c>
      <c r="P792" s="6" t="str">
        <f ca="1">IFERROR(__xludf.DUMMYFUNCTION("""COMPUTED_VALUE"""),"CSTM_6AO4DGQ65OU")</f>
        <v>CSTM_6AO4DGQ65OU</v>
      </c>
      <c r="Q792" s="6" t="str">
        <f ca="1">IFERROR(__xludf.DUMMYFUNCTION("""COMPUTED_VALUE"""),"drp.rdp@gmail.com")</f>
        <v>drp.rdp@gmail.com</v>
      </c>
      <c r="R792" s="6" t="str">
        <f ca="1">IFERROR(__xludf.DUMMYFUNCTION("""COMPUTED_VALUE"""),"Pending")</f>
        <v>Pending</v>
      </c>
      <c r="S792" s="6" t="str">
        <f ca="1">IFERROR(__xludf.DUMMYFUNCTION("""COMPUTED_VALUE"""),"Category")</f>
        <v>Category</v>
      </c>
      <c r="T792" s="6"/>
      <c r="U792" s="6"/>
      <c r="V792" s="6"/>
      <c r="W792" s="6"/>
      <c r="X792" s="6"/>
      <c r="Y792" s="6"/>
      <c r="Z792" s="6"/>
      <c r="AA792" s="6"/>
      <c r="AB792" s="6"/>
      <c r="AC792" s="6"/>
      <c r="AD792" s="6"/>
      <c r="AE792" s="6"/>
      <c r="AF792" s="6"/>
      <c r="AG792" s="6"/>
      <c r="AH792" s="6"/>
      <c r="AI792" s="6"/>
      <c r="AJ792" s="6"/>
      <c r="AK792" s="6"/>
      <c r="AL792" s="6"/>
    </row>
    <row r="793" spans="1:38">
      <c r="A793" s="96">
        <f ca="1">IFERROR(__xludf.DUMMYFUNCTION("""COMPUTED_VALUE"""),44566)</f>
        <v>44566</v>
      </c>
      <c r="B793" s="6" t="str">
        <f ca="1">IFERROR(__xludf.DUMMYFUNCTION("""COMPUTED_VALUE"""),"Kamal Kaher")</f>
        <v>Kamal Kaher</v>
      </c>
      <c r="C793" s="6" t="str">
        <f ca="1">IFERROR(__xludf.DUMMYFUNCTION("""COMPUTED_VALUE"""),"kamalkaher@gmail.com")</f>
        <v>kamalkaher@gmail.com</v>
      </c>
      <c r="D793" s="6">
        <f ca="1">IFERROR(__xludf.DUMMYFUNCTION("""COMPUTED_VALUE"""),9718060400)</f>
        <v>9718060400</v>
      </c>
      <c r="E793" s="6" t="str">
        <f ca="1">IFERROR(__xludf.DUMMYFUNCTION("""COMPUTED_VALUE"""),"Reference")</f>
        <v>Reference</v>
      </c>
      <c r="F793" s="6" t="str">
        <f ca="1">IFERROR(__xludf.DUMMYFUNCTION("""COMPUTED_VALUE"""),"SAFe Agile")</f>
        <v>SAFe Agile</v>
      </c>
      <c r="G793" s="80">
        <f ca="1">IFERROR(__xludf.DUMMYFUNCTION("""COMPUTED_VALUE"""),44562)</f>
        <v>44562</v>
      </c>
      <c r="H793" s="6" t="str">
        <f ca="1">IFERROR(__xludf.DUMMYFUNCTION("""COMPUTED_VALUE"""),"Won")</f>
        <v>Won</v>
      </c>
      <c r="I793" s="6" t="str">
        <f ca="1">IFERROR(__xludf.DUMMYFUNCTION("""COMPUTED_VALUE"""),"8-9 Jan 2022")</f>
        <v>8-9 Jan 2022</v>
      </c>
      <c r="J793" s="6">
        <f ca="1">IFERROR(__xludf.DUMMYFUNCTION("""COMPUTED_VALUE"""),1)</f>
        <v>1</v>
      </c>
      <c r="K793" s="8">
        <f ca="1">IFERROR(__xludf.DUMMYFUNCTION("""COMPUTED_VALUE"""),40000)</f>
        <v>40000</v>
      </c>
      <c r="L793" s="8">
        <f ca="1">IFERROR(__xludf.DUMMYFUNCTION("""COMPUTED_VALUE"""),458.085203847915)</f>
        <v>458.08520384791501</v>
      </c>
      <c r="M793" s="96">
        <f ca="1">IFERROR(__xludf.DUMMYFUNCTION("""COMPUTED_VALUE"""),44566)</f>
        <v>44566</v>
      </c>
      <c r="N793" s="6" t="str">
        <f ca="1">IFERROR(__xludf.DUMMYFUNCTION("""COMPUTED_VALUE"""),"F10")</f>
        <v>F10</v>
      </c>
      <c r="O793" s="97">
        <f ca="1">IFERROR(__xludf.DUMMYFUNCTION("""COMPUTED_VALUE"""),44567)</f>
        <v>44567</v>
      </c>
      <c r="P793" s="6" t="str">
        <f ca="1">IFERROR(__xludf.DUMMYFUNCTION("""COMPUTED_VALUE"""),"CSTM_FHJHKLIDHKK")</f>
        <v>CSTM_FHJHKLIDHKK</v>
      </c>
      <c r="Q793" s="6" t="str">
        <f ca="1">IFERROR(__xludf.DUMMYFUNCTION("""COMPUTED_VALUE"""),"Reference by Kamal Kaher")</f>
        <v>Reference by Kamal Kaher</v>
      </c>
      <c r="R793" s="6" t="str">
        <f ca="1">IFERROR(__xludf.DUMMYFUNCTION("""COMPUTED_VALUE"""),"Pending")</f>
        <v>Pending</v>
      </c>
      <c r="S793" s="6" t="str">
        <f ca="1">IFERROR(__xludf.DUMMYFUNCTION("""COMPUTED_VALUE"""),"SAFe")</f>
        <v>SAFe</v>
      </c>
      <c r="T793" s="6"/>
      <c r="U793" s="6"/>
      <c r="V793" s="6"/>
      <c r="W793" s="6"/>
      <c r="X793" s="6"/>
      <c r="Y793" s="6"/>
      <c r="Z793" s="6"/>
      <c r="AA793" s="6"/>
      <c r="AB793" s="6"/>
      <c r="AC793" s="6"/>
      <c r="AD793" s="6"/>
      <c r="AE793" s="6"/>
      <c r="AF793" s="6"/>
      <c r="AG793" s="6"/>
      <c r="AH793" s="6"/>
      <c r="AI793" s="6"/>
      <c r="AJ793" s="6"/>
      <c r="AK793" s="6"/>
      <c r="AL793" s="6"/>
    </row>
    <row r="794" spans="1:38">
      <c r="A794" s="96">
        <f ca="1">IFERROR(__xludf.DUMMYFUNCTION("""COMPUTED_VALUE"""),44566)</f>
        <v>44566</v>
      </c>
      <c r="B794" s="6" t="str">
        <f ca="1">IFERROR(__xludf.DUMMYFUNCTION("""COMPUTED_VALUE"""),"Kaushal Tiwari")</f>
        <v>Kaushal Tiwari</v>
      </c>
      <c r="C794" s="6" t="str">
        <f ca="1">IFERROR(__xludf.DUMMYFUNCTION("""COMPUTED_VALUE"""),"rsktiwari@gmail.com")</f>
        <v>rsktiwari@gmail.com</v>
      </c>
      <c r="D794" s="6">
        <f ca="1">IFERROR(__xludf.DUMMYFUNCTION("""COMPUTED_VALUE"""),9312444578)</f>
        <v>9312444578</v>
      </c>
      <c r="E794" s="6" t="str">
        <f ca="1">IFERROR(__xludf.DUMMYFUNCTION("""COMPUTED_VALUE"""),"Reference")</f>
        <v>Reference</v>
      </c>
      <c r="F794" s="6" t="str">
        <f ca="1">IFERROR(__xludf.DUMMYFUNCTION("""COMPUTED_VALUE"""),"SAFe Agile")</f>
        <v>SAFe Agile</v>
      </c>
      <c r="G794" s="80">
        <f ca="1">IFERROR(__xludf.DUMMYFUNCTION("""COMPUTED_VALUE"""),44562)</f>
        <v>44562</v>
      </c>
      <c r="H794" s="6" t="str">
        <f ca="1">IFERROR(__xludf.DUMMYFUNCTION("""COMPUTED_VALUE"""),"Won")</f>
        <v>Won</v>
      </c>
      <c r="I794" s="6" t="str">
        <f ca="1">IFERROR(__xludf.DUMMYFUNCTION("""COMPUTED_VALUE"""),"8-9 Jan 2022")</f>
        <v>8-9 Jan 2022</v>
      </c>
      <c r="J794" s="6">
        <f ca="1">IFERROR(__xludf.DUMMYFUNCTION("""COMPUTED_VALUE"""),1)</f>
        <v>1</v>
      </c>
      <c r="K794" s="8">
        <f ca="1">IFERROR(__xludf.DUMMYFUNCTION("""COMPUTED_VALUE"""),40000)</f>
        <v>40000</v>
      </c>
      <c r="L794" s="8">
        <f ca="1">IFERROR(__xludf.DUMMYFUNCTION("""COMPUTED_VALUE"""),458.085203847915)</f>
        <v>458.08520384791501</v>
      </c>
      <c r="M794" s="96">
        <f ca="1">IFERROR(__xludf.DUMMYFUNCTION("""COMPUTED_VALUE"""),44566)</f>
        <v>44566</v>
      </c>
      <c r="N794" s="6" t="str">
        <f ca="1">IFERROR(__xludf.DUMMYFUNCTION("""COMPUTED_VALUE"""),"F10")</f>
        <v>F10</v>
      </c>
      <c r="O794" s="97">
        <f ca="1">IFERROR(__xludf.DUMMYFUNCTION("""COMPUTED_VALUE"""),44567)</f>
        <v>44567</v>
      </c>
      <c r="P794" s="6" t="str">
        <f ca="1">IFERROR(__xludf.DUMMYFUNCTION("""COMPUTED_VALUE"""),"CSTM_CRDAB6TSNFT")</f>
        <v>CSTM_CRDAB6TSNFT</v>
      </c>
      <c r="Q794" s="6" t="str">
        <f ca="1">IFERROR(__xludf.DUMMYFUNCTION("""COMPUTED_VALUE"""),"Reference by Kamal Kaher")</f>
        <v>Reference by Kamal Kaher</v>
      </c>
      <c r="R794" s="6" t="str">
        <f ca="1">IFERROR(__xludf.DUMMYFUNCTION("""COMPUTED_VALUE"""),"Pending")</f>
        <v>Pending</v>
      </c>
      <c r="S794" s="6" t="str">
        <f ca="1">IFERROR(__xludf.DUMMYFUNCTION("""COMPUTED_VALUE"""),"SAFe")</f>
        <v>SAFe</v>
      </c>
      <c r="T794" s="6"/>
      <c r="U794" s="6"/>
      <c r="V794" s="6"/>
      <c r="W794" s="6"/>
      <c r="X794" s="6"/>
      <c r="Y794" s="6"/>
      <c r="Z794" s="6"/>
      <c r="AA794" s="6"/>
      <c r="AB794" s="6"/>
      <c r="AC794" s="6"/>
      <c r="AD794" s="6"/>
      <c r="AE794" s="6"/>
      <c r="AF794" s="6"/>
      <c r="AG794" s="6"/>
      <c r="AH794" s="6"/>
      <c r="AI794" s="6"/>
      <c r="AJ794" s="6"/>
      <c r="AK794" s="6"/>
      <c r="AL794" s="6"/>
    </row>
    <row r="795" spans="1:38">
      <c r="A795" s="96">
        <f ca="1">IFERROR(__xludf.DUMMYFUNCTION("""COMPUTED_VALUE"""),44567)</f>
        <v>44567</v>
      </c>
      <c r="B795" s="6" t="str">
        <f ca="1">IFERROR(__xludf.DUMMYFUNCTION("""COMPUTED_VALUE"""),"Chandra")</f>
        <v>Chandra</v>
      </c>
      <c r="C795" s="6" t="str">
        <f ca="1">IFERROR(__xludf.DUMMYFUNCTION("""COMPUTED_VALUE"""),"ws.chandu@gmail.com")</f>
        <v>ws.chandu@gmail.com</v>
      </c>
      <c r="D795" s="6">
        <f ca="1">IFERROR(__xludf.DUMMYFUNCTION("""COMPUTED_VALUE"""),8919394401)</f>
        <v>8919394401</v>
      </c>
      <c r="E795" s="6" t="str">
        <f ca="1">IFERROR(__xludf.DUMMYFUNCTION("""COMPUTED_VALUE"""),"Existing Account")</f>
        <v>Existing Account</v>
      </c>
      <c r="F795" s="6" t="str">
        <f ca="1">IFERROR(__xludf.DUMMYFUNCTION("""COMPUTED_VALUE"""),"AWS Solutions Architect")</f>
        <v>AWS Solutions Architect</v>
      </c>
      <c r="G795" s="80">
        <f ca="1">IFERROR(__xludf.DUMMYFUNCTION("""COMPUTED_VALUE"""),44562)</f>
        <v>44562</v>
      </c>
      <c r="H795" s="6" t="str">
        <f ca="1">IFERROR(__xludf.DUMMYFUNCTION("""COMPUTED_VALUE"""),"Won")</f>
        <v>Won</v>
      </c>
      <c r="I795" s="6" t="str">
        <f ca="1">IFERROR(__xludf.DUMMYFUNCTION("""COMPUTED_VALUE"""),"6 Jan 2022")</f>
        <v>6 Jan 2022</v>
      </c>
      <c r="J795" s="6">
        <f ca="1">IFERROR(__xludf.DUMMYFUNCTION("""COMPUTED_VALUE"""),1)</f>
        <v>1</v>
      </c>
      <c r="K795" s="8">
        <f ca="1">IFERROR(__xludf.DUMMYFUNCTION("""COMPUTED_VALUE"""),17000)</f>
        <v>17000</v>
      </c>
      <c r="L795" s="8">
        <f ca="1">IFERROR(__xludf.DUMMYFUNCTION("""COMPUTED_VALUE"""),194.686211635364)</f>
        <v>194.686211635364</v>
      </c>
      <c r="M795" s="96">
        <f ca="1">IFERROR(__xludf.DUMMYFUNCTION("""COMPUTED_VALUE"""),44567)</f>
        <v>44567</v>
      </c>
      <c r="N795" s="6" t="str">
        <f ca="1">IFERROR(__xludf.DUMMYFUNCTION("""COMPUTED_VALUE"""),"F10")</f>
        <v>F10</v>
      </c>
      <c r="O795" s="97">
        <f ca="1">IFERROR(__xludf.DUMMYFUNCTION("""COMPUTED_VALUE"""),44567)</f>
        <v>44567</v>
      </c>
      <c r="P795" s="6" t="str">
        <f ca="1">IFERROR(__xludf.DUMMYFUNCTION("""COMPUTED_VALUE"""),"CSTM_7U5Y8I1CFB8")</f>
        <v>CSTM_7U5Y8I1CFB8</v>
      </c>
      <c r="Q795" s="6"/>
      <c r="R795" s="6" t="str">
        <f ca="1">IFERROR(__xludf.DUMMYFUNCTION("""COMPUTED_VALUE"""),"Pending")</f>
        <v>Pending</v>
      </c>
      <c r="S795" s="6" t="str">
        <f ca="1">IFERROR(__xludf.DUMMYFUNCTION("""COMPUTED_VALUE"""),"NonCategory")</f>
        <v>NonCategory</v>
      </c>
      <c r="T795" s="6"/>
      <c r="U795" s="6"/>
      <c r="V795" s="6"/>
      <c r="W795" s="6"/>
      <c r="X795" s="6"/>
      <c r="Y795" s="6"/>
      <c r="Z795" s="6"/>
      <c r="AA795" s="6"/>
      <c r="AB795" s="6"/>
      <c r="AC795" s="6"/>
      <c r="AD795" s="6"/>
      <c r="AE795" s="6"/>
      <c r="AF795" s="6"/>
      <c r="AG795" s="6"/>
      <c r="AH795" s="6"/>
      <c r="AI795" s="6"/>
      <c r="AJ795" s="6"/>
      <c r="AK795" s="6"/>
      <c r="AL795" s="6"/>
    </row>
    <row r="796" spans="1:38">
      <c r="A796" s="96">
        <f ca="1">IFERROR(__xludf.DUMMYFUNCTION("""COMPUTED_VALUE"""),44568)</f>
        <v>44568</v>
      </c>
      <c r="B796" s="6" t="str">
        <f ca="1">IFERROR(__xludf.DUMMYFUNCTION("""COMPUTED_VALUE"""),"Monilika Verma")</f>
        <v>Monilika Verma</v>
      </c>
      <c r="C796" s="6" t="str">
        <f ca="1">IFERROR(__xludf.DUMMYFUNCTION("""COMPUTED_VALUE"""),"mv00798185@techmahindra.com")</f>
        <v>mv00798185@techmahindra.com</v>
      </c>
      <c r="D796" s="6">
        <f ca="1">IFERROR(__xludf.DUMMYFUNCTION("""COMPUTED_VALUE"""),9986879158)</f>
        <v>9986879158</v>
      </c>
      <c r="E796" s="6" t="str">
        <f ca="1">IFERROR(__xludf.DUMMYFUNCTION("""COMPUTED_VALUE"""),"Reference")</f>
        <v>Reference</v>
      </c>
      <c r="F796" s="6" t="str">
        <f ca="1">IFERROR(__xludf.DUMMYFUNCTION("""COMPUTED_VALUE"""),"CSM")</f>
        <v>CSM</v>
      </c>
      <c r="G796" s="80">
        <f ca="1">IFERROR(__xludf.DUMMYFUNCTION("""COMPUTED_VALUE"""),44562)</f>
        <v>44562</v>
      </c>
      <c r="H796" s="6" t="str">
        <f ca="1">IFERROR(__xludf.DUMMYFUNCTION("""COMPUTED_VALUE"""),"Won")</f>
        <v>Won</v>
      </c>
      <c r="I796" s="6" t="str">
        <f ca="1">IFERROR(__xludf.DUMMYFUNCTION("""COMPUTED_VALUE"""),"12-13 Jan 2022")</f>
        <v>12-13 Jan 2022</v>
      </c>
      <c r="J796" s="6">
        <f ca="1">IFERROR(__xludf.DUMMYFUNCTION("""COMPUTED_VALUE"""),1)</f>
        <v>1</v>
      </c>
      <c r="K796" s="8">
        <f ca="1">IFERROR(__xludf.DUMMYFUNCTION("""COMPUTED_VALUE"""),20000)</f>
        <v>20000</v>
      </c>
      <c r="L796" s="8">
        <f ca="1">IFERROR(__xludf.DUMMYFUNCTION("""COMPUTED_VALUE"""),229.042601923957)</f>
        <v>229.04260192395699</v>
      </c>
      <c r="M796" s="96">
        <f ca="1">IFERROR(__xludf.DUMMYFUNCTION("""COMPUTED_VALUE"""),44568)</f>
        <v>44568</v>
      </c>
      <c r="N796" s="6" t="str">
        <f ca="1">IFERROR(__xludf.DUMMYFUNCTION("""COMPUTED_VALUE"""),"F10")</f>
        <v>F10</v>
      </c>
      <c r="O796" s="97">
        <f ca="1">IFERROR(__xludf.DUMMYFUNCTION("""COMPUTED_VALUE"""),44568)</f>
        <v>44568</v>
      </c>
      <c r="P796" s="6" t="str">
        <f ca="1">IFERROR(__xludf.DUMMYFUNCTION("""COMPUTED_VALUE"""),"CSTM_5SQBCEGXLIW")</f>
        <v>CSTM_5SQBCEGXLIW</v>
      </c>
      <c r="Q796" s="6" t="str">
        <f ca="1">IFERROR(__xludf.DUMMYFUNCTION("""COMPUTED_VALUE"""),"Reference by Neeti Jain")</f>
        <v>Reference by Neeti Jain</v>
      </c>
      <c r="R796" s="6" t="str">
        <f ca="1">IFERROR(__xludf.DUMMYFUNCTION("""COMPUTED_VALUE"""),"Pending")</f>
        <v>Pending</v>
      </c>
      <c r="S796" s="6" t="str">
        <f ca="1">IFERROR(__xludf.DUMMYFUNCTION("""COMPUTED_VALUE"""),"Category")</f>
        <v>Category</v>
      </c>
      <c r="T796" s="6"/>
      <c r="U796" s="6"/>
      <c r="V796" s="6"/>
      <c r="W796" s="6"/>
      <c r="X796" s="6"/>
      <c r="Y796" s="6"/>
      <c r="Z796" s="6"/>
      <c r="AA796" s="6"/>
      <c r="AB796" s="6"/>
      <c r="AC796" s="6"/>
      <c r="AD796" s="6"/>
      <c r="AE796" s="6"/>
      <c r="AF796" s="6"/>
      <c r="AG796" s="6"/>
      <c r="AH796" s="6"/>
      <c r="AI796" s="6"/>
      <c r="AJ796" s="6"/>
      <c r="AK796" s="6"/>
      <c r="AL796" s="6"/>
    </row>
    <row r="797" spans="1:38">
      <c r="A797" s="96">
        <f ca="1">IFERROR(__xludf.DUMMYFUNCTION("""COMPUTED_VALUE"""),44568)</f>
        <v>44568</v>
      </c>
      <c r="B797" s="6" t="str">
        <f ca="1">IFERROR(__xludf.DUMMYFUNCTION("""COMPUTED_VALUE"""),"Theju")</f>
        <v>Theju</v>
      </c>
      <c r="C797" s="6" t="str">
        <f ca="1">IFERROR(__xludf.DUMMYFUNCTION("""COMPUTED_VALUE"""),"theju.r5@gmail.com")</f>
        <v>theju.r5@gmail.com</v>
      </c>
      <c r="D797" s="6">
        <f ca="1">IFERROR(__xludf.DUMMYFUNCTION("""COMPUTED_VALUE"""),9901793547)</f>
        <v>9901793547</v>
      </c>
      <c r="E797" s="6" t="str">
        <f ca="1">IFERROR(__xludf.DUMMYFUNCTION("""COMPUTED_VALUE"""),"course agenda")</f>
        <v>course agenda</v>
      </c>
      <c r="F797" s="6" t="str">
        <f ca="1">IFERROR(__xludf.DUMMYFUNCTION("""COMPUTED_VALUE"""),"CSM")</f>
        <v>CSM</v>
      </c>
      <c r="G797" s="80">
        <f ca="1">IFERROR(__xludf.DUMMYFUNCTION("""COMPUTED_VALUE"""),44562)</f>
        <v>44562</v>
      </c>
      <c r="H797" s="6" t="str">
        <f ca="1">IFERROR(__xludf.DUMMYFUNCTION("""COMPUTED_VALUE"""),"Won")</f>
        <v>Won</v>
      </c>
      <c r="I797" s="6" t="str">
        <f ca="1">IFERROR(__xludf.DUMMYFUNCTION("""COMPUTED_VALUE"""),"29-30 Jan 2022")</f>
        <v>29-30 Jan 2022</v>
      </c>
      <c r="J797" s="6">
        <f ca="1">IFERROR(__xludf.DUMMYFUNCTION("""COMPUTED_VALUE"""),1)</f>
        <v>1</v>
      </c>
      <c r="K797" s="8">
        <f ca="1">IFERROR(__xludf.DUMMYFUNCTION("""COMPUTED_VALUE"""),20000)</f>
        <v>20000</v>
      </c>
      <c r="L797" s="8">
        <f ca="1">IFERROR(__xludf.DUMMYFUNCTION("""COMPUTED_VALUE"""),229.042601923957)</f>
        <v>229.04260192395699</v>
      </c>
      <c r="M797" s="96">
        <f ca="1">IFERROR(__xludf.DUMMYFUNCTION("""COMPUTED_VALUE"""),44568)</f>
        <v>44568</v>
      </c>
      <c r="N797" s="6" t="str">
        <f ca="1">IFERROR(__xludf.DUMMYFUNCTION("""COMPUTED_VALUE"""),"F10")</f>
        <v>F10</v>
      </c>
      <c r="O797" s="97">
        <f ca="1">IFERROR(__xludf.DUMMYFUNCTION("""COMPUTED_VALUE"""),44568)</f>
        <v>44568</v>
      </c>
      <c r="P797" s="6" t="str">
        <f ca="1">IFERROR(__xludf.DUMMYFUNCTION("""COMPUTED_VALUE"""),"CSTM_14Q9G2X7ASN")</f>
        <v>CSTM_14Q9G2X7ASN</v>
      </c>
      <c r="Q797" s="6"/>
      <c r="R797" s="6" t="str">
        <f ca="1">IFERROR(__xludf.DUMMYFUNCTION("""COMPUTED_VALUE"""),"Pending")</f>
        <v>Pending</v>
      </c>
      <c r="S797" s="6" t="str">
        <f ca="1">IFERROR(__xludf.DUMMYFUNCTION("""COMPUTED_VALUE"""),"Category")</f>
        <v>Category</v>
      </c>
      <c r="T797" s="6"/>
      <c r="U797" s="6"/>
      <c r="V797" s="6"/>
      <c r="W797" s="6"/>
      <c r="X797" s="6"/>
      <c r="Y797" s="6"/>
      <c r="Z797" s="6"/>
      <c r="AA797" s="6"/>
      <c r="AB797" s="6"/>
      <c r="AC797" s="6"/>
      <c r="AD797" s="6"/>
      <c r="AE797" s="6"/>
      <c r="AF797" s="6"/>
      <c r="AG797" s="6"/>
      <c r="AH797" s="6"/>
      <c r="AI797" s="6"/>
      <c r="AJ797" s="6"/>
      <c r="AK797" s="6"/>
      <c r="AL797" s="6"/>
    </row>
    <row r="798" spans="1:38">
      <c r="A798" s="96">
        <f ca="1">IFERROR(__xludf.DUMMYFUNCTION("""COMPUTED_VALUE"""),44568)</f>
        <v>44568</v>
      </c>
      <c r="B798" s="6" t="str">
        <f ca="1">IFERROR(__xludf.DUMMYFUNCTION("""COMPUTED_VALUE"""),"Manisha")</f>
        <v>Manisha</v>
      </c>
      <c r="C798" s="6" t="str">
        <f ca="1">IFERROR(__xludf.DUMMYFUNCTION("""COMPUTED_VALUE"""),"wisteria1727@gmail.com")</f>
        <v>wisteria1727@gmail.com</v>
      </c>
      <c r="D798" s="6">
        <f ca="1">IFERROR(__xludf.DUMMYFUNCTION("""COMPUTED_VALUE"""),7893052033)</f>
        <v>7893052033</v>
      </c>
      <c r="E798" s="6" t="str">
        <f ca="1">IFERROR(__xludf.DUMMYFUNCTION("""COMPUTED_VALUE"""),"Chat_triggered")</f>
        <v>Chat_triggered</v>
      </c>
      <c r="F798" s="6" t="str">
        <f ca="1">IFERROR(__xludf.DUMMYFUNCTION("""COMPUTED_VALUE"""),"PSM")</f>
        <v>PSM</v>
      </c>
      <c r="G798" s="80">
        <f ca="1">IFERROR(__xludf.DUMMYFUNCTION("""COMPUTED_VALUE"""),44562)</f>
        <v>44562</v>
      </c>
      <c r="H798" s="6" t="str">
        <f ca="1">IFERROR(__xludf.DUMMYFUNCTION("""COMPUTED_VALUE"""),"Won")</f>
        <v>Won</v>
      </c>
      <c r="I798" s="6" t="str">
        <f ca="1">IFERROR(__xludf.DUMMYFUNCTION("""COMPUTED_VALUE"""),"29-30 Jan 2022")</f>
        <v>29-30 Jan 2022</v>
      </c>
      <c r="J798" s="6">
        <f ca="1">IFERROR(__xludf.DUMMYFUNCTION("""COMPUTED_VALUE"""),1)</f>
        <v>1</v>
      </c>
      <c r="K798" s="8">
        <f ca="1">IFERROR(__xludf.DUMMYFUNCTION("""COMPUTED_VALUE"""),21000)</f>
        <v>21000</v>
      </c>
      <c r="L798" s="8">
        <f ca="1">IFERROR(__xludf.DUMMYFUNCTION("""COMPUTED_VALUE"""),240.494732020155)</f>
        <v>240.494732020155</v>
      </c>
      <c r="M798" s="96">
        <f ca="1">IFERROR(__xludf.DUMMYFUNCTION("""COMPUTED_VALUE"""),44568)</f>
        <v>44568</v>
      </c>
      <c r="N798" s="6" t="str">
        <f ca="1">IFERROR(__xludf.DUMMYFUNCTION("""COMPUTED_VALUE"""),"F10")</f>
        <v>F10</v>
      </c>
      <c r="O798" s="97">
        <f ca="1">IFERROR(__xludf.DUMMYFUNCTION("""COMPUTED_VALUE"""),44568)</f>
        <v>44568</v>
      </c>
      <c r="P798" s="6" t="str">
        <f ca="1">IFERROR(__xludf.DUMMYFUNCTION("""COMPUTED_VALUE"""),"CSTM_8B8KSVEH1Q2")</f>
        <v>CSTM_8B8KSVEH1Q2</v>
      </c>
      <c r="Q798" s="6"/>
      <c r="R798" s="6" t="str">
        <f ca="1">IFERROR(__xludf.DUMMYFUNCTION("""COMPUTED_VALUE"""),"Pending")</f>
        <v>Pending</v>
      </c>
      <c r="S798" s="6" t="str">
        <f ca="1">IFERROR(__xludf.DUMMYFUNCTION("""COMPUTED_VALUE"""),"Category")</f>
        <v>Category</v>
      </c>
      <c r="T798" s="6"/>
      <c r="U798" s="6"/>
      <c r="V798" s="6"/>
      <c r="W798" s="6"/>
      <c r="X798" s="6"/>
      <c r="Y798" s="6"/>
      <c r="Z798" s="6"/>
      <c r="AA798" s="6"/>
      <c r="AB798" s="6"/>
      <c r="AC798" s="6"/>
      <c r="AD798" s="6"/>
      <c r="AE798" s="6"/>
      <c r="AF798" s="6"/>
      <c r="AG798" s="6"/>
      <c r="AH798" s="6"/>
      <c r="AI798" s="6"/>
      <c r="AJ798" s="6"/>
      <c r="AK798" s="6"/>
      <c r="AL798" s="6"/>
    </row>
    <row r="799" spans="1:38">
      <c r="A799" s="96">
        <f ca="1">IFERROR(__xludf.DUMMYFUNCTION("""COMPUTED_VALUE"""),44569)</f>
        <v>44569</v>
      </c>
      <c r="B799" s="6" t="str">
        <f ca="1">IFERROR(__xludf.DUMMYFUNCTION("""COMPUTED_VALUE"""),"Sriram")</f>
        <v>Sriram</v>
      </c>
      <c r="C799" s="6" t="str">
        <f ca="1">IFERROR(__xludf.DUMMYFUNCTION("""COMPUTED_VALUE"""),"nagjaya1959@gmail.com")</f>
        <v>nagjaya1959@gmail.com</v>
      </c>
      <c r="D799" s="6">
        <f ca="1">IFERROR(__xludf.DUMMYFUNCTION("""COMPUTED_VALUE"""),9884872721)</f>
        <v>9884872721</v>
      </c>
      <c r="E799" s="6" t="str">
        <f ca="1">IFERROR(__xludf.DUMMYFUNCTION("""COMPUTED_VALUE"""),"Reference")</f>
        <v>Reference</v>
      </c>
      <c r="F799" s="6" t="str">
        <f ca="1">IFERROR(__xludf.DUMMYFUNCTION("""COMPUTED_VALUE"""),"PSPO")</f>
        <v>PSPO</v>
      </c>
      <c r="G799" s="80">
        <f ca="1">IFERROR(__xludf.DUMMYFUNCTION("""COMPUTED_VALUE"""),44562)</f>
        <v>44562</v>
      </c>
      <c r="H799" s="6" t="str">
        <f ca="1">IFERROR(__xludf.DUMMYFUNCTION("""COMPUTED_VALUE"""),"Won")</f>
        <v>Won</v>
      </c>
      <c r="I799" s="6" t="str">
        <f ca="1">IFERROR(__xludf.DUMMYFUNCTION("""COMPUTED_VALUE"""),"22-23 Jan 2022")</f>
        <v>22-23 Jan 2022</v>
      </c>
      <c r="J799" s="6">
        <f ca="1">IFERROR(__xludf.DUMMYFUNCTION("""COMPUTED_VALUE"""),1)</f>
        <v>1</v>
      </c>
      <c r="K799" s="8">
        <f ca="1">IFERROR(__xludf.DUMMYFUNCTION("""COMPUTED_VALUE"""),21000)</f>
        <v>21000</v>
      </c>
      <c r="L799" s="8">
        <f ca="1">IFERROR(__xludf.DUMMYFUNCTION("""COMPUTED_VALUE"""),240.494732020155)</f>
        <v>240.494732020155</v>
      </c>
      <c r="M799" s="96">
        <f ca="1">IFERROR(__xludf.DUMMYFUNCTION("""COMPUTED_VALUE"""),44569)</f>
        <v>44569</v>
      </c>
      <c r="N799" s="6" t="str">
        <f ca="1">IFERROR(__xludf.DUMMYFUNCTION("""COMPUTED_VALUE"""),"F10")</f>
        <v>F10</v>
      </c>
      <c r="O799" s="97">
        <f ca="1">IFERROR(__xludf.DUMMYFUNCTION("""COMPUTED_VALUE"""),44569)</f>
        <v>44569</v>
      </c>
      <c r="P799" s="6" t="str">
        <f ca="1">IFERROR(__xludf.DUMMYFUNCTION("""COMPUTED_VALUE"""),"CSTM_GHV2W6KNAHX")</f>
        <v>CSTM_GHV2W6KNAHX</v>
      </c>
      <c r="Q799" s="6" t="str">
        <f ca="1">IFERROR(__xludf.DUMMYFUNCTION("""COMPUTED_VALUE"""),"tej.lalge@gmail.com")</f>
        <v>tej.lalge@gmail.com</v>
      </c>
      <c r="R799" s="6" t="str">
        <f ca="1">IFERROR(__xludf.DUMMYFUNCTION("""COMPUTED_VALUE"""),"Pending")</f>
        <v>Pending</v>
      </c>
      <c r="S799" s="6" t="str">
        <f ca="1">IFERROR(__xludf.DUMMYFUNCTION("""COMPUTED_VALUE"""),"Category")</f>
        <v>Category</v>
      </c>
      <c r="T799" s="6"/>
      <c r="U799" s="6"/>
      <c r="V799" s="6"/>
      <c r="W799" s="6"/>
      <c r="X799" s="6"/>
      <c r="Y799" s="6"/>
      <c r="Z799" s="6"/>
      <c r="AA799" s="6"/>
      <c r="AB799" s="6"/>
      <c r="AC799" s="6"/>
      <c r="AD799" s="6"/>
      <c r="AE799" s="6"/>
      <c r="AF799" s="6"/>
      <c r="AG799" s="6"/>
      <c r="AH799" s="6"/>
      <c r="AI799" s="6"/>
      <c r="AJ799" s="6"/>
      <c r="AK799" s="6"/>
      <c r="AL799" s="6"/>
    </row>
    <row r="800" spans="1:38">
      <c r="A800" s="96">
        <f ca="1">IFERROR(__xludf.DUMMYFUNCTION("""COMPUTED_VALUE"""),44569)</f>
        <v>44569</v>
      </c>
      <c r="B800" s="6" t="str">
        <f ca="1">IFERROR(__xludf.DUMMYFUNCTION("""COMPUTED_VALUE"""),"Sneha Malik")</f>
        <v>Sneha Malik</v>
      </c>
      <c r="C800" s="6" t="str">
        <f ca="1">IFERROR(__xludf.DUMMYFUNCTION("""COMPUTED_VALUE"""),"deansneha@gmail.com")</f>
        <v>deansneha@gmail.com</v>
      </c>
      <c r="D800" s="6">
        <f ca="1">IFERROR(__xludf.DUMMYFUNCTION("""COMPUTED_VALUE"""),8586822746)</f>
        <v>8586822746</v>
      </c>
      <c r="E800" s="6" t="str">
        <f ca="1">IFERROR(__xludf.DUMMYFUNCTION("""COMPUTED_VALUE"""),"course preview")</f>
        <v>course preview</v>
      </c>
      <c r="F800" s="6" t="str">
        <f ca="1">IFERROR(__xludf.DUMMYFUNCTION("""COMPUTED_VALUE"""),"PSM")</f>
        <v>PSM</v>
      </c>
      <c r="G800" s="80">
        <f ca="1">IFERROR(__xludf.DUMMYFUNCTION("""COMPUTED_VALUE"""),44562)</f>
        <v>44562</v>
      </c>
      <c r="H800" s="6" t="str">
        <f ca="1">IFERROR(__xludf.DUMMYFUNCTION("""COMPUTED_VALUE"""),"Won")</f>
        <v>Won</v>
      </c>
      <c r="I800" s="6" t="str">
        <f ca="1">IFERROR(__xludf.DUMMYFUNCTION("""COMPUTED_VALUE"""),"29-30 Jan 2022")</f>
        <v>29-30 Jan 2022</v>
      </c>
      <c r="J800" s="6">
        <f ca="1">IFERROR(__xludf.DUMMYFUNCTION("""COMPUTED_VALUE"""),1)</f>
        <v>1</v>
      </c>
      <c r="K800" s="8">
        <f ca="1">IFERROR(__xludf.DUMMYFUNCTION("""COMPUTED_VALUE"""),21000)</f>
        <v>21000</v>
      </c>
      <c r="L800" s="8">
        <f ca="1">IFERROR(__xludf.DUMMYFUNCTION("""COMPUTED_VALUE"""),240.494732020155)</f>
        <v>240.494732020155</v>
      </c>
      <c r="M800" s="96">
        <f ca="1">IFERROR(__xludf.DUMMYFUNCTION("""COMPUTED_VALUE"""),44569)</f>
        <v>44569</v>
      </c>
      <c r="N800" s="6" t="str">
        <f ca="1">IFERROR(__xludf.DUMMYFUNCTION("""COMPUTED_VALUE"""),"F10")</f>
        <v>F10</v>
      </c>
      <c r="O800" s="97">
        <f ca="1">IFERROR(__xludf.DUMMYFUNCTION("""COMPUTED_VALUE"""),44569)</f>
        <v>44569</v>
      </c>
      <c r="P800" s="6" t="str">
        <f ca="1">IFERROR(__xludf.DUMMYFUNCTION("""COMPUTED_VALUE"""),"CSTM_1GQHLLFIO3M")</f>
        <v>CSTM_1GQHLLFIO3M</v>
      </c>
      <c r="Q800" s="6"/>
      <c r="R800" s="6" t="str">
        <f ca="1">IFERROR(__xludf.DUMMYFUNCTION("""COMPUTED_VALUE"""),"Pending")</f>
        <v>Pending</v>
      </c>
      <c r="S800" s="6" t="str">
        <f ca="1">IFERROR(__xludf.DUMMYFUNCTION("""COMPUTED_VALUE"""),"Category")</f>
        <v>Category</v>
      </c>
      <c r="T800" s="6"/>
      <c r="U800" s="6"/>
      <c r="V800" s="6"/>
      <c r="W800" s="6"/>
      <c r="X800" s="6"/>
      <c r="Y800" s="6"/>
      <c r="Z800" s="6"/>
      <c r="AA800" s="6"/>
      <c r="AB800" s="6"/>
      <c r="AC800" s="6"/>
      <c r="AD800" s="6"/>
      <c r="AE800" s="6"/>
      <c r="AF800" s="6"/>
      <c r="AG800" s="6"/>
      <c r="AH800" s="6"/>
      <c r="AI800" s="6"/>
      <c r="AJ800" s="6"/>
      <c r="AK800" s="6"/>
      <c r="AL800" s="6"/>
    </row>
    <row r="801" spans="1:38">
      <c r="A801" s="96">
        <f ca="1">IFERROR(__xludf.DUMMYFUNCTION("""COMPUTED_VALUE"""),44570)</f>
        <v>44570</v>
      </c>
      <c r="B801" s="6" t="str">
        <f ca="1">IFERROR(__xludf.DUMMYFUNCTION("""COMPUTED_VALUE"""),"Vinita Kamra")</f>
        <v>Vinita Kamra</v>
      </c>
      <c r="C801" s="6" t="str">
        <f ca="1">IFERROR(__xludf.DUMMYFUNCTION("""COMPUTED_VALUE"""),"coolstudd.ip@gmail.com")</f>
        <v>coolstudd.ip@gmail.com</v>
      </c>
      <c r="D801" s="6">
        <f ca="1">IFERROR(__xludf.DUMMYFUNCTION("""COMPUTED_VALUE"""),9654469526)</f>
        <v>9654469526</v>
      </c>
      <c r="E801" s="6" t="str">
        <f ca="1">IFERROR(__xludf.DUMMYFUNCTION("""COMPUTED_VALUE"""),"Reference")</f>
        <v>Reference</v>
      </c>
      <c r="F801" s="6" t="str">
        <f ca="1">IFERROR(__xludf.DUMMYFUNCTION("""COMPUTED_VALUE"""),"CSM")</f>
        <v>CSM</v>
      </c>
      <c r="G801" s="80">
        <f ca="1">IFERROR(__xludf.DUMMYFUNCTION("""COMPUTED_VALUE"""),44562)</f>
        <v>44562</v>
      </c>
      <c r="H801" s="6" t="str">
        <f ca="1">IFERROR(__xludf.DUMMYFUNCTION("""COMPUTED_VALUE"""),"Won")</f>
        <v>Won</v>
      </c>
      <c r="I801" s="6" t="str">
        <f ca="1">IFERROR(__xludf.DUMMYFUNCTION("""COMPUTED_VALUE"""),"29-30 Jan 2022")</f>
        <v>29-30 Jan 2022</v>
      </c>
      <c r="J801" s="6">
        <f ca="1">IFERROR(__xludf.DUMMYFUNCTION("""COMPUTED_VALUE"""),1)</f>
        <v>1</v>
      </c>
      <c r="K801" s="8">
        <f ca="1">IFERROR(__xludf.DUMMYFUNCTION("""COMPUTED_VALUE"""),20000)</f>
        <v>20000</v>
      </c>
      <c r="L801" s="8">
        <f ca="1">IFERROR(__xludf.DUMMYFUNCTION("""COMPUTED_VALUE"""),229.042601923957)</f>
        <v>229.04260192395699</v>
      </c>
      <c r="M801" s="96">
        <f ca="1">IFERROR(__xludf.DUMMYFUNCTION("""COMPUTED_VALUE"""),44570)</f>
        <v>44570</v>
      </c>
      <c r="N801" s="6" t="str">
        <f ca="1">IFERROR(__xludf.DUMMYFUNCTION("""COMPUTED_VALUE"""),"F10")</f>
        <v>F10</v>
      </c>
      <c r="O801" s="97">
        <f ca="1">IFERROR(__xludf.DUMMYFUNCTION("""COMPUTED_VALUE"""),44570)</f>
        <v>44570</v>
      </c>
      <c r="P801" s="6" t="str">
        <f ca="1">IFERROR(__xludf.DUMMYFUNCTION("""COMPUTED_VALUE"""),"CSTM_54S6S2CYE9")</f>
        <v>CSTM_54S6S2CYE9</v>
      </c>
      <c r="Q801" s="6" t="str">
        <f ca="1">IFERROR(__xludf.DUMMYFUNCTION("""COMPUTED_VALUE"""),"Reference by Vinita Kamra")</f>
        <v>Reference by Vinita Kamra</v>
      </c>
      <c r="R801" s="6" t="str">
        <f ca="1">IFERROR(__xludf.DUMMYFUNCTION("""COMPUTED_VALUE"""),"Pending")</f>
        <v>Pending</v>
      </c>
      <c r="S801" s="6" t="str">
        <f ca="1">IFERROR(__xludf.DUMMYFUNCTION("""COMPUTED_VALUE"""),"Category")</f>
        <v>Category</v>
      </c>
      <c r="T801" s="6"/>
      <c r="U801" s="6"/>
      <c r="V801" s="6"/>
      <c r="W801" s="6"/>
      <c r="X801" s="6"/>
      <c r="Y801" s="6"/>
      <c r="Z801" s="6"/>
      <c r="AA801" s="6"/>
      <c r="AB801" s="6"/>
      <c r="AC801" s="6"/>
      <c r="AD801" s="6"/>
      <c r="AE801" s="6"/>
      <c r="AF801" s="6"/>
      <c r="AG801" s="6"/>
      <c r="AH801" s="6"/>
      <c r="AI801" s="6"/>
      <c r="AJ801" s="6"/>
      <c r="AK801" s="6"/>
      <c r="AL801" s="6"/>
    </row>
    <row r="802" spans="1:38">
      <c r="A802" s="96">
        <f ca="1">IFERROR(__xludf.DUMMYFUNCTION("""COMPUTED_VALUE"""),44570)</f>
        <v>44570</v>
      </c>
      <c r="B802" s="6" t="str">
        <f ca="1">IFERROR(__xludf.DUMMYFUNCTION("""COMPUTED_VALUE"""),"Neelima Kalyani")</f>
        <v>Neelima Kalyani</v>
      </c>
      <c r="C802" s="6" t="str">
        <f ca="1">IFERROR(__xludf.DUMMYFUNCTION("""COMPUTED_VALUE"""),"neelimakalyani@yahoo.com")</f>
        <v>neelimakalyani@yahoo.com</v>
      </c>
      <c r="D802" s="6">
        <f ca="1">IFERROR(__xludf.DUMMYFUNCTION("""COMPUTED_VALUE"""),9849274647)</f>
        <v>9849274647</v>
      </c>
      <c r="E802" s="6" t="str">
        <f ca="1">IFERROR(__xludf.DUMMYFUNCTION("""COMPUTED_VALUE"""),"Query box")</f>
        <v>Query box</v>
      </c>
      <c r="F802" s="6" t="str">
        <f ca="1">IFERROR(__xludf.DUMMYFUNCTION("""COMPUTED_VALUE"""),"PSPO")</f>
        <v>PSPO</v>
      </c>
      <c r="G802" s="80">
        <f ca="1">IFERROR(__xludf.DUMMYFUNCTION("""COMPUTED_VALUE"""),44562)</f>
        <v>44562</v>
      </c>
      <c r="H802" s="6" t="str">
        <f ca="1">IFERROR(__xludf.DUMMYFUNCTION("""COMPUTED_VALUE"""),"Won")</f>
        <v>Won</v>
      </c>
      <c r="I802" s="6" t="str">
        <f ca="1">IFERROR(__xludf.DUMMYFUNCTION("""COMPUTED_VALUE"""),"15-16 Jan 2022")</f>
        <v>15-16 Jan 2022</v>
      </c>
      <c r="J802" s="6">
        <f ca="1">IFERROR(__xludf.DUMMYFUNCTION("""COMPUTED_VALUE"""),1)</f>
        <v>1</v>
      </c>
      <c r="K802" s="8">
        <f ca="1">IFERROR(__xludf.DUMMYFUNCTION("""COMPUTED_VALUE"""),21000)</f>
        <v>21000</v>
      </c>
      <c r="L802" s="8">
        <f ca="1">IFERROR(__xludf.DUMMYFUNCTION("""COMPUTED_VALUE"""),240.494732020155)</f>
        <v>240.494732020155</v>
      </c>
      <c r="M802" s="96">
        <f ca="1">IFERROR(__xludf.DUMMYFUNCTION("""COMPUTED_VALUE"""),44570)</f>
        <v>44570</v>
      </c>
      <c r="N802" s="6" t="str">
        <f ca="1">IFERROR(__xludf.DUMMYFUNCTION("""COMPUTED_VALUE"""),"F10")</f>
        <v>F10</v>
      </c>
      <c r="O802" s="97">
        <f ca="1">IFERROR(__xludf.DUMMYFUNCTION("""COMPUTED_VALUE"""),44571)</f>
        <v>44571</v>
      </c>
      <c r="P802" s="6" t="str">
        <f ca="1">IFERROR(__xludf.DUMMYFUNCTION("""COMPUTED_VALUE"""),"CSTM_3WRI06ITDJD")</f>
        <v>CSTM_3WRI06ITDJD</v>
      </c>
      <c r="Q802" s="6"/>
      <c r="R802" s="6" t="str">
        <f ca="1">IFERROR(__xludf.DUMMYFUNCTION("""COMPUTED_VALUE"""),"Pending")</f>
        <v>Pending</v>
      </c>
      <c r="S802" s="6" t="str">
        <f ca="1">IFERROR(__xludf.DUMMYFUNCTION("""COMPUTED_VALUE"""),"Category")</f>
        <v>Category</v>
      </c>
      <c r="T802" s="6"/>
      <c r="U802" s="6"/>
      <c r="V802" s="6"/>
      <c r="W802" s="6"/>
      <c r="X802" s="6"/>
      <c r="Y802" s="6"/>
      <c r="Z802" s="6"/>
      <c r="AA802" s="6"/>
      <c r="AB802" s="6"/>
      <c r="AC802" s="6"/>
      <c r="AD802" s="6"/>
      <c r="AE802" s="6"/>
      <c r="AF802" s="6"/>
      <c r="AG802" s="6"/>
      <c r="AH802" s="6"/>
      <c r="AI802" s="6"/>
      <c r="AJ802" s="6"/>
      <c r="AK802" s="6"/>
      <c r="AL802" s="6"/>
    </row>
    <row r="803" spans="1:38">
      <c r="A803" s="96">
        <f ca="1">IFERROR(__xludf.DUMMYFUNCTION("""COMPUTED_VALUE"""),44571)</f>
        <v>44571</v>
      </c>
      <c r="B803" s="6" t="str">
        <f ca="1">IFERROR(__xludf.DUMMYFUNCTION("""COMPUTED_VALUE"""),"Sayani")</f>
        <v>Sayani</v>
      </c>
      <c r="C803" s="6" t="str">
        <f ca="1">IFERROR(__xludf.DUMMYFUNCTION("""COMPUTED_VALUE"""),"sayanis.cse@gmail.com")</f>
        <v>sayanis.cse@gmail.com</v>
      </c>
      <c r="D803" s="6">
        <f ca="1">IFERROR(__xludf.DUMMYFUNCTION("""COMPUTED_VALUE"""),9007498473)</f>
        <v>9007498473</v>
      </c>
      <c r="E803" s="6" t="str">
        <f ca="1">IFERROR(__xludf.DUMMYFUNCTION("""COMPUTED_VALUE"""),"Request a call")</f>
        <v>Request a call</v>
      </c>
      <c r="F803" s="6" t="str">
        <f ca="1">IFERROR(__xludf.DUMMYFUNCTION("""COMPUTED_VALUE"""),"CSM")</f>
        <v>CSM</v>
      </c>
      <c r="G803" s="80">
        <f ca="1">IFERROR(__xludf.DUMMYFUNCTION("""COMPUTED_VALUE"""),44562)</f>
        <v>44562</v>
      </c>
      <c r="H803" s="6" t="str">
        <f ca="1">IFERROR(__xludf.DUMMYFUNCTION("""COMPUTED_VALUE"""),"Won")</f>
        <v>Won</v>
      </c>
      <c r="I803" s="6" t="str">
        <f ca="1">IFERROR(__xludf.DUMMYFUNCTION("""COMPUTED_VALUE"""),"13-14 Jan 2022")</f>
        <v>13-14 Jan 2022</v>
      </c>
      <c r="J803" s="6">
        <f ca="1">IFERROR(__xludf.DUMMYFUNCTION("""COMPUTED_VALUE"""),1)</f>
        <v>1</v>
      </c>
      <c r="K803" s="8">
        <f ca="1">IFERROR(__xludf.DUMMYFUNCTION("""COMPUTED_VALUE"""),20000)</f>
        <v>20000</v>
      </c>
      <c r="L803" s="8">
        <f ca="1">IFERROR(__xludf.DUMMYFUNCTION("""COMPUTED_VALUE"""),229.042601923957)</f>
        <v>229.04260192395699</v>
      </c>
      <c r="M803" s="96">
        <f ca="1">IFERROR(__xludf.DUMMYFUNCTION("""COMPUTED_VALUE"""),44571)</f>
        <v>44571</v>
      </c>
      <c r="N803" s="6" t="str">
        <f ca="1">IFERROR(__xludf.DUMMYFUNCTION("""COMPUTED_VALUE"""),"F10")</f>
        <v>F10</v>
      </c>
      <c r="O803" s="97">
        <f ca="1">IFERROR(__xludf.DUMMYFUNCTION("""COMPUTED_VALUE"""),44571)</f>
        <v>44571</v>
      </c>
      <c r="P803" s="6" t="str">
        <f ca="1">IFERROR(__xludf.DUMMYFUNCTION("""COMPUTED_VALUE"""),"CSTM_8XF5WJAX4RZ")</f>
        <v>CSTM_8XF5WJAX4RZ</v>
      </c>
      <c r="Q803" s="6"/>
      <c r="R803" s="6" t="str">
        <f ca="1">IFERROR(__xludf.DUMMYFUNCTION("""COMPUTED_VALUE"""),"Pending")</f>
        <v>Pending</v>
      </c>
      <c r="S803" s="6" t="str">
        <f ca="1">IFERROR(__xludf.DUMMYFUNCTION("""COMPUTED_VALUE"""),"Category")</f>
        <v>Category</v>
      </c>
      <c r="T803" s="6"/>
      <c r="U803" s="6"/>
      <c r="V803" s="6"/>
      <c r="W803" s="6"/>
      <c r="X803" s="6"/>
      <c r="Y803" s="6"/>
      <c r="Z803" s="6"/>
      <c r="AA803" s="6"/>
      <c r="AB803" s="6"/>
      <c r="AC803" s="6"/>
      <c r="AD803" s="6"/>
      <c r="AE803" s="6"/>
      <c r="AF803" s="6"/>
      <c r="AG803" s="6"/>
      <c r="AH803" s="6"/>
      <c r="AI803" s="6"/>
      <c r="AJ803" s="6"/>
      <c r="AK803" s="6"/>
      <c r="AL803" s="6"/>
    </row>
    <row r="804" spans="1:38">
      <c r="A804" s="96">
        <f ca="1">IFERROR(__xludf.DUMMYFUNCTION("""COMPUTED_VALUE"""),44571)</f>
        <v>44571</v>
      </c>
      <c r="B804" s="6" t="str">
        <f ca="1">IFERROR(__xludf.DUMMYFUNCTION("""COMPUTED_VALUE"""),"Debjani Paul")</f>
        <v>Debjani Paul</v>
      </c>
      <c r="C804" s="6" t="str">
        <f ca="1">IFERROR(__xludf.DUMMYFUNCTION("""COMPUTED_VALUE"""),"debjanipaul.cg@gmail.com")</f>
        <v>debjanipaul.cg@gmail.com</v>
      </c>
      <c r="D804" s="6">
        <f ca="1">IFERROR(__xludf.DUMMYFUNCTION("""COMPUTED_VALUE"""),9686068599)</f>
        <v>9686068599</v>
      </c>
      <c r="E804" s="6" t="str">
        <f ca="1">IFERROR(__xludf.DUMMYFUNCTION("""COMPUTED_VALUE"""),"Chat_triggered")</f>
        <v>Chat_triggered</v>
      </c>
      <c r="F804" s="6" t="str">
        <f ca="1">IFERROR(__xludf.DUMMYFUNCTION("""COMPUTED_VALUE"""),"PSM")</f>
        <v>PSM</v>
      </c>
      <c r="G804" s="80">
        <f ca="1">IFERROR(__xludf.DUMMYFUNCTION("""COMPUTED_VALUE"""),44562)</f>
        <v>44562</v>
      </c>
      <c r="H804" s="6" t="str">
        <f ca="1">IFERROR(__xludf.DUMMYFUNCTION("""COMPUTED_VALUE"""),"Won")</f>
        <v>Won</v>
      </c>
      <c r="I804" s="6" t="str">
        <f ca="1">IFERROR(__xludf.DUMMYFUNCTION("""COMPUTED_VALUE"""),"15-16 Jan 2022")</f>
        <v>15-16 Jan 2022</v>
      </c>
      <c r="J804" s="6">
        <f ca="1">IFERROR(__xludf.DUMMYFUNCTION("""COMPUTED_VALUE"""),1)</f>
        <v>1</v>
      </c>
      <c r="K804" s="8">
        <f ca="1">IFERROR(__xludf.DUMMYFUNCTION("""COMPUTED_VALUE"""),21000)</f>
        <v>21000</v>
      </c>
      <c r="L804" s="8">
        <f ca="1">IFERROR(__xludf.DUMMYFUNCTION("""COMPUTED_VALUE"""),240.494732020155)</f>
        <v>240.494732020155</v>
      </c>
      <c r="M804" s="96">
        <f ca="1">IFERROR(__xludf.DUMMYFUNCTION("""COMPUTED_VALUE"""),44571)</f>
        <v>44571</v>
      </c>
      <c r="N804" s="6" t="str">
        <f ca="1">IFERROR(__xludf.DUMMYFUNCTION("""COMPUTED_VALUE"""),"F10")</f>
        <v>F10</v>
      </c>
      <c r="O804" s="97">
        <f ca="1">IFERROR(__xludf.DUMMYFUNCTION("""COMPUTED_VALUE"""),44571)</f>
        <v>44571</v>
      </c>
      <c r="P804" s="6" t="str">
        <f ca="1">IFERROR(__xludf.DUMMYFUNCTION("""COMPUTED_VALUE"""),"CSTM_14EKITMPSB3")</f>
        <v>CSTM_14EKITMPSB3</v>
      </c>
      <c r="Q804" s="6"/>
      <c r="R804" s="6" t="str">
        <f ca="1">IFERROR(__xludf.DUMMYFUNCTION("""COMPUTED_VALUE"""),"Pending")</f>
        <v>Pending</v>
      </c>
      <c r="S804" s="6" t="str">
        <f ca="1">IFERROR(__xludf.DUMMYFUNCTION("""COMPUTED_VALUE"""),"Category")</f>
        <v>Category</v>
      </c>
      <c r="T804" s="6"/>
      <c r="U804" s="6"/>
      <c r="V804" s="6"/>
      <c r="W804" s="6"/>
      <c r="X804" s="6"/>
      <c r="Y804" s="6"/>
      <c r="Z804" s="6"/>
      <c r="AA804" s="6"/>
      <c r="AB804" s="6"/>
      <c r="AC804" s="6"/>
      <c r="AD804" s="6"/>
      <c r="AE804" s="6"/>
      <c r="AF804" s="6"/>
      <c r="AG804" s="6"/>
      <c r="AH804" s="6"/>
      <c r="AI804" s="6"/>
      <c r="AJ804" s="6"/>
      <c r="AK804" s="6"/>
      <c r="AL804" s="6"/>
    </row>
    <row r="805" spans="1:38">
      <c r="A805" s="96">
        <f ca="1">IFERROR(__xludf.DUMMYFUNCTION("""COMPUTED_VALUE"""),44571)</f>
        <v>44571</v>
      </c>
      <c r="B805" s="6" t="str">
        <f ca="1">IFERROR(__xludf.DUMMYFUNCTION("""COMPUTED_VALUE"""),"Anushree")</f>
        <v>Anushree</v>
      </c>
      <c r="C805" s="6" t="str">
        <f ca="1">IFERROR(__xludf.DUMMYFUNCTION("""COMPUTED_VALUE"""),"anu.anushree06@gmail.com")</f>
        <v>anu.anushree06@gmail.com</v>
      </c>
      <c r="D805" s="6">
        <f ca="1">IFERROR(__xludf.DUMMYFUNCTION("""COMPUTED_VALUE"""),9320618506)</f>
        <v>9320618506</v>
      </c>
      <c r="E805" s="6" t="str">
        <f ca="1">IFERROR(__xludf.DUMMYFUNCTION("""COMPUTED_VALUE"""),"Chat_triggered")</f>
        <v>Chat_triggered</v>
      </c>
      <c r="F805" s="6" t="str">
        <f ca="1">IFERROR(__xludf.DUMMYFUNCTION("""COMPUTED_VALUE"""),"PSM")</f>
        <v>PSM</v>
      </c>
      <c r="G805" s="80">
        <f ca="1">IFERROR(__xludf.DUMMYFUNCTION("""COMPUTED_VALUE"""),44562)</f>
        <v>44562</v>
      </c>
      <c r="H805" s="6" t="str">
        <f ca="1">IFERROR(__xludf.DUMMYFUNCTION("""COMPUTED_VALUE"""),"Won")</f>
        <v>Won</v>
      </c>
      <c r="I805" s="6" t="str">
        <f ca="1">IFERROR(__xludf.DUMMYFUNCTION("""COMPUTED_VALUE"""),"15-16 Jan 2022")</f>
        <v>15-16 Jan 2022</v>
      </c>
      <c r="J805" s="6">
        <f ca="1">IFERROR(__xludf.DUMMYFUNCTION("""COMPUTED_VALUE"""),1)</f>
        <v>1</v>
      </c>
      <c r="K805" s="8">
        <f ca="1">IFERROR(__xludf.DUMMYFUNCTION("""COMPUTED_VALUE"""),21000)</f>
        <v>21000</v>
      </c>
      <c r="L805" s="8">
        <f ca="1">IFERROR(__xludf.DUMMYFUNCTION("""COMPUTED_VALUE"""),240.494732020155)</f>
        <v>240.494732020155</v>
      </c>
      <c r="M805" s="96">
        <f ca="1">IFERROR(__xludf.DUMMYFUNCTION("""COMPUTED_VALUE"""),44571)</f>
        <v>44571</v>
      </c>
      <c r="N805" s="6" t="str">
        <f ca="1">IFERROR(__xludf.DUMMYFUNCTION("""COMPUTED_VALUE"""),"F10")</f>
        <v>F10</v>
      </c>
      <c r="O805" s="97">
        <f ca="1">IFERROR(__xludf.DUMMYFUNCTION("""COMPUTED_VALUE"""),44571)</f>
        <v>44571</v>
      </c>
      <c r="P805" s="6" t="str">
        <f ca="1">IFERROR(__xludf.DUMMYFUNCTION("""COMPUTED_VALUE"""),"CSTM_8UZV07099K7")</f>
        <v>CSTM_8UZV07099K7</v>
      </c>
      <c r="Q805" s="6"/>
      <c r="R805" s="6" t="str">
        <f ca="1">IFERROR(__xludf.DUMMYFUNCTION("""COMPUTED_VALUE"""),"Pending")</f>
        <v>Pending</v>
      </c>
      <c r="S805" s="6" t="str">
        <f ca="1">IFERROR(__xludf.DUMMYFUNCTION("""COMPUTED_VALUE"""),"Category")</f>
        <v>Category</v>
      </c>
      <c r="T805" s="6"/>
      <c r="U805" s="6"/>
      <c r="V805" s="6"/>
      <c r="W805" s="6"/>
      <c r="X805" s="6"/>
      <c r="Y805" s="6"/>
      <c r="Z805" s="6"/>
      <c r="AA805" s="6"/>
      <c r="AB805" s="6"/>
      <c r="AC805" s="6"/>
      <c r="AD805" s="6"/>
      <c r="AE805" s="6"/>
      <c r="AF805" s="6"/>
      <c r="AG805" s="6"/>
      <c r="AH805" s="6"/>
      <c r="AI805" s="6"/>
      <c r="AJ805" s="6"/>
      <c r="AK805" s="6"/>
      <c r="AL805" s="6"/>
    </row>
    <row r="806" spans="1:38">
      <c r="A806" s="96">
        <f ca="1">IFERROR(__xludf.DUMMYFUNCTION("""COMPUTED_VALUE"""),44572)</f>
        <v>44572</v>
      </c>
      <c r="B806" s="6" t="str">
        <f ca="1">IFERROR(__xludf.DUMMYFUNCTION("""COMPUTED_VALUE"""),"Peeyush")</f>
        <v>Peeyush</v>
      </c>
      <c r="C806" s="6" t="str">
        <f ca="1">IFERROR(__xludf.DUMMYFUNCTION("""COMPUTED_VALUE"""),"peeyush.anand55@gmail.com")</f>
        <v>peeyush.anand55@gmail.com</v>
      </c>
      <c r="D806" s="6">
        <f ca="1">IFERROR(__xludf.DUMMYFUNCTION("""COMPUTED_VALUE"""),9873758256)</f>
        <v>9873758256</v>
      </c>
      <c r="E806" s="6" t="str">
        <f ca="1">IFERROR(__xludf.DUMMYFUNCTION("""COMPUTED_VALUE"""),"Chat_triggered")</f>
        <v>Chat_triggered</v>
      </c>
      <c r="F806" s="6" t="str">
        <f ca="1">IFERROR(__xludf.DUMMYFUNCTION("""COMPUTED_VALUE"""),"PSM")</f>
        <v>PSM</v>
      </c>
      <c r="G806" s="80">
        <f ca="1">IFERROR(__xludf.DUMMYFUNCTION("""COMPUTED_VALUE"""),44562)</f>
        <v>44562</v>
      </c>
      <c r="H806" s="6" t="str">
        <f ca="1">IFERROR(__xludf.DUMMYFUNCTION("""COMPUTED_VALUE"""),"Won")</f>
        <v>Won</v>
      </c>
      <c r="I806" s="6" t="str">
        <f ca="1">IFERROR(__xludf.DUMMYFUNCTION("""COMPUTED_VALUE"""),"15-16 Jan 2022")</f>
        <v>15-16 Jan 2022</v>
      </c>
      <c r="J806" s="6">
        <f ca="1">IFERROR(__xludf.DUMMYFUNCTION("""COMPUTED_VALUE"""),1)</f>
        <v>1</v>
      </c>
      <c r="K806" s="8">
        <f ca="1">IFERROR(__xludf.DUMMYFUNCTION("""COMPUTED_VALUE"""),21000)</f>
        <v>21000</v>
      </c>
      <c r="L806" s="8">
        <f ca="1">IFERROR(__xludf.DUMMYFUNCTION("""COMPUTED_VALUE"""),240.494732020155)</f>
        <v>240.494732020155</v>
      </c>
      <c r="M806" s="96">
        <f ca="1">IFERROR(__xludf.DUMMYFUNCTION("""COMPUTED_VALUE"""),44572)</f>
        <v>44572</v>
      </c>
      <c r="N806" s="6" t="str">
        <f ca="1">IFERROR(__xludf.DUMMYFUNCTION("""COMPUTED_VALUE"""),"S10")</f>
        <v>S10</v>
      </c>
      <c r="O806" s="97">
        <f ca="1">IFERROR(__xludf.DUMMYFUNCTION("""COMPUTED_VALUE"""),44572)</f>
        <v>44572</v>
      </c>
      <c r="P806" s="6" t="str">
        <f ca="1">IFERROR(__xludf.DUMMYFUNCTION("""COMPUTED_VALUE"""),"CSTM_FRFPPX9ZVPR")</f>
        <v>CSTM_FRFPPX9ZVPR</v>
      </c>
      <c r="Q806" s="6"/>
      <c r="R806" s="6" t="str">
        <f ca="1">IFERROR(__xludf.DUMMYFUNCTION("""COMPUTED_VALUE"""),"Pending")</f>
        <v>Pending</v>
      </c>
      <c r="S806" s="6" t="str">
        <f ca="1">IFERROR(__xludf.DUMMYFUNCTION("""COMPUTED_VALUE"""),"Category")</f>
        <v>Category</v>
      </c>
      <c r="T806" s="6"/>
      <c r="U806" s="6"/>
      <c r="V806" s="6"/>
      <c r="W806" s="6"/>
      <c r="X806" s="6"/>
      <c r="Y806" s="6"/>
      <c r="Z806" s="6"/>
      <c r="AA806" s="6"/>
      <c r="AB806" s="6"/>
      <c r="AC806" s="6"/>
      <c r="AD806" s="6"/>
      <c r="AE806" s="6"/>
      <c r="AF806" s="6"/>
      <c r="AG806" s="6"/>
      <c r="AH806" s="6"/>
      <c r="AI806" s="6"/>
      <c r="AJ806" s="6"/>
      <c r="AK806" s="6"/>
      <c r="AL806" s="6"/>
    </row>
    <row r="807" spans="1:38">
      <c r="A807" s="96">
        <f ca="1">IFERROR(__xludf.DUMMYFUNCTION("""COMPUTED_VALUE"""),44572)</f>
        <v>44572</v>
      </c>
      <c r="B807" s="6" t="str">
        <f ca="1">IFERROR(__xludf.DUMMYFUNCTION("""COMPUTED_VALUE"""),"Amit K")</f>
        <v>Amit K</v>
      </c>
      <c r="C807" s="6" t="str">
        <f ca="1">IFERROR(__xludf.DUMMYFUNCTION("""COMPUTED_VALUE"""),"amitkjt10@gmail.com")</f>
        <v>amitkjt10@gmail.com</v>
      </c>
      <c r="D807" s="6">
        <f ca="1">IFERROR(__xludf.DUMMYFUNCTION("""COMPUTED_VALUE"""),9818054439)</f>
        <v>9818054439</v>
      </c>
      <c r="E807" s="6" t="str">
        <f ca="1">IFERROR(__xludf.DUMMYFUNCTION("""COMPUTED_VALUE"""),"Query box")</f>
        <v>Query box</v>
      </c>
      <c r="F807" s="6" t="str">
        <f ca="1">IFERROR(__xludf.DUMMYFUNCTION("""COMPUTED_VALUE"""),"CSM")</f>
        <v>CSM</v>
      </c>
      <c r="G807" s="80">
        <f ca="1">IFERROR(__xludf.DUMMYFUNCTION("""COMPUTED_VALUE"""),44562)</f>
        <v>44562</v>
      </c>
      <c r="H807" s="6" t="str">
        <f ca="1">IFERROR(__xludf.DUMMYFUNCTION("""COMPUTED_VALUE"""),"Won")</f>
        <v>Won</v>
      </c>
      <c r="I807" s="6" t="str">
        <f ca="1">IFERROR(__xludf.DUMMYFUNCTION("""COMPUTED_VALUE"""),"29-30 Jan 2022")</f>
        <v>29-30 Jan 2022</v>
      </c>
      <c r="J807" s="6">
        <f ca="1">IFERROR(__xludf.DUMMYFUNCTION("""COMPUTED_VALUE"""),1)</f>
        <v>1</v>
      </c>
      <c r="K807" s="8">
        <f ca="1">IFERROR(__xludf.DUMMYFUNCTION("""COMPUTED_VALUE"""),20000)</f>
        <v>20000</v>
      </c>
      <c r="L807" s="8">
        <f ca="1">IFERROR(__xludf.DUMMYFUNCTION("""COMPUTED_VALUE"""),229.042601923957)</f>
        <v>229.04260192395699</v>
      </c>
      <c r="M807" s="96">
        <f ca="1">IFERROR(__xludf.DUMMYFUNCTION("""COMPUTED_VALUE"""),44572)</f>
        <v>44572</v>
      </c>
      <c r="N807" s="6" t="str">
        <f ca="1">IFERROR(__xludf.DUMMYFUNCTION("""COMPUTED_VALUE"""),"S10")</f>
        <v>S10</v>
      </c>
      <c r="O807" s="97">
        <f ca="1">IFERROR(__xludf.DUMMYFUNCTION("""COMPUTED_VALUE"""),44573)</f>
        <v>44573</v>
      </c>
      <c r="P807" s="6" t="str">
        <f ca="1">IFERROR(__xludf.DUMMYFUNCTION("""COMPUTED_VALUE"""),"CSTM_4MNRO49OXHL")</f>
        <v>CSTM_4MNRO49OXHL</v>
      </c>
      <c r="Q807" s="6"/>
      <c r="R807" s="6" t="str">
        <f ca="1">IFERROR(__xludf.DUMMYFUNCTION("""COMPUTED_VALUE"""),"Pending")</f>
        <v>Pending</v>
      </c>
      <c r="S807" s="6" t="str">
        <f ca="1">IFERROR(__xludf.DUMMYFUNCTION("""COMPUTED_VALUE"""),"Category")</f>
        <v>Category</v>
      </c>
      <c r="T807" s="6"/>
      <c r="U807" s="6"/>
      <c r="V807" s="6"/>
      <c r="W807" s="6"/>
      <c r="X807" s="6"/>
      <c r="Y807" s="6"/>
      <c r="Z807" s="6"/>
      <c r="AA807" s="6"/>
      <c r="AB807" s="6"/>
      <c r="AC807" s="6"/>
      <c r="AD807" s="6"/>
      <c r="AE807" s="6"/>
      <c r="AF807" s="6"/>
      <c r="AG807" s="6"/>
      <c r="AH807" s="6"/>
      <c r="AI807" s="6"/>
      <c r="AJ807" s="6"/>
      <c r="AK807" s="6"/>
      <c r="AL807" s="6"/>
    </row>
    <row r="808" spans="1:38">
      <c r="A808" s="96">
        <f ca="1">IFERROR(__xludf.DUMMYFUNCTION("""COMPUTED_VALUE"""),44573)</f>
        <v>44573</v>
      </c>
      <c r="B808" s="6" t="str">
        <f ca="1">IFERROR(__xludf.DUMMYFUNCTION("""COMPUTED_VALUE"""),"Madhu Bagur")</f>
        <v>Madhu Bagur</v>
      </c>
      <c r="C808" s="6" t="str">
        <f ca="1">IFERROR(__xludf.DUMMYFUNCTION("""COMPUTED_VALUE"""),"madhubagur@gmail.com")</f>
        <v>madhubagur@gmail.com</v>
      </c>
      <c r="D808" s="6">
        <f ca="1">IFERROR(__xludf.DUMMYFUNCTION("""COMPUTED_VALUE"""),8123015687)</f>
        <v>8123015687</v>
      </c>
      <c r="E808" s="6" t="str">
        <f ca="1">IFERROR(__xludf.DUMMYFUNCTION("""COMPUTED_VALUE"""),"Existing Account")</f>
        <v>Existing Account</v>
      </c>
      <c r="F808" s="6" t="str">
        <f ca="1">IFERROR(__xludf.DUMMYFUNCTION("""COMPUTED_VALUE"""),"CSM")</f>
        <v>CSM</v>
      </c>
      <c r="G808" s="80">
        <f ca="1">IFERROR(__xludf.DUMMYFUNCTION("""COMPUTED_VALUE"""),44562)</f>
        <v>44562</v>
      </c>
      <c r="H808" s="6" t="str">
        <f ca="1">IFERROR(__xludf.DUMMYFUNCTION("""COMPUTED_VALUE"""),"Won")</f>
        <v>Won</v>
      </c>
      <c r="I808" s="6" t="str">
        <f ca="1">IFERROR(__xludf.DUMMYFUNCTION("""COMPUTED_VALUE"""),"13-14 Jan 2022")</f>
        <v>13-14 Jan 2022</v>
      </c>
      <c r="J808" s="6">
        <f ca="1">IFERROR(__xludf.DUMMYFUNCTION("""COMPUTED_VALUE"""),1)</f>
        <v>1</v>
      </c>
      <c r="K808" s="8">
        <f ca="1">IFERROR(__xludf.DUMMYFUNCTION("""COMPUTED_VALUE"""),20000)</f>
        <v>20000</v>
      </c>
      <c r="L808" s="8">
        <f ca="1">IFERROR(__xludf.DUMMYFUNCTION("""COMPUTED_VALUE"""),229.042601923957)</f>
        <v>229.04260192395699</v>
      </c>
      <c r="M808" s="96">
        <f ca="1">IFERROR(__xludf.DUMMYFUNCTION("""COMPUTED_VALUE"""),44573)</f>
        <v>44573</v>
      </c>
      <c r="N808" s="6" t="str">
        <f ca="1">IFERROR(__xludf.DUMMYFUNCTION("""COMPUTED_VALUE"""),"S10")</f>
        <v>S10</v>
      </c>
      <c r="O808" s="97">
        <f ca="1">IFERROR(__xludf.DUMMYFUNCTION("""COMPUTED_VALUE"""),44573)</f>
        <v>44573</v>
      </c>
      <c r="P808" s="6" t="str">
        <f ca="1">IFERROR(__xludf.DUMMYFUNCTION("""COMPUTED_VALUE"""),"CSTM_GWTP0GYHNN")</f>
        <v>CSTM_GWTP0GYHNN</v>
      </c>
      <c r="Q808" s="6"/>
      <c r="R808" s="6" t="str">
        <f ca="1">IFERROR(__xludf.DUMMYFUNCTION("""COMPUTED_VALUE"""),"Pending")</f>
        <v>Pending</v>
      </c>
      <c r="S808" s="6" t="str">
        <f ca="1">IFERROR(__xludf.DUMMYFUNCTION("""COMPUTED_VALUE"""),"Category")</f>
        <v>Category</v>
      </c>
      <c r="T808" s="6"/>
      <c r="U808" s="6"/>
      <c r="V808" s="6"/>
      <c r="W808" s="6"/>
      <c r="X808" s="6"/>
      <c r="Y808" s="6"/>
      <c r="Z808" s="6"/>
      <c r="AA808" s="6"/>
      <c r="AB808" s="6"/>
      <c r="AC808" s="6"/>
      <c r="AD808" s="6"/>
      <c r="AE808" s="6"/>
      <c r="AF808" s="6"/>
      <c r="AG808" s="6"/>
      <c r="AH808" s="6"/>
      <c r="AI808" s="6"/>
      <c r="AJ808" s="6"/>
      <c r="AK808" s="6"/>
      <c r="AL808" s="6"/>
    </row>
    <row r="809" spans="1:38">
      <c r="A809" s="96">
        <f ca="1">IFERROR(__xludf.DUMMYFUNCTION("""COMPUTED_VALUE"""),44574)</f>
        <v>44574</v>
      </c>
      <c r="B809" s="6" t="str">
        <f ca="1">IFERROR(__xludf.DUMMYFUNCTION("""COMPUTED_VALUE"""),"Drashti P")</f>
        <v>Drashti P</v>
      </c>
      <c r="C809" s="6" t="str">
        <f ca="1">IFERROR(__xludf.DUMMYFUNCTION("""COMPUTED_VALUE"""),"drashti.p@cloudifyops.com")</f>
        <v>drashti.p@cloudifyops.com</v>
      </c>
      <c r="D809" s="6">
        <f ca="1">IFERROR(__xludf.DUMMYFUNCTION("""COMPUTED_VALUE"""),9113635032)</f>
        <v>9113635032</v>
      </c>
      <c r="E809" s="6" t="str">
        <f ca="1">IFERROR(__xludf.DUMMYFUNCTION("""COMPUTED_VALUE"""),"Request a call")</f>
        <v>Request a call</v>
      </c>
      <c r="F809" s="6" t="str">
        <f ca="1">IFERROR(__xludf.DUMMYFUNCTION("""COMPUTED_VALUE"""),"CSPO")</f>
        <v>CSPO</v>
      </c>
      <c r="G809" s="80">
        <f ca="1">IFERROR(__xludf.DUMMYFUNCTION("""COMPUTED_VALUE"""),44562)</f>
        <v>44562</v>
      </c>
      <c r="H809" s="6" t="str">
        <f ca="1">IFERROR(__xludf.DUMMYFUNCTION("""COMPUTED_VALUE"""),"Won")</f>
        <v>Won</v>
      </c>
      <c r="I809" s="6" t="str">
        <f ca="1">IFERROR(__xludf.DUMMYFUNCTION("""COMPUTED_VALUE"""),"27-28 Jan 2022")</f>
        <v>27-28 Jan 2022</v>
      </c>
      <c r="J809" s="6">
        <f ca="1">IFERROR(__xludf.DUMMYFUNCTION("""COMPUTED_VALUE"""),1)</f>
        <v>1</v>
      </c>
      <c r="K809" s="8">
        <f ca="1">IFERROR(__xludf.DUMMYFUNCTION("""COMPUTED_VALUE"""),20000)</f>
        <v>20000</v>
      </c>
      <c r="L809" s="8">
        <f ca="1">IFERROR(__xludf.DUMMYFUNCTION("""COMPUTED_VALUE"""),229.042601923957)</f>
        <v>229.04260192395699</v>
      </c>
      <c r="M809" s="96">
        <f ca="1">IFERROR(__xludf.DUMMYFUNCTION("""COMPUTED_VALUE"""),44574)</f>
        <v>44574</v>
      </c>
      <c r="N809" s="6" t="str">
        <f ca="1">IFERROR(__xludf.DUMMYFUNCTION("""COMPUTED_VALUE"""),"S10")</f>
        <v>S10</v>
      </c>
      <c r="O809" s="97">
        <f ca="1">IFERROR(__xludf.DUMMYFUNCTION("""COMPUTED_VALUE"""),44574)</f>
        <v>44574</v>
      </c>
      <c r="P809" s="6" t="str">
        <f ca="1">IFERROR(__xludf.DUMMYFUNCTION("""COMPUTED_VALUE"""),"CSTM_EOIL09EXGE9")</f>
        <v>CSTM_EOIL09EXGE9</v>
      </c>
      <c r="Q809" s="6"/>
      <c r="R809" s="6" t="str">
        <f ca="1">IFERROR(__xludf.DUMMYFUNCTION("""COMPUTED_VALUE"""),"Pending")</f>
        <v>Pending</v>
      </c>
      <c r="S809" s="6" t="str">
        <f ca="1">IFERROR(__xludf.DUMMYFUNCTION("""COMPUTED_VALUE"""),"Category")</f>
        <v>Category</v>
      </c>
      <c r="T809" s="6"/>
      <c r="U809" s="6"/>
      <c r="V809" s="6"/>
      <c r="W809" s="6"/>
      <c r="X809" s="6"/>
      <c r="Y809" s="6"/>
      <c r="Z809" s="6"/>
      <c r="AA809" s="6"/>
      <c r="AB809" s="6"/>
      <c r="AC809" s="6"/>
      <c r="AD809" s="6"/>
      <c r="AE809" s="6"/>
      <c r="AF809" s="6"/>
      <c r="AG809" s="6"/>
      <c r="AH809" s="6"/>
      <c r="AI809" s="6"/>
      <c r="AJ809" s="6"/>
      <c r="AK809" s="6"/>
      <c r="AL809" s="6"/>
    </row>
    <row r="810" spans="1:38">
      <c r="A810" s="96">
        <f ca="1">IFERROR(__xludf.DUMMYFUNCTION("""COMPUTED_VALUE"""),44575)</f>
        <v>44575</v>
      </c>
      <c r="B810" s="6" t="str">
        <f ca="1">IFERROR(__xludf.DUMMYFUNCTION("""COMPUTED_VALUE"""),"Aishwarya")</f>
        <v>Aishwarya</v>
      </c>
      <c r="C810" s="6" t="str">
        <f ca="1">IFERROR(__xludf.DUMMYFUNCTION("""COMPUTED_VALUE"""),"bdkavach@gmail.com")</f>
        <v>bdkavach@gmail.com</v>
      </c>
      <c r="D810" s="6">
        <f ca="1">IFERROR(__xludf.DUMMYFUNCTION("""COMPUTED_VALUE"""),9599993830)</f>
        <v>9599993830</v>
      </c>
      <c r="E810" s="6" t="str">
        <f ca="1">IFERROR(__xludf.DUMMYFUNCTION("""COMPUTED_VALUE"""),"Reference")</f>
        <v>Reference</v>
      </c>
      <c r="F810" s="6" t="str">
        <f ca="1">IFERROR(__xludf.DUMMYFUNCTION("""COMPUTED_VALUE"""),"CSM")</f>
        <v>CSM</v>
      </c>
      <c r="G810" s="80">
        <f ca="1">IFERROR(__xludf.DUMMYFUNCTION("""COMPUTED_VALUE"""),44562)</f>
        <v>44562</v>
      </c>
      <c r="H810" s="6" t="str">
        <f ca="1">IFERROR(__xludf.DUMMYFUNCTION("""COMPUTED_VALUE"""),"Won")</f>
        <v>Won</v>
      </c>
      <c r="I810" s="6" t="str">
        <f ca="1">IFERROR(__xludf.DUMMYFUNCTION("""COMPUTED_VALUE"""),"29-30 Jan 2022")</f>
        <v>29-30 Jan 2022</v>
      </c>
      <c r="J810" s="6">
        <f ca="1">IFERROR(__xludf.DUMMYFUNCTION("""COMPUTED_VALUE"""),1)</f>
        <v>1</v>
      </c>
      <c r="K810" s="8">
        <f ca="1">IFERROR(__xludf.DUMMYFUNCTION("""COMPUTED_VALUE"""),20000)</f>
        <v>20000</v>
      </c>
      <c r="L810" s="8">
        <f ca="1">IFERROR(__xludf.DUMMYFUNCTION("""COMPUTED_VALUE"""),229.042601923957)</f>
        <v>229.04260192395699</v>
      </c>
      <c r="M810" s="96">
        <f ca="1">IFERROR(__xludf.DUMMYFUNCTION("""COMPUTED_VALUE"""),44575)</f>
        <v>44575</v>
      </c>
      <c r="N810" s="6" t="str">
        <f ca="1">IFERROR(__xludf.DUMMYFUNCTION("""COMPUTED_VALUE"""),"S10")</f>
        <v>S10</v>
      </c>
      <c r="O810" s="97">
        <f ca="1">IFERROR(__xludf.DUMMYFUNCTION("""COMPUTED_VALUE"""),44575)</f>
        <v>44575</v>
      </c>
      <c r="P810" s="6" t="str">
        <f ca="1">IFERROR(__xludf.DUMMYFUNCTION("""COMPUTED_VALUE"""),"CSTM_HWO5H4TPCXR")</f>
        <v>CSTM_HWO5H4TPCXR</v>
      </c>
      <c r="Q810" s="6" t="str">
        <f ca="1">IFERROR(__xludf.DUMMYFUNCTION("""COMPUTED_VALUE"""),"Reference by Aishwarya")</f>
        <v>Reference by Aishwarya</v>
      </c>
      <c r="R810" s="6" t="str">
        <f ca="1">IFERROR(__xludf.DUMMYFUNCTION("""COMPUTED_VALUE"""),"Pending")</f>
        <v>Pending</v>
      </c>
      <c r="S810" s="6" t="str">
        <f ca="1">IFERROR(__xludf.DUMMYFUNCTION("""COMPUTED_VALUE"""),"Category")</f>
        <v>Category</v>
      </c>
      <c r="T810" s="6"/>
      <c r="U810" s="6"/>
      <c r="V810" s="6"/>
      <c r="W810" s="6"/>
      <c r="X810" s="6"/>
      <c r="Y810" s="6"/>
      <c r="Z810" s="6"/>
      <c r="AA810" s="6"/>
      <c r="AB810" s="6"/>
      <c r="AC810" s="6"/>
      <c r="AD810" s="6"/>
      <c r="AE810" s="6"/>
      <c r="AF810" s="6"/>
      <c r="AG810" s="6"/>
      <c r="AH810" s="6"/>
      <c r="AI810" s="6"/>
      <c r="AJ810" s="6"/>
      <c r="AK810" s="6"/>
      <c r="AL810" s="6"/>
    </row>
    <row r="811" spans="1:38">
      <c r="A811" s="96">
        <f ca="1">IFERROR(__xludf.DUMMYFUNCTION("""COMPUTED_VALUE"""),44575)</f>
        <v>44575</v>
      </c>
      <c r="B811" s="6" t="str">
        <f ca="1">IFERROR(__xludf.DUMMYFUNCTION("""COMPUTED_VALUE"""),"Sandeep")</f>
        <v>Sandeep</v>
      </c>
      <c r="C811" s="6" t="str">
        <f ca="1">IFERROR(__xludf.DUMMYFUNCTION("""COMPUTED_VALUE"""),"sandeepnarang71@gmail.com")</f>
        <v>sandeepnarang71@gmail.com</v>
      </c>
      <c r="D811" s="6">
        <f ca="1">IFERROR(__xludf.DUMMYFUNCTION("""COMPUTED_VALUE"""),9810452478)</f>
        <v>9810452478</v>
      </c>
      <c r="E811" s="6" t="str">
        <f ca="1">IFERROR(__xludf.DUMMYFUNCTION("""COMPUTED_VALUE"""),"Reference")</f>
        <v>Reference</v>
      </c>
      <c r="F811" s="6" t="str">
        <f ca="1">IFERROR(__xludf.DUMMYFUNCTION("""COMPUTED_VALUE"""),"CSM")</f>
        <v>CSM</v>
      </c>
      <c r="G811" s="80">
        <f ca="1">IFERROR(__xludf.DUMMYFUNCTION("""COMPUTED_VALUE"""),44562)</f>
        <v>44562</v>
      </c>
      <c r="H811" s="6" t="str">
        <f ca="1">IFERROR(__xludf.DUMMYFUNCTION("""COMPUTED_VALUE"""),"Won")</f>
        <v>Won</v>
      </c>
      <c r="I811" s="6" t="str">
        <f ca="1">IFERROR(__xludf.DUMMYFUNCTION("""COMPUTED_VALUE"""),"29-30 Jan 2022")</f>
        <v>29-30 Jan 2022</v>
      </c>
      <c r="J811" s="6">
        <f ca="1">IFERROR(__xludf.DUMMYFUNCTION("""COMPUTED_VALUE"""),1)</f>
        <v>1</v>
      </c>
      <c r="K811" s="8">
        <f ca="1">IFERROR(__xludf.DUMMYFUNCTION("""COMPUTED_VALUE"""),20000)</f>
        <v>20000</v>
      </c>
      <c r="L811" s="8">
        <f ca="1">IFERROR(__xludf.DUMMYFUNCTION("""COMPUTED_VALUE"""),229.042601923957)</f>
        <v>229.04260192395699</v>
      </c>
      <c r="M811" s="96">
        <f ca="1">IFERROR(__xludf.DUMMYFUNCTION("""COMPUTED_VALUE"""),44575)</f>
        <v>44575</v>
      </c>
      <c r="N811" s="6" t="str">
        <f ca="1">IFERROR(__xludf.DUMMYFUNCTION("""COMPUTED_VALUE"""),"S10")</f>
        <v>S10</v>
      </c>
      <c r="O811" s="97">
        <f ca="1">IFERROR(__xludf.DUMMYFUNCTION("""COMPUTED_VALUE"""),44575)</f>
        <v>44575</v>
      </c>
      <c r="P811" s="6" t="str">
        <f ca="1">IFERROR(__xludf.DUMMYFUNCTION("""COMPUTED_VALUE"""),"CSTM_G2B0OZTFL3V")</f>
        <v>CSTM_G2B0OZTFL3V</v>
      </c>
      <c r="Q811" s="6" t="str">
        <f ca="1">IFERROR(__xludf.DUMMYFUNCTION("""COMPUTED_VALUE"""),"Reference by Aishwarya")</f>
        <v>Reference by Aishwarya</v>
      </c>
      <c r="R811" s="6" t="str">
        <f ca="1">IFERROR(__xludf.DUMMYFUNCTION("""COMPUTED_VALUE"""),"Pending")</f>
        <v>Pending</v>
      </c>
      <c r="S811" s="6" t="str">
        <f ca="1">IFERROR(__xludf.DUMMYFUNCTION("""COMPUTED_VALUE"""),"Category")</f>
        <v>Category</v>
      </c>
      <c r="T811" s="6"/>
      <c r="U811" s="6"/>
      <c r="V811" s="6"/>
      <c r="W811" s="6"/>
      <c r="X811" s="6"/>
      <c r="Y811" s="6"/>
      <c r="Z811" s="6"/>
      <c r="AA811" s="6"/>
      <c r="AB811" s="6"/>
      <c r="AC811" s="6"/>
      <c r="AD811" s="6"/>
      <c r="AE811" s="6"/>
      <c r="AF811" s="6"/>
      <c r="AG811" s="6"/>
      <c r="AH811" s="6"/>
      <c r="AI811" s="6"/>
      <c r="AJ811" s="6"/>
      <c r="AK811" s="6"/>
      <c r="AL811" s="6"/>
    </row>
    <row r="812" spans="1:38">
      <c r="A812" s="96">
        <f ca="1">IFERROR(__xludf.DUMMYFUNCTION("""COMPUTED_VALUE"""),44575)</f>
        <v>44575</v>
      </c>
      <c r="B812" s="6" t="str">
        <f ca="1">IFERROR(__xludf.DUMMYFUNCTION("""COMPUTED_VALUE"""),"Rajendra")</f>
        <v>Rajendra</v>
      </c>
      <c r="C812" s="6" t="str">
        <f ca="1">IFERROR(__xludf.DUMMYFUNCTION("""COMPUTED_VALUE"""),"rsabres@gmail.com")</f>
        <v>rsabres@gmail.com</v>
      </c>
      <c r="D812" s="6">
        <f ca="1">IFERROR(__xludf.DUMMYFUNCTION("""COMPUTED_VALUE"""),9325378560)</f>
        <v>9325378560</v>
      </c>
      <c r="E812" s="6" t="str">
        <f ca="1">IFERROR(__xludf.DUMMYFUNCTION("""COMPUTED_VALUE"""),"Query box")</f>
        <v>Query box</v>
      </c>
      <c r="F812" s="6" t="str">
        <f ca="1">IFERROR(__xludf.DUMMYFUNCTION("""COMPUTED_VALUE"""),"SAFe Agile")</f>
        <v>SAFe Agile</v>
      </c>
      <c r="G812" s="80">
        <f ca="1">IFERROR(__xludf.DUMMYFUNCTION("""COMPUTED_VALUE"""),44562)</f>
        <v>44562</v>
      </c>
      <c r="H812" s="6" t="str">
        <f ca="1">IFERROR(__xludf.DUMMYFUNCTION("""COMPUTED_VALUE"""),"Won")</f>
        <v>Won</v>
      </c>
      <c r="I812" s="6" t="str">
        <f ca="1">IFERROR(__xludf.DUMMYFUNCTION("""COMPUTED_VALUE"""),"29-30 Jan 2022")</f>
        <v>29-30 Jan 2022</v>
      </c>
      <c r="J812" s="6">
        <f ca="1">IFERROR(__xludf.DUMMYFUNCTION("""COMPUTED_VALUE"""),1)</f>
        <v>1</v>
      </c>
      <c r="K812" s="8">
        <f ca="1">IFERROR(__xludf.DUMMYFUNCTION("""COMPUTED_VALUE"""),42000)</f>
        <v>42000</v>
      </c>
      <c r="L812" s="8">
        <f ca="1">IFERROR(__xludf.DUMMYFUNCTION("""COMPUTED_VALUE"""),480.989464040311)</f>
        <v>480.98946404031102</v>
      </c>
      <c r="M812" s="96">
        <f ca="1">IFERROR(__xludf.DUMMYFUNCTION("""COMPUTED_VALUE"""),44576)</f>
        <v>44576</v>
      </c>
      <c r="N812" s="6" t="str">
        <f ca="1">IFERROR(__xludf.DUMMYFUNCTION("""COMPUTED_VALUE"""),"S10")</f>
        <v>S10</v>
      </c>
      <c r="O812" s="97">
        <f ca="1">IFERROR(__xludf.DUMMYFUNCTION("""COMPUTED_VALUE"""),44576)</f>
        <v>44576</v>
      </c>
      <c r="P812" s="6" t="str">
        <f ca="1">IFERROR(__xludf.DUMMYFUNCTION("""COMPUTED_VALUE"""),"CSTM_B4NPCUMQ5FV")</f>
        <v>CSTM_B4NPCUMQ5FV</v>
      </c>
      <c r="Q812" s="6"/>
      <c r="R812" s="6" t="str">
        <f ca="1">IFERROR(__xludf.DUMMYFUNCTION("""COMPUTED_VALUE"""),"Pending")</f>
        <v>Pending</v>
      </c>
      <c r="S812" s="6" t="str">
        <f ca="1">IFERROR(__xludf.DUMMYFUNCTION("""COMPUTED_VALUE"""),"SAFe")</f>
        <v>SAFe</v>
      </c>
      <c r="T812" s="6"/>
      <c r="U812" s="6"/>
      <c r="V812" s="6"/>
      <c r="W812" s="6"/>
      <c r="X812" s="6"/>
      <c r="Y812" s="6"/>
      <c r="Z812" s="6"/>
      <c r="AA812" s="6"/>
      <c r="AB812" s="6"/>
      <c r="AC812" s="6"/>
      <c r="AD812" s="6"/>
      <c r="AE812" s="6"/>
      <c r="AF812" s="6"/>
      <c r="AG812" s="6"/>
      <c r="AH812" s="6"/>
      <c r="AI812" s="6"/>
      <c r="AJ812" s="6"/>
      <c r="AK812" s="6"/>
      <c r="AL812" s="6"/>
    </row>
    <row r="813" spans="1:38">
      <c r="A813" s="96">
        <f ca="1">IFERROR(__xludf.DUMMYFUNCTION("""COMPUTED_VALUE"""),44576)</f>
        <v>44576</v>
      </c>
      <c r="B813" s="6" t="str">
        <f ca="1">IFERROR(__xludf.DUMMYFUNCTION("""COMPUTED_VALUE"""),"Shobhit")</f>
        <v>Shobhit</v>
      </c>
      <c r="C813" s="6" t="str">
        <f ca="1">IFERROR(__xludf.DUMMYFUNCTION("""COMPUTED_VALUE"""),"shobhit413@gmail.com")</f>
        <v>shobhit413@gmail.com</v>
      </c>
      <c r="D813" s="6">
        <f ca="1">IFERROR(__xludf.DUMMYFUNCTION("""COMPUTED_VALUE"""),9657113179)</f>
        <v>9657113179</v>
      </c>
      <c r="E813" s="6" t="str">
        <f ca="1">IFERROR(__xludf.DUMMYFUNCTION("""COMPUTED_VALUE"""),"Reference")</f>
        <v>Reference</v>
      </c>
      <c r="F813" s="6" t="str">
        <f ca="1">IFERROR(__xludf.DUMMYFUNCTION("""COMPUTED_VALUE"""),"CSM")</f>
        <v>CSM</v>
      </c>
      <c r="G813" s="80">
        <f ca="1">IFERROR(__xludf.DUMMYFUNCTION("""COMPUTED_VALUE"""),44562)</f>
        <v>44562</v>
      </c>
      <c r="H813" s="6" t="str">
        <f ca="1">IFERROR(__xludf.DUMMYFUNCTION("""COMPUTED_VALUE"""),"Won")</f>
        <v>Won</v>
      </c>
      <c r="I813" s="6" t="str">
        <f ca="1">IFERROR(__xludf.DUMMYFUNCTION("""COMPUTED_VALUE"""),"12-13 Feb 2022")</f>
        <v>12-13 Feb 2022</v>
      </c>
      <c r="J813" s="6">
        <f ca="1">IFERROR(__xludf.DUMMYFUNCTION("""COMPUTED_VALUE"""),1)</f>
        <v>1</v>
      </c>
      <c r="K813" s="8">
        <f ca="1">IFERROR(__xludf.DUMMYFUNCTION("""COMPUTED_VALUE"""),19000)</f>
        <v>19000</v>
      </c>
      <c r="L813" s="8">
        <f ca="1">IFERROR(__xludf.DUMMYFUNCTION("""COMPUTED_VALUE"""),217.590471827759)</f>
        <v>217.59047182775899</v>
      </c>
      <c r="M813" s="96">
        <f ca="1">IFERROR(__xludf.DUMMYFUNCTION("""COMPUTED_VALUE"""),44576)</f>
        <v>44576</v>
      </c>
      <c r="N813" s="6" t="str">
        <f ca="1">IFERROR(__xludf.DUMMYFUNCTION("""COMPUTED_VALUE"""),"S10")</f>
        <v>S10</v>
      </c>
      <c r="O813" s="97">
        <f ca="1">IFERROR(__xludf.DUMMYFUNCTION("""COMPUTED_VALUE"""),44576)</f>
        <v>44576</v>
      </c>
      <c r="P813" s="6" t="str">
        <f ca="1">IFERROR(__xludf.DUMMYFUNCTION("""COMPUTED_VALUE"""),"CSTM_9SNYU4F2O6J")</f>
        <v>CSTM_9SNYU4F2O6J</v>
      </c>
      <c r="Q813" s="6" t="str">
        <f ca="1">IFERROR(__xludf.DUMMYFUNCTION("""COMPUTED_VALUE"""),"Reference by surabhi.92170@gmail.com")</f>
        <v>Reference by surabhi.92170@gmail.com</v>
      </c>
      <c r="R813" s="6" t="str">
        <f ca="1">IFERROR(__xludf.DUMMYFUNCTION("""COMPUTED_VALUE"""),"Pending")</f>
        <v>Pending</v>
      </c>
      <c r="S813" s="6" t="str">
        <f ca="1">IFERROR(__xludf.DUMMYFUNCTION("""COMPUTED_VALUE"""),"Category")</f>
        <v>Category</v>
      </c>
      <c r="T813" s="6"/>
      <c r="U813" s="6"/>
      <c r="V813" s="6"/>
      <c r="W813" s="6"/>
      <c r="X813" s="6"/>
      <c r="Y813" s="6"/>
      <c r="Z813" s="6"/>
      <c r="AA813" s="6"/>
      <c r="AB813" s="6"/>
      <c r="AC813" s="6"/>
      <c r="AD813" s="6"/>
      <c r="AE813" s="6"/>
      <c r="AF813" s="6"/>
      <c r="AG813" s="6"/>
      <c r="AH813" s="6"/>
      <c r="AI813" s="6"/>
      <c r="AJ813" s="6"/>
      <c r="AK813" s="6"/>
      <c r="AL813" s="6"/>
    </row>
    <row r="814" spans="1:38">
      <c r="A814" s="96">
        <f ca="1">IFERROR(__xludf.DUMMYFUNCTION("""COMPUTED_VALUE"""),44580)</f>
        <v>44580</v>
      </c>
      <c r="B814" s="6" t="str">
        <f ca="1">IFERROR(__xludf.DUMMYFUNCTION("""COMPUTED_VALUE"""),"Vinutha Hanji")</f>
        <v>Vinutha Hanji</v>
      </c>
      <c r="C814" s="6" t="str">
        <f ca="1">IFERROR(__xludf.DUMMYFUNCTION("""COMPUTED_VALUE"""),"vinutha.hanji@outlook.com")</f>
        <v>vinutha.hanji@outlook.com</v>
      </c>
      <c r="D814" s="6">
        <f ca="1">IFERROR(__xludf.DUMMYFUNCTION("""COMPUTED_VALUE"""),9945630490)</f>
        <v>9945630490</v>
      </c>
      <c r="E814" s="6" t="str">
        <f ca="1">IFERROR(__xludf.DUMMYFUNCTION("""COMPUTED_VALUE"""),"Reference")</f>
        <v>Reference</v>
      </c>
      <c r="F814" s="6" t="str">
        <f ca="1">IFERROR(__xludf.DUMMYFUNCTION("""COMPUTED_VALUE"""),"SAFe Agile")</f>
        <v>SAFe Agile</v>
      </c>
      <c r="G814" s="80">
        <f ca="1">IFERROR(__xludf.DUMMYFUNCTION("""COMPUTED_VALUE"""),44562)</f>
        <v>44562</v>
      </c>
      <c r="H814" s="6" t="str">
        <f ca="1">IFERROR(__xludf.DUMMYFUNCTION("""COMPUTED_VALUE"""),"Won")</f>
        <v>Won</v>
      </c>
      <c r="I814" s="6" t="str">
        <f ca="1">IFERROR(__xludf.DUMMYFUNCTION("""COMPUTED_VALUE"""),"29-30 Jan 2022")</f>
        <v>29-30 Jan 2022</v>
      </c>
      <c r="J814" s="6">
        <f ca="1">IFERROR(__xludf.DUMMYFUNCTION("""COMPUTED_VALUE"""),1)</f>
        <v>1</v>
      </c>
      <c r="K814" s="8">
        <f ca="1">IFERROR(__xludf.DUMMYFUNCTION("""COMPUTED_VALUE"""),40000)</f>
        <v>40000</v>
      </c>
      <c r="L814" s="8">
        <f ca="1">IFERROR(__xludf.DUMMYFUNCTION("""COMPUTED_VALUE"""),458.085203847915)</f>
        <v>458.08520384791501</v>
      </c>
      <c r="M814" s="96">
        <f ca="1">IFERROR(__xludf.DUMMYFUNCTION("""COMPUTED_VALUE"""),44580)</f>
        <v>44580</v>
      </c>
      <c r="N814" s="6" t="str">
        <f ca="1">IFERROR(__xludf.DUMMYFUNCTION("""COMPUTED_VALUE"""),"S10")</f>
        <v>S10</v>
      </c>
      <c r="O814" s="97">
        <f ca="1">IFERROR(__xludf.DUMMYFUNCTION("""COMPUTED_VALUE"""),44580)</f>
        <v>44580</v>
      </c>
      <c r="P814" s="6" t="str">
        <f ca="1">IFERROR(__xludf.DUMMYFUNCTION("""COMPUTED_VALUE"""),"CSTM_A2UBS9UXT99")</f>
        <v>CSTM_A2UBS9UXT99</v>
      </c>
      <c r="Q814" s="6" t="str">
        <f ca="1">IFERROR(__xludf.DUMMYFUNCTION("""COMPUTED_VALUE"""),"Keerti - Given to Vinutha")</f>
        <v>Keerti - Given to Vinutha</v>
      </c>
      <c r="R814" s="6" t="str">
        <f ca="1">IFERROR(__xludf.DUMMYFUNCTION("""COMPUTED_VALUE"""),"Pending")</f>
        <v>Pending</v>
      </c>
      <c r="S814" s="6" t="str">
        <f ca="1">IFERROR(__xludf.DUMMYFUNCTION("""COMPUTED_VALUE"""),"SAFe")</f>
        <v>SAFe</v>
      </c>
      <c r="T814" s="6"/>
      <c r="U814" s="6"/>
      <c r="V814" s="6"/>
      <c r="W814" s="6"/>
      <c r="X814" s="6"/>
      <c r="Y814" s="6"/>
      <c r="Z814" s="6"/>
      <c r="AA814" s="6"/>
      <c r="AB814" s="6"/>
      <c r="AC814" s="6"/>
      <c r="AD814" s="6"/>
      <c r="AE814" s="6"/>
      <c r="AF814" s="6"/>
      <c r="AG814" s="6"/>
      <c r="AH814" s="6"/>
      <c r="AI814" s="6"/>
      <c r="AJ814" s="6"/>
      <c r="AK814" s="6"/>
      <c r="AL814" s="6"/>
    </row>
    <row r="815" spans="1:38">
      <c r="A815" s="96">
        <f ca="1">IFERROR(__xludf.DUMMYFUNCTION("""COMPUTED_VALUE"""),44580)</f>
        <v>44580</v>
      </c>
      <c r="B815" s="6" t="str">
        <f ca="1">IFERROR(__xludf.DUMMYFUNCTION("""COMPUTED_VALUE"""),"Kshama Verma")</f>
        <v>Kshama Verma</v>
      </c>
      <c r="C815" s="6" t="str">
        <f ca="1">IFERROR(__xludf.DUMMYFUNCTION("""COMPUTED_VALUE"""),"kshama.verma5@gmail.com")</f>
        <v>kshama.verma5@gmail.com</v>
      </c>
      <c r="D815" s="6">
        <f ca="1">IFERROR(__xludf.DUMMYFUNCTION("""COMPUTED_VALUE"""),7387527009)</f>
        <v>7387527009</v>
      </c>
      <c r="E815" s="6" t="str">
        <f ca="1">IFERROR(__xludf.DUMMYFUNCTION("""COMPUTED_VALUE"""),"chat_initiated")</f>
        <v>chat_initiated</v>
      </c>
      <c r="F815" s="6" t="str">
        <f ca="1">IFERROR(__xludf.DUMMYFUNCTION("""COMPUTED_VALUE"""),"CSM")</f>
        <v>CSM</v>
      </c>
      <c r="G815" s="80">
        <f ca="1">IFERROR(__xludf.DUMMYFUNCTION("""COMPUTED_VALUE"""),44562)</f>
        <v>44562</v>
      </c>
      <c r="H815" s="6" t="str">
        <f ca="1">IFERROR(__xludf.DUMMYFUNCTION("""COMPUTED_VALUE"""),"Won")</f>
        <v>Won</v>
      </c>
      <c r="I815" s="6" t="str">
        <f ca="1">IFERROR(__xludf.DUMMYFUNCTION("""COMPUTED_VALUE"""),"19-20 Feb 2022")</f>
        <v>19-20 Feb 2022</v>
      </c>
      <c r="J815" s="6">
        <f ca="1">IFERROR(__xludf.DUMMYFUNCTION("""COMPUTED_VALUE"""),1)</f>
        <v>1</v>
      </c>
      <c r="K815" s="8">
        <f ca="1">IFERROR(__xludf.DUMMYFUNCTION("""COMPUTED_VALUE"""),20000)</f>
        <v>20000</v>
      </c>
      <c r="L815" s="8">
        <f ca="1">IFERROR(__xludf.DUMMYFUNCTION("""COMPUTED_VALUE"""),229.042601923957)</f>
        <v>229.04260192395699</v>
      </c>
      <c r="M815" s="96">
        <f ca="1">IFERROR(__xludf.DUMMYFUNCTION("""COMPUTED_VALUE"""),44580)</f>
        <v>44580</v>
      </c>
      <c r="N815" s="6" t="str">
        <f ca="1">IFERROR(__xludf.DUMMYFUNCTION("""COMPUTED_VALUE"""),"S10")</f>
        <v>S10</v>
      </c>
      <c r="O815" s="97">
        <f ca="1">IFERROR(__xludf.DUMMYFUNCTION("""COMPUTED_VALUE"""),44580)</f>
        <v>44580</v>
      </c>
      <c r="P815" s="6" t="str">
        <f ca="1">IFERROR(__xludf.DUMMYFUNCTION("""COMPUTED_VALUE"""),"CSTM_I14C4ST3D4Y")</f>
        <v>CSTM_I14C4ST3D4Y</v>
      </c>
      <c r="Q815" s="6"/>
      <c r="R815" s="6" t="str">
        <f ca="1">IFERROR(__xludf.DUMMYFUNCTION("""COMPUTED_VALUE"""),"Done. Good feedback")</f>
        <v>Done. Good feedback</v>
      </c>
      <c r="S815" s="6" t="str">
        <f ca="1">IFERROR(__xludf.DUMMYFUNCTION("""COMPUTED_VALUE"""),"Category")</f>
        <v>Category</v>
      </c>
      <c r="T815" s="6"/>
      <c r="U815" s="6"/>
      <c r="V815" s="6"/>
      <c r="W815" s="6"/>
      <c r="X815" s="6"/>
      <c r="Y815" s="6"/>
      <c r="Z815" s="6"/>
      <c r="AA815" s="6"/>
      <c r="AB815" s="6"/>
      <c r="AC815" s="6"/>
      <c r="AD815" s="6"/>
      <c r="AE815" s="6"/>
      <c r="AF815" s="6"/>
      <c r="AG815" s="6"/>
      <c r="AH815" s="6"/>
      <c r="AI815" s="6"/>
      <c r="AJ815" s="6"/>
      <c r="AK815" s="6"/>
      <c r="AL815" s="6"/>
    </row>
    <row r="816" spans="1:38">
      <c r="A816" s="96">
        <f ca="1">IFERROR(__xludf.DUMMYFUNCTION("""COMPUTED_VALUE"""),44581)</f>
        <v>44581</v>
      </c>
      <c r="B816" s="6" t="str">
        <f ca="1">IFERROR(__xludf.DUMMYFUNCTION("""COMPUTED_VALUE"""),"Anurag ")</f>
        <v xml:space="preserve">Anurag </v>
      </c>
      <c r="C816" s="6" t="str">
        <f ca="1">IFERROR(__xludf.DUMMYFUNCTION("""COMPUTED_VALUE"""),"anuragch02@yahoo.com")</f>
        <v>anuragch02@yahoo.com</v>
      </c>
      <c r="D816" s="6">
        <f ca="1">IFERROR(__xludf.DUMMYFUNCTION("""COMPUTED_VALUE"""),8299186403)</f>
        <v>8299186403</v>
      </c>
      <c r="E816" s="6" t="str">
        <f ca="1">IFERROR(__xludf.DUMMYFUNCTION("""COMPUTED_VALUE"""),"Reference")</f>
        <v>Reference</v>
      </c>
      <c r="F816" s="6" t="str">
        <f ca="1">IFERROR(__xludf.DUMMYFUNCTION("""COMPUTED_VALUE"""),"CSM")</f>
        <v>CSM</v>
      </c>
      <c r="G816" s="80">
        <f ca="1">IFERROR(__xludf.DUMMYFUNCTION("""COMPUTED_VALUE"""),44562)</f>
        <v>44562</v>
      </c>
      <c r="H816" s="6" t="str">
        <f ca="1">IFERROR(__xludf.DUMMYFUNCTION("""COMPUTED_VALUE"""),"Opportunity")</f>
        <v>Opportunity</v>
      </c>
      <c r="I816" s="6" t="str">
        <f ca="1">IFERROR(__xludf.DUMMYFUNCTION("""COMPUTED_VALUE"""),"5-6 Feb 2022")</f>
        <v>5-6 Feb 2022</v>
      </c>
      <c r="J816" s="6">
        <f ca="1">IFERROR(__xludf.DUMMYFUNCTION("""COMPUTED_VALUE"""),1)</f>
        <v>1</v>
      </c>
      <c r="K816" s="8">
        <f ca="1">IFERROR(__xludf.DUMMYFUNCTION("""COMPUTED_VALUE"""),20000)</f>
        <v>20000</v>
      </c>
      <c r="L816" s="8">
        <f ca="1">IFERROR(__xludf.DUMMYFUNCTION("""COMPUTED_VALUE"""),229.042601923957)</f>
        <v>229.04260192395699</v>
      </c>
      <c r="M816" s="96">
        <f ca="1">IFERROR(__xludf.DUMMYFUNCTION("""COMPUTED_VALUE"""),44581)</f>
        <v>44581</v>
      </c>
      <c r="N816" s="6"/>
      <c r="O816" s="97"/>
      <c r="P816" s="6"/>
      <c r="Q816" s="6"/>
      <c r="R816" s="6"/>
      <c r="S816" s="6" t="str">
        <f ca="1">IFERROR(__xludf.DUMMYFUNCTION("""COMPUTED_VALUE"""),"Category")</f>
        <v>Category</v>
      </c>
      <c r="T816" s="6"/>
      <c r="U816" s="6"/>
      <c r="V816" s="6"/>
      <c r="W816" s="6"/>
      <c r="X816" s="6"/>
      <c r="Y816" s="6"/>
      <c r="Z816" s="6"/>
      <c r="AA816" s="6"/>
      <c r="AB816" s="6"/>
      <c r="AC816" s="6"/>
      <c r="AD816" s="6"/>
      <c r="AE816" s="6"/>
      <c r="AF816" s="6"/>
      <c r="AG816" s="6"/>
      <c r="AH816" s="6"/>
      <c r="AI816" s="6"/>
      <c r="AJ816" s="6"/>
      <c r="AK816" s="6"/>
      <c r="AL816" s="6"/>
    </row>
    <row r="817" spans="1:38">
      <c r="A817" s="96">
        <f ca="1">IFERROR(__xludf.DUMMYFUNCTION("""COMPUTED_VALUE"""),44582)</f>
        <v>44582</v>
      </c>
      <c r="B817" s="6" t="str">
        <f ca="1">IFERROR(__xludf.DUMMYFUNCTION("""COMPUTED_VALUE"""),"Karan Relan")</f>
        <v>Karan Relan</v>
      </c>
      <c r="C817" s="6" t="str">
        <f ca="1">IFERROR(__xludf.DUMMYFUNCTION("""COMPUTED_VALUE"""),"karanrelan01@gmail.com")</f>
        <v>karanrelan01@gmail.com</v>
      </c>
      <c r="D817" s="6">
        <f ca="1">IFERROR(__xludf.DUMMYFUNCTION("""COMPUTED_VALUE"""),9813378481)</f>
        <v>9813378481</v>
      </c>
      <c r="E817" s="6" t="str">
        <f ca="1">IFERROR(__xludf.DUMMYFUNCTION("""COMPUTED_VALUE"""),"Query box")</f>
        <v>Query box</v>
      </c>
      <c r="F817" s="6" t="str">
        <f ca="1">IFERROR(__xludf.DUMMYFUNCTION("""COMPUTED_VALUE"""),"ICP-ACC")</f>
        <v>ICP-ACC</v>
      </c>
      <c r="G817" s="80">
        <f ca="1">IFERROR(__xludf.DUMMYFUNCTION("""COMPUTED_VALUE"""),44562)</f>
        <v>44562</v>
      </c>
      <c r="H817" s="6" t="str">
        <f ca="1">IFERROR(__xludf.DUMMYFUNCTION("""COMPUTED_VALUE"""),"Won")</f>
        <v>Won</v>
      </c>
      <c r="I817" s="6" t="str">
        <f ca="1">IFERROR(__xludf.DUMMYFUNCTION("""COMPUTED_VALUE"""),"28-30 Jan 2022")</f>
        <v>28-30 Jan 2022</v>
      </c>
      <c r="J817" s="6">
        <f ca="1">IFERROR(__xludf.DUMMYFUNCTION("""COMPUTED_VALUE"""),1)</f>
        <v>1</v>
      </c>
      <c r="K817" s="8">
        <f ca="1">IFERROR(__xludf.DUMMYFUNCTION("""COMPUTED_VALUE"""),31000)</f>
        <v>31000</v>
      </c>
      <c r="L817" s="8">
        <f ca="1">IFERROR(__xludf.DUMMYFUNCTION("""COMPUTED_VALUE"""),355.016032982134)</f>
        <v>355.01603298213399</v>
      </c>
      <c r="M817" s="96">
        <f ca="1">IFERROR(__xludf.DUMMYFUNCTION("""COMPUTED_VALUE"""),44582)</f>
        <v>44582</v>
      </c>
      <c r="N817" s="6" t="str">
        <f ca="1">IFERROR(__xludf.DUMMYFUNCTION("""COMPUTED_VALUE"""),"T10")</f>
        <v>T10</v>
      </c>
      <c r="O817" s="97">
        <f ca="1">IFERROR(__xludf.DUMMYFUNCTION("""COMPUTED_VALUE"""),44582)</f>
        <v>44582</v>
      </c>
      <c r="P817" s="6" t="str">
        <f ca="1">IFERROR(__xludf.DUMMYFUNCTION("""COMPUTED_VALUE"""),"CSTM_JJ2TMEMF6T0")</f>
        <v>CSTM_JJ2TMEMF6T0</v>
      </c>
      <c r="Q817" s="6"/>
      <c r="R817" s="6" t="str">
        <f ca="1">IFERROR(__xludf.DUMMYFUNCTION("""COMPUTED_VALUE"""),"Pending")</f>
        <v>Pending</v>
      </c>
      <c r="S817" s="6" t="str">
        <f ca="1">IFERROR(__xludf.DUMMYFUNCTION("""COMPUTED_VALUE"""),"Category")</f>
        <v>Category</v>
      </c>
      <c r="T817" s="6"/>
      <c r="U817" s="6"/>
      <c r="V817" s="6"/>
      <c r="W817" s="6"/>
      <c r="X817" s="6"/>
      <c r="Y817" s="6"/>
      <c r="Z817" s="6"/>
      <c r="AA817" s="6"/>
      <c r="AB817" s="6"/>
      <c r="AC817" s="6"/>
      <c r="AD817" s="6"/>
      <c r="AE817" s="6"/>
      <c r="AF817" s="6"/>
      <c r="AG817" s="6"/>
      <c r="AH817" s="6"/>
      <c r="AI817" s="6"/>
      <c r="AJ817" s="6"/>
      <c r="AK817" s="6"/>
      <c r="AL817" s="6"/>
    </row>
    <row r="818" spans="1:38">
      <c r="A818" s="96">
        <f ca="1">IFERROR(__xludf.DUMMYFUNCTION("""COMPUTED_VALUE"""),44583)</f>
        <v>44583</v>
      </c>
      <c r="B818" s="6" t="str">
        <f ca="1">IFERROR(__xludf.DUMMYFUNCTION("""COMPUTED_VALUE"""),"Raghavendra Datta")</f>
        <v>Raghavendra Datta</v>
      </c>
      <c r="C818" s="6" t="str">
        <f ca="1">IFERROR(__xludf.DUMMYFUNCTION("""COMPUTED_VALUE"""),"raghavendradatta.p@gmail.com")</f>
        <v>raghavendradatta.p@gmail.com</v>
      </c>
      <c r="D818" s="6">
        <f ca="1">IFERROR(__xludf.DUMMYFUNCTION("""COMPUTED_VALUE"""),9910082369)</f>
        <v>9910082369</v>
      </c>
      <c r="E818" s="6" t="str">
        <f ca="1">IFERROR(__xludf.DUMMYFUNCTION("""COMPUTED_VALUE"""),"chat_initiated")</f>
        <v>chat_initiated</v>
      </c>
      <c r="F818" s="6" t="str">
        <f ca="1">IFERROR(__xludf.DUMMYFUNCTION("""COMPUTED_VALUE"""),"PSPO")</f>
        <v>PSPO</v>
      </c>
      <c r="G818" s="80">
        <f ca="1">IFERROR(__xludf.DUMMYFUNCTION("""COMPUTED_VALUE"""),44562)</f>
        <v>44562</v>
      </c>
      <c r="H818" s="6" t="str">
        <f ca="1">IFERROR(__xludf.DUMMYFUNCTION("""COMPUTED_VALUE"""),"Won")</f>
        <v>Won</v>
      </c>
      <c r="I818" s="6" t="str">
        <f ca="1">IFERROR(__xludf.DUMMYFUNCTION("""COMPUTED_VALUE"""),"26-27 March 2022")</f>
        <v>26-27 March 2022</v>
      </c>
      <c r="J818" s="6">
        <f ca="1">IFERROR(__xludf.DUMMYFUNCTION("""COMPUTED_VALUE"""),1)</f>
        <v>1</v>
      </c>
      <c r="K818" s="8">
        <f ca="1">IFERROR(__xludf.DUMMYFUNCTION("""COMPUTED_VALUE"""),21000)</f>
        <v>21000</v>
      </c>
      <c r="L818" s="8">
        <f ca="1">IFERROR(__xludf.DUMMYFUNCTION("""COMPUTED_VALUE"""),240.494732020155)</f>
        <v>240.494732020155</v>
      </c>
      <c r="M818" s="96">
        <f ca="1">IFERROR(__xludf.DUMMYFUNCTION("""COMPUTED_VALUE"""),44583)</f>
        <v>44583</v>
      </c>
      <c r="N818" s="6" t="str">
        <f ca="1">IFERROR(__xludf.DUMMYFUNCTION("""COMPUTED_VALUE"""),"T10")</f>
        <v>T10</v>
      </c>
      <c r="O818" s="97">
        <f ca="1">IFERROR(__xludf.DUMMYFUNCTION("""COMPUTED_VALUE"""),44583)</f>
        <v>44583</v>
      </c>
      <c r="P818" s="6" t="str">
        <f ca="1">IFERROR(__xludf.DUMMYFUNCTION("""COMPUTED_VALUE"""),"CSTM_J2RWPW9FDG")</f>
        <v>CSTM_J2RWPW9FDG</v>
      </c>
      <c r="Q818" s="6"/>
      <c r="R818" s="6" t="str">
        <f ca="1">IFERROR(__xludf.DUMMYFUNCTION("""COMPUTED_VALUE"""),"Pending")</f>
        <v>Pending</v>
      </c>
      <c r="S818" s="6" t="str">
        <f ca="1">IFERROR(__xludf.DUMMYFUNCTION("""COMPUTED_VALUE"""),"Category")</f>
        <v>Category</v>
      </c>
      <c r="T818" s="6"/>
      <c r="U818" s="6"/>
      <c r="V818" s="6"/>
      <c r="W818" s="6"/>
      <c r="X818" s="6"/>
      <c r="Y818" s="6"/>
      <c r="Z818" s="6"/>
      <c r="AA818" s="6"/>
      <c r="AB818" s="6"/>
      <c r="AC818" s="6"/>
      <c r="AD818" s="6"/>
      <c r="AE818" s="6"/>
      <c r="AF818" s="6"/>
      <c r="AG818" s="6"/>
      <c r="AH818" s="6"/>
      <c r="AI818" s="6"/>
      <c r="AJ818" s="6"/>
      <c r="AK818" s="6"/>
      <c r="AL818" s="6"/>
    </row>
    <row r="819" spans="1:38">
      <c r="A819" s="96">
        <f ca="1">IFERROR(__xludf.DUMMYFUNCTION("""COMPUTED_VALUE"""),44583)</f>
        <v>44583</v>
      </c>
      <c r="B819" s="6" t="str">
        <f ca="1">IFERROR(__xludf.DUMMYFUNCTION("""COMPUTED_VALUE"""),"Goutami")</f>
        <v>Goutami</v>
      </c>
      <c r="C819" s="6" t="str">
        <f ca="1">IFERROR(__xludf.DUMMYFUNCTION("""COMPUTED_VALUE"""),"goutami.c92@gmail.com")</f>
        <v>goutami.c92@gmail.com</v>
      </c>
      <c r="D819" s="6">
        <f ca="1">IFERROR(__xludf.DUMMYFUNCTION("""COMPUTED_VALUE"""),9910082369)</f>
        <v>9910082369</v>
      </c>
      <c r="E819" s="6" t="str">
        <f ca="1">IFERROR(__xludf.DUMMYFUNCTION("""COMPUTED_VALUE"""),"Reference")</f>
        <v>Reference</v>
      </c>
      <c r="F819" s="6" t="str">
        <f ca="1">IFERROR(__xludf.DUMMYFUNCTION("""COMPUTED_VALUE"""),"PSPO")</f>
        <v>PSPO</v>
      </c>
      <c r="G819" s="80">
        <f ca="1">IFERROR(__xludf.DUMMYFUNCTION("""COMPUTED_VALUE"""),44562)</f>
        <v>44562</v>
      </c>
      <c r="H819" s="6" t="str">
        <f ca="1">IFERROR(__xludf.DUMMYFUNCTION("""COMPUTED_VALUE"""),"Won")</f>
        <v>Won</v>
      </c>
      <c r="I819" s="6" t="str">
        <f ca="1">IFERROR(__xludf.DUMMYFUNCTION("""COMPUTED_VALUE"""),"26-27 March 2022")</f>
        <v>26-27 March 2022</v>
      </c>
      <c r="J819" s="6">
        <f ca="1">IFERROR(__xludf.DUMMYFUNCTION("""COMPUTED_VALUE"""),1)</f>
        <v>1</v>
      </c>
      <c r="K819" s="8">
        <f ca="1">IFERROR(__xludf.DUMMYFUNCTION("""COMPUTED_VALUE"""),21000)</f>
        <v>21000</v>
      </c>
      <c r="L819" s="8">
        <f ca="1">IFERROR(__xludf.DUMMYFUNCTION("""COMPUTED_VALUE"""),240.494732020155)</f>
        <v>240.494732020155</v>
      </c>
      <c r="M819" s="96">
        <f ca="1">IFERROR(__xludf.DUMMYFUNCTION("""COMPUTED_VALUE"""),44583)</f>
        <v>44583</v>
      </c>
      <c r="N819" s="6" t="str">
        <f ca="1">IFERROR(__xludf.DUMMYFUNCTION("""COMPUTED_VALUE"""),"T10")</f>
        <v>T10</v>
      </c>
      <c r="O819" s="97">
        <f ca="1">IFERROR(__xludf.DUMMYFUNCTION("""COMPUTED_VALUE"""),44583)</f>
        <v>44583</v>
      </c>
      <c r="P819" s="6" t="str">
        <f ca="1">IFERROR(__xludf.DUMMYFUNCTION("""COMPUTED_VALUE"""),"CSTM_DMCDY7LBWS")</f>
        <v>CSTM_DMCDY7LBWS</v>
      </c>
      <c r="Q819" s="6" t="str">
        <f ca="1">IFERROR(__xludf.DUMMYFUNCTION("""COMPUTED_VALUE"""),"Reference by Raghavendra Datta")</f>
        <v>Reference by Raghavendra Datta</v>
      </c>
      <c r="R819" s="6" t="str">
        <f ca="1">IFERROR(__xludf.DUMMYFUNCTION("""COMPUTED_VALUE"""),"Pending")</f>
        <v>Pending</v>
      </c>
      <c r="S819" s="6" t="str">
        <f ca="1">IFERROR(__xludf.DUMMYFUNCTION("""COMPUTED_VALUE"""),"Category")</f>
        <v>Category</v>
      </c>
      <c r="T819" s="6"/>
      <c r="U819" s="6"/>
      <c r="V819" s="6"/>
      <c r="W819" s="6"/>
      <c r="X819" s="6"/>
      <c r="Y819" s="6"/>
      <c r="Z819" s="6"/>
      <c r="AA819" s="6"/>
      <c r="AB819" s="6"/>
      <c r="AC819" s="6"/>
      <c r="AD819" s="6"/>
      <c r="AE819" s="6"/>
      <c r="AF819" s="6"/>
      <c r="AG819" s="6"/>
      <c r="AH819" s="6"/>
      <c r="AI819" s="6"/>
      <c r="AJ819" s="6"/>
      <c r="AK819" s="6"/>
      <c r="AL819" s="6"/>
    </row>
    <row r="820" spans="1:38">
      <c r="A820" s="96">
        <f ca="1">IFERROR(__xludf.DUMMYFUNCTION("""COMPUTED_VALUE"""),44585)</f>
        <v>44585</v>
      </c>
      <c r="B820" s="6" t="str">
        <f ca="1">IFERROR(__xludf.DUMMYFUNCTION("""COMPUTED_VALUE"""),"Kuntala ")</f>
        <v xml:space="preserve">Kuntala </v>
      </c>
      <c r="C820" s="6" t="str">
        <f ca="1">IFERROR(__xludf.DUMMYFUNCTION("""COMPUTED_VALUE"""),"kuntala.mnnit@gmail.com")</f>
        <v>kuntala.mnnit@gmail.com</v>
      </c>
      <c r="D820" s="6">
        <f ca="1">IFERROR(__xludf.DUMMYFUNCTION("""COMPUTED_VALUE"""),7619187745)</f>
        <v>7619187745</v>
      </c>
      <c r="E820" s="6" t="str">
        <f ca="1">IFERROR(__xludf.DUMMYFUNCTION("""COMPUTED_VALUE"""),"Chat_triggered")</f>
        <v>Chat_triggered</v>
      </c>
      <c r="F820" s="6" t="str">
        <f ca="1">IFERROR(__xludf.DUMMYFUNCTION("""COMPUTED_VALUE"""),"PSM")</f>
        <v>PSM</v>
      </c>
      <c r="G820" s="80">
        <f ca="1">IFERROR(__xludf.DUMMYFUNCTION("""COMPUTED_VALUE"""),44562)</f>
        <v>44562</v>
      </c>
      <c r="H820" s="6" t="str">
        <f ca="1">IFERROR(__xludf.DUMMYFUNCTION("""COMPUTED_VALUE"""),"Opportunity")</f>
        <v>Opportunity</v>
      </c>
      <c r="I820" s="6" t="str">
        <f ca="1">IFERROR(__xludf.DUMMYFUNCTION("""COMPUTED_VALUE"""),"29-30 Jan 2022")</f>
        <v>29-30 Jan 2022</v>
      </c>
      <c r="J820" s="6">
        <f ca="1">IFERROR(__xludf.DUMMYFUNCTION("""COMPUTED_VALUE"""),1)</f>
        <v>1</v>
      </c>
      <c r="K820" s="8">
        <f ca="1">IFERROR(__xludf.DUMMYFUNCTION("""COMPUTED_VALUE"""),20500)</f>
        <v>20500</v>
      </c>
      <c r="L820" s="8">
        <f ca="1">IFERROR(__xludf.DUMMYFUNCTION("""COMPUTED_VALUE"""),234.768666972056)</f>
        <v>234.768666972056</v>
      </c>
      <c r="M820" s="96">
        <f ca="1">IFERROR(__xludf.DUMMYFUNCTION("""COMPUTED_VALUE"""),44585)</f>
        <v>44585</v>
      </c>
      <c r="N820" s="6"/>
      <c r="O820" s="97"/>
      <c r="P820" s="6"/>
      <c r="Q820" s="6"/>
      <c r="R820" s="6"/>
      <c r="S820" s="6" t="str">
        <f ca="1">IFERROR(__xludf.DUMMYFUNCTION("""COMPUTED_VALUE"""),"Category")</f>
        <v>Category</v>
      </c>
      <c r="T820" s="6"/>
      <c r="U820" s="6"/>
      <c r="V820" s="6"/>
      <c r="W820" s="6"/>
      <c r="X820" s="6"/>
      <c r="Y820" s="6"/>
      <c r="Z820" s="6"/>
      <c r="AA820" s="6"/>
      <c r="AB820" s="6"/>
      <c r="AC820" s="6"/>
      <c r="AD820" s="6"/>
      <c r="AE820" s="6"/>
      <c r="AF820" s="6"/>
      <c r="AG820" s="6"/>
      <c r="AH820" s="6"/>
      <c r="AI820" s="6"/>
      <c r="AJ820" s="6"/>
      <c r="AK820" s="6"/>
      <c r="AL820" s="6"/>
    </row>
    <row r="821" spans="1:38">
      <c r="A821" s="96">
        <f ca="1">IFERROR(__xludf.DUMMYFUNCTION("""COMPUTED_VALUE"""),44585)</f>
        <v>44585</v>
      </c>
      <c r="B821" s="6" t="str">
        <f ca="1">IFERROR(__xludf.DUMMYFUNCTION("""COMPUTED_VALUE"""),"Sravanthi Mothi")</f>
        <v>Sravanthi Mothi</v>
      </c>
      <c r="C821" s="6" t="str">
        <f ca="1">IFERROR(__xludf.DUMMYFUNCTION("""COMPUTED_VALUE"""),"sravanthi.mothi@gmail.com")</f>
        <v>sravanthi.mothi@gmail.com</v>
      </c>
      <c r="D821" s="6">
        <f ca="1">IFERROR(__xludf.DUMMYFUNCTION("""COMPUTED_VALUE"""),9885466953)</f>
        <v>9885466953</v>
      </c>
      <c r="E821" s="6" t="str">
        <f ca="1">IFERROR(__xludf.DUMMYFUNCTION("""COMPUTED_VALUE"""),"Query box")</f>
        <v>Query box</v>
      </c>
      <c r="F821" s="6" t="str">
        <f ca="1">IFERROR(__xludf.DUMMYFUNCTION("""COMPUTED_VALUE"""),"PSM")</f>
        <v>PSM</v>
      </c>
      <c r="G821" s="80">
        <f ca="1">IFERROR(__xludf.DUMMYFUNCTION("""COMPUTED_VALUE"""),44562)</f>
        <v>44562</v>
      </c>
      <c r="H821" s="6" t="str">
        <f ca="1">IFERROR(__xludf.DUMMYFUNCTION("""COMPUTED_VALUE"""),"Won")</f>
        <v>Won</v>
      </c>
      <c r="I821" s="6" t="str">
        <f ca="1">IFERROR(__xludf.DUMMYFUNCTION("""COMPUTED_VALUE"""),"29-30 Jan 2022")</f>
        <v>29-30 Jan 2022</v>
      </c>
      <c r="J821" s="6">
        <f ca="1">IFERROR(__xludf.DUMMYFUNCTION("""COMPUTED_VALUE"""),1)</f>
        <v>1</v>
      </c>
      <c r="K821" s="8">
        <f ca="1">IFERROR(__xludf.DUMMYFUNCTION("""COMPUTED_VALUE"""),21000)</f>
        <v>21000</v>
      </c>
      <c r="L821" s="8">
        <f ca="1">IFERROR(__xludf.DUMMYFUNCTION("""COMPUTED_VALUE"""),240.494732020155)</f>
        <v>240.494732020155</v>
      </c>
      <c r="M821" s="96">
        <f ca="1">IFERROR(__xludf.DUMMYFUNCTION("""COMPUTED_VALUE"""),44585)</f>
        <v>44585</v>
      </c>
      <c r="N821" s="6" t="str">
        <f ca="1">IFERROR(__xludf.DUMMYFUNCTION("""COMPUTED_VALUE"""),"T10")</f>
        <v>T10</v>
      </c>
      <c r="O821" s="97">
        <f ca="1">IFERROR(__xludf.DUMMYFUNCTION("""COMPUTED_VALUE"""),44585)</f>
        <v>44585</v>
      </c>
      <c r="P821" s="6" t="str">
        <f ca="1">IFERROR(__xludf.DUMMYFUNCTION("""COMPUTED_VALUE"""),"CSTM_6XXAKV1VW3M")</f>
        <v>CSTM_6XXAKV1VW3M</v>
      </c>
      <c r="Q821" s="6"/>
      <c r="R821" s="6" t="str">
        <f ca="1">IFERROR(__xludf.DUMMYFUNCTION("""COMPUTED_VALUE"""),"Pending")</f>
        <v>Pending</v>
      </c>
      <c r="S821" s="6" t="str">
        <f ca="1">IFERROR(__xludf.DUMMYFUNCTION("""COMPUTED_VALUE"""),"Category")</f>
        <v>Category</v>
      </c>
      <c r="T821" s="6"/>
      <c r="U821" s="6"/>
      <c r="V821" s="6"/>
      <c r="W821" s="6"/>
      <c r="X821" s="6"/>
      <c r="Y821" s="6"/>
      <c r="Z821" s="6"/>
      <c r="AA821" s="6"/>
      <c r="AB821" s="6"/>
      <c r="AC821" s="6"/>
      <c r="AD821" s="6"/>
      <c r="AE821" s="6"/>
      <c r="AF821" s="6"/>
      <c r="AG821" s="6"/>
      <c r="AH821" s="6"/>
      <c r="AI821" s="6"/>
      <c r="AJ821" s="6"/>
      <c r="AK821" s="6"/>
      <c r="AL821" s="6"/>
    </row>
    <row r="822" spans="1:38">
      <c r="A822" s="96">
        <f ca="1">IFERROR(__xludf.DUMMYFUNCTION("""COMPUTED_VALUE"""),44585)</f>
        <v>44585</v>
      </c>
      <c r="B822" s="6" t="str">
        <f ca="1">IFERROR(__xludf.DUMMYFUNCTION("""COMPUTED_VALUE"""),"Nilay Mishra")</f>
        <v>Nilay Mishra</v>
      </c>
      <c r="C822" s="6" t="str">
        <f ca="1">IFERROR(__xludf.DUMMYFUNCTION("""COMPUTED_VALUE"""),"nilaymishra12345@gmail.com")</f>
        <v>nilaymishra12345@gmail.com</v>
      </c>
      <c r="D822" s="6">
        <f ca="1">IFERROR(__xludf.DUMMYFUNCTION("""COMPUTED_VALUE"""),9795249977)</f>
        <v>9795249977</v>
      </c>
      <c r="E822" s="6" t="str">
        <f ca="1">IFERROR(__xludf.DUMMYFUNCTION("""COMPUTED_VALUE"""),"Reference")</f>
        <v>Reference</v>
      </c>
      <c r="F822" s="6" t="str">
        <f ca="1">IFERROR(__xludf.DUMMYFUNCTION("""COMPUTED_VALUE"""),"PSM")</f>
        <v>PSM</v>
      </c>
      <c r="G822" s="80">
        <f ca="1">IFERROR(__xludf.DUMMYFUNCTION("""COMPUTED_VALUE"""),44562)</f>
        <v>44562</v>
      </c>
      <c r="H822" s="6" t="str">
        <f ca="1">IFERROR(__xludf.DUMMYFUNCTION("""COMPUTED_VALUE"""),"Won")</f>
        <v>Won</v>
      </c>
      <c r="I822" s="6" t="str">
        <f ca="1">IFERROR(__xludf.DUMMYFUNCTION("""COMPUTED_VALUE"""),"29-30 Jan 2022")</f>
        <v>29-30 Jan 2022</v>
      </c>
      <c r="J822" s="6">
        <f ca="1">IFERROR(__xludf.DUMMYFUNCTION("""COMPUTED_VALUE"""),1)</f>
        <v>1</v>
      </c>
      <c r="K822" s="8">
        <f ca="1">IFERROR(__xludf.DUMMYFUNCTION("""COMPUTED_VALUE"""),21000)</f>
        <v>21000</v>
      </c>
      <c r="L822" s="8">
        <f ca="1">IFERROR(__xludf.DUMMYFUNCTION("""COMPUTED_VALUE"""),240.494732020155)</f>
        <v>240.494732020155</v>
      </c>
      <c r="M822" s="96">
        <f ca="1">IFERROR(__xludf.DUMMYFUNCTION("""COMPUTED_VALUE"""),44585)</f>
        <v>44585</v>
      </c>
      <c r="N822" s="6" t="str">
        <f ca="1">IFERROR(__xludf.DUMMYFUNCTION("""COMPUTED_VALUE"""),"T10")</f>
        <v>T10</v>
      </c>
      <c r="O822" s="97">
        <f ca="1">IFERROR(__xludf.DUMMYFUNCTION("""COMPUTED_VALUE"""),44585)</f>
        <v>44585</v>
      </c>
      <c r="P822" s="6" t="str">
        <f ca="1">IFERROR(__xludf.DUMMYFUNCTION("""COMPUTED_VALUE"""),"CSTM_D9P4I55OMSI")</f>
        <v>CSTM_D9P4I55OMSI</v>
      </c>
      <c r="Q822" s="6" t="str">
        <f ca="1">IFERROR(__xludf.DUMMYFUNCTION("""COMPUTED_VALUE"""),"Reference by shivaamar.ar@gmail.com")</f>
        <v>Reference by shivaamar.ar@gmail.com</v>
      </c>
      <c r="R822" s="6" t="str">
        <f ca="1">IFERROR(__xludf.DUMMYFUNCTION("""COMPUTED_VALUE"""),"Pending")</f>
        <v>Pending</v>
      </c>
      <c r="S822" s="6" t="str">
        <f ca="1">IFERROR(__xludf.DUMMYFUNCTION("""COMPUTED_VALUE"""),"Category")</f>
        <v>Category</v>
      </c>
      <c r="T822" s="6"/>
      <c r="U822" s="6"/>
      <c r="V822" s="6"/>
      <c r="W822" s="6"/>
      <c r="X822" s="6"/>
      <c r="Y822" s="6"/>
      <c r="Z822" s="6"/>
      <c r="AA822" s="6"/>
      <c r="AB822" s="6"/>
      <c r="AC822" s="6"/>
      <c r="AD822" s="6"/>
      <c r="AE822" s="6"/>
      <c r="AF822" s="6"/>
      <c r="AG822" s="6"/>
      <c r="AH822" s="6"/>
      <c r="AI822" s="6"/>
      <c r="AJ822" s="6"/>
      <c r="AK822" s="6"/>
      <c r="AL822" s="6"/>
    </row>
    <row r="823" spans="1:38">
      <c r="A823" s="96">
        <f ca="1">IFERROR(__xludf.DUMMYFUNCTION("""COMPUTED_VALUE"""),44586)</f>
        <v>44586</v>
      </c>
      <c r="B823" s="6" t="str">
        <f ca="1">IFERROR(__xludf.DUMMYFUNCTION("""COMPUTED_VALUE"""),"Titian")</f>
        <v>Titian</v>
      </c>
      <c r="C823" s="6" t="str">
        <f ca="1">IFERROR(__xludf.DUMMYFUNCTION("""COMPUTED_VALUE"""),"titi1605@gmail.com")</f>
        <v>titi1605@gmail.com</v>
      </c>
      <c r="D823" s="6">
        <f ca="1">IFERROR(__xludf.DUMMYFUNCTION("""COMPUTED_VALUE"""),9176694009)</f>
        <v>9176694009</v>
      </c>
      <c r="E823" s="6" t="str">
        <f ca="1">IFERROR(__xludf.DUMMYFUNCTION("""COMPUTED_VALUE"""),"chat_initiated")</f>
        <v>chat_initiated</v>
      </c>
      <c r="F823" s="6" t="str">
        <f ca="1">IFERROR(__xludf.DUMMYFUNCTION("""COMPUTED_VALUE"""),"PSM")</f>
        <v>PSM</v>
      </c>
      <c r="G823" s="80">
        <f ca="1">IFERROR(__xludf.DUMMYFUNCTION("""COMPUTED_VALUE"""),44562)</f>
        <v>44562</v>
      </c>
      <c r="H823" s="6" t="str">
        <f ca="1">IFERROR(__xludf.DUMMYFUNCTION("""COMPUTED_VALUE"""),"Won")</f>
        <v>Won</v>
      </c>
      <c r="I823" s="6" t="str">
        <f ca="1">IFERROR(__xludf.DUMMYFUNCTION("""COMPUTED_VALUE"""),"29-30 Jan 2022")</f>
        <v>29-30 Jan 2022</v>
      </c>
      <c r="J823" s="6">
        <f ca="1">IFERROR(__xludf.DUMMYFUNCTION("""COMPUTED_VALUE"""),1)</f>
        <v>1</v>
      </c>
      <c r="K823" s="8">
        <f ca="1">IFERROR(__xludf.DUMMYFUNCTION("""COMPUTED_VALUE"""),21000)</f>
        <v>21000</v>
      </c>
      <c r="L823" s="8">
        <f ca="1">IFERROR(__xludf.DUMMYFUNCTION("""COMPUTED_VALUE"""),240.494732020155)</f>
        <v>240.494732020155</v>
      </c>
      <c r="M823" s="96">
        <f ca="1">IFERROR(__xludf.DUMMYFUNCTION("""COMPUTED_VALUE"""),44586)</f>
        <v>44586</v>
      </c>
      <c r="N823" s="6" t="str">
        <f ca="1">IFERROR(__xludf.DUMMYFUNCTION("""COMPUTED_VALUE"""),"T10")</f>
        <v>T10</v>
      </c>
      <c r="O823" s="97">
        <f ca="1">IFERROR(__xludf.DUMMYFUNCTION("""COMPUTED_VALUE"""),44586)</f>
        <v>44586</v>
      </c>
      <c r="P823" s="6" t="str">
        <f ca="1">IFERROR(__xludf.DUMMYFUNCTION("""COMPUTED_VALUE"""),"CSTM_H1NX9WWA6RH")</f>
        <v>CSTM_H1NX9WWA6RH</v>
      </c>
      <c r="Q823" s="6"/>
      <c r="R823" s="6" t="str">
        <f ca="1">IFERROR(__xludf.DUMMYFUNCTION("""COMPUTED_VALUE"""),"Pending")</f>
        <v>Pending</v>
      </c>
      <c r="S823" s="6" t="str">
        <f ca="1">IFERROR(__xludf.DUMMYFUNCTION("""COMPUTED_VALUE"""),"Category")</f>
        <v>Category</v>
      </c>
      <c r="T823" s="6"/>
      <c r="U823" s="6"/>
      <c r="V823" s="6"/>
      <c r="W823" s="6"/>
      <c r="X823" s="6"/>
      <c r="Y823" s="6"/>
      <c r="Z823" s="6"/>
      <c r="AA823" s="6"/>
      <c r="AB823" s="6"/>
      <c r="AC823" s="6"/>
      <c r="AD823" s="6"/>
      <c r="AE823" s="6"/>
      <c r="AF823" s="6"/>
      <c r="AG823" s="6"/>
      <c r="AH823" s="6"/>
      <c r="AI823" s="6"/>
      <c r="AJ823" s="6"/>
      <c r="AK823" s="6"/>
      <c r="AL823" s="6"/>
    </row>
    <row r="824" spans="1:38">
      <c r="A824" s="96">
        <f ca="1">IFERROR(__xludf.DUMMYFUNCTION("""COMPUTED_VALUE"""),44586)</f>
        <v>44586</v>
      </c>
      <c r="B824" s="6" t="str">
        <f ca="1">IFERROR(__xludf.DUMMYFUNCTION("""COMPUTED_VALUE"""),"Ketki Sharma")</f>
        <v>Ketki Sharma</v>
      </c>
      <c r="C824" s="6" t="str">
        <f ca="1">IFERROR(__xludf.DUMMYFUNCTION("""COMPUTED_VALUE"""),"ketkisharma04@hotmail.com")</f>
        <v>ketkisharma04@hotmail.com</v>
      </c>
      <c r="D824" s="6">
        <f ca="1">IFERROR(__xludf.DUMMYFUNCTION("""COMPUTED_VALUE"""),9560269996)</f>
        <v>9560269996</v>
      </c>
      <c r="E824" s="6" t="str">
        <f ca="1">IFERROR(__xludf.DUMMYFUNCTION("""COMPUTED_VALUE"""),"Reference")</f>
        <v>Reference</v>
      </c>
      <c r="F824" s="6" t="str">
        <f ca="1">IFERROR(__xludf.DUMMYFUNCTION("""COMPUTED_VALUE"""),"CSPO")</f>
        <v>CSPO</v>
      </c>
      <c r="G824" s="80">
        <f ca="1">IFERROR(__xludf.DUMMYFUNCTION("""COMPUTED_VALUE"""),44562)</f>
        <v>44562</v>
      </c>
      <c r="H824" s="6" t="str">
        <f ca="1">IFERROR(__xludf.DUMMYFUNCTION("""COMPUTED_VALUE"""),"Won")</f>
        <v>Won</v>
      </c>
      <c r="I824" s="6" t="str">
        <f ca="1">IFERROR(__xludf.DUMMYFUNCTION("""COMPUTED_VALUE"""),"27-28 Jan 2022")</f>
        <v>27-28 Jan 2022</v>
      </c>
      <c r="J824" s="6">
        <f ca="1">IFERROR(__xludf.DUMMYFUNCTION("""COMPUTED_VALUE"""),1)</f>
        <v>1</v>
      </c>
      <c r="K824" s="8">
        <f ca="1">IFERROR(__xludf.DUMMYFUNCTION("""COMPUTED_VALUE"""),20000)</f>
        <v>20000</v>
      </c>
      <c r="L824" s="8">
        <f ca="1">IFERROR(__xludf.DUMMYFUNCTION("""COMPUTED_VALUE"""),229.042601923957)</f>
        <v>229.04260192395699</v>
      </c>
      <c r="M824" s="96">
        <f ca="1">IFERROR(__xludf.DUMMYFUNCTION("""COMPUTED_VALUE"""),44586)</f>
        <v>44586</v>
      </c>
      <c r="N824" s="6" t="str">
        <f ca="1">IFERROR(__xludf.DUMMYFUNCTION("""COMPUTED_VALUE"""),"T10")</f>
        <v>T10</v>
      </c>
      <c r="O824" s="97">
        <f ca="1">IFERROR(__xludf.DUMMYFUNCTION("""COMPUTED_VALUE"""),44586)</f>
        <v>44586</v>
      </c>
      <c r="P824" s="6" t="str">
        <f ca="1">IFERROR(__xludf.DUMMYFUNCTION("""COMPUTED_VALUE"""),"CSTM_7W9K9K60YB4")</f>
        <v>CSTM_7W9K9K60YB4</v>
      </c>
      <c r="Q824" s="6" t="str">
        <f ca="1">IFERROR(__xludf.DUMMYFUNCTION("""COMPUTED_VALUE"""),"Aurko - Done")</f>
        <v>Aurko - Done</v>
      </c>
      <c r="R824" s="6" t="str">
        <f ca="1">IFERROR(__xludf.DUMMYFUNCTION("""COMPUTED_VALUE"""),"Pending")</f>
        <v>Pending</v>
      </c>
      <c r="S824" s="6" t="str">
        <f ca="1">IFERROR(__xludf.DUMMYFUNCTION("""COMPUTED_VALUE"""),"Category")</f>
        <v>Category</v>
      </c>
      <c r="T824" s="6" t="str">
        <f ca="1">IFERROR(__xludf.DUMMYFUNCTION("""COMPUTED_VALUE"""),"Done")</f>
        <v>Done</v>
      </c>
      <c r="U824" s="6"/>
      <c r="V824" s="6"/>
      <c r="W824" s="6"/>
      <c r="X824" s="6"/>
      <c r="Y824" s="6"/>
      <c r="Z824" s="6"/>
      <c r="AA824" s="6"/>
      <c r="AB824" s="6"/>
      <c r="AC824" s="6"/>
      <c r="AD824" s="6"/>
      <c r="AE824" s="6"/>
      <c r="AF824" s="6"/>
      <c r="AG824" s="6"/>
      <c r="AH824" s="6"/>
      <c r="AI824" s="6"/>
      <c r="AJ824" s="6"/>
      <c r="AK824" s="6"/>
      <c r="AL824" s="6"/>
    </row>
    <row r="825" spans="1:38">
      <c r="A825" s="96">
        <f ca="1">IFERROR(__xludf.DUMMYFUNCTION("""COMPUTED_VALUE"""),44586)</f>
        <v>44586</v>
      </c>
      <c r="B825" s="6" t="str">
        <f ca="1">IFERROR(__xludf.DUMMYFUNCTION("""COMPUTED_VALUE"""),"Upma Bhatnagar")</f>
        <v>Upma Bhatnagar</v>
      </c>
      <c r="C825" s="6" t="str">
        <f ca="1">IFERROR(__xludf.DUMMYFUNCTION("""COMPUTED_VALUE"""),"upma.bhatnagar10@gmail.com")</f>
        <v>upma.bhatnagar10@gmail.com</v>
      </c>
      <c r="D825" s="6">
        <f ca="1">IFERROR(__xludf.DUMMYFUNCTION("""COMPUTED_VALUE"""),9780879759)</f>
        <v>9780879759</v>
      </c>
      <c r="E825" s="6" t="str">
        <f ca="1">IFERROR(__xludf.DUMMYFUNCTION("""COMPUTED_VALUE"""),"Chat_triggered")</f>
        <v>Chat_triggered</v>
      </c>
      <c r="F825" s="6" t="str">
        <f ca="1">IFERROR(__xludf.DUMMYFUNCTION("""COMPUTED_VALUE"""),"PSM")</f>
        <v>PSM</v>
      </c>
      <c r="G825" s="80">
        <f ca="1">IFERROR(__xludf.DUMMYFUNCTION("""COMPUTED_VALUE"""),44562)</f>
        <v>44562</v>
      </c>
      <c r="H825" s="6" t="str">
        <f ca="1">IFERROR(__xludf.DUMMYFUNCTION("""COMPUTED_VALUE"""),"Won")</f>
        <v>Won</v>
      </c>
      <c r="I825" s="6" t="str">
        <f ca="1">IFERROR(__xludf.DUMMYFUNCTION("""COMPUTED_VALUE"""),"5-6 Feb 2022")</f>
        <v>5-6 Feb 2022</v>
      </c>
      <c r="J825" s="6">
        <f ca="1">IFERROR(__xludf.DUMMYFUNCTION("""COMPUTED_VALUE"""),1)</f>
        <v>1</v>
      </c>
      <c r="K825" s="8">
        <f ca="1">IFERROR(__xludf.DUMMYFUNCTION("""COMPUTED_VALUE"""),21000)</f>
        <v>21000</v>
      </c>
      <c r="L825" s="8">
        <f ca="1">IFERROR(__xludf.DUMMYFUNCTION("""COMPUTED_VALUE"""),240.494732020155)</f>
        <v>240.494732020155</v>
      </c>
      <c r="M825" s="96">
        <f ca="1">IFERROR(__xludf.DUMMYFUNCTION("""COMPUTED_VALUE"""),44586)</f>
        <v>44586</v>
      </c>
      <c r="N825" s="6" t="str">
        <f ca="1">IFERROR(__xludf.DUMMYFUNCTION("""COMPUTED_VALUE"""),"T10")</f>
        <v>T10</v>
      </c>
      <c r="O825" s="97">
        <f ca="1">IFERROR(__xludf.DUMMYFUNCTION("""COMPUTED_VALUE"""),44589)</f>
        <v>44589</v>
      </c>
      <c r="P825" s="6" t="str">
        <f ca="1">IFERROR(__xludf.DUMMYFUNCTION("""COMPUTED_VALUE"""),"CSTM_EETRJXYR8TW")</f>
        <v>CSTM_EETRJXYR8TW</v>
      </c>
      <c r="Q825" s="6"/>
      <c r="R825" s="6" t="str">
        <f ca="1">IFERROR(__xludf.DUMMYFUNCTION("""COMPUTED_VALUE"""),"Pending")</f>
        <v>Pending</v>
      </c>
      <c r="S825" s="6" t="str">
        <f ca="1">IFERROR(__xludf.DUMMYFUNCTION("""COMPUTED_VALUE"""),"Category")</f>
        <v>Category</v>
      </c>
      <c r="T825" s="6"/>
      <c r="U825" s="6"/>
      <c r="V825" s="6"/>
      <c r="W825" s="6"/>
      <c r="X825" s="6"/>
      <c r="Y825" s="6"/>
      <c r="Z825" s="6"/>
      <c r="AA825" s="6"/>
      <c r="AB825" s="6"/>
      <c r="AC825" s="6"/>
      <c r="AD825" s="6"/>
      <c r="AE825" s="6"/>
      <c r="AF825" s="6"/>
      <c r="AG825" s="6"/>
      <c r="AH825" s="6"/>
      <c r="AI825" s="6"/>
      <c r="AJ825" s="6"/>
      <c r="AK825" s="6"/>
      <c r="AL825" s="6"/>
    </row>
    <row r="826" spans="1:38">
      <c r="A826" s="96">
        <f ca="1">IFERROR(__xludf.DUMMYFUNCTION("""COMPUTED_VALUE"""),44588)</f>
        <v>44588</v>
      </c>
      <c r="B826" s="6" t="str">
        <f ca="1">IFERROR(__xludf.DUMMYFUNCTION("""COMPUTED_VALUE"""),"Sreejesh")</f>
        <v>Sreejesh</v>
      </c>
      <c r="C826" s="6" t="str">
        <f ca="1">IFERROR(__xludf.DUMMYFUNCTION("""COMPUTED_VALUE"""),"sreejeshkiyer@gmail.com")</f>
        <v>sreejeshkiyer@gmail.com</v>
      </c>
      <c r="D826" s="6">
        <f ca="1">IFERROR(__xludf.DUMMYFUNCTION("""COMPUTED_VALUE"""),9847737844)</f>
        <v>9847737844</v>
      </c>
      <c r="E826" s="6" t="str">
        <f ca="1">IFERROR(__xludf.DUMMYFUNCTION("""COMPUTED_VALUE"""),"Chat_triggered")</f>
        <v>Chat_triggered</v>
      </c>
      <c r="F826" s="6" t="str">
        <f ca="1">IFERROR(__xludf.DUMMYFUNCTION("""COMPUTED_VALUE"""),"SAFe SSM")</f>
        <v>SAFe SSM</v>
      </c>
      <c r="G826" s="80">
        <f ca="1">IFERROR(__xludf.DUMMYFUNCTION("""COMPUTED_VALUE"""),44562)</f>
        <v>44562</v>
      </c>
      <c r="H826" s="6" t="str">
        <f ca="1">IFERROR(__xludf.DUMMYFUNCTION("""COMPUTED_VALUE"""),"Won")</f>
        <v>Won</v>
      </c>
      <c r="I826" s="6" t="str">
        <f ca="1">IFERROR(__xludf.DUMMYFUNCTION("""COMPUTED_VALUE"""),"29-30 Jan 2022")</f>
        <v>29-30 Jan 2022</v>
      </c>
      <c r="J826" s="6">
        <f ca="1">IFERROR(__xludf.DUMMYFUNCTION("""COMPUTED_VALUE"""),1)</f>
        <v>1</v>
      </c>
      <c r="K826" s="8">
        <f ca="1">IFERROR(__xludf.DUMMYFUNCTION("""COMPUTED_VALUE"""),40000)</f>
        <v>40000</v>
      </c>
      <c r="L826" s="8">
        <f ca="1">IFERROR(__xludf.DUMMYFUNCTION("""COMPUTED_VALUE"""),458.085203847915)</f>
        <v>458.08520384791501</v>
      </c>
      <c r="M826" s="96">
        <f ca="1">IFERROR(__xludf.DUMMYFUNCTION("""COMPUTED_VALUE"""),44588)</f>
        <v>44588</v>
      </c>
      <c r="N826" s="6" t="str">
        <f ca="1">IFERROR(__xludf.DUMMYFUNCTION("""COMPUTED_VALUE"""),"T10")</f>
        <v>T10</v>
      </c>
      <c r="O826" s="97">
        <f ca="1">IFERROR(__xludf.DUMMYFUNCTION("""COMPUTED_VALUE"""),44588)</f>
        <v>44588</v>
      </c>
      <c r="P826" s="6" t="str">
        <f ca="1">IFERROR(__xludf.DUMMYFUNCTION("""COMPUTED_VALUE"""),"CSTM_7AV1FOSSMH9")</f>
        <v>CSTM_7AV1FOSSMH9</v>
      </c>
      <c r="Q826" s="6"/>
      <c r="R826" s="6" t="str">
        <f ca="1">IFERROR(__xludf.DUMMYFUNCTION("""COMPUTED_VALUE"""),"Pending")</f>
        <v>Pending</v>
      </c>
      <c r="S826" s="6" t="str">
        <f ca="1">IFERROR(__xludf.DUMMYFUNCTION("""COMPUTED_VALUE"""),"SAFe")</f>
        <v>SAFe</v>
      </c>
      <c r="T826" s="6"/>
      <c r="U826" s="6"/>
      <c r="V826" s="6"/>
      <c r="W826" s="6"/>
      <c r="X826" s="6"/>
      <c r="Y826" s="6"/>
      <c r="Z826" s="6"/>
      <c r="AA826" s="6"/>
      <c r="AB826" s="6"/>
      <c r="AC826" s="6"/>
      <c r="AD826" s="6"/>
      <c r="AE826" s="6"/>
      <c r="AF826" s="6"/>
      <c r="AG826" s="6"/>
      <c r="AH826" s="6"/>
      <c r="AI826" s="6"/>
      <c r="AJ826" s="6"/>
      <c r="AK826" s="6"/>
      <c r="AL826" s="6"/>
    </row>
    <row r="827" spans="1:38">
      <c r="A827" s="96">
        <f ca="1">IFERROR(__xludf.DUMMYFUNCTION("""COMPUTED_VALUE"""),44588)</f>
        <v>44588</v>
      </c>
      <c r="B827" s="6" t="str">
        <f ca="1">IFERROR(__xludf.DUMMYFUNCTION("""COMPUTED_VALUE"""),"Naveen")</f>
        <v>Naveen</v>
      </c>
      <c r="C827" s="6" t="str">
        <f ca="1">IFERROR(__xludf.DUMMYFUNCTION("""COMPUTED_VALUE"""),"naveen931@gmail.com")</f>
        <v>naveen931@gmail.com</v>
      </c>
      <c r="D827" s="6">
        <f ca="1">IFERROR(__xludf.DUMMYFUNCTION("""COMPUTED_VALUE"""),9885673211)</f>
        <v>9885673211</v>
      </c>
      <c r="E827" s="6" t="str">
        <f ca="1">IFERROR(__xludf.DUMMYFUNCTION("""COMPUTED_VALUE"""),"chat_initiated")</f>
        <v>chat_initiated</v>
      </c>
      <c r="F827" s="6" t="str">
        <f ca="1">IFERROR(__xludf.DUMMYFUNCTION("""COMPUTED_VALUE"""),"SAFe Agile")</f>
        <v>SAFe Agile</v>
      </c>
      <c r="G827" s="80">
        <f ca="1">IFERROR(__xludf.DUMMYFUNCTION("""COMPUTED_VALUE"""),44562)</f>
        <v>44562</v>
      </c>
      <c r="H827" s="6" t="str">
        <f ca="1">IFERROR(__xludf.DUMMYFUNCTION("""COMPUTED_VALUE"""),"Won")</f>
        <v>Won</v>
      </c>
      <c r="I827" s="6" t="str">
        <f ca="1">IFERROR(__xludf.DUMMYFUNCTION("""COMPUTED_VALUE"""),"29-30 Jan 2022")</f>
        <v>29-30 Jan 2022</v>
      </c>
      <c r="J827" s="6">
        <f ca="1">IFERROR(__xludf.DUMMYFUNCTION("""COMPUTED_VALUE"""),1)</f>
        <v>1</v>
      </c>
      <c r="K827" s="8">
        <f ca="1">IFERROR(__xludf.DUMMYFUNCTION("""COMPUTED_VALUE"""),40000)</f>
        <v>40000</v>
      </c>
      <c r="L827" s="8">
        <f ca="1">IFERROR(__xludf.DUMMYFUNCTION("""COMPUTED_VALUE"""),458.085203847915)</f>
        <v>458.08520384791501</v>
      </c>
      <c r="M827" s="96">
        <f ca="1">IFERROR(__xludf.DUMMYFUNCTION("""COMPUTED_VALUE"""),44588)</f>
        <v>44588</v>
      </c>
      <c r="N827" s="6" t="str">
        <f ca="1">IFERROR(__xludf.DUMMYFUNCTION("""COMPUTED_VALUE"""),"T10")</f>
        <v>T10</v>
      </c>
      <c r="O827" s="97">
        <f ca="1">IFERROR(__xludf.DUMMYFUNCTION("""COMPUTED_VALUE"""),44588)</f>
        <v>44588</v>
      </c>
      <c r="P827" s="6" t="str">
        <f ca="1">IFERROR(__xludf.DUMMYFUNCTION("""COMPUTED_VALUE"""),"CSTM_AQESVTDMXYU")</f>
        <v>CSTM_AQESVTDMXYU</v>
      </c>
      <c r="Q827" s="6"/>
      <c r="R827" s="6" t="str">
        <f ca="1">IFERROR(__xludf.DUMMYFUNCTION("""COMPUTED_VALUE"""),"Pending")</f>
        <v>Pending</v>
      </c>
      <c r="S827" s="6" t="str">
        <f ca="1">IFERROR(__xludf.DUMMYFUNCTION("""COMPUTED_VALUE"""),"SAFe")</f>
        <v>SAFe</v>
      </c>
      <c r="T827" s="6"/>
      <c r="U827" s="6"/>
      <c r="V827" s="6"/>
      <c r="W827" s="6"/>
      <c r="X827" s="6"/>
      <c r="Y827" s="6"/>
      <c r="Z827" s="6"/>
      <c r="AA827" s="6"/>
      <c r="AB827" s="6"/>
      <c r="AC827" s="6"/>
      <c r="AD827" s="6"/>
      <c r="AE827" s="6"/>
      <c r="AF827" s="6"/>
      <c r="AG827" s="6"/>
      <c r="AH827" s="6"/>
      <c r="AI827" s="6"/>
      <c r="AJ827" s="6"/>
      <c r="AK827" s="6"/>
      <c r="AL827" s="6"/>
    </row>
    <row r="828" spans="1:38">
      <c r="A828" s="96">
        <f ca="1">IFERROR(__xludf.DUMMYFUNCTION("""COMPUTED_VALUE"""),44582)</f>
        <v>44582</v>
      </c>
      <c r="B828" s="6" t="str">
        <f ca="1">IFERROR(__xludf.DUMMYFUNCTION("""COMPUTED_VALUE"""),"Subham")</f>
        <v>Subham</v>
      </c>
      <c r="C828" s="6" t="str">
        <f ca="1">IFERROR(__xludf.DUMMYFUNCTION("""COMPUTED_VALUE"""),"subham.bandyopadhyay@tcs.com")</f>
        <v>subham.bandyopadhyay@tcs.com</v>
      </c>
      <c r="D828" s="6">
        <f ca="1">IFERROR(__xludf.DUMMYFUNCTION("""COMPUTED_VALUE"""),9230049620)</f>
        <v>9230049620</v>
      </c>
      <c r="E828" s="6" t="str">
        <f ca="1">IFERROR(__xludf.DUMMYFUNCTION("""COMPUTED_VALUE"""),"Query box")</f>
        <v>Query box</v>
      </c>
      <c r="F828" s="6" t="str">
        <f ca="1">IFERROR(__xludf.DUMMYFUNCTION("""COMPUTED_VALUE"""),"SAFe Agile")</f>
        <v>SAFe Agile</v>
      </c>
      <c r="G828" s="80">
        <f ca="1">IFERROR(__xludf.DUMMYFUNCTION("""COMPUTED_VALUE"""),44562)</f>
        <v>44562</v>
      </c>
      <c r="H828" s="6" t="str">
        <f ca="1">IFERROR(__xludf.DUMMYFUNCTION("""COMPUTED_VALUE"""),"Won")</f>
        <v>Won</v>
      </c>
      <c r="I828" s="6" t="str">
        <f ca="1">IFERROR(__xludf.DUMMYFUNCTION("""COMPUTED_VALUE"""),"5-6 Feb 2022")</f>
        <v>5-6 Feb 2022</v>
      </c>
      <c r="J828" s="6">
        <f ca="1">IFERROR(__xludf.DUMMYFUNCTION("""COMPUTED_VALUE"""),1)</f>
        <v>1</v>
      </c>
      <c r="K828" s="8">
        <f ca="1">IFERROR(__xludf.DUMMYFUNCTION("""COMPUTED_VALUE"""),53100)</f>
        <v>53100</v>
      </c>
      <c r="L828" s="8">
        <f ca="1">IFERROR(__xludf.DUMMYFUNCTION("""COMPUTED_VALUE"""),608.108108108108)</f>
        <v>608.10810810810801</v>
      </c>
      <c r="M828" s="96">
        <f ca="1">IFERROR(__xludf.DUMMYFUNCTION("""COMPUTED_VALUE"""),44582)</f>
        <v>44582</v>
      </c>
      <c r="N828" s="6" t="str">
        <f ca="1">IFERROR(__xludf.DUMMYFUNCTION("""COMPUTED_VALUE"""),"T10")</f>
        <v>T10</v>
      </c>
      <c r="O828" s="97">
        <f ca="1">IFERROR(__xludf.DUMMYFUNCTION("""COMPUTED_VALUE"""),44582)</f>
        <v>44582</v>
      </c>
      <c r="P828" s="6" t="str">
        <f ca="1">IFERROR(__xludf.DUMMYFUNCTION("""COMPUTED_VALUE"""),"SMPL_HZ50HWXIQ8V")</f>
        <v>SMPL_HZ50HWXIQ8V</v>
      </c>
      <c r="Q828" s="6"/>
      <c r="R828" s="6" t="str">
        <f ca="1">IFERROR(__xludf.DUMMYFUNCTION("""COMPUTED_VALUE"""),"Pending")</f>
        <v>Pending</v>
      </c>
      <c r="S828" s="6" t="str">
        <f ca="1">IFERROR(__xludf.DUMMYFUNCTION("""COMPUTED_VALUE"""),"SAFe")</f>
        <v>SAFe</v>
      </c>
      <c r="T828" s="6"/>
      <c r="U828" s="6"/>
      <c r="V828" s="6"/>
      <c r="W828" s="6"/>
      <c r="X828" s="6"/>
      <c r="Y828" s="6"/>
      <c r="Z828" s="6"/>
      <c r="AA828" s="6"/>
      <c r="AB828" s="6"/>
      <c r="AC828" s="6"/>
      <c r="AD828" s="6"/>
      <c r="AE828" s="6"/>
      <c r="AF828" s="6"/>
      <c r="AG828" s="6"/>
      <c r="AH828" s="6"/>
      <c r="AI828" s="6"/>
      <c r="AJ828" s="6"/>
      <c r="AK828" s="6"/>
      <c r="AL828" s="6"/>
    </row>
    <row r="829" spans="1:38">
      <c r="A829" s="96">
        <f ca="1">IFERROR(__xludf.DUMMYFUNCTION("""COMPUTED_VALUE"""),44589)</f>
        <v>44589</v>
      </c>
      <c r="B829" s="6" t="str">
        <f ca="1">IFERROR(__xludf.DUMMYFUNCTION("""COMPUTED_VALUE"""),"Renjith Paul")</f>
        <v>Renjith Paul</v>
      </c>
      <c r="C829" s="6" t="str">
        <f ca="1">IFERROR(__xludf.DUMMYFUNCTION("""COMPUTED_VALUE"""),"pault.renjith@gmail.com")</f>
        <v>pault.renjith@gmail.com</v>
      </c>
      <c r="D829" s="6">
        <f ca="1">IFERROR(__xludf.DUMMYFUNCTION("""COMPUTED_VALUE"""),8951723484)</f>
        <v>8951723484</v>
      </c>
      <c r="E829" s="6" t="str">
        <f ca="1">IFERROR(__xludf.DUMMYFUNCTION("""COMPUTED_VALUE"""),"Tollfree")</f>
        <v>Tollfree</v>
      </c>
      <c r="F829" s="6" t="str">
        <f ca="1">IFERROR(__xludf.DUMMYFUNCTION("""COMPUTED_VALUE"""),"SAFe Agile")</f>
        <v>SAFe Agile</v>
      </c>
      <c r="G829" s="80">
        <f ca="1">IFERROR(__xludf.DUMMYFUNCTION("""COMPUTED_VALUE"""),44562)</f>
        <v>44562</v>
      </c>
      <c r="H829" s="6" t="str">
        <f ca="1">IFERROR(__xludf.DUMMYFUNCTION("""COMPUTED_VALUE"""),"Won")</f>
        <v>Won</v>
      </c>
      <c r="I829" s="6" t="str">
        <f ca="1">IFERROR(__xludf.DUMMYFUNCTION("""COMPUTED_VALUE"""),"5-6 Feb 2022")</f>
        <v>5-6 Feb 2022</v>
      </c>
      <c r="J829" s="6">
        <f ca="1">IFERROR(__xludf.DUMMYFUNCTION("""COMPUTED_VALUE"""),1)</f>
        <v>1</v>
      </c>
      <c r="K829" s="8">
        <f ca="1">IFERROR(__xludf.DUMMYFUNCTION("""COMPUTED_VALUE"""),42000)</f>
        <v>42000</v>
      </c>
      <c r="L829" s="8">
        <f ca="1">IFERROR(__xludf.DUMMYFUNCTION("""COMPUTED_VALUE"""),480.989464040311)</f>
        <v>480.98946404031102</v>
      </c>
      <c r="M829" s="96">
        <f ca="1">IFERROR(__xludf.DUMMYFUNCTION("""COMPUTED_VALUE"""),44589)</f>
        <v>44589</v>
      </c>
      <c r="N829" s="6" t="str">
        <f ca="1">IFERROR(__xludf.DUMMYFUNCTION("""COMPUTED_VALUE"""),"T10")</f>
        <v>T10</v>
      </c>
      <c r="O829" s="97">
        <f ca="1">IFERROR(__xludf.DUMMYFUNCTION("""COMPUTED_VALUE"""),44589)</f>
        <v>44589</v>
      </c>
      <c r="P829" s="6" t="str">
        <f ca="1">IFERROR(__xludf.DUMMYFUNCTION("""COMPUTED_VALUE"""),"CSTM_5FBFAPE3DIK")</f>
        <v>CSTM_5FBFAPE3DIK</v>
      </c>
      <c r="Q829" s="6"/>
      <c r="R829" s="6" t="str">
        <f ca="1">IFERROR(__xludf.DUMMYFUNCTION("""COMPUTED_VALUE"""),"Pending")</f>
        <v>Pending</v>
      </c>
      <c r="S829" s="6" t="str">
        <f ca="1">IFERROR(__xludf.DUMMYFUNCTION("""COMPUTED_VALUE"""),"SAFe")</f>
        <v>SAFe</v>
      </c>
      <c r="T829" s="6"/>
      <c r="U829" s="6"/>
      <c r="V829" s="6"/>
      <c r="W829" s="6"/>
      <c r="X829" s="6"/>
      <c r="Y829" s="6"/>
      <c r="Z829" s="6"/>
      <c r="AA829" s="6"/>
      <c r="AB829" s="6"/>
      <c r="AC829" s="6"/>
      <c r="AD829" s="6"/>
      <c r="AE829" s="6"/>
      <c r="AF829" s="6"/>
      <c r="AG829" s="6"/>
      <c r="AH829" s="6"/>
      <c r="AI829" s="6"/>
      <c r="AJ829" s="6"/>
      <c r="AK829" s="6"/>
      <c r="AL829" s="6"/>
    </row>
    <row r="830" spans="1:38">
      <c r="A830" s="96">
        <f ca="1">IFERROR(__xludf.DUMMYFUNCTION("""COMPUTED_VALUE"""),44589)</f>
        <v>44589</v>
      </c>
      <c r="B830" s="6" t="str">
        <f ca="1">IFERROR(__xludf.DUMMYFUNCTION("""COMPUTED_VALUE"""),"Nahush Dalvi")</f>
        <v>Nahush Dalvi</v>
      </c>
      <c r="C830" s="6" t="str">
        <f ca="1">IFERROR(__xludf.DUMMYFUNCTION("""COMPUTED_VALUE"""),"nahushdalvi@gmail.com")</f>
        <v>nahushdalvi@gmail.com</v>
      </c>
      <c r="D830" s="6">
        <f ca="1">IFERROR(__xludf.DUMMYFUNCTION("""COMPUTED_VALUE"""),9284472891)</f>
        <v>9284472891</v>
      </c>
      <c r="E830" s="6" t="str">
        <f ca="1">IFERROR(__xludf.DUMMYFUNCTION("""COMPUTED_VALUE"""),"Tollfree")</f>
        <v>Tollfree</v>
      </c>
      <c r="F830" s="6" t="str">
        <f ca="1">IFERROR(__xludf.DUMMYFUNCTION("""COMPUTED_VALUE"""),"SAFe SSM")</f>
        <v>SAFe SSM</v>
      </c>
      <c r="G830" s="80">
        <f ca="1">IFERROR(__xludf.DUMMYFUNCTION("""COMPUTED_VALUE"""),44562)</f>
        <v>44562</v>
      </c>
      <c r="H830" s="6" t="str">
        <f ca="1">IFERROR(__xludf.DUMMYFUNCTION("""COMPUTED_VALUE"""),"Won")</f>
        <v>Won</v>
      </c>
      <c r="I830" s="6" t="str">
        <f ca="1">IFERROR(__xludf.DUMMYFUNCTION("""COMPUTED_VALUE"""),"29-30 Jan 2022")</f>
        <v>29-30 Jan 2022</v>
      </c>
      <c r="J830" s="6">
        <f ca="1">IFERROR(__xludf.DUMMYFUNCTION("""COMPUTED_VALUE"""),1)</f>
        <v>1</v>
      </c>
      <c r="K830" s="8">
        <f ca="1">IFERROR(__xludf.DUMMYFUNCTION("""COMPUTED_VALUE"""),42000)</f>
        <v>42000</v>
      </c>
      <c r="L830" s="8">
        <f ca="1">IFERROR(__xludf.DUMMYFUNCTION("""COMPUTED_VALUE"""),480.989464040311)</f>
        <v>480.98946404031102</v>
      </c>
      <c r="M830" s="96">
        <f ca="1">IFERROR(__xludf.DUMMYFUNCTION("""COMPUTED_VALUE"""),44589)</f>
        <v>44589</v>
      </c>
      <c r="N830" s="6" t="str">
        <f ca="1">IFERROR(__xludf.DUMMYFUNCTION("""COMPUTED_VALUE"""),"T10")</f>
        <v>T10</v>
      </c>
      <c r="O830" s="97">
        <f ca="1">IFERROR(__xludf.DUMMYFUNCTION("""COMPUTED_VALUE"""),44589)</f>
        <v>44589</v>
      </c>
      <c r="P830" s="6" t="str">
        <f ca="1">IFERROR(__xludf.DUMMYFUNCTION("""COMPUTED_VALUE"""),"CSTM_7T9ZTJ973XH")</f>
        <v>CSTM_7T9ZTJ973XH</v>
      </c>
      <c r="Q830" s="6"/>
      <c r="R830" s="6" t="str">
        <f ca="1">IFERROR(__xludf.DUMMYFUNCTION("""COMPUTED_VALUE"""),"Pending")</f>
        <v>Pending</v>
      </c>
      <c r="S830" s="6" t="str">
        <f ca="1">IFERROR(__xludf.DUMMYFUNCTION("""COMPUTED_VALUE"""),"SAFe")</f>
        <v>SAFe</v>
      </c>
      <c r="T830" s="6"/>
      <c r="U830" s="6"/>
      <c r="V830" s="6"/>
      <c r="W830" s="6"/>
      <c r="X830" s="6"/>
      <c r="Y830" s="6"/>
      <c r="Z830" s="6"/>
      <c r="AA830" s="6"/>
      <c r="AB830" s="6"/>
      <c r="AC830" s="6"/>
      <c r="AD830" s="6"/>
      <c r="AE830" s="6"/>
      <c r="AF830" s="6"/>
      <c r="AG830" s="6"/>
      <c r="AH830" s="6"/>
      <c r="AI830" s="6"/>
      <c r="AJ830" s="6"/>
      <c r="AK830" s="6"/>
      <c r="AL830" s="6"/>
    </row>
    <row r="831" spans="1:38">
      <c r="A831" s="96">
        <f ca="1">IFERROR(__xludf.DUMMYFUNCTION("""COMPUTED_VALUE"""),44589)</f>
        <v>44589</v>
      </c>
      <c r="B831" s="6" t="str">
        <f ca="1">IFERROR(__xludf.DUMMYFUNCTION("""COMPUTED_VALUE"""),"Trupti")</f>
        <v>Trupti</v>
      </c>
      <c r="C831" s="6" t="str">
        <f ca="1">IFERROR(__xludf.DUMMYFUNCTION("""COMPUTED_VALUE"""),"trups_kapadia@hotmail.com")</f>
        <v>trups_kapadia@hotmail.com</v>
      </c>
      <c r="D831" s="6">
        <f ca="1">IFERROR(__xludf.DUMMYFUNCTION("""COMPUTED_VALUE"""),9819126891)</f>
        <v>9819126891</v>
      </c>
      <c r="E831" s="6" t="str">
        <f ca="1">IFERROR(__xludf.DUMMYFUNCTION("""COMPUTED_VALUE"""),"Chat_triggered")</f>
        <v>Chat_triggered</v>
      </c>
      <c r="F831" s="6" t="str">
        <f ca="1">IFERROR(__xludf.DUMMYFUNCTION("""COMPUTED_VALUE"""),"SAFe Agile")</f>
        <v>SAFe Agile</v>
      </c>
      <c r="G831" s="80">
        <f ca="1">IFERROR(__xludf.DUMMYFUNCTION("""COMPUTED_VALUE"""),44562)</f>
        <v>44562</v>
      </c>
      <c r="H831" s="6" t="str">
        <f ca="1">IFERROR(__xludf.DUMMYFUNCTION("""COMPUTED_VALUE"""),"Won")</f>
        <v>Won</v>
      </c>
      <c r="I831" s="6" t="str">
        <f ca="1">IFERROR(__xludf.DUMMYFUNCTION("""COMPUTED_VALUE"""),"29-30 Jan 2022")</f>
        <v>29-30 Jan 2022</v>
      </c>
      <c r="J831" s="6">
        <f ca="1">IFERROR(__xludf.DUMMYFUNCTION("""COMPUTED_VALUE"""),1)</f>
        <v>1</v>
      </c>
      <c r="K831" s="8">
        <f ca="1">IFERROR(__xludf.DUMMYFUNCTION("""COMPUTED_VALUE"""),40000)</f>
        <v>40000</v>
      </c>
      <c r="L831" s="8">
        <f ca="1">IFERROR(__xludf.DUMMYFUNCTION("""COMPUTED_VALUE"""),458.085203847915)</f>
        <v>458.08520384791501</v>
      </c>
      <c r="M831" s="96">
        <f ca="1">IFERROR(__xludf.DUMMYFUNCTION("""COMPUTED_VALUE"""),44589)</f>
        <v>44589</v>
      </c>
      <c r="N831" s="6" t="str">
        <f ca="1">IFERROR(__xludf.DUMMYFUNCTION("""COMPUTED_VALUE"""),"T10")</f>
        <v>T10</v>
      </c>
      <c r="O831" s="97">
        <f ca="1">IFERROR(__xludf.DUMMYFUNCTION("""COMPUTED_VALUE"""),44589)</f>
        <v>44589</v>
      </c>
      <c r="P831" s="6" t="str">
        <f ca="1">IFERROR(__xludf.DUMMYFUNCTION("""COMPUTED_VALUE"""),"CSTM_CKG8QP1N9V5")</f>
        <v>CSTM_CKG8QP1N9V5</v>
      </c>
      <c r="Q831" s="6"/>
      <c r="R831" s="6" t="str">
        <f ca="1">IFERROR(__xludf.DUMMYFUNCTION("""COMPUTED_VALUE"""),"Pending")</f>
        <v>Pending</v>
      </c>
      <c r="S831" s="6" t="str">
        <f ca="1">IFERROR(__xludf.DUMMYFUNCTION("""COMPUTED_VALUE"""),"SAFe")</f>
        <v>SAFe</v>
      </c>
      <c r="T831" s="6"/>
      <c r="U831" s="6"/>
      <c r="V831" s="6"/>
      <c r="W831" s="6"/>
      <c r="X831" s="6"/>
      <c r="Y831" s="6"/>
      <c r="Z831" s="6"/>
      <c r="AA831" s="6"/>
      <c r="AB831" s="6"/>
      <c r="AC831" s="6"/>
      <c r="AD831" s="6"/>
      <c r="AE831" s="6"/>
      <c r="AF831" s="6"/>
      <c r="AG831" s="6"/>
      <c r="AH831" s="6"/>
      <c r="AI831" s="6"/>
      <c r="AJ831" s="6"/>
      <c r="AK831" s="6"/>
      <c r="AL831" s="6"/>
    </row>
    <row r="832" spans="1:38">
      <c r="A832" s="96">
        <f ca="1">IFERROR(__xludf.DUMMYFUNCTION("""COMPUTED_VALUE"""),44589)</f>
        <v>44589</v>
      </c>
      <c r="B832" s="6" t="str">
        <f ca="1">IFERROR(__xludf.DUMMYFUNCTION("""COMPUTED_VALUE"""),"Vijay ")</f>
        <v xml:space="preserve">Vijay </v>
      </c>
      <c r="C832" s="6" t="str">
        <f ca="1">IFERROR(__xludf.DUMMYFUNCTION("""COMPUTED_VALUE"""),"vijaay4victory@gmail.com")</f>
        <v>vijaay4victory@gmail.com</v>
      </c>
      <c r="D832" s="6">
        <f ca="1">IFERROR(__xludf.DUMMYFUNCTION("""COMPUTED_VALUE"""),7695978955)</f>
        <v>7695978955</v>
      </c>
      <c r="E832" s="6" t="str">
        <f ca="1">IFERROR(__xludf.DUMMYFUNCTION("""COMPUTED_VALUE"""),"chat_initiated")</f>
        <v>chat_initiated</v>
      </c>
      <c r="F832" s="6" t="str">
        <f ca="1">IFERROR(__xludf.DUMMYFUNCTION("""COMPUTED_VALUE"""),"SAFe Agile")</f>
        <v>SAFe Agile</v>
      </c>
      <c r="G832" s="80">
        <f ca="1">IFERROR(__xludf.DUMMYFUNCTION("""COMPUTED_VALUE"""),44562)</f>
        <v>44562</v>
      </c>
      <c r="H832" s="6" t="str">
        <f ca="1">IFERROR(__xludf.DUMMYFUNCTION("""COMPUTED_VALUE"""),"Won")</f>
        <v>Won</v>
      </c>
      <c r="I832" s="6" t="str">
        <f ca="1">IFERROR(__xludf.DUMMYFUNCTION("""COMPUTED_VALUE"""),"29-30 Jan 2022")</f>
        <v>29-30 Jan 2022</v>
      </c>
      <c r="J832" s="6">
        <f ca="1">IFERROR(__xludf.DUMMYFUNCTION("""COMPUTED_VALUE"""),1)</f>
        <v>1</v>
      </c>
      <c r="K832" s="8">
        <f ca="1">IFERROR(__xludf.DUMMYFUNCTION("""COMPUTED_VALUE"""),42000)</f>
        <v>42000</v>
      </c>
      <c r="L832" s="8">
        <f ca="1">IFERROR(__xludf.DUMMYFUNCTION("""COMPUTED_VALUE"""),480.989464040311)</f>
        <v>480.98946404031102</v>
      </c>
      <c r="M832" s="96">
        <f ca="1">IFERROR(__xludf.DUMMYFUNCTION("""COMPUTED_VALUE"""),44589)</f>
        <v>44589</v>
      </c>
      <c r="N832" s="6" t="str">
        <f ca="1">IFERROR(__xludf.DUMMYFUNCTION("""COMPUTED_VALUE"""),"T10")</f>
        <v>T10</v>
      </c>
      <c r="O832" s="97">
        <f ca="1">IFERROR(__xludf.DUMMYFUNCTION("""COMPUTED_VALUE"""),44589)</f>
        <v>44589</v>
      </c>
      <c r="P832" s="6" t="str">
        <f ca="1">IFERROR(__xludf.DUMMYFUNCTION("""COMPUTED_VALUE"""),"CSTM_CMHLX5YDWF")</f>
        <v>CSTM_CMHLX5YDWF</v>
      </c>
      <c r="Q832" s="6"/>
      <c r="R832" s="6" t="str">
        <f ca="1">IFERROR(__xludf.DUMMYFUNCTION("""COMPUTED_VALUE"""),"Pending")</f>
        <v>Pending</v>
      </c>
      <c r="S832" s="6" t="str">
        <f ca="1">IFERROR(__xludf.DUMMYFUNCTION("""COMPUTED_VALUE"""),"SAFe")</f>
        <v>SAFe</v>
      </c>
      <c r="T832" s="6"/>
      <c r="U832" s="6"/>
      <c r="V832" s="6"/>
      <c r="W832" s="6"/>
      <c r="X832" s="6"/>
      <c r="Y832" s="6"/>
      <c r="Z832" s="6"/>
      <c r="AA832" s="6"/>
      <c r="AB832" s="6"/>
      <c r="AC832" s="6"/>
      <c r="AD832" s="6"/>
      <c r="AE832" s="6"/>
      <c r="AF832" s="6"/>
      <c r="AG832" s="6"/>
      <c r="AH832" s="6"/>
      <c r="AI832" s="6"/>
      <c r="AJ832" s="6"/>
      <c r="AK832" s="6"/>
      <c r="AL832" s="6"/>
    </row>
    <row r="833" spans="1:38">
      <c r="A833" s="96">
        <f ca="1">IFERROR(__xludf.DUMMYFUNCTION("""COMPUTED_VALUE"""),44590)</f>
        <v>44590</v>
      </c>
      <c r="B833" s="6" t="str">
        <f ca="1">IFERROR(__xludf.DUMMYFUNCTION("""COMPUTED_VALUE"""),"Rajani")</f>
        <v>Rajani</v>
      </c>
      <c r="C833" s="6" t="str">
        <f ca="1">IFERROR(__xludf.DUMMYFUNCTION("""COMPUTED_VALUE"""),"rajaniagrawal2007@gmail.com")</f>
        <v>rajaniagrawal2007@gmail.com</v>
      </c>
      <c r="D833" s="6">
        <f ca="1">IFERROR(__xludf.DUMMYFUNCTION("""COMPUTED_VALUE"""),8884340333)</f>
        <v>8884340333</v>
      </c>
      <c r="E833" s="6" t="str">
        <f ca="1">IFERROR(__xludf.DUMMYFUNCTION("""COMPUTED_VALUE"""),"fpt")</f>
        <v>fpt</v>
      </c>
      <c r="F833" s="6" t="str">
        <f ca="1">IFERROR(__xludf.DUMMYFUNCTION("""COMPUTED_VALUE"""),"CSM")</f>
        <v>CSM</v>
      </c>
      <c r="G833" s="80">
        <f ca="1">IFERROR(__xludf.DUMMYFUNCTION("""COMPUTED_VALUE"""),44562)</f>
        <v>44562</v>
      </c>
      <c r="H833" s="6" t="str">
        <f ca="1">IFERROR(__xludf.DUMMYFUNCTION("""COMPUTED_VALUE"""),"Won")</f>
        <v>Won</v>
      </c>
      <c r="I833" s="6" t="str">
        <f ca="1">IFERROR(__xludf.DUMMYFUNCTION("""COMPUTED_VALUE"""),"12-13 Feb 2022")</f>
        <v>12-13 Feb 2022</v>
      </c>
      <c r="J833" s="6">
        <f ca="1">IFERROR(__xludf.DUMMYFUNCTION("""COMPUTED_VALUE"""),1)</f>
        <v>1</v>
      </c>
      <c r="K833" s="8">
        <f ca="1">IFERROR(__xludf.DUMMYFUNCTION("""COMPUTED_VALUE"""),20000)</f>
        <v>20000</v>
      </c>
      <c r="L833" s="8">
        <f ca="1">IFERROR(__xludf.DUMMYFUNCTION("""COMPUTED_VALUE"""),229.042601923957)</f>
        <v>229.04260192395699</v>
      </c>
      <c r="M833" s="96">
        <f ca="1">IFERROR(__xludf.DUMMYFUNCTION("""COMPUTED_VALUE"""),44590)</f>
        <v>44590</v>
      </c>
      <c r="N833" s="6" t="str">
        <f ca="1">IFERROR(__xludf.DUMMYFUNCTION("""COMPUTED_VALUE"""),"T10")</f>
        <v>T10</v>
      </c>
      <c r="O833" s="97">
        <f ca="1">IFERROR(__xludf.DUMMYFUNCTION("""COMPUTED_VALUE"""),44590)</f>
        <v>44590</v>
      </c>
      <c r="P833" s="6" t="str">
        <f ca="1">IFERROR(__xludf.DUMMYFUNCTION("""COMPUTED_VALUE"""),"CSTM_BJ9GYF3E1LE")</f>
        <v>CSTM_BJ9GYF3E1LE</v>
      </c>
      <c r="Q833" s="6"/>
      <c r="R833" s="6" t="str">
        <f ca="1">IFERROR(__xludf.DUMMYFUNCTION("""COMPUTED_VALUE"""),"Pending")</f>
        <v>Pending</v>
      </c>
      <c r="S833" s="6" t="str">
        <f ca="1">IFERROR(__xludf.DUMMYFUNCTION("""COMPUTED_VALUE"""),"Category")</f>
        <v>Category</v>
      </c>
      <c r="T833" s="6"/>
      <c r="U833" s="6"/>
      <c r="V833" s="6"/>
      <c r="W833" s="6"/>
      <c r="X833" s="6"/>
      <c r="Y833" s="6"/>
      <c r="Z833" s="6"/>
      <c r="AA833" s="6"/>
      <c r="AB833" s="6"/>
      <c r="AC833" s="6"/>
      <c r="AD833" s="6"/>
      <c r="AE833" s="6"/>
      <c r="AF833" s="6"/>
      <c r="AG833" s="6"/>
      <c r="AH833" s="6"/>
      <c r="AI833" s="6"/>
      <c r="AJ833" s="6"/>
      <c r="AK833" s="6"/>
      <c r="AL833" s="6"/>
    </row>
    <row r="834" spans="1:38">
      <c r="A834" s="96">
        <f ca="1">IFERROR(__xludf.DUMMYFUNCTION("""COMPUTED_VALUE"""),44592)</f>
        <v>44592</v>
      </c>
      <c r="B834" s="6" t="str">
        <f ca="1">IFERROR(__xludf.DUMMYFUNCTION("""COMPUTED_VALUE"""),"Sayan Giri")</f>
        <v>Sayan Giri</v>
      </c>
      <c r="C834" s="6" t="str">
        <f ca="1">IFERROR(__xludf.DUMMYFUNCTION("""COMPUTED_VALUE"""),"sayangiri19@gmail.com")</f>
        <v>sayangiri19@gmail.com</v>
      </c>
      <c r="D834" s="6">
        <f ca="1">IFERROR(__xludf.DUMMYFUNCTION("""COMPUTED_VALUE"""),9916058128)</f>
        <v>9916058128</v>
      </c>
      <c r="E834" s="6" t="str">
        <f ca="1">IFERROR(__xludf.DUMMYFUNCTION("""COMPUTED_VALUE"""),"Reference")</f>
        <v>Reference</v>
      </c>
      <c r="F834" s="6" t="str">
        <f ca="1">IFERROR(__xludf.DUMMYFUNCTION("""COMPUTED_VALUE"""),"CSM")</f>
        <v>CSM</v>
      </c>
      <c r="G834" s="80">
        <f ca="1">IFERROR(__xludf.DUMMYFUNCTION("""COMPUTED_VALUE"""),44562)</f>
        <v>44562</v>
      </c>
      <c r="H834" s="6" t="str">
        <f ca="1">IFERROR(__xludf.DUMMYFUNCTION("""COMPUTED_VALUE"""),"Won")</f>
        <v>Won</v>
      </c>
      <c r="I834" s="6" t="str">
        <f ca="1">IFERROR(__xludf.DUMMYFUNCTION("""COMPUTED_VALUE"""),"19-20 March 2022")</f>
        <v>19-20 March 2022</v>
      </c>
      <c r="J834" s="6">
        <f ca="1">IFERROR(__xludf.DUMMYFUNCTION("""COMPUTED_VALUE"""),1)</f>
        <v>1</v>
      </c>
      <c r="K834" s="8">
        <f ca="1">IFERROR(__xludf.DUMMYFUNCTION("""COMPUTED_VALUE"""),19000)</f>
        <v>19000</v>
      </c>
      <c r="L834" s="8">
        <f ca="1">IFERROR(__xludf.DUMMYFUNCTION("""COMPUTED_VALUE"""),217.590471827759)</f>
        <v>217.59047182775899</v>
      </c>
      <c r="M834" s="96">
        <f ca="1">IFERROR(__xludf.DUMMYFUNCTION("""COMPUTED_VALUE"""),44592)</f>
        <v>44592</v>
      </c>
      <c r="N834" s="6" t="str">
        <f ca="1">IFERROR(__xludf.DUMMYFUNCTION("""COMPUTED_VALUE"""),"T10")</f>
        <v>T10</v>
      </c>
      <c r="O834" s="97">
        <f ca="1">IFERROR(__xludf.DUMMYFUNCTION("""COMPUTED_VALUE"""),44592)</f>
        <v>44592</v>
      </c>
      <c r="P834" s="6" t="str">
        <f ca="1">IFERROR(__xludf.DUMMYFUNCTION("""COMPUTED_VALUE"""),"CSTM_F1510WTJASY")</f>
        <v>CSTM_F1510WTJASY</v>
      </c>
      <c r="Q834" s="6" t="str">
        <f ca="1">IFERROR(__xludf.DUMMYFUNCTION("""COMPUTED_VALUE"""),"Reference by chayan.giri@gmail.com")</f>
        <v>Reference by chayan.giri@gmail.com</v>
      </c>
      <c r="R834" s="6" t="str">
        <f ca="1">IFERROR(__xludf.DUMMYFUNCTION("""COMPUTED_VALUE"""),"Pending")</f>
        <v>Pending</v>
      </c>
      <c r="S834" s="6" t="str">
        <f ca="1">IFERROR(__xludf.DUMMYFUNCTION("""COMPUTED_VALUE"""),"Category")</f>
        <v>Category</v>
      </c>
      <c r="T834" s="6"/>
      <c r="U834" s="6"/>
      <c r="V834" s="6"/>
      <c r="W834" s="6"/>
      <c r="X834" s="6"/>
      <c r="Y834" s="6"/>
      <c r="Z834" s="6"/>
      <c r="AA834" s="6"/>
      <c r="AB834" s="6"/>
      <c r="AC834" s="6"/>
      <c r="AD834" s="6"/>
      <c r="AE834" s="6"/>
      <c r="AF834" s="6"/>
      <c r="AG834" s="6"/>
      <c r="AH834" s="6"/>
      <c r="AI834" s="6"/>
      <c r="AJ834" s="6"/>
      <c r="AK834" s="6"/>
      <c r="AL834" s="6"/>
    </row>
    <row r="835" spans="1:38">
      <c r="A835" s="96">
        <f ca="1">IFERROR(__xludf.DUMMYFUNCTION("""COMPUTED_VALUE"""),44592)</f>
        <v>44592</v>
      </c>
      <c r="B835" s="6" t="str">
        <f ca="1">IFERROR(__xludf.DUMMYFUNCTION("""COMPUTED_VALUE"""),"Meetu")</f>
        <v>Meetu</v>
      </c>
      <c r="C835" s="6" t="str">
        <f ca="1">IFERROR(__xludf.DUMMYFUNCTION("""COMPUTED_VALUE"""),"tell_meetu@yahoo.com")</f>
        <v>tell_meetu@yahoo.com</v>
      </c>
      <c r="D835" s="6">
        <f ca="1">IFERROR(__xludf.DUMMYFUNCTION("""COMPUTED_VALUE"""),9869355398)</f>
        <v>9869355398</v>
      </c>
      <c r="E835" s="6" t="str">
        <f ca="1">IFERROR(__xludf.DUMMYFUNCTION("""COMPUTED_VALUE"""),"course agenda")</f>
        <v>course agenda</v>
      </c>
      <c r="F835" s="6" t="str">
        <f ca="1">IFERROR(__xludf.DUMMYFUNCTION("""COMPUTED_VALUE"""),"PSM")</f>
        <v>PSM</v>
      </c>
      <c r="G835" s="80">
        <f ca="1">IFERROR(__xludf.DUMMYFUNCTION("""COMPUTED_VALUE"""),44562)</f>
        <v>44562</v>
      </c>
      <c r="H835" s="6" t="str">
        <f ca="1">IFERROR(__xludf.DUMMYFUNCTION("""COMPUTED_VALUE"""),"Won")</f>
        <v>Won</v>
      </c>
      <c r="I835" s="6" t="str">
        <f ca="1">IFERROR(__xludf.DUMMYFUNCTION("""COMPUTED_VALUE"""),"5-6 Feb 2022")</f>
        <v>5-6 Feb 2022</v>
      </c>
      <c r="J835" s="6">
        <f ca="1">IFERROR(__xludf.DUMMYFUNCTION("""COMPUTED_VALUE"""),1)</f>
        <v>1</v>
      </c>
      <c r="K835" s="8">
        <f ca="1">IFERROR(__xludf.DUMMYFUNCTION("""COMPUTED_VALUE"""),21000)</f>
        <v>21000</v>
      </c>
      <c r="L835" s="8">
        <f ca="1">IFERROR(__xludf.DUMMYFUNCTION("""COMPUTED_VALUE"""),240.494732020155)</f>
        <v>240.494732020155</v>
      </c>
      <c r="M835" s="96">
        <f ca="1">IFERROR(__xludf.DUMMYFUNCTION("""COMPUTED_VALUE"""),44592)</f>
        <v>44592</v>
      </c>
      <c r="N835" s="6" t="str">
        <f ca="1">IFERROR(__xludf.DUMMYFUNCTION("""COMPUTED_VALUE"""),"T10")</f>
        <v>T10</v>
      </c>
      <c r="O835" s="97">
        <f ca="1">IFERROR(__xludf.DUMMYFUNCTION("""COMPUTED_VALUE"""),44592)</f>
        <v>44592</v>
      </c>
      <c r="P835" s="6" t="str">
        <f ca="1">IFERROR(__xludf.DUMMYFUNCTION("""COMPUTED_VALUE"""),"CSTM_9DLG0TXOEE0")</f>
        <v>CSTM_9DLG0TXOEE0</v>
      </c>
      <c r="Q835" s="6"/>
      <c r="R835" s="6" t="str">
        <f ca="1">IFERROR(__xludf.DUMMYFUNCTION("""COMPUTED_VALUE"""),"Pending")</f>
        <v>Pending</v>
      </c>
      <c r="S835" s="6" t="str">
        <f ca="1">IFERROR(__xludf.DUMMYFUNCTION("""COMPUTED_VALUE"""),"Category")</f>
        <v>Category</v>
      </c>
      <c r="T835" s="6"/>
      <c r="U835" s="6"/>
      <c r="V835" s="6"/>
      <c r="W835" s="6"/>
      <c r="X835" s="6"/>
      <c r="Y835" s="6"/>
      <c r="Z835" s="6"/>
      <c r="AA835" s="6"/>
      <c r="AB835" s="6"/>
      <c r="AC835" s="6"/>
      <c r="AD835" s="6"/>
      <c r="AE835" s="6"/>
      <c r="AF835" s="6"/>
      <c r="AG835" s="6"/>
      <c r="AH835" s="6"/>
      <c r="AI835" s="6"/>
      <c r="AJ835" s="6"/>
      <c r="AK835" s="6"/>
      <c r="AL835" s="6"/>
    </row>
    <row r="836" spans="1:38">
      <c r="A836" s="96">
        <f ca="1">IFERROR(__xludf.DUMMYFUNCTION("""COMPUTED_VALUE"""),44593)</f>
        <v>44593</v>
      </c>
      <c r="B836" s="6" t="str">
        <f ca="1">IFERROR(__xludf.DUMMYFUNCTION("""COMPUTED_VALUE"""),"Gaurav")</f>
        <v>Gaurav</v>
      </c>
      <c r="C836" s="6" t="str">
        <f ca="1">IFERROR(__xludf.DUMMYFUNCTION("""COMPUTED_VALUE"""),"gaurav.desire@gmail.com")</f>
        <v>gaurav.desire@gmail.com</v>
      </c>
      <c r="D836" s="6">
        <f ca="1">IFERROR(__xludf.DUMMYFUNCTION("""COMPUTED_VALUE"""),7021598594)</f>
        <v>7021598594</v>
      </c>
      <c r="E836" s="6" t="str">
        <f ca="1">IFERROR(__xludf.DUMMYFUNCTION("""COMPUTED_VALUE"""),"Reference")</f>
        <v>Reference</v>
      </c>
      <c r="F836" s="6" t="str">
        <f ca="1">IFERROR(__xludf.DUMMYFUNCTION("""COMPUTED_VALUE"""),"CSM")</f>
        <v>CSM</v>
      </c>
      <c r="G836" s="80">
        <f ca="1">IFERROR(__xludf.DUMMYFUNCTION("""COMPUTED_VALUE"""),44593)</f>
        <v>44593</v>
      </c>
      <c r="H836" s="6" t="str">
        <f ca="1">IFERROR(__xludf.DUMMYFUNCTION("""COMPUTED_VALUE"""),"Won")</f>
        <v>Won</v>
      </c>
      <c r="I836" s="6" t="str">
        <f ca="1">IFERROR(__xludf.DUMMYFUNCTION("""COMPUTED_VALUE"""),"5-6 March 2022")</f>
        <v>5-6 March 2022</v>
      </c>
      <c r="J836" s="6">
        <f ca="1">IFERROR(__xludf.DUMMYFUNCTION("""COMPUTED_VALUE"""),1)</f>
        <v>1</v>
      </c>
      <c r="K836" s="8">
        <f ca="1">IFERROR(__xludf.DUMMYFUNCTION("""COMPUTED_VALUE"""),19000)</f>
        <v>19000</v>
      </c>
      <c r="L836" s="8">
        <f ca="1">IFERROR(__xludf.DUMMYFUNCTION("""COMPUTED_VALUE"""),217.590471827759)</f>
        <v>217.59047182775899</v>
      </c>
      <c r="M836" s="96">
        <f ca="1">IFERROR(__xludf.DUMMYFUNCTION("""COMPUTED_VALUE"""),44593)</f>
        <v>44593</v>
      </c>
      <c r="N836" s="6" t="str">
        <f ca="1">IFERROR(__xludf.DUMMYFUNCTION("""COMPUTED_VALUE"""),"F10")</f>
        <v>F10</v>
      </c>
      <c r="O836" s="97">
        <f ca="1">IFERROR(__xludf.DUMMYFUNCTION("""COMPUTED_VALUE"""),44593)</f>
        <v>44593</v>
      </c>
      <c r="P836" s="6" t="str">
        <f ca="1">IFERROR(__xludf.DUMMYFUNCTION("""COMPUTED_VALUE"""),"CSTM_BFR6Z7NFL7I")</f>
        <v>CSTM_BFR6Z7NFL7I</v>
      </c>
      <c r="Q836" s="6" t="str">
        <f ca="1">IFERROR(__xludf.DUMMYFUNCTION("""COMPUTED_VALUE"""),"Pragya K - Pending")</f>
        <v>Pragya K - Pending</v>
      </c>
      <c r="R836" s="6" t="str">
        <f ca="1">IFERROR(__xludf.DUMMYFUNCTION("""COMPUTED_VALUE"""),"Pending")</f>
        <v>Pending</v>
      </c>
      <c r="S836" s="6" t="str">
        <f ca="1">IFERROR(__xludf.DUMMYFUNCTION("""COMPUTED_VALUE"""),"Category")</f>
        <v>Category</v>
      </c>
      <c r="T836" s="6" t="str">
        <f ca="1">IFERROR(__xludf.DUMMYFUNCTION("""COMPUTED_VALUE"""),"Pragya K - Pending")</f>
        <v>Pragya K - Pending</v>
      </c>
      <c r="U836" s="6"/>
      <c r="V836" s="6"/>
      <c r="W836" s="6"/>
      <c r="X836" s="6"/>
      <c r="Y836" s="6"/>
      <c r="Z836" s="6"/>
      <c r="AA836" s="6"/>
      <c r="AB836" s="6"/>
      <c r="AC836" s="6"/>
      <c r="AD836" s="6"/>
      <c r="AE836" s="6"/>
      <c r="AF836" s="6"/>
      <c r="AG836" s="6"/>
      <c r="AH836" s="6"/>
      <c r="AI836" s="6"/>
      <c r="AJ836" s="6"/>
      <c r="AK836" s="6"/>
      <c r="AL836" s="6"/>
    </row>
    <row r="837" spans="1:38">
      <c r="A837" s="96">
        <f ca="1">IFERROR(__xludf.DUMMYFUNCTION("""COMPUTED_VALUE"""),44593)</f>
        <v>44593</v>
      </c>
      <c r="B837" s="6" t="str">
        <f ca="1">IFERROR(__xludf.DUMMYFUNCTION("""COMPUTED_VALUE"""),"Jacquelin Isaac")</f>
        <v>Jacquelin Isaac</v>
      </c>
      <c r="C837" s="6" t="str">
        <f ca="1">IFERROR(__xludf.DUMMYFUNCTION("""COMPUTED_VALUE"""),"jacqlynisaac@gmail.com")</f>
        <v>jacqlynisaac@gmail.com</v>
      </c>
      <c r="D837" s="6">
        <f ca="1">IFERROR(__xludf.DUMMYFUNCTION("""COMPUTED_VALUE"""),9790072441)</f>
        <v>9790072441</v>
      </c>
      <c r="E837" s="6" t="str">
        <f ca="1">IFERROR(__xludf.DUMMYFUNCTION("""COMPUTED_VALUE"""),"Chat_triggered")</f>
        <v>Chat_triggered</v>
      </c>
      <c r="F837" s="6" t="str">
        <f ca="1">IFERROR(__xludf.DUMMYFUNCTION("""COMPUTED_VALUE"""),"PSM")</f>
        <v>PSM</v>
      </c>
      <c r="G837" s="80">
        <f ca="1">IFERROR(__xludf.DUMMYFUNCTION("""COMPUTED_VALUE"""),44593)</f>
        <v>44593</v>
      </c>
      <c r="H837" s="6" t="str">
        <f ca="1">IFERROR(__xludf.DUMMYFUNCTION("""COMPUTED_VALUE"""),"Won")</f>
        <v>Won</v>
      </c>
      <c r="I837" s="6" t="str">
        <f ca="1">IFERROR(__xludf.DUMMYFUNCTION("""COMPUTED_VALUE"""),"5-6 Feb 2022")</f>
        <v>5-6 Feb 2022</v>
      </c>
      <c r="J837" s="6">
        <f ca="1">IFERROR(__xludf.DUMMYFUNCTION("""COMPUTED_VALUE"""),1)</f>
        <v>1</v>
      </c>
      <c r="K837" s="8">
        <f ca="1">IFERROR(__xludf.DUMMYFUNCTION("""COMPUTED_VALUE"""),21000)</f>
        <v>21000</v>
      </c>
      <c r="L837" s="8">
        <f ca="1">IFERROR(__xludf.DUMMYFUNCTION("""COMPUTED_VALUE"""),240.494732020155)</f>
        <v>240.494732020155</v>
      </c>
      <c r="M837" s="96">
        <f ca="1">IFERROR(__xludf.DUMMYFUNCTION("""COMPUTED_VALUE"""),44593)</f>
        <v>44593</v>
      </c>
      <c r="N837" s="6" t="str">
        <f ca="1">IFERROR(__xludf.DUMMYFUNCTION("""COMPUTED_VALUE"""),"F10")</f>
        <v>F10</v>
      </c>
      <c r="O837" s="97">
        <f ca="1">IFERROR(__xludf.DUMMYFUNCTION("""COMPUTED_VALUE"""),44593)</f>
        <v>44593</v>
      </c>
      <c r="P837" s="6" t="str">
        <f ca="1">IFERROR(__xludf.DUMMYFUNCTION("""COMPUTED_VALUE"""),"CSTM_ASG2O8YJSCU")</f>
        <v>CSTM_ASG2O8YJSCU</v>
      </c>
      <c r="Q837" s="6"/>
      <c r="R837" s="6" t="str">
        <f ca="1">IFERROR(__xludf.DUMMYFUNCTION("""COMPUTED_VALUE"""),"Pending")</f>
        <v>Pending</v>
      </c>
      <c r="S837" s="6" t="str">
        <f ca="1">IFERROR(__xludf.DUMMYFUNCTION("""COMPUTED_VALUE"""),"Category")</f>
        <v>Category</v>
      </c>
      <c r="T837" s="6"/>
      <c r="U837" s="6"/>
      <c r="V837" s="6"/>
      <c r="W837" s="6"/>
      <c r="X837" s="6"/>
      <c r="Y837" s="6"/>
      <c r="Z837" s="6"/>
      <c r="AA837" s="6"/>
      <c r="AB837" s="6"/>
      <c r="AC837" s="6"/>
      <c r="AD837" s="6"/>
      <c r="AE837" s="6"/>
      <c r="AF837" s="6"/>
      <c r="AG837" s="6"/>
      <c r="AH837" s="6"/>
      <c r="AI837" s="6"/>
      <c r="AJ837" s="6"/>
      <c r="AK837" s="6"/>
      <c r="AL837" s="6"/>
    </row>
    <row r="838" spans="1:38">
      <c r="A838" s="96">
        <f ca="1">IFERROR(__xludf.DUMMYFUNCTION("""COMPUTED_VALUE"""),44594)</f>
        <v>44594</v>
      </c>
      <c r="B838" s="6" t="str">
        <f ca="1">IFERROR(__xludf.DUMMYFUNCTION("""COMPUTED_VALUE"""),"Vijaya Patil")</f>
        <v>Vijaya Patil</v>
      </c>
      <c r="C838" s="6" t="str">
        <f ca="1">IFERROR(__xludf.DUMMYFUNCTION("""COMPUTED_VALUE"""),"vijayaa.patils@gmail.com")</f>
        <v>vijayaa.patils@gmail.com</v>
      </c>
      <c r="D838" s="6">
        <f ca="1">IFERROR(__xludf.DUMMYFUNCTION("""COMPUTED_VALUE"""),8879414852)</f>
        <v>8879414852</v>
      </c>
      <c r="E838" s="6" t="str">
        <f ca="1">IFERROR(__xludf.DUMMYFUNCTION("""COMPUTED_VALUE"""),"Reference")</f>
        <v>Reference</v>
      </c>
      <c r="F838" s="6" t="str">
        <f ca="1">IFERROR(__xludf.DUMMYFUNCTION("""COMPUTED_VALUE"""),"CSM")</f>
        <v>CSM</v>
      </c>
      <c r="G838" s="80">
        <f ca="1">IFERROR(__xludf.DUMMYFUNCTION("""COMPUTED_VALUE"""),44593)</f>
        <v>44593</v>
      </c>
      <c r="H838" s="6" t="str">
        <f ca="1">IFERROR(__xludf.DUMMYFUNCTION("""COMPUTED_VALUE"""),"Won")</f>
        <v>Won</v>
      </c>
      <c r="I838" s="6" t="str">
        <f ca="1">IFERROR(__xludf.DUMMYFUNCTION("""COMPUTED_VALUE"""),"10-11 Feb 2022")</f>
        <v>10-11 Feb 2022</v>
      </c>
      <c r="J838" s="6">
        <f ca="1">IFERROR(__xludf.DUMMYFUNCTION("""COMPUTED_VALUE"""),1)</f>
        <v>1</v>
      </c>
      <c r="K838" s="8">
        <f ca="1">IFERROR(__xludf.DUMMYFUNCTION("""COMPUTED_VALUE"""),20000)</f>
        <v>20000</v>
      </c>
      <c r="L838" s="8">
        <f ca="1">IFERROR(__xludf.DUMMYFUNCTION("""COMPUTED_VALUE"""),229.042601923957)</f>
        <v>229.04260192395699</v>
      </c>
      <c r="M838" s="96">
        <f ca="1">IFERROR(__xludf.DUMMYFUNCTION("""COMPUTED_VALUE"""),44594)</f>
        <v>44594</v>
      </c>
      <c r="N838" s="6" t="str">
        <f ca="1">IFERROR(__xludf.DUMMYFUNCTION("""COMPUTED_VALUE"""),"F10")</f>
        <v>F10</v>
      </c>
      <c r="O838" s="97">
        <f ca="1">IFERROR(__xludf.DUMMYFUNCTION("""COMPUTED_VALUE"""),44594)</f>
        <v>44594</v>
      </c>
      <c r="P838" s="6" t="str">
        <f ca="1">IFERROR(__xludf.DUMMYFUNCTION("""COMPUTED_VALUE"""),"CSTM_FRNWH5FL10X")</f>
        <v>CSTM_FRNWH5FL10X</v>
      </c>
      <c r="Q838" s="6" t="str">
        <f ca="1">IFERROR(__xludf.DUMMYFUNCTION("""COMPUTED_VALUE"""),"Reference by Ravindra")</f>
        <v>Reference by Ravindra</v>
      </c>
      <c r="R838" s="6" t="str">
        <f ca="1">IFERROR(__xludf.DUMMYFUNCTION("""COMPUTED_VALUE"""),"Pending")</f>
        <v>Pending</v>
      </c>
      <c r="S838" s="6" t="str">
        <f ca="1">IFERROR(__xludf.DUMMYFUNCTION("""COMPUTED_VALUE"""),"Category")</f>
        <v>Category</v>
      </c>
      <c r="T838" s="6"/>
      <c r="U838" s="6"/>
      <c r="V838" s="6"/>
      <c r="W838" s="6"/>
      <c r="X838" s="6"/>
      <c r="Y838" s="6"/>
      <c r="Z838" s="6"/>
      <c r="AA838" s="6"/>
      <c r="AB838" s="6"/>
      <c r="AC838" s="6"/>
      <c r="AD838" s="6"/>
      <c r="AE838" s="6"/>
      <c r="AF838" s="6"/>
      <c r="AG838" s="6"/>
      <c r="AH838" s="6"/>
      <c r="AI838" s="6"/>
      <c r="AJ838" s="6"/>
      <c r="AK838" s="6"/>
      <c r="AL838" s="6"/>
    </row>
    <row r="839" spans="1:38">
      <c r="A839" s="96">
        <f ca="1">IFERROR(__xludf.DUMMYFUNCTION("""COMPUTED_VALUE"""),44594)</f>
        <v>44594</v>
      </c>
      <c r="B839" s="6" t="str">
        <f ca="1">IFERROR(__xludf.DUMMYFUNCTION("""COMPUTED_VALUE"""),"Ritesh")</f>
        <v>Ritesh</v>
      </c>
      <c r="C839" s="6" t="str">
        <f ca="1">IFERROR(__xludf.DUMMYFUNCTION("""COMPUTED_VALUE"""),"riteshdash@gmail.com")</f>
        <v>riteshdash@gmail.com</v>
      </c>
      <c r="D839" s="6">
        <f ca="1">IFERROR(__xludf.DUMMYFUNCTION("""COMPUTED_VALUE"""),8309674342)</f>
        <v>8309674342</v>
      </c>
      <c r="E839" s="6" t="str">
        <f ca="1">IFERROR(__xludf.DUMMYFUNCTION("""COMPUTED_VALUE"""),"Reference")</f>
        <v>Reference</v>
      </c>
      <c r="F839" s="6" t="str">
        <f ca="1">IFERROR(__xludf.DUMMYFUNCTION("""COMPUTED_VALUE"""),"CSM")</f>
        <v>CSM</v>
      </c>
      <c r="G839" s="80">
        <f ca="1">IFERROR(__xludf.DUMMYFUNCTION("""COMPUTED_VALUE"""),44593)</f>
        <v>44593</v>
      </c>
      <c r="H839" s="6" t="str">
        <f ca="1">IFERROR(__xludf.DUMMYFUNCTION("""COMPUTED_VALUE"""),"Won")</f>
        <v>Won</v>
      </c>
      <c r="I839" s="6" t="str">
        <f ca="1">IFERROR(__xludf.DUMMYFUNCTION("""COMPUTED_VALUE"""),"10-11 Feb 2022")</f>
        <v>10-11 Feb 2022</v>
      </c>
      <c r="J839" s="6">
        <f ca="1">IFERROR(__xludf.DUMMYFUNCTION("""COMPUTED_VALUE"""),1)</f>
        <v>1</v>
      </c>
      <c r="K839" s="8">
        <f ca="1">IFERROR(__xludf.DUMMYFUNCTION("""COMPUTED_VALUE"""),20000)</f>
        <v>20000</v>
      </c>
      <c r="L839" s="8">
        <f ca="1">IFERROR(__xludf.DUMMYFUNCTION("""COMPUTED_VALUE"""),229.042601923957)</f>
        <v>229.04260192395699</v>
      </c>
      <c r="M839" s="96">
        <f ca="1">IFERROR(__xludf.DUMMYFUNCTION("""COMPUTED_VALUE"""),44594)</f>
        <v>44594</v>
      </c>
      <c r="N839" s="6" t="str">
        <f ca="1">IFERROR(__xludf.DUMMYFUNCTION("""COMPUTED_VALUE"""),"F10")</f>
        <v>F10</v>
      </c>
      <c r="O839" s="97">
        <f ca="1">IFERROR(__xludf.DUMMYFUNCTION("""COMPUTED_VALUE"""),44594)</f>
        <v>44594</v>
      </c>
      <c r="P839" s="6" t="str">
        <f ca="1">IFERROR(__xludf.DUMMYFUNCTION("""COMPUTED_VALUE"""),"CSTM_4DKRXW0OM6S")</f>
        <v>CSTM_4DKRXW0OM6S</v>
      </c>
      <c r="Q839" s="6" t="str">
        <f ca="1">IFERROR(__xludf.DUMMYFUNCTION("""COMPUTED_VALUE"""),"Reference by Ravindra")</f>
        <v>Reference by Ravindra</v>
      </c>
      <c r="R839" s="6" t="str">
        <f ca="1">IFERROR(__xludf.DUMMYFUNCTION("""COMPUTED_VALUE"""),"Pending")</f>
        <v>Pending</v>
      </c>
      <c r="S839" s="6" t="str">
        <f ca="1">IFERROR(__xludf.DUMMYFUNCTION("""COMPUTED_VALUE"""),"Category")</f>
        <v>Category</v>
      </c>
      <c r="T839" s="6"/>
      <c r="U839" s="6"/>
      <c r="V839" s="6"/>
      <c r="W839" s="6"/>
      <c r="X839" s="6"/>
      <c r="Y839" s="6"/>
      <c r="Z839" s="6"/>
      <c r="AA839" s="6"/>
      <c r="AB839" s="6"/>
      <c r="AC839" s="6"/>
      <c r="AD839" s="6"/>
      <c r="AE839" s="6"/>
      <c r="AF839" s="6"/>
      <c r="AG839" s="6"/>
      <c r="AH839" s="6"/>
      <c r="AI839" s="6"/>
      <c r="AJ839" s="6"/>
      <c r="AK839" s="6"/>
      <c r="AL839" s="6"/>
    </row>
    <row r="840" spans="1:38">
      <c r="A840" s="96">
        <f ca="1">IFERROR(__xludf.DUMMYFUNCTION("""COMPUTED_VALUE"""),44595)</f>
        <v>44595</v>
      </c>
      <c r="B840" s="6" t="str">
        <f ca="1">IFERROR(__xludf.DUMMYFUNCTION("""COMPUTED_VALUE"""),"Rajeshwari")</f>
        <v>Rajeshwari</v>
      </c>
      <c r="C840" s="6" t="str">
        <f ca="1">IFERROR(__xludf.DUMMYFUNCTION("""COMPUTED_VALUE"""),"shrirajeshwar@gmail.com")</f>
        <v>shrirajeshwar@gmail.com</v>
      </c>
      <c r="D840" s="6">
        <f ca="1">IFERROR(__xludf.DUMMYFUNCTION("""COMPUTED_VALUE"""),9840655849)</f>
        <v>9840655849</v>
      </c>
      <c r="E840" s="6" t="str">
        <f ca="1">IFERROR(__xludf.DUMMYFUNCTION("""COMPUTED_VALUE"""),"Reference")</f>
        <v>Reference</v>
      </c>
      <c r="F840" s="6" t="str">
        <f ca="1">IFERROR(__xludf.DUMMYFUNCTION("""COMPUTED_VALUE"""),"PSM")</f>
        <v>PSM</v>
      </c>
      <c r="G840" s="80">
        <f ca="1">IFERROR(__xludf.DUMMYFUNCTION("""COMPUTED_VALUE"""),44593)</f>
        <v>44593</v>
      </c>
      <c r="H840" s="6" t="str">
        <f ca="1">IFERROR(__xludf.DUMMYFUNCTION("""COMPUTED_VALUE"""),"Won")</f>
        <v>Won</v>
      </c>
      <c r="I840" s="6" t="str">
        <f ca="1">IFERROR(__xludf.DUMMYFUNCTION("""COMPUTED_VALUE"""),"5-6 Feb 2022")</f>
        <v>5-6 Feb 2022</v>
      </c>
      <c r="J840" s="6">
        <f ca="1">IFERROR(__xludf.DUMMYFUNCTION("""COMPUTED_VALUE"""),1)</f>
        <v>1</v>
      </c>
      <c r="K840" s="8">
        <f ca="1">IFERROR(__xludf.DUMMYFUNCTION("""COMPUTED_VALUE"""),21000)</f>
        <v>21000</v>
      </c>
      <c r="L840" s="8">
        <f ca="1">IFERROR(__xludf.DUMMYFUNCTION("""COMPUTED_VALUE"""),240.494732020155)</f>
        <v>240.494732020155</v>
      </c>
      <c r="M840" s="96">
        <f ca="1">IFERROR(__xludf.DUMMYFUNCTION("""COMPUTED_VALUE"""),44595)</f>
        <v>44595</v>
      </c>
      <c r="N840" s="6" t="str">
        <f ca="1">IFERROR(__xludf.DUMMYFUNCTION("""COMPUTED_VALUE"""),"F10")</f>
        <v>F10</v>
      </c>
      <c r="O840" s="97">
        <f ca="1">IFERROR(__xludf.DUMMYFUNCTION("""COMPUTED_VALUE"""),44595)</f>
        <v>44595</v>
      </c>
      <c r="P840" s="6" t="str">
        <f ca="1">IFERROR(__xludf.DUMMYFUNCTION("""COMPUTED_VALUE"""),"CSTM_1N6S2B4JZ78")</f>
        <v>CSTM_1N6S2B4JZ78</v>
      </c>
      <c r="Q840" s="6" t="str">
        <f ca="1">IFERROR(__xludf.DUMMYFUNCTION("""COMPUTED_VALUE"""),"Reference by samsasi.84@gmail.com")</f>
        <v>Reference by samsasi.84@gmail.com</v>
      </c>
      <c r="R840" s="6" t="str">
        <f ca="1">IFERROR(__xludf.DUMMYFUNCTION("""COMPUTED_VALUE"""),"Pending")</f>
        <v>Pending</v>
      </c>
      <c r="S840" s="6" t="str">
        <f ca="1">IFERROR(__xludf.DUMMYFUNCTION("""COMPUTED_VALUE"""),"Category")</f>
        <v>Category</v>
      </c>
      <c r="T840" s="6"/>
      <c r="U840" s="6"/>
      <c r="V840" s="6"/>
      <c r="W840" s="6"/>
      <c r="X840" s="6"/>
      <c r="Y840" s="6"/>
      <c r="Z840" s="6"/>
      <c r="AA840" s="6"/>
      <c r="AB840" s="6"/>
      <c r="AC840" s="6"/>
      <c r="AD840" s="6"/>
      <c r="AE840" s="6"/>
      <c r="AF840" s="6"/>
      <c r="AG840" s="6"/>
      <c r="AH840" s="6"/>
      <c r="AI840" s="6"/>
      <c r="AJ840" s="6"/>
      <c r="AK840" s="6"/>
      <c r="AL840" s="6"/>
    </row>
    <row r="841" spans="1:38">
      <c r="A841" s="96">
        <f ca="1">IFERROR(__xludf.DUMMYFUNCTION("""COMPUTED_VALUE"""),44595)</f>
        <v>44595</v>
      </c>
      <c r="B841" s="6" t="str">
        <f ca="1">IFERROR(__xludf.DUMMYFUNCTION("""COMPUTED_VALUE"""),"Veena ")</f>
        <v xml:space="preserve">Veena </v>
      </c>
      <c r="C841" s="6" t="str">
        <f ca="1">IFERROR(__xludf.DUMMYFUNCTION("""COMPUTED_VALUE"""),"veena_mistry2003@yahoo.com")</f>
        <v>veena_mistry2003@yahoo.com</v>
      </c>
      <c r="D841" s="6">
        <f ca="1">IFERROR(__xludf.DUMMYFUNCTION("""COMPUTED_VALUE"""),1234567890)</f>
        <v>1234567890</v>
      </c>
      <c r="E841" s="6" t="str">
        <f ca="1">IFERROR(__xludf.DUMMYFUNCTION("""COMPUTED_VALUE"""),"Chat_triggered")</f>
        <v>Chat_triggered</v>
      </c>
      <c r="F841" s="6" t="str">
        <f ca="1">IFERROR(__xludf.DUMMYFUNCTION("""COMPUTED_VALUE"""),"SAFe Agile")</f>
        <v>SAFe Agile</v>
      </c>
      <c r="G841" s="80">
        <f ca="1">IFERROR(__xludf.DUMMYFUNCTION("""COMPUTED_VALUE"""),44593)</f>
        <v>44593</v>
      </c>
      <c r="H841" s="6" t="str">
        <f ca="1">IFERROR(__xludf.DUMMYFUNCTION("""COMPUTED_VALUE"""),"Won")</f>
        <v>Won</v>
      </c>
      <c r="I841" s="6" t="str">
        <f ca="1">IFERROR(__xludf.DUMMYFUNCTION("""COMPUTED_VALUE"""),"5-6 Feb 2022")</f>
        <v>5-6 Feb 2022</v>
      </c>
      <c r="J841" s="6">
        <f ca="1">IFERROR(__xludf.DUMMYFUNCTION("""COMPUTED_VALUE"""),1)</f>
        <v>1</v>
      </c>
      <c r="K841" s="8">
        <f ca="1">IFERROR(__xludf.DUMMYFUNCTION("""COMPUTED_VALUE"""),42000)</f>
        <v>42000</v>
      </c>
      <c r="L841" s="8">
        <f ca="1">IFERROR(__xludf.DUMMYFUNCTION("""COMPUTED_VALUE"""),480.989464040311)</f>
        <v>480.98946404031102</v>
      </c>
      <c r="M841" s="96">
        <f ca="1">IFERROR(__xludf.DUMMYFUNCTION("""COMPUTED_VALUE"""),44595)</f>
        <v>44595</v>
      </c>
      <c r="N841" s="6" t="str">
        <f ca="1">IFERROR(__xludf.DUMMYFUNCTION("""COMPUTED_VALUE"""),"F10")</f>
        <v>F10</v>
      </c>
      <c r="O841" s="97">
        <f ca="1">IFERROR(__xludf.DUMMYFUNCTION("""COMPUTED_VALUE"""),44595)</f>
        <v>44595</v>
      </c>
      <c r="P841" s="6" t="str">
        <f ca="1">IFERROR(__xludf.DUMMYFUNCTION("""COMPUTED_VALUE"""),"CSTM_28PLACBSWNK")</f>
        <v>CSTM_28PLACBSWNK</v>
      </c>
      <c r="Q841" s="6"/>
      <c r="R841" s="6" t="str">
        <f ca="1">IFERROR(__xludf.DUMMYFUNCTION("""COMPUTED_VALUE"""),"Pending")</f>
        <v>Pending</v>
      </c>
      <c r="S841" s="6" t="str">
        <f ca="1">IFERROR(__xludf.DUMMYFUNCTION("""COMPUTED_VALUE"""),"SAFe")</f>
        <v>SAFe</v>
      </c>
      <c r="T841" s="6"/>
      <c r="U841" s="6"/>
      <c r="V841" s="6"/>
      <c r="W841" s="6"/>
      <c r="X841" s="6"/>
      <c r="Y841" s="6"/>
      <c r="Z841" s="6"/>
      <c r="AA841" s="6"/>
      <c r="AB841" s="6"/>
      <c r="AC841" s="6"/>
      <c r="AD841" s="6"/>
      <c r="AE841" s="6"/>
      <c r="AF841" s="6"/>
      <c r="AG841" s="6"/>
      <c r="AH841" s="6"/>
      <c r="AI841" s="6"/>
      <c r="AJ841" s="6"/>
      <c r="AK841" s="6"/>
      <c r="AL841" s="6"/>
    </row>
    <row r="842" spans="1:38">
      <c r="A842" s="96">
        <f ca="1">IFERROR(__xludf.DUMMYFUNCTION("""COMPUTED_VALUE"""),44595)</f>
        <v>44595</v>
      </c>
      <c r="B842" s="6" t="str">
        <f ca="1">IFERROR(__xludf.DUMMYFUNCTION("""COMPUTED_VALUE"""),"Prasad")</f>
        <v>Prasad</v>
      </c>
      <c r="C842" s="6" t="str">
        <f ca="1">IFERROR(__xludf.DUMMYFUNCTION("""COMPUTED_VALUE"""),"rajakp123@gmail.com")</f>
        <v>rajakp123@gmail.com</v>
      </c>
      <c r="D842" s="6">
        <f ca="1">IFERROR(__xludf.DUMMYFUNCTION("""COMPUTED_VALUE"""),9985876611)</f>
        <v>9985876611</v>
      </c>
      <c r="E842" s="6" t="str">
        <f ca="1">IFERROR(__xludf.DUMMYFUNCTION("""COMPUTED_VALUE"""),"chat_initiated")</f>
        <v>chat_initiated</v>
      </c>
      <c r="F842" s="6" t="str">
        <f ca="1">IFERROR(__xludf.DUMMYFUNCTION("""COMPUTED_VALUE"""),"CSPO")</f>
        <v>CSPO</v>
      </c>
      <c r="G842" s="80">
        <f ca="1">IFERROR(__xludf.DUMMYFUNCTION("""COMPUTED_VALUE"""),44593)</f>
        <v>44593</v>
      </c>
      <c r="H842" s="6" t="str">
        <f ca="1">IFERROR(__xludf.DUMMYFUNCTION("""COMPUTED_VALUE"""),"Opportunity")</f>
        <v>Opportunity</v>
      </c>
      <c r="I842" s="6" t="str">
        <f ca="1">IFERROR(__xludf.DUMMYFUNCTION("""COMPUTED_VALUE"""),"5-6 Feb 2022")</f>
        <v>5-6 Feb 2022</v>
      </c>
      <c r="J842" s="6">
        <f ca="1">IFERROR(__xludf.DUMMYFUNCTION("""COMPUTED_VALUE"""),1)</f>
        <v>1</v>
      </c>
      <c r="K842" s="8">
        <f ca="1">IFERROR(__xludf.DUMMYFUNCTION("""COMPUTED_VALUE"""),20000)</f>
        <v>20000</v>
      </c>
      <c r="L842" s="8">
        <f ca="1">IFERROR(__xludf.DUMMYFUNCTION("""COMPUTED_VALUE"""),229.042601923957)</f>
        <v>229.04260192395699</v>
      </c>
      <c r="M842" s="96">
        <f ca="1">IFERROR(__xludf.DUMMYFUNCTION("""COMPUTED_VALUE"""),44595)</f>
        <v>44595</v>
      </c>
      <c r="N842" s="6"/>
      <c r="O842" s="97"/>
      <c r="P842" s="6"/>
      <c r="Q842" s="6"/>
      <c r="R842" s="6"/>
      <c r="S842" s="6" t="str">
        <f ca="1">IFERROR(__xludf.DUMMYFUNCTION("""COMPUTED_VALUE"""),"Category")</f>
        <v>Category</v>
      </c>
      <c r="T842" s="6"/>
      <c r="U842" s="6"/>
      <c r="V842" s="6"/>
      <c r="W842" s="6"/>
      <c r="X842" s="6"/>
      <c r="Y842" s="6"/>
      <c r="Z842" s="6"/>
      <c r="AA842" s="6"/>
      <c r="AB842" s="6"/>
      <c r="AC842" s="6"/>
      <c r="AD842" s="6"/>
      <c r="AE842" s="6"/>
      <c r="AF842" s="6"/>
      <c r="AG842" s="6"/>
      <c r="AH842" s="6"/>
      <c r="AI842" s="6"/>
      <c r="AJ842" s="6"/>
      <c r="AK842" s="6"/>
      <c r="AL842" s="6"/>
    </row>
    <row r="843" spans="1:38">
      <c r="A843" s="96">
        <f ca="1">IFERROR(__xludf.DUMMYFUNCTION("""COMPUTED_VALUE"""),44595)</f>
        <v>44595</v>
      </c>
      <c r="B843" s="6" t="str">
        <f ca="1">IFERROR(__xludf.DUMMYFUNCTION("""COMPUTED_VALUE"""),"Meenakshi")</f>
        <v>Meenakshi</v>
      </c>
      <c r="C843" s="6" t="str">
        <f ca="1">IFERROR(__xludf.DUMMYFUNCTION("""COMPUTED_VALUE"""),"meenakshisahay81@gmail.com")</f>
        <v>meenakshisahay81@gmail.com</v>
      </c>
      <c r="D843" s="6">
        <f ca="1">IFERROR(__xludf.DUMMYFUNCTION("""COMPUTED_VALUE"""),9740043121)</f>
        <v>9740043121</v>
      </c>
      <c r="E843" s="6" t="str">
        <f ca="1">IFERROR(__xludf.DUMMYFUNCTION("""COMPUTED_VALUE"""),"Reference")</f>
        <v>Reference</v>
      </c>
      <c r="F843" s="6" t="str">
        <f ca="1">IFERROR(__xludf.DUMMYFUNCTION("""COMPUTED_VALUE"""),"PSM")</f>
        <v>PSM</v>
      </c>
      <c r="G843" s="80">
        <f ca="1">IFERROR(__xludf.DUMMYFUNCTION("""COMPUTED_VALUE"""),44593)</f>
        <v>44593</v>
      </c>
      <c r="H843" s="6" t="str">
        <f ca="1">IFERROR(__xludf.DUMMYFUNCTION("""COMPUTED_VALUE"""),"Won")</f>
        <v>Won</v>
      </c>
      <c r="I843" s="6" t="str">
        <f ca="1">IFERROR(__xludf.DUMMYFUNCTION("""COMPUTED_VALUE"""),"7-8 Feb 2022")</f>
        <v>7-8 Feb 2022</v>
      </c>
      <c r="J843" s="6">
        <f ca="1">IFERROR(__xludf.DUMMYFUNCTION("""COMPUTED_VALUE"""),1)</f>
        <v>1</v>
      </c>
      <c r="K843" s="8">
        <f ca="1">IFERROR(__xludf.DUMMYFUNCTION("""COMPUTED_VALUE"""),21000)</f>
        <v>21000</v>
      </c>
      <c r="L843" s="8">
        <f ca="1">IFERROR(__xludf.DUMMYFUNCTION("""COMPUTED_VALUE"""),240.494732020155)</f>
        <v>240.494732020155</v>
      </c>
      <c r="M843" s="96">
        <f ca="1">IFERROR(__xludf.DUMMYFUNCTION("""COMPUTED_VALUE"""),44595)</f>
        <v>44595</v>
      </c>
      <c r="N843" s="6" t="str">
        <f ca="1">IFERROR(__xludf.DUMMYFUNCTION("""COMPUTED_VALUE"""),"F10")</f>
        <v>F10</v>
      </c>
      <c r="O843" s="97">
        <f ca="1">IFERROR(__xludf.DUMMYFUNCTION("""COMPUTED_VALUE"""),44596)</f>
        <v>44596</v>
      </c>
      <c r="P843" s="6" t="str">
        <f ca="1">IFERROR(__xludf.DUMMYFUNCTION("""COMPUTED_VALUE"""),"CSTM_EZKIK5NGKRH")</f>
        <v>CSTM_EZKIK5NGKRH</v>
      </c>
      <c r="Q843" s="6" t="str">
        <f ca="1">IFERROR(__xludf.DUMMYFUNCTION("""COMPUTED_VALUE"""),"Reference by gaurav.mahajan2890@gmail.com")</f>
        <v>Reference by gaurav.mahajan2890@gmail.com</v>
      </c>
      <c r="R843" s="6" t="str">
        <f ca="1">IFERROR(__xludf.DUMMYFUNCTION("""COMPUTED_VALUE"""),"Pending")</f>
        <v>Pending</v>
      </c>
      <c r="S843" s="6" t="str">
        <f ca="1">IFERROR(__xludf.DUMMYFUNCTION("""COMPUTED_VALUE"""),"Category")</f>
        <v>Category</v>
      </c>
      <c r="T843" s="6" t="str">
        <f ca="1">IFERROR(__xludf.DUMMYFUNCTION("""COMPUTED_VALUE"""),"Sent")</f>
        <v>Sent</v>
      </c>
      <c r="U843" s="6"/>
      <c r="V843" s="6"/>
      <c r="W843" s="6"/>
      <c r="X843" s="6"/>
      <c r="Y843" s="6"/>
      <c r="Z843" s="6"/>
      <c r="AA843" s="6"/>
      <c r="AB843" s="6"/>
      <c r="AC843" s="6"/>
      <c r="AD843" s="6"/>
      <c r="AE843" s="6"/>
      <c r="AF843" s="6"/>
      <c r="AG843" s="6"/>
      <c r="AH843" s="6"/>
      <c r="AI843" s="6"/>
      <c r="AJ843" s="6"/>
      <c r="AK843" s="6"/>
      <c r="AL843" s="6"/>
    </row>
    <row r="844" spans="1:38">
      <c r="A844" s="96">
        <f ca="1">IFERROR(__xludf.DUMMYFUNCTION("""COMPUTED_VALUE"""),44596)</f>
        <v>44596</v>
      </c>
      <c r="B844" s="6" t="str">
        <f ca="1">IFERROR(__xludf.DUMMYFUNCTION("""COMPUTED_VALUE"""),"Kranthi Kumar")</f>
        <v>Kranthi Kumar</v>
      </c>
      <c r="C844" s="6" t="str">
        <f ca="1">IFERROR(__xludf.DUMMYFUNCTION("""COMPUTED_VALUE"""),"kranthi.panga@gmail.com")</f>
        <v>kranthi.panga@gmail.com</v>
      </c>
      <c r="D844" s="6">
        <f ca="1">IFERROR(__xludf.DUMMYFUNCTION("""COMPUTED_VALUE"""),9886414130)</f>
        <v>9886414130</v>
      </c>
      <c r="E844" s="6" t="str">
        <f ca="1">IFERROR(__xludf.DUMMYFUNCTION("""COMPUTED_VALUE"""),"Query box")</f>
        <v>Query box</v>
      </c>
      <c r="F844" s="6" t="str">
        <f ca="1">IFERROR(__xludf.DUMMYFUNCTION("""COMPUTED_VALUE"""),"SAFe POPM")</f>
        <v>SAFe POPM</v>
      </c>
      <c r="G844" s="80">
        <f ca="1">IFERROR(__xludf.DUMMYFUNCTION("""COMPUTED_VALUE"""),44593)</f>
        <v>44593</v>
      </c>
      <c r="H844" s="6" t="str">
        <f ca="1">IFERROR(__xludf.DUMMYFUNCTION("""COMPUTED_VALUE"""),"Won")</f>
        <v>Won</v>
      </c>
      <c r="I844" s="6" t="str">
        <f ca="1">IFERROR(__xludf.DUMMYFUNCTION("""COMPUTED_VALUE"""),"5-6 Feb 2022")</f>
        <v>5-6 Feb 2022</v>
      </c>
      <c r="J844" s="6">
        <f ca="1">IFERROR(__xludf.DUMMYFUNCTION("""COMPUTED_VALUE"""),1)</f>
        <v>1</v>
      </c>
      <c r="K844" s="8">
        <f ca="1">IFERROR(__xludf.DUMMYFUNCTION("""COMPUTED_VALUE"""),42000)</f>
        <v>42000</v>
      </c>
      <c r="L844" s="8">
        <f ca="1">IFERROR(__xludf.DUMMYFUNCTION("""COMPUTED_VALUE"""),480.989464040311)</f>
        <v>480.98946404031102</v>
      </c>
      <c r="M844" s="96">
        <f ca="1">IFERROR(__xludf.DUMMYFUNCTION("""COMPUTED_VALUE"""),44596)</f>
        <v>44596</v>
      </c>
      <c r="N844" s="6" t="str">
        <f ca="1">IFERROR(__xludf.DUMMYFUNCTION("""COMPUTED_VALUE"""),"F10")</f>
        <v>F10</v>
      </c>
      <c r="O844" s="97">
        <f ca="1">IFERROR(__xludf.DUMMYFUNCTION("""COMPUTED_VALUE"""),44596)</f>
        <v>44596</v>
      </c>
      <c r="P844" s="6" t="str">
        <f ca="1">IFERROR(__xludf.DUMMYFUNCTION("""COMPUTED_VALUE"""),"CSTM_4ENR0R9ULQ3")</f>
        <v>CSTM_4ENR0R9ULQ3</v>
      </c>
      <c r="Q844" s="6"/>
      <c r="R844" s="6" t="str">
        <f ca="1">IFERROR(__xludf.DUMMYFUNCTION("""COMPUTED_VALUE"""),"Pending")</f>
        <v>Pending</v>
      </c>
      <c r="S844" s="6" t="str">
        <f ca="1">IFERROR(__xludf.DUMMYFUNCTION("""COMPUTED_VALUE"""),"SAFe")</f>
        <v>SAFe</v>
      </c>
      <c r="T844" s="6"/>
      <c r="U844" s="6"/>
      <c r="V844" s="6"/>
      <c r="W844" s="6"/>
      <c r="X844" s="6"/>
      <c r="Y844" s="6"/>
      <c r="Z844" s="6"/>
      <c r="AA844" s="6"/>
      <c r="AB844" s="6"/>
      <c r="AC844" s="6"/>
      <c r="AD844" s="6"/>
      <c r="AE844" s="6"/>
      <c r="AF844" s="6"/>
      <c r="AG844" s="6"/>
      <c r="AH844" s="6"/>
      <c r="AI844" s="6"/>
      <c r="AJ844" s="6"/>
      <c r="AK844" s="6"/>
      <c r="AL844" s="6"/>
    </row>
    <row r="845" spans="1:38">
      <c r="A845" s="96">
        <f ca="1">IFERROR(__xludf.DUMMYFUNCTION("""COMPUTED_VALUE"""),44596)</f>
        <v>44596</v>
      </c>
      <c r="B845" s="6" t="str">
        <f ca="1">IFERROR(__xludf.DUMMYFUNCTION("""COMPUTED_VALUE"""),"Divya Jyoti")</f>
        <v>Divya Jyoti</v>
      </c>
      <c r="C845" s="6" t="str">
        <f ca="1">IFERROR(__xludf.DUMMYFUNCTION("""COMPUTED_VALUE"""),"divyajyothi_s@hotmail.com")</f>
        <v>divyajyothi_s@hotmail.com</v>
      </c>
      <c r="D845" s="6">
        <f ca="1">IFERROR(__xludf.DUMMYFUNCTION("""COMPUTED_VALUE"""),9620293141)</f>
        <v>9620293141</v>
      </c>
      <c r="E845" s="6" t="str">
        <f ca="1">IFERROR(__xludf.DUMMYFUNCTION("""COMPUTED_VALUE"""),"Tollfree")</f>
        <v>Tollfree</v>
      </c>
      <c r="F845" s="6" t="str">
        <f ca="1">IFERROR(__xludf.DUMMYFUNCTION("""COMPUTED_VALUE"""),"PSM 2")</f>
        <v>PSM 2</v>
      </c>
      <c r="G845" s="80">
        <f ca="1">IFERROR(__xludf.DUMMYFUNCTION("""COMPUTED_VALUE"""),44593)</f>
        <v>44593</v>
      </c>
      <c r="H845" s="6" t="str">
        <f ca="1">IFERROR(__xludf.DUMMYFUNCTION("""COMPUTED_VALUE"""),"Won")</f>
        <v>Won</v>
      </c>
      <c r="I845" s="6" t="str">
        <f ca="1">IFERROR(__xludf.DUMMYFUNCTION("""COMPUTED_VALUE"""),"23-24 April 2022")</f>
        <v>23-24 April 2022</v>
      </c>
      <c r="J845" s="6">
        <f ca="1">IFERROR(__xludf.DUMMYFUNCTION("""COMPUTED_VALUE"""),1)</f>
        <v>1</v>
      </c>
      <c r="K845" s="8">
        <f ca="1">IFERROR(__xludf.DUMMYFUNCTION("""COMPUTED_VALUE"""),24000)</f>
        <v>24000</v>
      </c>
      <c r="L845" s="8">
        <f ca="1">IFERROR(__xludf.DUMMYFUNCTION("""COMPUTED_VALUE"""),274.851122308749)</f>
        <v>274.85112230874898</v>
      </c>
      <c r="M845" s="96">
        <f ca="1">IFERROR(__xludf.DUMMYFUNCTION("""COMPUTED_VALUE"""),44596)</f>
        <v>44596</v>
      </c>
      <c r="N845" s="6" t="str">
        <f ca="1">IFERROR(__xludf.DUMMYFUNCTION("""COMPUTED_VALUE"""),"F10")</f>
        <v>F10</v>
      </c>
      <c r="O845" s="97">
        <f ca="1">IFERROR(__xludf.DUMMYFUNCTION("""COMPUTED_VALUE"""),44596)</f>
        <v>44596</v>
      </c>
      <c r="P845" s="6" t="str">
        <f ca="1">IFERROR(__xludf.DUMMYFUNCTION("""COMPUTED_VALUE"""),"CSTM_4T424TW5U6Q")</f>
        <v>CSTM_4T424TW5U6Q</v>
      </c>
      <c r="Q845" s="6"/>
      <c r="R845" s="6" t="str">
        <f ca="1">IFERROR(__xludf.DUMMYFUNCTION("""COMPUTED_VALUE"""),"Pending")</f>
        <v>Pending</v>
      </c>
      <c r="S845" s="6" t="str">
        <f ca="1">IFERROR(__xludf.DUMMYFUNCTION("""COMPUTED_VALUE"""),"Category")</f>
        <v>Category</v>
      </c>
      <c r="T845" s="6"/>
      <c r="U845" s="6"/>
      <c r="V845" s="6"/>
      <c r="W845" s="6"/>
      <c r="X845" s="6"/>
      <c r="Y845" s="6"/>
      <c r="Z845" s="6"/>
      <c r="AA845" s="6"/>
      <c r="AB845" s="6"/>
      <c r="AC845" s="6"/>
      <c r="AD845" s="6"/>
      <c r="AE845" s="6"/>
      <c r="AF845" s="6"/>
      <c r="AG845" s="6"/>
      <c r="AH845" s="6"/>
      <c r="AI845" s="6"/>
      <c r="AJ845" s="6"/>
      <c r="AK845" s="6"/>
      <c r="AL845" s="6"/>
    </row>
    <row r="846" spans="1:38">
      <c r="A846" s="96">
        <f ca="1">IFERROR(__xludf.DUMMYFUNCTION("""COMPUTED_VALUE"""),44597)</f>
        <v>44597</v>
      </c>
      <c r="B846" s="6" t="str">
        <f ca="1">IFERROR(__xludf.DUMMYFUNCTION("""COMPUTED_VALUE"""),"Amarnath")</f>
        <v>Amarnath</v>
      </c>
      <c r="C846" s="6" t="str">
        <f ca="1">IFERROR(__xludf.DUMMYFUNCTION("""COMPUTED_VALUE"""),"amarnath.s86@gmail.com")</f>
        <v>amarnath.s86@gmail.com</v>
      </c>
      <c r="D846" s="6">
        <f ca="1">IFERROR(__xludf.DUMMYFUNCTION("""COMPUTED_VALUE"""),9986074054)</f>
        <v>9986074054</v>
      </c>
      <c r="E846" s="6" t="str">
        <f ca="1">IFERROR(__xludf.DUMMYFUNCTION("""COMPUTED_VALUE"""),"Reference")</f>
        <v>Reference</v>
      </c>
      <c r="F846" s="6" t="str">
        <f ca="1">IFERROR(__xludf.DUMMYFUNCTION("""COMPUTED_VALUE"""),"PSM 2")</f>
        <v>PSM 2</v>
      </c>
      <c r="G846" s="80">
        <f ca="1">IFERROR(__xludf.DUMMYFUNCTION("""COMPUTED_VALUE"""),44593)</f>
        <v>44593</v>
      </c>
      <c r="H846" s="6" t="str">
        <f ca="1">IFERROR(__xludf.DUMMYFUNCTION("""COMPUTED_VALUE"""),"Won")</f>
        <v>Won</v>
      </c>
      <c r="I846" s="6" t="str">
        <f ca="1">IFERROR(__xludf.DUMMYFUNCTION("""COMPUTED_VALUE"""),"26-27 Feb 2022")</f>
        <v>26-27 Feb 2022</v>
      </c>
      <c r="J846" s="6">
        <f ca="1">IFERROR(__xludf.DUMMYFUNCTION("""COMPUTED_VALUE"""),1)</f>
        <v>1</v>
      </c>
      <c r="K846" s="8">
        <f ca="1">IFERROR(__xludf.DUMMYFUNCTION("""COMPUTED_VALUE"""),24000)</f>
        <v>24000</v>
      </c>
      <c r="L846" s="8">
        <f ca="1">IFERROR(__xludf.DUMMYFUNCTION("""COMPUTED_VALUE"""),274.851122308749)</f>
        <v>274.85112230874898</v>
      </c>
      <c r="M846" s="96">
        <f ca="1">IFERROR(__xludf.DUMMYFUNCTION("""COMPUTED_VALUE"""),44597)</f>
        <v>44597</v>
      </c>
      <c r="N846" s="6" t="str">
        <f ca="1">IFERROR(__xludf.DUMMYFUNCTION("""COMPUTED_VALUE"""),"F10")</f>
        <v>F10</v>
      </c>
      <c r="O846" s="97">
        <f ca="1">IFERROR(__xludf.DUMMYFUNCTION("""COMPUTED_VALUE"""),44597)</f>
        <v>44597</v>
      </c>
      <c r="P846" s="6" t="str">
        <f ca="1">IFERROR(__xludf.DUMMYFUNCTION("""COMPUTED_VALUE"""),"CSTM_63R2SZ4MMEC")</f>
        <v>CSTM_63R2SZ4MMEC</v>
      </c>
      <c r="Q846" s="6" t="str">
        <f ca="1">IFERROR(__xludf.DUMMYFUNCTION("""COMPUTED_VALUE"""),"Aruko - Done")</f>
        <v>Aruko - Done</v>
      </c>
      <c r="R846" s="6" t="str">
        <f ca="1">IFERROR(__xludf.DUMMYFUNCTION("""COMPUTED_VALUE"""),"Pending")</f>
        <v>Pending</v>
      </c>
      <c r="S846" s="6" t="str">
        <f ca="1">IFERROR(__xludf.DUMMYFUNCTION("""COMPUTED_VALUE"""),"Category")</f>
        <v>Category</v>
      </c>
      <c r="T846" s="6" t="str">
        <f ca="1">IFERROR(__xludf.DUMMYFUNCTION("""COMPUTED_VALUE"""),"Done")</f>
        <v>Done</v>
      </c>
      <c r="U846" s="6"/>
      <c r="V846" s="6"/>
      <c r="W846" s="6"/>
      <c r="X846" s="6"/>
      <c r="Y846" s="6"/>
      <c r="Z846" s="6"/>
      <c r="AA846" s="6"/>
      <c r="AB846" s="6"/>
      <c r="AC846" s="6"/>
      <c r="AD846" s="6"/>
      <c r="AE846" s="6"/>
      <c r="AF846" s="6"/>
      <c r="AG846" s="6"/>
      <c r="AH846" s="6"/>
      <c r="AI846" s="6"/>
      <c r="AJ846" s="6"/>
      <c r="AK846" s="6"/>
      <c r="AL846" s="6"/>
    </row>
    <row r="847" spans="1:38">
      <c r="A847" s="96">
        <f ca="1">IFERROR(__xludf.DUMMYFUNCTION("""COMPUTED_VALUE"""),44599)</f>
        <v>44599</v>
      </c>
      <c r="B847" s="6" t="str">
        <f ca="1">IFERROR(__xludf.DUMMYFUNCTION("""COMPUTED_VALUE"""),"Pavan")</f>
        <v>Pavan</v>
      </c>
      <c r="C847" s="6" t="str">
        <f ca="1">IFERROR(__xludf.DUMMYFUNCTION("""COMPUTED_VALUE"""),"pavan0216@gmail.com")</f>
        <v>pavan0216@gmail.com</v>
      </c>
      <c r="D847" s="6">
        <f ca="1">IFERROR(__xludf.DUMMYFUNCTION("""COMPUTED_VALUE"""),9949040428)</f>
        <v>9949040428</v>
      </c>
      <c r="E847" s="6" t="str">
        <f ca="1">IFERROR(__xludf.DUMMYFUNCTION("""COMPUTED_VALUE"""),"Query box")</f>
        <v>Query box</v>
      </c>
      <c r="F847" s="6" t="str">
        <f ca="1">IFERROR(__xludf.DUMMYFUNCTION("""COMPUTED_VALUE"""),"Cloud Architect")</f>
        <v>Cloud Architect</v>
      </c>
      <c r="G847" s="80">
        <f ca="1">IFERROR(__xludf.DUMMYFUNCTION("""COMPUTED_VALUE"""),44593)</f>
        <v>44593</v>
      </c>
      <c r="H847" s="6" t="str">
        <f ca="1">IFERROR(__xludf.DUMMYFUNCTION("""COMPUTED_VALUE"""),"Won")</f>
        <v>Won</v>
      </c>
      <c r="I847" s="6" t="str">
        <f ca="1">IFERROR(__xludf.DUMMYFUNCTION("""COMPUTED_VALUE"""),"7 Feb 2022")</f>
        <v>7 Feb 2022</v>
      </c>
      <c r="J847" s="6">
        <f ca="1">IFERROR(__xludf.DUMMYFUNCTION("""COMPUTED_VALUE"""),1)</f>
        <v>1</v>
      </c>
      <c r="K847" s="8"/>
      <c r="L847" s="8"/>
      <c r="M847" s="96">
        <f ca="1">IFERROR(__xludf.DUMMYFUNCTION("""COMPUTED_VALUE"""),44599)</f>
        <v>44599</v>
      </c>
      <c r="N847" s="6" t="str">
        <f ca="1">IFERROR(__xludf.DUMMYFUNCTION("""COMPUTED_VALUE"""),"F10")</f>
        <v>F10</v>
      </c>
      <c r="O847" s="97">
        <f ca="1">IFERROR(__xludf.DUMMYFUNCTION("""COMPUTED_VALUE"""),44599)</f>
        <v>44599</v>
      </c>
      <c r="P847" s="6" t="str">
        <f ca="1">IFERROR(__xludf.DUMMYFUNCTION("""COMPUTED_VALUE"""),"CSTM_8YGL0VRD1LJ")</f>
        <v>CSTM_8YGL0VRD1LJ</v>
      </c>
      <c r="Q847" s="6"/>
      <c r="R847" s="6" t="str">
        <f ca="1">IFERROR(__xludf.DUMMYFUNCTION("""COMPUTED_VALUE"""),"Pending")</f>
        <v>Pending</v>
      </c>
      <c r="S847" s="6" t="str">
        <f ca="1">IFERROR(__xludf.DUMMYFUNCTION("""COMPUTED_VALUE"""),"NonCategory")</f>
        <v>NonCategory</v>
      </c>
      <c r="T847" s="6"/>
      <c r="U847" s="6"/>
      <c r="V847" s="6"/>
      <c r="W847" s="6"/>
      <c r="X847" s="6"/>
      <c r="Y847" s="6"/>
      <c r="Z847" s="6"/>
      <c r="AA847" s="6"/>
      <c r="AB847" s="6"/>
      <c r="AC847" s="6"/>
      <c r="AD847" s="6"/>
      <c r="AE847" s="6"/>
      <c r="AF847" s="6"/>
      <c r="AG847" s="6"/>
      <c r="AH847" s="6"/>
      <c r="AI847" s="6"/>
      <c r="AJ847" s="6"/>
      <c r="AK847" s="6"/>
      <c r="AL847" s="6"/>
    </row>
    <row r="848" spans="1:38">
      <c r="A848" s="96">
        <f ca="1">IFERROR(__xludf.DUMMYFUNCTION("""COMPUTED_VALUE"""),44599)</f>
        <v>44599</v>
      </c>
      <c r="B848" s="6" t="str">
        <f ca="1">IFERROR(__xludf.DUMMYFUNCTION("""COMPUTED_VALUE"""),"Rajalakshmi")</f>
        <v>Rajalakshmi</v>
      </c>
      <c r="C848" s="6" t="str">
        <f ca="1">IFERROR(__xludf.DUMMYFUNCTION("""COMPUTED_VALUE"""),"nrajalakshmi@outlook.com")</f>
        <v>nrajalakshmi@outlook.com</v>
      </c>
      <c r="D848" s="6">
        <f ca="1">IFERROR(__xludf.DUMMYFUNCTION("""COMPUTED_VALUE"""),6385101798)</f>
        <v>6385101798</v>
      </c>
      <c r="E848" s="6" t="str">
        <f ca="1">IFERROR(__xludf.DUMMYFUNCTION("""COMPUTED_VALUE"""),"Existing Account")</f>
        <v>Existing Account</v>
      </c>
      <c r="F848" s="6" t="str">
        <f ca="1">IFERROR(__xludf.DUMMYFUNCTION("""COMPUTED_VALUE"""),"SAFe Agile")</f>
        <v>SAFe Agile</v>
      </c>
      <c r="G848" s="80">
        <f ca="1">IFERROR(__xludf.DUMMYFUNCTION("""COMPUTED_VALUE"""),44593)</f>
        <v>44593</v>
      </c>
      <c r="H848" s="6" t="str">
        <f ca="1">IFERROR(__xludf.DUMMYFUNCTION("""COMPUTED_VALUE"""),"Won")</f>
        <v>Won</v>
      </c>
      <c r="I848" s="6" t="str">
        <f ca="1">IFERROR(__xludf.DUMMYFUNCTION("""COMPUTED_VALUE"""),"19-20 Feb 2022")</f>
        <v>19-20 Feb 2022</v>
      </c>
      <c r="J848" s="6">
        <f ca="1">IFERROR(__xludf.DUMMYFUNCTION("""COMPUTED_VALUE"""),1)</f>
        <v>1</v>
      </c>
      <c r="K848" s="8">
        <f ca="1">IFERROR(__xludf.DUMMYFUNCTION("""COMPUTED_VALUE"""),42000)</f>
        <v>42000</v>
      </c>
      <c r="L848" s="8">
        <f ca="1">IFERROR(__xludf.DUMMYFUNCTION("""COMPUTED_VALUE"""),480.989464040311)</f>
        <v>480.98946404031102</v>
      </c>
      <c r="M848" s="96">
        <f ca="1">IFERROR(__xludf.DUMMYFUNCTION("""COMPUTED_VALUE"""),44599)</f>
        <v>44599</v>
      </c>
      <c r="N848" s="6" t="str">
        <f ca="1">IFERROR(__xludf.DUMMYFUNCTION("""COMPUTED_VALUE"""),"F10")</f>
        <v>F10</v>
      </c>
      <c r="O848" s="97">
        <f ca="1">IFERROR(__xludf.DUMMYFUNCTION("""COMPUTED_VALUE"""),44599)</f>
        <v>44599</v>
      </c>
      <c r="P848" s="6" t="str">
        <f ca="1">IFERROR(__xludf.DUMMYFUNCTION("""COMPUTED_VALUE"""),"CSTM_IEFQ4ELJOUJ")</f>
        <v>CSTM_IEFQ4ELJOUJ</v>
      </c>
      <c r="Q848" s="6"/>
      <c r="R848" s="6" t="str">
        <f ca="1">IFERROR(__xludf.DUMMYFUNCTION("""COMPUTED_VALUE"""),"Pending")</f>
        <v>Pending</v>
      </c>
      <c r="S848" s="6" t="str">
        <f ca="1">IFERROR(__xludf.DUMMYFUNCTION("""COMPUTED_VALUE"""),"SAFe")</f>
        <v>SAFe</v>
      </c>
      <c r="T848" s="6"/>
      <c r="U848" s="6"/>
      <c r="V848" s="6"/>
      <c r="W848" s="6"/>
      <c r="X848" s="6"/>
      <c r="Y848" s="6"/>
      <c r="Z848" s="6"/>
      <c r="AA848" s="6"/>
      <c r="AB848" s="6"/>
      <c r="AC848" s="6"/>
      <c r="AD848" s="6"/>
      <c r="AE848" s="6"/>
      <c r="AF848" s="6"/>
      <c r="AG848" s="6"/>
      <c r="AH848" s="6"/>
      <c r="AI848" s="6"/>
      <c r="AJ848" s="6"/>
      <c r="AK848" s="6"/>
      <c r="AL848" s="6"/>
    </row>
    <row r="849" spans="1:38">
      <c r="A849" s="96">
        <f ca="1">IFERROR(__xludf.DUMMYFUNCTION("""COMPUTED_VALUE"""),44599)</f>
        <v>44599</v>
      </c>
      <c r="B849" s="6" t="str">
        <f ca="1">IFERROR(__xludf.DUMMYFUNCTION("""COMPUTED_VALUE"""),"Meghana")</f>
        <v>Meghana</v>
      </c>
      <c r="C849" s="6" t="str">
        <f ca="1">IFERROR(__xludf.DUMMYFUNCTION("""COMPUTED_VALUE"""),"meghanamude@gmail.com")</f>
        <v>meghanamude@gmail.com</v>
      </c>
      <c r="D849" s="6">
        <f ca="1">IFERROR(__xludf.DUMMYFUNCTION("""COMPUTED_VALUE"""),8281469543)</f>
        <v>8281469543</v>
      </c>
      <c r="E849" s="6" t="str">
        <f ca="1">IFERROR(__xludf.DUMMYFUNCTION("""COMPUTED_VALUE"""),"Reference")</f>
        <v>Reference</v>
      </c>
      <c r="F849" s="6" t="str">
        <f ca="1">IFERROR(__xludf.DUMMYFUNCTION("""COMPUTED_VALUE"""),"PSM")</f>
        <v>PSM</v>
      </c>
      <c r="G849" s="80">
        <f ca="1">IFERROR(__xludf.DUMMYFUNCTION("""COMPUTED_VALUE"""),44593)</f>
        <v>44593</v>
      </c>
      <c r="H849" s="6" t="str">
        <f ca="1">IFERROR(__xludf.DUMMYFUNCTION("""COMPUTED_VALUE"""),"Won")</f>
        <v>Won</v>
      </c>
      <c r="I849" s="6" t="str">
        <f ca="1">IFERROR(__xludf.DUMMYFUNCTION("""COMPUTED_VALUE"""),"12-13 Feb 2022")</f>
        <v>12-13 Feb 2022</v>
      </c>
      <c r="J849" s="6">
        <f ca="1">IFERROR(__xludf.DUMMYFUNCTION("""COMPUTED_VALUE"""),1)</f>
        <v>1</v>
      </c>
      <c r="K849" s="8">
        <f ca="1">IFERROR(__xludf.DUMMYFUNCTION("""COMPUTED_VALUE"""),21000)</f>
        <v>21000</v>
      </c>
      <c r="L849" s="8">
        <f ca="1">IFERROR(__xludf.DUMMYFUNCTION("""COMPUTED_VALUE"""),240.494732020155)</f>
        <v>240.494732020155</v>
      </c>
      <c r="M849" s="96">
        <f ca="1">IFERROR(__xludf.DUMMYFUNCTION("""COMPUTED_VALUE"""),44599)</f>
        <v>44599</v>
      </c>
      <c r="N849" s="6" t="str">
        <f ca="1">IFERROR(__xludf.DUMMYFUNCTION("""COMPUTED_VALUE"""),"F10")</f>
        <v>F10</v>
      </c>
      <c r="O849" s="97">
        <f ca="1">IFERROR(__xludf.DUMMYFUNCTION("""COMPUTED_VALUE"""),44599)</f>
        <v>44599</v>
      </c>
      <c r="P849" s="6" t="str">
        <f ca="1">IFERROR(__xludf.DUMMYFUNCTION("""COMPUTED_VALUE"""),"CSTM_5UH2GTAAL1I")</f>
        <v>CSTM_5UH2GTAAL1I</v>
      </c>
      <c r="Q849" s="6" t="str">
        <f ca="1">IFERROR(__xludf.DUMMYFUNCTION("""COMPUTED_VALUE"""),"Referency by Shyama - Pending")</f>
        <v>Referency by Shyama - Pending</v>
      </c>
      <c r="R849" s="6" t="str">
        <f ca="1">IFERROR(__xludf.DUMMYFUNCTION("""COMPUTED_VALUE"""),"Pending")</f>
        <v>Pending</v>
      </c>
      <c r="S849" s="6" t="str">
        <f ca="1">IFERROR(__xludf.DUMMYFUNCTION("""COMPUTED_VALUE"""),"Category")</f>
        <v>Category</v>
      </c>
      <c r="T849" s="6" t="str">
        <f ca="1">IFERROR(__xludf.DUMMYFUNCTION("""COMPUTED_VALUE"""),"Sent")</f>
        <v>Sent</v>
      </c>
      <c r="U849" s="6"/>
      <c r="V849" s="6"/>
      <c r="W849" s="6"/>
      <c r="X849" s="6"/>
      <c r="Y849" s="6"/>
      <c r="Z849" s="6"/>
      <c r="AA849" s="6"/>
      <c r="AB849" s="6"/>
      <c r="AC849" s="6"/>
      <c r="AD849" s="6"/>
      <c r="AE849" s="6"/>
      <c r="AF849" s="6"/>
      <c r="AG849" s="6"/>
      <c r="AH849" s="6"/>
      <c r="AI849" s="6"/>
      <c r="AJ849" s="6"/>
      <c r="AK849" s="6"/>
      <c r="AL849" s="6"/>
    </row>
    <row r="850" spans="1:38">
      <c r="A850" s="96">
        <f ca="1">IFERROR(__xludf.DUMMYFUNCTION("""COMPUTED_VALUE"""),44600)</f>
        <v>44600</v>
      </c>
      <c r="B850" s="6" t="str">
        <f ca="1">IFERROR(__xludf.DUMMYFUNCTION("""COMPUTED_VALUE"""),"Mubarak Noorullah")</f>
        <v>Mubarak Noorullah</v>
      </c>
      <c r="C850" s="6" t="str">
        <f ca="1">IFERROR(__xludf.DUMMYFUNCTION("""COMPUTED_VALUE"""),"mubaraknoorullah@gmail.com")</f>
        <v>mubaraknoorullah@gmail.com</v>
      </c>
      <c r="D850" s="6">
        <f ca="1">IFERROR(__xludf.DUMMYFUNCTION("""COMPUTED_VALUE"""),8870816720)</f>
        <v>8870816720</v>
      </c>
      <c r="E850" s="6" t="str">
        <f ca="1">IFERROR(__xludf.DUMMYFUNCTION("""COMPUTED_VALUE"""),"fpt")</f>
        <v>fpt</v>
      </c>
      <c r="F850" s="6" t="str">
        <f ca="1">IFERROR(__xludf.DUMMYFUNCTION("""COMPUTED_VALUE"""),"PSM")</f>
        <v>PSM</v>
      </c>
      <c r="G850" s="80">
        <f ca="1">IFERROR(__xludf.DUMMYFUNCTION("""COMPUTED_VALUE"""),44593)</f>
        <v>44593</v>
      </c>
      <c r="H850" s="6" t="str">
        <f ca="1">IFERROR(__xludf.DUMMYFUNCTION("""COMPUTED_VALUE"""),"Won")</f>
        <v>Won</v>
      </c>
      <c r="I850" s="6" t="str">
        <f ca="1">IFERROR(__xludf.DUMMYFUNCTION("""COMPUTED_VALUE"""),"12-13 Feb 2022")</f>
        <v>12-13 Feb 2022</v>
      </c>
      <c r="J850" s="6">
        <f ca="1">IFERROR(__xludf.DUMMYFUNCTION("""COMPUTED_VALUE"""),1)</f>
        <v>1</v>
      </c>
      <c r="K850" s="8">
        <f ca="1">IFERROR(__xludf.DUMMYFUNCTION("""COMPUTED_VALUE"""),21000)</f>
        <v>21000</v>
      </c>
      <c r="L850" s="8">
        <f ca="1">IFERROR(__xludf.DUMMYFUNCTION("""COMPUTED_VALUE"""),240.494732020155)</f>
        <v>240.494732020155</v>
      </c>
      <c r="M850" s="96">
        <f ca="1">IFERROR(__xludf.DUMMYFUNCTION("""COMPUTED_VALUE"""),44600)</f>
        <v>44600</v>
      </c>
      <c r="N850" s="6" t="str">
        <f ca="1">IFERROR(__xludf.DUMMYFUNCTION("""COMPUTED_VALUE"""),"F10")</f>
        <v>F10</v>
      </c>
      <c r="O850" s="97">
        <f ca="1">IFERROR(__xludf.DUMMYFUNCTION("""COMPUTED_VALUE"""),44600)</f>
        <v>44600</v>
      </c>
      <c r="P850" s="6" t="str">
        <f ca="1">IFERROR(__xludf.DUMMYFUNCTION("""COMPUTED_VALUE"""),"CSTM_5C76HDQ78CJ")</f>
        <v>CSTM_5C76HDQ78CJ</v>
      </c>
      <c r="Q850" s="6"/>
      <c r="R850" s="6" t="str">
        <f ca="1">IFERROR(__xludf.DUMMYFUNCTION("""COMPUTED_VALUE"""),"Pending")</f>
        <v>Pending</v>
      </c>
      <c r="S850" s="6" t="str">
        <f ca="1">IFERROR(__xludf.DUMMYFUNCTION("""COMPUTED_VALUE"""),"Category")</f>
        <v>Category</v>
      </c>
      <c r="T850" s="6"/>
      <c r="U850" s="6"/>
      <c r="V850" s="6"/>
      <c r="W850" s="6"/>
      <c r="X850" s="6"/>
      <c r="Y850" s="6"/>
      <c r="Z850" s="6"/>
      <c r="AA850" s="6"/>
      <c r="AB850" s="6"/>
      <c r="AC850" s="6"/>
      <c r="AD850" s="6"/>
      <c r="AE850" s="6"/>
      <c r="AF850" s="6"/>
      <c r="AG850" s="6"/>
      <c r="AH850" s="6"/>
      <c r="AI850" s="6"/>
      <c r="AJ850" s="6"/>
      <c r="AK850" s="6"/>
      <c r="AL850" s="6"/>
    </row>
    <row r="851" spans="1:38">
      <c r="A851" s="96">
        <f ca="1">IFERROR(__xludf.DUMMYFUNCTION("""COMPUTED_VALUE"""),44601)</f>
        <v>44601</v>
      </c>
      <c r="B851" s="6" t="str">
        <f ca="1">IFERROR(__xludf.DUMMYFUNCTION("""COMPUTED_VALUE"""),"Indhumathi")</f>
        <v>Indhumathi</v>
      </c>
      <c r="C851" s="6" t="str">
        <f ca="1">IFERROR(__xludf.DUMMYFUNCTION("""COMPUTED_VALUE"""),"indhu22mathi94@gmail.com")</f>
        <v>indhu22mathi94@gmail.com</v>
      </c>
      <c r="D851" s="6">
        <f ca="1">IFERROR(__xludf.DUMMYFUNCTION("""COMPUTED_VALUE"""),9566066539)</f>
        <v>9566066539</v>
      </c>
      <c r="E851" s="6" t="str">
        <f ca="1">IFERROR(__xludf.DUMMYFUNCTION("""COMPUTED_VALUE"""),"Reference")</f>
        <v>Reference</v>
      </c>
      <c r="F851" s="6" t="str">
        <f ca="1">IFERROR(__xludf.DUMMYFUNCTION("""COMPUTED_VALUE"""),"CSM")</f>
        <v>CSM</v>
      </c>
      <c r="G851" s="80">
        <f ca="1">IFERROR(__xludf.DUMMYFUNCTION("""COMPUTED_VALUE"""),44593)</f>
        <v>44593</v>
      </c>
      <c r="H851" s="6" t="str">
        <f ca="1">IFERROR(__xludf.DUMMYFUNCTION("""COMPUTED_VALUE"""),"Won")</f>
        <v>Won</v>
      </c>
      <c r="I851" s="6" t="str">
        <f ca="1">IFERROR(__xludf.DUMMYFUNCTION("""COMPUTED_VALUE"""),"15-16 Feb 2022")</f>
        <v>15-16 Feb 2022</v>
      </c>
      <c r="J851" s="6">
        <f ca="1">IFERROR(__xludf.DUMMYFUNCTION("""COMPUTED_VALUE"""),1)</f>
        <v>1</v>
      </c>
      <c r="K851" s="8">
        <f ca="1">IFERROR(__xludf.DUMMYFUNCTION("""COMPUTED_VALUE"""),20000)</f>
        <v>20000</v>
      </c>
      <c r="L851" s="8">
        <f ca="1">IFERROR(__xludf.DUMMYFUNCTION("""COMPUTED_VALUE"""),229.042601923957)</f>
        <v>229.04260192395699</v>
      </c>
      <c r="M851" s="96">
        <f ca="1">IFERROR(__xludf.DUMMYFUNCTION("""COMPUTED_VALUE"""),44601)</f>
        <v>44601</v>
      </c>
      <c r="N851" s="6" t="str">
        <f ca="1">IFERROR(__xludf.DUMMYFUNCTION("""COMPUTED_VALUE"""),"F10")</f>
        <v>F10</v>
      </c>
      <c r="O851" s="97">
        <f ca="1">IFERROR(__xludf.DUMMYFUNCTION("""COMPUTED_VALUE"""),44602)</f>
        <v>44602</v>
      </c>
      <c r="P851" s="6" t="str">
        <f ca="1">IFERROR(__xludf.DUMMYFUNCTION("""COMPUTED_VALUE"""),"CSTM_92SHCCNY84D")</f>
        <v>CSTM_92SHCCNY84D</v>
      </c>
      <c r="Q851" s="6" t="str">
        <f ca="1">IFERROR(__xludf.DUMMYFUNCTION("""COMPUTED_VALUE"""),"Aurko - Done")</f>
        <v>Aurko - Done</v>
      </c>
      <c r="R851" s="6" t="str">
        <f ca="1">IFERROR(__xludf.DUMMYFUNCTION("""COMPUTED_VALUE"""),"Pending")</f>
        <v>Pending</v>
      </c>
      <c r="S851" s="6" t="str">
        <f ca="1">IFERROR(__xludf.DUMMYFUNCTION("""COMPUTED_VALUE"""),"Category")</f>
        <v>Category</v>
      </c>
      <c r="T851" s="6" t="str">
        <f ca="1">IFERROR(__xludf.DUMMYFUNCTION("""COMPUTED_VALUE"""),"Done")</f>
        <v>Done</v>
      </c>
      <c r="U851" s="6"/>
      <c r="V851" s="6"/>
      <c r="W851" s="6"/>
      <c r="X851" s="6"/>
      <c r="Y851" s="6"/>
      <c r="Z851" s="6"/>
      <c r="AA851" s="6"/>
      <c r="AB851" s="6"/>
      <c r="AC851" s="6"/>
      <c r="AD851" s="6"/>
      <c r="AE851" s="6"/>
      <c r="AF851" s="6"/>
      <c r="AG851" s="6"/>
      <c r="AH851" s="6"/>
      <c r="AI851" s="6"/>
      <c r="AJ851" s="6"/>
      <c r="AK851" s="6"/>
      <c r="AL851" s="6"/>
    </row>
    <row r="852" spans="1:38">
      <c r="A852" s="96">
        <f ca="1">IFERROR(__xludf.DUMMYFUNCTION("""COMPUTED_VALUE"""),44602)</f>
        <v>44602</v>
      </c>
      <c r="B852" s="6" t="str">
        <f ca="1">IFERROR(__xludf.DUMMYFUNCTION("""COMPUTED_VALUE"""),"Shruti Buradesh")</f>
        <v>Shruti Buradesh</v>
      </c>
      <c r="C852" s="6" t="str">
        <f ca="1">IFERROR(__xludf.DUMMYFUNCTION("""COMPUTED_VALUE"""),"buradeshruti@gmail.com")</f>
        <v>buradeshruti@gmail.com</v>
      </c>
      <c r="D852" s="6">
        <f ca="1">IFERROR(__xludf.DUMMYFUNCTION("""COMPUTED_VALUE"""),7263927573)</f>
        <v>7263927573</v>
      </c>
      <c r="E852" s="6" t="str">
        <f ca="1">IFERROR(__xludf.DUMMYFUNCTION("""COMPUTED_VALUE"""),"chat_initiated")</f>
        <v>chat_initiated</v>
      </c>
      <c r="F852" s="6" t="str">
        <f ca="1">IFERROR(__xludf.DUMMYFUNCTION("""COMPUTED_VALUE"""),"CSM")</f>
        <v>CSM</v>
      </c>
      <c r="G852" s="80">
        <f ca="1">IFERROR(__xludf.DUMMYFUNCTION("""COMPUTED_VALUE"""),44593)</f>
        <v>44593</v>
      </c>
      <c r="H852" s="6" t="str">
        <f ca="1">IFERROR(__xludf.DUMMYFUNCTION("""COMPUTED_VALUE"""),"Won")</f>
        <v>Won</v>
      </c>
      <c r="I852" s="6" t="str">
        <f ca="1">IFERROR(__xludf.DUMMYFUNCTION("""COMPUTED_VALUE"""),"26-27 Feb 2022")</f>
        <v>26-27 Feb 2022</v>
      </c>
      <c r="J852" s="6">
        <f ca="1">IFERROR(__xludf.DUMMYFUNCTION("""COMPUTED_VALUE"""),1)</f>
        <v>1</v>
      </c>
      <c r="K852" s="8">
        <f ca="1">IFERROR(__xludf.DUMMYFUNCTION("""COMPUTED_VALUE"""),20000)</f>
        <v>20000</v>
      </c>
      <c r="L852" s="8">
        <f ca="1">IFERROR(__xludf.DUMMYFUNCTION("""COMPUTED_VALUE"""),229.042601923957)</f>
        <v>229.04260192395699</v>
      </c>
      <c r="M852" s="96">
        <f ca="1">IFERROR(__xludf.DUMMYFUNCTION("""COMPUTED_VALUE"""),44602)</f>
        <v>44602</v>
      </c>
      <c r="N852" s="6" t="str">
        <f ca="1">IFERROR(__xludf.DUMMYFUNCTION("""COMPUTED_VALUE"""),"F10")</f>
        <v>F10</v>
      </c>
      <c r="O852" s="97">
        <f ca="1">IFERROR(__xludf.DUMMYFUNCTION("""COMPUTED_VALUE"""),44602)</f>
        <v>44602</v>
      </c>
      <c r="P852" s="6" t="str">
        <f ca="1">IFERROR(__xludf.DUMMYFUNCTION("""COMPUTED_VALUE"""),"CSTM_7CTL2BYBPNO")</f>
        <v>CSTM_7CTL2BYBPNO</v>
      </c>
      <c r="Q852" s="6"/>
      <c r="R852" s="6" t="str">
        <f ca="1">IFERROR(__xludf.DUMMYFUNCTION("""COMPUTED_VALUE"""),"Pending")</f>
        <v>Pending</v>
      </c>
      <c r="S852" s="6" t="str">
        <f ca="1">IFERROR(__xludf.DUMMYFUNCTION("""COMPUTED_VALUE"""),"Category")</f>
        <v>Category</v>
      </c>
      <c r="T852" s="6"/>
      <c r="U852" s="6"/>
      <c r="V852" s="6"/>
      <c r="W852" s="6"/>
      <c r="X852" s="6"/>
      <c r="Y852" s="6"/>
      <c r="Z852" s="6"/>
      <c r="AA852" s="6"/>
      <c r="AB852" s="6"/>
      <c r="AC852" s="6"/>
      <c r="AD852" s="6"/>
      <c r="AE852" s="6"/>
      <c r="AF852" s="6"/>
      <c r="AG852" s="6"/>
      <c r="AH852" s="6"/>
      <c r="AI852" s="6"/>
      <c r="AJ852" s="6"/>
      <c r="AK852" s="6"/>
      <c r="AL852" s="6"/>
    </row>
    <row r="853" spans="1:38">
      <c r="A853" s="96">
        <f ca="1">IFERROR(__xludf.DUMMYFUNCTION("""COMPUTED_VALUE"""),44602)</f>
        <v>44602</v>
      </c>
      <c r="B853" s="6" t="str">
        <f ca="1">IFERROR(__xludf.DUMMYFUNCTION("""COMPUTED_VALUE"""),"Jagprit")</f>
        <v>Jagprit</v>
      </c>
      <c r="C853" s="6" t="str">
        <f ca="1">IFERROR(__xludf.DUMMYFUNCTION("""COMPUTED_VALUE"""),"umeey.us@gmail.com")</f>
        <v>umeey.us@gmail.com</v>
      </c>
      <c r="D853" s="6">
        <f ca="1">IFERROR(__xludf.DUMMYFUNCTION("""COMPUTED_VALUE"""),9867888480)</f>
        <v>9867888480</v>
      </c>
      <c r="E853" s="6" t="str">
        <f ca="1">IFERROR(__xludf.DUMMYFUNCTION("""COMPUTED_VALUE"""),"Reference")</f>
        <v>Reference</v>
      </c>
      <c r="F853" s="6" t="str">
        <f ca="1">IFERROR(__xludf.DUMMYFUNCTION("""COMPUTED_VALUE"""),"SAFe Agile")</f>
        <v>SAFe Agile</v>
      </c>
      <c r="G853" s="80">
        <f ca="1">IFERROR(__xludf.DUMMYFUNCTION("""COMPUTED_VALUE"""),44593)</f>
        <v>44593</v>
      </c>
      <c r="H853" s="6" t="str">
        <f ca="1">IFERROR(__xludf.DUMMYFUNCTION("""COMPUTED_VALUE"""),"Won")</f>
        <v>Won</v>
      </c>
      <c r="I853" s="6" t="str">
        <f ca="1">IFERROR(__xludf.DUMMYFUNCTION("""COMPUTED_VALUE"""),"12-13 Feb 2022")</f>
        <v>12-13 Feb 2022</v>
      </c>
      <c r="J853" s="6">
        <f ca="1">IFERROR(__xludf.DUMMYFUNCTION("""COMPUTED_VALUE"""),1)</f>
        <v>1</v>
      </c>
      <c r="K853" s="8">
        <f ca="1">IFERROR(__xludf.DUMMYFUNCTION("""COMPUTED_VALUE"""),44364)</f>
        <v>44364</v>
      </c>
      <c r="L853" s="8">
        <f ca="1">IFERROR(__xludf.DUMMYFUNCTION("""COMPUTED_VALUE"""),508.062299587723)</f>
        <v>508.06229958772298</v>
      </c>
      <c r="M853" s="96">
        <f ca="1">IFERROR(__xludf.DUMMYFUNCTION("""COMPUTED_VALUE"""),44602)</f>
        <v>44602</v>
      </c>
      <c r="N853" s="6" t="str">
        <f ca="1">IFERROR(__xludf.DUMMYFUNCTION("""COMPUTED_VALUE"""),"F10")</f>
        <v>F10</v>
      </c>
      <c r="O853" s="97">
        <f ca="1">IFERROR(__xludf.DUMMYFUNCTION("""COMPUTED_VALUE"""),44602)</f>
        <v>44602</v>
      </c>
      <c r="P853" s="6" t="str">
        <f ca="1">IFERROR(__xludf.DUMMYFUNCTION("""COMPUTED_VALUE"""),"CSTM_1JF5EGN5LYP")</f>
        <v>CSTM_1JF5EGN5LYP</v>
      </c>
      <c r="Q853" s="6" t="str">
        <f ca="1">IFERROR(__xludf.DUMMYFUNCTION("""COMPUTED_VALUE"""),"Reference by rtiwariops@gmail.com")</f>
        <v>Reference by rtiwariops@gmail.com</v>
      </c>
      <c r="R853" s="6" t="str">
        <f ca="1">IFERROR(__xludf.DUMMYFUNCTION("""COMPUTED_VALUE"""),"Pending")</f>
        <v>Pending</v>
      </c>
      <c r="S853" s="6" t="str">
        <f ca="1">IFERROR(__xludf.DUMMYFUNCTION("""COMPUTED_VALUE"""),"SAFe")</f>
        <v>SAFe</v>
      </c>
      <c r="T853" s="6"/>
      <c r="U853" s="6"/>
      <c r="V853" s="6"/>
      <c r="W853" s="6"/>
      <c r="X853" s="6"/>
      <c r="Y853" s="6"/>
      <c r="Z853" s="6"/>
      <c r="AA853" s="6"/>
      <c r="AB853" s="6"/>
      <c r="AC853" s="6"/>
      <c r="AD853" s="6"/>
      <c r="AE853" s="6"/>
      <c r="AF853" s="6"/>
      <c r="AG853" s="6"/>
      <c r="AH853" s="6"/>
      <c r="AI853" s="6"/>
      <c r="AJ853" s="6"/>
      <c r="AK853" s="6"/>
      <c r="AL853" s="6"/>
    </row>
    <row r="854" spans="1:38">
      <c r="A854" s="96">
        <f ca="1">IFERROR(__xludf.DUMMYFUNCTION("""COMPUTED_VALUE"""),44603)</f>
        <v>44603</v>
      </c>
      <c r="B854" s="6" t="str">
        <f ca="1">IFERROR(__xludf.DUMMYFUNCTION("""COMPUTED_VALUE"""),"Babita Upadhyay")</f>
        <v>Babita Upadhyay</v>
      </c>
      <c r="C854" s="6" t="str">
        <f ca="1">IFERROR(__xludf.DUMMYFUNCTION("""COMPUTED_VALUE"""),"babitaupadhyay15@gmail.com")</f>
        <v>babitaupadhyay15@gmail.com</v>
      </c>
      <c r="D854" s="6">
        <f ca="1">IFERROR(__xludf.DUMMYFUNCTION("""COMPUTED_VALUE"""),9175027175)</f>
        <v>9175027175</v>
      </c>
      <c r="E854" s="6" t="str">
        <f ca="1">IFERROR(__xludf.DUMMYFUNCTION("""COMPUTED_VALUE"""),"Chat_triggered")</f>
        <v>Chat_triggered</v>
      </c>
      <c r="F854" s="6" t="str">
        <f ca="1">IFERROR(__xludf.DUMMYFUNCTION("""COMPUTED_VALUE"""),"PSM")</f>
        <v>PSM</v>
      </c>
      <c r="G854" s="80">
        <f ca="1">IFERROR(__xludf.DUMMYFUNCTION("""COMPUTED_VALUE"""),44593)</f>
        <v>44593</v>
      </c>
      <c r="H854" s="6" t="str">
        <f ca="1">IFERROR(__xludf.DUMMYFUNCTION("""COMPUTED_VALUE"""),"Won")</f>
        <v>Won</v>
      </c>
      <c r="I854" s="6" t="str">
        <f ca="1">IFERROR(__xludf.DUMMYFUNCTION("""COMPUTED_VALUE"""),"19-20 Feb 2022")</f>
        <v>19-20 Feb 2022</v>
      </c>
      <c r="J854" s="6">
        <f ca="1">IFERROR(__xludf.DUMMYFUNCTION("""COMPUTED_VALUE"""),1)</f>
        <v>1</v>
      </c>
      <c r="K854" s="8">
        <f ca="1">IFERROR(__xludf.DUMMYFUNCTION("""COMPUTED_VALUE"""),21000)</f>
        <v>21000</v>
      </c>
      <c r="L854" s="8">
        <f ca="1">IFERROR(__xludf.DUMMYFUNCTION("""COMPUTED_VALUE"""),240.494732020155)</f>
        <v>240.494732020155</v>
      </c>
      <c r="M854" s="96">
        <f ca="1">IFERROR(__xludf.DUMMYFUNCTION("""COMPUTED_VALUE"""),44603)</f>
        <v>44603</v>
      </c>
      <c r="N854" s="6" t="str">
        <f ca="1">IFERROR(__xludf.DUMMYFUNCTION("""COMPUTED_VALUE"""),"S10")</f>
        <v>S10</v>
      </c>
      <c r="O854" s="97">
        <f ca="1">IFERROR(__xludf.DUMMYFUNCTION("""COMPUTED_VALUE"""),44606)</f>
        <v>44606</v>
      </c>
      <c r="P854" s="6" t="str">
        <f ca="1">IFERROR(__xludf.DUMMYFUNCTION("""COMPUTED_VALUE"""),"CSTM_FVZETHE26B9")</f>
        <v>CSTM_FVZETHE26B9</v>
      </c>
      <c r="Q854" s="6"/>
      <c r="R854" s="6" t="str">
        <f ca="1">IFERROR(__xludf.DUMMYFUNCTION("""COMPUTED_VALUE"""),"Pending")</f>
        <v>Pending</v>
      </c>
      <c r="S854" s="6" t="str">
        <f ca="1">IFERROR(__xludf.DUMMYFUNCTION("""COMPUTED_VALUE"""),"Category")</f>
        <v>Category</v>
      </c>
      <c r="T854" s="6"/>
      <c r="U854" s="6"/>
      <c r="V854" s="6"/>
      <c r="W854" s="6"/>
      <c r="X854" s="6"/>
      <c r="Y854" s="6"/>
      <c r="Z854" s="6"/>
      <c r="AA854" s="6"/>
      <c r="AB854" s="6"/>
      <c r="AC854" s="6"/>
      <c r="AD854" s="6"/>
      <c r="AE854" s="6"/>
      <c r="AF854" s="6"/>
      <c r="AG854" s="6"/>
      <c r="AH854" s="6"/>
      <c r="AI854" s="6"/>
      <c r="AJ854" s="6"/>
      <c r="AK854" s="6"/>
      <c r="AL854" s="6"/>
    </row>
    <row r="855" spans="1:38">
      <c r="A855" s="96">
        <f ca="1">IFERROR(__xludf.DUMMYFUNCTION("""COMPUTED_VALUE"""),44603)</f>
        <v>44603</v>
      </c>
      <c r="B855" s="6" t="str">
        <f ca="1">IFERROR(__xludf.DUMMYFUNCTION("""COMPUTED_VALUE"""),"Mahesh Balla")</f>
        <v>Mahesh Balla</v>
      </c>
      <c r="C855" s="6" t="str">
        <f ca="1">IFERROR(__xludf.DUMMYFUNCTION("""COMPUTED_VALUE"""),"mahesh.balla@gmail.com")</f>
        <v>mahesh.balla@gmail.com</v>
      </c>
      <c r="D855" s="6">
        <f ca="1">IFERROR(__xludf.DUMMYFUNCTION("""COMPUTED_VALUE"""),9912544344)</f>
        <v>9912544344</v>
      </c>
      <c r="E855" s="6" t="str">
        <f ca="1">IFERROR(__xludf.DUMMYFUNCTION("""COMPUTED_VALUE"""),"Tollfree")</f>
        <v>Tollfree</v>
      </c>
      <c r="F855" s="6" t="str">
        <f ca="1">IFERROR(__xludf.DUMMYFUNCTION("""COMPUTED_VALUE"""),"SAFe Agile")</f>
        <v>SAFe Agile</v>
      </c>
      <c r="G855" s="80">
        <f ca="1">IFERROR(__xludf.DUMMYFUNCTION("""COMPUTED_VALUE"""),44593)</f>
        <v>44593</v>
      </c>
      <c r="H855" s="6" t="str">
        <f ca="1">IFERROR(__xludf.DUMMYFUNCTION("""COMPUTED_VALUE"""),"Won")</f>
        <v>Won</v>
      </c>
      <c r="I855" s="6" t="str">
        <f ca="1">IFERROR(__xludf.DUMMYFUNCTION("""COMPUTED_VALUE"""),"12-13 Feb 2022")</f>
        <v>12-13 Feb 2022</v>
      </c>
      <c r="J855" s="6">
        <f ca="1">IFERROR(__xludf.DUMMYFUNCTION("""COMPUTED_VALUE"""),1)</f>
        <v>1</v>
      </c>
      <c r="K855" s="8">
        <f ca="1">IFERROR(__xludf.DUMMYFUNCTION("""COMPUTED_VALUE"""),42000)</f>
        <v>42000</v>
      </c>
      <c r="L855" s="8">
        <f ca="1">IFERROR(__xludf.DUMMYFUNCTION("""COMPUTED_VALUE"""),480.989464040311)</f>
        <v>480.98946404031102</v>
      </c>
      <c r="M855" s="96">
        <f ca="1">IFERROR(__xludf.DUMMYFUNCTION("""COMPUTED_VALUE"""),44603)</f>
        <v>44603</v>
      </c>
      <c r="N855" s="6" t="str">
        <f ca="1">IFERROR(__xludf.DUMMYFUNCTION("""COMPUTED_VALUE"""),"S10")</f>
        <v>S10</v>
      </c>
      <c r="O855" s="97">
        <f ca="1">IFERROR(__xludf.DUMMYFUNCTION("""COMPUTED_VALUE"""),44603)</f>
        <v>44603</v>
      </c>
      <c r="P855" s="6" t="str">
        <f ca="1">IFERROR(__xludf.DUMMYFUNCTION("""COMPUTED_VALUE"""),"CSTM_G1XDQ51F1FH")</f>
        <v>CSTM_G1XDQ51F1FH</v>
      </c>
      <c r="Q855" s="6"/>
      <c r="R855" s="6" t="str">
        <f ca="1">IFERROR(__xludf.DUMMYFUNCTION("""COMPUTED_VALUE"""),"Pending")</f>
        <v>Pending</v>
      </c>
      <c r="S855" s="6" t="str">
        <f ca="1">IFERROR(__xludf.DUMMYFUNCTION("""COMPUTED_VALUE"""),"SAFe")</f>
        <v>SAFe</v>
      </c>
      <c r="T855" s="6"/>
      <c r="U855" s="6"/>
      <c r="V855" s="6"/>
      <c r="W855" s="6"/>
      <c r="X855" s="6"/>
      <c r="Y855" s="6"/>
      <c r="Z855" s="6"/>
      <c r="AA855" s="6"/>
      <c r="AB855" s="6"/>
      <c r="AC855" s="6"/>
      <c r="AD855" s="6"/>
      <c r="AE855" s="6"/>
      <c r="AF855" s="6"/>
      <c r="AG855" s="6"/>
      <c r="AH855" s="6"/>
      <c r="AI855" s="6"/>
      <c r="AJ855" s="6"/>
      <c r="AK855" s="6"/>
      <c r="AL855" s="6"/>
    </row>
    <row r="856" spans="1:38">
      <c r="A856" s="96">
        <f ca="1">IFERROR(__xludf.DUMMYFUNCTION("""COMPUTED_VALUE"""),44603)</f>
        <v>44603</v>
      </c>
      <c r="B856" s="6" t="str">
        <f ca="1">IFERROR(__xludf.DUMMYFUNCTION("""COMPUTED_VALUE"""),"Suresh D")</f>
        <v>Suresh D</v>
      </c>
      <c r="C856" s="6" t="str">
        <f ca="1">IFERROR(__xludf.DUMMYFUNCTION("""COMPUTED_VALUE"""),"sureshds86@gmail.com")</f>
        <v>sureshds86@gmail.com</v>
      </c>
      <c r="D856" s="6">
        <f ca="1">IFERROR(__xludf.DUMMYFUNCTION("""COMPUTED_VALUE"""),9843942326)</f>
        <v>9843942326</v>
      </c>
      <c r="E856" s="6" t="str">
        <f ca="1">IFERROR(__xludf.DUMMYFUNCTION("""COMPUTED_VALUE"""),"Chat_triggered")</f>
        <v>Chat_triggered</v>
      </c>
      <c r="F856" s="6" t="str">
        <f ca="1">IFERROR(__xludf.DUMMYFUNCTION("""COMPUTED_VALUE"""),"PSM")</f>
        <v>PSM</v>
      </c>
      <c r="G856" s="80">
        <f ca="1">IFERROR(__xludf.DUMMYFUNCTION("""COMPUTED_VALUE"""),44593)</f>
        <v>44593</v>
      </c>
      <c r="H856" s="6" t="str">
        <f ca="1">IFERROR(__xludf.DUMMYFUNCTION("""COMPUTED_VALUE"""),"Won")</f>
        <v>Won</v>
      </c>
      <c r="I856" s="6" t="str">
        <f ca="1">IFERROR(__xludf.DUMMYFUNCTION("""COMPUTED_VALUE"""),"5-6 March 2022")</f>
        <v>5-6 March 2022</v>
      </c>
      <c r="J856" s="6">
        <f ca="1">IFERROR(__xludf.DUMMYFUNCTION("""COMPUTED_VALUE"""),1)</f>
        <v>1</v>
      </c>
      <c r="K856" s="8">
        <f ca="1">IFERROR(__xludf.DUMMYFUNCTION("""COMPUTED_VALUE"""),21000)</f>
        <v>21000</v>
      </c>
      <c r="L856" s="8">
        <f ca="1">IFERROR(__xludf.DUMMYFUNCTION("""COMPUTED_VALUE"""),240.494732020155)</f>
        <v>240.494732020155</v>
      </c>
      <c r="M856" s="96">
        <f ca="1">IFERROR(__xludf.DUMMYFUNCTION("""COMPUTED_VALUE"""),44603)</f>
        <v>44603</v>
      </c>
      <c r="N856" s="6" t="str">
        <f ca="1">IFERROR(__xludf.DUMMYFUNCTION("""COMPUTED_VALUE"""),"S10")</f>
        <v>S10</v>
      </c>
      <c r="O856" s="97">
        <f ca="1">IFERROR(__xludf.DUMMYFUNCTION("""COMPUTED_VALUE"""),44603)</f>
        <v>44603</v>
      </c>
      <c r="P856" s="6" t="str">
        <f ca="1">IFERROR(__xludf.DUMMYFUNCTION("""COMPUTED_VALUE"""),"CSTM_J1H3NNKVZQ9")</f>
        <v>CSTM_J1H3NNKVZQ9</v>
      </c>
      <c r="Q856" s="6"/>
      <c r="R856" s="6" t="str">
        <f ca="1">IFERROR(__xludf.DUMMYFUNCTION("""COMPUTED_VALUE"""),"Pending")</f>
        <v>Pending</v>
      </c>
      <c r="S856" s="6" t="str">
        <f ca="1">IFERROR(__xludf.DUMMYFUNCTION("""COMPUTED_VALUE"""),"Category")</f>
        <v>Category</v>
      </c>
      <c r="T856" s="6"/>
      <c r="U856" s="6"/>
      <c r="V856" s="6"/>
      <c r="W856" s="6"/>
      <c r="X856" s="6"/>
      <c r="Y856" s="6"/>
      <c r="Z856" s="6"/>
      <c r="AA856" s="6"/>
      <c r="AB856" s="6"/>
      <c r="AC856" s="6"/>
      <c r="AD856" s="6"/>
      <c r="AE856" s="6"/>
      <c r="AF856" s="6"/>
      <c r="AG856" s="6"/>
      <c r="AH856" s="6"/>
      <c r="AI856" s="6"/>
      <c r="AJ856" s="6"/>
      <c r="AK856" s="6"/>
      <c r="AL856" s="6"/>
    </row>
    <row r="857" spans="1:38">
      <c r="A857" s="96">
        <f ca="1">IFERROR(__xludf.DUMMYFUNCTION("""COMPUTED_VALUE"""),44604)</f>
        <v>44604</v>
      </c>
      <c r="B857" s="6" t="str">
        <f ca="1">IFERROR(__xludf.DUMMYFUNCTION("""COMPUTED_VALUE"""),"Mahesh Kumar")</f>
        <v>Mahesh Kumar</v>
      </c>
      <c r="C857" s="6" t="str">
        <f ca="1">IFERROR(__xludf.DUMMYFUNCTION("""COMPUTED_VALUE"""),"maheshkumar83@gmail.com")</f>
        <v>maheshkumar83@gmail.com</v>
      </c>
      <c r="D857" s="6">
        <f ca="1">IFERROR(__xludf.DUMMYFUNCTION("""COMPUTED_VALUE"""),9902912795)</f>
        <v>9902912795</v>
      </c>
      <c r="E857" s="6" t="str">
        <f ca="1">IFERROR(__xludf.DUMMYFUNCTION("""COMPUTED_VALUE"""),"Chat_triggered")</f>
        <v>Chat_triggered</v>
      </c>
      <c r="F857" s="6" t="str">
        <f ca="1">IFERROR(__xludf.DUMMYFUNCTION("""COMPUTED_VALUE"""),"ITIL")</f>
        <v>ITIL</v>
      </c>
      <c r="G857" s="80">
        <f ca="1">IFERROR(__xludf.DUMMYFUNCTION("""COMPUTED_VALUE"""),44593)</f>
        <v>44593</v>
      </c>
      <c r="H857" s="6" t="str">
        <f ca="1">IFERROR(__xludf.DUMMYFUNCTION("""COMPUTED_VALUE"""),"Won")</f>
        <v>Won</v>
      </c>
      <c r="I857" s="6" t="str">
        <f ca="1">IFERROR(__xludf.DUMMYFUNCTION("""COMPUTED_VALUE"""),"14 Feb 2022")</f>
        <v>14 Feb 2022</v>
      </c>
      <c r="J857" s="6">
        <f ca="1">IFERROR(__xludf.DUMMYFUNCTION("""COMPUTED_VALUE"""),1)</f>
        <v>1</v>
      </c>
      <c r="K857" s="8">
        <f ca="1">IFERROR(__xludf.DUMMYFUNCTION("""COMPUTED_VALUE"""),16000)</f>
        <v>16000</v>
      </c>
      <c r="L857" s="8">
        <f ca="1">IFERROR(__xludf.DUMMYFUNCTION("""COMPUTED_VALUE"""),183.234081539166)</f>
        <v>183.234081539166</v>
      </c>
      <c r="M857" s="96">
        <f ca="1">IFERROR(__xludf.DUMMYFUNCTION("""COMPUTED_VALUE"""),44604)</f>
        <v>44604</v>
      </c>
      <c r="N857" s="6" t="str">
        <f ca="1">IFERROR(__xludf.DUMMYFUNCTION("""COMPUTED_VALUE"""),"S10")</f>
        <v>S10</v>
      </c>
      <c r="O857" s="97">
        <f ca="1">IFERROR(__xludf.DUMMYFUNCTION("""COMPUTED_VALUE"""),44604)</f>
        <v>44604</v>
      </c>
      <c r="P857" s="6" t="str">
        <f ca="1">IFERROR(__xludf.DUMMYFUNCTION("""COMPUTED_VALUE"""),"CSTM_8XY9KS0B5GE")</f>
        <v>CSTM_8XY9KS0B5GE</v>
      </c>
      <c r="Q857" s="6"/>
      <c r="R857" s="6" t="str">
        <f ca="1">IFERROR(__xludf.DUMMYFUNCTION("""COMPUTED_VALUE"""),"Pending")</f>
        <v>Pending</v>
      </c>
      <c r="S857" s="6" t="str">
        <f ca="1">IFERROR(__xludf.DUMMYFUNCTION("""COMPUTED_VALUE"""),"NonCategory")</f>
        <v>NonCategory</v>
      </c>
      <c r="T857" s="6"/>
      <c r="U857" s="6"/>
      <c r="V857" s="6"/>
      <c r="W857" s="6"/>
      <c r="X857" s="6"/>
      <c r="Y857" s="6"/>
      <c r="Z857" s="6"/>
      <c r="AA857" s="6"/>
      <c r="AB857" s="6"/>
      <c r="AC857" s="6"/>
      <c r="AD857" s="6"/>
      <c r="AE857" s="6"/>
      <c r="AF857" s="6"/>
      <c r="AG857" s="6"/>
      <c r="AH857" s="6"/>
      <c r="AI857" s="6"/>
      <c r="AJ857" s="6"/>
      <c r="AK857" s="6"/>
      <c r="AL857" s="6"/>
    </row>
    <row r="858" spans="1:38">
      <c r="A858" s="96">
        <f ca="1">IFERROR(__xludf.DUMMYFUNCTION("""COMPUTED_VALUE"""),44604)</f>
        <v>44604</v>
      </c>
      <c r="B858" s="6" t="str">
        <f ca="1">IFERROR(__xludf.DUMMYFUNCTION("""COMPUTED_VALUE"""),"Vandana")</f>
        <v>Vandana</v>
      </c>
      <c r="C858" s="6" t="str">
        <f ca="1">IFERROR(__xludf.DUMMYFUNCTION("""COMPUTED_VALUE"""),"vrawat21993@gmail.com")</f>
        <v>vrawat21993@gmail.com</v>
      </c>
      <c r="D858" s="6">
        <f ca="1">IFERROR(__xludf.DUMMYFUNCTION("""COMPUTED_VALUE"""),7982279406)</f>
        <v>7982279406</v>
      </c>
      <c r="E858" s="6" t="str">
        <f ca="1">IFERROR(__xludf.DUMMYFUNCTION("""COMPUTED_VALUE"""),"Reference")</f>
        <v>Reference</v>
      </c>
      <c r="F858" s="6" t="str">
        <f ca="1">IFERROR(__xludf.DUMMYFUNCTION("""COMPUTED_VALUE"""),"PSM")</f>
        <v>PSM</v>
      </c>
      <c r="G858" s="80">
        <f ca="1">IFERROR(__xludf.DUMMYFUNCTION("""COMPUTED_VALUE"""),44593)</f>
        <v>44593</v>
      </c>
      <c r="H858" s="6" t="str">
        <f ca="1">IFERROR(__xludf.DUMMYFUNCTION("""COMPUTED_VALUE"""),"Won")</f>
        <v>Won</v>
      </c>
      <c r="I858" s="6" t="str">
        <f ca="1">IFERROR(__xludf.DUMMYFUNCTION("""COMPUTED_VALUE"""),"19-20 Feb 2022")</f>
        <v>19-20 Feb 2022</v>
      </c>
      <c r="J858" s="6">
        <f ca="1">IFERROR(__xludf.DUMMYFUNCTION("""COMPUTED_VALUE"""),1)</f>
        <v>1</v>
      </c>
      <c r="K858" s="8">
        <f ca="1">IFERROR(__xludf.DUMMYFUNCTION("""COMPUTED_VALUE"""),21000)</f>
        <v>21000</v>
      </c>
      <c r="L858" s="8">
        <f ca="1">IFERROR(__xludf.DUMMYFUNCTION("""COMPUTED_VALUE"""),240.494732020155)</f>
        <v>240.494732020155</v>
      </c>
      <c r="M858" s="96">
        <f ca="1">IFERROR(__xludf.DUMMYFUNCTION("""COMPUTED_VALUE"""),44604)</f>
        <v>44604</v>
      </c>
      <c r="N858" s="6" t="str">
        <f ca="1">IFERROR(__xludf.DUMMYFUNCTION("""COMPUTED_VALUE"""),"S10")</f>
        <v>S10</v>
      </c>
      <c r="O858" s="97">
        <f ca="1">IFERROR(__xludf.DUMMYFUNCTION("""COMPUTED_VALUE"""),44604)</f>
        <v>44604</v>
      </c>
      <c r="P858" s="6" t="str">
        <f ca="1">IFERROR(__xludf.DUMMYFUNCTION("""COMPUTED_VALUE"""),"CSTM_JIXDATV1WHA")</f>
        <v>CSTM_JIXDATV1WHA</v>
      </c>
      <c r="Q858" s="6" t="str">
        <f ca="1">IFERROR(__xludf.DUMMYFUNCTION("""COMPUTED_VALUE"""),"Keerti - Pending")</f>
        <v>Keerti - Pending</v>
      </c>
      <c r="R858" s="6" t="str">
        <f ca="1">IFERROR(__xludf.DUMMYFUNCTION("""COMPUTED_VALUE"""),"Pending")</f>
        <v>Pending</v>
      </c>
      <c r="S858" s="6" t="str">
        <f ca="1">IFERROR(__xludf.DUMMYFUNCTION("""COMPUTED_VALUE"""),"Category")</f>
        <v>Category</v>
      </c>
      <c r="T858" s="6" t="str">
        <f ca="1">IFERROR(__xludf.DUMMYFUNCTION("""COMPUTED_VALUE"""),"Keerti - Pending")</f>
        <v>Keerti - Pending</v>
      </c>
      <c r="U858" s="6"/>
      <c r="V858" s="6"/>
      <c r="W858" s="6"/>
      <c r="X858" s="6"/>
      <c r="Y858" s="6"/>
      <c r="Z858" s="6"/>
      <c r="AA858" s="6"/>
      <c r="AB858" s="6"/>
      <c r="AC858" s="6"/>
      <c r="AD858" s="6"/>
      <c r="AE858" s="6"/>
      <c r="AF858" s="6"/>
      <c r="AG858" s="6"/>
      <c r="AH858" s="6"/>
      <c r="AI858" s="6"/>
      <c r="AJ858" s="6"/>
      <c r="AK858" s="6"/>
      <c r="AL858" s="6"/>
    </row>
    <row r="859" spans="1:38">
      <c r="A859" s="96">
        <f ca="1">IFERROR(__xludf.DUMMYFUNCTION("""COMPUTED_VALUE"""),44606)</f>
        <v>44606</v>
      </c>
      <c r="B859" s="6" t="str">
        <f ca="1">IFERROR(__xludf.DUMMYFUNCTION("""COMPUTED_VALUE"""),"Theju")</f>
        <v>Theju</v>
      </c>
      <c r="C859" s="6" t="str">
        <f ca="1">IFERROR(__xludf.DUMMYFUNCTION("""COMPUTED_VALUE"""),"theju.r5@gmail.com")</f>
        <v>theju.r5@gmail.com</v>
      </c>
      <c r="D859" s="6">
        <f ca="1">IFERROR(__xludf.DUMMYFUNCTION("""COMPUTED_VALUE"""),9901793547)</f>
        <v>9901793547</v>
      </c>
      <c r="E859" s="6" t="str">
        <f ca="1">IFERROR(__xludf.DUMMYFUNCTION("""COMPUTED_VALUE"""),"Existing Account")</f>
        <v>Existing Account</v>
      </c>
      <c r="F859" s="6" t="str">
        <f ca="1">IFERROR(__xludf.DUMMYFUNCTION("""COMPUTED_VALUE"""),"PMP")</f>
        <v>PMP</v>
      </c>
      <c r="G859" s="80">
        <f ca="1">IFERROR(__xludf.DUMMYFUNCTION("""COMPUTED_VALUE"""),44593)</f>
        <v>44593</v>
      </c>
      <c r="H859" s="6" t="str">
        <f ca="1">IFERROR(__xludf.DUMMYFUNCTION("""COMPUTED_VALUE"""),"Won")</f>
        <v>Won</v>
      </c>
      <c r="I859" s="6" t="str">
        <f ca="1">IFERROR(__xludf.DUMMYFUNCTION("""COMPUTED_VALUE"""),"21 Feb 2022")</f>
        <v>21 Feb 2022</v>
      </c>
      <c r="J859" s="6">
        <f ca="1">IFERROR(__xludf.DUMMYFUNCTION("""COMPUTED_VALUE"""),1)</f>
        <v>1</v>
      </c>
      <c r="K859" s="8">
        <f ca="1">IFERROR(__xludf.DUMMYFUNCTION("""COMPUTED_VALUE"""),13500)</f>
        <v>13500</v>
      </c>
      <c r="L859" s="8">
        <f ca="1">IFERROR(__xludf.DUMMYFUNCTION("""COMPUTED_VALUE"""),154.603756298671)</f>
        <v>154.60375629867099</v>
      </c>
      <c r="M859" s="96">
        <f ca="1">IFERROR(__xludf.DUMMYFUNCTION("""COMPUTED_VALUE"""),44606)</f>
        <v>44606</v>
      </c>
      <c r="N859" s="6" t="str">
        <f ca="1">IFERROR(__xludf.DUMMYFUNCTION("""COMPUTED_VALUE"""),"S10")</f>
        <v>S10</v>
      </c>
      <c r="O859" s="97">
        <f ca="1">IFERROR(__xludf.DUMMYFUNCTION("""COMPUTED_VALUE"""),44606)</f>
        <v>44606</v>
      </c>
      <c r="P859" s="6" t="str">
        <f ca="1">IFERROR(__xludf.DUMMYFUNCTION("""COMPUTED_VALUE"""),"CSTM_2KCYH8PXOZZ")</f>
        <v>CSTM_2KCYH8PXOZZ</v>
      </c>
      <c r="Q859" s="6"/>
      <c r="R859" s="6" t="str">
        <f ca="1">IFERROR(__xludf.DUMMYFUNCTION("""COMPUTED_VALUE"""),"Pending")</f>
        <v>Pending</v>
      </c>
      <c r="S859" s="6" t="str">
        <f ca="1">IFERROR(__xludf.DUMMYFUNCTION("""COMPUTED_VALUE"""),"NonCategory")</f>
        <v>NonCategory</v>
      </c>
      <c r="T859" s="6"/>
      <c r="U859" s="6"/>
      <c r="V859" s="6"/>
      <c r="W859" s="6"/>
      <c r="X859" s="6"/>
      <c r="Y859" s="6"/>
      <c r="Z859" s="6"/>
      <c r="AA859" s="6"/>
      <c r="AB859" s="6"/>
      <c r="AC859" s="6"/>
      <c r="AD859" s="6"/>
      <c r="AE859" s="6"/>
      <c r="AF859" s="6"/>
      <c r="AG859" s="6"/>
      <c r="AH859" s="6"/>
      <c r="AI859" s="6"/>
      <c r="AJ859" s="6"/>
      <c r="AK859" s="6"/>
      <c r="AL859" s="6"/>
    </row>
    <row r="860" spans="1:38">
      <c r="A860" s="96">
        <f ca="1">IFERROR(__xludf.DUMMYFUNCTION("""COMPUTED_VALUE"""),44606)</f>
        <v>44606</v>
      </c>
      <c r="B860" s="6" t="str">
        <f ca="1">IFERROR(__xludf.DUMMYFUNCTION("""COMPUTED_VALUE"""),"Zan Zubair")</f>
        <v>Zan Zubair</v>
      </c>
      <c r="C860" s="6" t="str">
        <f ca="1">IFERROR(__xludf.DUMMYFUNCTION("""COMPUTED_VALUE"""),"zanzubair2@gmail.com")</f>
        <v>zanzubair2@gmail.com</v>
      </c>
      <c r="D860" s="6">
        <f ca="1">IFERROR(__xludf.DUMMYFUNCTION("""COMPUTED_VALUE"""),8190899870)</f>
        <v>8190899870</v>
      </c>
      <c r="E860" s="6" t="str">
        <f ca="1">IFERROR(__xludf.DUMMYFUNCTION("""COMPUTED_VALUE"""),"Reference")</f>
        <v>Reference</v>
      </c>
      <c r="F860" s="6" t="str">
        <f ca="1">IFERROR(__xludf.DUMMYFUNCTION("""COMPUTED_VALUE"""),"CSM")</f>
        <v>CSM</v>
      </c>
      <c r="G860" s="80">
        <f ca="1">IFERROR(__xludf.DUMMYFUNCTION("""COMPUTED_VALUE"""),44593)</f>
        <v>44593</v>
      </c>
      <c r="H860" s="6" t="str">
        <f ca="1">IFERROR(__xludf.DUMMYFUNCTION("""COMPUTED_VALUE"""),"Won")</f>
        <v>Won</v>
      </c>
      <c r="I860" s="6" t="str">
        <f ca="1">IFERROR(__xludf.DUMMYFUNCTION("""COMPUTED_VALUE"""),"15-16 Feb 2022")</f>
        <v>15-16 Feb 2022</v>
      </c>
      <c r="J860" s="6">
        <f ca="1">IFERROR(__xludf.DUMMYFUNCTION("""COMPUTED_VALUE"""),1)</f>
        <v>1</v>
      </c>
      <c r="K860" s="8">
        <f ca="1">IFERROR(__xludf.DUMMYFUNCTION("""COMPUTED_VALUE"""),20000)</f>
        <v>20000</v>
      </c>
      <c r="L860" s="8">
        <f ca="1">IFERROR(__xludf.DUMMYFUNCTION("""COMPUTED_VALUE"""),229.042601923957)</f>
        <v>229.04260192395699</v>
      </c>
      <c r="M860" s="96">
        <f ca="1">IFERROR(__xludf.DUMMYFUNCTION("""COMPUTED_VALUE"""),44606)</f>
        <v>44606</v>
      </c>
      <c r="N860" s="6" t="str">
        <f ca="1">IFERROR(__xludf.DUMMYFUNCTION("""COMPUTED_VALUE"""),"S10")</f>
        <v>S10</v>
      </c>
      <c r="O860" s="97">
        <f ca="1">IFERROR(__xludf.DUMMYFUNCTION("""COMPUTED_VALUE"""),44606)</f>
        <v>44606</v>
      </c>
      <c r="P860" s="6" t="str">
        <f ca="1">IFERROR(__xludf.DUMMYFUNCTION("""COMPUTED_VALUE"""),"CSTM_53TWODTSPRD")</f>
        <v>CSTM_53TWODTSPRD</v>
      </c>
      <c r="Q860" s="6" t="str">
        <f ca="1">IFERROR(__xludf.DUMMYFUNCTION("""COMPUTED_VALUE"""),"Reference by indhu22mathi94@gmail.com")</f>
        <v>Reference by indhu22mathi94@gmail.com</v>
      </c>
      <c r="R860" s="6" t="str">
        <f ca="1">IFERROR(__xludf.DUMMYFUNCTION("""COMPUTED_VALUE"""),"Pending")</f>
        <v>Pending</v>
      </c>
      <c r="S860" s="6" t="str">
        <f ca="1">IFERROR(__xludf.DUMMYFUNCTION("""COMPUTED_VALUE"""),"Category")</f>
        <v>Category</v>
      </c>
      <c r="T860" s="6"/>
      <c r="U860" s="6"/>
      <c r="V860" s="6"/>
      <c r="W860" s="6"/>
      <c r="X860" s="6"/>
      <c r="Y860" s="6"/>
      <c r="Z860" s="6"/>
      <c r="AA860" s="6"/>
      <c r="AB860" s="6"/>
      <c r="AC860" s="6"/>
      <c r="AD860" s="6"/>
      <c r="AE860" s="6"/>
      <c r="AF860" s="6"/>
      <c r="AG860" s="6"/>
      <c r="AH860" s="6"/>
      <c r="AI860" s="6"/>
      <c r="AJ860" s="6"/>
      <c r="AK860" s="6"/>
      <c r="AL860" s="6"/>
    </row>
    <row r="861" spans="1:38">
      <c r="A861" s="96">
        <f ca="1">IFERROR(__xludf.DUMMYFUNCTION("""COMPUTED_VALUE"""),44606)</f>
        <v>44606</v>
      </c>
      <c r="B861" s="6" t="str">
        <f ca="1">IFERROR(__xludf.DUMMYFUNCTION("""COMPUTED_VALUE"""),"Veenus Jinny")</f>
        <v>Veenus Jinny</v>
      </c>
      <c r="C861" s="6" t="str">
        <f ca="1">IFERROR(__xludf.DUMMYFUNCTION("""COMPUTED_VALUE"""),"veenus.jinny@gmail.com")</f>
        <v>veenus.jinny@gmail.com</v>
      </c>
      <c r="D861" s="6">
        <f ca="1">IFERROR(__xludf.DUMMYFUNCTION("""COMPUTED_VALUE"""),9599108087)</f>
        <v>9599108087</v>
      </c>
      <c r="E861" s="6" t="str">
        <f ca="1">IFERROR(__xludf.DUMMYFUNCTION("""COMPUTED_VALUE"""),"Reference")</f>
        <v>Reference</v>
      </c>
      <c r="F861" s="6" t="str">
        <f ca="1">IFERROR(__xludf.DUMMYFUNCTION("""COMPUTED_VALUE"""),"CSM")</f>
        <v>CSM</v>
      </c>
      <c r="G861" s="80">
        <f ca="1">IFERROR(__xludf.DUMMYFUNCTION("""COMPUTED_VALUE"""),44593)</f>
        <v>44593</v>
      </c>
      <c r="H861" s="6" t="str">
        <f ca="1">IFERROR(__xludf.DUMMYFUNCTION("""COMPUTED_VALUE"""),"Won")</f>
        <v>Won</v>
      </c>
      <c r="I861" s="6" t="str">
        <f ca="1">IFERROR(__xludf.DUMMYFUNCTION("""COMPUTED_VALUE"""),"19-20 March 2022")</f>
        <v>19-20 March 2022</v>
      </c>
      <c r="J861" s="6">
        <f ca="1">IFERROR(__xludf.DUMMYFUNCTION("""COMPUTED_VALUE"""),1)</f>
        <v>1</v>
      </c>
      <c r="K861" s="8">
        <f ca="1">IFERROR(__xludf.DUMMYFUNCTION("""COMPUTED_VALUE"""),20000)</f>
        <v>20000</v>
      </c>
      <c r="L861" s="8">
        <f ca="1">IFERROR(__xludf.DUMMYFUNCTION("""COMPUTED_VALUE"""),229.042601923957)</f>
        <v>229.04260192395699</v>
      </c>
      <c r="M861" s="96">
        <f ca="1">IFERROR(__xludf.DUMMYFUNCTION("""COMPUTED_VALUE"""),44606)</f>
        <v>44606</v>
      </c>
      <c r="N861" s="6" t="str">
        <f ca="1">IFERROR(__xludf.DUMMYFUNCTION("""COMPUTED_VALUE"""),"S10")</f>
        <v>S10</v>
      </c>
      <c r="O861" s="97">
        <f ca="1">IFERROR(__xludf.DUMMYFUNCTION("""COMPUTED_VALUE"""),44606)</f>
        <v>44606</v>
      </c>
      <c r="P861" s="6" t="str">
        <f ca="1">IFERROR(__xludf.DUMMYFUNCTION("""COMPUTED_VALUE"""),"CSTM_HAMMVU2AC7D")</f>
        <v>CSTM_HAMMVU2AC7D</v>
      </c>
      <c r="Q861" s="6" t="str">
        <f ca="1">IFERROR(__xludf.DUMMYFUNCTION("""COMPUTED_VALUE"""),"Reference by Aishwarya")</f>
        <v>Reference by Aishwarya</v>
      </c>
      <c r="R861" s="6" t="str">
        <f ca="1">IFERROR(__xludf.DUMMYFUNCTION("""COMPUTED_VALUE"""),"Pending")</f>
        <v>Pending</v>
      </c>
      <c r="S861" s="6" t="str">
        <f ca="1">IFERROR(__xludf.DUMMYFUNCTION("""COMPUTED_VALUE"""),"Category")</f>
        <v>Category</v>
      </c>
      <c r="T861" s="6"/>
      <c r="U861" s="6"/>
      <c r="V861" s="6"/>
      <c r="W861" s="6"/>
      <c r="X861" s="6"/>
      <c r="Y861" s="6"/>
      <c r="Z861" s="6"/>
      <c r="AA861" s="6"/>
      <c r="AB861" s="6"/>
      <c r="AC861" s="6"/>
      <c r="AD861" s="6"/>
      <c r="AE861" s="6"/>
      <c r="AF861" s="6"/>
      <c r="AG861" s="6"/>
      <c r="AH861" s="6"/>
      <c r="AI861" s="6"/>
      <c r="AJ861" s="6"/>
      <c r="AK861" s="6"/>
      <c r="AL861" s="6"/>
    </row>
    <row r="862" spans="1:38">
      <c r="A862" s="96">
        <f ca="1">IFERROR(__xludf.DUMMYFUNCTION("""COMPUTED_VALUE"""),44606)</f>
        <v>44606</v>
      </c>
      <c r="B862" s="6" t="str">
        <f ca="1">IFERROR(__xludf.DUMMYFUNCTION("""COMPUTED_VALUE"""),"Deepah")</f>
        <v>Deepah</v>
      </c>
      <c r="C862" s="6" t="str">
        <f ca="1">IFERROR(__xludf.DUMMYFUNCTION("""COMPUTED_VALUE"""),"deepah18@gmail.com")</f>
        <v>deepah18@gmail.com</v>
      </c>
      <c r="D862" s="6">
        <f ca="1">IFERROR(__xludf.DUMMYFUNCTION("""COMPUTED_VALUE"""),9500080200)</f>
        <v>9500080200</v>
      </c>
      <c r="E862" s="6" t="str">
        <f ca="1">IFERROR(__xludf.DUMMYFUNCTION("""COMPUTED_VALUE"""),"course agenda")</f>
        <v>course agenda</v>
      </c>
      <c r="F862" s="6" t="str">
        <f ca="1">IFERROR(__xludf.DUMMYFUNCTION("""COMPUTED_VALUE"""),"CSM")</f>
        <v>CSM</v>
      </c>
      <c r="G862" s="80">
        <f ca="1">IFERROR(__xludf.DUMMYFUNCTION("""COMPUTED_VALUE"""),44593)</f>
        <v>44593</v>
      </c>
      <c r="H862" s="6" t="str">
        <f ca="1">IFERROR(__xludf.DUMMYFUNCTION("""COMPUTED_VALUE"""),"Won")</f>
        <v>Won</v>
      </c>
      <c r="I862" s="6" t="str">
        <f ca="1">IFERROR(__xludf.DUMMYFUNCTION("""COMPUTED_VALUE"""),"12-13 March 2022")</f>
        <v>12-13 March 2022</v>
      </c>
      <c r="J862" s="6">
        <f ca="1">IFERROR(__xludf.DUMMYFUNCTION("""COMPUTED_VALUE"""),1)</f>
        <v>1</v>
      </c>
      <c r="K862" s="8">
        <f ca="1">IFERROR(__xludf.DUMMYFUNCTION("""COMPUTED_VALUE"""),20000)</f>
        <v>20000</v>
      </c>
      <c r="L862" s="8">
        <f ca="1">IFERROR(__xludf.DUMMYFUNCTION("""COMPUTED_VALUE"""),229.042601923957)</f>
        <v>229.04260192395699</v>
      </c>
      <c r="M862" s="96">
        <f ca="1">IFERROR(__xludf.DUMMYFUNCTION("""COMPUTED_VALUE"""),44606)</f>
        <v>44606</v>
      </c>
      <c r="N862" s="6" t="str">
        <f ca="1">IFERROR(__xludf.DUMMYFUNCTION("""COMPUTED_VALUE"""),"S10")</f>
        <v>S10</v>
      </c>
      <c r="O862" s="97">
        <f ca="1">IFERROR(__xludf.DUMMYFUNCTION("""COMPUTED_VALUE"""),44606)</f>
        <v>44606</v>
      </c>
      <c r="P862" s="6" t="str">
        <f ca="1">IFERROR(__xludf.DUMMYFUNCTION("""COMPUTED_VALUE"""),"CSTM_7O4V8W62XMB")</f>
        <v>CSTM_7O4V8W62XMB</v>
      </c>
      <c r="Q862" s="6"/>
      <c r="R862" s="6" t="str">
        <f ca="1">IFERROR(__xludf.DUMMYFUNCTION("""COMPUTED_VALUE"""),"Pending")</f>
        <v>Pending</v>
      </c>
      <c r="S862" s="6" t="str">
        <f ca="1">IFERROR(__xludf.DUMMYFUNCTION("""COMPUTED_VALUE"""),"Category")</f>
        <v>Category</v>
      </c>
      <c r="T862" s="6"/>
      <c r="U862" s="6"/>
      <c r="V862" s="6"/>
      <c r="W862" s="6"/>
      <c r="X862" s="6"/>
      <c r="Y862" s="6"/>
      <c r="Z862" s="6"/>
      <c r="AA862" s="6"/>
      <c r="AB862" s="6"/>
      <c r="AC862" s="6"/>
      <c r="AD862" s="6"/>
      <c r="AE862" s="6"/>
      <c r="AF862" s="6"/>
      <c r="AG862" s="6"/>
      <c r="AH862" s="6"/>
      <c r="AI862" s="6"/>
      <c r="AJ862" s="6"/>
      <c r="AK862" s="6"/>
      <c r="AL862" s="6"/>
    </row>
    <row r="863" spans="1:38">
      <c r="A863" s="96">
        <f ca="1">IFERROR(__xludf.DUMMYFUNCTION("""COMPUTED_VALUE"""),44607)</f>
        <v>44607</v>
      </c>
      <c r="B863" s="6" t="str">
        <f ca="1">IFERROR(__xludf.DUMMYFUNCTION("""COMPUTED_VALUE"""),"Arsheya Begum")</f>
        <v>Arsheya Begum</v>
      </c>
      <c r="C863" s="6" t="str">
        <f ca="1">IFERROR(__xludf.DUMMYFUNCTION("""COMPUTED_VALUE"""),"arsheyabegum.s@gmail.com")</f>
        <v>arsheyabegum.s@gmail.com</v>
      </c>
      <c r="D863" s="6">
        <f ca="1">IFERROR(__xludf.DUMMYFUNCTION("""COMPUTED_VALUE"""),9686152768)</f>
        <v>9686152768</v>
      </c>
      <c r="E863" s="6" t="str">
        <f ca="1">IFERROR(__xludf.DUMMYFUNCTION("""COMPUTED_VALUE"""),"Chat_triggered")</f>
        <v>Chat_triggered</v>
      </c>
      <c r="F863" s="6" t="str">
        <f ca="1">IFERROR(__xludf.DUMMYFUNCTION("""COMPUTED_VALUE"""),"CSPO")</f>
        <v>CSPO</v>
      </c>
      <c r="G863" s="80">
        <f ca="1">IFERROR(__xludf.DUMMYFUNCTION("""COMPUTED_VALUE"""),44593)</f>
        <v>44593</v>
      </c>
      <c r="H863" s="6" t="str">
        <f ca="1">IFERROR(__xludf.DUMMYFUNCTION("""COMPUTED_VALUE"""),"Won")</f>
        <v>Won</v>
      </c>
      <c r="I863" s="6" t="str">
        <f ca="1">IFERROR(__xludf.DUMMYFUNCTION("""COMPUTED_VALUE"""),"12-13 March 2022")</f>
        <v>12-13 March 2022</v>
      </c>
      <c r="J863" s="6">
        <f ca="1">IFERROR(__xludf.DUMMYFUNCTION("""COMPUTED_VALUE"""),1)</f>
        <v>1</v>
      </c>
      <c r="K863" s="8">
        <f ca="1">IFERROR(__xludf.DUMMYFUNCTION("""COMPUTED_VALUE"""),19000)</f>
        <v>19000</v>
      </c>
      <c r="L863" s="8">
        <f ca="1">IFERROR(__xludf.DUMMYFUNCTION("""COMPUTED_VALUE"""),217.590471827759)</f>
        <v>217.59047182775899</v>
      </c>
      <c r="M863" s="96">
        <f ca="1">IFERROR(__xludf.DUMMYFUNCTION("""COMPUTED_VALUE"""),44607)</f>
        <v>44607</v>
      </c>
      <c r="N863" s="6" t="str">
        <f ca="1">IFERROR(__xludf.DUMMYFUNCTION("""COMPUTED_VALUE"""),"S10")</f>
        <v>S10</v>
      </c>
      <c r="O863" s="97">
        <f ca="1">IFERROR(__xludf.DUMMYFUNCTION("""COMPUTED_VALUE"""),44607)</f>
        <v>44607</v>
      </c>
      <c r="P863" s="6" t="str">
        <f ca="1">IFERROR(__xludf.DUMMYFUNCTION("""COMPUTED_VALUE"""),"CSTM_3783IR1HAY0")</f>
        <v>CSTM_3783IR1HAY0</v>
      </c>
      <c r="Q863" s="6"/>
      <c r="R863" s="6" t="str">
        <f ca="1">IFERROR(__xludf.DUMMYFUNCTION("""COMPUTED_VALUE"""),"Pending")</f>
        <v>Pending</v>
      </c>
      <c r="S863" s="6" t="str">
        <f ca="1">IFERROR(__xludf.DUMMYFUNCTION("""COMPUTED_VALUE"""),"Category")</f>
        <v>Category</v>
      </c>
      <c r="T863" s="6"/>
      <c r="U863" s="6"/>
      <c r="V863" s="6"/>
      <c r="W863" s="6"/>
      <c r="X863" s="6"/>
      <c r="Y863" s="6"/>
      <c r="Z863" s="6"/>
      <c r="AA863" s="6"/>
      <c r="AB863" s="6"/>
      <c r="AC863" s="6"/>
      <c r="AD863" s="6"/>
      <c r="AE863" s="6"/>
      <c r="AF863" s="6"/>
      <c r="AG863" s="6"/>
      <c r="AH863" s="6"/>
      <c r="AI863" s="6"/>
      <c r="AJ863" s="6"/>
      <c r="AK863" s="6"/>
      <c r="AL863" s="6"/>
    </row>
    <row r="864" spans="1:38">
      <c r="A864" s="96">
        <f ca="1">IFERROR(__xludf.DUMMYFUNCTION("""COMPUTED_VALUE"""),44608)</f>
        <v>44608</v>
      </c>
      <c r="B864" s="6" t="str">
        <f ca="1">IFERROR(__xludf.DUMMYFUNCTION("""COMPUTED_VALUE"""),"Shivam Gupta")</f>
        <v>Shivam Gupta</v>
      </c>
      <c r="C864" s="6" t="str">
        <f ca="1">IFERROR(__xludf.DUMMYFUNCTION("""COMPUTED_VALUE"""),"shivamgupta61visit@gmail.com")</f>
        <v>shivamgupta61visit@gmail.com</v>
      </c>
      <c r="D864" s="6">
        <f ca="1">IFERROR(__xludf.DUMMYFUNCTION("""COMPUTED_VALUE"""),8940560064)</f>
        <v>8940560064</v>
      </c>
      <c r="E864" s="6" t="str">
        <f ca="1">IFERROR(__xludf.DUMMYFUNCTION("""COMPUTED_VALUE"""),"course agenda")</f>
        <v>course agenda</v>
      </c>
      <c r="F864" s="6" t="str">
        <f ca="1">IFERROR(__xludf.DUMMYFUNCTION("""COMPUTED_VALUE"""),"CSM")</f>
        <v>CSM</v>
      </c>
      <c r="G864" s="80">
        <f ca="1">IFERROR(__xludf.DUMMYFUNCTION("""COMPUTED_VALUE"""),44593)</f>
        <v>44593</v>
      </c>
      <c r="H864" s="6" t="str">
        <f ca="1">IFERROR(__xludf.DUMMYFUNCTION("""COMPUTED_VALUE"""),"Won")</f>
        <v>Won</v>
      </c>
      <c r="I864" s="6" t="str">
        <f ca="1">IFERROR(__xludf.DUMMYFUNCTION("""COMPUTED_VALUE"""),"24-25 Feb 2022")</f>
        <v>24-25 Feb 2022</v>
      </c>
      <c r="J864" s="6">
        <f ca="1">IFERROR(__xludf.DUMMYFUNCTION("""COMPUTED_VALUE"""),1)</f>
        <v>1</v>
      </c>
      <c r="K864" s="8">
        <f ca="1">IFERROR(__xludf.DUMMYFUNCTION("""COMPUTED_VALUE"""),20000)</f>
        <v>20000</v>
      </c>
      <c r="L864" s="8">
        <f ca="1">IFERROR(__xludf.DUMMYFUNCTION("""COMPUTED_VALUE"""),229.042601923957)</f>
        <v>229.04260192395699</v>
      </c>
      <c r="M864" s="96">
        <f ca="1">IFERROR(__xludf.DUMMYFUNCTION("""COMPUTED_VALUE"""),44608)</f>
        <v>44608</v>
      </c>
      <c r="N864" s="6" t="str">
        <f ca="1">IFERROR(__xludf.DUMMYFUNCTION("""COMPUTED_VALUE"""),"S10")</f>
        <v>S10</v>
      </c>
      <c r="O864" s="97">
        <f ca="1">IFERROR(__xludf.DUMMYFUNCTION("""COMPUTED_VALUE"""),44610)</f>
        <v>44610</v>
      </c>
      <c r="P864" s="6" t="str">
        <f ca="1">IFERROR(__xludf.DUMMYFUNCTION("""COMPUTED_VALUE"""),"CSTM_7W07MWBZAFK")</f>
        <v>CSTM_7W07MWBZAFK</v>
      </c>
      <c r="Q864" s="6"/>
      <c r="R864" s="6" t="str">
        <f ca="1">IFERROR(__xludf.DUMMYFUNCTION("""COMPUTED_VALUE"""),"Pending")</f>
        <v>Pending</v>
      </c>
      <c r="S864" s="6" t="str">
        <f ca="1">IFERROR(__xludf.DUMMYFUNCTION("""COMPUTED_VALUE"""),"Category")</f>
        <v>Category</v>
      </c>
      <c r="T864" s="6"/>
      <c r="U864" s="6"/>
      <c r="V864" s="6"/>
      <c r="W864" s="6"/>
      <c r="X864" s="6"/>
      <c r="Y864" s="6"/>
      <c r="Z864" s="6"/>
      <c r="AA864" s="6"/>
      <c r="AB864" s="6"/>
      <c r="AC864" s="6"/>
      <c r="AD864" s="6"/>
      <c r="AE864" s="6"/>
      <c r="AF864" s="6"/>
      <c r="AG864" s="6"/>
      <c r="AH864" s="6"/>
      <c r="AI864" s="6"/>
      <c r="AJ864" s="6"/>
      <c r="AK864" s="6"/>
      <c r="AL864" s="6"/>
    </row>
    <row r="865" spans="1:38">
      <c r="A865" s="96">
        <f ca="1">IFERROR(__xludf.DUMMYFUNCTION("""COMPUTED_VALUE"""),44608)</f>
        <v>44608</v>
      </c>
      <c r="B865" s="6" t="str">
        <f ca="1">IFERROR(__xludf.DUMMYFUNCTION("""COMPUTED_VALUE"""),"Aman")</f>
        <v>Aman</v>
      </c>
      <c r="C865" s="6" t="str">
        <f ca="1">IFERROR(__xludf.DUMMYFUNCTION("""COMPUTED_VALUE"""),"amanjolly@yahoo.com")</f>
        <v>amanjolly@yahoo.com</v>
      </c>
      <c r="D865" s="6">
        <f ca="1">IFERROR(__xludf.DUMMYFUNCTION("""COMPUTED_VALUE"""),9810740758)</f>
        <v>9810740758</v>
      </c>
      <c r="E865" s="6" t="str">
        <f ca="1">IFERROR(__xludf.DUMMYFUNCTION("""COMPUTED_VALUE"""),"Reference")</f>
        <v>Reference</v>
      </c>
      <c r="F865" s="6" t="str">
        <f ca="1">IFERROR(__xludf.DUMMYFUNCTION("""COMPUTED_VALUE"""),"CSM")</f>
        <v>CSM</v>
      </c>
      <c r="G865" s="80">
        <f ca="1">IFERROR(__xludf.DUMMYFUNCTION("""COMPUTED_VALUE"""),44593)</f>
        <v>44593</v>
      </c>
      <c r="H865" s="6" t="str">
        <f ca="1">IFERROR(__xludf.DUMMYFUNCTION("""COMPUTED_VALUE"""),"Won")</f>
        <v>Won</v>
      </c>
      <c r="I865" s="6" t="str">
        <f ca="1">IFERROR(__xludf.DUMMYFUNCTION("""COMPUTED_VALUE"""),"12-13 march 2022")</f>
        <v>12-13 march 2022</v>
      </c>
      <c r="J865" s="6">
        <f ca="1">IFERROR(__xludf.DUMMYFUNCTION("""COMPUTED_VALUE"""),1)</f>
        <v>1</v>
      </c>
      <c r="K865" s="8">
        <f ca="1">IFERROR(__xludf.DUMMYFUNCTION("""COMPUTED_VALUE"""),19000)</f>
        <v>19000</v>
      </c>
      <c r="L865" s="8">
        <f ca="1">IFERROR(__xludf.DUMMYFUNCTION("""COMPUTED_VALUE"""),217.590471827759)</f>
        <v>217.59047182775899</v>
      </c>
      <c r="M865" s="96">
        <f ca="1">IFERROR(__xludf.DUMMYFUNCTION("""COMPUTED_VALUE"""),44608)</f>
        <v>44608</v>
      </c>
      <c r="N865" s="6" t="str">
        <f ca="1">IFERROR(__xludf.DUMMYFUNCTION("""COMPUTED_VALUE"""),"S10")</f>
        <v>S10</v>
      </c>
      <c r="O865" s="97">
        <f ca="1">IFERROR(__xludf.DUMMYFUNCTION("""COMPUTED_VALUE"""),44608)</f>
        <v>44608</v>
      </c>
      <c r="P865" s="6" t="str">
        <f ca="1">IFERROR(__xludf.DUMMYFUNCTION("""COMPUTED_VALUE"""),"CSTM_HB09YN143XR")</f>
        <v>CSTM_HB09YN143XR</v>
      </c>
      <c r="Q865" s="6" t="str">
        <f ca="1">IFERROR(__xludf.DUMMYFUNCTION("""COMPUTED_VALUE"""),"Reference by shobhit413@gmail.com")</f>
        <v>Reference by shobhit413@gmail.com</v>
      </c>
      <c r="R865" s="6" t="str">
        <f ca="1">IFERROR(__xludf.DUMMYFUNCTION("""COMPUTED_VALUE"""),"Pending")</f>
        <v>Pending</v>
      </c>
      <c r="S865" s="6" t="str">
        <f ca="1">IFERROR(__xludf.DUMMYFUNCTION("""COMPUTED_VALUE"""),"Category")</f>
        <v>Category</v>
      </c>
      <c r="T865" s="6"/>
      <c r="U865" s="6"/>
      <c r="V865" s="6"/>
      <c r="W865" s="6"/>
      <c r="X865" s="6"/>
      <c r="Y865" s="6"/>
      <c r="Z865" s="6"/>
      <c r="AA865" s="6"/>
      <c r="AB865" s="6"/>
      <c r="AC865" s="6"/>
      <c r="AD865" s="6"/>
      <c r="AE865" s="6"/>
      <c r="AF865" s="6"/>
      <c r="AG865" s="6"/>
      <c r="AH865" s="6"/>
      <c r="AI865" s="6"/>
      <c r="AJ865" s="6"/>
      <c r="AK865" s="6"/>
      <c r="AL865" s="6"/>
    </row>
    <row r="866" spans="1:38">
      <c r="A866" s="96">
        <f ca="1">IFERROR(__xludf.DUMMYFUNCTION("""COMPUTED_VALUE"""),44608)</f>
        <v>44608</v>
      </c>
      <c r="B866" s="6" t="str">
        <f ca="1">IFERROR(__xludf.DUMMYFUNCTION("""COMPUTED_VALUE"""),"Sunitha Reddy")</f>
        <v>Sunitha Reddy</v>
      </c>
      <c r="C866" s="6" t="str">
        <f ca="1">IFERROR(__xludf.DUMMYFUNCTION("""COMPUTED_VALUE"""),"mary.sunitha78@gmail.com")</f>
        <v>mary.sunitha78@gmail.com</v>
      </c>
      <c r="D866" s="6">
        <f ca="1">IFERROR(__xludf.DUMMYFUNCTION("""COMPUTED_VALUE"""),9441310514)</f>
        <v>9441310514</v>
      </c>
      <c r="E866" s="6" t="str">
        <f ca="1">IFERROR(__xludf.DUMMYFUNCTION("""COMPUTED_VALUE"""),"Query box")</f>
        <v>Query box</v>
      </c>
      <c r="F866" s="6" t="str">
        <f ca="1">IFERROR(__xludf.DUMMYFUNCTION("""COMPUTED_VALUE"""),"SAFe Agile")</f>
        <v>SAFe Agile</v>
      </c>
      <c r="G866" s="80">
        <f ca="1">IFERROR(__xludf.DUMMYFUNCTION("""COMPUTED_VALUE"""),44593)</f>
        <v>44593</v>
      </c>
      <c r="H866" s="6" t="str">
        <f ca="1">IFERROR(__xludf.DUMMYFUNCTION("""COMPUTED_VALUE"""),"Won")</f>
        <v>Won</v>
      </c>
      <c r="I866" s="6" t="str">
        <f ca="1">IFERROR(__xludf.DUMMYFUNCTION("""COMPUTED_VALUE"""),"19-20 Feb 2022")</f>
        <v>19-20 Feb 2022</v>
      </c>
      <c r="J866" s="6">
        <f ca="1">IFERROR(__xludf.DUMMYFUNCTION("""COMPUTED_VALUE"""),1)</f>
        <v>1</v>
      </c>
      <c r="K866" s="8">
        <f ca="1">IFERROR(__xludf.DUMMYFUNCTION("""COMPUTED_VALUE"""),40000)</f>
        <v>40000</v>
      </c>
      <c r="L866" s="8">
        <f ca="1">IFERROR(__xludf.DUMMYFUNCTION("""COMPUTED_VALUE"""),458.085203847915)</f>
        <v>458.08520384791501</v>
      </c>
      <c r="M866" s="96">
        <f ca="1">IFERROR(__xludf.DUMMYFUNCTION("""COMPUTED_VALUE"""),44608)</f>
        <v>44608</v>
      </c>
      <c r="N866" s="6" t="str">
        <f ca="1">IFERROR(__xludf.DUMMYFUNCTION("""COMPUTED_VALUE"""),"S10")</f>
        <v>S10</v>
      </c>
      <c r="O866" s="97">
        <f ca="1">IFERROR(__xludf.DUMMYFUNCTION("""COMPUTED_VALUE"""),44609)</f>
        <v>44609</v>
      </c>
      <c r="P866" s="6" t="str">
        <f ca="1">IFERROR(__xludf.DUMMYFUNCTION("""COMPUTED_VALUE"""),"CSTM_5WEFY5V2TAF")</f>
        <v>CSTM_5WEFY5V2TAF</v>
      </c>
      <c r="Q866" s="6"/>
      <c r="R866" s="6" t="str">
        <f ca="1">IFERROR(__xludf.DUMMYFUNCTION("""COMPUTED_VALUE"""),"Pending")</f>
        <v>Pending</v>
      </c>
      <c r="S866" s="6" t="str">
        <f ca="1">IFERROR(__xludf.DUMMYFUNCTION("""COMPUTED_VALUE"""),"SAFe")</f>
        <v>SAFe</v>
      </c>
      <c r="T866" s="6"/>
      <c r="U866" s="6"/>
      <c r="V866" s="6"/>
      <c r="W866" s="6"/>
      <c r="X866" s="6"/>
      <c r="Y866" s="6"/>
      <c r="Z866" s="6"/>
      <c r="AA866" s="6"/>
      <c r="AB866" s="6"/>
      <c r="AC866" s="6"/>
      <c r="AD866" s="6"/>
      <c r="AE866" s="6"/>
      <c r="AF866" s="6"/>
      <c r="AG866" s="6"/>
      <c r="AH866" s="6"/>
      <c r="AI866" s="6"/>
      <c r="AJ866" s="6"/>
      <c r="AK866" s="6"/>
      <c r="AL866" s="6"/>
    </row>
    <row r="867" spans="1:38">
      <c r="A867" s="96">
        <f ca="1">IFERROR(__xludf.DUMMYFUNCTION("""COMPUTED_VALUE"""),44609)</f>
        <v>44609</v>
      </c>
      <c r="B867" s="6" t="str">
        <f ca="1">IFERROR(__xludf.DUMMYFUNCTION("""COMPUTED_VALUE"""),"Venkata Sudheendra")</f>
        <v>Venkata Sudheendra</v>
      </c>
      <c r="C867" s="6" t="str">
        <f ca="1">IFERROR(__xludf.DUMMYFUNCTION("""COMPUTED_VALUE"""),"sudheendra.satrasala@gmail.com")</f>
        <v>sudheendra.satrasala@gmail.com</v>
      </c>
      <c r="D867" s="6">
        <f ca="1">IFERROR(__xludf.DUMMYFUNCTION("""COMPUTED_VALUE"""),9108691503)</f>
        <v>9108691503</v>
      </c>
      <c r="E867" s="6" t="str">
        <f ca="1">IFERROR(__xludf.DUMMYFUNCTION("""COMPUTED_VALUE"""),"chat_initiated")</f>
        <v>chat_initiated</v>
      </c>
      <c r="F867" s="6" t="str">
        <f ca="1">IFERROR(__xludf.DUMMYFUNCTION("""COMPUTED_VALUE"""),"PSM")</f>
        <v>PSM</v>
      </c>
      <c r="G867" s="80">
        <f ca="1">IFERROR(__xludf.DUMMYFUNCTION("""COMPUTED_VALUE"""),44593)</f>
        <v>44593</v>
      </c>
      <c r="H867" s="6" t="str">
        <f ca="1">IFERROR(__xludf.DUMMYFUNCTION("""COMPUTED_VALUE"""),"Won")</f>
        <v>Won</v>
      </c>
      <c r="I867" s="6" t="str">
        <f ca="1">IFERROR(__xludf.DUMMYFUNCTION("""COMPUTED_VALUE"""),"26-27 Feb 2022")</f>
        <v>26-27 Feb 2022</v>
      </c>
      <c r="J867" s="6">
        <f ca="1">IFERROR(__xludf.DUMMYFUNCTION("""COMPUTED_VALUE"""),1)</f>
        <v>1</v>
      </c>
      <c r="K867" s="8">
        <f ca="1">IFERROR(__xludf.DUMMYFUNCTION("""COMPUTED_VALUE"""),21000)</f>
        <v>21000</v>
      </c>
      <c r="L867" s="8">
        <f ca="1">IFERROR(__xludf.DUMMYFUNCTION("""COMPUTED_VALUE"""),240.494732020155)</f>
        <v>240.494732020155</v>
      </c>
      <c r="M867" s="96">
        <f ca="1">IFERROR(__xludf.DUMMYFUNCTION("""COMPUTED_VALUE"""),44609)</f>
        <v>44609</v>
      </c>
      <c r="N867" s="6" t="str">
        <f ca="1">IFERROR(__xludf.DUMMYFUNCTION("""COMPUTED_VALUE"""),"S10")</f>
        <v>S10</v>
      </c>
      <c r="O867" s="97">
        <f ca="1">IFERROR(__xludf.DUMMYFUNCTION("""COMPUTED_VALUE"""),44609)</f>
        <v>44609</v>
      </c>
      <c r="P867" s="6" t="str">
        <f ca="1">IFERROR(__xludf.DUMMYFUNCTION("""COMPUTED_VALUE"""),"CSTM_EVHL05UTQR5")</f>
        <v>CSTM_EVHL05UTQR5</v>
      </c>
      <c r="Q867" s="6"/>
      <c r="R867" s="6" t="str">
        <f ca="1">IFERROR(__xludf.DUMMYFUNCTION("""COMPUTED_VALUE"""),"Pending")</f>
        <v>Pending</v>
      </c>
      <c r="S867" s="6" t="str">
        <f ca="1">IFERROR(__xludf.DUMMYFUNCTION("""COMPUTED_VALUE"""),"Category")</f>
        <v>Category</v>
      </c>
      <c r="T867" s="6"/>
      <c r="U867" s="6"/>
      <c r="V867" s="6"/>
      <c r="W867" s="6"/>
      <c r="X867" s="6"/>
      <c r="Y867" s="6"/>
      <c r="Z867" s="6"/>
      <c r="AA867" s="6"/>
      <c r="AB867" s="6"/>
      <c r="AC867" s="6"/>
      <c r="AD867" s="6"/>
      <c r="AE867" s="6"/>
      <c r="AF867" s="6"/>
      <c r="AG867" s="6"/>
      <c r="AH867" s="6"/>
      <c r="AI867" s="6"/>
      <c r="AJ867" s="6"/>
      <c r="AK867" s="6"/>
      <c r="AL867" s="6"/>
    </row>
    <row r="868" spans="1:38">
      <c r="A868" s="96">
        <f ca="1">IFERROR(__xludf.DUMMYFUNCTION("""COMPUTED_VALUE"""),44609)</f>
        <v>44609</v>
      </c>
      <c r="B868" s="6" t="str">
        <f ca="1">IFERROR(__xludf.DUMMYFUNCTION("""COMPUTED_VALUE"""),"Swati Jain")</f>
        <v>Swati Jain</v>
      </c>
      <c r="C868" s="6" t="str">
        <f ca="1">IFERROR(__xludf.DUMMYFUNCTION("""COMPUTED_VALUE"""),"swatijain6673@gmail.com")</f>
        <v>swatijain6673@gmail.com</v>
      </c>
      <c r="D868" s="6">
        <f ca="1">IFERROR(__xludf.DUMMYFUNCTION("""COMPUTED_VALUE"""),8088196673)</f>
        <v>8088196673</v>
      </c>
      <c r="E868" s="6" t="str">
        <f ca="1">IFERROR(__xludf.DUMMYFUNCTION("""COMPUTED_VALUE"""),"Reference")</f>
        <v>Reference</v>
      </c>
      <c r="F868" s="6" t="str">
        <f ca="1">IFERROR(__xludf.DUMMYFUNCTION("""COMPUTED_VALUE"""),"CSM")</f>
        <v>CSM</v>
      </c>
      <c r="G868" s="80">
        <f ca="1">IFERROR(__xludf.DUMMYFUNCTION("""COMPUTED_VALUE"""),44593)</f>
        <v>44593</v>
      </c>
      <c r="H868" s="6" t="str">
        <f ca="1">IFERROR(__xludf.DUMMYFUNCTION("""COMPUTED_VALUE"""),"Won")</f>
        <v>Won</v>
      </c>
      <c r="I868" s="6" t="str">
        <f ca="1">IFERROR(__xludf.DUMMYFUNCTION("""COMPUTED_VALUE"""),"12-13 March 2022")</f>
        <v>12-13 March 2022</v>
      </c>
      <c r="J868" s="6">
        <f ca="1">IFERROR(__xludf.DUMMYFUNCTION("""COMPUTED_VALUE"""),1)</f>
        <v>1</v>
      </c>
      <c r="K868" s="8">
        <f ca="1">IFERROR(__xludf.DUMMYFUNCTION("""COMPUTED_VALUE"""),20000)</f>
        <v>20000</v>
      </c>
      <c r="L868" s="8">
        <f ca="1">IFERROR(__xludf.DUMMYFUNCTION("""COMPUTED_VALUE"""),229.042601923957)</f>
        <v>229.04260192395699</v>
      </c>
      <c r="M868" s="96">
        <f ca="1">IFERROR(__xludf.DUMMYFUNCTION("""COMPUTED_VALUE"""),44609)</f>
        <v>44609</v>
      </c>
      <c r="N868" s="6" t="str">
        <f ca="1">IFERROR(__xludf.DUMMYFUNCTION("""COMPUTED_VALUE"""),"S10")</f>
        <v>S10</v>
      </c>
      <c r="O868" s="97">
        <f ca="1">IFERROR(__xludf.DUMMYFUNCTION("""COMPUTED_VALUE"""),44609)</f>
        <v>44609</v>
      </c>
      <c r="P868" s="6" t="str">
        <f ca="1">IFERROR(__xludf.DUMMYFUNCTION("""COMPUTED_VALUE"""),"CSTM_J4X1G7R70O3")</f>
        <v>CSTM_J4X1G7R70O3</v>
      </c>
      <c r="Q868" s="6" t="str">
        <f ca="1">IFERROR(__xludf.DUMMYFUNCTION("""COMPUTED_VALUE"""),"Reference by her Husband Sujeet")</f>
        <v>Reference by her Husband Sujeet</v>
      </c>
      <c r="R868" s="6" t="str">
        <f ca="1">IFERROR(__xludf.DUMMYFUNCTION("""COMPUTED_VALUE"""),"Pending")</f>
        <v>Pending</v>
      </c>
      <c r="S868" s="6" t="str">
        <f ca="1">IFERROR(__xludf.DUMMYFUNCTION("""COMPUTED_VALUE"""),"Category")</f>
        <v>Category</v>
      </c>
      <c r="T868" s="6"/>
      <c r="U868" s="6"/>
      <c r="V868" s="6"/>
      <c r="W868" s="6"/>
      <c r="X868" s="6"/>
      <c r="Y868" s="6"/>
      <c r="Z868" s="6"/>
      <c r="AA868" s="6"/>
      <c r="AB868" s="6"/>
      <c r="AC868" s="6"/>
      <c r="AD868" s="6"/>
      <c r="AE868" s="6"/>
      <c r="AF868" s="6"/>
      <c r="AG868" s="6"/>
      <c r="AH868" s="6"/>
      <c r="AI868" s="6"/>
      <c r="AJ868" s="6"/>
      <c r="AK868" s="6"/>
      <c r="AL868" s="6"/>
    </row>
    <row r="869" spans="1:38">
      <c r="A869" s="96">
        <f ca="1">IFERROR(__xludf.DUMMYFUNCTION("""COMPUTED_VALUE"""),44609)</f>
        <v>44609</v>
      </c>
      <c r="B869" s="6" t="str">
        <f ca="1">IFERROR(__xludf.DUMMYFUNCTION("""COMPUTED_VALUE"""),"Shashank")</f>
        <v>Shashank</v>
      </c>
      <c r="C869" s="6" t="str">
        <f ca="1">IFERROR(__xludf.DUMMYFUNCTION("""COMPUTED_VALUE"""),"shashank15922@gmail.com")</f>
        <v>shashank15922@gmail.com</v>
      </c>
      <c r="D869" s="6">
        <f ca="1">IFERROR(__xludf.DUMMYFUNCTION("""COMPUTED_VALUE"""),9711889440)</f>
        <v>9711889440</v>
      </c>
      <c r="E869" s="6" t="str">
        <f ca="1">IFERROR(__xludf.DUMMYFUNCTION("""COMPUTED_VALUE"""),"Chat_triggered")</f>
        <v>Chat_triggered</v>
      </c>
      <c r="F869" s="6" t="str">
        <f ca="1">IFERROR(__xludf.DUMMYFUNCTION("""COMPUTED_VALUE"""),"PMP")</f>
        <v>PMP</v>
      </c>
      <c r="G869" s="80">
        <f ca="1">IFERROR(__xludf.DUMMYFUNCTION("""COMPUTED_VALUE"""),44593)</f>
        <v>44593</v>
      </c>
      <c r="H869" s="6" t="str">
        <f ca="1">IFERROR(__xludf.DUMMYFUNCTION("""COMPUTED_VALUE"""),"Won")</f>
        <v>Won</v>
      </c>
      <c r="I869" s="6" t="str">
        <f ca="1">IFERROR(__xludf.DUMMYFUNCTION("""COMPUTED_VALUE"""),"17 Feb 2022")</f>
        <v>17 Feb 2022</v>
      </c>
      <c r="J869" s="6">
        <f ca="1">IFERROR(__xludf.DUMMYFUNCTION("""COMPUTED_VALUE"""),1)</f>
        <v>1</v>
      </c>
      <c r="K869" s="8">
        <f ca="1">IFERROR(__xludf.DUMMYFUNCTION("""COMPUTED_VALUE"""),29000)</f>
        <v>29000</v>
      </c>
      <c r="L869" s="8">
        <f ca="1">IFERROR(__xludf.DUMMYFUNCTION("""COMPUTED_VALUE"""),332.111772789738)</f>
        <v>332.11177278973798</v>
      </c>
      <c r="M869" s="96">
        <f ca="1">IFERROR(__xludf.DUMMYFUNCTION("""COMPUTED_VALUE"""),44609)</f>
        <v>44609</v>
      </c>
      <c r="N869" s="6" t="str">
        <f ca="1">IFERROR(__xludf.DUMMYFUNCTION("""COMPUTED_VALUE"""),"S10")</f>
        <v>S10</v>
      </c>
      <c r="O869" s="97">
        <f ca="1">IFERROR(__xludf.DUMMYFUNCTION("""COMPUTED_VALUE"""),44611)</f>
        <v>44611</v>
      </c>
      <c r="P869" s="6" t="str">
        <f ca="1">IFERROR(__xludf.DUMMYFUNCTION("""COMPUTED_VALUE"""),"CSTM_20XIIGN9R3")</f>
        <v>CSTM_20XIIGN9R3</v>
      </c>
      <c r="Q869" s="6"/>
      <c r="R869" s="6" t="str">
        <f ca="1">IFERROR(__xludf.DUMMYFUNCTION("""COMPUTED_VALUE"""),"Pending")</f>
        <v>Pending</v>
      </c>
      <c r="S869" s="6" t="str">
        <f ca="1">IFERROR(__xludf.DUMMYFUNCTION("""COMPUTED_VALUE"""),"NonCategory")</f>
        <v>NonCategory</v>
      </c>
      <c r="T869" s="6"/>
      <c r="U869" s="6"/>
      <c r="V869" s="6"/>
      <c r="W869" s="6"/>
      <c r="X869" s="6"/>
      <c r="Y869" s="6"/>
      <c r="Z869" s="6"/>
      <c r="AA869" s="6"/>
      <c r="AB869" s="6"/>
      <c r="AC869" s="6"/>
      <c r="AD869" s="6"/>
      <c r="AE869" s="6"/>
      <c r="AF869" s="6"/>
      <c r="AG869" s="6"/>
      <c r="AH869" s="6"/>
      <c r="AI869" s="6"/>
      <c r="AJ869" s="6"/>
      <c r="AK869" s="6"/>
      <c r="AL869" s="6"/>
    </row>
    <row r="870" spans="1:38">
      <c r="A870" s="96">
        <f ca="1">IFERROR(__xludf.DUMMYFUNCTION("""COMPUTED_VALUE"""),44610)</f>
        <v>44610</v>
      </c>
      <c r="B870" s="6" t="str">
        <f ca="1">IFERROR(__xludf.DUMMYFUNCTION("""COMPUTED_VALUE"""),"Vasudha Katari")</f>
        <v>Vasudha Katari</v>
      </c>
      <c r="C870" s="6" t="str">
        <f ca="1">IFERROR(__xludf.DUMMYFUNCTION("""COMPUTED_VALUE"""),"vasudha.katari@gmail.com")</f>
        <v>vasudha.katari@gmail.com</v>
      </c>
      <c r="D870" s="6">
        <f ca="1">IFERROR(__xludf.DUMMYFUNCTION("""COMPUTED_VALUE"""),6361402841)</f>
        <v>6361402841</v>
      </c>
      <c r="E870" s="6" t="str">
        <f ca="1">IFERROR(__xludf.DUMMYFUNCTION("""COMPUTED_VALUE"""),"Reference")</f>
        <v>Reference</v>
      </c>
      <c r="F870" s="6" t="str">
        <f ca="1">IFERROR(__xludf.DUMMYFUNCTION("""COMPUTED_VALUE"""),"PSM 2")</f>
        <v>PSM 2</v>
      </c>
      <c r="G870" s="80">
        <f ca="1">IFERROR(__xludf.DUMMYFUNCTION("""COMPUTED_VALUE"""),44593)</f>
        <v>44593</v>
      </c>
      <c r="H870" s="6" t="str">
        <f ca="1">IFERROR(__xludf.DUMMYFUNCTION("""COMPUTED_VALUE"""),"Won")</f>
        <v>Won</v>
      </c>
      <c r="I870" s="6" t="str">
        <f ca="1">IFERROR(__xludf.DUMMYFUNCTION("""COMPUTED_VALUE"""),"26-27 Feb 2022")</f>
        <v>26-27 Feb 2022</v>
      </c>
      <c r="J870" s="6">
        <f ca="1">IFERROR(__xludf.DUMMYFUNCTION("""COMPUTED_VALUE"""),1)</f>
        <v>1</v>
      </c>
      <c r="K870" s="8">
        <f ca="1">IFERROR(__xludf.DUMMYFUNCTION("""COMPUTED_VALUE"""),24000)</f>
        <v>24000</v>
      </c>
      <c r="L870" s="8">
        <f ca="1">IFERROR(__xludf.DUMMYFUNCTION("""COMPUTED_VALUE"""),274.851122308749)</f>
        <v>274.85112230874898</v>
      </c>
      <c r="M870" s="96">
        <f ca="1">IFERROR(__xludf.DUMMYFUNCTION("""COMPUTED_VALUE"""),44610)</f>
        <v>44610</v>
      </c>
      <c r="N870" s="6" t="str">
        <f ca="1">IFERROR(__xludf.DUMMYFUNCTION("""COMPUTED_VALUE"""),"S10")</f>
        <v>S10</v>
      </c>
      <c r="O870" s="97">
        <f ca="1">IFERROR(__xludf.DUMMYFUNCTION("""COMPUTED_VALUE"""),44610)</f>
        <v>44610</v>
      </c>
      <c r="P870" s="6" t="str">
        <f ca="1">IFERROR(__xludf.DUMMYFUNCTION("""COMPUTED_VALUE"""),"CSTM_FVZ0SDK8G9C")</f>
        <v>CSTM_FVZ0SDK8G9C</v>
      </c>
      <c r="Q870" s="6" t="str">
        <f ca="1">IFERROR(__xludf.DUMMYFUNCTION("""COMPUTED_VALUE"""),"Pragya K - Pending")</f>
        <v>Pragya K - Pending</v>
      </c>
      <c r="R870" s="6" t="str">
        <f ca="1">IFERROR(__xludf.DUMMYFUNCTION("""COMPUTED_VALUE"""),"Pending")</f>
        <v>Pending</v>
      </c>
      <c r="S870" s="6" t="str">
        <f ca="1">IFERROR(__xludf.DUMMYFUNCTION("""COMPUTED_VALUE"""),"Category")</f>
        <v>Category</v>
      </c>
      <c r="T870" s="6" t="str">
        <f ca="1">IFERROR(__xludf.DUMMYFUNCTION("""COMPUTED_VALUE"""),"Pragya K - Auto Tool")</f>
        <v>Pragya K - Auto Tool</v>
      </c>
      <c r="U870" s="6"/>
      <c r="V870" s="6"/>
      <c r="W870" s="6"/>
      <c r="X870" s="6"/>
      <c r="Y870" s="6"/>
      <c r="Z870" s="6"/>
      <c r="AA870" s="6"/>
      <c r="AB870" s="6"/>
      <c r="AC870" s="6"/>
      <c r="AD870" s="6"/>
      <c r="AE870" s="6"/>
      <c r="AF870" s="6"/>
      <c r="AG870" s="6"/>
      <c r="AH870" s="6"/>
      <c r="AI870" s="6"/>
      <c r="AJ870" s="6"/>
      <c r="AK870" s="6"/>
      <c r="AL870" s="6"/>
    </row>
    <row r="871" spans="1:38">
      <c r="A871" s="96">
        <f ca="1">IFERROR(__xludf.DUMMYFUNCTION("""COMPUTED_VALUE"""),44610)</f>
        <v>44610</v>
      </c>
      <c r="B871" s="6" t="str">
        <f ca="1">IFERROR(__xludf.DUMMYFUNCTION("""COMPUTED_VALUE"""),"Abhishek Pal")</f>
        <v>Abhishek Pal</v>
      </c>
      <c r="C871" s="6" t="str">
        <f ca="1">IFERROR(__xludf.DUMMYFUNCTION("""COMPUTED_VALUE"""),"meabhishekpal@gmail.com")</f>
        <v>meabhishekpal@gmail.com</v>
      </c>
      <c r="D871" s="6">
        <f ca="1">IFERROR(__xludf.DUMMYFUNCTION("""COMPUTED_VALUE"""),9051116698)</f>
        <v>9051116698</v>
      </c>
      <c r="E871" s="6" t="str">
        <f ca="1">IFERROR(__xludf.DUMMYFUNCTION("""COMPUTED_VALUE"""),"Reference")</f>
        <v>Reference</v>
      </c>
      <c r="F871" s="6" t="str">
        <f ca="1">IFERROR(__xludf.DUMMYFUNCTION("""COMPUTED_VALUE"""),"PSM")</f>
        <v>PSM</v>
      </c>
      <c r="G871" s="80">
        <f ca="1">IFERROR(__xludf.DUMMYFUNCTION("""COMPUTED_VALUE"""),44593)</f>
        <v>44593</v>
      </c>
      <c r="H871" s="6" t="str">
        <f ca="1">IFERROR(__xludf.DUMMYFUNCTION("""COMPUTED_VALUE"""),"Won")</f>
        <v>Won</v>
      </c>
      <c r="I871" s="6" t="str">
        <f ca="1">IFERROR(__xludf.DUMMYFUNCTION("""COMPUTED_VALUE"""),"26-27 Feb 2022")</f>
        <v>26-27 Feb 2022</v>
      </c>
      <c r="J871" s="6">
        <f ca="1">IFERROR(__xludf.DUMMYFUNCTION("""COMPUTED_VALUE"""),1)</f>
        <v>1</v>
      </c>
      <c r="K871" s="8">
        <f ca="1">IFERROR(__xludf.DUMMYFUNCTION("""COMPUTED_VALUE"""),21000)</f>
        <v>21000</v>
      </c>
      <c r="L871" s="8">
        <f ca="1">IFERROR(__xludf.DUMMYFUNCTION("""COMPUTED_VALUE"""),240.494732020155)</f>
        <v>240.494732020155</v>
      </c>
      <c r="M871" s="96">
        <f ca="1">IFERROR(__xludf.DUMMYFUNCTION("""COMPUTED_VALUE"""),44610)</f>
        <v>44610</v>
      </c>
      <c r="N871" s="6" t="str">
        <f ca="1">IFERROR(__xludf.DUMMYFUNCTION("""COMPUTED_VALUE"""),"S10")</f>
        <v>S10</v>
      </c>
      <c r="O871" s="97">
        <f ca="1">IFERROR(__xludf.DUMMYFUNCTION("""COMPUTED_VALUE"""),44610)</f>
        <v>44610</v>
      </c>
      <c r="P871" s="6" t="str">
        <f ca="1">IFERROR(__xludf.DUMMYFUNCTION("""COMPUTED_VALUE"""),"CSTM_CWTBYRV8P25")</f>
        <v>CSTM_CWTBYRV8P25</v>
      </c>
      <c r="Q871" s="6" t="str">
        <f ca="1">IFERROR(__xludf.DUMMYFUNCTION("""COMPUTED_VALUE"""),"Reference by toabhishekpal@gmail.com")</f>
        <v>Reference by toabhishekpal@gmail.com</v>
      </c>
      <c r="R871" s="6" t="str">
        <f ca="1">IFERROR(__xludf.DUMMYFUNCTION("""COMPUTED_VALUE"""),"Pending")</f>
        <v>Pending</v>
      </c>
      <c r="S871" s="6" t="str">
        <f ca="1">IFERROR(__xludf.DUMMYFUNCTION("""COMPUTED_VALUE"""),"Category")</f>
        <v>Category</v>
      </c>
      <c r="T871" s="6"/>
      <c r="U871" s="6"/>
      <c r="V871" s="6"/>
      <c r="W871" s="6"/>
      <c r="X871" s="6"/>
      <c r="Y871" s="6"/>
      <c r="Z871" s="6"/>
      <c r="AA871" s="6"/>
      <c r="AB871" s="6"/>
      <c r="AC871" s="6"/>
      <c r="AD871" s="6"/>
      <c r="AE871" s="6"/>
      <c r="AF871" s="6"/>
      <c r="AG871" s="6"/>
      <c r="AH871" s="6"/>
      <c r="AI871" s="6"/>
      <c r="AJ871" s="6"/>
      <c r="AK871" s="6"/>
      <c r="AL871" s="6"/>
    </row>
    <row r="872" spans="1:38">
      <c r="A872" s="96">
        <f ca="1">IFERROR(__xludf.DUMMYFUNCTION("""COMPUTED_VALUE"""),44610)</f>
        <v>44610</v>
      </c>
      <c r="B872" s="6" t="str">
        <f ca="1">IFERROR(__xludf.DUMMYFUNCTION("""COMPUTED_VALUE"""),"Kavitha")</f>
        <v>Kavitha</v>
      </c>
      <c r="C872" s="6" t="str">
        <f ca="1">IFERROR(__xludf.DUMMYFUNCTION("""COMPUTED_VALUE"""),"k3kavitha@gmail.com")</f>
        <v>k3kavitha@gmail.com</v>
      </c>
      <c r="D872" s="6">
        <f ca="1">IFERROR(__xludf.DUMMYFUNCTION("""COMPUTED_VALUE"""),8088073236)</f>
        <v>8088073236</v>
      </c>
      <c r="E872" s="6" t="str">
        <f ca="1">IFERROR(__xludf.DUMMYFUNCTION("""COMPUTED_VALUE"""),"Reference")</f>
        <v>Reference</v>
      </c>
      <c r="F872" s="6" t="str">
        <f ca="1">IFERROR(__xludf.DUMMYFUNCTION("""COMPUTED_VALUE"""),"PSM 2")</f>
        <v>PSM 2</v>
      </c>
      <c r="G872" s="80">
        <f ca="1">IFERROR(__xludf.DUMMYFUNCTION("""COMPUTED_VALUE"""),44593)</f>
        <v>44593</v>
      </c>
      <c r="H872" s="6" t="str">
        <f ca="1">IFERROR(__xludf.DUMMYFUNCTION("""COMPUTED_VALUE"""),"Won")</f>
        <v>Won</v>
      </c>
      <c r="I872" s="6" t="str">
        <f ca="1">IFERROR(__xludf.DUMMYFUNCTION("""COMPUTED_VALUE"""),"26-27 Feb 2022")</f>
        <v>26-27 Feb 2022</v>
      </c>
      <c r="J872" s="6">
        <f ca="1">IFERROR(__xludf.DUMMYFUNCTION("""COMPUTED_VALUE"""),1)</f>
        <v>1</v>
      </c>
      <c r="K872" s="8">
        <f ca="1">IFERROR(__xludf.DUMMYFUNCTION("""COMPUTED_VALUE"""),24000)</f>
        <v>24000</v>
      </c>
      <c r="L872" s="8">
        <f ca="1">IFERROR(__xludf.DUMMYFUNCTION("""COMPUTED_VALUE"""),274.851122308749)</f>
        <v>274.85112230874898</v>
      </c>
      <c r="M872" s="96">
        <f ca="1">IFERROR(__xludf.DUMMYFUNCTION("""COMPUTED_VALUE"""),44610)</f>
        <v>44610</v>
      </c>
      <c r="N872" s="6" t="str">
        <f ca="1">IFERROR(__xludf.DUMMYFUNCTION("""COMPUTED_VALUE"""),"S10")</f>
        <v>S10</v>
      </c>
      <c r="O872" s="97">
        <f ca="1">IFERROR(__xludf.DUMMYFUNCTION("""COMPUTED_VALUE"""),44610)</f>
        <v>44610</v>
      </c>
      <c r="P872" s="6" t="str">
        <f ca="1">IFERROR(__xludf.DUMMYFUNCTION("""COMPUTED_VALUE"""),"CSTM_AH9GWYXNBGU")</f>
        <v>CSTM_AH9GWYXNBGU</v>
      </c>
      <c r="Q872" s="6" t="str">
        <f ca="1">IFERROR(__xludf.DUMMYFUNCTION("""COMPUTED_VALUE"""),"Reference by malli.vnkt@gmail.com")</f>
        <v>Reference by malli.vnkt@gmail.com</v>
      </c>
      <c r="R872" s="6" t="str">
        <f ca="1">IFERROR(__xludf.DUMMYFUNCTION("""COMPUTED_VALUE"""),"Pending")</f>
        <v>Pending</v>
      </c>
      <c r="S872" s="6" t="str">
        <f ca="1">IFERROR(__xludf.DUMMYFUNCTION("""COMPUTED_VALUE"""),"Category")</f>
        <v>Category</v>
      </c>
      <c r="T872" s="6"/>
      <c r="U872" s="6"/>
      <c r="V872" s="6"/>
      <c r="W872" s="6"/>
      <c r="X872" s="6"/>
      <c r="Y872" s="6"/>
      <c r="Z872" s="6"/>
      <c r="AA872" s="6"/>
      <c r="AB872" s="6"/>
      <c r="AC872" s="6"/>
      <c r="AD872" s="6"/>
      <c r="AE872" s="6"/>
      <c r="AF872" s="6"/>
      <c r="AG872" s="6"/>
      <c r="AH872" s="6"/>
      <c r="AI872" s="6"/>
      <c r="AJ872" s="6"/>
      <c r="AK872" s="6"/>
      <c r="AL872" s="6"/>
    </row>
    <row r="873" spans="1:38">
      <c r="A873" s="96">
        <f ca="1">IFERROR(__xludf.DUMMYFUNCTION("""COMPUTED_VALUE"""),44611)</f>
        <v>44611</v>
      </c>
      <c r="B873" s="6" t="str">
        <f ca="1">IFERROR(__xludf.DUMMYFUNCTION("""COMPUTED_VALUE"""),"Anantha Ramaraju")</f>
        <v>Anantha Ramaraju</v>
      </c>
      <c r="C873" s="6" t="str">
        <f ca="1">IFERROR(__xludf.DUMMYFUNCTION("""COMPUTED_VALUE"""),"anantharamaraju.p@gmail.com")</f>
        <v>anantharamaraju.p@gmail.com</v>
      </c>
      <c r="D873" s="6">
        <f ca="1">IFERROR(__xludf.DUMMYFUNCTION("""COMPUTED_VALUE"""),9581756746)</f>
        <v>9581756746</v>
      </c>
      <c r="E873" s="6" t="str">
        <f ca="1">IFERROR(__xludf.DUMMYFUNCTION("""COMPUTED_VALUE"""),"course preview")</f>
        <v>course preview</v>
      </c>
      <c r="F873" s="6" t="str">
        <f ca="1">IFERROR(__xludf.DUMMYFUNCTION("""COMPUTED_VALUE"""),"CSM")</f>
        <v>CSM</v>
      </c>
      <c r="G873" s="80">
        <f ca="1">IFERROR(__xludf.DUMMYFUNCTION("""COMPUTED_VALUE"""),44593)</f>
        <v>44593</v>
      </c>
      <c r="H873" s="6" t="str">
        <f ca="1">IFERROR(__xludf.DUMMYFUNCTION("""COMPUTED_VALUE"""),"Won")</f>
        <v>Won</v>
      </c>
      <c r="I873" s="6" t="str">
        <f ca="1">IFERROR(__xludf.DUMMYFUNCTION("""COMPUTED_VALUE"""),"19 Feb 2022")</f>
        <v>19 Feb 2022</v>
      </c>
      <c r="J873" s="6">
        <f ca="1">IFERROR(__xludf.DUMMYFUNCTION("""COMPUTED_VALUE"""),1)</f>
        <v>1</v>
      </c>
      <c r="K873" s="8">
        <f ca="1">IFERROR(__xludf.DUMMYFUNCTION("""COMPUTED_VALUE"""),24000)</f>
        <v>24000</v>
      </c>
      <c r="L873" s="8">
        <f ca="1">IFERROR(__xludf.DUMMYFUNCTION("""COMPUTED_VALUE"""),274.851122308749)</f>
        <v>274.85112230874898</v>
      </c>
      <c r="M873" s="96">
        <f ca="1">IFERROR(__xludf.DUMMYFUNCTION("""COMPUTED_VALUE"""),44611)</f>
        <v>44611</v>
      </c>
      <c r="N873" s="6" t="str">
        <f ca="1">IFERROR(__xludf.DUMMYFUNCTION("""COMPUTED_VALUE"""),"S10")</f>
        <v>S10</v>
      </c>
      <c r="O873" s="97">
        <f ca="1">IFERROR(__xludf.DUMMYFUNCTION("""COMPUTED_VALUE"""),44611)</f>
        <v>44611</v>
      </c>
      <c r="P873" s="6" t="str">
        <f ca="1">IFERROR(__xludf.DUMMYFUNCTION("""COMPUTED_VALUE"""),"CSTM_BAV161B2PRU")</f>
        <v>CSTM_BAV161B2PRU</v>
      </c>
      <c r="Q873" s="6"/>
      <c r="R873" s="6" t="str">
        <f ca="1">IFERROR(__xludf.DUMMYFUNCTION("""COMPUTED_VALUE"""),"Pending")</f>
        <v>Pending</v>
      </c>
      <c r="S873" s="6" t="str">
        <f ca="1">IFERROR(__xludf.DUMMYFUNCTION("""COMPUTED_VALUE"""),"Category")</f>
        <v>Category</v>
      </c>
      <c r="T873" s="6"/>
      <c r="U873" s="6"/>
      <c r="V873" s="6"/>
      <c r="W873" s="6"/>
      <c r="X873" s="6"/>
      <c r="Y873" s="6"/>
      <c r="Z873" s="6"/>
      <c r="AA873" s="6"/>
      <c r="AB873" s="6"/>
      <c r="AC873" s="6"/>
      <c r="AD873" s="6"/>
      <c r="AE873" s="6"/>
      <c r="AF873" s="6"/>
      <c r="AG873" s="6"/>
      <c r="AH873" s="6"/>
      <c r="AI873" s="6"/>
      <c r="AJ873" s="6"/>
      <c r="AK873" s="6"/>
      <c r="AL873" s="6"/>
    </row>
    <row r="874" spans="1:38">
      <c r="A874" s="96">
        <f ca="1">IFERROR(__xludf.DUMMYFUNCTION("""COMPUTED_VALUE"""),44611)</f>
        <v>44611</v>
      </c>
      <c r="B874" s="6" t="str">
        <f ca="1">IFERROR(__xludf.DUMMYFUNCTION("""COMPUTED_VALUE"""),"Lakshmi")</f>
        <v>Lakshmi</v>
      </c>
      <c r="C874" s="6" t="str">
        <f ca="1">IFERROR(__xludf.DUMMYFUNCTION("""COMPUTED_VALUE"""),"lakshmi3.m@tcs.com")</f>
        <v>lakshmi3.m@tcs.com</v>
      </c>
      <c r="D874" s="6">
        <f ca="1">IFERROR(__xludf.DUMMYFUNCTION("""COMPUTED_VALUE"""),9847737844)</f>
        <v>9847737844</v>
      </c>
      <c r="E874" s="6" t="str">
        <f ca="1">IFERROR(__xludf.DUMMYFUNCTION("""COMPUTED_VALUE"""),"Reference")</f>
        <v>Reference</v>
      </c>
      <c r="F874" s="6" t="str">
        <f ca="1">IFERROR(__xludf.DUMMYFUNCTION("""COMPUTED_VALUE"""),"SAFe SSM")</f>
        <v>SAFe SSM</v>
      </c>
      <c r="G874" s="80">
        <f ca="1">IFERROR(__xludf.DUMMYFUNCTION("""COMPUTED_VALUE"""),44593)</f>
        <v>44593</v>
      </c>
      <c r="H874" s="6" t="str">
        <f ca="1">IFERROR(__xludf.DUMMYFUNCTION("""COMPUTED_VALUE"""),"Won")</f>
        <v>Won</v>
      </c>
      <c r="I874" s="6" t="str">
        <f ca="1">IFERROR(__xludf.DUMMYFUNCTION("""COMPUTED_VALUE"""),"26-27 Feb 2022")</f>
        <v>26-27 Feb 2022</v>
      </c>
      <c r="J874" s="6">
        <f ca="1">IFERROR(__xludf.DUMMYFUNCTION("""COMPUTED_VALUE"""),1)</f>
        <v>1</v>
      </c>
      <c r="K874" s="8">
        <f ca="1">IFERROR(__xludf.DUMMYFUNCTION("""COMPUTED_VALUE"""),40000)</f>
        <v>40000</v>
      </c>
      <c r="L874" s="8">
        <f ca="1">IFERROR(__xludf.DUMMYFUNCTION("""COMPUTED_VALUE"""),458.085203847915)</f>
        <v>458.08520384791501</v>
      </c>
      <c r="M874" s="96">
        <f ca="1">IFERROR(__xludf.DUMMYFUNCTION("""COMPUTED_VALUE"""),44611)</f>
        <v>44611</v>
      </c>
      <c r="N874" s="6" t="str">
        <f ca="1">IFERROR(__xludf.DUMMYFUNCTION("""COMPUTED_VALUE"""),"S10")</f>
        <v>S10</v>
      </c>
      <c r="O874" s="97">
        <f ca="1">IFERROR(__xludf.DUMMYFUNCTION("""COMPUTED_VALUE"""),44611)</f>
        <v>44611</v>
      </c>
      <c r="P874" s="6" t="str">
        <f ca="1">IFERROR(__xludf.DUMMYFUNCTION("""COMPUTED_VALUE"""),"CSTM_C9NA46T3EFF")</f>
        <v>CSTM_C9NA46T3EFF</v>
      </c>
      <c r="Q874" s="6" t="str">
        <f ca="1">IFERROR(__xludf.DUMMYFUNCTION("""COMPUTED_VALUE"""),"Reference by sreejeshkiyer@gmail.com")</f>
        <v>Reference by sreejeshkiyer@gmail.com</v>
      </c>
      <c r="R874" s="6" t="str">
        <f ca="1">IFERROR(__xludf.DUMMYFUNCTION("""COMPUTED_VALUE"""),"Pending")</f>
        <v>Pending</v>
      </c>
      <c r="S874" s="6" t="str">
        <f ca="1">IFERROR(__xludf.DUMMYFUNCTION("""COMPUTED_VALUE"""),"SAFe")</f>
        <v>SAFe</v>
      </c>
      <c r="T874" s="6"/>
      <c r="U874" s="6"/>
      <c r="V874" s="6"/>
      <c r="W874" s="6"/>
      <c r="X874" s="6"/>
      <c r="Y874" s="6"/>
      <c r="Z874" s="6"/>
      <c r="AA874" s="6"/>
      <c r="AB874" s="6"/>
      <c r="AC874" s="6"/>
      <c r="AD874" s="6"/>
      <c r="AE874" s="6"/>
      <c r="AF874" s="6"/>
      <c r="AG874" s="6"/>
      <c r="AH874" s="6"/>
      <c r="AI874" s="6"/>
      <c r="AJ874" s="6"/>
      <c r="AK874" s="6"/>
      <c r="AL874" s="6"/>
    </row>
    <row r="875" spans="1:38">
      <c r="A875" s="96">
        <f ca="1">IFERROR(__xludf.DUMMYFUNCTION("""COMPUTED_VALUE"""),44613)</f>
        <v>44613</v>
      </c>
      <c r="B875" s="6" t="str">
        <f ca="1">IFERROR(__xludf.DUMMYFUNCTION("""COMPUTED_VALUE"""),"Gautam Manglik")</f>
        <v>Gautam Manglik</v>
      </c>
      <c r="C875" s="6" t="str">
        <f ca="1">IFERROR(__xludf.DUMMYFUNCTION("""COMPUTED_VALUE"""),"gmanglik3@dxc.com")</f>
        <v>gmanglik3@dxc.com</v>
      </c>
      <c r="D875" s="6">
        <f ca="1">IFERROR(__xludf.DUMMYFUNCTION("""COMPUTED_VALUE"""),9810612451)</f>
        <v>9810612451</v>
      </c>
      <c r="E875" s="6" t="str">
        <f ca="1">IFERROR(__xludf.DUMMYFUNCTION("""COMPUTED_VALUE"""),"na-payment")</f>
        <v>na-payment</v>
      </c>
      <c r="F875" s="6" t="str">
        <f ca="1">IFERROR(__xludf.DUMMYFUNCTION("""COMPUTED_VALUE"""),"PSM 2")</f>
        <v>PSM 2</v>
      </c>
      <c r="G875" s="80">
        <f ca="1">IFERROR(__xludf.DUMMYFUNCTION("""COMPUTED_VALUE"""),44593)</f>
        <v>44593</v>
      </c>
      <c r="H875" s="6" t="str">
        <f ca="1">IFERROR(__xludf.DUMMYFUNCTION("""COMPUTED_VALUE"""),"Won")</f>
        <v>Won</v>
      </c>
      <c r="I875" s="6" t="str">
        <f ca="1">IFERROR(__xludf.DUMMYFUNCTION("""COMPUTED_VALUE"""),"26-27 Feb 2022")</f>
        <v>26-27 Feb 2022</v>
      </c>
      <c r="J875" s="6">
        <f ca="1">IFERROR(__xludf.DUMMYFUNCTION("""COMPUTED_VALUE"""),1)</f>
        <v>1</v>
      </c>
      <c r="K875" s="8">
        <f ca="1">IFERROR(__xludf.DUMMYFUNCTION("""COMPUTED_VALUE"""),24000)</f>
        <v>24000</v>
      </c>
      <c r="L875" s="8">
        <f ca="1">IFERROR(__xludf.DUMMYFUNCTION("""COMPUTED_VALUE"""),274.851122308749)</f>
        <v>274.85112230874898</v>
      </c>
      <c r="M875" s="96">
        <f ca="1">IFERROR(__xludf.DUMMYFUNCTION("""COMPUTED_VALUE"""),44613)</f>
        <v>44613</v>
      </c>
      <c r="N875" s="6" t="str">
        <f ca="1">IFERROR(__xludf.DUMMYFUNCTION("""COMPUTED_VALUE"""),"T10")</f>
        <v>T10</v>
      </c>
      <c r="O875" s="97">
        <f ca="1">IFERROR(__xludf.DUMMYFUNCTION("""COMPUTED_VALUE"""),44613)</f>
        <v>44613</v>
      </c>
      <c r="P875" s="6" t="str">
        <f ca="1">IFERROR(__xludf.DUMMYFUNCTION("""COMPUTED_VALUE"""),"CSTM_2DB8HGVG4D1")</f>
        <v>CSTM_2DB8HGVG4D1</v>
      </c>
      <c r="Q875" s="6"/>
      <c r="R875" s="6" t="str">
        <f ca="1">IFERROR(__xludf.DUMMYFUNCTION("""COMPUTED_VALUE"""),"Pending")</f>
        <v>Pending</v>
      </c>
      <c r="S875" s="6" t="str">
        <f ca="1">IFERROR(__xludf.DUMMYFUNCTION("""COMPUTED_VALUE"""),"Category")</f>
        <v>Category</v>
      </c>
      <c r="T875" s="6"/>
      <c r="U875" s="6"/>
      <c r="V875" s="6"/>
      <c r="W875" s="6"/>
      <c r="X875" s="6"/>
      <c r="Y875" s="6"/>
      <c r="Z875" s="6"/>
      <c r="AA875" s="6"/>
      <c r="AB875" s="6"/>
      <c r="AC875" s="6"/>
      <c r="AD875" s="6"/>
      <c r="AE875" s="6"/>
      <c r="AF875" s="6"/>
      <c r="AG875" s="6"/>
      <c r="AH875" s="6"/>
      <c r="AI875" s="6"/>
      <c r="AJ875" s="6"/>
      <c r="AK875" s="6"/>
      <c r="AL875" s="6"/>
    </row>
    <row r="876" spans="1:38">
      <c r="A876" s="96">
        <f ca="1">IFERROR(__xludf.DUMMYFUNCTION("""COMPUTED_VALUE"""),44614)</f>
        <v>44614</v>
      </c>
      <c r="B876" s="6" t="str">
        <f ca="1">IFERROR(__xludf.DUMMYFUNCTION("""COMPUTED_VALUE"""),"Somnath")</f>
        <v>Somnath</v>
      </c>
      <c r="C876" s="6" t="str">
        <f ca="1">IFERROR(__xludf.DUMMYFUNCTION("""COMPUTED_VALUE"""),"charzo.som@gmail.com")</f>
        <v>charzo.som@gmail.com</v>
      </c>
      <c r="D876" s="6">
        <f ca="1">IFERROR(__xludf.DUMMYFUNCTION("""COMPUTED_VALUE"""),9330560363)</f>
        <v>9330560363</v>
      </c>
      <c r="E876" s="6" t="str">
        <f ca="1">IFERROR(__xludf.DUMMYFUNCTION("""COMPUTED_VALUE"""),"chat_initiated")</f>
        <v>chat_initiated</v>
      </c>
      <c r="F876" s="6" t="str">
        <f ca="1">IFERROR(__xludf.DUMMYFUNCTION("""COMPUTED_VALUE"""),"CSM")</f>
        <v>CSM</v>
      </c>
      <c r="G876" s="80">
        <f ca="1">IFERROR(__xludf.DUMMYFUNCTION("""COMPUTED_VALUE"""),44593)</f>
        <v>44593</v>
      </c>
      <c r="H876" s="6" t="str">
        <f ca="1">IFERROR(__xludf.DUMMYFUNCTION("""COMPUTED_VALUE"""),"Won")</f>
        <v>Won</v>
      </c>
      <c r="I876" s="6" t="str">
        <f ca="1">IFERROR(__xludf.DUMMYFUNCTION("""COMPUTED_VALUE"""),"10-11 March 2022")</f>
        <v>10-11 March 2022</v>
      </c>
      <c r="J876" s="6">
        <f ca="1">IFERROR(__xludf.DUMMYFUNCTION("""COMPUTED_VALUE"""),1)</f>
        <v>1</v>
      </c>
      <c r="K876" s="8">
        <f ca="1">IFERROR(__xludf.DUMMYFUNCTION("""COMPUTED_VALUE"""),20000)</f>
        <v>20000</v>
      </c>
      <c r="L876" s="8">
        <f ca="1">IFERROR(__xludf.DUMMYFUNCTION("""COMPUTED_VALUE"""),229.042601923957)</f>
        <v>229.04260192395699</v>
      </c>
      <c r="M876" s="96">
        <f ca="1">IFERROR(__xludf.DUMMYFUNCTION("""COMPUTED_VALUE"""),44614)</f>
        <v>44614</v>
      </c>
      <c r="N876" s="6" t="str">
        <f ca="1">IFERROR(__xludf.DUMMYFUNCTION("""COMPUTED_VALUE"""),"T10")</f>
        <v>T10</v>
      </c>
      <c r="O876" s="97">
        <f ca="1">IFERROR(__xludf.DUMMYFUNCTION("""COMPUTED_VALUE"""),44614)</f>
        <v>44614</v>
      </c>
      <c r="P876" s="6" t="str">
        <f ca="1">IFERROR(__xludf.DUMMYFUNCTION("""COMPUTED_VALUE"""),"CSTM_82YTHQN07LI")</f>
        <v>CSTM_82YTHQN07LI</v>
      </c>
      <c r="Q876" s="6"/>
      <c r="R876" s="6" t="str">
        <f ca="1">IFERROR(__xludf.DUMMYFUNCTION("""COMPUTED_VALUE"""),"Pending")</f>
        <v>Pending</v>
      </c>
      <c r="S876" s="6" t="str">
        <f ca="1">IFERROR(__xludf.DUMMYFUNCTION("""COMPUTED_VALUE"""),"Category")</f>
        <v>Category</v>
      </c>
      <c r="T876" s="6"/>
      <c r="U876" s="6"/>
      <c r="V876" s="6"/>
      <c r="W876" s="6"/>
      <c r="X876" s="6"/>
      <c r="Y876" s="6"/>
      <c r="Z876" s="6"/>
      <c r="AA876" s="6"/>
      <c r="AB876" s="6"/>
      <c r="AC876" s="6"/>
      <c r="AD876" s="6"/>
      <c r="AE876" s="6"/>
      <c r="AF876" s="6"/>
      <c r="AG876" s="6"/>
      <c r="AH876" s="6"/>
      <c r="AI876" s="6"/>
      <c r="AJ876" s="6"/>
      <c r="AK876" s="6"/>
      <c r="AL876" s="6"/>
    </row>
    <row r="877" spans="1:38">
      <c r="A877" s="96">
        <f ca="1">IFERROR(__xludf.DUMMYFUNCTION("""COMPUTED_VALUE"""),44614)</f>
        <v>44614</v>
      </c>
      <c r="B877" s="6" t="str">
        <f ca="1">IFERROR(__xludf.DUMMYFUNCTION("""COMPUTED_VALUE"""),"Sundeep K")</f>
        <v>Sundeep K</v>
      </c>
      <c r="C877" s="6" t="str">
        <f ca="1">IFERROR(__xludf.DUMMYFUNCTION("""COMPUTED_VALUE"""),"sundeepk1985@gmail.com")</f>
        <v>sundeepk1985@gmail.com</v>
      </c>
      <c r="D877" s="6">
        <f ca="1">IFERROR(__xludf.DUMMYFUNCTION("""COMPUTED_VALUE"""),8308849424)</f>
        <v>8308849424</v>
      </c>
      <c r="E877" s="6" t="str">
        <f ca="1">IFERROR(__xludf.DUMMYFUNCTION("""COMPUTED_VALUE"""),"Chat_triggered")</f>
        <v>Chat_triggered</v>
      </c>
      <c r="F877" s="6" t="str">
        <f ca="1">IFERROR(__xludf.DUMMYFUNCTION("""COMPUTED_VALUE"""),"SAFe POPM")</f>
        <v>SAFe POPM</v>
      </c>
      <c r="G877" s="80">
        <f ca="1">IFERROR(__xludf.DUMMYFUNCTION("""COMPUTED_VALUE"""),44593)</f>
        <v>44593</v>
      </c>
      <c r="H877" s="6" t="str">
        <f ca="1">IFERROR(__xludf.DUMMYFUNCTION("""COMPUTED_VALUE"""),"Won")</f>
        <v>Won</v>
      </c>
      <c r="I877" s="6" t="str">
        <f ca="1">IFERROR(__xludf.DUMMYFUNCTION("""COMPUTED_VALUE"""),"5-6 March 2022")</f>
        <v>5-6 March 2022</v>
      </c>
      <c r="J877" s="6">
        <f ca="1">IFERROR(__xludf.DUMMYFUNCTION("""COMPUTED_VALUE"""),1)</f>
        <v>1</v>
      </c>
      <c r="K877" s="8">
        <f ca="1">IFERROR(__xludf.DUMMYFUNCTION("""COMPUTED_VALUE"""),42000)</f>
        <v>42000</v>
      </c>
      <c r="L877" s="8">
        <f ca="1">IFERROR(__xludf.DUMMYFUNCTION("""COMPUTED_VALUE"""),480.989464040311)</f>
        <v>480.98946404031102</v>
      </c>
      <c r="M877" s="96">
        <f ca="1">IFERROR(__xludf.DUMMYFUNCTION("""COMPUTED_VALUE"""),44614)</f>
        <v>44614</v>
      </c>
      <c r="N877" s="6" t="str">
        <f ca="1">IFERROR(__xludf.DUMMYFUNCTION("""COMPUTED_VALUE"""),"T10")</f>
        <v>T10</v>
      </c>
      <c r="O877" s="97">
        <f ca="1">IFERROR(__xludf.DUMMYFUNCTION("""COMPUTED_VALUE"""),44614)</f>
        <v>44614</v>
      </c>
      <c r="P877" s="6" t="str">
        <f ca="1">IFERROR(__xludf.DUMMYFUNCTION("""COMPUTED_VALUE"""),"CSTM_FWN6R2YEZBH")</f>
        <v>CSTM_FWN6R2YEZBH</v>
      </c>
      <c r="Q877" s="6"/>
      <c r="R877" s="6" t="str">
        <f ca="1">IFERROR(__xludf.DUMMYFUNCTION("""COMPUTED_VALUE"""),"Pending")</f>
        <v>Pending</v>
      </c>
      <c r="S877" s="6" t="str">
        <f ca="1">IFERROR(__xludf.DUMMYFUNCTION("""COMPUTED_VALUE"""),"SAFe")</f>
        <v>SAFe</v>
      </c>
      <c r="T877" s="6"/>
      <c r="U877" s="6"/>
      <c r="V877" s="6"/>
      <c r="W877" s="6"/>
      <c r="X877" s="6"/>
      <c r="Y877" s="6"/>
      <c r="Z877" s="6"/>
      <c r="AA877" s="6"/>
      <c r="AB877" s="6"/>
      <c r="AC877" s="6"/>
      <c r="AD877" s="6"/>
      <c r="AE877" s="6"/>
      <c r="AF877" s="6"/>
      <c r="AG877" s="6"/>
      <c r="AH877" s="6"/>
      <c r="AI877" s="6"/>
      <c r="AJ877" s="6"/>
      <c r="AK877" s="6"/>
      <c r="AL877" s="6"/>
    </row>
    <row r="878" spans="1:38">
      <c r="A878" s="96">
        <f ca="1">IFERROR(__xludf.DUMMYFUNCTION("""COMPUTED_VALUE"""),44615)</f>
        <v>44615</v>
      </c>
      <c r="B878" s="6" t="str">
        <f ca="1">IFERROR(__xludf.DUMMYFUNCTION("""COMPUTED_VALUE"""),"Neha Nagar")</f>
        <v>Neha Nagar</v>
      </c>
      <c r="C878" s="6" t="str">
        <f ca="1">IFERROR(__xludf.DUMMYFUNCTION("""COMPUTED_VALUE"""),"nehanagar7@gmail.com")</f>
        <v>nehanagar7@gmail.com</v>
      </c>
      <c r="D878" s="6">
        <f ca="1">IFERROR(__xludf.DUMMYFUNCTION("""COMPUTED_VALUE"""),9825762567)</f>
        <v>9825762567</v>
      </c>
      <c r="E878" s="6" t="str">
        <f ca="1">IFERROR(__xludf.DUMMYFUNCTION("""COMPUTED_VALUE"""),"refer&amp;earn")</f>
        <v>refer&amp;earn</v>
      </c>
      <c r="F878" s="6" t="str">
        <f ca="1">IFERROR(__xludf.DUMMYFUNCTION("""COMPUTED_VALUE"""),"CSM")</f>
        <v>CSM</v>
      </c>
      <c r="G878" s="80">
        <f ca="1">IFERROR(__xludf.DUMMYFUNCTION("""COMPUTED_VALUE"""),44593)</f>
        <v>44593</v>
      </c>
      <c r="H878" s="6" t="str">
        <f ca="1">IFERROR(__xludf.DUMMYFUNCTION("""COMPUTED_VALUE"""),"Won")</f>
        <v>Won</v>
      </c>
      <c r="I878" s="6" t="str">
        <f ca="1">IFERROR(__xludf.DUMMYFUNCTION("""COMPUTED_VALUE"""),"19-20 March 2022")</f>
        <v>19-20 March 2022</v>
      </c>
      <c r="J878" s="6">
        <f ca="1">IFERROR(__xludf.DUMMYFUNCTION("""COMPUTED_VALUE"""),1)</f>
        <v>1</v>
      </c>
      <c r="K878" s="8">
        <f ca="1">IFERROR(__xludf.DUMMYFUNCTION("""COMPUTED_VALUE"""),19000)</f>
        <v>19000</v>
      </c>
      <c r="L878" s="8">
        <f ca="1">IFERROR(__xludf.DUMMYFUNCTION("""COMPUTED_VALUE"""),217.590471827759)</f>
        <v>217.59047182775899</v>
      </c>
      <c r="M878" s="96">
        <f ca="1">IFERROR(__xludf.DUMMYFUNCTION("""COMPUTED_VALUE"""),44615)</f>
        <v>44615</v>
      </c>
      <c r="N878" s="6" t="str">
        <f ca="1">IFERROR(__xludf.DUMMYFUNCTION("""COMPUTED_VALUE"""),"T10")</f>
        <v>T10</v>
      </c>
      <c r="O878" s="97">
        <f ca="1">IFERROR(__xludf.DUMMYFUNCTION("""COMPUTED_VALUE"""),44615)</f>
        <v>44615</v>
      </c>
      <c r="P878" s="6" t="str">
        <f ca="1">IFERROR(__xludf.DUMMYFUNCTION("""COMPUTED_VALUE"""),"CSTM_705L35VN36V")</f>
        <v>CSTM_705L35VN36V</v>
      </c>
      <c r="Q878" s="6"/>
      <c r="R878" s="6" t="str">
        <f ca="1">IFERROR(__xludf.DUMMYFUNCTION("""COMPUTED_VALUE"""),"Pending")</f>
        <v>Pending</v>
      </c>
      <c r="S878" s="6" t="str">
        <f ca="1">IFERROR(__xludf.DUMMYFUNCTION("""COMPUTED_VALUE"""),"Category")</f>
        <v>Category</v>
      </c>
      <c r="T878" s="6"/>
      <c r="U878" s="6"/>
      <c r="V878" s="6"/>
      <c r="W878" s="6"/>
      <c r="X878" s="6"/>
      <c r="Y878" s="6"/>
      <c r="Z878" s="6"/>
      <c r="AA878" s="6"/>
      <c r="AB878" s="6"/>
      <c r="AC878" s="6"/>
      <c r="AD878" s="6"/>
      <c r="AE878" s="6"/>
      <c r="AF878" s="6"/>
      <c r="AG878" s="6"/>
      <c r="AH878" s="6"/>
      <c r="AI878" s="6"/>
      <c r="AJ878" s="6"/>
      <c r="AK878" s="6"/>
      <c r="AL878" s="6"/>
    </row>
    <row r="879" spans="1:38">
      <c r="A879" s="96">
        <f ca="1">IFERROR(__xludf.DUMMYFUNCTION("""COMPUTED_VALUE"""),44615)</f>
        <v>44615</v>
      </c>
      <c r="B879" s="6" t="str">
        <f ca="1">IFERROR(__xludf.DUMMYFUNCTION("""COMPUTED_VALUE"""),"Adi")</f>
        <v>Adi</v>
      </c>
      <c r="C879" s="6" t="str">
        <f ca="1">IFERROR(__xludf.DUMMYFUNCTION("""COMPUTED_VALUE"""),"achirikonda@gmail.com")</f>
        <v>achirikonda@gmail.com</v>
      </c>
      <c r="D879" s="6">
        <f ca="1">IFERROR(__xludf.DUMMYFUNCTION("""COMPUTED_VALUE"""),9000014129)</f>
        <v>9000014129</v>
      </c>
      <c r="E879" s="6" t="str">
        <f ca="1">IFERROR(__xludf.DUMMYFUNCTION("""COMPUTED_VALUE"""),"chat_initiated")</f>
        <v>chat_initiated</v>
      </c>
      <c r="F879" s="6" t="str">
        <f ca="1">IFERROR(__xludf.DUMMYFUNCTION("""COMPUTED_VALUE"""),"PSM 2")</f>
        <v>PSM 2</v>
      </c>
      <c r="G879" s="80">
        <f ca="1">IFERROR(__xludf.DUMMYFUNCTION("""COMPUTED_VALUE"""),44593)</f>
        <v>44593</v>
      </c>
      <c r="H879" s="6" t="str">
        <f ca="1">IFERROR(__xludf.DUMMYFUNCTION("""COMPUTED_VALUE"""),"Won")</f>
        <v>Won</v>
      </c>
      <c r="I879" s="6" t="str">
        <f ca="1">IFERROR(__xludf.DUMMYFUNCTION("""COMPUTED_VALUE"""),"26-27 Feb 2022")</f>
        <v>26-27 Feb 2022</v>
      </c>
      <c r="J879" s="6">
        <f ca="1">IFERROR(__xludf.DUMMYFUNCTION("""COMPUTED_VALUE"""),1)</f>
        <v>1</v>
      </c>
      <c r="K879" s="8">
        <f ca="1">IFERROR(__xludf.DUMMYFUNCTION("""COMPUTED_VALUE"""),24000)</f>
        <v>24000</v>
      </c>
      <c r="L879" s="8">
        <f ca="1">IFERROR(__xludf.DUMMYFUNCTION("""COMPUTED_VALUE"""),274.851122308749)</f>
        <v>274.85112230874898</v>
      </c>
      <c r="M879" s="96">
        <f ca="1">IFERROR(__xludf.DUMMYFUNCTION("""COMPUTED_VALUE"""),44615)</f>
        <v>44615</v>
      </c>
      <c r="N879" s="6" t="str">
        <f ca="1">IFERROR(__xludf.DUMMYFUNCTION("""COMPUTED_VALUE"""),"T10")</f>
        <v>T10</v>
      </c>
      <c r="O879" s="97">
        <f ca="1">IFERROR(__xludf.DUMMYFUNCTION("""COMPUTED_VALUE"""),44615)</f>
        <v>44615</v>
      </c>
      <c r="P879" s="6" t="str">
        <f ca="1">IFERROR(__xludf.DUMMYFUNCTION("""COMPUTED_VALUE"""),"CSTM_538A8GM8M6")</f>
        <v>CSTM_538A8GM8M6</v>
      </c>
      <c r="Q879" s="6"/>
      <c r="R879" s="6" t="str">
        <f ca="1">IFERROR(__xludf.DUMMYFUNCTION("""COMPUTED_VALUE"""),"Pending")</f>
        <v>Pending</v>
      </c>
      <c r="S879" s="6" t="str">
        <f ca="1">IFERROR(__xludf.DUMMYFUNCTION("""COMPUTED_VALUE"""),"Category")</f>
        <v>Category</v>
      </c>
      <c r="T879" s="6"/>
      <c r="U879" s="6"/>
      <c r="V879" s="6"/>
      <c r="W879" s="6"/>
      <c r="X879" s="6"/>
      <c r="Y879" s="6"/>
      <c r="Z879" s="6"/>
      <c r="AA879" s="6"/>
      <c r="AB879" s="6"/>
      <c r="AC879" s="6"/>
      <c r="AD879" s="6"/>
      <c r="AE879" s="6"/>
      <c r="AF879" s="6"/>
      <c r="AG879" s="6"/>
      <c r="AH879" s="6"/>
      <c r="AI879" s="6"/>
      <c r="AJ879" s="6"/>
      <c r="AK879" s="6"/>
      <c r="AL879" s="6"/>
    </row>
    <row r="880" spans="1:38">
      <c r="A880" s="96">
        <f ca="1">IFERROR(__xludf.DUMMYFUNCTION("""COMPUTED_VALUE"""),44615)</f>
        <v>44615</v>
      </c>
      <c r="B880" s="6" t="str">
        <f ca="1">IFERROR(__xludf.DUMMYFUNCTION("""COMPUTED_VALUE"""),"Kunal")</f>
        <v>Kunal</v>
      </c>
      <c r="C880" s="6" t="str">
        <f ca="1">IFERROR(__xludf.DUMMYFUNCTION("""COMPUTED_VALUE"""),"4you.kunal@gmail.com")</f>
        <v>4you.kunal@gmail.com</v>
      </c>
      <c r="D880" s="6">
        <f ca="1">IFERROR(__xludf.DUMMYFUNCTION("""COMPUTED_VALUE"""),8884929261)</f>
        <v>8884929261</v>
      </c>
      <c r="E880" s="6" t="str">
        <f ca="1">IFERROR(__xludf.DUMMYFUNCTION("""COMPUTED_VALUE"""),"Reference")</f>
        <v>Reference</v>
      </c>
      <c r="F880" s="6" t="str">
        <f ca="1">IFERROR(__xludf.DUMMYFUNCTION("""COMPUTED_VALUE"""),"PMP")</f>
        <v>PMP</v>
      </c>
      <c r="G880" s="80">
        <f ca="1">IFERROR(__xludf.DUMMYFUNCTION("""COMPUTED_VALUE"""),44593)</f>
        <v>44593</v>
      </c>
      <c r="H880" s="6" t="str">
        <f ca="1">IFERROR(__xludf.DUMMYFUNCTION("""COMPUTED_VALUE"""),"Won")</f>
        <v>Won</v>
      </c>
      <c r="I880" s="6" t="str">
        <f ca="1">IFERROR(__xludf.DUMMYFUNCTION("""COMPUTED_VALUE"""),"26 Feb 2022")</f>
        <v>26 Feb 2022</v>
      </c>
      <c r="J880" s="6">
        <f ca="1">IFERROR(__xludf.DUMMYFUNCTION("""COMPUTED_VALUE"""),1)</f>
        <v>1</v>
      </c>
      <c r="K880" s="8">
        <f ca="1">IFERROR(__xludf.DUMMYFUNCTION("""COMPUTED_VALUE"""),13500)</f>
        <v>13500</v>
      </c>
      <c r="L880" s="8">
        <f ca="1">IFERROR(__xludf.DUMMYFUNCTION("""COMPUTED_VALUE"""),154.603756298671)</f>
        <v>154.60375629867099</v>
      </c>
      <c r="M880" s="96">
        <f ca="1">IFERROR(__xludf.DUMMYFUNCTION("""COMPUTED_VALUE"""),44615)</f>
        <v>44615</v>
      </c>
      <c r="N880" s="6" t="str">
        <f ca="1">IFERROR(__xludf.DUMMYFUNCTION("""COMPUTED_VALUE"""),"T10")</f>
        <v>T10</v>
      </c>
      <c r="O880" s="97">
        <f ca="1">IFERROR(__xludf.DUMMYFUNCTION("""COMPUTED_VALUE"""),44615)</f>
        <v>44615</v>
      </c>
      <c r="P880" s="6" t="str">
        <f ca="1">IFERROR(__xludf.DUMMYFUNCTION("""COMPUTED_VALUE"""),"CSTM_86HVJ60509N")</f>
        <v>CSTM_86HVJ60509N</v>
      </c>
      <c r="Q880" s="6" t="str">
        <f ca="1">IFERROR(__xludf.DUMMYFUNCTION("""COMPUTED_VALUE"""),"Keerti - Pending")</f>
        <v>Keerti - Pending</v>
      </c>
      <c r="R880" s="6" t="str">
        <f ca="1">IFERROR(__xludf.DUMMYFUNCTION("""COMPUTED_VALUE"""),"Pending")</f>
        <v>Pending</v>
      </c>
      <c r="S880" s="6" t="str">
        <f ca="1">IFERROR(__xludf.DUMMYFUNCTION("""COMPUTED_VALUE"""),"NonCategory")</f>
        <v>NonCategory</v>
      </c>
      <c r="T880" s="6" t="str">
        <f ca="1">IFERROR(__xludf.DUMMYFUNCTION("""COMPUTED_VALUE"""),"Keerti - Pending")</f>
        <v>Keerti - Pending</v>
      </c>
      <c r="U880" s="6"/>
      <c r="V880" s="6"/>
      <c r="W880" s="6"/>
      <c r="X880" s="6"/>
      <c r="Y880" s="6"/>
      <c r="Z880" s="6"/>
      <c r="AA880" s="6"/>
      <c r="AB880" s="6"/>
      <c r="AC880" s="6"/>
      <c r="AD880" s="6"/>
      <c r="AE880" s="6"/>
      <c r="AF880" s="6"/>
      <c r="AG880" s="6"/>
      <c r="AH880" s="6"/>
      <c r="AI880" s="6"/>
      <c r="AJ880" s="6"/>
      <c r="AK880" s="6"/>
      <c r="AL880" s="6"/>
    </row>
    <row r="881" spans="1:38">
      <c r="A881" s="96">
        <f ca="1">IFERROR(__xludf.DUMMYFUNCTION("""COMPUTED_VALUE"""),44616)</f>
        <v>44616</v>
      </c>
      <c r="B881" s="6" t="str">
        <f ca="1">IFERROR(__xludf.DUMMYFUNCTION("""COMPUTED_VALUE"""),"Nishtha Ravesh")</f>
        <v>Nishtha Ravesh</v>
      </c>
      <c r="C881" s="6" t="str">
        <f ca="1">IFERROR(__xludf.DUMMYFUNCTION("""COMPUTED_VALUE"""),"nishtharavesh9@gmail.com")</f>
        <v>nishtharavesh9@gmail.com</v>
      </c>
      <c r="D881" s="6">
        <f ca="1">IFERROR(__xludf.DUMMYFUNCTION("""COMPUTED_VALUE"""),9560166331)</f>
        <v>9560166331</v>
      </c>
      <c r="E881" s="6" t="str">
        <f ca="1">IFERROR(__xludf.DUMMYFUNCTION("""COMPUTED_VALUE"""),"Existing Account")</f>
        <v>Existing Account</v>
      </c>
      <c r="F881" s="6" t="str">
        <f ca="1">IFERROR(__xludf.DUMMYFUNCTION("""COMPUTED_VALUE"""),"PSM 2")</f>
        <v>PSM 2</v>
      </c>
      <c r="G881" s="80">
        <f ca="1">IFERROR(__xludf.DUMMYFUNCTION("""COMPUTED_VALUE"""),44621)</f>
        <v>44621</v>
      </c>
      <c r="H881" s="6" t="str">
        <f ca="1">IFERROR(__xludf.DUMMYFUNCTION("""COMPUTED_VALUE"""),"Won")</f>
        <v>Won</v>
      </c>
      <c r="I881" s="6" t="str">
        <f ca="1">IFERROR(__xludf.DUMMYFUNCTION("""COMPUTED_VALUE"""),"12-13 March 2022")</f>
        <v>12-13 March 2022</v>
      </c>
      <c r="J881" s="6">
        <f ca="1">IFERROR(__xludf.DUMMYFUNCTION("""COMPUTED_VALUE"""),1)</f>
        <v>1</v>
      </c>
      <c r="K881" s="8">
        <f ca="1">IFERROR(__xludf.DUMMYFUNCTION("""COMPUTED_VALUE"""),24000)</f>
        <v>24000</v>
      </c>
      <c r="L881" s="8">
        <f ca="1">IFERROR(__xludf.DUMMYFUNCTION("""COMPUTED_VALUE"""),274.851122308749)</f>
        <v>274.85112230874898</v>
      </c>
      <c r="M881" s="96">
        <f ca="1">IFERROR(__xludf.DUMMYFUNCTION("""COMPUTED_VALUE"""),44616)</f>
        <v>44616</v>
      </c>
      <c r="N881" s="6" t="str">
        <f ca="1">IFERROR(__xludf.DUMMYFUNCTION("""COMPUTED_VALUE"""),"F10")</f>
        <v>F10</v>
      </c>
      <c r="O881" s="97">
        <f ca="1">IFERROR(__xludf.DUMMYFUNCTION("""COMPUTED_VALUE"""),44627)</f>
        <v>44627</v>
      </c>
      <c r="P881" s="6" t="str">
        <f ca="1">IFERROR(__xludf.DUMMYFUNCTION("""COMPUTED_VALUE"""),"CSTM_7ICQWT3TX0N")</f>
        <v>CSTM_7ICQWT3TX0N</v>
      </c>
      <c r="Q881" s="6"/>
      <c r="R881" s="6" t="str">
        <f ca="1">IFERROR(__xludf.DUMMYFUNCTION("""COMPUTED_VALUE"""),"Pending")</f>
        <v>Pending</v>
      </c>
      <c r="S881" s="6" t="str">
        <f ca="1">IFERROR(__xludf.DUMMYFUNCTION("""COMPUTED_VALUE"""),"Category")</f>
        <v>Category</v>
      </c>
      <c r="T881" s="6"/>
      <c r="U881" s="6"/>
      <c r="V881" s="6"/>
      <c r="W881" s="6"/>
      <c r="X881" s="6"/>
      <c r="Y881" s="6"/>
      <c r="Z881" s="6"/>
      <c r="AA881" s="6"/>
      <c r="AB881" s="6"/>
      <c r="AC881" s="6"/>
      <c r="AD881" s="6"/>
      <c r="AE881" s="6"/>
      <c r="AF881" s="6"/>
      <c r="AG881" s="6"/>
      <c r="AH881" s="6"/>
      <c r="AI881" s="6"/>
      <c r="AJ881" s="6"/>
      <c r="AK881" s="6"/>
      <c r="AL881" s="6"/>
    </row>
    <row r="882" spans="1:38">
      <c r="A882" s="96">
        <f ca="1">IFERROR(__xludf.DUMMYFUNCTION("""COMPUTED_VALUE"""),44616)</f>
        <v>44616</v>
      </c>
      <c r="B882" s="6" t="str">
        <f ca="1">IFERROR(__xludf.DUMMYFUNCTION("""COMPUTED_VALUE"""),"Geetika")</f>
        <v>Geetika</v>
      </c>
      <c r="C882" s="6" t="str">
        <f ca="1">IFERROR(__xludf.DUMMYFUNCTION("""COMPUTED_VALUE"""),"geetika.s30@gmail.com")</f>
        <v>geetika.s30@gmail.com</v>
      </c>
      <c r="D882" s="6">
        <f ca="1">IFERROR(__xludf.DUMMYFUNCTION("""COMPUTED_VALUE"""),8888893926)</f>
        <v>8888893926</v>
      </c>
      <c r="E882" s="6" t="str">
        <f ca="1">IFERROR(__xludf.DUMMYFUNCTION("""COMPUTED_VALUE"""),"Request a call")</f>
        <v>Request a call</v>
      </c>
      <c r="F882" s="6" t="str">
        <f ca="1">IFERROR(__xludf.DUMMYFUNCTION("""COMPUTED_VALUE"""),"PSM 2")</f>
        <v>PSM 2</v>
      </c>
      <c r="G882" s="80">
        <f ca="1">IFERROR(__xludf.DUMMYFUNCTION("""COMPUTED_VALUE"""),44593)</f>
        <v>44593</v>
      </c>
      <c r="H882" s="6" t="str">
        <f ca="1">IFERROR(__xludf.DUMMYFUNCTION("""COMPUTED_VALUE"""),"Won")</f>
        <v>Won</v>
      </c>
      <c r="I882" s="6" t="str">
        <f ca="1">IFERROR(__xludf.DUMMYFUNCTION("""COMPUTED_VALUE"""),"12-13 March 2022")</f>
        <v>12-13 March 2022</v>
      </c>
      <c r="J882" s="6">
        <f ca="1">IFERROR(__xludf.DUMMYFUNCTION("""COMPUTED_VALUE"""),1)</f>
        <v>1</v>
      </c>
      <c r="K882" s="8">
        <f ca="1">IFERROR(__xludf.DUMMYFUNCTION("""COMPUTED_VALUE"""),24000)</f>
        <v>24000</v>
      </c>
      <c r="L882" s="8">
        <f ca="1">IFERROR(__xludf.DUMMYFUNCTION("""COMPUTED_VALUE"""),274.851122308749)</f>
        <v>274.85112230874898</v>
      </c>
      <c r="M882" s="96">
        <f ca="1">IFERROR(__xludf.DUMMYFUNCTION("""COMPUTED_VALUE"""),44616)</f>
        <v>44616</v>
      </c>
      <c r="N882" s="6" t="str">
        <f ca="1">IFERROR(__xludf.DUMMYFUNCTION("""COMPUTED_VALUE"""),"T10")</f>
        <v>T10</v>
      </c>
      <c r="O882" s="97">
        <f ca="1">IFERROR(__xludf.DUMMYFUNCTION("""COMPUTED_VALUE"""),44616)</f>
        <v>44616</v>
      </c>
      <c r="P882" s="6" t="str">
        <f ca="1">IFERROR(__xludf.DUMMYFUNCTION("""COMPUTED_VALUE"""),"CSTM_DWGDEHAWC7C")</f>
        <v>CSTM_DWGDEHAWC7C</v>
      </c>
      <c r="Q882" s="6"/>
      <c r="R882" s="6" t="str">
        <f ca="1">IFERROR(__xludf.DUMMYFUNCTION("""COMPUTED_VALUE"""),"Pending")</f>
        <v>Pending</v>
      </c>
      <c r="S882" s="6" t="str">
        <f ca="1">IFERROR(__xludf.DUMMYFUNCTION("""COMPUTED_VALUE"""),"Category")</f>
        <v>Category</v>
      </c>
      <c r="T882" s="6"/>
      <c r="U882" s="6"/>
      <c r="V882" s="6"/>
      <c r="W882" s="6"/>
      <c r="X882" s="6"/>
      <c r="Y882" s="6"/>
      <c r="Z882" s="6"/>
      <c r="AA882" s="6"/>
      <c r="AB882" s="6"/>
      <c r="AC882" s="6"/>
      <c r="AD882" s="6"/>
      <c r="AE882" s="6"/>
      <c r="AF882" s="6"/>
      <c r="AG882" s="6"/>
      <c r="AH882" s="6"/>
      <c r="AI882" s="6"/>
      <c r="AJ882" s="6"/>
      <c r="AK882" s="6"/>
      <c r="AL882" s="6"/>
    </row>
    <row r="883" spans="1:38">
      <c r="A883" s="96">
        <f ca="1">IFERROR(__xludf.DUMMYFUNCTION("""COMPUTED_VALUE"""),44616)</f>
        <v>44616</v>
      </c>
      <c r="B883" s="6" t="str">
        <f ca="1">IFERROR(__xludf.DUMMYFUNCTION("""COMPUTED_VALUE"""),"Abhishek")</f>
        <v>Abhishek</v>
      </c>
      <c r="C883" s="6" t="str">
        <f ca="1">IFERROR(__xludf.DUMMYFUNCTION("""COMPUTED_VALUE"""),"iamabhisheksinha27@gmail.com")</f>
        <v>iamabhisheksinha27@gmail.com</v>
      </c>
      <c r="D883" s="6">
        <f ca="1">IFERROR(__xludf.DUMMYFUNCTION("""COMPUTED_VALUE"""),9923843607)</f>
        <v>9923843607</v>
      </c>
      <c r="E883" s="6" t="str">
        <f ca="1">IFERROR(__xludf.DUMMYFUNCTION("""COMPUTED_VALUE"""),"Chat_triggered")</f>
        <v>Chat_triggered</v>
      </c>
      <c r="F883" s="6" t="str">
        <f ca="1">IFERROR(__xludf.DUMMYFUNCTION("""COMPUTED_VALUE"""),"PSPO")</f>
        <v>PSPO</v>
      </c>
      <c r="G883" s="80">
        <f ca="1">IFERROR(__xludf.DUMMYFUNCTION("""COMPUTED_VALUE"""),44593)</f>
        <v>44593</v>
      </c>
      <c r="H883" s="6" t="str">
        <f ca="1">IFERROR(__xludf.DUMMYFUNCTION("""COMPUTED_VALUE"""),"Won")</f>
        <v>Won</v>
      </c>
      <c r="I883" s="6" t="str">
        <f ca="1">IFERROR(__xludf.DUMMYFUNCTION("""COMPUTED_VALUE"""),"26-27 Feb 2022")</f>
        <v>26-27 Feb 2022</v>
      </c>
      <c r="J883" s="6">
        <f ca="1">IFERROR(__xludf.DUMMYFUNCTION("""COMPUTED_VALUE"""),1)</f>
        <v>1</v>
      </c>
      <c r="K883" s="8">
        <f ca="1">IFERROR(__xludf.DUMMYFUNCTION("""COMPUTED_VALUE"""),21000)</f>
        <v>21000</v>
      </c>
      <c r="L883" s="8">
        <f ca="1">IFERROR(__xludf.DUMMYFUNCTION("""COMPUTED_VALUE"""),240.494732020155)</f>
        <v>240.494732020155</v>
      </c>
      <c r="M883" s="96">
        <f ca="1">IFERROR(__xludf.DUMMYFUNCTION("""COMPUTED_VALUE"""),44616)</f>
        <v>44616</v>
      </c>
      <c r="N883" s="6" t="str">
        <f ca="1">IFERROR(__xludf.DUMMYFUNCTION("""COMPUTED_VALUE"""),"T10")</f>
        <v>T10</v>
      </c>
      <c r="O883" s="97">
        <f ca="1">IFERROR(__xludf.DUMMYFUNCTION("""COMPUTED_VALUE"""),44616)</f>
        <v>44616</v>
      </c>
      <c r="P883" s="6" t="str">
        <f ca="1">IFERROR(__xludf.DUMMYFUNCTION("""COMPUTED_VALUE"""),"CSTM_EGHEDIMZVIB")</f>
        <v>CSTM_EGHEDIMZVIB</v>
      </c>
      <c r="Q883" s="6"/>
      <c r="R883" s="6" t="str">
        <f ca="1">IFERROR(__xludf.DUMMYFUNCTION("""COMPUTED_VALUE"""),"Pending")</f>
        <v>Pending</v>
      </c>
      <c r="S883" s="6" t="str">
        <f ca="1">IFERROR(__xludf.DUMMYFUNCTION("""COMPUTED_VALUE"""),"Category")</f>
        <v>Category</v>
      </c>
      <c r="T883" s="6"/>
      <c r="U883" s="6"/>
      <c r="V883" s="6"/>
      <c r="W883" s="6"/>
      <c r="X883" s="6"/>
      <c r="Y883" s="6"/>
      <c r="Z883" s="6"/>
      <c r="AA883" s="6"/>
      <c r="AB883" s="6"/>
      <c r="AC883" s="6"/>
      <c r="AD883" s="6"/>
      <c r="AE883" s="6"/>
      <c r="AF883" s="6"/>
      <c r="AG883" s="6"/>
      <c r="AH883" s="6"/>
      <c r="AI883" s="6"/>
      <c r="AJ883" s="6"/>
      <c r="AK883" s="6"/>
      <c r="AL883" s="6"/>
    </row>
    <row r="884" spans="1:38">
      <c r="A884" s="96">
        <f ca="1">IFERROR(__xludf.DUMMYFUNCTION("""COMPUTED_VALUE"""),44616)</f>
        <v>44616</v>
      </c>
      <c r="B884" s="6" t="str">
        <f ca="1">IFERROR(__xludf.DUMMYFUNCTION("""COMPUTED_VALUE"""),"Ruchi")</f>
        <v>Ruchi</v>
      </c>
      <c r="C884" s="6" t="str">
        <f ca="1">IFERROR(__xludf.DUMMYFUNCTION("""COMPUTED_VALUE"""),"ruchi_biyani23@yahoo.co.in")</f>
        <v>ruchi_biyani23@yahoo.co.in</v>
      </c>
      <c r="D884" s="6">
        <f ca="1">IFERROR(__xludf.DUMMYFUNCTION("""COMPUTED_VALUE"""),8605010800)</f>
        <v>8605010800</v>
      </c>
      <c r="E884" s="6" t="str">
        <f ca="1">IFERROR(__xludf.DUMMYFUNCTION("""COMPUTED_VALUE"""),"Reference")</f>
        <v>Reference</v>
      </c>
      <c r="F884" s="6" t="str">
        <f ca="1">IFERROR(__xludf.DUMMYFUNCTION("""COMPUTED_VALUE"""),"PSPO")</f>
        <v>PSPO</v>
      </c>
      <c r="G884" s="80">
        <f ca="1">IFERROR(__xludf.DUMMYFUNCTION("""COMPUTED_VALUE"""),44593)</f>
        <v>44593</v>
      </c>
      <c r="H884" s="6" t="str">
        <f ca="1">IFERROR(__xludf.DUMMYFUNCTION("""COMPUTED_VALUE"""),"Won")</f>
        <v>Won</v>
      </c>
      <c r="I884" s="6" t="str">
        <f ca="1">IFERROR(__xludf.DUMMYFUNCTION("""COMPUTED_VALUE"""),"26-27 Feb 2022")</f>
        <v>26-27 Feb 2022</v>
      </c>
      <c r="J884" s="6">
        <f ca="1">IFERROR(__xludf.DUMMYFUNCTION("""COMPUTED_VALUE"""),1)</f>
        <v>1</v>
      </c>
      <c r="K884" s="8">
        <f ca="1">IFERROR(__xludf.DUMMYFUNCTION("""COMPUTED_VALUE"""),21000)</f>
        <v>21000</v>
      </c>
      <c r="L884" s="8">
        <f ca="1">IFERROR(__xludf.DUMMYFUNCTION("""COMPUTED_VALUE"""),240.494732020155)</f>
        <v>240.494732020155</v>
      </c>
      <c r="M884" s="96">
        <f ca="1">IFERROR(__xludf.DUMMYFUNCTION("""COMPUTED_VALUE"""),44616)</f>
        <v>44616</v>
      </c>
      <c r="N884" s="6" t="str">
        <f ca="1">IFERROR(__xludf.DUMMYFUNCTION("""COMPUTED_VALUE"""),"T10")</f>
        <v>T10</v>
      </c>
      <c r="O884" s="97">
        <f ca="1">IFERROR(__xludf.DUMMYFUNCTION("""COMPUTED_VALUE"""),44616)</f>
        <v>44616</v>
      </c>
      <c r="P884" s="6" t="str">
        <f ca="1">IFERROR(__xludf.DUMMYFUNCTION("""COMPUTED_VALUE"""),"CSTM_CEZTBVHLHEM")</f>
        <v>CSTM_CEZTBVHLHEM</v>
      </c>
      <c r="Q884" s="6" t="str">
        <f ca="1">IFERROR(__xludf.DUMMYFUNCTION("""COMPUTED_VALUE"""),"Reference by Abhishek")</f>
        <v>Reference by Abhishek</v>
      </c>
      <c r="R884" s="6" t="str">
        <f ca="1">IFERROR(__xludf.DUMMYFUNCTION("""COMPUTED_VALUE"""),"Pending")</f>
        <v>Pending</v>
      </c>
      <c r="S884" s="6" t="str">
        <f ca="1">IFERROR(__xludf.DUMMYFUNCTION("""COMPUTED_VALUE"""),"Category")</f>
        <v>Category</v>
      </c>
      <c r="T884" s="6"/>
      <c r="U884" s="6"/>
      <c r="V884" s="6"/>
      <c r="W884" s="6"/>
      <c r="X884" s="6"/>
      <c r="Y884" s="6"/>
      <c r="Z884" s="6"/>
      <c r="AA884" s="6"/>
      <c r="AB884" s="6"/>
      <c r="AC884" s="6"/>
      <c r="AD884" s="6"/>
      <c r="AE884" s="6"/>
      <c r="AF884" s="6"/>
      <c r="AG884" s="6"/>
      <c r="AH884" s="6"/>
      <c r="AI884" s="6"/>
      <c r="AJ884" s="6"/>
      <c r="AK884" s="6"/>
      <c r="AL884" s="6"/>
    </row>
    <row r="885" spans="1:38">
      <c r="A885" s="96">
        <f ca="1">IFERROR(__xludf.DUMMYFUNCTION("""COMPUTED_VALUE"""),44616)</f>
        <v>44616</v>
      </c>
      <c r="B885" s="6" t="str">
        <f ca="1">IFERROR(__xludf.DUMMYFUNCTION("""COMPUTED_VALUE"""),"Gaurav")</f>
        <v>Gaurav</v>
      </c>
      <c r="C885" s="6" t="str">
        <f ca="1">IFERROR(__xludf.DUMMYFUNCTION("""COMPUTED_VALUE"""),"chawlagaurav1983@gmail.com")</f>
        <v>chawlagaurav1983@gmail.com</v>
      </c>
      <c r="D885" s="6">
        <f ca="1">IFERROR(__xludf.DUMMYFUNCTION("""COMPUTED_VALUE"""),9810517842)</f>
        <v>9810517842</v>
      </c>
      <c r="E885" s="6" t="str">
        <f ca="1">IFERROR(__xludf.DUMMYFUNCTION("""COMPUTED_VALUE"""),"chat_initiated")</f>
        <v>chat_initiated</v>
      </c>
      <c r="F885" s="6" t="str">
        <f ca="1">IFERROR(__xludf.DUMMYFUNCTION("""COMPUTED_VALUE"""),"SAFe SSM")</f>
        <v>SAFe SSM</v>
      </c>
      <c r="G885" s="80">
        <f ca="1">IFERROR(__xludf.DUMMYFUNCTION("""COMPUTED_VALUE"""),44593)</f>
        <v>44593</v>
      </c>
      <c r="H885" s="6" t="str">
        <f ca="1">IFERROR(__xludf.DUMMYFUNCTION("""COMPUTED_VALUE"""),"Won")</f>
        <v>Won</v>
      </c>
      <c r="I885" s="6" t="str">
        <f ca="1">IFERROR(__xludf.DUMMYFUNCTION("""COMPUTED_VALUE"""),"26-27 Feb 2022")</f>
        <v>26-27 Feb 2022</v>
      </c>
      <c r="J885" s="6">
        <f ca="1">IFERROR(__xludf.DUMMYFUNCTION("""COMPUTED_VALUE"""),1)</f>
        <v>1</v>
      </c>
      <c r="K885" s="8">
        <f ca="1">IFERROR(__xludf.DUMMYFUNCTION("""COMPUTED_VALUE"""),42000)</f>
        <v>42000</v>
      </c>
      <c r="L885" s="8">
        <f ca="1">IFERROR(__xludf.DUMMYFUNCTION("""COMPUTED_VALUE"""),480.989464040311)</f>
        <v>480.98946404031102</v>
      </c>
      <c r="M885" s="96">
        <f ca="1">IFERROR(__xludf.DUMMYFUNCTION("""COMPUTED_VALUE"""),44616)</f>
        <v>44616</v>
      </c>
      <c r="N885" s="6" t="str">
        <f ca="1">IFERROR(__xludf.DUMMYFUNCTION("""COMPUTED_VALUE"""),"T10")</f>
        <v>T10</v>
      </c>
      <c r="O885" s="97">
        <f ca="1">IFERROR(__xludf.DUMMYFUNCTION("""COMPUTED_VALUE"""),44616)</f>
        <v>44616</v>
      </c>
      <c r="P885" s="6" t="str">
        <f ca="1">IFERROR(__xludf.DUMMYFUNCTION("""COMPUTED_VALUE"""),"CSTM_4QN77ZWTLCR")</f>
        <v>CSTM_4QN77ZWTLCR</v>
      </c>
      <c r="Q885" s="6"/>
      <c r="R885" s="6" t="str">
        <f ca="1">IFERROR(__xludf.DUMMYFUNCTION("""COMPUTED_VALUE"""),"Pending")</f>
        <v>Pending</v>
      </c>
      <c r="S885" s="6" t="str">
        <f ca="1">IFERROR(__xludf.DUMMYFUNCTION("""COMPUTED_VALUE"""),"SAFe")</f>
        <v>SAFe</v>
      </c>
      <c r="T885" s="6"/>
      <c r="U885" s="6"/>
      <c r="V885" s="6"/>
      <c r="W885" s="6"/>
      <c r="X885" s="6"/>
      <c r="Y885" s="6"/>
      <c r="Z885" s="6"/>
      <c r="AA885" s="6"/>
      <c r="AB885" s="6"/>
      <c r="AC885" s="6"/>
      <c r="AD885" s="6"/>
      <c r="AE885" s="6"/>
      <c r="AF885" s="6"/>
      <c r="AG885" s="6"/>
      <c r="AH885" s="6"/>
      <c r="AI885" s="6"/>
      <c r="AJ885" s="6"/>
      <c r="AK885" s="6"/>
      <c r="AL885" s="6"/>
    </row>
    <row r="886" spans="1:38">
      <c r="A886" s="96">
        <f ca="1">IFERROR(__xludf.DUMMYFUNCTION("""COMPUTED_VALUE"""),44617)</f>
        <v>44617</v>
      </c>
      <c r="B886" s="6" t="str">
        <f ca="1">IFERROR(__xludf.DUMMYFUNCTION("""COMPUTED_VALUE"""),"Sasi Dharala")</f>
        <v>Sasi Dharala</v>
      </c>
      <c r="C886" s="6" t="str">
        <f ca="1">IFERROR(__xludf.DUMMYFUNCTION("""COMPUTED_VALUE"""),"sasi.dharala@gmail.com")</f>
        <v>sasi.dharala@gmail.com</v>
      </c>
      <c r="D886" s="6">
        <f ca="1">IFERROR(__xludf.DUMMYFUNCTION("""COMPUTED_VALUE"""),9000239078)</f>
        <v>9000239078</v>
      </c>
      <c r="E886" s="6" t="str">
        <f ca="1">IFERROR(__xludf.DUMMYFUNCTION("""COMPUTED_VALUE"""),"course agenda")</f>
        <v>course agenda</v>
      </c>
      <c r="F886" s="6" t="str">
        <f ca="1">IFERROR(__xludf.DUMMYFUNCTION("""COMPUTED_VALUE"""),"PSM")</f>
        <v>PSM</v>
      </c>
      <c r="G886" s="80">
        <f ca="1">IFERROR(__xludf.DUMMYFUNCTION("""COMPUTED_VALUE"""),44593)</f>
        <v>44593</v>
      </c>
      <c r="H886" s="6" t="str">
        <f ca="1">IFERROR(__xludf.DUMMYFUNCTION("""COMPUTED_VALUE"""),"Won")</f>
        <v>Won</v>
      </c>
      <c r="I886" s="6" t="str">
        <f ca="1">IFERROR(__xludf.DUMMYFUNCTION("""COMPUTED_VALUE"""),"26-27 Feb 2022")</f>
        <v>26-27 Feb 2022</v>
      </c>
      <c r="J886" s="6">
        <f ca="1">IFERROR(__xludf.DUMMYFUNCTION("""COMPUTED_VALUE"""),1)</f>
        <v>1</v>
      </c>
      <c r="K886" s="8">
        <f ca="1">IFERROR(__xludf.DUMMYFUNCTION("""COMPUTED_VALUE"""),21000)</f>
        <v>21000</v>
      </c>
      <c r="L886" s="8">
        <f ca="1">IFERROR(__xludf.DUMMYFUNCTION("""COMPUTED_VALUE"""),240.494732020155)</f>
        <v>240.494732020155</v>
      </c>
      <c r="M886" s="96">
        <f ca="1">IFERROR(__xludf.DUMMYFUNCTION("""COMPUTED_VALUE"""),44617)</f>
        <v>44617</v>
      </c>
      <c r="N886" s="6" t="str">
        <f ca="1">IFERROR(__xludf.DUMMYFUNCTION("""COMPUTED_VALUE"""),"T10")</f>
        <v>T10</v>
      </c>
      <c r="O886" s="97">
        <f ca="1">IFERROR(__xludf.DUMMYFUNCTION("""COMPUTED_VALUE"""),44617)</f>
        <v>44617</v>
      </c>
      <c r="P886" s="6" t="str">
        <f ca="1">IFERROR(__xludf.DUMMYFUNCTION("""COMPUTED_VALUE"""),"CSTM_9JMJAB0ZK19")</f>
        <v>CSTM_9JMJAB0ZK19</v>
      </c>
      <c r="Q886" s="6"/>
      <c r="R886" s="6" t="str">
        <f ca="1">IFERROR(__xludf.DUMMYFUNCTION("""COMPUTED_VALUE"""),"Pending")</f>
        <v>Pending</v>
      </c>
      <c r="S886" s="6" t="str">
        <f ca="1">IFERROR(__xludf.DUMMYFUNCTION("""COMPUTED_VALUE"""),"Category")</f>
        <v>Category</v>
      </c>
      <c r="T886" s="6"/>
      <c r="U886" s="6"/>
      <c r="V886" s="6"/>
      <c r="W886" s="6"/>
      <c r="X886" s="6"/>
      <c r="Y886" s="6"/>
      <c r="Z886" s="6"/>
      <c r="AA886" s="6"/>
      <c r="AB886" s="6"/>
      <c r="AC886" s="6"/>
      <c r="AD886" s="6"/>
      <c r="AE886" s="6"/>
      <c r="AF886" s="6"/>
      <c r="AG886" s="6"/>
      <c r="AH886" s="6"/>
      <c r="AI886" s="6"/>
      <c r="AJ886" s="6"/>
      <c r="AK886" s="6"/>
      <c r="AL886" s="6"/>
    </row>
    <row r="887" spans="1:38">
      <c r="A887" s="96">
        <f ca="1">IFERROR(__xludf.DUMMYFUNCTION("""COMPUTED_VALUE"""),44617)</f>
        <v>44617</v>
      </c>
      <c r="B887" s="6" t="str">
        <f ca="1">IFERROR(__xludf.DUMMYFUNCTION("""COMPUTED_VALUE"""),"Rashmi")</f>
        <v>Rashmi</v>
      </c>
      <c r="C887" s="6" t="str">
        <f ca="1">IFERROR(__xludf.DUMMYFUNCTION("""COMPUTED_VALUE"""),"m.rashmi876@gmail.com")</f>
        <v>m.rashmi876@gmail.com</v>
      </c>
      <c r="D887" s="6">
        <f ca="1">IFERROR(__xludf.DUMMYFUNCTION("""COMPUTED_VALUE"""),9986029622)</f>
        <v>9986029622</v>
      </c>
      <c r="E887" s="6" t="str">
        <f ca="1">IFERROR(__xludf.DUMMYFUNCTION("""COMPUTED_VALUE"""),"Chat_triggered")</f>
        <v>Chat_triggered</v>
      </c>
      <c r="F887" s="6" t="str">
        <f ca="1">IFERROR(__xludf.DUMMYFUNCTION("""COMPUTED_VALUE"""),"SAFe Agile")</f>
        <v>SAFe Agile</v>
      </c>
      <c r="G887" s="80">
        <f ca="1">IFERROR(__xludf.DUMMYFUNCTION("""COMPUTED_VALUE"""),44593)</f>
        <v>44593</v>
      </c>
      <c r="H887" s="6" t="str">
        <f ca="1">IFERROR(__xludf.DUMMYFUNCTION("""COMPUTED_VALUE"""),"Won")</f>
        <v>Won</v>
      </c>
      <c r="I887" s="6" t="str">
        <f ca="1">IFERROR(__xludf.DUMMYFUNCTION("""COMPUTED_VALUE"""),"26-27 Feb 2022")</f>
        <v>26-27 Feb 2022</v>
      </c>
      <c r="J887" s="6">
        <f ca="1">IFERROR(__xludf.DUMMYFUNCTION("""COMPUTED_VALUE"""),1)</f>
        <v>1</v>
      </c>
      <c r="K887" s="8">
        <f ca="1">IFERROR(__xludf.DUMMYFUNCTION("""COMPUTED_VALUE"""),42000)</f>
        <v>42000</v>
      </c>
      <c r="L887" s="8">
        <f ca="1">IFERROR(__xludf.DUMMYFUNCTION("""COMPUTED_VALUE"""),480.989464040311)</f>
        <v>480.98946404031102</v>
      </c>
      <c r="M887" s="96">
        <f ca="1">IFERROR(__xludf.DUMMYFUNCTION("""COMPUTED_VALUE"""),44617)</f>
        <v>44617</v>
      </c>
      <c r="N887" s="6" t="str">
        <f ca="1">IFERROR(__xludf.DUMMYFUNCTION("""COMPUTED_VALUE"""),"T10")</f>
        <v>T10</v>
      </c>
      <c r="O887" s="97">
        <f ca="1">IFERROR(__xludf.DUMMYFUNCTION("""COMPUTED_VALUE"""),44617)</f>
        <v>44617</v>
      </c>
      <c r="P887" s="6" t="str">
        <f ca="1">IFERROR(__xludf.DUMMYFUNCTION("""COMPUTED_VALUE"""),"CSTM_HHGKDDKVFNY")</f>
        <v>CSTM_HHGKDDKVFNY</v>
      </c>
      <c r="Q887" s="6"/>
      <c r="R887" s="6" t="str">
        <f ca="1">IFERROR(__xludf.DUMMYFUNCTION("""COMPUTED_VALUE"""),"Pending")</f>
        <v>Pending</v>
      </c>
      <c r="S887" s="6" t="str">
        <f ca="1">IFERROR(__xludf.DUMMYFUNCTION("""COMPUTED_VALUE"""),"SAFe")</f>
        <v>SAFe</v>
      </c>
      <c r="T887" s="6"/>
      <c r="U887" s="6"/>
      <c r="V887" s="6"/>
      <c r="W887" s="6"/>
      <c r="X887" s="6"/>
      <c r="Y887" s="6"/>
      <c r="Z887" s="6"/>
      <c r="AA887" s="6"/>
      <c r="AB887" s="6"/>
      <c r="AC887" s="6"/>
      <c r="AD887" s="6"/>
      <c r="AE887" s="6"/>
      <c r="AF887" s="6"/>
      <c r="AG887" s="6"/>
      <c r="AH887" s="6"/>
      <c r="AI887" s="6"/>
      <c r="AJ887" s="6"/>
      <c r="AK887" s="6"/>
      <c r="AL887" s="6"/>
    </row>
    <row r="888" spans="1:38">
      <c r="A888" s="96">
        <f ca="1">IFERROR(__xludf.DUMMYFUNCTION("""COMPUTED_VALUE"""),44617)</f>
        <v>44617</v>
      </c>
      <c r="B888" s="6" t="str">
        <f ca="1">IFERROR(__xludf.DUMMYFUNCTION("""COMPUTED_VALUE"""),"David Allignton")</f>
        <v>David Allignton</v>
      </c>
      <c r="C888" s="6" t="str">
        <f ca="1">IFERROR(__xludf.DUMMYFUNCTION("""COMPUTED_VALUE"""),"allingtondavid@gmail.com")</f>
        <v>allingtondavid@gmail.com</v>
      </c>
      <c r="D888" s="6">
        <f ca="1">IFERROR(__xludf.DUMMYFUNCTION("""COMPUTED_VALUE"""),9944602206)</f>
        <v>9944602206</v>
      </c>
      <c r="E888" s="6" t="str">
        <f ca="1">IFERROR(__xludf.DUMMYFUNCTION("""COMPUTED_VALUE"""),"Existing Account")</f>
        <v>Existing Account</v>
      </c>
      <c r="F888" s="6" t="str">
        <f ca="1">IFERROR(__xludf.DUMMYFUNCTION("""COMPUTED_VALUE"""),"CSM")</f>
        <v>CSM</v>
      </c>
      <c r="G888" s="80">
        <f ca="1">IFERROR(__xludf.DUMMYFUNCTION("""COMPUTED_VALUE"""),44593)</f>
        <v>44593</v>
      </c>
      <c r="H888" s="6" t="str">
        <f ca="1">IFERROR(__xludf.DUMMYFUNCTION("""COMPUTED_VALUE"""),"Won")</f>
        <v>Won</v>
      </c>
      <c r="I888" s="6" t="str">
        <f ca="1">IFERROR(__xludf.DUMMYFUNCTION("""COMPUTED_VALUE"""),"19-20 March 2022")</f>
        <v>19-20 March 2022</v>
      </c>
      <c r="J888" s="6">
        <f ca="1">IFERROR(__xludf.DUMMYFUNCTION("""COMPUTED_VALUE"""),1)</f>
        <v>1</v>
      </c>
      <c r="K888" s="8">
        <f ca="1">IFERROR(__xludf.DUMMYFUNCTION("""COMPUTED_VALUE"""),19000)</f>
        <v>19000</v>
      </c>
      <c r="L888" s="8">
        <f ca="1">IFERROR(__xludf.DUMMYFUNCTION("""COMPUTED_VALUE"""),217.590471827759)</f>
        <v>217.59047182775899</v>
      </c>
      <c r="M888" s="96">
        <f ca="1">IFERROR(__xludf.DUMMYFUNCTION("""COMPUTED_VALUE"""),44617)</f>
        <v>44617</v>
      </c>
      <c r="N888" s="6" t="str">
        <f ca="1">IFERROR(__xludf.DUMMYFUNCTION("""COMPUTED_VALUE"""),"T10")</f>
        <v>T10</v>
      </c>
      <c r="O888" s="97">
        <f ca="1">IFERROR(__xludf.DUMMYFUNCTION("""COMPUTED_VALUE"""),44617)</f>
        <v>44617</v>
      </c>
      <c r="P888" s="6" t="str">
        <f ca="1">IFERROR(__xludf.DUMMYFUNCTION("""COMPUTED_VALUE"""),"CSTM_6XYGU3RWUM3")</f>
        <v>CSTM_6XYGU3RWUM3</v>
      </c>
      <c r="Q888" s="6"/>
      <c r="R888" s="6" t="str">
        <f ca="1">IFERROR(__xludf.DUMMYFUNCTION("""COMPUTED_VALUE"""),"Pending")</f>
        <v>Pending</v>
      </c>
      <c r="S888" s="6" t="str">
        <f ca="1">IFERROR(__xludf.DUMMYFUNCTION("""COMPUTED_VALUE"""),"Category")</f>
        <v>Category</v>
      </c>
      <c r="T888" s="6"/>
      <c r="U888" s="6"/>
      <c r="V888" s="6"/>
      <c r="W888" s="6"/>
      <c r="X888" s="6"/>
      <c r="Y888" s="6"/>
      <c r="Z888" s="6"/>
      <c r="AA888" s="6"/>
      <c r="AB888" s="6"/>
      <c r="AC888" s="6"/>
      <c r="AD888" s="6"/>
      <c r="AE888" s="6"/>
      <c r="AF888" s="6"/>
      <c r="AG888" s="6"/>
      <c r="AH888" s="6"/>
      <c r="AI888" s="6"/>
      <c r="AJ888" s="6"/>
      <c r="AK888" s="6"/>
      <c r="AL888" s="6"/>
    </row>
    <row r="889" spans="1:38">
      <c r="A889" s="96">
        <f ca="1">IFERROR(__xludf.DUMMYFUNCTION("""COMPUTED_VALUE"""),44617)</f>
        <v>44617</v>
      </c>
      <c r="B889" s="6" t="str">
        <f ca="1">IFERROR(__xludf.DUMMYFUNCTION("""COMPUTED_VALUE"""),"Ritu")</f>
        <v>Ritu</v>
      </c>
      <c r="C889" s="6" t="str">
        <f ca="1">IFERROR(__xludf.DUMMYFUNCTION("""COMPUTED_VALUE"""),"sritu00@gmail.com")</f>
        <v>sritu00@gmail.com</v>
      </c>
      <c r="D889" s="6">
        <f ca="1">IFERROR(__xludf.DUMMYFUNCTION("""COMPUTED_VALUE"""),8291085656)</f>
        <v>8291085656</v>
      </c>
      <c r="E889" s="6" t="str">
        <f ca="1">IFERROR(__xludf.DUMMYFUNCTION("""COMPUTED_VALUE"""),"course agenda")</f>
        <v>course agenda</v>
      </c>
      <c r="F889" s="6" t="str">
        <f ca="1">IFERROR(__xludf.DUMMYFUNCTION("""COMPUTED_VALUE"""),"CSM")</f>
        <v>CSM</v>
      </c>
      <c r="G889" s="80">
        <f ca="1">IFERROR(__xludf.DUMMYFUNCTION("""COMPUTED_VALUE"""),44593)</f>
        <v>44593</v>
      </c>
      <c r="H889" s="6" t="str">
        <f ca="1">IFERROR(__xludf.DUMMYFUNCTION("""COMPUTED_VALUE"""),"Won")</f>
        <v>Won</v>
      </c>
      <c r="I889" s="6" t="str">
        <f ca="1">IFERROR(__xludf.DUMMYFUNCTION("""COMPUTED_VALUE"""),"19-20 March 2022")</f>
        <v>19-20 March 2022</v>
      </c>
      <c r="J889" s="6">
        <f ca="1">IFERROR(__xludf.DUMMYFUNCTION("""COMPUTED_VALUE"""),1)</f>
        <v>1</v>
      </c>
      <c r="K889" s="8">
        <f ca="1">IFERROR(__xludf.DUMMYFUNCTION("""COMPUTED_VALUE"""),19000)</f>
        <v>19000</v>
      </c>
      <c r="L889" s="8">
        <f ca="1">IFERROR(__xludf.DUMMYFUNCTION("""COMPUTED_VALUE"""),217.590471827759)</f>
        <v>217.59047182775899</v>
      </c>
      <c r="M889" s="96">
        <f ca="1">IFERROR(__xludf.DUMMYFUNCTION("""COMPUTED_VALUE"""),44617)</f>
        <v>44617</v>
      </c>
      <c r="N889" s="6" t="str">
        <f ca="1">IFERROR(__xludf.DUMMYFUNCTION("""COMPUTED_VALUE"""),"T10")</f>
        <v>T10</v>
      </c>
      <c r="O889" s="97">
        <f ca="1">IFERROR(__xludf.DUMMYFUNCTION("""COMPUTED_VALUE"""),44617)</f>
        <v>44617</v>
      </c>
      <c r="P889" s="6" t="str">
        <f ca="1">IFERROR(__xludf.DUMMYFUNCTION("""COMPUTED_VALUE"""),"CSTM_DQNUXCD7LEC")</f>
        <v>CSTM_DQNUXCD7LEC</v>
      </c>
      <c r="Q889" s="6"/>
      <c r="R889" s="6" t="str">
        <f ca="1">IFERROR(__xludf.DUMMYFUNCTION("""COMPUTED_VALUE"""),"Pending")</f>
        <v>Pending</v>
      </c>
      <c r="S889" s="6" t="str">
        <f ca="1">IFERROR(__xludf.DUMMYFUNCTION("""COMPUTED_VALUE"""),"Category")</f>
        <v>Category</v>
      </c>
      <c r="T889" s="6"/>
      <c r="U889" s="6"/>
      <c r="V889" s="6"/>
      <c r="W889" s="6"/>
      <c r="X889" s="6"/>
      <c r="Y889" s="6"/>
      <c r="Z889" s="6"/>
      <c r="AA889" s="6"/>
      <c r="AB889" s="6"/>
      <c r="AC889" s="6"/>
      <c r="AD889" s="6"/>
      <c r="AE889" s="6"/>
      <c r="AF889" s="6"/>
      <c r="AG889" s="6"/>
      <c r="AH889" s="6"/>
      <c r="AI889" s="6"/>
      <c r="AJ889" s="6"/>
      <c r="AK889" s="6"/>
      <c r="AL889" s="6"/>
    </row>
    <row r="890" spans="1:38">
      <c r="A890" s="96">
        <f ca="1">IFERROR(__xludf.DUMMYFUNCTION("""COMPUTED_VALUE"""),44617)</f>
        <v>44617</v>
      </c>
      <c r="B890" s="6" t="str">
        <f ca="1">IFERROR(__xludf.DUMMYFUNCTION("""COMPUTED_VALUE"""),"Subu")</f>
        <v>Subu</v>
      </c>
      <c r="C890" s="6" t="str">
        <f ca="1">IFERROR(__xludf.DUMMYFUNCTION("""COMPUTED_VALUE"""),"subumailme@gmail.com")</f>
        <v>subumailme@gmail.com</v>
      </c>
      <c r="D890" s="6">
        <f ca="1">IFERROR(__xludf.DUMMYFUNCTION("""COMPUTED_VALUE"""),7401189187)</f>
        <v>7401189187</v>
      </c>
      <c r="E890" s="6" t="str">
        <f ca="1">IFERROR(__xludf.DUMMYFUNCTION("""COMPUTED_VALUE"""),"Reference")</f>
        <v>Reference</v>
      </c>
      <c r="F890" s="6" t="str">
        <f ca="1">IFERROR(__xludf.DUMMYFUNCTION("""COMPUTED_VALUE"""),"CSM")</f>
        <v>CSM</v>
      </c>
      <c r="G890" s="80">
        <f ca="1">IFERROR(__xludf.DUMMYFUNCTION("""COMPUTED_VALUE"""),44593)</f>
        <v>44593</v>
      </c>
      <c r="H890" s="6" t="str">
        <f ca="1">IFERROR(__xludf.DUMMYFUNCTION("""COMPUTED_VALUE"""),"Won")</f>
        <v>Won</v>
      </c>
      <c r="I890" s="6" t="str">
        <f ca="1">IFERROR(__xludf.DUMMYFUNCTION("""COMPUTED_VALUE"""),"19-20 March 2022")</f>
        <v>19-20 March 2022</v>
      </c>
      <c r="J890" s="6">
        <f ca="1">IFERROR(__xludf.DUMMYFUNCTION("""COMPUTED_VALUE"""),1)</f>
        <v>1</v>
      </c>
      <c r="K890" s="8">
        <f ca="1">IFERROR(__xludf.DUMMYFUNCTION("""COMPUTED_VALUE"""),19000)</f>
        <v>19000</v>
      </c>
      <c r="L890" s="8">
        <f ca="1">IFERROR(__xludf.DUMMYFUNCTION("""COMPUTED_VALUE"""),217.590471827759)</f>
        <v>217.59047182775899</v>
      </c>
      <c r="M890" s="96">
        <f ca="1">IFERROR(__xludf.DUMMYFUNCTION("""COMPUTED_VALUE"""),44617)</f>
        <v>44617</v>
      </c>
      <c r="N890" s="6" t="str">
        <f ca="1">IFERROR(__xludf.DUMMYFUNCTION("""COMPUTED_VALUE"""),"T10")</f>
        <v>T10</v>
      </c>
      <c r="O890" s="97">
        <f ca="1">IFERROR(__xludf.DUMMYFUNCTION("""COMPUTED_VALUE"""),44617)</f>
        <v>44617</v>
      </c>
      <c r="P890" s="6" t="str">
        <f ca="1">IFERROR(__xludf.DUMMYFUNCTION("""COMPUTED_VALUE"""),"CSTM_HFTPPYV4SR5")</f>
        <v>CSTM_HFTPPYV4SR5</v>
      </c>
      <c r="Q890" s="6" t="str">
        <f ca="1">IFERROR(__xludf.DUMMYFUNCTION("""COMPUTED_VALUE"""),"Reference by Ritu")</f>
        <v>Reference by Ritu</v>
      </c>
      <c r="R890" s="6" t="str">
        <f ca="1">IFERROR(__xludf.DUMMYFUNCTION("""COMPUTED_VALUE"""),"Pending")</f>
        <v>Pending</v>
      </c>
      <c r="S890" s="6" t="str">
        <f ca="1">IFERROR(__xludf.DUMMYFUNCTION("""COMPUTED_VALUE"""),"Category")</f>
        <v>Category</v>
      </c>
      <c r="T890" s="6"/>
      <c r="U890" s="6"/>
      <c r="V890" s="6"/>
      <c r="W890" s="6"/>
      <c r="X890" s="6"/>
      <c r="Y890" s="6"/>
      <c r="Z890" s="6"/>
      <c r="AA890" s="6"/>
      <c r="AB890" s="6"/>
      <c r="AC890" s="6"/>
      <c r="AD890" s="6"/>
      <c r="AE890" s="6"/>
      <c r="AF890" s="6"/>
      <c r="AG890" s="6"/>
      <c r="AH890" s="6"/>
      <c r="AI890" s="6"/>
      <c r="AJ890" s="6"/>
      <c r="AK890" s="6"/>
      <c r="AL890" s="6"/>
    </row>
    <row r="891" spans="1:38">
      <c r="A891" s="96">
        <f ca="1">IFERROR(__xludf.DUMMYFUNCTION("""COMPUTED_VALUE"""),44619)</f>
        <v>44619</v>
      </c>
      <c r="B891" s="6" t="str">
        <f ca="1">IFERROR(__xludf.DUMMYFUNCTION("""COMPUTED_VALUE"""),"Vinoth Kumar")</f>
        <v>Vinoth Kumar</v>
      </c>
      <c r="C891" s="6" t="str">
        <f ca="1">IFERROR(__xludf.DUMMYFUNCTION("""COMPUTED_VALUE"""),"vinothkumar1387@gmail.com")</f>
        <v>vinothkumar1387@gmail.com</v>
      </c>
      <c r="D891" s="6">
        <f ca="1">IFERROR(__xludf.DUMMYFUNCTION("""COMPUTED_VALUE"""),7358253981)</f>
        <v>7358253981</v>
      </c>
      <c r="E891" s="6" t="str">
        <f ca="1">IFERROR(__xludf.DUMMYFUNCTION("""COMPUTED_VALUE"""),"Chat_triggered")</f>
        <v>Chat_triggered</v>
      </c>
      <c r="F891" s="6" t="str">
        <f ca="1">IFERROR(__xludf.DUMMYFUNCTION("""COMPUTED_VALUE"""),"CSPO")</f>
        <v>CSPO</v>
      </c>
      <c r="G891" s="80">
        <f ca="1">IFERROR(__xludf.DUMMYFUNCTION("""COMPUTED_VALUE"""),44593)</f>
        <v>44593</v>
      </c>
      <c r="H891" s="6" t="str">
        <f ca="1">IFERROR(__xludf.DUMMYFUNCTION("""COMPUTED_VALUE"""),"Won")</f>
        <v>Won</v>
      </c>
      <c r="I891" s="6" t="str">
        <f ca="1">IFERROR(__xludf.DUMMYFUNCTION("""COMPUTED_VALUE"""),"5-6 March 2022")</f>
        <v>5-6 March 2022</v>
      </c>
      <c r="J891" s="6">
        <f ca="1">IFERROR(__xludf.DUMMYFUNCTION("""COMPUTED_VALUE"""),1)</f>
        <v>1</v>
      </c>
      <c r="K891" s="8">
        <f ca="1">IFERROR(__xludf.DUMMYFUNCTION("""COMPUTED_VALUE"""),19000)</f>
        <v>19000</v>
      </c>
      <c r="L891" s="8">
        <f ca="1">IFERROR(__xludf.DUMMYFUNCTION("""COMPUTED_VALUE"""),217.590471827759)</f>
        <v>217.59047182775899</v>
      </c>
      <c r="M891" s="96">
        <f ca="1">IFERROR(__xludf.DUMMYFUNCTION("""COMPUTED_VALUE"""),44619)</f>
        <v>44619</v>
      </c>
      <c r="N891" s="6" t="str">
        <f ca="1">IFERROR(__xludf.DUMMYFUNCTION("""COMPUTED_VALUE"""),"T10")</f>
        <v>T10</v>
      </c>
      <c r="O891" s="97">
        <f ca="1">IFERROR(__xludf.DUMMYFUNCTION("""COMPUTED_VALUE"""),44619)</f>
        <v>44619</v>
      </c>
      <c r="P891" s="6" t="str">
        <f ca="1">IFERROR(__xludf.DUMMYFUNCTION("""COMPUTED_VALUE"""),"CSTM_DNZLBI4JOX0")</f>
        <v>CSTM_DNZLBI4JOX0</v>
      </c>
      <c r="Q891" s="6"/>
      <c r="R891" s="6" t="str">
        <f ca="1">IFERROR(__xludf.DUMMYFUNCTION("""COMPUTED_VALUE"""),"Pending")</f>
        <v>Pending</v>
      </c>
      <c r="S891" s="6" t="str">
        <f ca="1">IFERROR(__xludf.DUMMYFUNCTION("""COMPUTED_VALUE"""),"Category")</f>
        <v>Category</v>
      </c>
      <c r="T891" s="6"/>
      <c r="U891" s="6"/>
      <c r="V891" s="6"/>
      <c r="W891" s="6"/>
      <c r="X891" s="6"/>
      <c r="Y891" s="6"/>
      <c r="Z891" s="6"/>
      <c r="AA891" s="6"/>
      <c r="AB891" s="6"/>
      <c r="AC891" s="6"/>
      <c r="AD891" s="6"/>
      <c r="AE891" s="6"/>
      <c r="AF891" s="6"/>
      <c r="AG891" s="6"/>
      <c r="AH891" s="6"/>
      <c r="AI891" s="6"/>
      <c r="AJ891" s="6"/>
      <c r="AK891" s="6"/>
      <c r="AL891" s="6"/>
    </row>
    <row r="892" spans="1:38">
      <c r="A892" s="96">
        <f ca="1">IFERROR(__xludf.DUMMYFUNCTION("""COMPUTED_VALUE"""),44619)</f>
        <v>44619</v>
      </c>
      <c r="B892" s="6" t="str">
        <f ca="1">IFERROR(__xludf.DUMMYFUNCTION("""COMPUTED_VALUE"""),"Vaishali")</f>
        <v>Vaishali</v>
      </c>
      <c r="C892" s="6" t="str">
        <f ca="1">IFERROR(__xludf.DUMMYFUNCTION("""COMPUTED_VALUE"""),"vaishalispatil211@gmail.com")</f>
        <v>vaishalispatil211@gmail.com</v>
      </c>
      <c r="D892" s="6">
        <f ca="1">IFERROR(__xludf.DUMMYFUNCTION("""COMPUTED_VALUE"""),9820593506)</f>
        <v>9820593506</v>
      </c>
      <c r="E892" s="6" t="str">
        <f ca="1">IFERROR(__xludf.DUMMYFUNCTION("""COMPUTED_VALUE"""),"Chat_triggered")</f>
        <v>Chat_triggered</v>
      </c>
      <c r="F892" s="6" t="str">
        <f ca="1">IFERROR(__xludf.DUMMYFUNCTION("""COMPUTED_VALUE"""),"PSM")</f>
        <v>PSM</v>
      </c>
      <c r="G892" s="80">
        <f ca="1">IFERROR(__xludf.DUMMYFUNCTION("""COMPUTED_VALUE"""),44593)</f>
        <v>44593</v>
      </c>
      <c r="H892" s="6" t="str">
        <f ca="1">IFERROR(__xludf.DUMMYFUNCTION("""COMPUTED_VALUE"""),"Won")</f>
        <v>Won</v>
      </c>
      <c r="I892" s="6" t="str">
        <f ca="1">IFERROR(__xludf.DUMMYFUNCTION("""COMPUTED_VALUE"""),"19-20 March 2022")</f>
        <v>19-20 March 2022</v>
      </c>
      <c r="J892" s="6">
        <f ca="1">IFERROR(__xludf.DUMMYFUNCTION("""COMPUTED_VALUE"""),1)</f>
        <v>1</v>
      </c>
      <c r="K892" s="8">
        <f ca="1">IFERROR(__xludf.DUMMYFUNCTION("""COMPUTED_VALUE"""),21000)</f>
        <v>21000</v>
      </c>
      <c r="L892" s="8">
        <f ca="1">IFERROR(__xludf.DUMMYFUNCTION("""COMPUTED_VALUE"""),240.494732020155)</f>
        <v>240.494732020155</v>
      </c>
      <c r="M892" s="96">
        <f ca="1">IFERROR(__xludf.DUMMYFUNCTION("""COMPUTED_VALUE"""),44619)</f>
        <v>44619</v>
      </c>
      <c r="N892" s="6" t="str">
        <f ca="1">IFERROR(__xludf.DUMMYFUNCTION("""COMPUTED_VALUE"""),"T10")</f>
        <v>T10</v>
      </c>
      <c r="O892" s="97">
        <f ca="1">IFERROR(__xludf.DUMMYFUNCTION("""COMPUTED_VALUE"""),44619)</f>
        <v>44619</v>
      </c>
      <c r="P892" s="6" t="str">
        <f ca="1">IFERROR(__xludf.DUMMYFUNCTION("""COMPUTED_VALUE"""),"CSTM_J8VORYJZZRP")</f>
        <v>CSTM_J8VORYJZZRP</v>
      </c>
      <c r="Q892" s="6"/>
      <c r="R892" s="6" t="str">
        <f ca="1">IFERROR(__xludf.DUMMYFUNCTION("""COMPUTED_VALUE"""),"Pending")</f>
        <v>Pending</v>
      </c>
      <c r="S892" s="6" t="str">
        <f ca="1">IFERROR(__xludf.DUMMYFUNCTION("""COMPUTED_VALUE"""),"Category")</f>
        <v>Category</v>
      </c>
      <c r="T892" s="6"/>
      <c r="U892" s="6"/>
      <c r="V892" s="6"/>
      <c r="W892" s="6"/>
      <c r="X892" s="6"/>
      <c r="Y892" s="6"/>
      <c r="Z892" s="6"/>
      <c r="AA892" s="6"/>
      <c r="AB892" s="6"/>
      <c r="AC892" s="6"/>
      <c r="AD892" s="6"/>
      <c r="AE892" s="6"/>
      <c r="AF892" s="6"/>
      <c r="AG892" s="6"/>
      <c r="AH892" s="6"/>
      <c r="AI892" s="6"/>
      <c r="AJ892" s="6"/>
      <c r="AK892" s="6"/>
      <c r="AL892" s="6"/>
    </row>
    <row r="893" spans="1:38">
      <c r="A893" s="96">
        <f ca="1">IFERROR(__xludf.DUMMYFUNCTION("""COMPUTED_VALUE"""),44620)</f>
        <v>44620</v>
      </c>
      <c r="B893" s="6" t="str">
        <f ca="1">IFERROR(__xludf.DUMMYFUNCTION("""COMPUTED_VALUE"""),"Abhishek Jindal")</f>
        <v>Abhishek Jindal</v>
      </c>
      <c r="C893" s="6" t="str">
        <f ca="1">IFERROR(__xludf.DUMMYFUNCTION("""COMPUTED_VALUE"""),"jindalbhshk@gmail.com")</f>
        <v>jindalbhshk@gmail.com</v>
      </c>
      <c r="D893" s="6">
        <f ca="1">IFERROR(__xludf.DUMMYFUNCTION("""COMPUTED_VALUE"""),9573477555)</f>
        <v>9573477555</v>
      </c>
      <c r="E893" s="6" t="str">
        <f ca="1">IFERROR(__xludf.DUMMYFUNCTION("""COMPUTED_VALUE"""),"Query box_LP")</f>
        <v>Query box_LP</v>
      </c>
      <c r="F893" s="6" t="str">
        <f ca="1">IFERROR(__xludf.DUMMYFUNCTION("""COMPUTED_VALUE"""),"PMP with Exam")</f>
        <v>PMP with Exam</v>
      </c>
      <c r="G893" s="80">
        <f ca="1">IFERROR(__xludf.DUMMYFUNCTION("""COMPUTED_VALUE"""),44593)</f>
        <v>44593</v>
      </c>
      <c r="H893" s="6" t="str">
        <f ca="1">IFERROR(__xludf.DUMMYFUNCTION("""COMPUTED_VALUE"""),"Opportunity")</f>
        <v>Opportunity</v>
      </c>
      <c r="I893" s="6" t="str">
        <f ca="1">IFERROR(__xludf.DUMMYFUNCTION("""COMPUTED_VALUE"""),"28 Feb 2022")</f>
        <v>28 Feb 2022</v>
      </c>
      <c r="J893" s="6">
        <f ca="1">IFERROR(__xludf.DUMMYFUNCTION("""COMPUTED_VALUE"""),1)</f>
        <v>1</v>
      </c>
      <c r="K893" s="8">
        <f ca="1">IFERROR(__xludf.DUMMYFUNCTION("""COMPUTED_VALUE"""),50000)</f>
        <v>50000</v>
      </c>
      <c r="L893" s="8">
        <f ca="1">IFERROR(__xludf.DUMMYFUNCTION("""COMPUTED_VALUE"""),572.606504809894)</f>
        <v>572.60650480989398</v>
      </c>
      <c r="M893" s="96">
        <f ca="1">IFERROR(__xludf.DUMMYFUNCTION("""COMPUTED_VALUE"""),44620)</f>
        <v>44620</v>
      </c>
      <c r="N893" s="6"/>
      <c r="O893" s="97"/>
      <c r="P893" s="6"/>
      <c r="Q893" s="6"/>
      <c r="R893" s="6"/>
      <c r="S893" s="6" t="str">
        <f ca="1">IFERROR(__xludf.DUMMYFUNCTION("""COMPUTED_VALUE"""),"NonCategory")</f>
        <v>NonCategory</v>
      </c>
      <c r="T893" s="6"/>
      <c r="U893" s="6"/>
      <c r="V893" s="6"/>
      <c r="W893" s="6"/>
      <c r="X893" s="6"/>
      <c r="Y893" s="6"/>
      <c r="Z893" s="6"/>
      <c r="AA893" s="6"/>
      <c r="AB893" s="6"/>
      <c r="AC893" s="6"/>
      <c r="AD893" s="6"/>
      <c r="AE893" s="6"/>
      <c r="AF893" s="6"/>
      <c r="AG893" s="6"/>
      <c r="AH893" s="6"/>
      <c r="AI893" s="6"/>
      <c r="AJ893" s="6"/>
      <c r="AK893" s="6"/>
      <c r="AL893" s="6"/>
    </row>
    <row r="894" spans="1:38">
      <c r="A894" s="96">
        <f ca="1">IFERROR(__xludf.DUMMYFUNCTION("""COMPUTED_VALUE"""),44620)</f>
        <v>44620</v>
      </c>
      <c r="B894" s="6" t="str">
        <f ca="1">IFERROR(__xludf.DUMMYFUNCTION("""COMPUTED_VALUE"""),"Chandan")</f>
        <v>Chandan</v>
      </c>
      <c r="C894" s="6" t="str">
        <f ca="1">IFERROR(__xludf.DUMMYFUNCTION("""COMPUTED_VALUE"""),"csomayya@altimetrik.com")</f>
        <v>csomayya@altimetrik.com</v>
      </c>
      <c r="D894" s="6">
        <f ca="1">IFERROR(__xludf.DUMMYFUNCTION("""COMPUTED_VALUE"""),9766983193)</f>
        <v>9766983193</v>
      </c>
      <c r="E894" s="6" t="str">
        <f ca="1">IFERROR(__xludf.DUMMYFUNCTION("""COMPUTED_VALUE"""),"Reference")</f>
        <v>Reference</v>
      </c>
      <c r="F894" s="6" t="str">
        <f ca="1">IFERROR(__xludf.DUMMYFUNCTION("""COMPUTED_VALUE"""),"SAFe Agile")</f>
        <v>SAFe Agile</v>
      </c>
      <c r="G894" s="80">
        <f ca="1">IFERROR(__xludf.DUMMYFUNCTION("""COMPUTED_VALUE"""),44621)</f>
        <v>44621</v>
      </c>
      <c r="H894" s="6" t="str">
        <f ca="1">IFERROR(__xludf.DUMMYFUNCTION("""COMPUTED_VALUE"""),"Won")</f>
        <v>Won</v>
      </c>
      <c r="I894" s="6" t="str">
        <f ca="1">IFERROR(__xludf.DUMMYFUNCTION("""COMPUTED_VALUE"""),"12-13 March 2022")</f>
        <v>12-13 March 2022</v>
      </c>
      <c r="J894" s="6">
        <f ca="1">IFERROR(__xludf.DUMMYFUNCTION("""COMPUTED_VALUE"""),1)</f>
        <v>1</v>
      </c>
      <c r="K894" s="8">
        <f ca="1">IFERROR(__xludf.DUMMYFUNCTION("""COMPUTED_VALUE"""),40000)</f>
        <v>40000</v>
      </c>
      <c r="L894" s="8">
        <f ca="1">IFERROR(__xludf.DUMMYFUNCTION("""COMPUTED_VALUE"""),458.085203847915)</f>
        <v>458.08520384791501</v>
      </c>
      <c r="M894" s="96">
        <f ca="1">IFERROR(__xludf.DUMMYFUNCTION("""COMPUTED_VALUE"""),44620)</f>
        <v>44620</v>
      </c>
      <c r="N894" s="6" t="str">
        <f ca="1">IFERROR(__xludf.DUMMYFUNCTION("""COMPUTED_VALUE"""),"F10")</f>
        <v>F10</v>
      </c>
      <c r="O894" s="97">
        <f ca="1">IFERROR(__xludf.DUMMYFUNCTION("""COMPUTED_VALUE"""),44621)</f>
        <v>44621</v>
      </c>
      <c r="P894" s="6" t="str">
        <f ca="1">IFERROR(__xludf.DUMMYFUNCTION("""COMPUTED_VALUE"""),"CSTM_J4HG9UAV6YH")</f>
        <v>CSTM_J4HG9UAV6YH</v>
      </c>
      <c r="Q894" s="6" t="str">
        <f ca="1">IFERROR(__xludf.DUMMYFUNCTION("""COMPUTED_VALUE"""),"Reference by Dhananjay")</f>
        <v>Reference by Dhananjay</v>
      </c>
      <c r="R894" s="6" t="str">
        <f ca="1">IFERROR(__xludf.DUMMYFUNCTION("""COMPUTED_VALUE"""),"Pending")</f>
        <v>Pending</v>
      </c>
      <c r="S894" s="6" t="str">
        <f ca="1">IFERROR(__xludf.DUMMYFUNCTION("""COMPUTED_VALUE"""),"SAFe")</f>
        <v>SAFe</v>
      </c>
      <c r="T894" s="6"/>
      <c r="U894" s="6"/>
      <c r="V894" s="6"/>
      <c r="W894" s="6"/>
      <c r="X894" s="6"/>
      <c r="Y894" s="6"/>
      <c r="Z894" s="6"/>
      <c r="AA894" s="6"/>
      <c r="AB894" s="6"/>
      <c r="AC894" s="6"/>
      <c r="AD894" s="6"/>
      <c r="AE894" s="6"/>
      <c r="AF894" s="6"/>
      <c r="AG894" s="6"/>
      <c r="AH894" s="6"/>
      <c r="AI894" s="6"/>
      <c r="AJ894" s="6"/>
      <c r="AK894" s="6"/>
      <c r="AL894" s="6"/>
    </row>
    <row r="895" spans="1:38">
      <c r="A895" s="96">
        <f ca="1">IFERROR(__xludf.DUMMYFUNCTION("""COMPUTED_VALUE"""),44621)</f>
        <v>44621</v>
      </c>
      <c r="B895" s="6" t="str">
        <f ca="1">IFERROR(__xludf.DUMMYFUNCTION("""COMPUTED_VALUE"""),"Amit")</f>
        <v>Amit</v>
      </c>
      <c r="C895" s="6" t="str">
        <f ca="1">IFERROR(__xludf.DUMMYFUNCTION("""COMPUTED_VALUE"""),"amitsap_2000@yahoo.com")</f>
        <v>amitsap_2000@yahoo.com</v>
      </c>
      <c r="D895" s="6">
        <f ca="1">IFERROR(__xludf.DUMMYFUNCTION("""COMPUTED_VALUE"""),9811659333)</f>
        <v>9811659333</v>
      </c>
      <c r="E895" s="6" t="str">
        <f ca="1">IFERROR(__xludf.DUMMYFUNCTION("""COMPUTED_VALUE"""),"Chat_triggered")</f>
        <v>Chat_triggered</v>
      </c>
      <c r="F895" s="6" t="str">
        <f ca="1">IFERROR(__xludf.DUMMYFUNCTION("""COMPUTED_VALUE"""),"CSM")</f>
        <v>CSM</v>
      </c>
      <c r="G895" s="80">
        <f ca="1">IFERROR(__xludf.DUMMYFUNCTION("""COMPUTED_VALUE"""),44621)</f>
        <v>44621</v>
      </c>
      <c r="H895" s="6" t="str">
        <f ca="1">IFERROR(__xludf.DUMMYFUNCTION("""COMPUTED_VALUE"""),"Opportunity")</f>
        <v>Opportunity</v>
      </c>
      <c r="I895" s="6" t="str">
        <f ca="1">IFERROR(__xludf.DUMMYFUNCTION("""COMPUTED_VALUE"""),"3-4 March 2022")</f>
        <v>3-4 March 2022</v>
      </c>
      <c r="J895" s="6">
        <f ca="1">IFERROR(__xludf.DUMMYFUNCTION("""COMPUTED_VALUE"""),1)</f>
        <v>1</v>
      </c>
      <c r="K895" s="8">
        <f ca="1">IFERROR(__xludf.DUMMYFUNCTION("""COMPUTED_VALUE"""),20000)</f>
        <v>20000</v>
      </c>
      <c r="L895" s="8">
        <f ca="1">IFERROR(__xludf.DUMMYFUNCTION("""COMPUTED_VALUE"""),229.042601923957)</f>
        <v>229.04260192395699</v>
      </c>
      <c r="M895" s="96">
        <f ca="1">IFERROR(__xludf.DUMMYFUNCTION("""COMPUTED_VALUE"""),44621)</f>
        <v>44621</v>
      </c>
      <c r="N895" s="6"/>
      <c r="O895" s="97"/>
      <c r="P895" s="6"/>
      <c r="Q895" s="6"/>
      <c r="R895" s="6"/>
      <c r="S895" s="6" t="str">
        <f ca="1">IFERROR(__xludf.DUMMYFUNCTION("""COMPUTED_VALUE"""),"Category")</f>
        <v>Category</v>
      </c>
      <c r="T895" s="6"/>
      <c r="U895" s="6"/>
      <c r="V895" s="6"/>
      <c r="W895" s="6"/>
      <c r="X895" s="6"/>
      <c r="Y895" s="6"/>
      <c r="Z895" s="6"/>
      <c r="AA895" s="6"/>
      <c r="AB895" s="6"/>
      <c r="AC895" s="6"/>
      <c r="AD895" s="6"/>
      <c r="AE895" s="6"/>
      <c r="AF895" s="6"/>
      <c r="AG895" s="6"/>
      <c r="AH895" s="6"/>
      <c r="AI895" s="6"/>
      <c r="AJ895" s="6"/>
      <c r="AK895" s="6"/>
      <c r="AL895" s="6"/>
    </row>
    <row r="896" spans="1:38">
      <c r="A896" s="96">
        <f ca="1">IFERROR(__xludf.DUMMYFUNCTION("""COMPUTED_VALUE"""),44621)</f>
        <v>44621</v>
      </c>
      <c r="B896" s="6" t="str">
        <f ca="1">IFERROR(__xludf.DUMMYFUNCTION("""COMPUTED_VALUE"""),"Vipin Deva")</f>
        <v>Vipin Deva</v>
      </c>
      <c r="C896" s="6" t="str">
        <f ca="1">IFERROR(__xludf.DUMMYFUNCTION("""COMPUTED_VALUE"""),"vipindeva@gmail.com")</f>
        <v>vipindeva@gmail.com</v>
      </c>
      <c r="D896" s="6">
        <f ca="1">IFERROR(__xludf.DUMMYFUNCTION("""COMPUTED_VALUE"""),9633459107)</f>
        <v>9633459107</v>
      </c>
      <c r="E896" s="6" t="str">
        <f ca="1">IFERROR(__xludf.DUMMYFUNCTION("""COMPUTED_VALUE"""),"refer&amp;earn")</f>
        <v>refer&amp;earn</v>
      </c>
      <c r="F896" s="6" t="str">
        <f ca="1">IFERROR(__xludf.DUMMYFUNCTION("""COMPUTED_VALUE"""),"CSM")</f>
        <v>CSM</v>
      </c>
      <c r="G896" s="80">
        <f ca="1">IFERROR(__xludf.DUMMYFUNCTION("""COMPUTED_VALUE"""),44621)</f>
        <v>44621</v>
      </c>
      <c r="H896" s="6" t="str">
        <f ca="1">IFERROR(__xludf.DUMMYFUNCTION("""COMPUTED_VALUE"""),"Won")</f>
        <v>Won</v>
      </c>
      <c r="I896" s="6" t="str">
        <f ca="1">IFERROR(__xludf.DUMMYFUNCTION("""COMPUTED_VALUE"""),"19-20 March 2022")</f>
        <v>19-20 March 2022</v>
      </c>
      <c r="J896" s="6">
        <f ca="1">IFERROR(__xludf.DUMMYFUNCTION("""COMPUTED_VALUE"""),1)</f>
        <v>1</v>
      </c>
      <c r="K896" s="8">
        <f ca="1">IFERROR(__xludf.DUMMYFUNCTION("""COMPUTED_VALUE"""),19000)</f>
        <v>19000</v>
      </c>
      <c r="L896" s="8">
        <f ca="1">IFERROR(__xludf.DUMMYFUNCTION("""COMPUTED_VALUE"""),217.590471827759)</f>
        <v>217.59047182775899</v>
      </c>
      <c r="M896" s="96">
        <f ca="1">IFERROR(__xludf.DUMMYFUNCTION("""COMPUTED_VALUE"""),44621)</f>
        <v>44621</v>
      </c>
      <c r="N896" s="6" t="str">
        <f ca="1">IFERROR(__xludf.DUMMYFUNCTION("""COMPUTED_VALUE"""),"F10")</f>
        <v>F10</v>
      </c>
      <c r="O896" s="97">
        <f ca="1">IFERROR(__xludf.DUMMYFUNCTION("""COMPUTED_VALUE"""),44621)</f>
        <v>44621</v>
      </c>
      <c r="P896" s="6" t="str">
        <f ca="1">IFERROR(__xludf.DUMMYFUNCTION("""COMPUTED_VALUE"""),"CSTM_9HF105220E6")</f>
        <v>CSTM_9HF105220E6</v>
      </c>
      <c r="Q896" s="6"/>
      <c r="R896" s="6" t="str">
        <f ca="1">IFERROR(__xludf.DUMMYFUNCTION("""COMPUTED_VALUE"""),"Pending")</f>
        <v>Pending</v>
      </c>
      <c r="S896" s="6" t="str">
        <f ca="1">IFERROR(__xludf.DUMMYFUNCTION("""COMPUTED_VALUE"""),"Category")</f>
        <v>Category</v>
      </c>
      <c r="T896" s="6"/>
      <c r="U896" s="6"/>
      <c r="V896" s="6"/>
      <c r="W896" s="6"/>
      <c r="X896" s="6"/>
      <c r="Y896" s="6"/>
      <c r="Z896" s="6"/>
      <c r="AA896" s="6"/>
      <c r="AB896" s="6"/>
      <c r="AC896" s="6"/>
      <c r="AD896" s="6"/>
      <c r="AE896" s="6"/>
      <c r="AF896" s="6"/>
      <c r="AG896" s="6"/>
      <c r="AH896" s="6"/>
      <c r="AI896" s="6"/>
      <c r="AJ896" s="6"/>
      <c r="AK896" s="6"/>
      <c r="AL896" s="6"/>
    </row>
    <row r="897" spans="1:38">
      <c r="A897" s="96">
        <f ca="1">IFERROR(__xludf.DUMMYFUNCTION("""COMPUTED_VALUE"""),44622)</f>
        <v>44622</v>
      </c>
      <c r="B897" s="6" t="str">
        <f ca="1">IFERROR(__xludf.DUMMYFUNCTION("""COMPUTED_VALUE"""),"Prerana")</f>
        <v>Prerana</v>
      </c>
      <c r="C897" s="6" t="str">
        <f ca="1">IFERROR(__xludf.DUMMYFUNCTION("""COMPUTED_VALUE"""),"prerana117@gmail.com")</f>
        <v>prerana117@gmail.com</v>
      </c>
      <c r="D897" s="6">
        <f ca="1">IFERROR(__xludf.DUMMYFUNCTION("""COMPUTED_VALUE"""),8275284742)</f>
        <v>8275284742</v>
      </c>
      <c r="E897" s="6" t="str">
        <f ca="1">IFERROR(__xludf.DUMMYFUNCTION("""COMPUTED_VALUE"""),"chat_initiated")</f>
        <v>chat_initiated</v>
      </c>
      <c r="F897" s="6" t="str">
        <f ca="1">IFERROR(__xludf.DUMMYFUNCTION("""COMPUTED_VALUE"""),"PSM")</f>
        <v>PSM</v>
      </c>
      <c r="G897" s="80">
        <f ca="1">IFERROR(__xludf.DUMMYFUNCTION("""COMPUTED_VALUE"""),44621)</f>
        <v>44621</v>
      </c>
      <c r="H897" s="6" t="str">
        <f ca="1">IFERROR(__xludf.DUMMYFUNCTION("""COMPUTED_VALUE"""),"Won")</f>
        <v>Won</v>
      </c>
      <c r="I897" s="6" t="str">
        <f ca="1">IFERROR(__xludf.DUMMYFUNCTION("""COMPUTED_VALUE"""),"5-6 March 2022")</f>
        <v>5-6 March 2022</v>
      </c>
      <c r="J897" s="6">
        <f ca="1">IFERROR(__xludf.DUMMYFUNCTION("""COMPUTED_VALUE"""),1)</f>
        <v>1</v>
      </c>
      <c r="K897" s="8">
        <f ca="1">IFERROR(__xludf.DUMMYFUNCTION("""COMPUTED_VALUE"""),21000)</f>
        <v>21000</v>
      </c>
      <c r="L897" s="8">
        <f ca="1">IFERROR(__xludf.DUMMYFUNCTION("""COMPUTED_VALUE"""),240.494732020155)</f>
        <v>240.494732020155</v>
      </c>
      <c r="M897" s="96">
        <f ca="1">IFERROR(__xludf.DUMMYFUNCTION("""COMPUTED_VALUE"""),44622)</f>
        <v>44622</v>
      </c>
      <c r="N897" s="6" t="str">
        <f ca="1">IFERROR(__xludf.DUMMYFUNCTION("""COMPUTED_VALUE"""),"F10")</f>
        <v>F10</v>
      </c>
      <c r="O897" s="97">
        <f ca="1">IFERROR(__xludf.DUMMYFUNCTION("""COMPUTED_VALUE"""),44623)</f>
        <v>44623</v>
      </c>
      <c r="P897" s="6" t="str">
        <f ca="1">IFERROR(__xludf.DUMMYFUNCTION("""COMPUTED_VALUE"""),"CSTM_FJ8OOIRTHHA")</f>
        <v>CSTM_FJ8OOIRTHHA</v>
      </c>
      <c r="Q897" s="6"/>
      <c r="R897" s="6" t="str">
        <f ca="1">IFERROR(__xludf.DUMMYFUNCTION("""COMPUTED_VALUE"""),"Pending")</f>
        <v>Pending</v>
      </c>
      <c r="S897" s="6" t="str">
        <f ca="1">IFERROR(__xludf.DUMMYFUNCTION("""COMPUTED_VALUE"""),"Category")</f>
        <v>Category</v>
      </c>
      <c r="T897" s="6"/>
      <c r="U897" s="6"/>
      <c r="V897" s="6"/>
      <c r="W897" s="6"/>
      <c r="X897" s="6"/>
      <c r="Y897" s="6"/>
      <c r="Z897" s="6"/>
      <c r="AA897" s="6"/>
      <c r="AB897" s="6"/>
      <c r="AC897" s="6"/>
      <c r="AD897" s="6"/>
      <c r="AE897" s="6"/>
      <c r="AF897" s="6"/>
      <c r="AG897" s="6"/>
      <c r="AH897" s="6"/>
      <c r="AI897" s="6"/>
      <c r="AJ897" s="6"/>
      <c r="AK897" s="6"/>
      <c r="AL897" s="6"/>
    </row>
    <row r="898" spans="1:38">
      <c r="A898" s="96">
        <f ca="1">IFERROR(__xludf.DUMMYFUNCTION("""COMPUTED_VALUE"""),44623)</f>
        <v>44623</v>
      </c>
      <c r="B898" s="6" t="str">
        <f ca="1">IFERROR(__xludf.DUMMYFUNCTION("""COMPUTED_VALUE"""),"Chidambaram Ganesan")</f>
        <v>Chidambaram Ganesan</v>
      </c>
      <c r="C898" s="6" t="str">
        <f ca="1">IFERROR(__xludf.DUMMYFUNCTION("""COMPUTED_VALUE"""),"gct54@yahoo.com")</f>
        <v>gct54@yahoo.com</v>
      </c>
      <c r="D898" s="6">
        <f ca="1">IFERROR(__xludf.DUMMYFUNCTION("""COMPUTED_VALUE"""),9962872650)</f>
        <v>9962872650</v>
      </c>
      <c r="E898" s="6" t="str">
        <f ca="1">IFERROR(__xludf.DUMMYFUNCTION("""COMPUTED_VALUE"""),"Existing Account")</f>
        <v>Existing Account</v>
      </c>
      <c r="F898" s="6" t="str">
        <f ca="1">IFERROR(__xludf.DUMMYFUNCTION("""COMPUTED_VALUE"""),"CSM")</f>
        <v>CSM</v>
      </c>
      <c r="G898" s="80">
        <f ca="1">IFERROR(__xludf.DUMMYFUNCTION("""COMPUTED_VALUE"""),44621)</f>
        <v>44621</v>
      </c>
      <c r="H898" s="6" t="str">
        <f ca="1">IFERROR(__xludf.DUMMYFUNCTION("""COMPUTED_VALUE"""),"Won")</f>
        <v>Won</v>
      </c>
      <c r="I898" s="6" t="str">
        <f ca="1">IFERROR(__xludf.DUMMYFUNCTION("""COMPUTED_VALUE"""),"26-27 March 2022")</f>
        <v>26-27 March 2022</v>
      </c>
      <c r="J898" s="6">
        <f ca="1">IFERROR(__xludf.DUMMYFUNCTION("""COMPUTED_VALUE"""),1)</f>
        <v>1</v>
      </c>
      <c r="K898" s="8">
        <f ca="1">IFERROR(__xludf.DUMMYFUNCTION("""COMPUTED_VALUE"""),20000)</f>
        <v>20000</v>
      </c>
      <c r="L898" s="8">
        <f ca="1">IFERROR(__xludf.DUMMYFUNCTION("""COMPUTED_VALUE"""),229.042601923957)</f>
        <v>229.04260192395699</v>
      </c>
      <c r="M898" s="96">
        <f ca="1">IFERROR(__xludf.DUMMYFUNCTION("""COMPUTED_VALUE"""),44623)</f>
        <v>44623</v>
      </c>
      <c r="N898" s="6" t="str">
        <f ca="1">IFERROR(__xludf.DUMMYFUNCTION("""COMPUTED_VALUE"""),"F10")</f>
        <v>F10</v>
      </c>
      <c r="O898" s="97">
        <f ca="1">IFERROR(__xludf.DUMMYFUNCTION("""COMPUTED_VALUE"""),44624)</f>
        <v>44624</v>
      </c>
      <c r="P898" s="6" t="str">
        <f ca="1">IFERROR(__xludf.DUMMYFUNCTION("""COMPUTED_VALUE"""),"CSTM_BAXRFRR2P3E")</f>
        <v>CSTM_BAXRFRR2P3E</v>
      </c>
      <c r="Q898" s="6"/>
      <c r="R898" s="6" t="str">
        <f ca="1">IFERROR(__xludf.DUMMYFUNCTION("""COMPUTED_VALUE"""),"Pending")</f>
        <v>Pending</v>
      </c>
      <c r="S898" s="6" t="str">
        <f ca="1">IFERROR(__xludf.DUMMYFUNCTION("""COMPUTED_VALUE"""),"Category")</f>
        <v>Category</v>
      </c>
      <c r="T898" s="6"/>
      <c r="U898" s="6"/>
      <c r="V898" s="6"/>
      <c r="W898" s="6"/>
      <c r="X898" s="6"/>
      <c r="Y898" s="6"/>
      <c r="Z898" s="6"/>
      <c r="AA898" s="6"/>
      <c r="AB898" s="6"/>
      <c r="AC898" s="6"/>
      <c r="AD898" s="6"/>
      <c r="AE898" s="6"/>
      <c r="AF898" s="6"/>
      <c r="AG898" s="6"/>
      <c r="AH898" s="6"/>
      <c r="AI898" s="6"/>
      <c r="AJ898" s="6"/>
      <c r="AK898" s="6"/>
      <c r="AL898" s="6"/>
    </row>
    <row r="899" spans="1:38">
      <c r="A899" s="96">
        <f ca="1">IFERROR(__xludf.DUMMYFUNCTION("""COMPUTED_VALUE"""),44623)</f>
        <v>44623</v>
      </c>
      <c r="B899" s="6" t="str">
        <f ca="1">IFERROR(__xludf.DUMMYFUNCTION("""COMPUTED_VALUE"""),"Pradeep")</f>
        <v>Pradeep</v>
      </c>
      <c r="C899" s="6" t="str">
        <f ca="1">IFERROR(__xludf.DUMMYFUNCTION("""COMPUTED_VALUE"""),"pradeep2u2@gmail.com")</f>
        <v>pradeep2u2@gmail.com</v>
      </c>
      <c r="D899" s="6">
        <f ca="1">IFERROR(__xludf.DUMMYFUNCTION("""COMPUTED_VALUE"""),8095482707)</f>
        <v>8095482707</v>
      </c>
      <c r="E899" s="6" t="str">
        <f ca="1">IFERROR(__xludf.DUMMYFUNCTION("""COMPUTED_VALUE"""),"course agenda")</f>
        <v>course agenda</v>
      </c>
      <c r="F899" s="6" t="str">
        <f ca="1">IFERROR(__xludf.DUMMYFUNCTION("""COMPUTED_VALUE"""),"PSM")</f>
        <v>PSM</v>
      </c>
      <c r="G899" s="80">
        <f ca="1">IFERROR(__xludf.DUMMYFUNCTION("""COMPUTED_VALUE"""),44621)</f>
        <v>44621</v>
      </c>
      <c r="H899" s="6" t="str">
        <f ca="1">IFERROR(__xludf.DUMMYFUNCTION("""COMPUTED_VALUE"""),"Won")</f>
        <v>Won</v>
      </c>
      <c r="I899" s="6" t="str">
        <f ca="1">IFERROR(__xludf.DUMMYFUNCTION("""COMPUTED_VALUE"""),"5-6 March 2022")</f>
        <v>5-6 March 2022</v>
      </c>
      <c r="J899" s="6">
        <f ca="1">IFERROR(__xludf.DUMMYFUNCTION("""COMPUTED_VALUE"""),1)</f>
        <v>1</v>
      </c>
      <c r="K899" s="8">
        <f ca="1">IFERROR(__xludf.DUMMYFUNCTION("""COMPUTED_VALUE"""),21000)</f>
        <v>21000</v>
      </c>
      <c r="L899" s="8">
        <f ca="1">IFERROR(__xludf.DUMMYFUNCTION("""COMPUTED_VALUE"""),240.494732020155)</f>
        <v>240.494732020155</v>
      </c>
      <c r="M899" s="96">
        <f ca="1">IFERROR(__xludf.DUMMYFUNCTION("""COMPUTED_VALUE"""),44623)</f>
        <v>44623</v>
      </c>
      <c r="N899" s="6" t="str">
        <f ca="1">IFERROR(__xludf.DUMMYFUNCTION("""COMPUTED_VALUE"""),"F10")</f>
        <v>F10</v>
      </c>
      <c r="O899" s="97">
        <f ca="1">IFERROR(__xludf.DUMMYFUNCTION("""COMPUTED_VALUE"""),44623)</f>
        <v>44623</v>
      </c>
      <c r="P899" s="6" t="str">
        <f ca="1">IFERROR(__xludf.DUMMYFUNCTION("""COMPUTED_VALUE"""),"CSTM_A6J8I7V8MEG")</f>
        <v>CSTM_A6J8I7V8MEG</v>
      </c>
      <c r="Q899" s="6"/>
      <c r="R899" s="6" t="str">
        <f ca="1">IFERROR(__xludf.DUMMYFUNCTION("""COMPUTED_VALUE"""),"Pending")</f>
        <v>Pending</v>
      </c>
      <c r="S899" s="6" t="str">
        <f ca="1">IFERROR(__xludf.DUMMYFUNCTION("""COMPUTED_VALUE"""),"Category")</f>
        <v>Category</v>
      </c>
      <c r="T899" s="6"/>
      <c r="U899" s="6"/>
      <c r="V899" s="6"/>
      <c r="W899" s="6"/>
      <c r="X899" s="6"/>
      <c r="Y899" s="6"/>
      <c r="Z899" s="6"/>
      <c r="AA899" s="6"/>
      <c r="AB899" s="6"/>
      <c r="AC899" s="6"/>
      <c r="AD899" s="6"/>
      <c r="AE899" s="6"/>
      <c r="AF899" s="6"/>
      <c r="AG899" s="6"/>
      <c r="AH899" s="6"/>
      <c r="AI899" s="6"/>
      <c r="AJ899" s="6"/>
      <c r="AK899" s="6"/>
      <c r="AL899" s="6"/>
    </row>
    <row r="900" spans="1:38">
      <c r="A900" s="96">
        <f ca="1">IFERROR(__xludf.DUMMYFUNCTION("""COMPUTED_VALUE"""),44623)</f>
        <v>44623</v>
      </c>
      <c r="B900" s="6" t="str">
        <f ca="1">IFERROR(__xludf.DUMMYFUNCTION("""COMPUTED_VALUE"""),"Dheeraj Rathod")</f>
        <v>Dheeraj Rathod</v>
      </c>
      <c r="C900" s="6" t="str">
        <f ca="1">IFERROR(__xludf.DUMMYFUNCTION("""COMPUTED_VALUE"""),"dheeraj.rathod@gmail.com")</f>
        <v>dheeraj.rathod@gmail.com</v>
      </c>
      <c r="D900" s="6">
        <f ca="1">IFERROR(__xludf.DUMMYFUNCTION("""COMPUTED_VALUE"""),9922431036)</f>
        <v>9922431036</v>
      </c>
      <c r="E900" s="6" t="str">
        <f ca="1">IFERROR(__xludf.DUMMYFUNCTION("""COMPUTED_VALUE"""),"Tollfree")</f>
        <v>Tollfree</v>
      </c>
      <c r="F900" s="6" t="str">
        <f ca="1">IFERROR(__xludf.DUMMYFUNCTION("""COMPUTED_VALUE"""),"CSM")</f>
        <v>CSM</v>
      </c>
      <c r="G900" s="80">
        <f ca="1">IFERROR(__xludf.DUMMYFUNCTION("""COMPUTED_VALUE"""),44621)</f>
        <v>44621</v>
      </c>
      <c r="H900" s="6" t="str">
        <f ca="1">IFERROR(__xludf.DUMMYFUNCTION("""COMPUTED_VALUE"""),"Won")</f>
        <v>Won</v>
      </c>
      <c r="I900" s="6" t="str">
        <f ca="1">IFERROR(__xludf.DUMMYFUNCTION("""COMPUTED_VALUE"""),"12-13 March 2022")</f>
        <v>12-13 March 2022</v>
      </c>
      <c r="J900" s="6">
        <f ca="1">IFERROR(__xludf.DUMMYFUNCTION("""COMPUTED_VALUE"""),1)</f>
        <v>1</v>
      </c>
      <c r="K900" s="8">
        <f ca="1">IFERROR(__xludf.DUMMYFUNCTION("""COMPUTED_VALUE"""),20000)</f>
        <v>20000</v>
      </c>
      <c r="L900" s="8">
        <f ca="1">IFERROR(__xludf.DUMMYFUNCTION("""COMPUTED_VALUE"""),229.042601923957)</f>
        <v>229.04260192395699</v>
      </c>
      <c r="M900" s="96">
        <f ca="1">IFERROR(__xludf.DUMMYFUNCTION("""COMPUTED_VALUE"""),44623)</f>
        <v>44623</v>
      </c>
      <c r="N900" s="6" t="str">
        <f ca="1">IFERROR(__xludf.DUMMYFUNCTION("""COMPUTED_VALUE"""),"F10")</f>
        <v>F10</v>
      </c>
      <c r="O900" s="97">
        <f ca="1">IFERROR(__xludf.DUMMYFUNCTION("""COMPUTED_VALUE"""),44623)</f>
        <v>44623</v>
      </c>
      <c r="P900" s="6" t="str">
        <f ca="1">IFERROR(__xludf.DUMMYFUNCTION("""COMPUTED_VALUE"""),"CSTM_71VK1EU7JDO")</f>
        <v>CSTM_71VK1EU7JDO</v>
      </c>
      <c r="Q900" s="6"/>
      <c r="R900" s="6" t="str">
        <f ca="1">IFERROR(__xludf.DUMMYFUNCTION("""COMPUTED_VALUE"""),"Pending")</f>
        <v>Pending</v>
      </c>
      <c r="S900" s="6" t="str">
        <f ca="1">IFERROR(__xludf.DUMMYFUNCTION("""COMPUTED_VALUE"""),"Category")</f>
        <v>Category</v>
      </c>
      <c r="T900" s="6"/>
      <c r="U900" s="6"/>
      <c r="V900" s="6"/>
      <c r="W900" s="6"/>
      <c r="X900" s="6"/>
      <c r="Y900" s="6"/>
      <c r="Z900" s="6"/>
      <c r="AA900" s="6"/>
      <c r="AB900" s="6"/>
      <c r="AC900" s="6"/>
      <c r="AD900" s="6"/>
      <c r="AE900" s="6"/>
      <c r="AF900" s="6"/>
      <c r="AG900" s="6"/>
      <c r="AH900" s="6"/>
      <c r="AI900" s="6"/>
      <c r="AJ900" s="6"/>
      <c r="AK900" s="6"/>
      <c r="AL900" s="6"/>
    </row>
    <row r="901" spans="1:38">
      <c r="A901" s="96">
        <f ca="1">IFERROR(__xludf.DUMMYFUNCTION("""COMPUTED_VALUE"""),44623)</f>
        <v>44623</v>
      </c>
      <c r="B901" s="6" t="str">
        <f ca="1">IFERROR(__xludf.DUMMYFUNCTION("""COMPUTED_VALUE"""),"Senthil")</f>
        <v>Senthil</v>
      </c>
      <c r="C901" s="6" t="str">
        <f ca="1">IFERROR(__xludf.DUMMYFUNCTION("""COMPUTED_VALUE"""),"senthil.es@gmail.com")</f>
        <v>senthil.es@gmail.com</v>
      </c>
      <c r="D901" s="6">
        <f ca="1">IFERROR(__xludf.DUMMYFUNCTION("""COMPUTED_VALUE"""),9884460667)</f>
        <v>9884460667</v>
      </c>
      <c r="E901" s="6" t="str">
        <f ca="1">IFERROR(__xludf.DUMMYFUNCTION("""COMPUTED_VALUE"""),"Chat_triggered")</f>
        <v>Chat_triggered</v>
      </c>
      <c r="F901" s="6" t="str">
        <f ca="1">IFERROR(__xludf.DUMMYFUNCTION("""COMPUTED_VALUE"""),"PSPO")</f>
        <v>PSPO</v>
      </c>
      <c r="G901" s="80">
        <f ca="1">IFERROR(__xludf.DUMMYFUNCTION("""COMPUTED_VALUE"""),44621)</f>
        <v>44621</v>
      </c>
      <c r="H901" s="6" t="str">
        <f ca="1">IFERROR(__xludf.DUMMYFUNCTION("""COMPUTED_VALUE"""),"Won")</f>
        <v>Won</v>
      </c>
      <c r="I901" s="6" t="str">
        <f ca="1">IFERROR(__xludf.DUMMYFUNCTION("""COMPUTED_VALUE"""),"26-27 March 2022")</f>
        <v>26-27 March 2022</v>
      </c>
      <c r="J901" s="6">
        <f ca="1">IFERROR(__xludf.DUMMYFUNCTION("""COMPUTED_VALUE"""),1)</f>
        <v>1</v>
      </c>
      <c r="K901" s="8">
        <f ca="1">IFERROR(__xludf.DUMMYFUNCTION("""COMPUTED_VALUE"""),21000)</f>
        <v>21000</v>
      </c>
      <c r="L901" s="8">
        <f ca="1">IFERROR(__xludf.DUMMYFUNCTION("""COMPUTED_VALUE"""),240.494732020155)</f>
        <v>240.494732020155</v>
      </c>
      <c r="M901" s="96">
        <f ca="1">IFERROR(__xludf.DUMMYFUNCTION("""COMPUTED_VALUE"""),44623)</f>
        <v>44623</v>
      </c>
      <c r="N901" s="6" t="str">
        <f ca="1">IFERROR(__xludf.DUMMYFUNCTION("""COMPUTED_VALUE"""),"F10")</f>
        <v>F10</v>
      </c>
      <c r="O901" s="97">
        <f ca="1">IFERROR(__xludf.DUMMYFUNCTION("""COMPUTED_VALUE"""),44623)</f>
        <v>44623</v>
      </c>
      <c r="P901" s="6" t="str">
        <f ca="1">IFERROR(__xludf.DUMMYFUNCTION("""COMPUTED_VALUE"""),"CSTM_6ULNCDXD8FG")</f>
        <v>CSTM_6ULNCDXD8FG</v>
      </c>
      <c r="Q901" s="6"/>
      <c r="R901" s="6" t="str">
        <f ca="1">IFERROR(__xludf.DUMMYFUNCTION("""COMPUTED_VALUE"""),"Done. Good feedback.")</f>
        <v>Done. Good feedback.</v>
      </c>
      <c r="S901" s="6" t="str">
        <f ca="1">IFERROR(__xludf.DUMMYFUNCTION("""COMPUTED_VALUE"""),"Category")</f>
        <v>Category</v>
      </c>
      <c r="T901" s="6"/>
      <c r="U901" s="6"/>
      <c r="V901" s="6"/>
      <c r="W901" s="6"/>
      <c r="X901" s="6"/>
      <c r="Y901" s="6"/>
      <c r="Z901" s="6"/>
      <c r="AA901" s="6"/>
      <c r="AB901" s="6"/>
      <c r="AC901" s="6"/>
      <c r="AD901" s="6"/>
      <c r="AE901" s="6"/>
      <c r="AF901" s="6"/>
      <c r="AG901" s="6"/>
      <c r="AH901" s="6"/>
      <c r="AI901" s="6"/>
      <c r="AJ901" s="6"/>
      <c r="AK901" s="6"/>
      <c r="AL901" s="6"/>
    </row>
    <row r="902" spans="1:38">
      <c r="A902" s="96">
        <f ca="1">IFERROR(__xludf.DUMMYFUNCTION("""COMPUTED_VALUE"""),44623)</f>
        <v>44623</v>
      </c>
      <c r="B902" s="6" t="str">
        <f ca="1">IFERROR(__xludf.DUMMYFUNCTION("""COMPUTED_VALUE"""),"Shivakumar")</f>
        <v>Shivakumar</v>
      </c>
      <c r="C902" s="6" t="str">
        <f ca="1">IFERROR(__xludf.DUMMYFUNCTION("""COMPUTED_VALUE"""),"shivamajage@gmail.com")</f>
        <v>shivamajage@gmail.com</v>
      </c>
      <c r="D902" s="6">
        <f ca="1">IFERROR(__xludf.DUMMYFUNCTION("""COMPUTED_VALUE"""),9049918177)</f>
        <v>9049918177</v>
      </c>
      <c r="E902" s="6" t="str">
        <f ca="1">IFERROR(__xludf.DUMMYFUNCTION("""COMPUTED_VALUE"""),"course agenda")</f>
        <v>course agenda</v>
      </c>
      <c r="F902" s="6" t="str">
        <f ca="1">IFERROR(__xludf.DUMMYFUNCTION("""COMPUTED_VALUE"""),"SAFe Agile")</f>
        <v>SAFe Agile</v>
      </c>
      <c r="G902" s="80">
        <f ca="1">IFERROR(__xludf.DUMMYFUNCTION("""COMPUTED_VALUE"""),44621)</f>
        <v>44621</v>
      </c>
      <c r="H902" s="6" t="str">
        <f ca="1">IFERROR(__xludf.DUMMYFUNCTION("""COMPUTED_VALUE"""),"Won")</f>
        <v>Won</v>
      </c>
      <c r="I902" s="6" t="str">
        <f ca="1">IFERROR(__xludf.DUMMYFUNCTION("""COMPUTED_VALUE"""),"5-6 March 2022")</f>
        <v>5-6 March 2022</v>
      </c>
      <c r="J902" s="6">
        <f ca="1">IFERROR(__xludf.DUMMYFUNCTION("""COMPUTED_VALUE"""),1)</f>
        <v>1</v>
      </c>
      <c r="K902" s="8">
        <f ca="1">IFERROR(__xludf.DUMMYFUNCTION("""COMPUTED_VALUE"""),40000)</f>
        <v>40000</v>
      </c>
      <c r="L902" s="8">
        <f ca="1">IFERROR(__xludf.DUMMYFUNCTION("""COMPUTED_VALUE"""),458.085203847915)</f>
        <v>458.08520384791501</v>
      </c>
      <c r="M902" s="96">
        <f ca="1">IFERROR(__xludf.DUMMYFUNCTION("""COMPUTED_VALUE"""),44623)</f>
        <v>44623</v>
      </c>
      <c r="N902" s="6" t="str">
        <f ca="1">IFERROR(__xludf.DUMMYFUNCTION("""COMPUTED_VALUE"""),"F10")</f>
        <v>F10</v>
      </c>
      <c r="O902" s="97">
        <f ca="1">IFERROR(__xludf.DUMMYFUNCTION("""COMPUTED_VALUE"""),44623)</f>
        <v>44623</v>
      </c>
      <c r="P902" s="6" t="str">
        <f ca="1">IFERROR(__xludf.DUMMYFUNCTION("""COMPUTED_VALUE"""),"CSTM_9VZMIDIILOB")</f>
        <v>CSTM_9VZMIDIILOB</v>
      </c>
      <c r="Q902" s="6"/>
      <c r="R902" s="6" t="str">
        <f ca="1">IFERROR(__xludf.DUMMYFUNCTION("""COMPUTED_VALUE"""),"Pending")</f>
        <v>Pending</v>
      </c>
      <c r="S902" s="6" t="str">
        <f ca="1">IFERROR(__xludf.DUMMYFUNCTION("""COMPUTED_VALUE"""),"SAFe")</f>
        <v>SAFe</v>
      </c>
      <c r="T902" s="6"/>
      <c r="U902" s="6"/>
      <c r="V902" s="6"/>
      <c r="W902" s="6"/>
      <c r="X902" s="6"/>
      <c r="Y902" s="6"/>
      <c r="Z902" s="6"/>
      <c r="AA902" s="6"/>
      <c r="AB902" s="6"/>
      <c r="AC902" s="6"/>
      <c r="AD902" s="6"/>
      <c r="AE902" s="6"/>
      <c r="AF902" s="6"/>
      <c r="AG902" s="6"/>
      <c r="AH902" s="6"/>
      <c r="AI902" s="6"/>
      <c r="AJ902" s="6"/>
      <c r="AK902" s="6"/>
      <c r="AL902" s="6"/>
    </row>
    <row r="903" spans="1:38">
      <c r="A903" s="96">
        <f ca="1">IFERROR(__xludf.DUMMYFUNCTION("""COMPUTED_VALUE"""),44623)</f>
        <v>44623</v>
      </c>
      <c r="B903" s="6" t="str">
        <f ca="1">IFERROR(__xludf.DUMMYFUNCTION("""COMPUTED_VALUE"""),"Amit Gupta")</f>
        <v>Amit Gupta</v>
      </c>
      <c r="C903" s="6" t="str">
        <f ca="1">IFERROR(__xludf.DUMMYFUNCTION("""COMPUTED_VALUE"""),"axzon14@gmail.com")</f>
        <v>axzon14@gmail.com</v>
      </c>
      <c r="D903" s="6">
        <f ca="1">IFERROR(__xludf.DUMMYFUNCTION("""COMPUTED_VALUE"""),9870796448)</f>
        <v>9870796448</v>
      </c>
      <c r="E903" s="6" t="str">
        <f ca="1">IFERROR(__xludf.DUMMYFUNCTION("""COMPUTED_VALUE"""),"Reference")</f>
        <v>Reference</v>
      </c>
      <c r="F903" s="6" t="str">
        <f ca="1">IFERROR(__xludf.DUMMYFUNCTION("""COMPUTED_VALUE"""),"SAFe Agile")</f>
        <v>SAFe Agile</v>
      </c>
      <c r="G903" s="80">
        <f ca="1">IFERROR(__xludf.DUMMYFUNCTION("""COMPUTED_VALUE"""),44621)</f>
        <v>44621</v>
      </c>
      <c r="H903" s="6" t="str">
        <f ca="1">IFERROR(__xludf.DUMMYFUNCTION("""COMPUTED_VALUE"""),"Opportunity")</f>
        <v>Opportunity</v>
      </c>
      <c r="I903" s="6" t="str">
        <f ca="1">IFERROR(__xludf.DUMMYFUNCTION("""COMPUTED_VALUE"""),"12-13 March 2022")</f>
        <v>12-13 March 2022</v>
      </c>
      <c r="J903" s="6">
        <f ca="1">IFERROR(__xludf.DUMMYFUNCTION("""COMPUTED_VALUE"""),1)</f>
        <v>1</v>
      </c>
      <c r="K903" s="8">
        <f ca="1">IFERROR(__xludf.DUMMYFUNCTION("""COMPUTED_VALUE"""),40000)</f>
        <v>40000</v>
      </c>
      <c r="L903" s="8">
        <f ca="1">IFERROR(__xludf.DUMMYFUNCTION("""COMPUTED_VALUE"""),458.085203847915)</f>
        <v>458.08520384791501</v>
      </c>
      <c r="M903" s="96">
        <f ca="1">IFERROR(__xludf.DUMMYFUNCTION("""COMPUTED_VALUE"""),44623)</f>
        <v>44623</v>
      </c>
      <c r="N903" s="6"/>
      <c r="O903" s="97"/>
      <c r="P903" s="6"/>
      <c r="Q903" s="6" t="str">
        <f ca="1">IFERROR(__xludf.DUMMYFUNCTION("""COMPUTED_VALUE"""),"Reference by rtiwari")</f>
        <v>Reference by rtiwari</v>
      </c>
      <c r="R903" s="6"/>
      <c r="S903" s="6" t="str">
        <f ca="1">IFERROR(__xludf.DUMMYFUNCTION("""COMPUTED_VALUE"""),"SAFe")</f>
        <v>SAFe</v>
      </c>
      <c r="T903" s="6"/>
      <c r="U903" s="6"/>
      <c r="V903" s="6"/>
      <c r="W903" s="6"/>
      <c r="X903" s="6"/>
      <c r="Y903" s="6"/>
      <c r="Z903" s="6"/>
      <c r="AA903" s="6"/>
      <c r="AB903" s="6"/>
      <c r="AC903" s="6"/>
      <c r="AD903" s="6"/>
      <c r="AE903" s="6"/>
      <c r="AF903" s="6"/>
      <c r="AG903" s="6"/>
      <c r="AH903" s="6"/>
      <c r="AI903" s="6"/>
      <c r="AJ903" s="6"/>
      <c r="AK903" s="6"/>
      <c r="AL903" s="6"/>
    </row>
    <row r="904" spans="1:38">
      <c r="A904" s="96">
        <f ca="1">IFERROR(__xludf.DUMMYFUNCTION("""COMPUTED_VALUE"""),44624)</f>
        <v>44624</v>
      </c>
      <c r="B904" s="6" t="str">
        <f ca="1">IFERROR(__xludf.DUMMYFUNCTION("""COMPUTED_VALUE"""),"Shweta Dureja")</f>
        <v>Shweta Dureja</v>
      </c>
      <c r="C904" s="6" t="str">
        <f ca="1">IFERROR(__xludf.DUMMYFUNCTION("""COMPUTED_VALUE"""),"shwetadureja01@gmail.com")</f>
        <v>shwetadureja01@gmail.com</v>
      </c>
      <c r="D904" s="6">
        <f ca="1">IFERROR(__xludf.DUMMYFUNCTION("""COMPUTED_VALUE"""),8971576621)</f>
        <v>8971576621</v>
      </c>
      <c r="E904" s="6" t="str">
        <f ca="1">IFERROR(__xludf.DUMMYFUNCTION("""COMPUTED_VALUE"""),"Chat_triggered")</f>
        <v>Chat_triggered</v>
      </c>
      <c r="F904" s="6" t="str">
        <f ca="1">IFERROR(__xludf.DUMMYFUNCTION("""COMPUTED_VALUE"""),"SAFe POPM")</f>
        <v>SAFe POPM</v>
      </c>
      <c r="G904" s="80">
        <f ca="1">IFERROR(__xludf.DUMMYFUNCTION("""COMPUTED_VALUE"""),44621)</f>
        <v>44621</v>
      </c>
      <c r="H904" s="6" t="str">
        <f ca="1">IFERROR(__xludf.DUMMYFUNCTION("""COMPUTED_VALUE"""),"Won")</f>
        <v>Won</v>
      </c>
      <c r="I904" s="6" t="str">
        <f ca="1">IFERROR(__xludf.DUMMYFUNCTION("""COMPUTED_VALUE"""),"5-6 March 2022")</f>
        <v>5-6 March 2022</v>
      </c>
      <c r="J904" s="6">
        <f ca="1">IFERROR(__xludf.DUMMYFUNCTION("""COMPUTED_VALUE"""),1)</f>
        <v>1</v>
      </c>
      <c r="K904" s="8">
        <f ca="1">IFERROR(__xludf.DUMMYFUNCTION("""COMPUTED_VALUE"""),42000)</f>
        <v>42000</v>
      </c>
      <c r="L904" s="8">
        <f ca="1">IFERROR(__xludf.DUMMYFUNCTION("""COMPUTED_VALUE"""),480.989464040311)</f>
        <v>480.98946404031102</v>
      </c>
      <c r="M904" s="96">
        <f ca="1">IFERROR(__xludf.DUMMYFUNCTION("""COMPUTED_VALUE"""),44624)</f>
        <v>44624</v>
      </c>
      <c r="N904" s="6" t="str">
        <f ca="1">IFERROR(__xludf.DUMMYFUNCTION("""COMPUTED_VALUE"""),"F10")</f>
        <v>F10</v>
      </c>
      <c r="O904" s="97">
        <f ca="1">IFERROR(__xludf.DUMMYFUNCTION("""COMPUTED_VALUE"""),44624)</f>
        <v>44624</v>
      </c>
      <c r="P904" s="6" t="str">
        <f ca="1">IFERROR(__xludf.DUMMYFUNCTION("""COMPUTED_VALUE"""),"CSTM_IC3JKVNX0X2")</f>
        <v>CSTM_IC3JKVNX0X2</v>
      </c>
      <c r="Q904" s="6"/>
      <c r="R904" s="6" t="str">
        <f ca="1">IFERROR(__xludf.DUMMYFUNCTION("""COMPUTED_VALUE"""),"Pending")</f>
        <v>Pending</v>
      </c>
      <c r="S904" s="6" t="str">
        <f ca="1">IFERROR(__xludf.DUMMYFUNCTION("""COMPUTED_VALUE"""),"SAFe")</f>
        <v>SAFe</v>
      </c>
      <c r="T904" s="6"/>
      <c r="U904" s="6"/>
      <c r="V904" s="6"/>
      <c r="W904" s="6"/>
      <c r="X904" s="6"/>
      <c r="Y904" s="6"/>
      <c r="Z904" s="6"/>
      <c r="AA904" s="6"/>
      <c r="AB904" s="6"/>
      <c r="AC904" s="6"/>
      <c r="AD904" s="6"/>
      <c r="AE904" s="6"/>
      <c r="AF904" s="6"/>
      <c r="AG904" s="6"/>
      <c r="AH904" s="6"/>
      <c r="AI904" s="6"/>
      <c r="AJ904" s="6"/>
      <c r="AK904" s="6"/>
      <c r="AL904" s="6"/>
    </row>
    <row r="905" spans="1:38">
      <c r="A905" s="96">
        <f ca="1">IFERROR(__xludf.DUMMYFUNCTION("""COMPUTED_VALUE"""),44624)</f>
        <v>44624</v>
      </c>
      <c r="B905" s="6" t="str">
        <f ca="1">IFERROR(__xludf.DUMMYFUNCTION("""COMPUTED_VALUE"""),"Ajay Ahuja")</f>
        <v>Ajay Ahuja</v>
      </c>
      <c r="C905" s="6" t="str">
        <f ca="1">IFERROR(__xludf.DUMMYFUNCTION("""COMPUTED_VALUE"""),"ajayahuja86@gmail.com")</f>
        <v>ajayahuja86@gmail.com</v>
      </c>
      <c r="D905" s="6">
        <f ca="1">IFERROR(__xludf.DUMMYFUNCTION("""COMPUTED_VALUE"""),9717075523)</f>
        <v>9717075523</v>
      </c>
      <c r="E905" s="6" t="str">
        <f ca="1">IFERROR(__xludf.DUMMYFUNCTION("""COMPUTED_VALUE"""),"chat_initiated")</f>
        <v>chat_initiated</v>
      </c>
      <c r="F905" s="6" t="str">
        <f ca="1">IFERROR(__xludf.DUMMYFUNCTION("""COMPUTED_VALUE"""),"PSPO")</f>
        <v>PSPO</v>
      </c>
      <c r="G905" s="80">
        <f ca="1">IFERROR(__xludf.DUMMYFUNCTION("""COMPUTED_VALUE"""),44621)</f>
        <v>44621</v>
      </c>
      <c r="H905" s="6" t="str">
        <f ca="1">IFERROR(__xludf.DUMMYFUNCTION("""COMPUTED_VALUE"""),"Won")</f>
        <v>Won</v>
      </c>
      <c r="I905" s="6" t="str">
        <f ca="1">IFERROR(__xludf.DUMMYFUNCTION("""COMPUTED_VALUE"""),"12-13 March 2022")</f>
        <v>12-13 March 2022</v>
      </c>
      <c r="J905" s="6">
        <f ca="1">IFERROR(__xludf.DUMMYFUNCTION("""COMPUTED_VALUE"""),1)</f>
        <v>1</v>
      </c>
      <c r="K905" s="8">
        <f ca="1">IFERROR(__xludf.DUMMYFUNCTION("""COMPUTED_VALUE"""),21000)</f>
        <v>21000</v>
      </c>
      <c r="L905" s="8">
        <f ca="1">IFERROR(__xludf.DUMMYFUNCTION("""COMPUTED_VALUE"""),240.494732020155)</f>
        <v>240.494732020155</v>
      </c>
      <c r="M905" s="96">
        <f ca="1">IFERROR(__xludf.DUMMYFUNCTION("""COMPUTED_VALUE"""),44624)</f>
        <v>44624</v>
      </c>
      <c r="N905" s="6" t="str">
        <f ca="1">IFERROR(__xludf.DUMMYFUNCTION("""COMPUTED_VALUE"""),"F10")</f>
        <v>F10</v>
      </c>
      <c r="O905" s="97">
        <f ca="1">IFERROR(__xludf.DUMMYFUNCTION("""COMPUTED_VALUE"""),44624)</f>
        <v>44624</v>
      </c>
      <c r="P905" s="6" t="str">
        <f ca="1">IFERROR(__xludf.DUMMYFUNCTION("""COMPUTED_VALUE"""),"CSTM_DI3YNGQJU4R")</f>
        <v>CSTM_DI3YNGQJU4R</v>
      </c>
      <c r="Q905" s="6"/>
      <c r="R905" s="6" t="str">
        <f ca="1">IFERROR(__xludf.DUMMYFUNCTION("""COMPUTED_VALUE"""),"Pending")</f>
        <v>Pending</v>
      </c>
      <c r="S905" s="6" t="str">
        <f ca="1">IFERROR(__xludf.DUMMYFUNCTION("""COMPUTED_VALUE"""),"Category")</f>
        <v>Category</v>
      </c>
      <c r="T905" s="6"/>
      <c r="U905" s="6"/>
      <c r="V905" s="6"/>
      <c r="W905" s="6"/>
      <c r="X905" s="6"/>
      <c r="Y905" s="6"/>
      <c r="Z905" s="6"/>
      <c r="AA905" s="6"/>
      <c r="AB905" s="6"/>
      <c r="AC905" s="6"/>
      <c r="AD905" s="6"/>
      <c r="AE905" s="6"/>
      <c r="AF905" s="6"/>
      <c r="AG905" s="6"/>
      <c r="AH905" s="6"/>
      <c r="AI905" s="6"/>
      <c r="AJ905" s="6"/>
      <c r="AK905" s="6"/>
      <c r="AL905" s="6"/>
    </row>
    <row r="906" spans="1:38">
      <c r="A906" s="96">
        <f ca="1">IFERROR(__xludf.DUMMYFUNCTION("""COMPUTED_VALUE"""),44624)</f>
        <v>44624</v>
      </c>
      <c r="B906" s="6" t="str">
        <f ca="1">IFERROR(__xludf.DUMMYFUNCTION("""COMPUTED_VALUE"""),"Shiwali")</f>
        <v>Shiwali</v>
      </c>
      <c r="C906" s="6" t="str">
        <f ca="1">IFERROR(__xludf.DUMMYFUNCTION("""COMPUTED_VALUE"""),"jshiwali@gmail.com")</f>
        <v>jshiwali@gmail.com</v>
      </c>
      <c r="D906" s="6">
        <f ca="1">IFERROR(__xludf.DUMMYFUNCTION("""COMPUTED_VALUE"""),9818247558)</f>
        <v>9818247558</v>
      </c>
      <c r="E906" s="6" t="str">
        <f ca="1">IFERROR(__xludf.DUMMYFUNCTION("""COMPUTED_VALUE"""),"Chat_triggered")</f>
        <v>Chat_triggered</v>
      </c>
      <c r="F906" s="6" t="str">
        <f ca="1">IFERROR(__xludf.DUMMYFUNCTION("""COMPUTED_VALUE"""),"SAFe Agile")</f>
        <v>SAFe Agile</v>
      </c>
      <c r="G906" s="80">
        <f ca="1">IFERROR(__xludf.DUMMYFUNCTION("""COMPUTED_VALUE"""),44621)</f>
        <v>44621</v>
      </c>
      <c r="H906" s="6" t="str">
        <f ca="1">IFERROR(__xludf.DUMMYFUNCTION("""COMPUTED_VALUE"""),"Won")</f>
        <v>Won</v>
      </c>
      <c r="I906" s="6" t="str">
        <f ca="1">IFERROR(__xludf.DUMMYFUNCTION("""COMPUTED_VALUE"""),"12-13 March 2022")</f>
        <v>12-13 March 2022</v>
      </c>
      <c r="J906" s="6">
        <f ca="1">IFERROR(__xludf.DUMMYFUNCTION("""COMPUTED_VALUE"""),1)</f>
        <v>1</v>
      </c>
      <c r="K906" s="8">
        <f ca="1">IFERROR(__xludf.DUMMYFUNCTION("""COMPUTED_VALUE"""),40000)</f>
        <v>40000</v>
      </c>
      <c r="L906" s="8">
        <f ca="1">IFERROR(__xludf.DUMMYFUNCTION("""COMPUTED_VALUE"""),458.085203847915)</f>
        <v>458.08520384791501</v>
      </c>
      <c r="M906" s="96">
        <f ca="1">IFERROR(__xludf.DUMMYFUNCTION("""COMPUTED_VALUE"""),44624)</f>
        <v>44624</v>
      </c>
      <c r="N906" s="6" t="str">
        <f ca="1">IFERROR(__xludf.DUMMYFUNCTION("""COMPUTED_VALUE"""),"F10")</f>
        <v>F10</v>
      </c>
      <c r="O906" s="97">
        <f ca="1">IFERROR(__xludf.DUMMYFUNCTION("""COMPUTED_VALUE"""),44625)</f>
        <v>44625</v>
      </c>
      <c r="P906" s="6" t="str">
        <f ca="1">IFERROR(__xludf.DUMMYFUNCTION("""COMPUTED_VALUE"""),"CSTM_DWZUZVUBKVZ")</f>
        <v>CSTM_DWZUZVUBKVZ</v>
      </c>
      <c r="Q906" s="6"/>
      <c r="R906" s="6" t="str">
        <f ca="1">IFERROR(__xludf.DUMMYFUNCTION("""COMPUTED_VALUE"""),"Pending")</f>
        <v>Pending</v>
      </c>
      <c r="S906" s="6" t="str">
        <f ca="1">IFERROR(__xludf.DUMMYFUNCTION("""COMPUTED_VALUE"""),"SAFe")</f>
        <v>SAFe</v>
      </c>
      <c r="T906" s="6"/>
      <c r="U906" s="6"/>
      <c r="V906" s="6"/>
      <c r="W906" s="6"/>
      <c r="X906" s="6"/>
      <c r="Y906" s="6"/>
      <c r="Z906" s="6"/>
      <c r="AA906" s="6"/>
      <c r="AB906" s="6"/>
      <c r="AC906" s="6"/>
      <c r="AD906" s="6"/>
      <c r="AE906" s="6"/>
      <c r="AF906" s="6"/>
      <c r="AG906" s="6"/>
      <c r="AH906" s="6"/>
      <c r="AI906" s="6"/>
      <c r="AJ906" s="6"/>
      <c r="AK906" s="6"/>
      <c r="AL906" s="6"/>
    </row>
    <row r="907" spans="1:38">
      <c r="A907" s="96">
        <f ca="1">IFERROR(__xludf.DUMMYFUNCTION("""COMPUTED_VALUE"""),44625)</f>
        <v>44625</v>
      </c>
      <c r="B907" s="6" t="str">
        <f ca="1">IFERROR(__xludf.DUMMYFUNCTION("""COMPUTED_VALUE"""),"Sashi Skl")</f>
        <v>Sashi Skl</v>
      </c>
      <c r="C907" s="6" t="str">
        <f ca="1">IFERROR(__xludf.DUMMYFUNCTION("""COMPUTED_VALUE"""),"sashi.skl@gmail.com")</f>
        <v>sashi.skl@gmail.com</v>
      </c>
      <c r="D907" s="6">
        <f ca="1">IFERROR(__xludf.DUMMYFUNCTION("""COMPUTED_VALUE"""),8883693599)</f>
        <v>8883693599</v>
      </c>
      <c r="E907" s="6" t="str">
        <f ca="1">IFERROR(__xludf.DUMMYFUNCTION("""COMPUTED_VALUE"""),"chat_initiated")</f>
        <v>chat_initiated</v>
      </c>
      <c r="F907" s="6" t="str">
        <f ca="1">IFERROR(__xludf.DUMMYFUNCTION("""COMPUTED_VALUE"""),"PSM")</f>
        <v>PSM</v>
      </c>
      <c r="G907" s="80">
        <f ca="1">IFERROR(__xludf.DUMMYFUNCTION("""COMPUTED_VALUE"""),44621)</f>
        <v>44621</v>
      </c>
      <c r="H907" s="6" t="str">
        <f ca="1">IFERROR(__xludf.DUMMYFUNCTION("""COMPUTED_VALUE"""),"Won")</f>
        <v>Won</v>
      </c>
      <c r="I907" s="6" t="str">
        <f ca="1">IFERROR(__xludf.DUMMYFUNCTION("""COMPUTED_VALUE"""),"5-6 March 2022")</f>
        <v>5-6 March 2022</v>
      </c>
      <c r="J907" s="6">
        <f ca="1">IFERROR(__xludf.DUMMYFUNCTION("""COMPUTED_VALUE"""),1)</f>
        <v>1</v>
      </c>
      <c r="K907" s="8">
        <f ca="1">IFERROR(__xludf.DUMMYFUNCTION("""COMPUTED_VALUE"""),21000)</f>
        <v>21000</v>
      </c>
      <c r="L907" s="8">
        <f ca="1">IFERROR(__xludf.DUMMYFUNCTION("""COMPUTED_VALUE"""),240.494732020155)</f>
        <v>240.494732020155</v>
      </c>
      <c r="M907" s="96">
        <f ca="1">IFERROR(__xludf.DUMMYFUNCTION("""COMPUTED_VALUE"""),44625)</f>
        <v>44625</v>
      </c>
      <c r="N907" s="6" t="str">
        <f ca="1">IFERROR(__xludf.DUMMYFUNCTION("""COMPUTED_VALUE"""),"F10")</f>
        <v>F10</v>
      </c>
      <c r="O907" s="97">
        <f ca="1">IFERROR(__xludf.DUMMYFUNCTION("""COMPUTED_VALUE"""),44625)</f>
        <v>44625</v>
      </c>
      <c r="P907" s="6" t="str">
        <f ca="1">IFERROR(__xludf.DUMMYFUNCTION("""COMPUTED_VALUE"""),"CSTM_6GZCLOKTF1U")</f>
        <v>CSTM_6GZCLOKTF1U</v>
      </c>
      <c r="Q907" s="6"/>
      <c r="R907" s="6" t="str">
        <f ca="1">IFERROR(__xludf.DUMMYFUNCTION("""COMPUTED_VALUE"""),"Pending")</f>
        <v>Pending</v>
      </c>
      <c r="S907" s="6" t="str">
        <f ca="1">IFERROR(__xludf.DUMMYFUNCTION("""COMPUTED_VALUE"""),"Category")</f>
        <v>Category</v>
      </c>
      <c r="T907" s="6"/>
      <c r="U907" s="6"/>
      <c r="V907" s="6"/>
      <c r="W907" s="6"/>
      <c r="X907" s="6"/>
      <c r="Y907" s="6"/>
      <c r="Z907" s="6"/>
      <c r="AA907" s="6"/>
      <c r="AB907" s="6"/>
      <c r="AC907" s="6"/>
      <c r="AD907" s="6"/>
      <c r="AE907" s="6"/>
      <c r="AF907" s="6"/>
      <c r="AG907" s="6"/>
      <c r="AH907" s="6"/>
      <c r="AI907" s="6"/>
      <c r="AJ907" s="6"/>
      <c r="AK907" s="6"/>
      <c r="AL907" s="6"/>
    </row>
    <row r="908" spans="1:38">
      <c r="A908" s="96">
        <f ca="1">IFERROR(__xludf.DUMMYFUNCTION("""COMPUTED_VALUE"""),44625)</f>
        <v>44625</v>
      </c>
      <c r="B908" s="6" t="str">
        <f ca="1">IFERROR(__xludf.DUMMYFUNCTION("""COMPUTED_VALUE"""),"Sunil Dantal")</f>
        <v>Sunil Dantal</v>
      </c>
      <c r="C908" s="6" t="str">
        <f ca="1">IFERROR(__xludf.DUMMYFUNCTION("""COMPUTED_VALUE"""),"sunil.dantal@gmail.com")</f>
        <v>sunil.dantal@gmail.com</v>
      </c>
      <c r="D908" s="6">
        <f ca="1">IFERROR(__xludf.DUMMYFUNCTION("""COMPUTED_VALUE"""),8806127669)</f>
        <v>8806127669</v>
      </c>
      <c r="E908" s="6" t="str">
        <f ca="1">IFERROR(__xludf.DUMMYFUNCTION("""COMPUTED_VALUE"""),"Chat_triggered")</f>
        <v>Chat_triggered</v>
      </c>
      <c r="F908" s="6" t="str">
        <f ca="1">IFERROR(__xludf.DUMMYFUNCTION("""COMPUTED_VALUE"""),"SAFe Agile")</f>
        <v>SAFe Agile</v>
      </c>
      <c r="G908" s="80">
        <f ca="1">IFERROR(__xludf.DUMMYFUNCTION("""COMPUTED_VALUE"""),44621)</f>
        <v>44621</v>
      </c>
      <c r="H908" s="6" t="str">
        <f ca="1">IFERROR(__xludf.DUMMYFUNCTION("""COMPUTED_VALUE"""),"Won")</f>
        <v>Won</v>
      </c>
      <c r="I908" s="6" t="str">
        <f ca="1">IFERROR(__xludf.DUMMYFUNCTION("""COMPUTED_VALUE"""),"12-13 March 2022")</f>
        <v>12-13 March 2022</v>
      </c>
      <c r="J908" s="6">
        <f ca="1">IFERROR(__xludf.DUMMYFUNCTION("""COMPUTED_VALUE"""),1)</f>
        <v>1</v>
      </c>
      <c r="K908" s="8">
        <f ca="1">IFERROR(__xludf.DUMMYFUNCTION("""COMPUTED_VALUE"""),42000)</f>
        <v>42000</v>
      </c>
      <c r="L908" s="8">
        <f ca="1">IFERROR(__xludf.DUMMYFUNCTION("""COMPUTED_VALUE"""),480.989464040311)</f>
        <v>480.98946404031102</v>
      </c>
      <c r="M908" s="96">
        <f ca="1">IFERROR(__xludf.DUMMYFUNCTION("""COMPUTED_VALUE"""),44625)</f>
        <v>44625</v>
      </c>
      <c r="N908" s="6" t="str">
        <f ca="1">IFERROR(__xludf.DUMMYFUNCTION("""COMPUTED_VALUE"""),"F10")</f>
        <v>F10</v>
      </c>
      <c r="O908" s="97">
        <f ca="1">IFERROR(__xludf.DUMMYFUNCTION("""COMPUTED_VALUE"""),44625)</f>
        <v>44625</v>
      </c>
      <c r="P908" s="6" t="str">
        <f ca="1">IFERROR(__xludf.DUMMYFUNCTION("""COMPUTED_VALUE"""),"CSTM_3X3L8ETCVYH")</f>
        <v>CSTM_3X3L8ETCVYH</v>
      </c>
      <c r="Q908" s="6"/>
      <c r="R908" s="6" t="str">
        <f ca="1">IFERROR(__xludf.DUMMYFUNCTION("""COMPUTED_VALUE"""),"Pending")</f>
        <v>Pending</v>
      </c>
      <c r="S908" s="6" t="str">
        <f ca="1">IFERROR(__xludf.DUMMYFUNCTION("""COMPUTED_VALUE"""),"SAFe")</f>
        <v>SAFe</v>
      </c>
      <c r="T908" s="6"/>
      <c r="U908" s="6"/>
      <c r="V908" s="6"/>
      <c r="W908" s="6"/>
      <c r="X908" s="6"/>
      <c r="Y908" s="6"/>
      <c r="Z908" s="6"/>
      <c r="AA908" s="6"/>
      <c r="AB908" s="6"/>
      <c r="AC908" s="6"/>
      <c r="AD908" s="6"/>
      <c r="AE908" s="6"/>
      <c r="AF908" s="6"/>
      <c r="AG908" s="6"/>
      <c r="AH908" s="6"/>
      <c r="AI908" s="6"/>
      <c r="AJ908" s="6"/>
      <c r="AK908" s="6"/>
      <c r="AL908" s="6"/>
    </row>
    <row r="909" spans="1:38">
      <c r="A909" s="96">
        <f ca="1">IFERROR(__xludf.DUMMYFUNCTION("""COMPUTED_VALUE"""),44625)</f>
        <v>44625</v>
      </c>
      <c r="B909" s="6" t="str">
        <f ca="1">IFERROR(__xludf.DUMMYFUNCTION("""COMPUTED_VALUE"""),"Kedar")</f>
        <v>Kedar</v>
      </c>
      <c r="C909" s="6" t="str">
        <f ca="1">IFERROR(__xludf.DUMMYFUNCTION("""COMPUTED_VALUE"""),"kedartalegaonkar@gmail.com")</f>
        <v>kedartalegaonkar@gmail.com</v>
      </c>
      <c r="D909" s="6">
        <f ca="1">IFERROR(__xludf.DUMMYFUNCTION("""COMPUTED_VALUE"""),9822547854)</f>
        <v>9822547854</v>
      </c>
      <c r="E909" s="6" t="str">
        <f ca="1">IFERROR(__xludf.DUMMYFUNCTION("""COMPUTED_VALUE"""),"Query box")</f>
        <v>Query box</v>
      </c>
      <c r="F909" s="6" t="str">
        <f ca="1">IFERROR(__xludf.DUMMYFUNCTION("""COMPUTED_VALUE"""),"PSM")</f>
        <v>PSM</v>
      </c>
      <c r="G909" s="80">
        <f ca="1">IFERROR(__xludf.DUMMYFUNCTION("""COMPUTED_VALUE"""),44621)</f>
        <v>44621</v>
      </c>
      <c r="H909" s="6" t="str">
        <f ca="1">IFERROR(__xludf.DUMMYFUNCTION("""COMPUTED_VALUE"""),"Won")</f>
        <v>Won</v>
      </c>
      <c r="I909" s="6" t="str">
        <f ca="1">IFERROR(__xludf.DUMMYFUNCTION("""COMPUTED_VALUE"""),"19-20 March 2022")</f>
        <v>19-20 March 2022</v>
      </c>
      <c r="J909" s="6">
        <f ca="1">IFERROR(__xludf.DUMMYFUNCTION("""COMPUTED_VALUE"""),1)</f>
        <v>1</v>
      </c>
      <c r="K909" s="8">
        <f ca="1">IFERROR(__xludf.DUMMYFUNCTION("""COMPUTED_VALUE"""),21000)</f>
        <v>21000</v>
      </c>
      <c r="L909" s="8">
        <f ca="1">IFERROR(__xludf.DUMMYFUNCTION("""COMPUTED_VALUE"""),240.494732020155)</f>
        <v>240.494732020155</v>
      </c>
      <c r="M909" s="96">
        <f ca="1">IFERROR(__xludf.DUMMYFUNCTION("""COMPUTED_VALUE"""),44625)</f>
        <v>44625</v>
      </c>
      <c r="N909" s="6" t="str">
        <f ca="1">IFERROR(__xludf.DUMMYFUNCTION("""COMPUTED_VALUE"""),"F10")</f>
        <v>F10</v>
      </c>
      <c r="O909" s="97">
        <f ca="1">IFERROR(__xludf.DUMMYFUNCTION("""COMPUTED_VALUE"""),44625)</f>
        <v>44625</v>
      </c>
      <c r="P909" s="6" t="str">
        <f ca="1">IFERROR(__xludf.DUMMYFUNCTION("""COMPUTED_VALUE"""),"CSTM_IESL8XSPGYH")</f>
        <v>CSTM_IESL8XSPGYH</v>
      </c>
      <c r="Q909" s="6"/>
      <c r="R909" s="6" t="str">
        <f ca="1">IFERROR(__xludf.DUMMYFUNCTION("""COMPUTED_VALUE"""),"Pending")</f>
        <v>Pending</v>
      </c>
      <c r="S909" s="6" t="str">
        <f ca="1">IFERROR(__xludf.DUMMYFUNCTION("""COMPUTED_VALUE"""),"Category")</f>
        <v>Category</v>
      </c>
      <c r="T909" s="6"/>
      <c r="U909" s="6"/>
      <c r="V909" s="6"/>
      <c r="W909" s="6"/>
      <c r="X909" s="6"/>
      <c r="Y909" s="6"/>
      <c r="Z909" s="6"/>
      <c r="AA909" s="6"/>
      <c r="AB909" s="6"/>
      <c r="AC909" s="6"/>
      <c r="AD909" s="6"/>
      <c r="AE909" s="6"/>
      <c r="AF909" s="6"/>
      <c r="AG909" s="6"/>
      <c r="AH909" s="6"/>
      <c r="AI909" s="6"/>
      <c r="AJ909" s="6"/>
      <c r="AK909" s="6"/>
      <c r="AL909" s="6"/>
    </row>
    <row r="910" spans="1:38">
      <c r="A910" s="96">
        <f ca="1">IFERROR(__xludf.DUMMYFUNCTION("""COMPUTED_VALUE"""),44627)</f>
        <v>44627</v>
      </c>
      <c r="B910" s="6" t="str">
        <f ca="1">IFERROR(__xludf.DUMMYFUNCTION("""COMPUTED_VALUE"""),"Avik")</f>
        <v>Avik</v>
      </c>
      <c r="C910" s="6" t="str">
        <f ca="1">IFERROR(__xludf.DUMMYFUNCTION("""COMPUTED_VALUE"""),"avik12.0@gmail.com")</f>
        <v>avik12.0@gmail.com</v>
      </c>
      <c r="D910" s="6">
        <f ca="1">IFERROR(__xludf.DUMMYFUNCTION("""COMPUTED_VALUE"""),9937879342)</f>
        <v>9937879342</v>
      </c>
      <c r="E910" s="6" t="str">
        <f ca="1">IFERROR(__xludf.DUMMYFUNCTION("""COMPUTED_VALUE"""),"Reference")</f>
        <v>Reference</v>
      </c>
      <c r="F910" s="6" t="str">
        <f ca="1">IFERROR(__xludf.DUMMYFUNCTION("""COMPUTED_VALUE"""),"PMP")</f>
        <v>PMP</v>
      </c>
      <c r="G910" s="80">
        <f ca="1">IFERROR(__xludf.DUMMYFUNCTION("""COMPUTED_VALUE"""),44621)</f>
        <v>44621</v>
      </c>
      <c r="H910" s="6" t="str">
        <f ca="1">IFERROR(__xludf.DUMMYFUNCTION("""COMPUTED_VALUE"""),"Won")</f>
        <v>Won</v>
      </c>
      <c r="I910" s="6" t="str">
        <f ca="1">IFERROR(__xludf.DUMMYFUNCTION("""COMPUTED_VALUE"""),"12 March 2022")</f>
        <v>12 March 2022</v>
      </c>
      <c r="J910" s="6">
        <f ca="1">IFERROR(__xludf.DUMMYFUNCTION("""COMPUTED_VALUE"""),1)</f>
        <v>1</v>
      </c>
      <c r="K910" s="8">
        <f ca="1">IFERROR(__xludf.DUMMYFUNCTION("""COMPUTED_VALUE"""),11000)</f>
        <v>11000</v>
      </c>
      <c r="L910" s="8">
        <f ca="1">IFERROR(__xludf.DUMMYFUNCTION("""COMPUTED_VALUE"""),125.973431058176)</f>
        <v>125.973431058176</v>
      </c>
      <c r="M910" s="96">
        <f ca="1">IFERROR(__xludf.DUMMYFUNCTION("""COMPUTED_VALUE"""),44627)</f>
        <v>44627</v>
      </c>
      <c r="N910" s="6" t="str">
        <f ca="1">IFERROR(__xludf.DUMMYFUNCTION("""COMPUTED_VALUE"""),"F10")</f>
        <v>F10</v>
      </c>
      <c r="O910" s="97">
        <f ca="1">IFERROR(__xludf.DUMMYFUNCTION("""COMPUTED_VALUE"""),44627)</f>
        <v>44627</v>
      </c>
      <c r="P910" s="6" t="str">
        <f ca="1">IFERROR(__xludf.DUMMYFUNCTION("""COMPUTED_VALUE"""),"CSTM_GDQ7EJ97NON")</f>
        <v>CSTM_GDQ7EJ97NON</v>
      </c>
      <c r="Q910" s="6" t="str">
        <f ca="1">IFERROR(__xludf.DUMMYFUNCTION("""COMPUTED_VALUE"""),"Pragya K - Order Amount less")</f>
        <v>Pragya K - Order Amount less</v>
      </c>
      <c r="R910" s="6" t="str">
        <f ca="1">IFERROR(__xludf.DUMMYFUNCTION("""COMPUTED_VALUE"""),"Pending")</f>
        <v>Pending</v>
      </c>
      <c r="S910" s="6" t="str">
        <f ca="1">IFERROR(__xludf.DUMMYFUNCTION("""COMPUTED_VALUE"""),"NonCategory")</f>
        <v>NonCategory</v>
      </c>
      <c r="T910" s="6"/>
      <c r="U910" s="6"/>
      <c r="V910" s="6"/>
      <c r="W910" s="6"/>
      <c r="X910" s="6"/>
      <c r="Y910" s="6"/>
      <c r="Z910" s="6"/>
      <c r="AA910" s="6"/>
      <c r="AB910" s="6"/>
      <c r="AC910" s="6"/>
      <c r="AD910" s="6"/>
      <c r="AE910" s="6"/>
      <c r="AF910" s="6"/>
      <c r="AG910" s="6"/>
      <c r="AH910" s="6"/>
      <c r="AI910" s="6"/>
      <c r="AJ910" s="6"/>
      <c r="AK910" s="6"/>
      <c r="AL910" s="6"/>
    </row>
    <row r="911" spans="1:38">
      <c r="A911" s="96">
        <f ca="1">IFERROR(__xludf.DUMMYFUNCTION("""COMPUTED_VALUE"""),44627)</f>
        <v>44627</v>
      </c>
      <c r="B911" s="6" t="str">
        <f ca="1">IFERROR(__xludf.DUMMYFUNCTION("""COMPUTED_VALUE"""),"Ryhana")</f>
        <v>Ryhana</v>
      </c>
      <c r="C911" s="6" t="str">
        <f ca="1">IFERROR(__xludf.DUMMYFUNCTION("""COMPUTED_VALUE"""),"bindushajudeen@gmail.com")</f>
        <v>bindushajudeen@gmail.com</v>
      </c>
      <c r="D911" s="6">
        <f ca="1">IFERROR(__xludf.DUMMYFUNCTION("""COMPUTED_VALUE"""),9847150348)</f>
        <v>9847150348</v>
      </c>
      <c r="E911" s="6" t="str">
        <f ca="1">IFERROR(__xludf.DUMMYFUNCTION("""COMPUTED_VALUE"""),"Reference")</f>
        <v>Reference</v>
      </c>
      <c r="F911" s="6" t="str">
        <f ca="1">IFERROR(__xludf.DUMMYFUNCTION("""COMPUTED_VALUE"""),"CSPO")</f>
        <v>CSPO</v>
      </c>
      <c r="G911" s="80">
        <f ca="1">IFERROR(__xludf.DUMMYFUNCTION("""COMPUTED_VALUE"""),44621)</f>
        <v>44621</v>
      </c>
      <c r="H911" s="6" t="str">
        <f ca="1">IFERROR(__xludf.DUMMYFUNCTION("""COMPUTED_VALUE"""),"Won")</f>
        <v>Won</v>
      </c>
      <c r="I911" s="6" t="str">
        <f ca="1">IFERROR(__xludf.DUMMYFUNCTION("""COMPUTED_VALUE"""),"9-10 March 2022")</f>
        <v>9-10 March 2022</v>
      </c>
      <c r="J911" s="6">
        <f ca="1">IFERROR(__xludf.DUMMYFUNCTION("""COMPUTED_VALUE"""),1)</f>
        <v>1</v>
      </c>
      <c r="K911" s="8">
        <f ca="1">IFERROR(__xludf.DUMMYFUNCTION("""COMPUTED_VALUE"""),20000)</f>
        <v>20000</v>
      </c>
      <c r="L911" s="8">
        <f ca="1">IFERROR(__xludf.DUMMYFUNCTION("""COMPUTED_VALUE"""),229.042601923957)</f>
        <v>229.04260192395699</v>
      </c>
      <c r="M911" s="96">
        <f ca="1">IFERROR(__xludf.DUMMYFUNCTION("""COMPUTED_VALUE"""),44627)</f>
        <v>44627</v>
      </c>
      <c r="N911" s="6" t="str">
        <f ca="1">IFERROR(__xludf.DUMMYFUNCTION("""COMPUTED_VALUE"""),"F10")</f>
        <v>F10</v>
      </c>
      <c r="O911" s="97">
        <f ca="1">IFERROR(__xludf.DUMMYFUNCTION("""COMPUTED_VALUE"""),44627)</f>
        <v>44627</v>
      </c>
      <c r="P911" s="6" t="str">
        <f ca="1">IFERROR(__xludf.DUMMYFUNCTION("""COMPUTED_VALUE"""),"CSTM_26L7EYK537K")</f>
        <v>CSTM_26L7EYK537K</v>
      </c>
      <c r="Q911" s="6" t="str">
        <f ca="1">IFERROR(__xludf.DUMMYFUNCTION("""COMPUTED_VALUE"""),"Aruko - Done")</f>
        <v>Aruko - Done</v>
      </c>
      <c r="R911" s="6" t="str">
        <f ca="1">IFERROR(__xludf.DUMMYFUNCTION("""COMPUTED_VALUE"""),"Pending")</f>
        <v>Pending</v>
      </c>
      <c r="S911" s="6" t="str">
        <f ca="1">IFERROR(__xludf.DUMMYFUNCTION("""COMPUTED_VALUE"""),"Category")</f>
        <v>Category</v>
      </c>
      <c r="T911" s="6" t="str">
        <f ca="1">IFERROR(__xludf.DUMMYFUNCTION("""COMPUTED_VALUE"""),"Done")</f>
        <v>Done</v>
      </c>
      <c r="U911" s="6"/>
      <c r="V911" s="6"/>
      <c r="W911" s="6"/>
      <c r="X911" s="6"/>
      <c r="Y911" s="6"/>
      <c r="Z911" s="6"/>
      <c r="AA911" s="6"/>
      <c r="AB911" s="6"/>
      <c r="AC911" s="6"/>
      <c r="AD911" s="6"/>
      <c r="AE911" s="6"/>
      <c r="AF911" s="6"/>
      <c r="AG911" s="6"/>
      <c r="AH911" s="6"/>
      <c r="AI911" s="6"/>
      <c r="AJ911" s="6"/>
      <c r="AK911" s="6"/>
      <c r="AL911" s="6"/>
    </row>
    <row r="912" spans="1:38">
      <c r="A912" s="96">
        <f ca="1">IFERROR(__xludf.DUMMYFUNCTION("""COMPUTED_VALUE"""),44629)</f>
        <v>44629</v>
      </c>
      <c r="B912" s="6" t="str">
        <f ca="1">IFERROR(__xludf.DUMMYFUNCTION("""COMPUTED_VALUE"""),"Tejaswini Kasina")</f>
        <v>Tejaswini Kasina</v>
      </c>
      <c r="C912" s="6" t="str">
        <f ca="1">IFERROR(__xludf.DUMMYFUNCTION("""COMPUTED_VALUE"""),"kasinatejaswini@gmail.com")</f>
        <v>kasinatejaswini@gmail.com</v>
      </c>
      <c r="D912" s="6">
        <f ca="1">IFERROR(__xludf.DUMMYFUNCTION("""COMPUTED_VALUE"""),8985352264)</f>
        <v>8985352264</v>
      </c>
      <c r="E912" s="6" t="str">
        <f ca="1">IFERROR(__xludf.DUMMYFUNCTION("""COMPUTED_VALUE"""),"Reference")</f>
        <v>Reference</v>
      </c>
      <c r="F912" s="6" t="str">
        <f ca="1">IFERROR(__xludf.DUMMYFUNCTION("""COMPUTED_VALUE"""),"PSM")</f>
        <v>PSM</v>
      </c>
      <c r="G912" s="80">
        <f ca="1">IFERROR(__xludf.DUMMYFUNCTION("""COMPUTED_VALUE"""),44621)</f>
        <v>44621</v>
      </c>
      <c r="H912" s="6" t="str">
        <f ca="1">IFERROR(__xludf.DUMMYFUNCTION("""COMPUTED_VALUE"""),"Won")</f>
        <v>Won</v>
      </c>
      <c r="I912" s="6" t="str">
        <f ca="1">IFERROR(__xludf.DUMMYFUNCTION("""COMPUTED_VALUE"""),"12-13 March 2022")</f>
        <v>12-13 March 2022</v>
      </c>
      <c r="J912" s="6">
        <f ca="1">IFERROR(__xludf.DUMMYFUNCTION("""COMPUTED_VALUE"""),1)</f>
        <v>1</v>
      </c>
      <c r="K912" s="8">
        <f ca="1">IFERROR(__xludf.DUMMYFUNCTION("""COMPUTED_VALUE"""),21000)</f>
        <v>21000</v>
      </c>
      <c r="L912" s="8">
        <f ca="1">IFERROR(__xludf.DUMMYFUNCTION("""COMPUTED_VALUE"""),240.494732020155)</f>
        <v>240.494732020155</v>
      </c>
      <c r="M912" s="96">
        <f ca="1">IFERROR(__xludf.DUMMYFUNCTION("""COMPUTED_VALUE"""),44629)</f>
        <v>44629</v>
      </c>
      <c r="N912" s="6" t="str">
        <f ca="1">IFERROR(__xludf.DUMMYFUNCTION("""COMPUTED_VALUE"""),"F10")</f>
        <v>F10</v>
      </c>
      <c r="O912" s="97">
        <f ca="1">IFERROR(__xludf.DUMMYFUNCTION("""COMPUTED_VALUE"""),44629)</f>
        <v>44629</v>
      </c>
      <c r="P912" s="6" t="str">
        <f ca="1">IFERROR(__xludf.DUMMYFUNCTION("""COMPUTED_VALUE"""),"CSTM_7FR7IQ97GWU")</f>
        <v>CSTM_7FR7IQ97GWU</v>
      </c>
      <c r="Q912" s="6" t="str">
        <f ca="1">IFERROR(__xludf.DUMMYFUNCTION("""COMPUTED_VALUE"""),"Reference by tej.lalge@gmail.com")</f>
        <v>Reference by tej.lalge@gmail.com</v>
      </c>
      <c r="R912" s="6" t="str">
        <f ca="1">IFERROR(__xludf.DUMMYFUNCTION("""COMPUTED_VALUE"""),"Pending")</f>
        <v>Pending</v>
      </c>
      <c r="S912" s="6" t="str">
        <f ca="1">IFERROR(__xludf.DUMMYFUNCTION("""COMPUTED_VALUE"""),"Category")</f>
        <v>Category</v>
      </c>
      <c r="T912" s="6"/>
      <c r="U912" s="6"/>
      <c r="V912" s="6"/>
      <c r="W912" s="6"/>
      <c r="X912" s="6"/>
      <c r="Y912" s="6"/>
      <c r="Z912" s="6"/>
      <c r="AA912" s="6"/>
      <c r="AB912" s="6"/>
      <c r="AC912" s="6"/>
      <c r="AD912" s="6"/>
      <c r="AE912" s="6"/>
      <c r="AF912" s="6"/>
      <c r="AG912" s="6"/>
      <c r="AH912" s="6"/>
      <c r="AI912" s="6"/>
      <c r="AJ912" s="6"/>
      <c r="AK912" s="6"/>
      <c r="AL912" s="6"/>
    </row>
    <row r="913" spans="1:38">
      <c r="A913" s="96">
        <f ca="1">IFERROR(__xludf.DUMMYFUNCTION("""COMPUTED_VALUE"""),44630)</f>
        <v>44630</v>
      </c>
      <c r="B913" s="6" t="str">
        <f ca="1">IFERROR(__xludf.DUMMYFUNCTION("""COMPUTED_VALUE"""),"Smita")</f>
        <v>Smita</v>
      </c>
      <c r="C913" s="6" t="str">
        <f ca="1">IFERROR(__xludf.DUMMYFUNCTION("""COMPUTED_VALUE"""),"smita.career01@gmail.com")</f>
        <v>smita.career01@gmail.com</v>
      </c>
      <c r="D913" s="6">
        <f ca="1">IFERROR(__xludf.DUMMYFUNCTION("""COMPUTED_VALUE"""),7875215873)</f>
        <v>7875215873</v>
      </c>
      <c r="E913" s="6" t="str">
        <f ca="1">IFERROR(__xludf.DUMMYFUNCTION("""COMPUTED_VALUE"""),"Existing Account")</f>
        <v>Existing Account</v>
      </c>
      <c r="F913" s="6" t="str">
        <f ca="1">IFERROR(__xludf.DUMMYFUNCTION("""COMPUTED_VALUE"""),"CSPO")</f>
        <v>CSPO</v>
      </c>
      <c r="G913" s="80">
        <f ca="1">IFERROR(__xludf.DUMMYFUNCTION("""COMPUTED_VALUE"""),44621)</f>
        <v>44621</v>
      </c>
      <c r="H913" s="6" t="str">
        <f ca="1">IFERROR(__xludf.DUMMYFUNCTION("""COMPUTED_VALUE"""),"Won")</f>
        <v>Won</v>
      </c>
      <c r="I913" s="6" t="str">
        <f ca="1">IFERROR(__xludf.DUMMYFUNCTION("""COMPUTED_VALUE"""),"12-13 March 2022")</f>
        <v>12-13 March 2022</v>
      </c>
      <c r="J913" s="6">
        <f ca="1">IFERROR(__xludf.DUMMYFUNCTION("""COMPUTED_VALUE"""),1)</f>
        <v>1</v>
      </c>
      <c r="K913" s="8">
        <f ca="1">IFERROR(__xludf.DUMMYFUNCTION("""COMPUTED_VALUE"""),20000)</f>
        <v>20000</v>
      </c>
      <c r="L913" s="8">
        <f ca="1">IFERROR(__xludf.DUMMYFUNCTION("""COMPUTED_VALUE"""),229.042601923957)</f>
        <v>229.04260192395699</v>
      </c>
      <c r="M913" s="96">
        <f ca="1">IFERROR(__xludf.DUMMYFUNCTION("""COMPUTED_VALUE"""),44630)</f>
        <v>44630</v>
      </c>
      <c r="N913" s="6" t="str">
        <f ca="1">IFERROR(__xludf.DUMMYFUNCTION("""COMPUTED_VALUE"""),"F10")</f>
        <v>F10</v>
      </c>
      <c r="O913" s="97">
        <f ca="1">IFERROR(__xludf.DUMMYFUNCTION("""COMPUTED_VALUE"""),44630)</f>
        <v>44630</v>
      </c>
      <c r="P913" s="6" t="str">
        <f ca="1">IFERROR(__xludf.DUMMYFUNCTION("""COMPUTED_VALUE"""),"CSTM_2R1FL8IYBSU")</f>
        <v>CSTM_2R1FL8IYBSU</v>
      </c>
      <c r="Q913" s="6"/>
      <c r="R913" s="6" t="str">
        <f ca="1">IFERROR(__xludf.DUMMYFUNCTION("""COMPUTED_VALUE"""),"Pending")</f>
        <v>Pending</v>
      </c>
      <c r="S913" s="6" t="str">
        <f ca="1">IFERROR(__xludf.DUMMYFUNCTION("""COMPUTED_VALUE"""),"Category")</f>
        <v>Category</v>
      </c>
      <c r="T913" s="6"/>
      <c r="U913" s="6"/>
      <c r="V913" s="6"/>
      <c r="W913" s="6"/>
      <c r="X913" s="6"/>
      <c r="Y913" s="6"/>
      <c r="Z913" s="6"/>
      <c r="AA913" s="6"/>
      <c r="AB913" s="6"/>
      <c r="AC913" s="6"/>
      <c r="AD913" s="6"/>
      <c r="AE913" s="6"/>
      <c r="AF913" s="6"/>
      <c r="AG913" s="6"/>
      <c r="AH913" s="6"/>
      <c r="AI913" s="6"/>
      <c r="AJ913" s="6"/>
      <c r="AK913" s="6"/>
      <c r="AL913" s="6"/>
    </row>
    <row r="914" spans="1:38">
      <c r="A914" s="96">
        <f ca="1">IFERROR(__xludf.DUMMYFUNCTION("""COMPUTED_VALUE"""),44631)</f>
        <v>44631</v>
      </c>
      <c r="B914" s="6" t="str">
        <f ca="1">IFERROR(__xludf.DUMMYFUNCTION("""COMPUTED_VALUE"""),"Krati Latoriya")</f>
        <v>Krati Latoriya</v>
      </c>
      <c r="C914" s="6" t="str">
        <f ca="1">IFERROR(__xludf.DUMMYFUNCTION("""COMPUTED_VALUE"""),"krati.latoriya@gmail.com")</f>
        <v>krati.latoriya@gmail.com</v>
      </c>
      <c r="D914" s="6">
        <f ca="1">IFERROR(__xludf.DUMMYFUNCTION("""COMPUTED_VALUE"""),7000608130)</f>
        <v>7000608130</v>
      </c>
      <c r="E914" s="6" t="str">
        <f ca="1">IFERROR(__xludf.DUMMYFUNCTION("""COMPUTED_VALUE"""),"Chat_triggered")</f>
        <v>Chat_triggered</v>
      </c>
      <c r="F914" s="6" t="str">
        <f ca="1">IFERROR(__xludf.DUMMYFUNCTION("""COMPUTED_VALUE"""),"PSM")</f>
        <v>PSM</v>
      </c>
      <c r="G914" s="80">
        <f ca="1">IFERROR(__xludf.DUMMYFUNCTION("""COMPUTED_VALUE"""),44621)</f>
        <v>44621</v>
      </c>
      <c r="H914" s="6" t="str">
        <f ca="1">IFERROR(__xludf.DUMMYFUNCTION("""COMPUTED_VALUE"""),"Won")</f>
        <v>Won</v>
      </c>
      <c r="I914" s="6" t="str">
        <f ca="1">IFERROR(__xludf.DUMMYFUNCTION("""COMPUTED_VALUE"""),"12-13 March 2022")</f>
        <v>12-13 March 2022</v>
      </c>
      <c r="J914" s="6">
        <f ca="1">IFERROR(__xludf.DUMMYFUNCTION("""COMPUTED_VALUE"""),1)</f>
        <v>1</v>
      </c>
      <c r="K914" s="8">
        <f ca="1">IFERROR(__xludf.DUMMYFUNCTION("""COMPUTED_VALUE"""),20500)</f>
        <v>20500</v>
      </c>
      <c r="L914" s="8">
        <f ca="1">IFERROR(__xludf.DUMMYFUNCTION("""COMPUTED_VALUE"""),234.768666972056)</f>
        <v>234.768666972056</v>
      </c>
      <c r="M914" s="96">
        <f ca="1">IFERROR(__xludf.DUMMYFUNCTION("""COMPUTED_VALUE"""),44631)</f>
        <v>44631</v>
      </c>
      <c r="N914" s="6" t="str">
        <f ca="1">IFERROR(__xludf.DUMMYFUNCTION("""COMPUTED_VALUE"""),"S10")</f>
        <v>S10</v>
      </c>
      <c r="O914" s="97">
        <f ca="1">IFERROR(__xludf.DUMMYFUNCTION("""COMPUTED_VALUE"""),44631)</f>
        <v>44631</v>
      </c>
      <c r="P914" s="6" t="str">
        <f ca="1">IFERROR(__xludf.DUMMYFUNCTION("""COMPUTED_VALUE"""),"CSTM_D20SVZK4ALS")</f>
        <v>CSTM_D20SVZK4ALS</v>
      </c>
      <c r="Q914" s="6"/>
      <c r="R914" s="6" t="str">
        <f ca="1">IFERROR(__xludf.DUMMYFUNCTION("""COMPUTED_VALUE"""),"Pending")</f>
        <v>Pending</v>
      </c>
      <c r="S914" s="6" t="str">
        <f ca="1">IFERROR(__xludf.DUMMYFUNCTION("""COMPUTED_VALUE"""),"Category")</f>
        <v>Category</v>
      </c>
      <c r="T914" s="6"/>
      <c r="U914" s="6"/>
      <c r="V914" s="6"/>
      <c r="W914" s="6"/>
      <c r="X914" s="6"/>
      <c r="Y914" s="6"/>
      <c r="Z914" s="6"/>
      <c r="AA914" s="6"/>
      <c r="AB914" s="6"/>
      <c r="AC914" s="6"/>
      <c r="AD914" s="6"/>
      <c r="AE914" s="6"/>
      <c r="AF914" s="6"/>
      <c r="AG914" s="6"/>
      <c r="AH914" s="6"/>
      <c r="AI914" s="6"/>
      <c r="AJ914" s="6"/>
      <c r="AK914" s="6"/>
      <c r="AL914" s="6"/>
    </row>
    <row r="915" spans="1:38">
      <c r="A915" s="96">
        <f ca="1">IFERROR(__xludf.DUMMYFUNCTION("""COMPUTED_VALUE"""),44632)</f>
        <v>44632</v>
      </c>
      <c r="B915" s="6" t="str">
        <f ca="1">IFERROR(__xludf.DUMMYFUNCTION("""COMPUTED_VALUE"""),"Priyanka Engineer")</f>
        <v>Priyanka Engineer</v>
      </c>
      <c r="C915" s="6" t="str">
        <f ca="1">IFERROR(__xludf.DUMMYFUNCTION("""COMPUTED_VALUE"""),"engineer.priyanka7@gmail.com")</f>
        <v>engineer.priyanka7@gmail.com</v>
      </c>
      <c r="D915" s="6">
        <f ca="1">IFERROR(__xludf.DUMMYFUNCTION("""COMPUTED_VALUE"""),9742825093)</f>
        <v>9742825093</v>
      </c>
      <c r="E915" s="6" t="str">
        <f ca="1">IFERROR(__xludf.DUMMYFUNCTION("""COMPUTED_VALUE"""),"Tollfree")</f>
        <v>Tollfree</v>
      </c>
      <c r="F915" s="6" t="str">
        <f ca="1">IFERROR(__xludf.DUMMYFUNCTION("""COMPUTED_VALUE"""),"PSM")</f>
        <v>PSM</v>
      </c>
      <c r="G915" s="80">
        <f ca="1">IFERROR(__xludf.DUMMYFUNCTION("""COMPUTED_VALUE"""),44621)</f>
        <v>44621</v>
      </c>
      <c r="H915" s="6" t="str">
        <f ca="1">IFERROR(__xludf.DUMMYFUNCTION("""COMPUTED_VALUE"""),"Won")</f>
        <v>Won</v>
      </c>
      <c r="I915" s="6" t="str">
        <f ca="1">IFERROR(__xludf.DUMMYFUNCTION("""COMPUTED_VALUE"""),"26-27 March 2022")</f>
        <v>26-27 March 2022</v>
      </c>
      <c r="J915" s="6">
        <f ca="1">IFERROR(__xludf.DUMMYFUNCTION("""COMPUTED_VALUE"""),1)</f>
        <v>1</v>
      </c>
      <c r="K915" s="8">
        <f ca="1">IFERROR(__xludf.DUMMYFUNCTION("""COMPUTED_VALUE"""),21000)</f>
        <v>21000</v>
      </c>
      <c r="L915" s="8">
        <f ca="1">IFERROR(__xludf.DUMMYFUNCTION("""COMPUTED_VALUE"""),240.494732020155)</f>
        <v>240.494732020155</v>
      </c>
      <c r="M915" s="96">
        <f ca="1">IFERROR(__xludf.DUMMYFUNCTION("""COMPUTED_VALUE"""),44632)</f>
        <v>44632</v>
      </c>
      <c r="N915" s="6" t="str">
        <f ca="1">IFERROR(__xludf.DUMMYFUNCTION("""COMPUTED_VALUE"""),"S10")</f>
        <v>S10</v>
      </c>
      <c r="O915" s="97">
        <f ca="1">IFERROR(__xludf.DUMMYFUNCTION("""COMPUTED_VALUE"""),44632)</f>
        <v>44632</v>
      </c>
      <c r="P915" s="6" t="str">
        <f ca="1">IFERROR(__xludf.DUMMYFUNCTION("""COMPUTED_VALUE"""),"CSTM_3L26ZKQZK3V")</f>
        <v>CSTM_3L26ZKQZK3V</v>
      </c>
      <c r="Q915" s="6"/>
      <c r="R915" s="6" t="str">
        <f ca="1">IFERROR(__xludf.DUMMYFUNCTION("""COMPUTED_VALUE"""),"Done. Good feedback.")</f>
        <v>Done. Good feedback.</v>
      </c>
      <c r="S915" s="6" t="str">
        <f ca="1">IFERROR(__xludf.DUMMYFUNCTION("""COMPUTED_VALUE"""),"Category")</f>
        <v>Category</v>
      </c>
      <c r="T915" s="6"/>
      <c r="U915" s="6"/>
      <c r="V915" s="6"/>
      <c r="W915" s="6"/>
      <c r="X915" s="6"/>
      <c r="Y915" s="6"/>
      <c r="Z915" s="6"/>
      <c r="AA915" s="6"/>
      <c r="AB915" s="6"/>
      <c r="AC915" s="6"/>
      <c r="AD915" s="6"/>
      <c r="AE915" s="6"/>
      <c r="AF915" s="6"/>
      <c r="AG915" s="6"/>
      <c r="AH915" s="6"/>
      <c r="AI915" s="6"/>
      <c r="AJ915" s="6"/>
      <c r="AK915" s="6"/>
      <c r="AL915" s="6"/>
    </row>
    <row r="916" spans="1:38">
      <c r="A916" s="96">
        <f ca="1">IFERROR(__xludf.DUMMYFUNCTION("""COMPUTED_VALUE"""),44632)</f>
        <v>44632</v>
      </c>
      <c r="B916" s="6" t="str">
        <f ca="1">IFERROR(__xludf.DUMMYFUNCTION("""COMPUTED_VALUE"""),"Akhya")</f>
        <v>Akhya</v>
      </c>
      <c r="C916" s="6" t="str">
        <f ca="1">IFERROR(__xludf.DUMMYFUNCTION("""COMPUTED_VALUE"""),"akhya.timon@gmail.com")</f>
        <v>akhya.timon@gmail.com</v>
      </c>
      <c r="D916" s="6">
        <f ca="1">IFERROR(__xludf.DUMMYFUNCTION("""COMPUTED_VALUE"""),9538733445)</f>
        <v>9538733445</v>
      </c>
      <c r="E916" s="6" t="str">
        <f ca="1">IFERROR(__xludf.DUMMYFUNCTION("""COMPUTED_VALUE"""),"na-payment")</f>
        <v>na-payment</v>
      </c>
      <c r="F916" s="6" t="str">
        <f ca="1">IFERROR(__xludf.DUMMYFUNCTION("""COMPUTED_VALUE"""),"CSM")</f>
        <v>CSM</v>
      </c>
      <c r="G916" s="80">
        <f ca="1">IFERROR(__xludf.DUMMYFUNCTION("""COMPUTED_VALUE"""),44621)</f>
        <v>44621</v>
      </c>
      <c r="H916" s="6" t="str">
        <f ca="1">IFERROR(__xludf.DUMMYFUNCTION("""COMPUTED_VALUE"""),"Won")</f>
        <v>Won</v>
      </c>
      <c r="I916" s="6" t="str">
        <f ca="1">IFERROR(__xludf.DUMMYFUNCTION("""COMPUTED_VALUE"""),"4-5 April 2022")</f>
        <v>4-5 April 2022</v>
      </c>
      <c r="J916" s="6">
        <f ca="1">IFERROR(__xludf.DUMMYFUNCTION("""COMPUTED_VALUE"""),1)</f>
        <v>1</v>
      </c>
      <c r="K916" s="8">
        <f ca="1">IFERROR(__xludf.DUMMYFUNCTION("""COMPUTED_VALUE"""),20000)</f>
        <v>20000</v>
      </c>
      <c r="L916" s="8">
        <f ca="1">IFERROR(__xludf.DUMMYFUNCTION("""COMPUTED_VALUE"""),229.042601923957)</f>
        <v>229.04260192395699</v>
      </c>
      <c r="M916" s="96">
        <f ca="1">IFERROR(__xludf.DUMMYFUNCTION("""COMPUTED_VALUE"""),44632)</f>
        <v>44632</v>
      </c>
      <c r="N916" s="6" t="str">
        <f ca="1">IFERROR(__xludf.DUMMYFUNCTION("""COMPUTED_VALUE"""),"S10")</f>
        <v>S10</v>
      </c>
      <c r="O916" s="97">
        <f ca="1">IFERROR(__xludf.DUMMYFUNCTION("""COMPUTED_VALUE"""),44632)</f>
        <v>44632</v>
      </c>
      <c r="P916" s="6" t="str">
        <f ca="1">IFERROR(__xludf.DUMMYFUNCTION("""COMPUTED_VALUE"""),"CSTM_IJYVYVXCNZP")</f>
        <v>CSTM_IJYVYVXCNZP</v>
      </c>
      <c r="Q916" s="6"/>
      <c r="R916" s="6" t="str">
        <f ca="1">IFERROR(__xludf.DUMMYFUNCTION("""COMPUTED_VALUE"""),"Pending")</f>
        <v>Pending</v>
      </c>
      <c r="S916" s="6" t="str">
        <f ca="1">IFERROR(__xludf.DUMMYFUNCTION("""COMPUTED_VALUE"""),"Category")</f>
        <v>Category</v>
      </c>
      <c r="T916" s="6"/>
      <c r="U916" s="6"/>
      <c r="V916" s="6"/>
      <c r="W916" s="6"/>
      <c r="X916" s="6"/>
      <c r="Y916" s="6"/>
      <c r="Z916" s="6"/>
      <c r="AA916" s="6"/>
      <c r="AB916" s="6"/>
      <c r="AC916" s="6"/>
      <c r="AD916" s="6"/>
      <c r="AE916" s="6"/>
      <c r="AF916" s="6"/>
      <c r="AG916" s="6"/>
      <c r="AH916" s="6"/>
      <c r="AI916" s="6"/>
      <c r="AJ916" s="6"/>
      <c r="AK916" s="6"/>
      <c r="AL916" s="6"/>
    </row>
    <row r="917" spans="1:38">
      <c r="A917" s="96">
        <f ca="1">IFERROR(__xludf.DUMMYFUNCTION("""COMPUTED_VALUE"""),44634)</f>
        <v>44634</v>
      </c>
      <c r="B917" s="6" t="str">
        <f ca="1">IFERROR(__xludf.DUMMYFUNCTION("""COMPUTED_VALUE"""),"Deepti Anbarasu")</f>
        <v>Deepti Anbarasu</v>
      </c>
      <c r="C917" s="6" t="str">
        <f ca="1">IFERROR(__xludf.DUMMYFUNCTION("""COMPUTED_VALUE"""),"deepti277@gmail.com")</f>
        <v>deepti277@gmail.com</v>
      </c>
      <c r="D917" s="6">
        <f ca="1">IFERROR(__xludf.DUMMYFUNCTION("""COMPUTED_VALUE"""),7338605552)</f>
        <v>7338605552</v>
      </c>
      <c r="E917" s="6" t="str">
        <f ca="1">IFERROR(__xludf.DUMMYFUNCTION("""COMPUTED_VALUE"""),"Query box")</f>
        <v>Query box</v>
      </c>
      <c r="F917" s="6" t="str">
        <f ca="1">IFERROR(__xludf.DUMMYFUNCTION("""COMPUTED_VALUE"""),"SAFe Agile")</f>
        <v>SAFe Agile</v>
      </c>
      <c r="G917" s="80">
        <f ca="1">IFERROR(__xludf.DUMMYFUNCTION("""COMPUTED_VALUE"""),44621)</f>
        <v>44621</v>
      </c>
      <c r="H917" s="6" t="str">
        <f ca="1">IFERROR(__xludf.DUMMYFUNCTION("""COMPUTED_VALUE"""),"Won")</f>
        <v>Won</v>
      </c>
      <c r="I917" s="6" t="str">
        <f ca="1">IFERROR(__xludf.DUMMYFUNCTION("""COMPUTED_VALUE"""),"19-20 March 2022")</f>
        <v>19-20 March 2022</v>
      </c>
      <c r="J917" s="6">
        <f ca="1">IFERROR(__xludf.DUMMYFUNCTION("""COMPUTED_VALUE"""),1)</f>
        <v>1</v>
      </c>
      <c r="K917" s="8">
        <f ca="1">IFERROR(__xludf.DUMMYFUNCTION("""COMPUTED_VALUE"""),42000)</f>
        <v>42000</v>
      </c>
      <c r="L917" s="8">
        <f ca="1">IFERROR(__xludf.DUMMYFUNCTION("""COMPUTED_VALUE"""),480.989464040311)</f>
        <v>480.98946404031102</v>
      </c>
      <c r="M917" s="96">
        <f ca="1">IFERROR(__xludf.DUMMYFUNCTION("""COMPUTED_VALUE"""),44634)</f>
        <v>44634</v>
      </c>
      <c r="N917" s="6" t="str">
        <f ca="1">IFERROR(__xludf.DUMMYFUNCTION("""COMPUTED_VALUE"""),"S10")</f>
        <v>S10</v>
      </c>
      <c r="O917" s="97">
        <f ca="1">IFERROR(__xludf.DUMMYFUNCTION("""COMPUTED_VALUE"""),44634)</f>
        <v>44634</v>
      </c>
      <c r="P917" s="6" t="str">
        <f ca="1">IFERROR(__xludf.DUMMYFUNCTION("""COMPUTED_VALUE"""),"CSTM_J4ATSYU6FAL")</f>
        <v>CSTM_J4ATSYU6FAL</v>
      </c>
      <c r="Q917" s="6"/>
      <c r="R917" s="6" t="str">
        <f ca="1">IFERROR(__xludf.DUMMYFUNCTION("""COMPUTED_VALUE"""),"Pending")</f>
        <v>Pending</v>
      </c>
      <c r="S917" s="6" t="str">
        <f ca="1">IFERROR(__xludf.DUMMYFUNCTION("""COMPUTED_VALUE"""),"SAFe")</f>
        <v>SAFe</v>
      </c>
      <c r="T917" s="6"/>
      <c r="U917" s="6"/>
      <c r="V917" s="6"/>
      <c r="W917" s="6"/>
      <c r="X917" s="6"/>
      <c r="Y917" s="6"/>
      <c r="Z917" s="6"/>
      <c r="AA917" s="6"/>
      <c r="AB917" s="6"/>
      <c r="AC917" s="6"/>
      <c r="AD917" s="6"/>
      <c r="AE917" s="6"/>
      <c r="AF917" s="6"/>
      <c r="AG917" s="6"/>
      <c r="AH917" s="6"/>
      <c r="AI917" s="6"/>
      <c r="AJ917" s="6"/>
      <c r="AK917" s="6"/>
      <c r="AL917" s="6"/>
    </row>
    <row r="918" spans="1:38">
      <c r="A918" s="96">
        <f ca="1">IFERROR(__xludf.DUMMYFUNCTION("""COMPUTED_VALUE"""),44634)</f>
        <v>44634</v>
      </c>
      <c r="B918" s="6" t="str">
        <f ca="1">IFERROR(__xludf.DUMMYFUNCTION("""COMPUTED_VALUE"""),"John Rose")</f>
        <v>John Rose</v>
      </c>
      <c r="C918" s="6" t="str">
        <f ca="1">IFERROR(__xludf.DUMMYFUNCTION("""COMPUTED_VALUE"""),"johnrose.g@gmail.com")</f>
        <v>johnrose.g@gmail.com</v>
      </c>
      <c r="D918" s="6">
        <f ca="1">IFERROR(__xludf.DUMMYFUNCTION("""COMPUTED_VALUE"""),9789035212)</f>
        <v>9789035212</v>
      </c>
      <c r="E918" s="6" t="str">
        <f ca="1">IFERROR(__xludf.DUMMYFUNCTION("""COMPUTED_VALUE"""),"Query box")</f>
        <v>Query box</v>
      </c>
      <c r="F918" s="6" t="str">
        <f ca="1">IFERROR(__xludf.DUMMYFUNCTION("""COMPUTED_VALUE"""),"PSM")</f>
        <v>PSM</v>
      </c>
      <c r="G918" s="80">
        <f ca="1">IFERROR(__xludf.DUMMYFUNCTION("""COMPUTED_VALUE"""),44621)</f>
        <v>44621</v>
      </c>
      <c r="H918" s="6" t="str">
        <f ca="1">IFERROR(__xludf.DUMMYFUNCTION("""COMPUTED_VALUE"""),"Won")</f>
        <v>Won</v>
      </c>
      <c r="I918" s="6" t="str">
        <f ca="1">IFERROR(__xludf.DUMMYFUNCTION("""COMPUTED_VALUE"""),"26-27 March 2022")</f>
        <v>26-27 March 2022</v>
      </c>
      <c r="J918" s="6">
        <f ca="1">IFERROR(__xludf.DUMMYFUNCTION("""COMPUTED_VALUE"""),1)</f>
        <v>1</v>
      </c>
      <c r="K918" s="8">
        <f ca="1">IFERROR(__xludf.DUMMYFUNCTION("""COMPUTED_VALUE"""),21000)</f>
        <v>21000</v>
      </c>
      <c r="L918" s="8">
        <f ca="1">IFERROR(__xludf.DUMMYFUNCTION("""COMPUTED_VALUE"""),240.494732020155)</f>
        <v>240.494732020155</v>
      </c>
      <c r="M918" s="96">
        <f ca="1">IFERROR(__xludf.DUMMYFUNCTION("""COMPUTED_VALUE"""),44634)</f>
        <v>44634</v>
      </c>
      <c r="N918" s="6" t="str">
        <f ca="1">IFERROR(__xludf.DUMMYFUNCTION("""COMPUTED_VALUE"""),"S10")</f>
        <v>S10</v>
      </c>
      <c r="O918" s="97">
        <f ca="1">IFERROR(__xludf.DUMMYFUNCTION("""COMPUTED_VALUE"""),44634)</f>
        <v>44634</v>
      </c>
      <c r="P918" s="6" t="str">
        <f ca="1">IFERROR(__xludf.DUMMYFUNCTION("""COMPUTED_VALUE"""),"CSTM_6SC6WOK1UFG")</f>
        <v>CSTM_6SC6WOK1UFG</v>
      </c>
      <c r="Q918" s="6"/>
      <c r="R918" s="6" t="str">
        <f ca="1">IFERROR(__xludf.DUMMYFUNCTION("""COMPUTED_VALUE"""),"Done. Good feedback.")</f>
        <v>Done. Good feedback.</v>
      </c>
      <c r="S918" s="6" t="str">
        <f ca="1">IFERROR(__xludf.DUMMYFUNCTION("""COMPUTED_VALUE"""),"Category")</f>
        <v>Category</v>
      </c>
      <c r="T918" s="6"/>
      <c r="U918" s="6"/>
      <c r="V918" s="6"/>
      <c r="W918" s="6"/>
      <c r="X918" s="6"/>
      <c r="Y918" s="6"/>
      <c r="Z918" s="6"/>
      <c r="AA918" s="6"/>
      <c r="AB918" s="6"/>
      <c r="AC918" s="6"/>
      <c r="AD918" s="6"/>
      <c r="AE918" s="6"/>
      <c r="AF918" s="6"/>
      <c r="AG918" s="6"/>
      <c r="AH918" s="6"/>
      <c r="AI918" s="6"/>
      <c r="AJ918" s="6"/>
      <c r="AK918" s="6"/>
      <c r="AL918" s="6"/>
    </row>
    <row r="919" spans="1:38">
      <c r="A919" s="96">
        <f ca="1">IFERROR(__xludf.DUMMYFUNCTION("""COMPUTED_VALUE"""),44635)</f>
        <v>44635</v>
      </c>
      <c r="B919" s="6" t="str">
        <f ca="1">IFERROR(__xludf.DUMMYFUNCTION("""COMPUTED_VALUE"""),"Malar Priya")</f>
        <v>Malar Priya</v>
      </c>
      <c r="C919" s="6" t="str">
        <f ca="1">IFERROR(__xludf.DUMMYFUNCTION("""COMPUTED_VALUE"""),"malarpriya2792@gmail.com")</f>
        <v>malarpriya2792@gmail.com</v>
      </c>
      <c r="D919" s="6">
        <f ca="1">IFERROR(__xludf.DUMMYFUNCTION("""COMPUTED_VALUE"""),8754764928)</f>
        <v>8754764928</v>
      </c>
      <c r="E919" s="6" t="str">
        <f ca="1">IFERROR(__xludf.DUMMYFUNCTION("""COMPUTED_VALUE"""),"Query box")</f>
        <v>Query box</v>
      </c>
      <c r="F919" s="6" t="str">
        <f ca="1">IFERROR(__xludf.DUMMYFUNCTION("""COMPUTED_VALUE"""),"PSPO")</f>
        <v>PSPO</v>
      </c>
      <c r="G919" s="80">
        <f ca="1">IFERROR(__xludf.DUMMYFUNCTION("""COMPUTED_VALUE"""),44621)</f>
        <v>44621</v>
      </c>
      <c r="H919" s="6" t="str">
        <f ca="1">IFERROR(__xludf.DUMMYFUNCTION("""COMPUTED_VALUE"""),"Won")</f>
        <v>Won</v>
      </c>
      <c r="I919" s="6" t="str">
        <f ca="1">IFERROR(__xludf.DUMMYFUNCTION("""COMPUTED_VALUE"""),"2-3 April 2022")</f>
        <v>2-3 April 2022</v>
      </c>
      <c r="J919" s="6">
        <f ca="1">IFERROR(__xludf.DUMMYFUNCTION("""COMPUTED_VALUE"""),1)</f>
        <v>1</v>
      </c>
      <c r="K919" s="8">
        <f ca="1">IFERROR(__xludf.DUMMYFUNCTION("""COMPUTED_VALUE"""),21000)</f>
        <v>21000</v>
      </c>
      <c r="L919" s="8">
        <f ca="1">IFERROR(__xludf.DUMMYFUNCTION("""COMPUTED_VALUE"""),240.494732020155)</f>
        <v>240.494732020155</v>
      </c>
      <c r="M919" s="96">
        <f ca="1">IFERROR(__xludf.DUMMYFUNCTION("""COMPUTED_VALUE"""),44635)</f>
        <v>44635</v>
      </c>
      <c r="N919" s="6" t="str">
        <f ca="1">IFERROR(__xludf.DUMMYFUNCTION("""COMPUTED_VALUE"""),"S10")</f>
        <v>S10</v>
      </c>
      <c r="O919" s="97">
        <f ca="1">IFERROR(__xludf.DUMMYFUNCTION("""COMPUTED_VALUE"""),44636)</f>
        <v>44636</v>
      </c>
      <c r="P919" s="6" t="str">
        <f ca="1">IFERROR(__xludf.DUMMYFUNCTION("""COMPUTED_VALUE"""),"CSTM_630KXH0EJNC")</f>
        <v>CSTM_630KXH0EJNC</v>
      </c>
      <c r="Q919" s="6"/>
      <c r="R919" s="6" t="str">
        <f ca="1">IFERROR(__xludf.DUMMYFUNCTION("""COMPUTED_VALUE"""),"Pending")</f>
        <v>Pending</v>
      </c>
      <c r="S919" s="6" t="str">
        <f ca="1">IFERROR(__xludf.DUMMYFUNCTION("""COMPUTED_VALUE"""),"Category")</f>
        <v>Category</v>
      </c>
      <c r="T919" s="6"/>
      <c r="U919" s="6"/>
      <c r="V919" s="6"/>
      <c r="W919" s="6"/>
      <c r="X919" s="6"/>
      <c r="Y919" s="6"/>
      <c r="Z919" s="6"/>
      <c r="AA919" s="6"/>
      <c r="AB919" s="6"/>
      <c r="AC919" s="6"/>
      <c r="AD919" s="6"/>
      <c r="AE919" s="6"/>
      <c r="AF919" s="6"/>
      <c r="AG919" s="6"/>
      <c r="AH919" s="6"/>
      <c r="AI919" s="6"/>
      <c r="AJ919" s="6"/>
      <c r="AK919" s="6"/>
      <c r="AL919" s="6"/>
    </row>
    <row r="920" spans="1:38">
      <c r="A920" s="96">
        <f ca="1">IFERROR(__xludf.DUMMYFUNCTION("""COMPUTED_VALUE"""),44635)</f>
        <v>44635</v>
      </c>
      <c r="B920" s="6" t="str">
        <f ca="1">IFERROR(__xludf.DUMMYFUNCTION("""COMPUTED_VALUE"""),"Sumit Bhatta")</f>
        <v>Sumit Bhatta</v>
      </c>
      <c r="C920" s="6" t="str">
        <f ca="1">IFERROR(__xludf.DUMMYFUNCTION("""COMPUTED_VALUE"""),"sumit_bhatta2000@yahoo.com")</f>
        <v>sumit_bhatta2000@yahoo.com</v>
      </c>
      <c r="D920" s="6">
        <f ca="1">IFERROR(__xludf.DUMMYFUNCTION("""COMPUTED_VALUE"""),7259926350)</f>
        <v>7259926350</v>
      </c>
      <c r="E920" s="6" t="str">
        <f ca="1">IFERROR(__xludf.DUMMYFUNCTION("""COMPUTED_VALUE"""),"Chat_triggered")</f>
        <v>Chat_triggered</v>
      </c>
      <c r="F920" s="6" t="str">
        <f ca="1">IFERROR(__xludf.DUMMYFUNCTION("""COMPUTED_VALUE"""),"PSM")</f>
        <v>PSM</v>
      </c>
      <c r="G920" s="80">
        <f ca="1">IFERROR(__xludf.DUMMYFUNCTION("""COMPUTED_VALUE"""),44621)</f>
        <v>44621</v>
      </c>
      <c r="H920" s="6" t="str">
        <f ca="1">IFERROR(__xludf.DUMMYFUNCTION("""COMPUTED_VALUE"""),"Won")</f>
        <v>Won</v>
      </c>
      <c r="I920" s="6" t="str">
        <f ca="1">IFERROR(__xludf.DUMMYFUNCTION("""COMPUTED_VALUE"""),"26-27 March 2022")</f>
        <v>26-27 March 2022</v>
      </c>
      <c r="J920" s="6">
        <f ca="1">IFERROR(__xludf.DUMMYFUNCTION("""COMPUTED_VALUE"""),1)</f>
        <v>1</v>
      </c>
      <c r="K920" s="8">
        <f ca="1">IFERROR(__xludf.DUMMYFUNCTION("""COMPUTED_VALUE"""),21000)</f>
        <v>21000</v>
      </c>
      <c r="L920" s="8">
        <f ca="1">IFERROR(__xludf.DUMMYFUNCTION("""COMPUTED_VALUE"""),240.494732020155)</f>
        <v>240.494732020155</v>
      </c>
      <c r="M920" s="96">
        <f ca="1">IFERROR(__xludf.DUMMYFUNCTION("""COMPUTED_VALUE"""),44635)</f>
        <v>44635</v>
      </c>
      <c r="N920" s="6" t="str">
        <f ca="1">IFERROR(__xludf.DUMMYFUNCTION("""COMPUTED_VALUE"""),"S10")</f>
        <v>S10</v>
      </c>
      <c r="O920" s="97">
        <f ca="1">IFERROR(__xludf.DUMMYFUNCTION("""COMPUTED_VALUE"""),44635)</f>
        <v>44635</v>
      </c>
      <c r="P920" s="6" t="str">
        <f ca="1">IFERROR(__xludf.DUMMYFUNCTION("""COMPUTED_VALUE"""),"CSTM_CO4DEFAS9JN")</f>
        <v>CSTM_CO4DEFAS9JN</v>
      </c>
      <c r="Q920" s="6"/>
      <c r="R920" s="6" t="str">
        <f ca="1">IFERROR(__xludf.DUMMYFUNCTION("""COMPUTED_VALUE"""),"Pending")</f>
        <v>Pending</v>
      </c>
      <c r="S920" s="6" t="str">
        <f ca="1">IFERROR(__xludf.DUMMYFUNCTION("""COMPUTED_VALUE"""),"Category")</f>
        <v>Category</v>
      </c>
      <c r="T920" s="6"/>
      <c r="U920" s="6"/>
      <c r="V920" s="6"/>
      <c r="W920" s="6"/>
      <c r="X920" s="6"/>
      <c r="Y920" s="6"/>
      <c r="Z920" s="6"/>
      <c r="AA920" s="6"/>
      <c r="AB920" s="6"/>
      <c r="AC920" s="6"/>
      <c r="AD920" s="6"/>
      <c r="AE920" s="6"/>
      <c r="AF920" s="6"/>
      <c r="AG920" s="6"/>
      <c r="AH920" s="6"/>
      <c r="AI920" s="6"/>
      <c r="AJ920" s="6"/>
      <c r="AK920" s="6"/>
      <c r="AL920" s="6"/>
    </row>
    <row r="921" spans="1:38">
      <c r="A921" s="96">
        <f ca="1">IFERROR(__xludf.DUMMYFUNCTION("""COMPUTED_VALUE"""),44636)</f>
        <v>44636</v>
      </c>
      <c r="B921" s="6" t="str">
        <f ca="1">IFERROR(__xludf.DUMMYFUNCTION("""COMPUTED_VALUE"""),"Pranav Gupta")</f>
        <v>Pranav Gupta</v>
      </c>
      <c r="C921" s="6" t="str">
        <f ca="1">IFERROR(__xludf.DUMMYFUNCTION("""COMPUTED_VALUE"""),"pranavgupta18@gmail.com")</f>
        <v>pranavgupta18@gmail.com</v>
      </c>
      <c r="D921" s="6">
        <f ca="1">IFERROR(__xludf.DUMMYFUNCTION("""COMPUTED_VALUE"""),7986151606)</f>
        <v>7986151606</v>
      </c>
      <c r="E921" s="6" t="str">
        <f ca="1">IFERROR(__xludf.DUMMYFUNCTION("""COMPUTED_VALUE"""),"Chat_triggered")</f>
        <v>Chat_triggered</v>
      </c>
      <c r="F921" s="6" t="str">
        <f ca="1">IFERROR(__xludf.DUMMYFUNCTION("""COMPUTED_VALUE"""),"SAFe SSM")</f>
        <v>SAFe SSM</v>
      </c>
      <c r="G921" s="80">
        <f ca="1">IFERROR(__xludf.DUMMYFUNCTION("""COMPUTED_VALUE"""),44621)</f>
        <v>44621</v>
      </c>
      <c r="H921" s="6" t="str">
        <f ca="1">IFERROR(__xludf.DUMMYFUNCTION("""COMPUTED_VALUE"""),"Won")</f>
        <v>Won</v>
      </c>
      <c r="I921" s="6" t="str">
        <f ca="1">IFERROR(__xludf.DUMMYFUNCTION("""COMPUTED_VALUE"""),"9-10 April 2022")</f>
        <v>9-10 April 2022</v>
      </c>
      <c r="J921" s="6">
        <f ca="1">IFERROR(__xludf.DUMMYFUNCTION("""COMPUTED_VALUE"""),1)</f>
        <v>1</v>
      </c>
      <c r="K921" s="8">
        <f ca="1">IFERROR(__xludf.DUMMYFUNCTION("""COMPUTED_VALUE"""),42000)</f>
        <v>42000</v>
      </c>
      <c r="L921" s="8">
        <f ca="1">IFERROR(__xludf.DUMMYFUNCTION("""COMPUTED_VALUE"""),480.989464040311)</f>
        <v>480.98946404031102</v>
      </c>
      <c r="M921" s="96">
        <f ca="1">IFERROR(__xludf.DUMMYFUNCTION("""COMPUTED_VALUE"""),44636)</f>
        <v>44636</v>
      </c>
      <c r="N921" s="6" t="str">
        <f ca="1">IFERROR(__xludf.DUMMYFUNCTION("""COMPUTED_VALUE"""),"S10")</f>
        <v>S10</v>
      </c>
      <c r="O921" s="97">
        <f ca="1">IFERROR(__xludf.DUMMYFUNCTION("""COMPUTED_VALUE"""),44636)</f>
        <v>44636</v>
      </c>
      <c r="P921" s="6" t="str">
        <f ca="1">IFERROR(__xludf.DUMMYFUNCTION("""COMPUTED_VALUE"""),"CSTM_HTVZU2KVRUX")</f>
        <v>CSTM_HTVZU2KVRUX</v>
      </c>
      <c r="Q921" s="6"/>
      <c r="R921" s="6" t="str">
        <f ca="1">IFERROR(__xludf.DUMMYFUNCTION("""COMPUTED_VALUE"""),"Pending")</f>
        <v>Pending</v>
      </c>
      <c r="S921" s="6" t="str">
        <f ca="1">IFERROR(__xludf.DUMMYFUNCTION("""COMPUTED_VALUE"""),"SAFe")</f>
        <v>SAFe</v>
      </c>
      <c r="T921" s="6"/>
      <c r="U921" s="6"/>
      <c r="V921" s="6"/>
      <c r="W921" s="6"/>
      <c r="X921" s="6"/>
      <c r="Y921" s="6"/>
      <c r="Z921" s="6"/>
      <c r="AA921" s="6"/>
      <c r="AB921" s="6"/>
      <c r="AC921" s="6"/>
      <c r="AD921" s="6"/>
      <c r="AE921" s="6"/>
      <c r="AF921" s="6"/>
      <c r="AG921" s="6"/>
      <c r="AH921" s="6"/>
      <c r="AI921" s="6"/>
      <c r="AJ921" s="6"/>
      <c r="AK921" s="6"/>
      <c r="AL921" s="6"/>
    </row>
    <row r="922" spans="1:38">
      <c r="A922" s="96">
        <f ca="1">IFERROR(__xludf.DUMMYFUNCTION("""COMPUTED_VALUE"""),44636)</f>
        <v>44636</v>
      </c>
      <c r="B922" s="6" t="str">
        <f ca="1">IFERROR(__xludf.DUMMYFUNCTION("""COMPUTED_VALUE"""),"Mayank Mishra")</f>
        <v>Mayank Mishra</v>
      </c>
      <c r="C922" s="6" t="str">
        <f ca="1">IFERROR(__xludf.DUMMYFUNCTION("""COMPUTED_VALUE"""),"er.mayankmishra@outlook.com")</f>
        <v>er.mayankmishra@outlook.com</v>
      </c>
      <c r="D922" s="6">
        <f ca="1">IFERROR(__xludf.DUMMYFUNCTION("""COMPUTED_VALUE"""),7905668767)</f>
        <v>7905668767</v>
      </c>
      <c r="E922" s="6" t="str">
        <f ca="1">IFERROR(__xludf.DUMMYFUNCTION("""COMPUTED_VALUE"""),"chat_initiated")</f>
        <v>chat_initiated</v>
      </c>
      <c r="F922" s="6" t="str">
        <f ca="1">IFERROR(__xludf.DUMMYFUNCTION("""COMPUTED_VALUE"""),"SAFe Agile")</f>
        <v>SAFe Agile</v>
      </c>
      <c r="G922" s="80">
        <f ca="1">IFERROR(__xludf.DUMMYFUNCTION("""COMPUTED_VALUE"""),44621)</f>
        <v>44621</v>
      </c>
      <c r="H922" s="6" t="str">
        <f ca="1">IFERROR(__xludf.DUMMYFUNCTION("""COMPUTED_VALUE"""),"Won")</f>
        <v>Won</v>
      </c>
      <c r="I922" s="6" t="str">
        <f ca="1">IFERROR(__xludf.DUMMYFUNCTION("""COMPUTED_VALUE"""),"2-3 April 2022")</f>
        <v>2-3 April 2022</v>
      </c>
      <c r="J922" s="6">
        <f ca="1">IFERROR(__xludf.DUMMYFUNCTION("""COMPUTED_VALUE"""),1)</f>
        <v>1</v>
      </c>
      <c r="K922" s="8">
        <f ca="1">IFERROR(__xludf.DUMMYFUNCTION("""COMPUTED_VALUE"""),42000)</f>
        <v>42000</v>
      </c>
      <c r="L922" s="8">
        <f ca="1">IFERROR(__xludf.DUMMYFUNCTION("""COMPUTED_VALUE"""),480.989464040311)</f>
        <v>480.98946404031102</v>
      </c>
      <c r="M922" s="96">
        <f ca="1">IFERROR(__xludf.DUMMYFUNCTION("""COMPUTED_VALUE"""),44636)</f>
        <v>44636</v>
      </c>
      <c r="N922" s="6" t="str">
        <f ca="1">IFERROR(__xludf.DUMMYFUNCTION("""COMPUTED_VALUE"""),"S10")</f>
        <v>S10</v>
      </c>
      <c r="O922" s="97">
        <f ca="1">IFERROR(__xludf.DUMMYFUNCTION("""COMPUTED_VALUE"""),44636)</f>
        <v>44636</v>
      </c>
      <c r="P922" s="6" t="str">
        <f ca="1">IFERROR(__xludf.DUMMYFUNCTION("""COMPUTED_VALUE"""),"CSTM_DUHFWN9ETTB")</f>
        <v>CSTM_DUHFWN9ETTB</v>
      </c>
      <c r="Q922" s="6"/>
      <c r="R922" s="6" t="str">
        <f ca="1">IFERROR(__xludf.DUMMYFUNCTION("""COMPUTED_VALUE"""),"Pending")</f>
        <v>Pending</v>
      </c>
      <c r="S922" s="6" t="str">
        <f ca="1">IFERROR(__xludf.DUMMYFUNCTION("""COMPUTED_VALUE"""),"SAFe")</f>
        <v>SAFe</v>
      </c>
      <c r="T922" s="6"/>
      <c r="U922" s="6"/>
      <c r="V922" s="6"/>
      <c r="W922" s="6"/>
      <c r="X922" s="6"/>
      <c r="Y922" s="6"/>
      <c r="Z922" s="6"/>
      <c r="AA922" s="6"/>
      <c r="AB922" s="6"/>
      <c r="AC922" s="6"/>
      <c r="AD922" s="6"/>
      <c r="AE922" s="6"/>
      <c r="AF922" s="6"/>
      <c r="AG922" s="6"/>
      <c r="AH922" s="6"/>
      <c r="AI922" s="6"/>
      <c r="AJ922" s="6"/>
      <c r="AK922" s="6"/>
      <c r="AL922" s="6"/>
    </row>
    <row r="923" spans="1:38">
      <c r="A923" s="96">
        <f ca="1">IFERROR(__xludf.DUMMYFUNCTION("""COMPUTED_VALUE"""),44636)</f>
        <v>44636</v>
      </c>
      <c r="B923" s="6" t="str">
        <f ca="1">IFERROR(__xludf.DUMMYFUNCTION("""COMPUTED_VALUE"""),"Kamal  Boddapati")</f>
        <v>Kamal  Boddapati</v>
      </c>
      <c r="C923" s="6" t="str">
        <f ca="1">IFERROR(__xludf.DUMMYFUNCTION("""COMPUTED_VALUE"""),"kamal.boddapati@gmail.com")</f>
        <v>kamal.boddapati@gmail.com</v>
      </c>
      <c r="D923" s="6">
        <f ca="1">IFERROR(__xludf.DUMMYFUNCTION("""COMPUTED_VALUE"""),9494757479)</f>
        <v>9494757479</v>
      </c>
      <c r="E923" s="6" t="str">
        <f ca="1">IFERROR(__xludf.DUMMYFUNCTION("""COMPUTED_VALUE"""),"course agenda")</f>
        <v>course agenda</v>
      </c>
      <c r="F923" s="6" t="str">
        <f ca="1">IFERROR(__xludf.DUMMYFUNCTION("""COMPUTED_VALUE"""),"PSM")</f>
        <v>PSM</v>
      </c>
      <c r="G923" s="80">
        <f ca="1">IFERROR(__xludf.DUMMYFUNCTION("""COMPUTED_VALUE"""),44621)</f>
        <v>44621</v>
      </c>
      <c r="H923" s="6" t="str">
        <f ca="1">IFERROR(__xludf.DUMMYFUNCTION("""COMPUTED_VALUE"""),"Won")</f>
        <v>Won</v>
      </c>
      <c r="I923" s="6" t="str">
        <f ca="1">IFERROR(__xludf.DUMMYFUNCTION("""COMPUTED_VALUE"""),"19-20 March 2022")</f>
        <v>19-20 March 2022</v>
      </c>
      <c r="J923" s="6">
        <f ca="1">IFERROR(__xludf.DUMMYFUNCTION("""COMPUTED_VALUE"""),1)</f>
        <v>1</v>
      </c>
      <c r="K923" s="8">
        <f ca="1">IFERROR(__xludf.DUMMYFUNCTION("""COMPUTED_VALUE"""),21000)</f>
        <v>21000</v>
      </c>
      <c r="L923" s="8">
        <f ca="1">IFERROR(__xludf.DUMMYFUNCTION("""COMPUTED_VALUE"""),240.494732020155)</f>
        <v>240.494732020155</v>
      </c>
      <c r="M923" s="96">
        <f ca="1">IFERROR(__xludf.DUMMYFUNCTION("""COMPUTED_VALUE"""),44636)</f>
        <v>44636</v>
      </c>
      <c r="N923" s="6" t="str">
        <f ca="1">IFERROR(__xludf.DUMMYFUNCTION("""COMPUTED_VALUE"""),"S10")</f>
        <v>S10</v>
      </c>
      <c r="O923" s="97">
        <f ca="1">IFERROR(__xludf.DUMMYFUNCTION("""COMPUTED_VALUE"""),44636)</f>
        <v>44636</v>
      </c>
      <c r="P923" s="6" t="str">
        <f ca="1">IFERROR(__xludf.DUMMYFUNCTION("""COMPUTED_VALUE"""),"CSTM_DZAHKW8881J")</f>
        <v>CSTM_DZAHKW8881J</v>
      </c>
      <c r="Q923" s="6"/>
      <c r="R923" s="6" t="str">
        <f ca="1">IFERROR(__xludf.DUMMYFUNCTION("""COMPUTED_VALUE"""),"Pending")</f>
        <v>Pending</v>
      </c>
      <c r="S923" s="6" t="str">
        <f ca="1">IFERROR(__xludf.DUMMYFUNCTION("""COMPUTED_VALUE"""),"Category")</f>
        <v>Category</v>
      </c>
      <c r="T923" s="6"/>
      <c r="U923" s="6"/>
      <c r="V923" s="6"/>
      <c r="W923" s="6"/>
      <c r="X923" s="6"/>
      <c r="Y923" s="6"/>
      <c r="Z923" s="6"/>
      <c r="AA923" s="6"/>
      <c r="AB923" s="6"/>
      <c r="AC923" s="6"/>
      <c r="AD923" s="6"/>
      <c r="AE923" s="6"/>
      <c r="AF923" s="6"/>
      <c r="AG923" s="6"/>
      <c r="AH923" s="6"/>
      <c r="AI923" s="6"/>
      <c r="AJ923" s="6"/>
      <c r="AK923" s="6"/>
      <c r="AL923" s="6"/>
    </row>
    <row r="924" spans="1:38">
      <c r="A924" s="96">
        <f ca="1">IFERROR(__xludf.DUMMYFUNCTION("""COMPUTED_VALUE"""),44637)</f>
        <v>44637</v>
      </c>
      <c r="B924" s="6" t="str">
        <f ca="1">IFERROR(__xludf.DUMMYFUNCTION("""COMPUTED_VALUE"""),"Anjaneyulu Moram")</f>
        <v>Anjaneyulu Moram</v>
      </c>
      <c r="C924" s="6" t="str">
        <f ca="1">IFERROR(__xludf.DUMMYFUNCTION("""COMPUTED_VALUE"""),"anjaneyulu.moram@tcs.com")</f>
        <v>anjaneyulu.moram@tcs.com</v>
      </c>
      <c r="D924" s="6">
        <f ca="1">IFERROR(__xludf.DUMMYFUNCTION("""COMPUTED_VALUE"""),9866304462)</f>
        <v>9866304462</v>
      </c>
      <c r="E924" s="6" t="str">
        <f ca="1">IFERROR(__xludf.DUMMYFUNCTION("""COMPUTED_VALUE"""),"Reference")</f>
        <v>Reference</v>
      </c>
      <c r="F924" s="6" t="str">
        <f ca="1">IFERROR(__xludf.DUMMYFUNCTION("""COMPUTED_VALUE"""),"PSM")</f>
        <v>PSM</v>
      </c>
      <c r="G924" s="80">
        <f ca="1">IFERROR(__xludf.DUMMYFUNCTION("""COMPUTED_VALUE"""),44621)</f>
        <v>44621</v>
      </c>
      <c r="H924" s="6" t="str">
        <f ca="1">IFERROR(__xludf.DUMMYFUNCTION("""COMPUTED_VALUE"""),"Won")</f>
        <v>Won</v>
      </c>
      <c r="I924" s="6" t="str">
        <f ca="1">IFERROR(__xludf.DUMMYFUNCTION("""COMPUTED_VALUE"""),"19-20 March 2022")</f>
        <v>19-20 March 2022</v>
      </c>
      <c r="J924" s="6">
        <f ca="1">IFERROR(__xludf.DUMMYFUNCTION("""COMPUTED_VALUE"""),1)</f>
        <v>1</v>
      </c>
      <c r="K924" s="8">
        <f ca="1">IFERROR(__xludf.DUMMYFUNCTION("""COMPUTED_VALUE"""),20000)</f>
        <v>20000</v>
      </c>
      <c r="L924" s="8">
        <f ca="1">IFERROR(__xludf.DUMMYFUNCTION("""COMPUTED_VALUE"""),229.042601923957)</f>
        <v>229.04260192395699</v>
      </c>
      <c r="M924" s="96">
        <f ca="1">IFERROR(__xludf.DUMMYFUNCTION("""COMPUTED_VALUE"""),44637)</f>
        <v>44637</v>
      </c>
      <c r="N924" s="6" t="str">
        <f ca="1">IFERROR(__xludf.DUMMYFUNCTION("""COMPUTED_VALUE"""),"S10")</f>
        <v>S10</v>
      </c>
      <c r="O924" s="97">
        <f ca="1">IFERROR(__xludf.DUMMYFUNCTION("""COMPUTED_VALUE"""),44637)</f>
        <v>44637</v>
      </c>
      <c r="P924" s="6" t="str">
        <f ca="1">IFERROR(__xludf.DUMMYFUNCTION("""COMPUTED_VALUE"""),"CSTM_796MVQK34GH")</f>
        <v>CSTM_796MVQK34GH</v>
      </c>
      <c r="Q924" s="6" t="str">
        <f ca="1">IFERROR(__xludf.DUMMYFUNCTION("""COMPUTED_VALUE"""),"Reference by moram.anji@gmail.com")</f>
        <v>Reference by moram.anji@gmail.com</v>
      </c>
      <c r="R924" s="6" t="str">
        <f ca="1">IFERROR(__xludf.DUMMYFUNCTION("""COMPUTED_VALUE"""),"Pending")</f>
        <v>Pending</v>
      </c>
      <c r="S924" s="6" t="str">
        <f ca="1">IFERROR(__xludf.DUMMYFUNCTION("""COMPUTED_VALUE"""),"Category")</f>
        <v>Category</v>
      </c>
      <c r="T924" s="6"/>
      <c r="U924" s="6"/>
      <c r="V924" s="6"/>
      <c r="W924" s="6"/>
      <c r="X924" s="6"/>
      <c r="Y924" s="6"/>
      <c r="Z924" s="6"/>
      <c r="AA924" s="6"/>
      <c r="AB924" s="6"/>
      <c r="AC924" s="6"/>
      <c r="AD924" s="6"/>
      <c r="AE924" s="6"/>
      <c r="AF924" s="6"/>
      <c r="AG924" s="6"/>
      <c r="AH924" s="6"/>
      <c r="AI924" s="6"/>
      <c r="AJ924" s="6"/>
      <c r="AK924" s="6"/>
      <c r="AL924" s="6"/>
    </row>
    <row r="925" spans="1:38">
      <c r="A925" s="96">
        <f ca="1">IFERROR(__xludf.DUMMYFUNCTION("""COMPUTED_VALUE"""),44637)</f>
        <v>44637</v>
      </c>
      <c r="B925" s="6" t="str">
        <f ca="1">IFERROR(__xludf.DUMMYFUNCTION("""COMPUTED_VALUE"""),"Vanitha B S")</f>
        <v>Vanitha B S</v>
      </c>
      <c r="C925" s="6" t="str">
        <f ca="1">IFERROR(__xludf.DUMMYFUNCTION("""COMPUTED_VALUE"""),"vanithabs.my3@gmail.com")</f>
        <v>vanithabs.my3@gmail.com</v>
      </c>
      <c r="D925" s="6">
        <f ca="1">IFERROR(__xludf.DUMMYFUNCTION("""COMPUTED_VALUE"""),9986854881)</f>
        <v>9986854881</v>
      </c>
      <c r="E925" s="6" t="str">
        <f ca="1">IFERROR(__xludf.DUMMYFUNCTION("""COMPUTED_VALUE"""),"chat_initiated")</f>
        <v>chat_initiated</v>
      </c>
      <c r="F925" s="6" t="str">
        <f ca="1">IFERROR(__xludf.DUMMYFUNCTION("""COMPUTED_VALUE"""),"PSM")</f>
        <v>PSM</v>
      </c>
      <c r="G925" s="80">
        <f ca="1">IFERROR(__xludf.DUMMYFUNCTION("""COMPUTED_VALUE"""),44621)</f>
        <v>44621</v>
      </c>
      <c r="H925" s="6" t="str">
        <f ca="1">IFERROR(__xludf.DUMMYFUNCTION("""COMPUTED_VALUE"""),"Won")</f>
        <v>Won</v>
      </c>
      <c r="I925" s="6" t="str">
        <f ca="1">IFERROR(__xludf.DUMMYFUNCTION("""COMPUTED_VALUE"""),"26-27 March 2022")</f>
        <v>26-27 March 2022</v>
      </c>
      <c r="J925" s="6">
        <f ca="1">IFERROR(__xludf.DUMMYFUNCTION("""COMPUTED_VALUE"""),1)</f>
        <v>1</v>
      </c>
      <c r="K925" s="8">
        <f ca="1">IFERROR(__xludf.DUMMYFUNCTION("""COMPUTED_VALUE"""),21000)</f>
        <v>21000</v>
      </c>
      <c r="L925" s="8">
        <f ca="1">IFERROR(__xludf.DUMMYFUNCTION("""COMPUTED_VALUE"""),240.494732020155)</f>
        <v>240.494732020155</v>
      </c>
      <c r="M925" s="96">
        <f ca="1">IFERROR(__xludf.DUMMYFUNCTION("""COMPUTED_VALUE"""),44637)</f>
        <v>44637</v>
      </c>
      <c r="N925" s="6" t="str">
        <f ca="1">IFERROR(__xludf.DUMMYFUNCTION("""COMPUTED_VALUE"""),"S10")</f>
        <v>S10</v>
      </c>
      <c r="O925" s="97">
        <f ca="1">IFERROR(__xludf.DUMMYFUNCTION("""COMPUTED_VALUE"""),44637)</f>
        <v>44637</v>
      </c>
      <c r="P925" s="6" t="str">
        <f ca="1">IFERROR(__xludf.DUMMYFUNCTION("""COMPUTED_VALUE"""),"CSTM_J4OUYUI0UMK")</f>
        <v>CSTM_J4OUYUI0UMK</v>
      </c>
      <c r="Q925" s="6"/>
      <c r="R925" s="6" t="str">
        <f ca="1">IFERROR(__xludf.DUMMYFUNCTION("""COMPUTED_VALUE"""),"Done. Good feedback.")</f>
        <v>Done. Good feedback.</v>
      </c>
      <c r="S925" s="6" t="str">
        <f ca="1">IFERROR(__xludf.DUMMYFUNCTION("""COMPUTED_VALUE"""),"Category")</f>
        <v>Category</v>
      </c>
      <c r="T925" s="6"/>
      <c r="U925" s="6"/>
      <c r="V925" s="6"/>
      <c r="W925" s="6"/>
      <c r="X925" s="6"/>
      <c r="Y925" s="6"/>
      <c r="Z925" s="6"/>
      <c r="AA925" s="6"/>
      <c r="AB925" s="6"/>
      <c r="AC925" s="6"/>
      <c r="AD925" s="6"/>
      <c r="AE925" s="6"/>
      <c r="AF925" s="6"/>
      <c r="AG925" s="6"/>
      <c r="AH925" s="6"/>
      <c r="AI925" s="6"/>
      <c r="AJ925" s="6"/>
      <c r="AK925" s="6"/>
      <c r="AL925" s="6"/>
    </row>
    <row r="926" spans="1:38">
      <c r="A926" s="96">
        <f ca="1">IFERROR(__xludf.DUMMYFUNCTION("""COMPUTED_VALUE"""),44638)</f>
        <v>44638</v>
      </c>
      <c r="B926" s="6" t="str">
        <f ca="1">IFERROR(__xludf.DUMMYFUNCTION("""COMPUTED_VALUE"""),"Gurumurti")</f>
        <v>Gurumurti</v>
      </c>
      <c r="C926" s="6" t="str">
        <f ca="1">IFERROR(__xludf.DUMMYFUNCTION("""COMPUTED_VALUE"""),"gurumurti.esumane@gmail.com")</f>
        <v>gurumurti.esumane@gmail.com</v>
      </c>
      <c r="D926" s="6">
        <f ca="1">IFERROR(__xludf.DUMMYFUNCTION("""COMPUTED_VALUE"""),9164406798)</f>
        <v>9164406798</v>
      </c>
      <c r="E926" s="6" t="str">
        <f ca="1">IFERROR(__xludf.DUMMYFUNCTION("""COMPUTED_VALUE"""),"Reference")</f>
        <v>Reference</v>
      </c>
      <c r="F926" s="6" t="str">
        <f ca="1">IFERROR(__xludf.DUMMYFUNCTION("""COMPUTED_VALUE"""),"SAFe POPM")</f>
        <v>SAFe POPM</v>
      </c>
      <c r="G926" s="80">
        <f ca="1">IFERROR(__xludf.DUMMYFUNCTION("""COMPUTED_VALUE"""),44621)</f>
        <v>44621</v>
      </c>
      <c r="H926" s="6" t="str">
        <f ca="1">IFERROR(__xludf.DUMMYFUNCTION("""COMPUTED_VALUE"""),"Won")</f>
        <v>Won</v>
      </c>
      <c r="I926" s="6" t="str">
        <f ca="1">IFERROR(__xludf.DUMMYFUNCTION("""COMPUTED_VALUE"""),"2-3 April 2022")</f>
        <v>2-3 April 2022</v>
      </c>
      <c r="J926" s="6">
        <f ca="1">IFERROR(__xludf.DUMMYFUNCTION("""COMPUTED_VALUE"""),1)</f>
        <v>1</v>
      </c>
      <c r="K926" s="8">
        <f ca="1">IFERROR(__xludf.DUMMYFUNCTION("""COMPUTED_VALUE"""),40000)</f>
        <v>40000</v>
      </c>
      <c r="L926" s="8">
        <f ca="1">IFERROR(__xludf.DUMMYFUNCTION("""COMPUTED_VALUE"""),458.085203847915)</f>
        <v>458.08520384791501</v>
      </c>
      <c r="M926" s="96">
        <f ca="1">IFERROR(__xludf.DUMMYFUNCTION("""COMPUTED_VALUE"""),44638)</f>
        <v>44638</v>
      </c>
      <c r="N926" s="6" t="str">
        <f ca="1">IFERROR(__xludf.DUMMYFUNCTION("""COMPUTED_VALUE"""),"S10")</f>
        <v>S10</v>
      </c>
      <c r="O926" s="97">
        <f ca="1">IFERROR(__xludf.DUMMYFUNCTION("""COMPUTED_VALUE"""),44638)</f>
        <v>44638</v>
      </c>
      <c r="P926" s="6" t="str">
        <f ca="1">IFERROR(__xludf.DUMMYFUNCTION("""COMPUTED_VALUE"""),"CSTM_55DN8U8ZROI")</f>
        <v>CSTM_55DN8U8ZROI</v>
      </c>
      <c r="Q926" s="6" t="str">
        <f ca="1">IFERROR(__xludf.DUMMYFUNCTION("""COMPUTED_VALUE"""),"Reference by ganeshrajshekar28@gmail.com")</f>
        <v>Reference by ganeshrajshekar28@gmail.com</v>
      </c>
      <c r="R926" s="6" t="str">
        <f ca="1">IFERROR(__xludf.DUMMYFUNCTION("""COMPUTED_VALUE"""),"Pending")</f>
        <v>Pending</v>
      </c>
      <c r="S926" s="6" t="str">
        <f ca="1">IFERROR(__xludf.DUMMYFUNCTION("""COMPUTED_VALUE"""),"SAFe")</f>
        <v>SAFe</v>
      </c>
      <c r="T926" s="6"/>
      <c r="U926" s="6"/>
      <c r="V926" s="6"/>
      <c r="W926" s="6"/>
      <c r="X926" s="6"/>
      <c r="Y926" s="6"/>
      <c r="Z926" s="6"/>
      <c r="AA926" s="6"/>
      <c r="AB926" s="6"/>
      <c r="AC926" s="6"/>
      <c r="AD926" s="6"/>
      <c r="AE926" s="6"/>
      <c r="AF926" s="6"/>
      <c r="AG926" s="6"/>
      <c r="AH926" s="6"/>
      <c r="AI926" s="6"/>
      <c r="AJ926" s="6"/>
      <c r="AK926" s="6"/>
      <c r="AL926" s="6"/>
    </row>
    <row r="927" spans="1:38">
      <c r="A927" s="96">
        <f ca="1">IFERROR(__xludf.DUMMYFUNCTION("""COMPUTED_VALUE"""),44638)</f>
        <v>44638</v>
      </c>
      <c r="B927" s="6" t="str">
        <f ca="1">IFERROR(__xludf.DUMMYFUNCTION("""COMPUTED_VALUE"""),"Jeyasri JP")</f>
        <v>Jeyasri JP</v>
      </c>
      <c r="C927" s="6" t="str">
        <f ca="1">IFERROR(__xludf.DUMMYFUNCTION("""COMPUTED_VALUE"""),"jeyasri.jp@gmail.com")</f>
        <v>jeyasri.jp@gmail.com</v>
      </c>
      <c r="D927" s="6">
        <f ca="1">IFERROR(__xludf.DUMMYFUNCTION("""COMPUTED_VALUE"""),9500050286)</f>
        <v>9500050286</v>
      </c>
      <c r="E927" s="6" t="str">
        <f ca="1">IFERROR(__xludf.DUMMYFUNCTION("""COMPUTED_VALUE"""),"chat_initiated")</f>
        <v>chat_initiated</v>
      </c>
      <c r="F927" s="6" t="str">
        <f ca="1">IFERROR(__xludf.DUMMYFUNCTION("""COMPUTED_VALUE"""),"Six Sigma Black Belt")</f>
        <v>Six Sigma Black Belt</v>
      </c>
      <c r="G927" s="80">
        <f ca="1">IFERROR(__xludf.DUMMYFUNCTION("""COMPUTED_VALUE"""),44621)</f>
        <v>44621</v>
      </c>
      <c r="H927" s="6" t="str">
        <f ca="1">IFERROR(__xludf.DUMMYFUNCTION("""COMPUTED_VALUE"""),"Won")</f>
        <v>Won</v>
      </c>
      <c r="I927" s="6" t="str">
        <f ca="1">IFERROR(__xludf.DUMMYFUNCTION("""COMPUTED_VALUE"""),"19 March 2022")</f>
        <v>19 March 2022</v>
      </c>
      <c r="J927" s="6">
        <f ca="1">IFERROR(__xludf.DUMMYFUNCTION("""COMPUTED_VALUE"""),1)</f>
        <v>1</v>
      </c>
      <c r="K927" s="8">
        <f ca="1">IFERROR(__xludf.DUMMYFUNCTION("""COMPUTED_VALUE"""),14000)</f>
        <v>14000</v>
      </c>
      <c r="L927" s="8">
        <f ca="1">IFERROR(__xludf.DUMMYFUNCTION("""COMPUTED_VALUE"""),160.32982134677)</f>
        <v>160.32982134676999</v>
      </c>
      <c r="M927" s="96">
        <f ca="1">IFERROR(__xludf.DUMMYFUNCTION("""COMPUTED_VALUE"""),44638)</f>
        <v>44638</v>
      </c>
      <c r="N927" s="6" t="str">
        <f ca="1">IFERROR(__xludf.DUMMYFUNCTION("""COMPUTED_VALUE"""),"S10")</f>
        <v>S10</v>
      </c>
      <c r="O927" s="97">
        <f ca="1">IFERROR(__xludf.DUMMYFUNCTION("""COMPUTED_VALUE"""),44638)</f>
        <v>44638</v>
      </c>
      <c r="P927" s="6" t="str">
        <f ca="1">IFERROR(__xludf.DUMMYFUNCTION("""COMPUTED_VALUE"""),"CSTM_IWEBDLVNTA1")</f>
        <v>CSTM_IWEBDLVNTA1</v>
      </c>
      <c r="Q927" s="6"/>
      <c r="R927" s="6" t="str">
        <f ca="1">IFERROR(__xludf.DUMMYFUNCTION("""COMPUTED_VALUE"""),"Pending")</f>
        <v>Pending</v>
      </c>
      <c r="S927" s="6" t="str">
        <f ca="1">IFERROR(__xludf.DUMMYFUNCTION("""COMPUTED_VALUE"""),"NonCategory")</f>
        <v>NonCategory</v>
      </c>
      <c r="T927" s="6"/>
      <c r="U927" s="6"/>
      <c r="V927" s="6"/>
      <c r="W927" s="6"/>
      <c r="X927" s="6"/>
      <c r="Y927" s="6"/>
      <c r="Z927" s="6"/>
      <c r="AA927" s="6"/>
      <c r="AB927" s="6"/>
      <c r="AC927" s="6"/>
      <c r="AD927" s="6"/>
      <c r="AE927" s="6"/>
      <c r="AF927" s="6"/>
      <c r="AG927" s="6"/>
      <c r="AH927" s="6"/>
      <c r="AI927" s="6"/>
      <c r="AJ927" s="6"/>
      <c r="AK927" s="6"/>
      <c r="AL927" s="6"/>
    </row>
    <row r="928" spans="1:38">
      <c r="A928" s="96">
        <f ca="1">IFERROR(__xludf.DUMMYFUNCTION("""COMPUTED_VALUE"""),44642)</f>
        <v>44642</v>
      </c>
      <c r="B928" s="6" t="str">
        <f ca="1">IFERROR(__xludf.DUMMYFUNCTION("""COMPUTED_VALUE"""),"Neha Jain")</f>
        <v>Neha Jain</v>
      </c>
      <c r="C928" s="6" t="str">
        <f ca="1">IFERROR(__xludf.DUMMYFUNCTION("""COMPUTED_VALUE"""),"drnehajain.hmis@gmail.com")</f>
        <v>drnehajain.hmis@gmail.com</v>
      </c>
      <c r="D928" s="6">
        <f ca="1">IFERROR(__xludf.DUMMYFUNCTION("""COMPUTED_VALUE"""),9718933580)</f>
        <v>9718933580</v>
      </c>
      <c r="E928" s="6" t="str">
        <f ca="1">IFERROR(__xludf.DUMMYFUNCTION("""COMPUTED_VALUE"""),"na-payment")</f>
        <v>na-payment</v>
      </c>
      <c r="F928" s="6" t="str">
        <f ca="1">IFERROR(__xludf.DUMMYFUNCTION("""COMPUTED_VALUE"""),"PSM")</f>
        <v>PSM</v>
      </c>
      <c r="G928" s="80">
        <f ca="1">IFERROR(__xludf.DUMMYFUNCTION("""COMPUTED_VALUE"""),44621)</f>
        <v>44621</v>
      </c>
      <c r="H928" s="6" t="str">
        <f ca="1">IFERROR(__xludf.DUMMYFUNCTION("""COMPUTED_VALUE"""),"Won")</f>
        <v>Won</v>
      </c>
      <c r="I928" s="6" t="str">
        <f ca="1">IFERROR(__xludf.DUMMYFUNCTION("""COMPUTED_VALUE"""),"2-3 April 2022")</f>
        <v>2-3 April 2022</v>
      </c>
      <c r="J928" s="6">
        <f ca="1">IFERROR(__xludf.DUMMYFUNCTION("""COMPUTED_VALUE"""),1)</f>
        <v>1</v>
      </c>
      <c r="K928" s="8">
        <f ca="1">IFERROR(__xludf.DUMMYFUNCTION("""COMPUTED_VALUE"""),21000)</f>
        <v>21000</v>
      </c>
      <c r="L928" s="8">
        <f ca="1">IFERROR(__xludf.DUMMYFUNCTION("""COMPUTED_VALUE"""),240.494732020155)</f>
        <v>240.494732020155</v>
      </c>
      <c r="M928" s="96">
        <f ca="1">IFERROR(__xludf.DUMMYFUNCTION("""COMPUTED_VALUE"""),44642)</f>
        <v>44642</v>
      </c>
      <c r="N928" s="6" t="str">
        <f ca="1">IFERROR(__xludf.DUMMYFUNCTION("""COMPUTED_VALUE"""),"T10")</f>
        <v>T10</v>
      </c>
      <c r="O928" s="97">
        <f ca="1">IFERROR(__xludf.DUMMYFUNCTION("""COMPUTED_VALUE"""),44642)</f>
        <v>44642</v>
      </c>
      <c r="P928" s="6" t="str">
        <f ca="1">IFERROR(__xludf.DUMMYFUNCTION("""COMPUTED_VALUE"""),"CSTM_55OK3VVPXNC")</f>
        <v>CSTM_55OK3VVPXNC</v>
      </c>
      <c r="Q928" s="6"/>
      <c r="R928" s="6" t="str">
        <f ca="1">IFERROR(__xludf.DUMMYFUNCTION("""COMPUTED_VALUE"""),"Pending")</f>
        <v>Pending</v>
      </c>
      <c r="S928" s="6" t="str">
        <f ca="1">IFERROR(__xludf.DUMMYFUNCTION("""COMPUTED_VALUE"""),"Category")</f>
        <v>Category</v>
      </c>
      <c r="T928" s="6"/>
      <c r="U928" s="6"/>
      <c r="V928" s="6"/>
      <c r="W928" s="6"/>
      <c r="X928" s="6"/>
      <c r="Y928" s="6"/>
      <c r="Z928" s="6"/>
      <c r="AA928" s="6"/>
      <c r="AB928" s="6"/>
      <c r="AC928" s="6"/>
      <c r="AD928" s="6"/>
      <c r="AE928" s="6"/>
      <c r="AF928" s="6"/>
      <c r="AG928" s="6"/>
      <c r="AH928" s="6"/>
      <c r="AI928" s="6"/>
      <c r="AJ928" s="6"/>
      <c r="AK928" s="6"/>
      <c r="AL928" s="6"/>
    </row>
    <row r="929" spans="1:38">
      <c r="A929" s="96">
        <f ca="1">IFERROR(__xludf.DUMMYFUNCTION("""COMPUTED_VALUE"""),44643)</f>
        <v>44643</v>
      </c>
      <c r="B929" s="6" t="str">
        <f ca="1">IFERROR(__xludf.DUMMYFUNCTION("""COMPUTED_VALUE"""),"Deepak")</f>
        <v>Deepak</v>
      </c>
      <c r="C929" s="6" t="str">
        <f ca="1">IFERROR(__xludf.DUMMYFUNCTION("""COMPUTED_VALUE"""),"dtdeepakroadie@gmail.com")</f>
        <v>dtdeepakroadie@gmail.com</v>
      </c>
      <c r="D929" s="6">
        <f ca="1">IFERROR(__xludf.DUMMYFUNCTION("""COMPUTED_VALUE"""),9884431699)</f>
        <v>9884431699</v>
      </c>
      <c r="E929" s="6" t="str">
        <f ca="1">IFERROR(__xludf.DUMMYFUNCTION("""COMPUTED_VALUE"""),"chat_initiated")</f>
        <v>chat_initiated</v>
      </c>
      <c r="F929" s="6" t="str">
        <f ca="1">IFERROR(__xludf.DUMMYFUNCTION("""COMPUTED_VALUE"""),"CSM")</f>
        <v>CSM</v>
      </c>
      <c r="G929" s="80">
        <f ca="1">IFERROR(__xludf.DUMMYFUNCTION("""COMPUTED_VALUE"""),44621)</f>
        <v>44621</v>
      </c>
      <c r="H929" s="6" t="str">
        <f ca="1">IFERROR(__xludf.DUMMYFUNCTION("""COMPUTED_VALUE"""),"Won")</f>
        <v>Won</v>
      </c>
      <c r="I929" s="6" t="str">
        <f ca="1">IFERROR(__xludf.DUMMYFUNCTION("""COMPUTED_VALUE"""),"2-3 April 2022")</f>
        <v>2-3 April 2022</v>
      </c>
      <c r="J929" s="6">
        <f ca="1">IFERROR(__xludf.DUMMYFUNCTION("""COMPUTED_VALUE"""),1)</f>
        <v>1</v>
      </c>
      <c r="K929" s="8">
        <f ca="1">IFERROR(__xludf.DUMMYFUNCTION("""COMPUTED_VALUE"""),20000)</f>
        <v>20000</v>
      </c>
      <c r="L929" s="8">
        <f ca="1">IFERROR(__xludf.DUMMYFUNCTION("""COMPUTED_VALUE"""),229.042601923957)</f>
        <v>229.04260192395699</v>
      </c>
      <c r="M929" s="96">
        <f ca="1">IFERROR(__xludf.DUMMYFUNCTION("""COMPUTED_VALUE"""),44643)</f>
        <v>44643</v>
      </c>
      <c r="N929" s="6" t="str">
        <f ca="1">IFERROR(__xludf.DUMMYFUNCTION("""COMPUTED_VALUE"""),"T10")</f>
        <v>T10</v>
      </c>
      <c r="O929" s="97">
        <f ca="1">IFERROR(__xludf.DUMMYFUNCTION("""COMPUTED_VALUE"""),44643)</f>
        <v>44643</v>
      </c>
      <c r="P929" s="6" t="str">
        <f ca="1">IFERROR(__xludf.DUMMYFUNCTION("""COMPUTED_VALUE"""),"CSTM_B2KVPUTCHRF")</f>
        <v>CSTM_B2KVPUTCHRF</v>
      </c>
      <c r="Q929" s="6"/>
      <c r="R929" s="6" t="str">
        <f ca="1">IFERROR(__xludf.DUMMYFUNCTION("""COMPUTED_VALUE"""),"Pending")</f>
        <v>Pending</v>
      </c>
      <c r="S929" s="6" t="str">
        <f ca="1">IFERROR(__xludf.DUMMYFUNCTION("""COMPUTED_VALUE"""),"Category")</f>
        <v>Category</v>
      </c>
      <c r="T929" s="6"/>
      <c r="U929" s="6"/>
      <c r="V929" s="6"/>
      <c r="W929" s="6"/>
      <c r="X929" s="6"/>
      <c r="Y929" s="6"/>
      <c r="Z929" s="6"/>
      <c r="AA929" s="6"/>
      <c r="AB929" s="6"/>
      <c r="AC929" s="6"/>
      <c r="AD929" s="6"/>
      <c r="AE929" s="6"/>
      <c r="AF929" s="6"/>
      <c r="AG929" s="6"/>
      <c r="AH929" s="6"/>
      <c r="AI929" s="6"/>
      <c r="AJ929" s="6"/>
      <c r="AK929" s="6"/>
      <c r="AL929" s="6"/>
    </row>
    <row r="930" spans="1:38">
      <c r="A930" s="96">
        <f ca="1">IFERROR(__xludf.DUMMYFUNCTION("""COMPUTED_VALUE"""),44643)</f>
        <v>44643</v>
      </c>
      <c r="B930" s="6" t="str">
        <f ca="1">IFERROR(__xludf.DUMMYFUNCTION("""COMPUTED_VALUE"""),"Shashank")</f>
        <v>Shashank</v>
      </c>
      <c r="C930" s="6" t="str">
        <f ca="1">IFERROR(__xludf.DUMMYFUNCTION("""COMPUTED_VALUE"""),"shashank.bharadwaj988@gmail.com")</f>
        <v>shashank.bharadwaj988@gmail.com</v>
      </c>
      <c r="D930" s="6">
        <f ca="1">IFERROR(__xludf.DUMMYFUNCTION("""COMPUTED_VALUE"""),9818521981)</f>
        <v>9818521981</v>
      </c>
      <c r="E930" s="6" t="str">
        <f ca="1">IFERROR(__xludf.DUMMYFUNCTION("""COMPUTED_VALUE"""),"Reference")</f>
        <v>Reference</v>
      </c>
      <c r="F930" s="6" t="str">
        <f ca="1">IFERROR(__xludf.DUMMYFUNCTION("""COMPUTED_VALUE"""),"PSM")</f>
        <v>PSM</v>
      </c>
      <c r="G930" s="80">
        <f ca="1">IFERROR(__xludf.DUMMYFUNCTION("""COMPUTED_VALUE"""),44621)</f>
        <v>44621</v>
      </c>
      <c r="H930" s="6" t="str">
        <f ca="1">IFERROR(__xludf.DUMMYFUNCTION("""COMPUTED_VALUE"""),"Won")</f>
        <v>Won</v>
      </c>
      <c r="I930" s="6" t="str">
        <f ca="1">IFERROR(__xludf.DUMMYFUNCTION("""COMPUTED_VALUE"""),"23-24 April 2022")</f>
        <v>23-24 April 2022</v>
      </c>
      <c r="J930" s="6">
        <f ca="1">IFERROR(__xludf.DUMMYFUNCTION("""COMPUTED_VALUE"""),1)</f>
        <v>1</v>
      </c>
      <c r="K930" s="8">
        <f ca="1">IFERROR(__xludf.DUMMYFUNCTION("""COMPUTED_VALUE"""),21000)</f>
        <v>21000</v>
      </c>
      <c r="L930" s="8">
        <f ca="1">IFERROR(__xludf.DUMMYFUNCTION("""COMPUTED_VALUE"""),240.494732020155)</f>
        <v>240.494732020155</v>
      </c>
      <c r="M930" s="96">
        <f ca="1">IFERROR(__xludf.DUMMYFUNCTION("""COMPUTED_VALUE"""),44643)</f>
        <v>44643</v>
      </c>
      <c r="N930" s="6" t="str">
        <f ca="1">IFERROR(__xludf.DUMMYFUNCTION("""COMPUTED_VALUE"""),"T10")</f>
        <v>T10</v>
      </c>
      <c r="O930" s="97">
        <f ca="1">IFERROR(__xludf.DUMMYFUNCTION("""COMPUTED_VALUE"""),44643)</f>
        <v>44643</v>
      </c>
      <c r="P930" s="6" t="str">
        <f ca="1">IFERROR(__xludf.DUMMYFUNCTION("""COMPUTED_VALUE"""),"CSTM_1GAWP35WPF2")</f>
        <v>CSTM_1GAWP35WPF2</v>
      </c>
      <c r="Q930" s="6" t="str">
        <f ca="1">IFERROR(__xludf.DUMMYFUNCTION("""COMPUTED_VALUE"""),"Reference by vin24.kamra@gmail.com")</f>
        <v>Reference by vin24.kamra@gmail.com</v>
      </c>
      <c r="R930" s="6" t="str">
        <f ca="1">IFERROR(__xludf.DUMMYFUNCTION("""COMPUTED_VALUE"""),"Pending")</f>
        <v>Pending</v>
      </c>
      <c r="S930" s="6" t="str">
        <f ca="1">IFERROR(__xludf.DUMMYFUNCTION("""COMPUTED_VALUE"""),"Category")</f>
        <v>Category</v>
      </c>
      <c r="T930" s="6"/>
      <c r="U930" s="6"/>
      <c r="V930" s="6"/>
      <c r="W930" s="6"/>
      <c r="X930" s="6"/>
      <c r="Y930" s="6"/>
      <c r="Z930" s="6"/>
      <c r="AA930" s="6"/>
      <c r="AB930" s="6"/>
      <c r="AC930" s="6"/>
      <c r="AD930" s="6"/>
      <c r="AE930" s="6"/>
      <c r="AF930" s="6"/>
      <c r="AG930" s="6"/>
      <c r="AH930" s="6"/>
      <c r="AI930" s="6"/>
      <c r="AJ930" s="6"/>
      <c r="AK930" s="6"/>
      <c r="AL930" s="6"/>
    </row>
    <row r="931" spans="1:38">
      <c r="A931" s="96">
        <f ca="1">IFERROR(__xludf.DUMMYFUNCTION("""COMPUTED_VALUE"""),44644)</f>
        <v>44644</v>
      </c>
      <c r="B931" s="6" t="str">
        <f ca="1">IFERROR(__xludf.DUMMYFUNCTION("""COMPUTED_VALUE"""),"Neha Kakkar")</f>
        <v>Neha Kakkar</v>
      </c>
      <c r="C931" s="6" t="str">
        <f ca="1">IFERROR(__xludf.DUMMYFUNCTION("""COMPUTED_VALUE"""),"neha01.kakkar@gmail.com")</f>
        <v>neha01.kakkar@gmail.com</v>
      </c>
      <c r="D931" s="6">
        <f ca="1">IFERROR(__xludf.DUMMYFUNCTION("""COMPUTED_VALUE"""),7507625286)</f>
        <v>7507625286</v>
      </c>
      <c r="E931" s="6" t="str">
        <f ca="1">IFERROR(__xludf.DUMMYFUNCTION("""COMPUTED_VALUE"""),"Reference")</f>
        <v>Reference</v>
      </c>
      <c r="F931" s="6" t="str">
        <f ca="1">IFERROR(__xludf.DUMMYFUNCTION("""COMPUTED_VALUE"""),"PSM")</f>
        <v>PSM</v>
      </c>
      <c r="G931" s="80">
        <f ca="1">IFERROR(__xludf.DUMMYFUNCTION("""COMPUTED_VALUE"""),44621)</f>
        <v>44621</v>
      </c>
      <c r="H931" s="6" t="str">
        <f ca="1">IFERROR(__xludf.DUMMYFUNCTION("""COMPUTED_VALUE"""),"Opportunity")</f>
        <v>Opportunity</v>
      </c>
      <c r="I931" s="6" t="str">
        <f ca="1">IFERROR(__xludf.DUMMYFUNCTION("""COMPUTED_VALUE"""),"26-27 April 2022")</f>
        <v>26-27 April 2022</v>
      </c>
      <c r="J931" s="6">
        <f ca="1">IFERROR(__xludf.DUMMYFUNCTION("""COMPUTED_VALUE"""),1)</f>
        <v>1</v>
      </c>
      <c r="K931" s="8">
        <f ca="1">IFERROR(__xludf.DUMMYFUNCTION("""COMPUTED_VALUE"""),20500)</f>
        <v>20500</v>
      </c>
      <c r="L931" s="8">
        <f ca="1">IFERROR(__xludf.DUMMYFUNCTION("""COMPUTED_VALUE"""),234.768666972056)</f>
        <v>234.768666972056</v>
      </c>
      <c r="M931" s="96">
        <f ca="1">IFERROR(__xludf.DUMMYFUNCTION("""COMPUTED_VALUE"""),44644)</f>
        <v>44644</v>
      </c>
      <c r="N931" s="6"/>
      <c r="O931" s="97"/>
      <c r="P931" s="6"/>
      <c r="Q931" s="6"/>
      <c r="R931" s="6"/>
      <c r="S931" s="6" t="str">
        <f ca="1">IFERROR(__xludf.DUMMYFUNCTION("""COMPUTED_VALUE"""),"Category")</f>
        <v>Category</v>
      </c>
      <c r="T931" s="6"/>
      <c r="U931" s="6"/>
      <c r="V931" s="6"/>
      <c r="W931" s="6"/>
      <c r="X931" s="6"/>
      <c r="Y931" s="6"/>
      <c r="Z931" s="6"/>
      <c r="AA931" s="6"/>
      <c r="AB931" s="6"/>
      <c r="AC931" s="6"/>
      <c r="AD931" s="6"/>
      <c r="AE931" s="6"/>
      <c r="AF931" s="6"/>
      <c r="AG931" s="6"/>
      <c r="AH931" s="6"/>
      <c r="AI931" s="6"/>
      <c r="AJ931" s="6"/>
      <c r="AK931" s="6"/>
      <c r="AL931" s="6"/>
    </row>
    <row r="932" spans="1:38">
      <c r="A932" s="96">
        <f ca="1">IFERROR(__xludf.DUMMYFUNCTION("""COMPUTED_VALUE"""),44644)</f>
        <v>44644</v>
      </c>
      <c r="B932" s="6" t="str">
        <f ca="1">IFERROR(__xludf.DUMMYFUNCTION("""COMPUTED_VALUE"""),"Narayana Surya")</f>
        <v>Narayana Surya</v>
      </c>
      <c r="C932" s="6" t="str">
        <f ca="1">IFERROR(__xludf.DUMMYFUNCTION("""COMPUTED_VALUE"""),"narayanansurya433@gmail.com")</f>
        <v>narayanansurya433@gmail.com</v>
      </c>
      <c r="D932" s="6">
        <f ca="1">IFERROR(__xludf.DUMMYFUNCTION("""COMPUTED_VALUE"""),6385749715)</f>
        <v>6385749715</v>
      </c>
      <c r="E932" s="6" t="str">
        <f ca="1">IFERROR(__xludf.DUMMYFUNCTION("""COMPUTED_VALUE"""),"Reference")</f>
        <v>Reference</v>
      </c>
      <c r="F932" s="6" t="str">
        <f ca="1">IFERROR(__xludf.DUMMYFUNCTION("""COMPUTED_VALUE"""),"PGP Cyber Security")</f>
        <v>PGP Cyber Security</v>
      </c>
      <c r="G932" s="80">
        <f ca="1">IFERROR(__xludf.DUMMYFUNCTION("""COMPUTED_VALUE"""),44621)</f>
        <v>44621</v>
      </c>
      <c r="H932" s="6" t="str">
        <f ca="1">IFERROR(__xludf.DUMMYFUNCTION("""COMPUTED_VALUE"""),"Won")</f>
        <v>Won</v>
      </c>
      <c r="I932" s="6" t="str">
        <f ca="1">IFERROR(__xludf.DUMMYFUNCTION("""COMPUTED_VALUE"""),"24 March 2022")</f>
        <v>24 March 2022</v>
      </c>
      <c r="J932" s="6">
        <f ca="1">IFERROR(__xludf.DUMMYFUNCTION("""COMPUTED_VALUE"""),1)</f>
        <v>1</v>
      </c>
      <c r="K932" s="8">
        <f ca="1">IFERROR(__xludf.DUMMYFUNCTION("""COMPUTED_VALUE"""),89250)</f>
        <v>89250</v>
      </c>
      <c r="L932" s="8">
        <f ca="1">IFERROR(__xludf.DUMMYFUNCTION("""COMPUTED_VALUE"""),1022.10261108566)</f>
        <v>1022.10261108566</v>
      </c>
      <c r="M932" s="96">
        <f ca="1">IFERROR(__xludf.DUMMYFUNCTION("""COMPUTED_VALUE"""),44644)</f>
        <v>44644</v>
      </c>
      <c r="N932" s="6" t="str">
        <f ca="1">IFERROR(__xludf.DUMMYFUNCTION("""COMPUTED_VALUE"""),"T10")</f>
        <v>T10</v>
      </c>
      <c r="O932" s="97">
        <f ca="1">IFERROR(__xludf.DUMMYFUNCTION("""COMPUTED_VALUE"""),44644)</f>
        <v>44644</v>
      </c>
      <c r="P932" s="6" t="str">
        <f ca="1">IFERROR(__xludf.DUMMYFUNCTION("""COMPUTED_VALUE"""),"CSTM_H1JN7KYNDT2")</f>
        <v>CSTM_H1JN7KYNDT2</v>
      </c>
      <c r="Q932" s="6" t="str">
        <f ca="1">IFERROR(__xludf.DUMMYFUNCTION("""COMPUTED_VALUE"""),"Reference by sweetshivi2707@gmail.com")</f>
        <v>Reference by sweetshivi2707@gmail.com</v>
      </c>
      <c r="R932" s="6" t="str">
        <f ca="1">IFERROR(__xludf.DUMMYFUNCTION("""COMPUTED_VALUE"""),"Pending")</f>
        <v>Pending</v>
      </c>
      <c r="S932" s="6" t="str">
        <f ca="1">IFERROR(__xludf.DUMMYFUNCTION("""COMPUTED_VALUE"""),"NonCategory")</f>
        <v>NonCategory</v>
      </c>
      <c r="T932" s="6"/>
      <c r="U932" s="6"/>
      <c r="V932" s="6"/>
      <c r="W932" s="6"/>
      <c r="X932" s="6"/>
      <c r="Y932" s="6"/>
      <c r="Z932" s="6"/>
      <c r="AA932" s="6"/>
      <c r="AB932" s="6"/>
      <c r="AC932" s="6"/>
      <c r="AD932" s="6"/>
      <c r="AE932" s="6"/>
      <c r="AF932" s="6"/>
      <c r="AG932" s="6"/>
      <c r="AH932" s="6"/>
      <c r="AI932" s="6"/>
      <c r="AJ932" s="6"/>
      <c r="AK932" s="6"/>
      <c r="AL932" s="6"/>
    </row>
    <row r="933" spans="1:38">
      <c r="A933" s="96">
        <f ca="1">IFERROR(__xludf.DUMMYFUNCTION("""COMPUTED_VALUE"""),44645)</f>
        <v>44645</v>
      </c>
      <c r="B933" s="6" t="str">
        <f ca="1">IFERROR(__xludf.DUMMYFUNCTION("""COMPUTED_VALUE"""),"Mruga Manoj Karulkar")</f>
        <v>Mruga Manoj Karulkar</v>
      </c>
      <c r="C933" s="6" t="str">
        <f ca="1">IFERROR(__xludf.DUMMYFUNCTION("""COMPUTED_VALUE"""),"mrugamanoj.karulkar@in.bosch.com")</f>
        <v>mrugamanoj.karulkar@in.bosch.com</v>
      </c>
      <c r="D933" s="6">
        <f ca="1">IFERROR(__xludf.DUMMYFUNCTION("""COMPUTED_VALUE"""),7984012633)</f>
        <v>7984012633</v>
      </c>
      <c r="E933" s="6" t="str">
        <f ca="1">IFERROR(__xludf.DUMMYFUNCTION("""COMPUTED_VALUE"""),"course agenda")</f>
        <v>course agenda</v>
      </c>
      <c r="F933" s="6" t="str">
        <f ca="1">IFERROR(__xludf.DUMMYFUNCTION("""COMPUTED_VALUE"""),"SAFe Agile")</f>
        <v>SAFe Agile</v>
      </c>
      <c r="G933" s="80">
        <f ca="1">IFERROR(__xludf.DUMMYFUNCTION("""COMPUTED_VALUE"""),44652)</f>
        <v>44652</v>
      </c>
      <c r="H933" s="6" t="str">
        <f ca="1">IFERROR(__xludf.DUMMYFUNCTION("""COMPUTED_VALUE"""),"Won")</f>
        <v>Won</v>
      </c>
      <c r="I933" s="6" t="str">
        <f ca="1">IFERROR(__xludf.DUMMYFUNCTION("""COMPUTED_VALUE"""),"23-24 April 2022")</f>
        <v>23-24 April 2022</v>
      </c>
      <c r="J933" s="6">
        <f ca="1">IFERROR(__xludf.DUMMYFUNCTION("""COMPUTED_VALUE"""),1)</f>
        <v>1</v>
      </c>
      <c r="K933" s="8">
        <f ca="1">IFERROR(__xludf.DUMMYFUNCTION("""COMPUTED_VALUE"""),42000)</f>
        <v>42000</v>
      </c>
      <c r="L933" s="8">
        <f ca="1">IFERROR(__xludf.DUMMYFUNCTION("""COMPUTED_VALUE"""),480.989464040311)</f>
        <v>480.98946404031102</v>
      </c>
      <c r="M933" s="96">
        <f ca="1">IFERROR(__xludf.DUMMYFUNCTION("""COMPUTED_VALUE"""),44645)</f>
        <v>44645</v>
      </c>
      <c r="N933" s="6" t="str">
        <f ca="1">IFERROR(__xludf.DUMMYFUNCTION("""COMPUTED_VALUE"""),"F10")</f>
        <v>F10</v>
      </c>
      <c r="O933" s="97">
        <f ca="1">IFERROR(__xludf.DUMMYFUNCTION("""COMPUTED_VALUE"""),44658)</f>
        <v>44658</v>
      </c>
      <c r="P933" s="6" t="str">
        <f ca="1">IFERROR(__xludf.DUMMYFUNCTION("""COMPUTED_VALUE"""),"CSTM_IV01GKFGZBR")</f>
        <v>CSTM_IV01GKFGZBR</v>
      </c>
      <c r="Q933" s="6"/>
      <c r="R933" s="6" t="str">
        <f ca="1">IFERROR(__xludf.DUMMYFUNCTION("""COMPUTED_VALUE"""),"Pending")</f>
        <v>Pending</v>
      </c>
      <c r="S933" s="6" t="str">
        <f ca="1">IFERROR(__xludf.DUMMYFUNCTION("""COMPUTED_VALUE"""),"SAFe")</f>
        <v>SAFe</v>
      </c>
      <c r="T933" s="6"/>
      <c r="U933" s="6"/>
      <c r="V933" s="6"/>
      <c r="W933" s="6"/>
      <c r="X933" s="6"/>
      <c r="Y933" s="6"/>
      <c r="Z933" s="6"/>
      <c r="AA933" s="6"/>
      <c r="AB933" s="6"/>
      <c r="AC933" s="6"/>
      <c r="AD933" s="6"/>
      <c r="AE933" s="6"/>
      <c r="AF933" s="6"/>
      <c r="AG933" s="6"/>
      <c r="AH933" s="6"/>
      <c r="AI933" s="6"/>
      <c r="AJ933" s="6"/>
      <c r="AK933" s="6"/>
      <c r="AL933" s="6"/>
    </row>
    <row r="934" spans="1:38">
      <c r="A934" s="96">
        <f ca="1">IFERROR(__xludf.DUMMYFUNCTION("""COMPUTED_VALUE"""),44647)</f>
        <v>44647</v>
      </c>
      <c r="B934" s="6" t="str">
        <f ca="1">IFERROR(__xludf.DUMMYFUNCTION("""COMPUTED_VALUE"""),"Arun Gaur")</f>
        <v>Arun Gaur</v>
      </c>
      <c r="C934" s="6" t="str">
        <f ca="1">IFERROR(__xludf.DUMMYFUNCTION("""COMPUTED_VALUE"""),"arungaur10@gmail.com")</f>
        <v>arungaur10@gmail.com</v>
      </c>
      <c r="D934" s="6">
        <f ca="1">IFERROR(__xludf.DUMMYFUNCTION("""COMPUTED_VALUE"""),9899400766)</f>
        <v>9899400766</v>
      </c>
      <c r="E934" s="6" t="str">
        <f ca="1">IFERROR(__xludf.DUMMYFUNCTION("""COMPUTED_VALUE"""),"Existing Account")</f>
        <v>Existing Account</v>
      </c>
      <c r="F934" s="6" t="str">
        <f ca="1">IFERROR(__xludf.DUMMYFUNCTION("""COMPUTED_VALUE"""),"PMP")</f>
        <v>PMP</v>
      </c>
      <c r="G934" s="80">
        <f ca="1">IFERROR(__xludf.DUMMYFUNCTION("""COMPUTED_VALUE"""),44621)</f>
        <v>44621</v>
      </c>
      <c r="H934" s="6" t="str">
        <f ca="1">IFERROR(__xludf.DUMMYFUNCTION("""COMPUTED_VALUE"""),"Won")</f>
        <v>Won</v>
      </c>
      <c r="I934" s="6" t="str">
        <f ca="1">IFERROR(__xludf.DUMMYFUNCTION("""COMPUTED_VALUE"""),"28 March 2022")</f>
        <v>28 March 2022</v>
      </c>
      <c r="J934" s="6">
        <f ca="1">IFERROR(__xludf.DUMMYFUNCTION("""COMPUTED_VALUE"""),1)</f>
        <v>1</v>
      </c>
      <c r="K934" s="8">
        <f ca="1">IFERROR(__xludf.DUMMYFUNCTION("""COMPUTED_VALUE"""),10000)</f>
        <v>10000</v>
      </c>
      <c r="L934" s="8">
        <f ca="1">IFERROR(__xludf.DUMMYFUNCTION("""COMPUTED_VALUE"""),114.521300961978)</f>
        <v>114.521300961978</v>
      </c>
      <c r="M934" s="96">
        <f ca="1">IFERROR(__xludf.DUMMYFUNCTION("""COMPUTED_VALUE"""),44647)</f>
        <v>44647</v>
      </c>
      <c r="N934" s="6" t="str">
        <f ca="1">IFERROR(__xludf.DUMMYFUNCTION("""COMPUTED_VALUE"""),"T10")</f>
        <v>T10</v>
      </c>
      <c r="O934" s="97">
        <f ca="1">IFERROR(__xludf.DUMMYFUNCTION("""COMPUTED_VALUE"""),44647)</f>
        <v>44647</v>
      </c>
      <c r="P934" s="6" t="str">
        <f ca="1">IFERROR(__xludf.DUMMYFUNCTION("""COMPUTED_VALUE"""),"CSTM_61DQA2JCRJX")</f>
        <v>CSTM_61DQA2JCRJX</v>
      </c>
      <c r="Q934" s="6"/>
      <c r="R934" s="6" t="str">
        <f ca="1">IFERROR(__xludf.DUMMYFUNCTION("""COMPUTED_VALUE"""),"Pending")</f>
        <v>Pending</v>
      </c>
      <c r="S934" s="6" t="str">
        <f ca="1">IFERROR(__xludf.DUMMYFUNCTION("""COMPUTED_VALUE"""),"NonCategory")</f>
        <v>NonCategory</v>
      </c>
      <c r="T934" s="6"/>
      <c r="U934" s="6"/>
      <c r="V934" s="6"/>
      <c r="W934" s="6"/>
      <c r="X934" s="6"/>
      <c r="Y934" s="6"/>
      <c r="Z934" s="6"/>
      <c r="AA934" s="6"/>
      <c r="AB934" s="6"/>
      <c r="AC934" s="6"/>
      <c r="AD934" s="6"/>
      <c r="AE934" s="6"/>
      <c r="AF934" s="6"/>
      <c r="AG934" s="6"/>
      <c r="AH934" s="6"/>
      <c r="AI934" s="6"/>
      <c r="AJ934" s="6"/>
      <c r="AK934" s="6"/>
      <c r="AL934" s="6"/>
    </row>
    <row r="935" spans="1:38">
      <c r="A935" s="96">
        <f ca="1">IFERROR(__xludf.DUMMYFUNCTION("""COMPUTED_VALUE"""),44648)</f>
        <v>44648</v>
      </c>
      <c r="B935" s="6" t="str">
        <f ca="1">IFERROR(__xludf.DUMMYFUNCTION("""COMPUTED_VALUE"""),"Yash Jain")</f>
        <v>Yash Jain</v>
      </c>
      <c r="C935" s="6" t="str">
        <f ca="1">IFERROR(__xludf.DUMMYFUNCTION("""COMPUTED_VALUE"""),"yashjuly2@gmail.com")</f>
        <v>yashjuly2@gmail.com</v>
      </c>
      <c r="D935" s="6">
        <f ca="1">IFERROR(__xludf.DUMMYFUNCTION("""COMPUTED_VALUE"""),9424821441)</f>
        <v>9424821441</v>
      </c>
      <c r="E935" s="6" t="str">
        <f ca="1">IFERROR(__xludf.DUMMYFUNCTION("""COMPUTED_VALUE"""),"Tollfree")</f>
        <v>Tollfree</v>
      </c>
      <c r="F935" s="6" t="str">
        <f ca="1">IFERROR(__xludf.DUMMYFUNCTION("""COMPUTED_VALUE"""),"PSPO")</f>
        <v>PSPO</v>
      </c>
      <c r="G935" s="80">
        <f ca="1">IFERROR(__xludf.DUMMYFUNCTION("""COMPUTED_VALUE"""),44621)</f>
        <v>44621</v>
      </c>
      <c r="H935" s="6" t="str">
        <f ca="1">IFERROR(__xludf.DUMMYFUNCTION("""COMPUTED_VALUE"""),"Won")</f>
        <v>Won</v>
      </c>
      <c r="I935" s="6" t="str">
        <f ca="1">IFERROR(__xludf.DUMMYFUNCTION("""COMPUTED_VALUE"""),"2-3 April 2022")</f>
        <v>2-3 April 2022</v>
      </c>
      <c r="J935" s="6">
        <f ca="1">IFERROR(__xludf.DUMMYFUNCTION("""COMPUTED_VALUE"""),1)</f>
        <v>1</v>
      </c>
      <c r="K935" s="8">
        <f ca="1">IFERROR(__xludf.DUMMYFUNCTION("""COMPUTED_VALUE"""),21000)</f>
        <v>21000</v>
      </c>
      <c r="L935" s="8">
        <f ca="1">IFERROR(__xludf.DUMMYFUNCTION("""COMPUTED_VALUE"""),240.494732020155)</f>
        <v>240.494732020155</v>
      </c>
      <c r="M935" s="96">
        <f ca="1">IFERROR(__xludf.DUMMYFUNCTION("""COMPUTED_VALUE"""),44648)</f>
        <v>44648</v>
      </c>
      <c r="N935" s="6" t="str">
        <f ca="1">IFERROR(__xludf.DUMMYFUNCTION("""COMPUTED_VALUE"""),"T10")</f>
        <v>T10</v>
      </c>
      <c r="O935" s="97">
        <f ca="1">IFERROR(__xludf.DUMMYFUNCTION("""COMPUTED_VALUE"""),44648)</f>
        <v>44648</v>
      </c>
      <c r="P935" s="6" t="str">
        <f ca="1">IFERROR(__xludf.DUMMYFUNCTION("""COMPUTED_VALUE"""),"CSTM_RXLFFYIRP0")</f>
        <v>CSTM_RXLFFYIRP0</v>
      </c>
      <c r="Q935" s="6"/>
      <c r="R935" s="6" t="str">
        <f ca="1">IFERROR(__xludf.DUMMYFUNCTION("""COMPUTED_VALUE"""),"Pending")</f>
        <v>Pending</v>
      </c>
      <c r="S935" s="6" t="str">
        <f ca="1">IFERROR(__xludf.DUMMYFUNCTION("""COMPUTED_VALUE"""),"Category")</f>
        <v>Category</v>
      </c>
      <c r="T935" s="6"/>
      <c r="U935" s="6"/>
      <c r="V935" s="6"/>
      <c r="W935" s="6"/>
      <c r="X935" s="6"/>
      <c r="Y935" s="6"/>
      <c r="Z935" s="6"/>
      <c r="AA935" s="6"/>
      <c r="AB935" s="6"/>
      <c r="AC935" s="6"/>
      <c r="AD935" s="6"/>
      <c r="AE935" s="6"/>
      <c r="AF935" s="6"/>
      <c r="AG935" s="6"/>
      <c r="AH935" s="6"/>
      <c r="AI935" s="6"/>
      <c r="AJ935" s="6"/>
      <c r="AK935" s="6"/>
      <c r="AL935" s="6"/>
    </row>
    <row r="936" spans="1:38">
      <c r="A936" s="96">
        <f ca="1">IFERROR(__xludf.DUMMYFUNCTION("""COMPUTED_VALUE"""),44649)</f>
        <v>44649</v>
      </c>
      <c r="B936" s="6" t="str">
        <f ca="1">IFERROR(__xludf.DUMMYFUNCTION("""COMPUTED_VALUE"""),"Swetha Bommidyala")</f>
        <v>Swetha Bommidyala</v>
      </c>
      <c r="C936" s="6" t="str">
        <f ca="1">IFERROR(__xludf.DUMMYFUNCTION("""COMPUTED_VALUE"""),"swethabommidyala@gmail.com")</f>
        <v>swethabommidyala@gmail.com</v>
      </c>
      <c r="D936" s="6">
        <f ca="1">IFERROR(__xludf.DUMMYFUNCTION("""COMPUTED_VALUE"""),9177454927)</f>
        <v>9177454927</v>
      </c>
      <c r="E936" s="6" t="str">
        <f ca="1">IFERROR(__xludf.DUMMYFUNCTION("""COMPUTED_VALUE"""),"Reference")</f>
        <v>Reference</v>
      </c>
      <c r="F936" s="6" t="str">
        <f ca="1">IFERROR(__xludf.DUMMYFUNCTION("""COMPUTED_VALUE"""),"Azure Cloud Architect")</f>
        <v>Azure Cloud Architect</v>
      </c>
      <c r="G936" s="80">
        <f ca="1">IFERROR(__xludf.DUMMYFUNCTION("""COMPUTED_VALUE"""),44621)</f>
        <v>44621</v>
      </c>
      <c r="H936" s="6" t="str">
        <f ca="1">IFERROR(__xludf.DUMMYFUNCTION("""COMPUTED_VALUE"""),"Won")</f>
        <v>Won</v>
      </c>
      <c r="I936" s="6" t="str">
        <f ca="1">IFERROR(__xludf.DUMMYFUNCTION("""COMPUTED_VALUE"""),"29 March 2022")</f>
        <v>29 March 2022</v>
      </c>
      <c r="J936" s="6">
        <f ca="1">IFERROR(__xludf.DUMMYFUNCTION("""COMPUTED_VALUE"""),1)</f>
        <v>1</v>
      </c>
      <c r="K936" s="8">
        <f ca="1">IFERROR(__xludf.DUMMYFUNCTION("""COMPUTED_VALUE"""),32000)</f>
        <v>32000</v>
      </c>
      <c r="L936" s="8">
        <f ca="1">IFERROR(__xludf.DUMMYFUNCTION("""COMPUTED_VALUE"""),366.468163078332)</f>
        <v>366.468163078332</v>
      </c>
      <c r="M936" s="96">
        <f ca="1">IFERROR(__xludf.DUMMYFUNCTION("""COMPUTED_VALUE"""),44649)</f>
        <v>44649</v>
      </c>
      <c r="N936" s="6" t="str">
        <f ca="1">IFERROR(__xludf.DUMMYFUNCTION("""COMPUTED_VALUE"""),"T10")</f>
        <v>T10</v>
      </c>
      <c r="O936" s="97">
        <f ca="1">IFERROR(__xludf.DUMMYFUNCTION("""COMPUTED_VALUE"""),44649)</f>
        <v>44649</v>
      </c>
      <c r="P936" s="6" t="str">
        <f ca="1">IFERROR(__xludf.DUMMYFUNCTION("""COMPUTED_VALUE"""),"CSTM_484QQ39WTZP")</f>
        <v>CSTM_484QQ39WTZP</v>
      </c>
      <c r="Q936" s="6" t="str">
        <f ca="1">IFERROR(__xludf.DUMMYFUNCTION("""COMPUTED_VALUE"""),"Reference by sweetshivi2707@gmail.com")</f>
        <v>Reference by sweetshivi2707@gmail.com</v>
      </c>
      <c r="R936" s="6" t="str">
        <f ca="1">IFERROR(__xludf.DUMMYFUNCTION("""COMPUTED_VALUE"""),"Pending")</f>
        <v>Pending</v>
      </c>
      <c r="S936" s="6" t="str">
        <f ca="1">IFERROR(__xludf.DUMMYFUNCTION("""COMPUTED_VALUE"""),"NonCategory")</f>
        <v>NonCategory</v>
      </c>
      <c r="T936" s="6"/>
      <c r="U936" s="6"/>
      <c r="V936" s="6"/>
      <c r="W936" s="6"/>
      <c r="X936" s="6"/>
      <c r="Y936" s="6"/>
      <c r="Z936" s="6"/>
      <c r="AA936" s="6"/>
      <c r="AB936" s="6"/>
      <c r="AC936" s="6"/>
      <c r="AD936" s="6"/>
      <c r="AE936" s="6"/>
      <c r="AF936" s="6"/>
      <c r="AG936" s="6"/>
      <c r="AH936" s="6"/>
      <c r="AI936" s="6"/>
      <c r="AJ936" s="6"/>
      <c r="AK936" s="6"/>
      <c r="AL936" s="6"/>
    </row>
    <row r="937" spans="1:38">
      <c r="A937" s="96">
        <f ca="1">IFERROR(__xludf.DUMMYFUNCTION("""COMPUTED_VALUE"""),44649)</f>
        <v>44649</v>
      </c>
      <c r="B937" s="6" t="str">
        <f ca="1">IFERROR(__xludf.DUMMYFUNCTION("""COMPUTED_VALUE"""),"Raja Balasubramaniyam")</f>
        <v>Raja Balasubramaniyam</v>
      </c>
      <c r="C937" s="6" t="str">
        <f ca="1">IFERROR(__xludf.DUMMYFUNCTION("""COMPUTED_VALUE"""),"raja.srm1@gmail.com")</f>
        <v>raja.srm1@gmail.com</v>
      </c>
      <c r="D937" s="6">
        <f ca="1">IFERROR(__xludf.DUMMYFUNCTION("""COMPUTED_VALUE"""),9344347970)</f>
        <v>9344347970</v>
      </c>
      <c r="E937" s="6" t="str">
        <f ca="1">IFERROR(__xludf.DUMMYFUNCTION("""COMPUTED_VALUE"""),"Existing Account")</f>
        <v>Existing Account</v>
      </c>
      <c r="F937" s="6" t="str">
        <f ca="1">IFERROR(__xludf.DUMMYFUNCTION("""COMPUTED_VALUE"""),"CSM")</f>
        <v>CSM</v>
      </c>
      <c r="G937" s="80">
        <f ca="1">IFERROR(__xludf.DUMMYFUNCTION("""COMPUTED_VALUE"""),44621)</f>
        <v>44621</v>
      </c>
      <c r="H937" s="6" t="str">
        <f ca="1">IFERROR(__xludf.DUMMYFUNCTION("""COMPUTED_VALUE"""),"Opportunity")</f>
        <v>Opportunity</v>
      </c>
      <c r="I937" s="6" t="str">
        <f ca="1">IFERROR(__xludf.DUMMYFUNCTION("""COMPUTED_VALUE"""),"2-3 April 2022")</f>
        <v>2-3 April 2022</v>
      </c>
      <c r="J937" s="6">
        <f ca="1">IFERROR(__xludf.DUMMYFUNCTION("""COMPUTED_VALUE"""),1)</f>
        <v>1</v>
      </c>
      <c r="K937" s="8">
        <f ca="1">IFERROR(__xludf.DUMMYFUNCTION("""COMPUTED_VALUE"""),20000)</f>
        <v>20000</v>
      </c>
      <c r="L937" s="8">
        <f ca="1">IFERROR(__xludf.DUMMYFUNCTION("""COMPUTED_VALUE"""),229.042601923957)</f>
        <v>229.04260192395699</v>
      </c>
      <c r="M937" s="96">
        <f ca="1">IFERROR(__xludf.DUMMYFUNCTION("""COMPUTED_VALUE"""),44649)</f>
        <v>44649</v>
      </c>
      <c r="N937" s="6"/>
      <c r="O937" s="97"/>
      <c r="P937" s="6"/>
      <c r="Q937" s="6"/>
      <c r="R937" s="6"/>
      <c r="S937" s="6" t="str">
        <f ca="1">IFERROR(__xludf.DUMMYFUNCTION("""COMPUTED_VALUE"""),"Category")</f>
        <v>Category</v>
      </c>
      <c r="T937" s="6"/>
      <c r="U937" s="6"/>
      <c r="V937" s="6"/>
      <c r="W937" s="6"/>
      <c r="X937" s="6"/>
      <c r="Y937" s="6"/>
      <c r="Z937" s="6"/>
      <c r="AA937" s="6"/>
      <c r="AB937" s="6"/>
      <c r="AC937" s="6"/>
      <c r="AD937" s="6"/>
      <c r="AE937" s="6"/>
      <c r="AF937" s="6"/>
      <c r="AG937" s="6"/>
      <c r="AH937" s="6"/>
      <c r="AI937" s="6"/>
      <c r="AJ937" s="6"/>
      <c r="AK937" s="6"/>
      <c r="AL937" s="6"/>
    </row>
    <row r="938" spans="1:38">
      <c r="A938" s="96">
        <f ca="1">IFERROR(__xludf.DUMMYFUNCTION("""COMPUTED_VALUE"""),44649)</f>
        <v>44649</v>
      </c>
      <c r="B938" s="6" t="str">
        <f ca="1">IFERROR(__xludf.DUMMYFUNCTION("""COMPUTED_VALUE"""),"Irfan Nagori")</f>
        <v>Irfan Nagori</v>
      </c>
      <c r="C938" s="6" t="str">
        <f ca="1">IFERROR(__xludf.DUMMYFUNCTION("""COMPUTED_VALUE"""),"irfan.nagori@cerner.com")</f>
        <v>irfan.nagori@cerner.com</v>
      </c>
      <c r="D938" s="6">
        <f ca="1">IFERROR(__xludf.DUMMYFUNCTION("""COMPUTED_VALUE"""),9742213536)</f>
        <v>9742213536</v>
      </c>
      <c r="E938" s="6" t="str">
        <f ca="1">IFERROR(__xludf.DUMMYFUNCTION("""COMPUTED_VALUE"""),"Reference")</f>
        <v>Reference</v>
      </c>
      <c r="F938" s="6" t="str">
        <f ca="1">IFERROR(__xludf.DUMMYFUNCTION("""COMPUTED_VALUE"""),"CSM")</f>
        <v>CSM</v>
      </c>
      <c r="G938" s="80">
        <f ca="1">IFERROR(__xludf.DUMMYFUNCTION("""COMPUTED_VALUE"""),44621)</f>
        <v>44621</v>
      </c>
      <c r="H938" s="6" t="str">
        <f ca="1">IFERROR(__xludf.DUMMYFUNCTION("""COMPUTED_VALUE"""),"Won")</f>
        <v>Won</v>
      </c>
      <c r="I938" s="6" t="str">
        <f ca="1">IFERROR(__xludf.DUMMYFUNCTION("""COMPUTED_VALUE"""),"2-3 April 2022")</f>
        <v>2-3 April 2022</v>
      </c>
      <c r="J938" s="6">
        <f ca="1">IFERROR(__xludf.DUMMYFUNCTION("""COMPUTED_VALUE"""),1)</f>
        <v>1</v>
      </c>
      <c r="K938" s="8">
        <f ca="1">IFERROR(__xludf.DUMMYFUNCTION("""COMPUTED_VALUE"""),19500)</f>
        <v>19500</v>
      </c>
      <c r="L938" s="8">
        <f ca="1">IFERROR(__xludf.DUMMYFUNCTION("""COMPUTED_VALUE"""),223.316536875858)</f>
        <v>223.31653687585799</v>
      </c>
      <c r="M938" s="96">
        <f ca="1">IFERROR(__xludf.DUMMYFUNCTION("""COMPUTED_VALUE"""),44649)</f>
        <v>44649</v>
      </c>
      <c r="N938" s="6" t="str">
        <f ca="1">IFERROR(__xludf.DUMMYFUNCTION("""COMPUTED_VALUE"""),"T10")</f>
        <v>T10</v>
      </c>
      <c r="O938" s="97">
        <f ca="1">IFERROR(__xludf.DUMMYFUNCTION("""COMPUTED_VALUE"""),44650)</f>
        <v>44650</v>
      </c>
      <c r="P938" s="6" t="str">
        <f ca="1">IFERROR(__xludf.DUMMYFUNCTION("""COMPUTED_VALUE"""),"CSTM_9O3H4BSHH4")</f>
        <v>CSTM_9O3H4BSHH4</v>
      </c>
      <c r="Q938" s="6" t="str">
        <f ca="1">IFERROR(__xludf.DUMMYFUNCTION("""COMPUTED_VALUE"""),"Reference by irfgar26@gmail.com")</f>
        <v>Reference by irfgar26@gmail.com</v>
      </c>
      <c r="R938" s="6" t="str">
        <f ca="1">IFERROR(__xludf.DUMMYFUNCTION("""COMPUTED_VALUE"""),"Pending")</f>
        <v>Pending</v>
      </c>
      <c r="S938" s="6" t="str">
        <f ca="1">IFERROR(__xludf.DUMMYFUNCTION("""COMPUTED_VALUE"""),"Category")</f>
        <v>Category</v>
      </c>
      <c r="T938" s="6"/>
      <c r="U938" s="6"/>
      <c r="V938" s="6"/>
      <c r="W938" s="6"/>
      <c r="X938" s="6"/>
      <c r="Y938" s="6"/>
      <c r="Z938" s="6"/>
      <c r="AA938" s="6"/>
      <c r="AB938" s="6"/>
      <c r="AC938" s="6"/>
      <c r="AD938" s="6"/>
      <c r="AE938" s="6"/>
      <c r="AF938" s="6"/>
      <c r="AG938" s="6"/>
      <c r="AH938" s="6"/>
      <c r="AI938" s="6"/>
      <c r="AJ938" s="6"/>
      <c r="AK938" s="6"/>
      <c r="AL938" s="6"/>
    </row>
    <row r="939" spans="1:38">
      <c r="A939" s="96">
        <f ca="1">IFERROR(__xludf.DUMMYFUNCTION("""COMPUTED_VALUE"""),44649)</f>
        <v>44649</v>
      </c>
      <c r="B939" s="6" t="str">
        <f ca="1">IFERROR(__xludf.DUMMYFUNCTION("""COMPUTED_VALUE"""),"Kishore Kumaran")</f>
        <v>Kishore Kumaran</v>
      </c>
      <c r="C939" s="6" t="str">
        <f ca="1">IFERROR(__xludf.DUMMYFUNCTION("""COMPUTED_VALUE"""),"kishorekumaran.bk@gmail.com")</f>
        <v>kishorekumaran.bk@gmail.com</v>
      </c>
      <c r="D939" s="6">
        <f ca="1">IFERROR(__xludf.DUMMYFUNCTION("""COMPUTED_VALUE"""),8939896961)</f>
        <v>8939896961</v>
      </c>
      <c r="E939" s="6" t="str">
        <f ca="1">IFERROR(__xludf.DUMMYFUNCTION("""COMPUTED_VALUE"""),"Chat_triggered")</f>
        <v>Chat_triggered</v>
      </c>
      <c r="F939" s="6" t="str">
        <f ca="1">IFERROR(__xludf.DUMMYFUNCTION("""COMPUTED_VALUE"""),"CSM")</f>
        <v>CSM</v>
      </c>
      <c r="G939" s="80">
        <f ca="1">IFERROR(__xludf.DUMMYFUNCTION("""COMPUTED_VALUE"""),44621)</f>
        <v>44621</v>
      </c>
      <c r="H939" s="6" t="str">
        <f ca="1">IFERROR(__xludf.DUMMYFUNCTION("""COMPUTED_VALUE"""),"Opportunity")</f>
        <v>Opportunity</v>
      </c>
      <c r="I939" s="6" t="str">
        <f ca="1">IFERROR(__xludf.DUMMYFUNCTION("""COMPUTED_VALUE"""),"2-3 April 2022")</f>
        <v>2-3 April 2022</v>
      </c>
      <c r="J939" s="6">
        <f ca="1">IFERROR(__xludf.DUMMYFUNCTION("""COMPUTED_VALUE"""),1)</f>
        <v>1</v>
      </c>
      <c r="K939" s="8">
        <f ca="1">IFERROR(__xludf.DUMMYFUNCTION("""COMPUTED_VALUE"""),20000)</f>
        <v>20000</v>
      </c>
      <c r="L939" s="8">
        <f ca="1">IFERROR(__xludf.DUMMYFUNCTION("""COMPUTED_VALUE"""),229.042601923957)</f>
        <v>229.04260192395699</v>
      </c>
      <c r="M939" s="96">
        <f ca="1">IFERROR(__xludf.DUMMYFUNCTION("""COMPUTED_VALUE"""),44649)</f>
        <v>44649</v>
      </c>
      <c r="N939" s="6"/>
      <c r="O939" s="97"/>
      <c r="P939" s="6"/>
      <c r="Q939" s="6"/>
      <c r="R939" s="6"/>
      <c r="S939" s="6" t="str">
        <f ca="1">IFERROR(__xludf.DUMMYFUNCTION("""COMPUTED_VALUE"""),"Category")</f>
        <v>Category</v>
      </c>
      <c r="T939" s="6"/>
      <c r="U939" s="6"/>
      <c r="V939" s="6"/>
      <c r="W939" s="6"/>
      <c r="X939" s="6"/>
      <c r="Y939" s="6"/>
      <c r="Z939" s="6"/>
      <c r="AA939" s="6"/>
      <c r="AB939" s="6"/>
      <c r="AC939" s="6"/>
      <c r="AD939" s="6"/>
      <c r="AE939" s="6"/>
      <c r="AF939" s="6"/>
      <c r="AG939" s="6"/>
      <c r="AH939" s="6"/>
      <c r="AI939" s="6"/>
      <c r="AJ939" s="6"/>
      <c r="AK939" s="6"/>
      <c r="AL939" s="6"/>
    </row>
    <row r="940" spans="1:38">
      <c r="A940" s="96">
        <f ca="1">IFERROR(__xludf.DUMMYFUNCTION("""COMPUTED_VALUE"""),44650)</f>
        <v>44650</v>
      </c>
      <c r="B940" s="6" t="str">
        <f ca="1">IFERROR(__xludf.DUMMYFUNCTION("""COMPUTED_VALUE"""),"Saikanth")</f>
        <v>Saikanth</v>
      </c>
      <c r="C940" s="6" t="str">
        <f ca="1">IFERROR(__xludf.DUMMYFUNCTION("""COMPUTED_VALUE"""),"saikanth1984@gmail.com")</f>
        <v>saikanth1984@gmail.com</v>
      </c>
      <c r="D940" s="6">
        <f ca="1">IFERROR(__xludf.DUMMYFUNCTION("""COMPUTED_VALUE"""),9959090747)</f>
        <v>9959090747</v>
      </c>
      <c r="E940" s="6" t="str">
        <f ca="1">IFERROR(__xludf.DUMMYFUNCTION("""COMPUTED_VALUE"""),"Chat_triggered")</f>
        <v>Chat_triggered</v>
      </c>
      <c r="F940" s="6" t="str">
        <f ca="1">IFERROR(__xludf.DUMMYFUNCTION("""COMPUTED_VALUE"""),"PSM")</f>
        <v>PSM</v>
      </c>
      <c r="G940" s="80">
        <f ca="1">IFERROR(__xludf.DUMMYFUNCTION("""COMPUTED_VALUE"""),44621)</f>
        <v>44621</v>
      </c>
      <c r="H940" s="6" t="str">
        <f ca="1">IFERROR(__xludf.DUMMYFUNCTION("""COMPUTED_VALUE"""),"Won")</f>
        <v>Won</v>
      </c>
      <c r="I940" s="6" t="str">
        <f ca="1">IFERROR(__xludf.DUMMYFUNCTION("""COMPUTED_VALUE"""),"2-3 April 2022")</f>
        <v>2-3 April 2022</v>
      </c>
      <c r="J940" s="6">
        <f ca="1">IFERROR(__xludf.DUMMYFUNCTION("""COMPUTED_VALUE"""),1)</f>
        <v>1</v>
      </c>
      <c r="K940" s="8">
        <f ca="1">IFERROR(__xludf.DUMMYFUNCTION("""COMPUTED_VALUE"""),21000)</f>
        <v>21000</v>
      </c>
      <c r="L940" s="8">
        <f ca="1">IFERROR(__xludf.DUMMYFUNCTION("""COMPUTED_VALUE"""),240.494732020155)</f>
        <v>240.494732020155</v>
      </c>
      <c r="M940" s="96">
        <f ca="1">IFERROR(__xludf.DUMMYFUNCTION("""COMPUTED_VALUE"""),44650)</f>
        <v>44650</v>
      </c>
      <c r="N940" s="6" t="str">
        <f ca="1">IFERROR(__xludf.DUMMYFUNCTION("""COMPUTED_VALUE"""),"T10")</f>
        <v>T10</v>
      </c>
      <c r="O940" s="97">
        <f ca="1">IFERROR(__xludf.DUMMYFUNCTION("""COMPUTED_VALUE"""),44650)</f>
        <v>44650</v>
      </c>
      <c r="P940" s="6" t="str">
        <f ca="1">IFERROR(__xludf.DUMMYFUNCTION("""COMPUTED_VALUE"""),"CSTM_EPP2QWUB56X")</f>
        <v>CSTM_EPP2QWUB56X</v>
      </c>
      <c r="Q940" s="6"/>
      <c r="R940" s="6" t="str">
        <f ca="1">IFERROR(__xludf.DUMMYFUNCTION("""COMPUTED_VALUE"""),"Pending")</f>
        <v>Pending</v>
      </c>
      <c r="S940" s="6" t="str">
        <f ca="1">IFERROR(__xludf.DUMMYFUNCTION("""COMPUTED_VALUE"""),"Category")</f>
        <v>Category</v>
      </c>
      <c r="T940" s="6"/>
      <c r="U940" s="6"/>
      <c r="V940" s="6"/>
      <c r="W940" s="6"/>
      <c r="X940" s="6"/>
      <c r="Y940" s="6"/>
      <c r="Z940" s="6"/>
      <c r="AA940" s="6"/>
      <c r="AB940" s="6"/>
      <c r="AC940" s="6"/>
      <c r="AD940" s="6"/>
      <c r="AE940" s="6"/>
      <c r="AF940" s="6"/>
      <c r="AG940" s="6"/>
      <c r="AH940" s="6"/>
      <c r="AI940" s="6"/>
      <c r="AJ940" s="6"/>
      <c r="AK940" s="6"/>
      <c r="AL940" s="6"/>
    </row>
    <row r="941" spans="1:38">
      <c r="A941" s="96">
        <f ca="1">IFERROR(__xludf.DUMMYFUNCTION("""COMPUTED_VALUE"""),44650)</f>
        <v>44650</v>
      </c>
      <c r="B941" s="6" t="str">
        <f ca="1">IFERROR(__xludf.DUMMYFUNCTION("""COMPUTED_VALUE"""),"Anurag ")</f>
        <v xml:space="preserve">Anurag </v>
      </c>
      <c r="C941" s="6" t="str">
        <f ca="1">IFERROR(__xludf.DUMMYFUNCTION("""COMPUTED_VALUE"""),"anu.art.pulse@gmail.com")</f>
        <v>anu.art.pulse@gmail.com</v>
      </c>
      <c r="D941" s="6">
        <f ca="1">IFERROR(__xludf.DUMMYFUNCTION("""COMPUTED_VALUE"""),9953464543)</f>
        <v>9953464543</v>
      </c>
      <c r="E941" s="6" t="str">
        <f ca="1">IFERROR(__xludf.DUMMYFUNCTION("""COMPUTED_VALUE"""),"Chat_triggered")</f>
        <v>Chat_triggered</v>
      </c>
      <c r="F941" s="6" t="str">
        <f ca="1">IFERROR(__xludf.DUMMYFUNCTION("""COMPUTED_VALUE"""),"SAFe Agile")</f>
        <v>SAFe Agile</v>
      </c>
      <c r="G941" s="80">
        <f ca="1">IFERROR(__xludf.DUMMYFUNCTION("""COMPUTED_VALUE"""),44621)</f>
        <v>44621</v>
      </c>
      <c r="H941" s="6" t="str">
        <f ca="1">IFERROR(__xludf.DUMMYFUNCTION("""COMPUTED_VALUE"""),"Won")</f>
        <v>Won</v>
      </c>
      <c r="I941" s="6" t="str">
        <f ca="1">IFERROR(__xludf.DUMMYFUNCTION("""COMPUTED_VALUE"""),"9-10 April 2022")</f>
        <v>9-10 April 2022</v>
      </c>
      <c r="J941" s="6">
        <f ca="1">IFERROR(__xludf.DUMMYFUNCTION("""COMPUTED_VALUE"""),1)</f>
        <v>1</v>
      </c>
      <c r="K941" s="8">
        <f ca="1">IFERROR(__xludf.DUMMYFUNCTION("""COMPUTED_VALUE"""),42000)</f>
        <v>42000</v>
      </c>
      <c r="L941" s="8">
        <f ca="1">IFERROR(__xludf.DUMMYFUNCTION("""COMPUTED_VALUE"""),480.989464040311)</f>
        <v>480.98946404031102</v>
      </c>
      <c r="M941" s="96">
        <f ca="1">IFERROR(__xludf.DUMMYFUNCTION("""COMPUTED_VALUE"""),44650)</f>
        <v>44650</v>
      </c>
      <c r="N941" s="6" t="str">
        <f ca="1">IFERROR(__xludf.DUMMYFUNCTION("""COMPUTED_VALUE"""),"T10")</f>
        <v>T10</v>
      </c>
      <c r="O941" s="97">
        <f ca="1">IFERROR(__xludf.DUMMYFUNCTION("""COMPUTED_VALUE"""),44650)</f>
        <v>44650</v>
      </c>
      <c r="P941" s="6" t="str">
        <f ca="1">IFERROR(__xludf.DUMMYFUNCTION("""COMPUTED_VALUE"""),"CSTM_66BGDL9J732")</f>
        <v>CSTM_66BGDL9J732</v>
      </c>
      <c r="Q941" s="6"/>
      <c r="R941" s="6" t="str">
        <f ca="1">IFERROR(__xludf.DUMMYFUNCTION("""COMPUTED_VALUE"""),"Done. Good feedback.")</f>
        <v>Done. Good feedback.</v>
      </c>
      <c r="S941" s="6" t="str">
        <f ca="1">IFERROR(__xludf.DUMMYFUNCTION("""COMPUTED_VALUE"""),"SAFe")</f>
        <v>SAFe</v>
      </c>
      <c r="T941" s="6"/>
      <c r="U941" s="6"/>
      <c r="V941" s="6"/>
      <c r="W941" s="6"/>
      <c r="X941" s="6"/>
      <c r="Y941" s="6"/>
      <c r="Z941" s="6"/>
      <c r="AA941" s="6"/>
      <c r="AB941" s="6"/>
      <c r="AC941" s="6"/>
      <c r="AD941" s="6"/>
      <c r="AE941" s="6"/>
      <c r="AF941" s="6"/>
      <c r="AG941" s="6"/>
      <c r="AH941" s="6"/>
      <c r="AI941" s="6"/>
      <c r="AJ941" s="6"/>
      <c r="AK941" s="6"/>
      <c r="AL941" s="6"/>
    </row>
    <row r="942" spans="1:38">
      <c r="A942" s="96">
        <f ca="1">IFERROR(__xludf.DUMMYFUNCTION("""COMPUTED_VALUE"""),44650)</f>
        <v>44650</v>
      </c>
      <c r="B942" s="6" t="str">
        <f ca="1">IFERROR(__xludf.DUMMYFUNCTION("""COMPUTED_VALUE"""),"Mihir Srivastava")</f>
        <v>Mihir Srivastava</v>
      </c>
      <c r="C942" s="6" t="str">
        <f ca="1">IFERROR(__xludf.DUMMYFUNCTION("""COMPUTED_VALUE"""),"mihirshrivastava30@gmail.com")</f>
        <v>mihirshrivastava30@gmail.com</v>
      </c>
      <c r="D942" s="6">
        <f ca="1">IFERROR(__xludf.DUMMYFUNCTION("""COMPUTED_VALUE"""),9425660469)</f>
        <v>9425660469</v>
      </c>
      <c r="E942" s="6" t="str">
        <f ca="1">IFERROR(__xludf.DUMMYFUNCTION("""COMPUTED_VALUE"""),"Reference")</f>
        <v>Reference</v>
      </c>
      <c r="F942" s="6" t="str">
        <f ca="1">IFERROR(__xludf.DUMMYFUNCTION("""COMPUTED_VALUE"""),"CSM")</f>
        <v>CSM</v>
      </c>
      <c r="G942" s="80">
        <f ca="1">IFERROR(__xludf.DUMMYFUNCTION("""COMPUTED_VALUE"""),44621)</f>
        <v>44621</v>
      </c>
      <c r="H942" s="6" t="str">
        <f ca="1">IFERROR(__xludf.DUMMYFUNCTION("""COMPUTED_VALUE"""),"Won")</f>
        <v>Won</v>
      </c>
      <c r="I942" s="6" t="str">
        <f ca="1">IFERROR(__xludf.DUMMYFUNCTION("""COMPUTED_VALUE"""),"23-24 April 2022")</f>
        <v>23-24 April 2022</v>
      </c>
      <c r="J942" s="6">
        <f ca="1">IFERROR(__xludf.DUMMYFUNCTION("""COMPUTED_VALUE"""),1)</f>
        <v>1</v>
      </c>
      <c r="K942" s="8">
        <f ca="1">IFERROR(__xludf.DUMMYFUNCTION("""COMPUTED_VALUE"""),20000)</f>
        <v>20000</v>
      </c>
      <c r="L942" s="8">
        <f ca="1">IFERROR(__xludf.DUMMYFUNCTION("""COMPUTED_VALUE"""),229.042601923957)</f>
        <v>229.04260192395699</v>
      </c>
      <c r="M942" s="96">
        <f ca="1">IFERROR(__xludf.DUMMYFUNCTION("""COMPUTED_VALUE"""),44650)</f>
        <v>44650</v>
      </c>
      <c r="N942" s="6" t="str">
        <f ca="1">IFERROR(__xludf.DUMMYFUNCTION("""COMPUTED_VALUE"""),"T10")</f>
        <v>T10</v>
      </c>
      <c r="O942" s="97">
        <f ca="1">IFERROR(__xludf.DUMMYFUNCTION("""COMPUTED_VALUE"""),44650)</f>
        <v>44650</v>
      </c>
      <c r="P942" s="6" t="str">
        <f ca="1">IFERROR(__xludf.DUMMYFUNCTION("""COMPUTED_VALUE"""),"CSTM_3LQR1D4SDVG")</f>
        <v>CSTM_3LQR1D4SDVG</v>
      </c>
      <c r="Q942" s="6" t="str">
        <f ca="1">IFERROR(__xludf.DUMMYFUNCTION("""COMPUTED_VALUE"""),"Reference by erkushlendra19@gmail.com")</f>
        <v>Reference by erkushlendra19@gmail.com</v>
      </c>
      <c r="R942" s="6" t="str">
        <f ca="1">IFERROR(__xludf.DUMMYFUNCTION("""COMPUTED_VALUE"""),"Pending")</f>
        <v>Pending</v>
      </c>
      <c r="S942" s="6" t="str">
        <f ca="1">IFERROR(__xludf.DUMMYFUNCTION("""COMPUTED_VALUE"""),"Category")</f>
        <v>Category</v>
      </c>
      <c r="T942" s="6"/>
      <c r="U942" s="6"/>
      <c r="V942" s="6"/>
      <c r="W942" s="6"/>
      <c r="X942" s="6"/>
      <c r="Y942" s="6"/>
      <c r="Z942" s="6"/>
      <c r="AA942" s="6"/>
      <c r="AB942" s="6"/>
      <c r="AC942" s="6"/>
      <c r="AD942" s="6"/>
      <c r="AE942" s="6"/>
      <c r="AF942" s="6"/>
      <c r="AG942" s="6"/>
      <c r="AH942" s="6"/>
      <c r="AI942" s="6"/>
      <c r="AJ942" s="6"/>
      <c r="AK942" s="6"/>
      <c r="AL942" s="6"/>
    </row>
    <row r="943" spans="1:38">
      <c r="A943" s="96">
        <f ca="1">IFERROR(__xludf.DUMMYFUNCTION("""COMPUTED_VALUE"""),44651)</f>
        <v>44651</v>
      </c>
      <c r="B943" s="6" t="str">
        <f ca="1">IFERROR(__xludf.DUMMYFUNCTION("""COMPUTED_VALUE"""),"Neha Rampal")</f>
        <v>Neha Rampal</v>
      </c>
      <c r="C943" s="6" t="str">
        <f ca="1">IFERROR(__xludf.DUMMYFUNCTION("""COMPUTED_VALUE"""),"neharampal284@gmail.com")</f>
        <v>neharampal284@gmail.com</v>
      </c>
      <c r="D943" s="6">
        <f ca="1">IFERROR(__xludf.DUMMYFUNCTION("""COMPUTED_VALUE"""),9821964446)</f>
        <v>9821964446</v>
      </c>
      <c r="E943" s="6" t="str">
        <f ca="1">IFERROR(__xludf.DUMMYFUNCTION("""COMPUTED_VALUE"""),"Chat_triggered")</f>
        <v>Chat_triggered</v>
      </c>
      <c r="F943" s="6" t="str">
        <f ca="1">IFERROR(__xludf.DUMMYFUNCTION("""COMPUTED_VALUE"""),"PSM")</f>
        <v>PSM</v>
      </c>
      <c r="G943" s="80">
        <f ca="1">IFERROR(__xludf.DUMMYFUNCTION("""COMPUTED_VALUE"""),44621)</f>
        <v>44621</v>
      </c>
      <c r="H943" s="6" t="str">
        <f ca="1">IFERROR(__xludf.DUMMYFUNCTION("""COMPUTED_VALUE"""),"Won")</f>
        <v>Won</v>
      </c>
      <c r="I943" s="6" t="str">
        <f ca="1">IFERROR(__xludf.DUMMYFUNCTION("""COMPUTED_VALUE"""),"7-8 May 2022")</f>
        <v>7-8 May 2022</v>
      </c>
      <c r="J943" s="6">
        <f ca="1">IFERROR(__xludf.DUMMYFUNCTION("""COMPUTED_VALUE"""),1)</f>
        <v>1</v>
      </c>
      <c r="K943" s="8">
        <f ca="1">IFERROR(__xludf.DUMMYFUNCTION("""COMPUTED_VALUE"""),21000)</f>
        <v>21000</v>
      </c>
      <c r="L943" s="8">
        <f ca="1">IFERROR(__xludf.DUMMYFUNCTION("""COMPUTED_VALUE"""),240.494732020155)</f>
        <v>240.494732020155</v>
      </c>
      <c r="M943" s="96">
        <f ca="1">IFERROR(__xludf.DUMMYFUNCTION("""COMPUTED_VALUE"""),44651)</f>
        <v>44651</v>
      </c>
      <c r="N943" s="6" t="str">
        <f ca="1">IFERROR(__xludf.DUMMYFUNCTION("""COMPUTED_VALUE"""),"T10")</f>
        <v>T10</v>
      </c>
      <c r="O943" s="97">
        <f ca="1">IFERROR(__xludf.DUMMYFUNCTION("""COMPUTED_VALUE"""),44651)</f>
        <v>44651</v>
      </c>
      <c r="P943" s="6" t="str">
        <f ca="1">IFERROR(__xludf.DUMMYFUNCTION("""COMPUTED_VALUE"""),"CSTM_EC0FTK0AQRS")</f>
        <v>CSTM_EC0FTK0AQRS</v>
      </c>
      <c r="Q943" s="6"/>
      <c r="R943" s="6" t="str">
        <f ca="1">IFERROR(__xludf.DUMMYFUNCTION("""COMPUTED_VALUE"""),"Pending")</f>
        <v>Pending</v>
      </c>
      <c r="S943" s="6" t="str">
        <f ca="1">IFERROR(__xludf.DUMMYFUNCTION("""COMPUTED_VALUE"""),"Category")</f>
        <v>Category</v>
      </c>
      <c r="T943" s="6"/>
      <c r="U943" s="6"/>
      <c r="V943" s="6"/>
      <c r="W943" s="6"/>
      <c r="X943" s="6"/>
      <c r="Y943" s="6"/>
      <c r="Z943" s="6"/>
      <c r="AA943" s="6"/>
      <c r="AB943" s="6"/>
      <c r="AC943" s="6"/>
      <c r="AD943" s="6"/>
      <c r="AE943" s="6"/>
      <c r="AF943" s="6"/>
      <c r="AG943" s="6"/>
      <c r="AH943" s="6"/>
      <c r="AI943" s="6"/>
      <c r="AJ943" s="6"/>
      <c r="AK943" s="6"/>
      <c r="AL943" s="6"/>
    </row>
    <row r="944" spans="1:38">
      <c r="A944" s="96">
        <f ca="1">IFERROR(__xludf.DUMMYFUNCTION("""COMPUTED_VALUE"""),44651)</f>
        <v>44651</v>
      </c>
      <c r="B944" s="6" t="str">
        <f ca="1">IFERROR(__xludf.DUMMYFUNCTION("""COMPUTED_VALUE"""),"Shalaka Joshi")</f>
        <v>Shalaka Joshi</v>
      </c>
      <c r="C944" s="6" t="str">
        <f ca="1">IFERROR(__xludf.DUMMYFUNCTION("""COMPUTED_VALUE"""),"svjoshi12@gmail.com")</f>
        <v>svjoshi12@gmail.com</v>
      </c>
      <c r="D944" s="6">
        <f ca="1">IFERROR(__xludf.DUMMYFUNCTION("""COMPUTED_VALUE"""),8552032900)</f>
        <v>8552032900</v>
      </c>
      <c r="E944" s="6" t="str">
        <f ca="1">IFERROR(__xludf.DUMMYFUNCTION("""COMPUTED_VALUE"""),"Chat_triggered")</f>
        <v>Chat_triggered</v>
      </c>
      <c r="F944" s="6" t="str">
        <f ca="1">IFERROR(__xludf.DUMMYFUNCTION("""COMPUTED_VALUE"""),"PSM")</f>
        <v>PSM</v>
      </c>
      <c r="G944" s="80">
        <f ca="1">IFERROR(__xludf.DUMMYFUNCTION("""COMPUTED_VALUE"""),44621)</f>
        <v>44621</v>
      </c>
      <c r="H944" s="6" t="str">
        <f ca="1">IFERROR(__xludf.DUMMYFUNCTION("""COMPUTED_VALUE"""),"Won")</f>
        <v>Won</v>
      </c>
      <c r="I944" s="6" t="str">
        <f ca="1">IFERROR(__xludf.DUMMYFUNCTION("""COMPUTED_VALUE"""),"9-10 April 2022")</f>
        <v>9-10 April 2022</v>
      </c>
      <c r="J944" s="6">
        <f ca="1">IFERROR(__xludf.DUMMYFUNCTION("""COMPUTED_VALUE"""),1)</f>
        <v>1</v>
      </c>
      <c r="K944" s="8">
        <f ca="1">IFERROR(__xludf.DUMMYFUNCTION("""COMPUTED_VALUE"""),21000)</f>
        <v>21000</v>
      </c>
      <c r="L944" s="8">
        <f ca="1">IFERROR(__xludf.DUMMYFUNCTION("""COMPUTED_VALUE"""),240.494732020155)</f>
        <v>240.494732020155</v>
      </c>
      <c r="M944" s="96">
        <f ca="1">IFERROR(__xludf.DUMMYFUNCTION("""COMPUTED_VALUE"""),44651)</f>
        <v>44651</v>
      </c>
      <c r="N944" s="6" t="str">
        <f ca="1">IFERROR(__xludf.DUMMYFUNCTION("""COMPUTED_VALUE"""),"T10")</f>
        <v>T10</v>
      </c>
      <c r="O944" s="97">
        <f ca="1">IFERROR(__xludf.DUMMYFUNCTION("""COMPUTED_VALUE"""),44651)</f>
        <v>44651</v>
      </c>
      <c r="P944" s="6" t="str">
        <f ca="1">IFERROR(__xludf.DUMMYFUNCTION("""COMPUTED_VALUE"""),"CSTM_3CVJTD640O0")</f>
        <v>CSTM_3CVJTD640O0</v>
      </c>
      <c r="Q944" s="6"/>
      <c r="R944" s="6" t="str">
        <f ca="1">IFERROR(__xludf.DUMMYFUNCTION("""COMPUTED_VALUE"""),"Done. Good feedback.")</f>
        <v>Done. Good feedback.</v>
      </c>
      <c r="S944" s="6" t="str">
        <f ca="1">IFERROR(__xludf.DUMMYFUNCTION("""COMPUTED_VALUE"""),"Category")</f>
        <v>Category</v>
      </c>
      <c r="T944" s="6"/>
      <c r="U944" s="6"/>
      <c r="V944" s="6"/>
      <c r="W944" s="6"/>
      <c r="X944" s="6"/>
      <c r="Y944" s="6"/>
      <c r="Z944" s="6"/>
      <c r="AA944" s="6"/>
      <c r="AB944" s="6"/>
      <c r="AC944" s="6"/>
      <c r="AD944" s="6"/>
      <c r="AE944" s="6"/>
      <c r="AF944" s="6"/>
      <c r="AG944" s="6"/>
      <c r="AH944" s="6"/>
      <c r="AI944" s="6"/>
      <c r="AJ944" s="6"/>
      <c r="AK944" s="6"/>
      <c r="AL944" s="6"/>
    </row>
    <row r="945" spans="1:38">
      <c r="A945" s="96">
        <f ca="1">IFERROR(__xludf.DUMMYFUNCTION("""COMPUTED_VALUE"""),44651)</f>
        <v>44651</v>
      </c>
      <c r="B945" s="6" t="str">
        <f ca="1">IFERROR(__xludf.DUMMYFUNCTION("""COMPUTED_VALUE"""),"Shubhangi Gupta")</f>
        <v>Shubhangi Gupta</v>
      </c>
      <c r="C945" s="6" t="str">
        <f ca="1">IFERROR(__xludf.DUMMYFUNCTION("""COMPUTED_VALUE"""),"shubhiguptaa95@gmail.com")</f>
        <v>shubhiguptaa95@gmail.com</v>
      </c>
      <c r="D945" s="6">
        <f ca="1">IFERROR(__xludf.DUMMYFUNCTION("""COMPUTED_VALUE"""),8552032900)</f>
        <v>8552032900</v>
      </c>
      <c r="E945" s="6" t="str">
        <f ca="1">IFERROR(__xludf.DUMMYFUNCTION("""COMPUTED_VALUE"""),"Reference")</f>
        <v>Reference</v>
      </c>
      <c r="F945" s="6" t="str">
        <f ca="1">IFERROR(__xludf.DUMMYFUNCTION("""COMPUTED_VALUE"""),"PSM")</f>
        <v>PSM</v>
      </c>
      <c r="G945" s="80">
        <f ca="1">IFERROR(__xludf.DUMMYFUNCTION("""COMPUTED_VALUE"""),44621)</f>
        <v>44621</v>
      </c>
      <c r="H945" s="6" t="str">
        <f ca="1">IFERROR(__xludf.DUMMYFUNCTION("""COMPUTED_VALUE"""),"Opportunity")</f>
        <v>Opportunity</v>
      </c>
      <c r="I945" s="6" t="str">
        <f ca="1">IFERROR(__xludf.DUMMYFUNCTION("""COMPUTED_VALUE"""),"9-10 April 2022")</f>
        <v>9-10 April 2022</v>
      </c>
      <c r="J945" s="6">
        <f ca="1">IFERROR(__xludf.DUMMYFUNCTION("""COMPUTED_VALUE"""),1)</f>
        <v>1</v>
      </c>
      <c r="K945" s="8">
        <f ca="1">IFERROR(__xludf.DUMMYFUNCTION("""COMPUTED_VALUE"""),21000)</f>
        <v>21000</v>
      </c>
      <c r="L945" s="8">
        <f ca="1">IFERROR(__xludf.DUMMYFUNCTION("""COMPUTED_VALUE"""),240.494732020155)</f>
        <v>240.494732020155</v>
      </c>
      <c r="M945" s="96">
        <f ca="1">IFERROR(__xludf.DUMMYFUNCTION("""COMPUTED_VALUE"""),44651)</f>
        <v>44651</v>
      </c>
      <c r="N945" s="6"/>
      <c r="O945" s="97"/>
      <c r="P945" s="6"/>
      <c r="Q945" s="6"/>
      <c r="R945" s="6"/>
      <c r="S945" s="6" t="str">
        <f ca="1">IFERROR(__xludf.DUMMYFUNCTION("""COMPUTED_VALUE"""),"Category")</f>
        <v>Category</v>
      </c>
      <c r="T945" s="6"/>
      <c r="U945" s="6"/>
      <c r="V945" s="6"/>
      <c r="W945" s="6"/>
      <c r="X945" s="6"/>
      <c r="Y945" s="6"/>
      <c r="Z945" s="6"/>
      <c r="AA945" s="6"/>
      <c r="AB945" s="6"/>
      <c r="AC945" s="6"/>
      <c r="AD945" s="6"/>
      <c r="AE945" s="6"/>
      <c r="AF945" s="6"/>
      <c r="AG945" s="6"/>
      <c r="AH945" s="6"/>
      <c r="AI945" s="6"/>
      <c r="AJ945" s="6"/>
      <c r="AK945" s="6"/>
      <c r="AL945" s="6"/>
    </row>
    <row r="946" spans="1:38">
      <c r="A946" s="96">
        <f ca="1">IFERROR(__xludf.DUMMYFUNCTION("""COMPUTED_VALUE"""),44651)</f>
        <v>44651</v>
      </c>
      <c r="B946" s="6" t="str">
        <f ca="1">IFERROR(__xludf.DUMMYFUNCTION("""COMPUTED_VALUE"""),"Pragyan")</f>
        <v>Pragyan</v>
      </c>
      <c r="C946" s="6" t="str">
        <f ca="1">IFERROR(__xludf.DUMMYFUNCTION("""COMPUTED_VALUE"""),"iampragyan@gmail.com")</f>
        <v>iampragyan@gmail.com</v>
      </c>
      <c r="D946" s="6">
        <f ca="1">IFERROR(__xludf.DUMMYFUNCTION("""COMPUTED_VALUE"""),9049904488)</f>
        <v>9049904488</v>
      </c>
      <c r="E946" s="6" t="str">
        <f ca="1">IFERROR(__xludf.DUMMYFUNCTION("""COMPUTED_VALUE"""),"course agenda")</f>
        <v>course agenda</v>
      </c>
      <c r="F946" s="6" t="str">
        <f ca="1">IFERROR(__xludf.DUMMYFUNCTION("""COMPUTED_VALUE"""),"SAFe Agile")</f>
        <v>SAFe Agile</v>
      </c>
      <c r="G946" s="80">
        <f ca="1">IFERROR(__xludf.DUMMYFUNCTION("""COMPUTED_VALUE"""),44621)</f>
        <v>44621</v>
      </c>
      <c r="H946" s="6" t="str">
        <f ca="1">IFERROR(__xludf.DUMMYFUNCTION("""COMPUTED_VALUE"""),"Won")</f>
        <v>Won</v>
      </c>
      <c r="I946" s="6" t="str">
        <f ca="1">IFERROR(__xludf.DUMMYFUNCTION("""COMPUTED_VALUE"""),"9-10 April 2022")</f>
        <v>9-10 April 2022</v>
      </c>
      <c r="J946" s="6">
        <f ca="1">IFERROR(__xludf.DUMMYFUNCTION("""COMPUTED_VALUE"""),1)</f>
        <v>1</v>
      </c>
      <c r="K946" s="8">
        <f ca="1">IFERROR(__xludf.DUMMYFUNCTION("""COMPUTED_VALUE"""),42000)</f>
        <v>42000</v>
      </c>
      <c r="L946" s="8">
        <f ca="1">IFERROR(__xludf.DUMMYFUNCTION("""COMPUTED_VALUE"""),480.989464040311)</f>
        <v>480.98946404031102</v>
      </c>
      <c r="M946" s="96">
        <f ca="1">IFERROR(__xludf.DUMMYFUNCTION("""COMPUTED_VALUE"""),44651)</f>
        <v>44651</v>
      </c>
      <c r="N946" s="6" t="str">
        <f ca="1">IFERROR(__xludf.DUMMYFUNCTION("""COMPUTED_VALUE"""),"T10")</f>
        <v>T10</v>
      </c>
      <c r="O946" s="97">
        <f ca="1">IFERROR(__xludf.DUMMYFUNCTION("""COMPUTED_VALUE"""),44651)</f>
        <v>44651</v>
      </c>
      <c r="P946" s="6" t="str">
        <f ca="1">IFERROR(__xludf.DUMMYFUNCTION("""COMPUTED_VALUE"""),"CSTM_3R1C3I5T52R")</f>
        <v>CSTM_3R1C3I5T52R</v>
      </c>
      <c r="Q946" s="6"/>
      <c r="R946" s="6" t="str">
        <f ca="1">IFERROR(__xludf.DUMMYFUNCTION("""COMPUTED_VALUE"""),"Done. Good feedback.")</f>
        <v>Done. Good feedback.</v>
      </c>
      <c r="S946" s="6" t="str">
        <f ca="1">IFERROR(__xludf.DUMMYFUNCTION("""COMPUTED_VALUE"""),"SAFe")</f>
        <v>SAFe</v>
      </c>
      <c r="T946" s="6"/>
      <c r="U946" s="6"/>
      <c r="V946" s="6"/>
      <c r="W946" s="6"/>
      <c r="X946" s="6"/>
      <c r="Y946" s="6"/>
      <c r="Z946" s="6"/>
      <c r="AA946" s="6"/>
      <c r="AB946" s="6"/>
      <c r="AC946" s="6"/>
      <c r="AD946" s="6"/>
      <c r="AE946" s="6"/>
      <c r="AF946" s="6"/>
      <c r="AG946" s="6"/>
      <c r="AH946" s="6"/>
      <c r="AI946" s="6"/>
      <c r="AJ946" s="6"/>
      <c r="AK946" s="6"/>
      <c r="AL946" s="6"/>
    </row>
    <row r="947" spans="1:38">
      <c r="A947" s="96">
        <f ca="1">IFERROR(__xludf.DUMMYFUNCTION("""COMPUTED_VALUE"""),44651)</f>
        <v>44651</v>
      </c>
      <c r="B947" s="6" t="str">
        <f ca="1">IFERROR(__xludf.DUMMYFUNCTION("""COMPUTED_VALUE"""),"Utkarsh RV")</f>
        <v>Utkarsh RV</v>
      </c>
      <c r="C947" s="6" t="str">
        <f ca="1">IFERROR(__xludf.DUMMYFUNCTION("""COMPUTED_VALUE"""),"utkarshrv2008@gmail.com")</f>
        <v>utkarshrv2008@gmail.com</v>
      </c>
      <c r="D947" s="6">
        <f ca="1">IFERROR(__xludf.DUMMYFUNCTION("""COMPUTED_VALUE"""),7263014250)</f>
        <v>7263014250</v>
      </c>
      <c r="E947" s="6" t="str">
        <f ca="1">IFERROR(__xludf.DUMMYFUNCTION("""COMPUTED_VALUE"""),"Chat_triggered")</f>
        <v>Chat_triggered</v>
      </c>
      <c r="F947" s="6" t="str">
        <f ca="1">IFERROR(__xludf.DUMMYFUNCTION("""COMPUTED_VALUE"""),"CSPO")</f>
        <v>CSPO</v>
      </c>
      <c r="G947" s="80">
        <f ca="1">IFERROR(__xludf.DUMMYFUNCTION("""COMPUTED_VALUE"""),44621)</f>
        <v>44621</v>
      </c>
      <c r="H947" s="6" t="str">
        <f ca="1">IFERROR(__xludf.DUMMYFUNCTION("""COMPUTED_VALUE"""),"Won")</f>
        <v>Won</v>
      </c>
      <c r="I947" s="6" t="str">
        <f ca="1">IFERROR(__xludf.DUMMYFUNCTION("""COMPUTED_VALUE"""),"21-22 April 2022")</f>
        <v>21-22 April 2022</v>
      </c>
      <c r="J947" s="6">
        <f ca="1">IFERROR(__xludf.DUMMYFUNCTION("""COMPUTED_VALUE"""),1)</f>
        <v>1</v>
      </c>
      <c r="K947" s="8">
        <f ca="1">IFERROR(__xludf.DUMMYFUNCTION("""COMPUTED_VALUE"""),20000)</f>
        <v>20000</v>
      </c>
      <c r="L947" s="8">
        <f ca="1">IFERROR(__xludf.DUMMYFUNCTION("""COMPUTED_VALUE"""),229.042601923957)</f>
        <v>229.04260192395699</v>
      </c>
      <c r="M947" s="96">
        <f ca="1">IFERROR(__xludf.DUMMYFUNCTION("""COMPUTED_VALUE"""),44651)</f>
        <v>44651</v>
      </c>
      <c r="N947" s="6" t="str">
        <f ca="1">IFERROR(__xludf.DUMMYFUNCTION("""COMPUTED_VALUE"""),"T10")</f>
        <v>T10</v>
      </c>
      <c r="O947" s="97">
        <f ca="1">IFERROR(__xludf.DUMMYFUNCTION("""COMPUTED_VALUE"""),44651)</f>
        <v>44651</v>
      </c>
      <c r="P947" s="6" t="str">
        <f ca="1">IFERROR(__xludf.DUMMYFUNCTION("""COMPUTED_VALUE"""),"CSTM_HILVSTB0X3N")</f>
        <v>CSTM_HILVSTB0X3N</v>
      </c>
      <c r="Q947" s="6"/>
      <c r="R947" s="6" t="str">
        <f ca="1">IFERROR(__xludf.DUMMYFUNCTION("""COMPUTED_VALUE"""),"Pending")</f>
        <v>Pending</v>
      </c>
      <c r="S947" s="6" t="str">
        <f ca="1">IFERROR(__xludf.DUMMYFUNCTION("""COMPUTED_VALUE"""),"Category")</f>
        <v>Category</v>
      </c>
      <c r="T947" s="6"/>
      <c r="U947" s="6"/>
      <c r="V947" s="6"/>
      <c r="W947" s="6"/>
      <c r="X947" s="6"/>
      <c r="Y947" s="6"/>
      <c r="Z947" s="6"/>
      <c r="AA947" s="6"/>
      <c r="AB947" s="6"/>
      <c r="AC947" s="6"/>
      <c r="AD947" s="6"/>
      <c r="AE947" s="6"/>
      <c r="AF947" s="6"/>
      <c r="AG947" s="6"/>
      <c r="AH947" s="6"/>
      <c r="AI947" s="6"/>
      <c r="AJ947" s="6"/>
      <c r="AK947" s="6"/>
      <c r="AL947" s="6"/>
    </row>
    <row r="948" spans="1:38">
      <c r="A948" s="96">
        <f ca="1">IFERROR(__xludf.DUMMYFUNCTION("""COMPUTED_VALUE"""),44653)</f>
        <v>44653</v>
      </c>
      <c r="B948" s="6" t="str">
        <f ca="1">IFERROR(__xludf.DUMMYFUNCTION("""COMPUTED_VALUE"""),"Sachin Doke")</f>
        <v>Sachin Doke</v>
      </c>
      <c r="C948" s="6" t="str">
        <f ca="1">IFERROR(__xludf.DUMMYFUNCTION("""COMPUTED_VALUE"""),"sachin.doke@gmail.com")</f>
        <v>sachin.doke@gmail.com</v>
      </c>
      <c r="D948" s="6">
        <f ca="1">IFERROR(__xludf.DUMMYFUNCTION("""COMPUTED_VALUE"""),9860390447)</f>
        <v>9860390447</v>
      </c>
      <c r="E948" s="6" t="str">
        <f ca="1">IFERROR(__xludf.DUMMYFUNCTION("""COMPUTED_VALUE"""),"Chat_triggered")</f>
        <v>Chat_triggered</v>
      </c>
      <c r="F948" s="6" t="str">
        <f ca="1">IFERROR(__xludf.DUMMYFUNCTION("""COMPUTED_VALUE"""),"SAFe Agile")</f>
        <v>SAFe Agile</v>
      </c>
      <c r="G948" s="80">
        <f ca="1">IFERROR(__xludf.DUMMYFUNCTION("""COMPUTED_VALUE"""),44652)</f>
        <v>44652</v>
      </c>
      <c r="H948" s="6" t="str">
        <f ca="1">IFERROR(__xludf.DUMMYFUNCTION("""COMPUTED_VALUE"""),"Won")</f>
        <v>Won</v>
      </c>
      <c r="I948" s="6" t="str">
        <f ca="1">IFERROR(__xludf.DUMMYFUNCTION("""COMPUTED_VALUE"""),"23-24 April 2022")</f>
        <v>23-24 April 2022</v>
      </c>
      <c r="J948" s="6">
        <f ca="1">IFERROR(__xludf.DUMMYFUNCTION("""COMPUTED_VALUE"""),1)</f>
        <v>1</v>
      </c>
      <c r="K948" s="8">
        <f ca="1">IFERROR(__xludf.DUMMYFUNCTION("""COMPUTED_VALUE"""),40000)</f>
        <v>40000</v>
      </c>
      <c r="L948" s="8">
        <f ca="1">IFERROR(__xludf.DUMMYFUNCTION("""COMPUTED_VALUE"""),458.085203847915)</f>
        <v>458.08520384791501</v>
      </c>
      <c r="M948" s="96">
        <f ca="1">IFERROR(__xludf.DUMMYFUNCTION("""COMPUTED_VALUE"""),44653)</f>
        <v>44653</v>
      </c>
      <c r="N948" s="6" t="str">
        <f ca="1">IFERROR(__xludf.DUMMYFUNCTION("""COMPUTED_VALUE"""),"F10")</f>
        <v>F10</v>
      </c>
      <c r="O948" s="97">
        <f ca="1">IFERROR(__xludf.DUMMYFUNCTION("""COMPUTED_VALUE"""),44653)</f>
        <v>44653</v>
      </c>
      <c r="P948" s="6" t="str">
        <f ca="1">IFERROR(__xludf.DUMMYFUNCTION("""COMPUTED_VALUE"""),"CSTM_9KZ9AT4DPC3")</f>
        <v>CSTM_9KZ9AT4DPC3</v>
      </c>
      <c r="Q948" s="6"/>
      <c r="R948" s="6" t="str">
        <f ca="1">IFERROR(__xludf.DUMMYFUNCTION("""COMPUTED_VALUE"""),"Pending")</f>
        <v>Pending</v>
      </c>
      <c r="S948" s="6" t="str">
        <f ca="1">IFERROR(__xludf.DUMMYFUNCTION("""COMPUTED_VALUE"""),"SAFe")</f>
        <v>SAFe</v>
      </c>
      <c r="T948" s="6"/>
      <c r="U948" s="6"/>
      <c r="V948" s="6"/>
      <c r="W948" s="6"/>
      <c r="X948" s="6"/>
      <c r="Y948" s="6"/>
      <c r="Z948" s="6"/>
      <c r="AA948" s="6"/>
      <c r="AB948" s="6"/>
      <c r="AC948" s="6"/>
      <c r="AD948" s="6"/>
      <c r="AE948" s="6"/>
      <c r="AF948" s="6"/>
      <c r="AG948" s="6"/>
      <c r="AH948" s="6"/>
      <c r="AI948" s="6"/>
      <c r="AJ948" s="6"/>
      <c r="AK948" s="6"/>
      <c r="AL948" s="6"/>
    </row>
    <row r="949" spans="1:38">
      <c r="A949" s="96">
        <f ca="1">IFERROR(__xludf.DUMMYFUNCTION("""COMPUTED_VALUE"""),44655)</f>
        <v>44655</v>
      </c>
      <c r="B949" s="6" t="str">
        <f ca="1">IFERROR(__xludf.DUMMYFUNCTION("""COMPUTED_VALUE"""),"Anil Vadhavane")</f>
        <v>Anil Vadhavane</v>
      </c>
      <c r="C949" s="6" t="str">
        <f ca="1">IFERROR(__xludf.DUMMYFUNCTION("""COMPUTED_VALUE"""),"anil.vadhavane@gmail.com")</f>
        <v>anil.vadhavane@gmail.com</v>
      </c>
      <c r="D949" s="6">
        <f ca="1">IFERROR(__xludf.DUMMYFUNCTION("""COMPUTED_VALUE"""),9987362046)</f>
        <v>9987362046</v>
      </c>
      <c r="E949" s="6" t="str">
        <f ca="1">IFERROR(__xludf.DUMMYFUNCTION("""COMPUTED_VALUE"""),"Query box")</f>
        <v>Query box</v>
      </c>
      <c r="F949" s="6" t="str">
        <f ca="1">IFERROR(__xludf.DUMMYFUNCTION("""COMPUTED_VALUE"""),"CSM")</f>
        <v>CSM</v>
      </c>
      <c r="G949" s="80">
        <f ca="1">IFERROR(__xludf.DUMMYFUNCTION("""COMPUTED_VALUE"""),44652)</f>
        <v>44652</v>
      </c>
      <c r="H949" s="6" t="str">
        <f ca="1">IFERROR(__xludf.DUMMYFUNCTION("""COMPUTED_VALUE"""),"Won")</f>
        <v>Won</v>
      </c>
      <c r="I949" s="6" t="str">
        <f ca="1">IFERROR(__xludf.DUMMYFUNCTION("""COMPUTED_VALUE"""),"16-17 April 2022")</f>
        <v>16-17 April 2022</v>
      </c>
      <c r="J949" s="6">
        <f ca="1">IFERROR(__xludf.DUMMYFUNCTION("""COMPUTED_VALUE"""),1)</f>
        <v>1</v>
      </c>
      <c r="K949" s="8">
        <f ca="1">IFERROR(__xludf.DUMMYFUNCTION("""COMPUTED_VALUE"""),20000)</f>
        <v>20000</v>
      </c>
      <c r="L949" s="8">
        <f ca="1">IFERROR(__xludf.DUMMYFUNCTION("""COMPUTED_VALUE"""),229.042601923957)</f>
        <v>229.04260192395699</v>
      </c>
      <c r="M949" s="96">
        <f ca="1">IFERROR(__xludf.DUMMYFUNCTION("""COMPUTED_VALUE"""),44655)</f>
        <v>44655</v>
      </c>
      <c r="N949" s="6" t="str">
        <f ca="1">IFERROR(__xludf.DUMMYFUNCTION("""COMPUTED_VALUE"""),"F10")</f>
        <v>F10</v>
      </c>
      <c r="O949" s="97">
        <f ca="1">IFERROR(__xludf.DUMMYFUNCTION("""COMPUTED_VALUE"""),44655)</f>
        <v>44655</v>
      </c>
      <c r="P949" s="6" t="str">
        <f ca="1">IFERROR(__xludf.DUMMYFUNCTION("""COMPUTED_VALUE"""),"CSTM_6W6JY7BJDOP")</f>
        <v>CSTM_6W6JY7BJDOP</v>
      </c>
      <c r="Q949" s="6"/>
      <c r="R949" s="6" t="str">
        <f ca="1">IFERROR(__xludf.DUMMYFUNCTION("""COMPUTED_VALUE"""),"Done. Good feedback.")</f>
        <v>Done. Good feedback.</v>
      </c>
      <c r="S949" s="6" t="str">
        <f ca="1">IFERROR(__xludf.DUMMYFUNCTION("""COMPUTED_VALUE"""),"Category")</f>
        <v>Category</v>
      </c>
      <c r="T949" s="6"/>
      <c r="U949" s="6"/>
      <c r="V949" s="6"/>
      <c r="W949" s="6"/>
      <c r="X949" s="6"/>
      <c r="Y949" s="6"/>
      <c r="Z949" s="6"/>
      <c r="AA949" s="6"/>
      <c r="AB949" s="6"/>
      <c r="AC949" s="6"/>
      <c r="AD949" s="6"/>
      <c r="AE949" s="6"/>
      <c r="AF949" s="6"/>
      <c r="AG949" s="6"/>
      <c r="AH949" s="6"/>
      <c r="AI949" s="6"/>
      <c r="AJ949" s="6"/>
      <c r="AK949" s="6"/>
      <c r="AL949" s="6"/>
    </row>
    <row r="950" spans="1:38">
      <c r="A950" s="96">
        <f ca="1">IFERROR(__xludf.DUMMYFUNCTION("""COMPUTED_VALUE"""),44655)</f>
        <v>44655</v>
      </c>
      <c r="B950" s="6" t="str">
        <f ca="1">IFERROR(__xludf.DUMMYFUNCTION("""COMPUTED_VALUE"""),"Arpit Bajhal")</f>
        <v>Arpit Bajhal</v>
      </c>
      <c r="C950" s="6" t="str">
        <f ca="1">IFERROR(__xludf.DUMMYFUNCTION("""COMPUTED_VALUE"""),"arpitbajhal@gmail.com")</f>
        <v>arpitbajhal@gmail.com</v>
      </c>
      <c r="D950" s="6">
        <f ca="1">IFERROR(__xludf.DUMMYFUNCTION("""COMPUTED_VALUE"""),7600062747)</f>
        <v>7600062747</v>
      </c>
      <c r="E950" s="6" t="str">
        <f ca="1">IFERROR(__xludf.DUMMYFUNCTION("""COMPUTED_VALUE"""),"Query box")</f>
        <v>Query box</v>
      </c>
      <c r="F950" s="6" t="str">
        <f ca="1">IFERROR(__xludf.DUMMYFUNCTION("""COMPUTED_VALUE"""),"PSM")</f>
        <v>PSM</v>
      </c>
      <c r="G950" s="80">
        <f ca="1">IFERROR(__xludf.DUMMYFUNCTION("""COMPUTED_VALUE"""),44652)</f>
        <v>44652</v>
      </c>
      <c r="H950" s="6" t="str">
        <f ca="1">IFERROR(__xludf.DUMMYFUNCTION("""COMPUTED_VALUE"""),"Won")</f>
        <v>Won</v>
      </c>
      <c r="I950" s="6" t="str">
        <f ca="1">IFERROR(__xludf.DUMMYFUNCTION("""COMPUTED_VALUE"""),"9-10 April 2022")</f>
        <v>9-10 April 2022</v>
      </c>
      <c r="J950" s="6">
        <f ca="1">IFERROR(__xludf.DUMMYFUNCTION("""COMPUTED_VALUE"""),1)</f>
        <v>1</v>
      </c>
      <c r="K950" s="8">
        <f ca="1">IFERROR(__xludf.DUMMYFUNCTION("""COMPUTED_VALUE"""),21000)</f>
        <v>21000</v>
      </c>
      <c r="L950" s="8">
        <f ca="1">IFERROR(__xludf.DUMMYFUNCTION("""COMPUTED_VALUE"""),240.494732020155)</f>
        <v>240.494732020155</v>
      </c>
      <c r="M950" s="96">
        <f ca="1">IFERROR(__xludf.DUMMYFUNCTION("""COMPUTED_VALUE"""),44655)</f>
        <v>44655</v>
      </c>
      <c r="N950" s="6" t="str">
        <f ca="1">IFERROR(__xludf.DUMMYFUNCTION("""COMPUTED_VALUE"""),"F10")</f>
        <v>F10</v>
      </c>
      <c r="O950" s="97">
        <f ca="1">IFERROR(__xludf.DUMMYFUNCTION("""COMPUTED_VALUE"""),44655)</f>
        <v>44655</v>
      </c>
      <c r="P950" s="6" t="str">
        <f ca="1">IFERROR(__xludf.DUMMYFUNCTION("""COMPUTED_VALUE"""),"CSTM_II0CI5VHD7K")</f>
        <v>CSTM_II0CI5VHD7K</v>
      </c>
      <c r="Q950" s="6"/>
      <c r="R950" s="6" t="str">
        <f ca="1">IFERROR(__xludf.DUMMYFUNCTION("""COMPUTED_VALUE"""),"Pending")</f>
        <v>Pending</v>
      </c>
      <c r="S950" s="6" t="str">
        <f ca="1">IFERROR(__xludf.DUMMYFUNCTION("""COMPUTED_VALUE"""),"Category")</f>
        <v>Category</v>
      </c>
      <c r="T950" s="6"/>
      <c r="U950" s="6"/>
      <c r="V950" s="6"/>
      <c r="W950" s="6"/>
      <c r="X950" s="6"/>
      <c r="Y950" s="6"/>
      <c r="Z950" s="6"/>
      <c r="AA950" s="6"/>
      <c r="AB950" s="6"/>
      <c r="AC950" s="6"/>
      <c r="AD950" s="6"/>
      <c r="AE950" s="6"/>
      <c r="AF950" s="6"/>
      <c r="AG950" s="6"/>
      <c r="AH950" s="6"/>
      <c r="AI950" s="6"/>
      <c r="AJ950" s="6"/>
      <c r="AK950" s="6"/>
      <c r="AL950" s="6"/>
    </row>
    <row r="951" spans="1:38">
      <c r="A951" s="96">
        <f ca="1">IFERROR(__xludf.DUMMYFUNCTION("""COMPUTED_VALUE"""),44656)</f>
        <v>44656</v>
      </c>
      <c r="B951" s="6" t="str">
        <f ca="1">IFERROR(__xludf.DUMMYFUNCTION("""COMPUTED_VALUE"""),"Prejisha")</f>
        <v>Prejisha</v>
      </c>
      <c r="C951" s="6" t="str">
        <f ca="1">IFERROR(__xludf.DUMMYFUNCTION("""COMPUTED_VALUE"""),"ppjisha@gmail.com")</f>
        <v>ppjisha@gmail.com</v>
      </c>
      <c r="D951" s="6">
        <f ca="1">IFERROR(__xludf.DUMMYFUNCTION("""COMPUTED_VALUE"""),9620834833)</f>
        <v>9620834833</v>
      </c>
      <c r="E951" s="6" t="str">
        <f ca="1">IFERROR(__xludf.DUMMYFUNCTION("""COMPUTED_VALUE"""),"Chat_triggered")</f>
        <v>Chat_triggered</v>
      </c>
      <c r="F951" s="6" t="str">
        <f ca="1">IFERROR(__xludf.DUMMYFUNCTION("""COMPUTED_VALUE"""),"CSM")</f>
        <v>CSM</v>
      </c>
      <c r="G951" s="80">
        <f ca="1">IFERROR(__xludf.DUMMYFUNCTION("""COMPUTED_VALUE"""),44652)</f>
        <v>44652</v>
      </c>
      <c r="H951" s="6" t="str">
        <f ca="1">IFERROR(__xludf.DUMMYFUNCTION("""COMPUTED_VALUE"""),"Won")</f>
        <v>Won</v>
      </c>
      <c r="I951" s="6" t="str">
        <f ca="1">IFERROR(__xludf.DUMMYFUNCTION("""COMPUTED_VALUE"""),"7-8 April 2022")</f>
        <v>7-8 April 2022</v>
      </c>
      <c r="J951" s="6">
        <f ca="1">IFERROR(__xludf.DUMMYFUNCTION("""COMPUTED_VALUE"""),1)</f>
        <v>1</v>
      </c>
      <c r="K951" s="8">
        <f ca="1">IFERROR(__xludf.DUMMYFUNCTION("""COMPUTED_VALUE"""),20000)</f>
        <v>20000</v>
      </c>
      <c r="L951" s="8">
        <f ca="1">IFERROR(__xludf.DUMMYFUNCTION("""COMPUTED_VALUE"""),229.042601923957)</f>
        <v>229.04260192395699</v>
      </c>
      <c r="M951" s="96">
        <f ca="1">IFERROR(__xludf.DUMMYFUNCTION("""COMPUTED_VALUE"""),44656)</f>
        <v>44656</v>
      </c>
      <c r="N951" s="6" t="str">
        <f ca="1">IFERROR(__xludf.DUMMYFUNCTION("""COMPUTED_VALUE"""),"F10")</f>
        <v>F10</v>
      </c>
      <c r="O951" s="97">
        <f ca="1">IFERROR(__xludf.DUMMYFUNCTION("""COMPUTED_VALUE"""),44656)</f>
        <v>44656</v>
      </c>
      <c r="P951" s="6" t="str">
        <f ca="1">IFERROR(__xludf.DUMMYFUNCTION("""COMPUTED_VALUE"""),"CSTM_AP055K4FU6R")</f>
        <v>CSTM_AP055K4FU6R</v>
      </c>
      <c r="Q951" s="6"/>
      <c r="R951" s="6" t="str">
        <f ca="1">IFERROR(__xludf.DUMMYFUNCTION("""COMPUTED_VALUE"""),"Pending")</f>
        <v>Pending</v>
      </c>
      <c r="S951" s="6" t="str">
        <f ca="1">IFERROR(__xludf.DUMMYFUNCTION("""COMPUTED_VALUE"""),"Category")</f>
        <v>Category</v>
      </c>
      <c r="T951" s="6"/>
      <c r="U951" s="6"/>
      <c r="V951" s="6"/>
      <c r="W951" s="6"/>
      <c r="X951" s="6"/>
      <c r="Y951" s="6"/>
      <c r="Z951" s="6"/>
      <c r="AA951" s="6"/>
      <c r="AB951" s="6"/>
      <c r="AC951" s="6"/>
      <c r="AD951" s="6"/>
      <c r="AE951" s="6"/>
      <c r="AF951" s="6"/>
      <c r="AG951" s="6"/>
      <c r="AH951" s="6"/>
      <c r="AI951" s="6"/>
      <c r="AJ951" s="6"/>
      <c r="AK951" s="6"/>
      <c r="AL951" s="6"/>
    </row>
    <row r="952" spans="1:38">
      <c r="A952" s="96">
        <f ca="1">IFERROR(__xludf.DUMMYFUNCTION("""COMPUTED_VALUE"""),44656)</f>
        <v>44656</v>
      </c>
      <c r="B952" s="6" t="str">
        <f ca="1">IFERROR(__xludf.DUMMYFUNCTION("""COMPUTED_VALUE"""),"Nagaraj")</f>
        <v>Nagaraj</v>
      </c>
      <c r="C952" s="6" t="str">
        <f ca="1">IFERROR(__xludf.DUMMYFUNCTION("""COMPUTED_VALUE"""),"nngrjg@gmail.com")</f>
        <v>nngrjg@gmail.com</v>
      </c>
      <c r="D952" s="6">
        <f ca="1">IFERROR(__xludf.DUMMYFUNCTION("""COMPUTED_VALUE"""),9994636371)</f>
        <v>9994636371</v>
      </c>
      <c r="E952" s="6" t="str">
        <f ca="1">IFERROR(__xludf.DUMMYFUNCTION("""COMPUTED_VALUE"""),"Query box")</f>
        <v>Query box</v>
      </c>
      <c r="F952" s="6" t="str">
        <f ca="1">IFERROR(__xludf.DUMMYFUNCTION("""COMPUTED_VALUE"""),"PSM")</f>
        <v>PSM</v>
      </c>
      <c r="G952" s="80">
        <f ca="1">IFERROR(__xludf.DUMMYFUNCTION("""COMPUTED_VALUE"""),44652)</f>
        <v>44652</v>
      </c>
      <c r="H952" s="6" t="str">
        <f ca="1">IFERROR(__xludf.DUMMYFUNCTION("""COMPUTED_VALUE"""),"Won")</f>
        <v>Won</v>
      </c>
      <c r="I952" s="6" t="str">
        <f ca="1">IFERROR(__xludf.DUMMYFUNCTION("""COMPUTED_VALUE"""),"16-17 April 2022")</f>
        <v>16-17 April 2022</v>
      </c>
      <c r="J952" s="6">
        <f ca="1">IFERROR(__xludf.DUMMYFUNCTION("""COMPUTED_VALUE"""),1)</f>
        <v>1</v>
      </c>
      <c r="K952" s="8">
        <f ca="1">IFERROR(__xludf.DUMMYFUNCTION("""COMPUTED_VALUE"""),21000)</f>
        <v>21000</v>
      </c>
      <c r="L952" s="8">
        <f ca="1">IFERROR(__xludf.DUMMYFUNCTION("""COMPUTED_VALUE"""),240.494732020155)</f>
        <v>240.494732020155</v>
      </c>
      <c r="M952" s="96">
        <f ca="1">IFERROR(__xludf.DUMMYFUNCTION("""COMPUTED_VALUE"""),44656)</f>
        <v>44656</v>
      </c>
      <c r="N952" s="6" t="str">
        <f ca="1">IFERROR(__xludf.DUMMYFUNCTION("""COMPUTED_VALUE"""),"F10")</f>
        <v>F10</v>
      </c>
      <c r="O952" s="97">
        <f ca="1">IFERROR(__xludf.DUMMYFUNCTION("""COMPUTED_VALUE"""),44656)</f>
        <v>44656</v>
      </c>
      <c r="P952" s="6" t="str">
        <f ca="1">IFERROR(__xludf.DUMMYFUNCTION("""COMPUTED_VALUE"""),"CSTM_J9VXSZHIL0V")</f>
        <v>CSTM_J9VXSZHIL0V</v>
      </c>
      <c r="Q952" s="6"/>
      <c r="R952" s="6" t="str">
        <f ca="1">IFERROR(__xludf.DUMMYFUNCTION("""COMPUTED_VALUE"""),"Done. Good feedback.")</f>
        <v>Done. Good feedback.</v>
      </c>
      <c r="S952" s="6" t="str">
        <f ca="1">IFERROR(__xludf.DUMMYFUNCTION("""COMPUTED_VALUE"""),"Category")</f>
        <v>Category</v>
      </c>
      <c r="T952" s="6"/>
      <c r="U952" s="6"/>
      <c r="V952" s="6"/>
      <c r="W952" s="6"/>
      <c r="X952" s="6"/>
      <c r="Y952" s="6"/>
      <c r="Z952" s="6"/>
      <c r="AA952" s="6"/>
      <c r="AB952" s="6"/>
      <c r="AC952" s="6"/>
      <c r="AD952" s="6"/>
      <c r="AE952" s="6"/>
      <c r="AF952" s="6"/>
      <c r="AG952" s="6"/>
      <c r="AH952" s="6"/>
      <c r="AI952" s="6"/>
      <c r="AJ952" s="6"/>
      <c r="AK952" s="6"/>
      <c r="AL952" s="6"/>
    </row>
    <row r="953" spans="1:38">
      <c r="A953" s="96">
        <f ca="1">IFERROR(__xludf.DUMMYFUNCTION("""COMPUTED_VALUE"""),44658)</f>
        <v>44658</v>
      </c>
      <c r="B953" s="6" t="str">
        <f ca="1">IFERROR(__xludf.DUMMYFUNCTION("""COMPUTED_VALUE"""),"Vaishali Patil")</f>
        <v>Vaishali Patil</v>
      </c>
      <c r="C953" s="6" t="str">
        <f ca="1">IFERROR(__xludf.DUMMYFUNCTION("""COMPUTED_VALUE"""),"vaishalispatil211@gmail.com")</f>
        <v>vaishalispatil211@gmail.com</v>
      </c>
      <c r="D953" s="6">
        <f ca="1">IFERROR(__xludf.DUMMYFUNCTION("""COMPUTED_VALUE"""),9820593506)</f>
        <v>9820593506</v>
      </c>
      <c r="E953" s="6" t="str">
        <f ca="1">IFERROR(__xludf.DUMMYFUNCTION("""COMPUTED_VALUE"""),"Existing Account")</f>
        <v>Existing Account</v>
      </c>
      <c r="F953" s="6" t="str">
        <f ca="1">IFERROR(__xludf.DUMMYFUNCTION("""COMPUTED_VALUE"""),"PSM 2")</f>
        <v>PSM 2</v>
      </c>
      <c r="G953" s="80">
        <f ca="1">IFERROR(__xludf.DUMMYFUNCTION("""COMPUTED_VALUE"""),44652)</f>
        <v>44652</v>
      </c>
      <c r="H953" s="6" t="str">
        <f ca="1">IFERROR(__xludf.DUMMYFUNCTION("""COMPUTED_VALUE"""),"Won")</f>
        <v>Won</v>
      </c>
      <c r="I953" s="6" t="str">
        <f ca="1">IFERROR(__xludf.DUMMYFUNCTION("""COMPUTED_VALUE"""),"23-24 April 2022")</f>
        <v>23-24 April 2022</v>
      </c>
      <c r="J953" s="6">
        <f ca="1">IFERROR(__xludf.DUMMYFUNCTION("""COMPUTED_VALUE"""),1)</f>
        <v>1</v>
      </c>
      <c r="K953" s="8">
        <f ca="1">IFERROR(__xludf.DUMMYFUNCTION("""COMPUTED_VALUE"""),24000)</f>
        <v>24000</v>
      </c>
      <c r="L953" s="8">
        <f ca="1">IFERROR(__xludf.DUMMYFUNCTION("""COMPUTED_VALUE"""),274.851122308749)</f>
        <v>274.85112230874898</v>
      </c>
      <c r="M953" s="96">
        <f ca="1">IFERROR(__xludf.DUMMYFUNCTION("""COMPUTED_VALUE"""),44658)</f>
        <v>44658</v>
      </c>
      <c r="N953" s="6" t="str">
        <f ca="1">IFERROR(__xludf.DUMMYFUNCTION("""COMPUTED_VALUE"""),"F10")</f>
        <v>F10</v>
      </c>
      <c r="O953" s="97">
        <f ca="1">IFERROR(__xludf.DUMMYFUNCTION("""COMPUTED_VALUE"""),44658)</f>
        <v>44658</v>
      </c>
      <c r="P953" s="6" t="str">
        <f ca="1">IFERROR(__xludf.DUMMYFUNCTION("""COMPUTED_VALUE"""),"CSTM_BDIIVL3NTYC")</f>
        <v>CSTM_BDIIVL3NTYC</v>
      </c>
      <c r="Q953" s="6"/>
      <c r="R953" s="6" t="str">
        <f ca="1">IFERROR(__xludf.DUMMYFUNCTION("""COMPUTED_VALUE"""),"Pending")</f>
        <v>Pending</v>
      </c>
      <c r="S953" s="6" t="str">
        <f ca="1">IFERROR(__xludf.DUMMYFUNCTION("""COMPUTED_VALUE"""),"Category")</f>
        <v>Category</v>
      </c>
      <c r="T953" s="6"/>
      <c r="U953" s="6"/>
      <c r="V953" s="6"/>
      <c r="W953" s="6"/>
      <c r="X953" s="6"/>
      <c r="Y953" s="6"/>
      <c r="Z953" s="6"/>
      <c r="AA953" s="6"/>
      <c r="AB953" s="6"/>
      <c r="AC953" s="6"/>
      <c r="AD953" s="6"/>
      <c r="AE953" s="6"/>
      <c r="AF953" s="6"/>
      <c r="AG953" s="6"/>
      <c r="AH953" s="6"/>
      <c r="AI953" s="6"/>
      <c r="AJ953" s="6"/>
      <c r="AK953" s="6"/>
      <c r="AL953" s="6"/>
    </row>
    <row r="954" spans="1:38">
      <c r="A954" s="96">
        <f ca="1">IFERROR(__xludf.DUMMYFUNCTION("""COMPUTED_VALUE"""),44658)</f>
        <v>44658</v>
      </c>
      <c r="B954" s="6" t="str">
        <f ca="1">IFERROR(__xludf.DUMMYFUNCTION("""COMPUTED_VALUE"""),"Ankur")</f>
        <v>Ankur</v>
      </c>
      <c r="C954" s="6" t="str">
        <f ca="1">IFERROR(__xludf.DUMMYFUNCTION("""COMPUTED_VALUE"""),"ankur2008agarwal@gmail.com")</f>
        <v>ankur2008agarwal@gmail.com</v>
      </c>
      <c r="D954" s="6">
        <f ca="1">IFERROR(__xludf.DUMMYFUNCTION("""COMPUTED_VALUE"""),9620015600)</f>
        <v>9620015600</v>
      </c>
      <c r="E954" s="6" t="str">
        <f ca="1">IFERROR(__xludf.DUMMYFUNCTION("""COMPUTED_VALUE"""),"Query box")</f>
        <v>Query box</v>
      </c>
      <c r="F954" s="6" t="str">
        <f ca="1">IFERROR(__xludf.DUMMYFUNCTION("""COMPUTED_VALUE"""),"PSM")</f>
        <v>PSM</v>
      </c>
      <c r="G954" s="80">
        <f ca="1">IFERROR(__xludf.DUMMYFUNCTION("""COMPUTED_VALUE"""),44652)</f>
        <v>44652</v>
      </c>
      <c r="H954" s="6" t="str">
        <f ca="1">IFERROR(__xludf.DUMMYFUNCTION("""COMPUTED_VALUE"""),"Won")</f>
        <v>Won</v>
      </c>
      <c r="I954" s="6" t="str">
        <f ca="1">IFERROR(__xludf.DUMMYFUNCTION("""COMPUTED_VALUE"""),"16-17 April 2022")</f>
        <v>16-17 April 2022</v>
      </c>
      <c r="J954" s="6">
        <f ca="1">IFERROR(__xludf.DUMMYFUNCTION("""COMPUTED_VALUE"""),1)</f>
        <v>1</v>
      </c>
      <c r="K954" s="8">
        <f ca="1">IFERROR(__xludf.DUMMYFUNCTION("""COMPUTED_VALUE"""),21000)</f>
        <v>21000</v>
      </c>
      <c r="L954" s="8">
        <f ca="1">IFERROR(__xludf.DUMMYFUNCTION("""COMPUTED_VALUE"""),240.494732020155)</f>
        <v>240.494732020155</v>
      </c>
      <c r="M954" s="96">
        <f ca="1">IFERROR(__xludf.DUMMYFUNCTION("""COMPUTED_VALUE"""),44658)</f>
        <v>44658</v>
      </c>
      <c r="N954" s="6" t="str">
        <f ca="1">IFERROR(__xludf.DUMMYFUNCTION("""COMPUTED_VALUE"""),"F10")</f>
        <v>F10</v>
      </c>
      <c r="O954" s="97">
        <f ca="1">IFERROR(__xludf.DUMMYFUNCTION("""COMPUTED_VALUE"""),44658)</f>
        <v>44658</v>
      </c>
      <c r="P954" s="6" t="str">
        <f ca="1">IFERROR(__xludf.DUMMYFUNCTION("""COMPUTED_VALUE"""),"CSTM_4E33NV49ZIG")</f>
        <v>CSTM_4E33NV49ZIG</v>
      </c>
      <c r="Q954" s="6"/>
      <c r="R954" s="6" t="str">
        <f ca="1">IFERROR(__xludf.DUMMYFUNCTION("""COMPUTED_VALUE"""),"Done. Good feedback.")</f>
        <v>Done. Good feedback.</v>
      </c>
      <c r="S954" s="6" t="str">
        <f ca="1">IFERROR(__xludf.DUMMYFUNCTION("""COMPUTED_VALUE"""),"Category")</f>
        <v>Category</v>
      </c>
      <c r="T954" s="6"/>
      <c r="U954" s="6"/>
      <c r="V954" s="6"/>
      <c r="W954" s="6"/>
      <c r="X954" s="6"/>
      <c r="Y954" s="6"/>
      <c r="Z954" s="6"/>
      <c r="AA954" s="6"/>
      <c r="AB954" s="6"/>
      <c r="AC954" s="6"/>
      <c r="AD954" s="6"/>
      <c r="AE954" s="6"/>
      <c r="AF954" s="6"/>
      <c r="AG954" s="6"/>
      <c r="AH954" s="6"/>
      <c r="AI954" s="6"/>
      <c r="AJ954" s="6"/>
      <c r="AK954" s="6"/>
      <c r="AL954" s="6"/>
    </row>
    <row r="955" spans="1:38">
      <c r="A955" s="96">
        <f ca="1">IFERROR(__xludf.DUMMYFUNCTION("""COMPUTED_VALUE"""),44658)</f>
        <v>44658</v>
      </c>
      <c r="B955" s="6" t="str">
        <f ca="1">IFERROR(__xludf.DUMMYFUNCTION("""COMPUTED_VALUE"""),"Shruti Kuppikar")</f>
        <v>Shruti Kuppikar</v>
      </c>
      <c r="C955" s="6" t="str">
        <f ca="1">IFERROR(__xludf.DUMMYFUNCTION("""COMPUTED_VALUE"""),"shruti.kuppikar@yahoo.com")</f>
        <v>shruti.kuppikar@yahoo.com</v>
      </c>
      <c r="D955" s="6">
        <f ca="1">IFERROR(__xludf.DUMMYFUNCTION("""COMPUTED_VALUE"""),8898343335)</f>
        <v>8898343335</v>
      </c>
      <c r="E955" s="6" t="str">
        <f ca="1">IFERROR(__xludf.DUMMYFUNCTION("""COMPUTED_VALUE"""),"Reference")</f>
        <v>Reference</v>
      </c>
      <c r="F955" s="6" t="str">
        <f ca="1">IFERROR(__xludf.DUMMYFUNCTION("""COMPUTED_VALUE"""),"CSM")</f>
        <v>CSM</v>
      </c>
      <c r="G955" s="80">
        <f ca="1">IFERROR(__xludf.DUMMYFUNCTION("""COMPUTED_VALUE"""),44652)</f>
        <v>44652</v>
      </c>
      <c r="H955" s="6" t="str">
        <f ca="1">IFERROR(__xludf.DUMMYFUNCTION("""COMPUTED_VALUE"""),"Won")</f>
        <v>Won</v>
      </c>
      <c r="I955" s="6" t="str">
        <f ca="1">IFERROR(__xludf.DUMMYFUNCTION("""COMPUTED_VALUE"""),"16-17 April 2022")</f>
        <v>16-17 April 2022</v>
      </c>
      <c r="J955" s="6">
        <f ca="1">IFERROR(__xludf.DUMMYFUNCTION("""COMPUTED_VALUE"""),1)</f>
        <v>1</v>
      </c>
      <c r="K955" s="8">
        <f ca="1">IFERROR(__xludf.DUMMYFUNCTION("""COMPUTED_VALUE"""),20000)</f>
        <v>20000</v>
      </c>
      <c r="L955" s="8">
        <f ca="1">IFERROR(__xludf.DUMMYFUNCTION("""COMPUTED_VALUE"""),229.042601923957)</f>
        <v>229.04260192395699</v>
      </c>
      <c r="M955" s="96">
        <f ca="1">IFERROR(__xludf.DUMMYFUNCTION("""COMPUTED_VALUE"""),44658)</f>
        <v>44658</v>
      </c>
      <c r="N955" s="6" t="str">
        <f ca="1">IFERROR(__xludf.DUMMYFUNCTION("""COMPUTED_VALUE"""),"F10")</f>
        <v>F10</v>
      </c>
      <c r="O955" s="97">
        <f ca="1">IFERROR(__xludf.DUMMYFUNCTION("""COMPUTED_VALUE"""),44658)</f>
        <v>44658</v>
      </c>
      <c r="P955" s="6" t="str">
        <f ca="1">IFERROR(__xludf.DUMMYFUNCTION("""COMPUTED_VALUE"""),"CSTM_78D0LGH7XC2")</f>
        <v>CSTM_78D0LGH7XC2</v>
      </c>
      <c r="Q955" s="6" t="str">
        <f ca="1">IFERROR(__xludf.DUMMYFUNCTION("""COMPUTED_VALUE"""),"Reference by shruti.kuppikar9@gmail.com")</f>
        <v>Reference by shruti.kuppikar9@gmail.com</v>
      </c>
      <c r="R955" s="6" t="str">
        <f ca="1">IFERROR(__xludf.DUMMYFUNCTION("""COMPUTED_VALUE"""),"Done. Good feedback.")</f>
        <v>Done. Good feedback.</v>
      </c>
      <c r="S955" s="6" t="str">
        <f ca="1">IFERROR(__xludf.DUMMYFUNCTION("""COMPUTED_VALUE"""),"Category")</f>
        <v>Category</v>
      </c>
      <c r="T955" s="6"/>
      <c r="U955" s="6"/>
      <c r="V955" s="6"/>
      <c r="W955" s="6"/>
      <c r="X955" s="6"/>
      <c r="Y955" s="6"/>
      <c r="Z955" s="6"/>
      <c r="AA955" s="6"/>
      <c r="AB955" s="6"/>
      <c r="AC955" s="6"/>
      <c r="AD955" s="6"/>
      <c r="AE955" s="6"/>
      <c r="AF955" s="6"/>
      <c r="AG955" s="6"/>
      <c r="AH955" s="6"/>
      <c r="AI955" s="6"/>
      <c r="AJ955" s="6"/>
      <c r="AK955" s="6"/>
      <c r="AL955" s="6"/>
    </row>
    <row r="956" spans="1:38">
      <c r="A956" s="96">
        <f ca="1">IFERROR(__xludf.DUMMYFUNCTION("""COMPUTED_VALUE"""),44659)</f>
        <v>44659</v>
      </c>
      <c r="B956" s="6" t="str">
        <f ca="1">IFERROR(__xludf.DUMMYFUNCTION("""COMPUTED_VALUE"""),"Ravi ")</f>
        <v xml:space="preserve">Ravi </v>
      </c>
      <c r="C956" s="6" t="str">
        <f ca="1">IFERROR(__xludf.DUMMYFUNCTION("""COMPUTED_VALUE"""),"ravi.27oct@gmail.com")</f>
        <v>ravi.27oct@gmail.com</v>
      </c>
      <c r="D956" s="6">
        <f ca="1">IFERROR(__xludf.DUMMYFUNCTION("""COMPUTED_VALUE"""),8904225854)</f>
        <v>8904225854</v>
      </c>
      <c r="E956" s="6" t="str">
        <f ca="1">IFERROR(__xludf.DUMMYFUNCTION("""COMPUTED_VALUE"""),"chat_initiated")</f>
        <v>chat_initiated</v>
      </c>
      <c r="F956" s="6" t="str">
        <f ca="1">IFERROR(__xludf.DUMMYFUNCTION("""COMPUTED_VALUE"""),"CSPO")</f>
        <v>CSPO</v>
      </c>
      <c r="G956" s="80">
        <f ca="1">IFERROR(__xludf.DUMMYFUNCTION("""COMPUTED_VALUE"""),44652)</f>
        <v>44652</v>
      </c>
      <c r="H956" s="6" t="str">
        <f ca="1">IFERROR(__xludf.DUMMYFUNCTION("""COMPUTED_VALUE"""),"Won")</f>
        <v>Won</v>
      </c>
      <c r="I956" s="6" t="str">
        <f ca="1">IFERROR(__xludf.DUMMYFUNCTION("""COMPUTED_VALUE"""),"12-13 April 2022")</f>
        <v>12-13 April 2022</v>
      </c>
      <c r="J956" s="6">
        <f ca="1">IFERROR(__xludf.DUMMYFUNCTION("""COMPUTED_VALUE"""),1)</f>
        <v>1</v>
      </c>
      <c r="K956" s="8">
        <f ca="1">IFERROR(__xludf.DUMMYFUNCTION("""COMPUTED_VALUE"""),20000)</f>
        <v>20000</v>
      </c>
      <c r="L956" s="8">
        <f ca="1">IFERROR(__xludf.DUMMYFUNCTION("""COMPUTED_VALUE"""),229.042601923957)</f>
        <v>229.04260192395699</v>
      </c>
      <c r="M956" s="96">
        <f ca="1">IFERROR(__xludf.DUMMYFUNCTION("""COMPUTED_VALUE"""),44659)</f>
        <v>44659</v>
      </c>
      <c r="N956" s="6" t="str">
        <f ca="1">IFERROR(__xludf.DUMMYFUNCTION("""COMPUTED_VALUE"""),"F10")</f>
        <v>F10</v>
      </c>
      <c r="O956" s="97">
        <f ca="1">IFERROR(__xludf.DUMMYFUNCTION("""COMPUTED_VALUE"""),44659)</f>
        <v>44659</v>
      </c>
      <c r="P956" s="6" t="str">
        <f ca="1">IFERROR(__xludf.DUMMYFUNCTION("""COMPUTED_VALUE"""),"CSTM_5XOFUUE6HR4")</f>
        <v>CSTM_5XOFUUE6HR4</v>
      </c>
      <c r="Q956" s="6"/>
      <c r="R956" s="6" t="str">
        <f ca="1">IFERROR(__xludf.DUMMYFUNCTION("""COMPUTED_VALUE"""),"Pending")</f>
        <v>Pending</v>
      </c>
      <c r="S956" s="6" t="str">
        <f ca="1">IFERROR(__xludf.DUMMYFUNCTION("""COMPUTED_VALUE"""),"Category")</f>
        <v>Category</v>
      </c>
      <c r="T956" s="6"/>
      <c r="U956" s="6"/>
      <c r="V956" s="6"/>
      <c r="W956" s="6"/>
      <c r="X956" s="6"/>
      <c r="Y956" s="6"/>
      <c r="Z956" s="6"/>
      <c r="AA956" s="6"/>
      <c r="AB956" s="6"/>
      <c r="AC956" s="6"/>
      <c r="AD956" s="6"/>
      <c r="AE956" s="6"/>
      <c r="AF956" s="6"/>
      <c r="AG956" s="6"/>
      <c r="AH956" s="6"/>
      <c r="AI956" s="6"/>
      <c r="AJ956" s="6"/>
      <c r="AK956" s="6"/>
      <c r="AL956" s="6"/>
    </row>
    <row r="957" spans="1:38">
      <c r="A957" s="96">
        <f ca="1">IFERROR(__xludf.DUMMYFUNCTION("""COMPUTED_VALUE"""),44659)</f>
        <v>44659</v>
      </c>
      <c r="B957" s="6" t="str">
        <f ca="1">IFERROR(__xludf.DUMMYFUNCTION("""COMPUTED_VALUE"""),"Madhumitha Sampath")</f>
        <v>Madhumitha Sampath</v>
      </c>
      <c r="C957" s="6" t="str">
        <f ca="1">IFERROR(__xludf.DUMMYFUNCTION("""COMPUTED_VALUE"""),"email.mitha@gmail.com")</f>
        <v>email.mitha@gmail.com</v>
      </c>
      <c r="D957" s="6">
        <f ca="1">IFERROR(__xludf.DUMMYFUNCTION("""COMPUTED_VALUE"""),9686031655)</f>
        <v>9686031655</v>
      </c>
      <c r="E957" s="6" t="str">
        <f ca="1">IFERROR(__xludf.DUMMYFUNCTION("""COMPUTED_VALUE"""),"chat_initiated")</f>
        <v>chat_initiated</v>
      </c>
      <c r="F957" s="6" t="str">
        <f ca="1">IFERROR(__xludf.DUMMYFUNCTION("""COMPUTED_VALUE"""),"PSM")</f>
        <v>PSM</v>
      </c>
      <c r="G957" s="80">
        <f ca="1">IFERROR(__xludf.DUMMYFUNCTION("""COMPUTED_VALUE"""),44652)</f>
        <v>44652</v>
      </c>
      <c r="H957" s="6"/>
      <c r="I957" s="6" t="str">
        <f ca="1">IFERROR(__xludf.DUMMYFUNCTION("""COMPUTED_VALUE"""),"16-17 April 2022")</f>
        <v>16-17 April 2022</v>
      </c>
      <c r="J957" s="6">
        <f ca="1">IFERROR(__xludf.DUMMYFUNCTION("""COMPUTED_VALUE"""),1)</f>
        <v>1</v>
      </c>
      <c r="K957" s="8"/>
      <c r="L957" s="8"/>
      <c r="M957" s="96">
        <f ca="1">IFERROR(__xludf.DUMMYFUNCTION("""COMPUTED_VALUE"""),44659)</f>
        <v>44659</v>
      </c>
      <c r="N957" s="6" t="str">
        <f ca="1">IFERROR(__xludf.DUMMYFUNCTION("""COMPUTED_VALUE"""),"F10")</f>
        <v>F10</v>
      </c>
      <c r="O957" s="97">
        <f ca="1">IFERROR(__xludf.DUMMYFUNCTION("""COMPUTED_VALUE"""),44659)</f>
        <v>44659</v>
      </c>
      <c r="P957" s="6" t="str">
        <f ca="1">IFERROR(__xludf.DUMMYFUNCTION("""COMPUTED_VALUE"""),"CSTM_6EZN3LSU428")</f>
        <v>CSTM_6EZN3LSU428</v>
      </c>
      <c r="Q957" s="6"/>
      <c r="R957" s="6" t="str">
        <f ca="1">IFERROR(__xludf.DUMMYFUNCTION("""COMPUTED_VALUE"""),"Pending")</f>
        <v>Pending</v>
      </c>
      <c r="S957" s="6" t="str">
        <f ca="1">IFERROR(__xludf.DUMMYFUNCTION("""COMPUTED_VALUE"""),"Category")</f>
        <v>Category</v>
      </c>
      <c r="T957" s="6"/>
      <c r="U957" s="6"/>
      <c r="V957" s="6"/>
      <c r="W957" s="6"/>
      <c r="X957" s="6"/>
      <c r="Y957" s="6"/>
      <c r="Z957" s="6"/>
      <c r="AA957" s="6"/>
      <c r="AB957" s="6"/>
      <c r="AC957" s="6"/>
      <c r="AD957" s="6"/>
      <c r="AE957" s="6"/>
      <c r="AF957" s="6"/>
      <c r="AG957" s="6"/>
      <c r="AH957" s="6"/>
      <c r="AI957" s="6"/>
      <c r="AJ957" s="6"/>
      <c r="AK957" s="6"/>
      <c r="AL957" s="6"/>
    </row>
    <row r="958" spans="1:38">
      <c r="A958" s="96">
        <f ca="1">IFERROR(__xludf.DUMMYFUNCTION("""COMPUTED_VALUE"""),44662)</f>
        <v>44662</v>
      </c>
      <c r="B958" s="6" t="str">
        <f ca="1">IFERROR(__xludf.DUMMYFUNCTION("""COMPUTED_VALUE"""),"Ankit Gupta")</f>
        <v>Ankit Gupta</v>
      </c>
      <c r="C958" s="6" t="str">
        <f ca="1">IFERROR(__xludf.DUMMYFUNCTION("""COMPUTED_VALUE"""),"amit.ankit2@gmail.com")</f>
        <v>amit.ankit2@gmail.com</v>
      </c>
      <c r="D958" s="6">
        <f ca="1">IFERROR(__xludf.DUMMYFUNCTION("""COMPUTED_VALUE"""),8879452650)</f>
        <v>8879452650</v>
      </c>
      <c r="E958" s="6" t="str">
        <f ca="1">IFERROR(__xludf.DUMMYFUNCTION("""COMPUTED_VALUE"""),"Query box")</f>
        <v>Query box</v>
      </c>
      <c r="F958" s="6" t="str">
        <f ca="1">IFERROR(__xludf.DUMMYFUNCTION("""COMPUTED_VALUE"""),"PSM")</f>
        <v>PSM</v>
      </c>
      <c r="G958" s="80">
        <f ca="1">IFERROR(__xludf.DUMMYFUNCTION("""COMPUTED_VALUE"""),44652)</f>
        <v>44652</v>
      </c>
      <c r="H958" s="6" t="str">
        <f ca="1">IFERROR(__xludf.DUMMYFUNCTION("""COMPUTED_VALUE"""),"Won")</f>
        <v>Won</v>
      </c>
      <c r="I958" s="6" t="str">
        <f ca="1">IFERROR(__xludf.DUMMYFUNCTION("""COMPUTED_VALUE"""),"14-15 May 2022")</f>
        <v>14-15 May 2022</v>
      </c>
      <c r="J958" s="6">
        <f ca="1">IFERROR(__xludf.DUMMYFUNCTION("""COMPUTED_VALUE"""),1)</f>
        <v>1</v>
      </c>
      <c r="K958" s="8">
        <f ca="1">IFERROR(__xludf.DUMMYFUNCTION("""COMPUTED_VALUE"""),21000)</f>
        <v>21000</v>
      </c>
      <c r="L958" s="8">
        <f ca="1">IFERROR(__xludf.DUMMYFUNCTION("""COMPUTED_VALUE"""),240.494732020155)</f>
        <v>240.494732020155</v>
      </c>
      <c r="M958" s="96">
        <f ca="1">IFERROR(__xludf.DUMMYFUNCTION("""COMPUTED_VALUE"""),44662)</f>
        <v>44662</v>
      </c>
      <c r="N958" s="6" t="str">
        <f ca="1">IFERROR(__xludf.DUMMYFUNCTION("""COMPUTED_VALUE"""),"S10")</f>
        <v>S10</v>
      </c>
      <c r="O958" s="97">
        <f ca="1">IFERROR(__xludf.DUMMYFUNCTION("""COMPUTED_VALUE"""),44662)</f>
        <v>44662</v>
      </c>
      <c r="P958" s="6" t="str">
        <f ca="1">IFERROR(__xludf.DUMMYFUNCTION("""COMPUTED_VALUE"""),"CSTM_CPAUV7UE9J2")</f>
        <v>CSTM_CPAUV7UE9J2</v>
      </c>
      <c r="Q958" s="6"/>
      <c r="R958" s="6" t="str">
        <f ca="1">IFERROR(__xludf.DUMMYFUNCTION("""COMPUTED_VALUE"""),"Done. Good feedback.")</f>
        <v>Done. Good feedback.</v>
      </c>
      <c r="S958" s="6" t="str">
        <f ca="1">IFERROR(__xludf.DUMMYFUNCTION("""COMPUTED_VALUE"""),"Category")</f>
        <v>Category</v>
      </c>
      <c r="T958" s="6"/>
      <c r="U958" s="6"/>
      <c r="V958" s="6"/>
      <c r="W958" s="6"/>
      <c r="X958" s="6"/>
      <c r="Y958" s="6"/>
      <c r="Z958" s="6"/>
      <c r="AA958" s="6"/>
      <c r="AB958" s="6"/>
      <c r="AC958" s="6"/>
      <c r="AD958" s="6"/>
      <c r="AE958" s="6"/>
      <c r="AF958" s="6"/>
      <c r="AG958" s="6"/>
      <c r="AH958" s="6"/>
      <c r="AI958" s="6"/>
      <c r="AJ958" s="6"/>
      <c r="AK958" s="6"/>
      <c r="AL958" s="6"/>
    </row>
    <row r="959" spans="1:38">
      <c r="A959" s="96">
        <f ca="1">IFERROR(__xludf.DUMMYFUNCTION("""COMPUTED_VALUE"""),44663)</f>
        <v>44663</v>
      </c>
      <c r="B959" s="6" t="str">
        <f ca="1">IFERROR(__xludf.DUMMYFUNCTION("""COMPUTED_VALUE"""),"Atul Talukder")</f>
        <v>Atul Talukder</v>
      </c>
      <c r="C959" s="6" t="str">
        <f ca="1">IFERROR(__xludf.DUMMYFUNCTION("""COMPUTED_VALUE"""),"atul.talukder@gmail.com")</f>
        <v>atul.talukder@gmail.com</v>
      </c>
      <c r="D959" s="6">
        <f ca="1">IFERROR(__xludf.DUMMYFUNCTION("""COMPUTED_VALUE"""),9902099384)</f>
        <v>9902099384</v>
      </c>
      <c r="E959" s="6" t="str">
        <f ca="1">IFERROR(__xludf.DUMMYFUNCTION("""COMPUTED_VALUE"""),"refer&amp;earn")</f>
        <v>refer&amp;earn</v>
      </c>
      <c r="F959" s="6" t="str">
        <f ca="1">IFERROR(__xludf.DUMMYFUNCTION("""COMPUTED_VALUE"""),"CSPO")</f>
        <v>CSPO</v>
      </c>
      <c r="G959" s="80">
        <f ca="1">IFERROR(__xludf.DUMMYFUNCTION("""COMPUTED_VALUE"""),44652)</f>
        <v>44652</v>
      </c>
      <c r="H959" s="6" t="str">
        <f ca="1">IFERROR(__xludf.DUMMYFUNCTION("""COMPUTED_VALUE"""),"Won")</f>
        <v>Won</v>
      </c>
      <c r="I959" s="6" t="str">
        <f ca="1">IFERROR(__xludf.DUMMYFUNCTION("""COMPUTED_VALUE"""),"21-22 April 2022")</f>
        <v>21-22 April 2022</v>
      </c>
      <c r="J959" s="6">
        <f ca="1">IFERROR(__xludf.DUMMYFUNCTION("""COMPUTED_VALUE"""),1)</f>
        <v>1</v>
      </c>
      <c r="K959" s="8">
        <f ca="1">IFERROR(__xludf.DUMMYFUNCTION("""COMPUTED_VALUE"""),20000)</f>
        <v>20000</v>
      </c>
      <c r="L959" s="8">
        <f ca="1">IFERROR(__xludf.DUMMYFUNCTION("""COMPUTED_VALUE"""),229.042601923957)</f>
        <v>229.04260192395699</v>
      </c>
      <c r="M959" s="96">
        <f ca="1">IFERROR(__xludf.DUMMYFUNCTION("""COMPUTED_VALUE"""),44663)</f>
        <v>44663</v>
      </c>
      <c r="N959" s="6" t="str">
        <f ca="1">IFERROR(__xludf.DUMMYFUNCTION("""COMPUTED_VALUE"""),"S10")</f>
        <v>S10</v>
      </c>
      <c r="O959" s="97">
        <f ca="1">IFERROR(__xludf.DUMMYFUNCTION("""COMPUTED_VALUE"""),44663)</f>
        <v>44663</v>
      </c>
      <c r="P959" s="6" t="str">
        <f ca="1">IFERROR(__xludf.DUMMYFUNCTION("""COMPUTED_VALUE"""),"CSTM_BD2XP7HKSY6")</f>
        <v>CSTM_BD2XP7HKSY6</v>
      </c>
      <c r="Q959" s="6"/>
      <c r="R959" s="6" t="str">
        <f ca="1">IFERROR(__xludf.DUMMYFUNCTION("""COMPUTED_VALUE"""),"Pending")</f>
        <v>Pending</v>
      </c>
      <c r="S959" s="6" t="str">
        <f ca="1">IFERROR(__xludf.DUMMYFUNCTION("""COMPUTED_VALUE"""),"Category")</f>
        <v>Category</v>
      </c>
      <c r="T959" s="6"/>
      <c r="U959" s="6"/>
      <c r="V959" s="6"/>
      <c r="W959" s="6"/>
      <c r="X959" s="6"/>
      <c r="Y959" s="6"/>
      <c r="Z959" s="6"/>
      <c r="AA959" s="6"/>
      <c r="AB959" s="6"/>
      <c r="AC959" s="6"/>
      <c r="AD959" s="6"/>
      <c r="AE959" s="6"/>
      <c r="AF959" s="6"/>
      <c r="AG959" s="6"/>
      <c r="AH959" s="6"/>
      <c r="AI959" s="6"/>
      <c r="AJ959" s="6"/>
      <c r="AK959" s="6"/>
      <c r="AL959" s="6"/>
    </row>
    <row r="960" spans="1:38">
      <c r="A960" s="96">
        <f ca="1">IFERROR(__xludf.DUMMYFUNCTION("""COMPUTED_VALUE"""),44664)</f>
        <v>44664</v>
      </c>
      <c r="B960" s="6" t="str">
        <f ca="1">IFERROR(__xludf.DUMMYFUNCTION("""COMPUTED_VALUE"""),"Rishin Mitra")</f>
        <v>Rishin Mitra</v>
      </c>
      <c r="C960" s="6" t="str">
        <f ca="1">IFERROR(__xludf.DUMMYFUNCTION("""COMPUTED_VALUE"""),"rishinmitra17@gmail.com")</f>
        <v>rishinmitra17@gmail.com</v>
      </c>
      <c r="D960" s="6">
        <f ca="1">IFERROR(__xludf.DUMMYFUNCTION("""COMPUTED_VALUE"""),9836965888)</f>
        <v>9836965888</v>
      </c>
      <c r="E960" s="6" t="str">
        <f ca="1">IFERROR(__xludf.DUMMYFUNCTION("""COMPUTED_VALUE"""),"Tollfree")</f>
        <v>Tollfree</v>
      </c>
      <c r="F960" s="6" t="str">
        <f ca="1">IFERROR(__xludf.DUMMYFUNCTION("""COMPUTED_VALUE"""),"PSPO")</f>
        <v>PSPO</v>
      </c>
      <c r="G960" s="80">
        <f ca="1">IFERROR(__xludf.DUMMYFUNCTION("""COMPUTED_VALUE"""),44652)</f>
        <v>44652</v>
      </c>
      <c r="H960" s="6" t="str">
        <f ca="1">IFERROR(__xludf.DUMMYFUNCTION("""COMPUTED_VALUE"""),"Won")</f>
        <v>Won</v>
      </c>
      <c r="I960" s="6" t="str">
        <f ca="1">IFERROR(__xludf.DUMMYFUNCTION("""COMPUTED_VALUE"""),"16-17 April 2022")</f>
        <v>16-17 April 2022</v>
      </c>
      <c r="J960" s="6">
        <f ca="1">IFERROR(__xludf.DUMMYFUNCTION("""COMPUTED_VALUE"""),1)</f>
        <v>1</v>
      </c>
      <c r="K960" s="8">
        <f ca="1">IFERROR(__xludf.DUMMYFUNCTION("""COMPUTED_VALUE"""),21000)</f>
        <v>21000</v>
      </c>
      <c r="L960" s="8">
        <f ca="1">IFERROR(__xludf.DUMMYFUNCTION("""COMPUTED_VALUE"""),240.494732020155)</f>
        <v>240.494732020155</v>
      </c>
      <c r="M960" s="96">
        <f ca="1">IFERROR(__xludf.DUMMYFUNCTION("""COMPUTED_VALUE"""),44664)</f>
        <v>44664</v>
      </c>
      <c r="N960" s="6" t="str">
        <f ca="1">IFERROR(__xludf.DUMMYFUNCTION("""COMPUTED_VALUE"""),"S10")</f>
        <v>S10</v>
      </c>
      <c r="O960" s="97">
        <f ca="1">IFERROR(__xludf.DUMMYFUNCTION("""COMPUTED_VALUE"""),44664)</f>
        <v>44664</v>
      </c>
      <c r="P960" s="6" t="str">
        <f ca="1">IFERROR(__xludf.DUMMYFUNCTION("""COMPUTED_VALUE"""),"CSTM_EY52TNBZKGO")</f>
        <v>CSTM_EY52TNBZKGO</v>
      </c>
      <c r="Q960" s="6"/>
      <c r="R960" s="6" t="str">
        <f ca="1">IFERROR(__xludf.DUMMYFUNCTION("""COMPUTED_VALUE"""),"Done. Good feedback.")</f>
        <v>Done. Good feedback.</v>
      </c>
      <c r="S960" s="6" t="str">
        <f ca="1">IFERROR(__xludf.DUMMYFUNCTION("""COMPUTED_VALUE"""),"Category")</f>
        <v>Category</v>
      </c>
      <c r="T960" s="6"/>
      <c r="U960" s="6"/>
      <c r="V960" s="6"/>
      <c r="W960" s="6"/>
      <c r="X960" s="6"/>
      <c r="Y960" s="6"/>
      <c r="Z960" s="6"/>
      <c r="AA960" s="6"/>
      <c r="AB960" s="6"/>
      <c r="AC960" s="6"/>
      <c r="AD960" s="6"/>
      <c r="AE960" s="6"/>
      <c r="AF960" s="6"/>
      <c r="AG960" s="6"/>
      <c r="AH960" s="6"/>
      <c r="AI960" s="6"/>
      <c r="AJ960" s="6"/>
      <c r="AK960" s="6"/>
      <c r="AL960" s="6"/>
    </row>
    <row r="961" spans="1:38">
      <c r="A961" s="96">
        <f ca="1">IFERROR(__xludf.DUMMYFUNCTION("""COMPUTED_VALUE"""),44664)</f>
        <v>44664</v>
      </c>
      <c r="B961" s="6" t="str">
        <f ca="1">IFERROR(__xludf.DUMMYFUNCTION("""COMPUTED_VALUE"""),"Satish M S")</f>
        <v>Satish M S</v>
      </c>
      <c r="C961" s="6" t="str">
        <f ca="1">IFERROR(__xludf.DUMMYFUNCTION("""COMPUTED_VALUE"""),"satishms70@gmail.com")</f>
        <v>satishms70@gmail.com</v>
      </c>
      <c r="D961" s="6">
        <f ca="1">IFERROR(__xludf.DUMMYFUNCTION("""COMPUTED_VALUE"""),9845200366)</f>
        <v>9845200366</v>
      </c>
      <c r="E961" s="6" t="str">
        <f ca="1">IFERROR(__xludf.DUMMYFUNCTION("""COMPUTED_VALUE"""),"chat_initiated")</f>
        <v>chat_initiated</v>
      </c>
      <c r="F961" s="6" t="str">
        <f ca="1">IFERROR(__xludf.DUMMYFUNCTION("""COMPUTED_VALUE"""),"ICP-ACC")</f>
        <v>ICP-ACC</v>
      </c>
      <c r="G961" s="80">
        <f ca="1">IFERROR(__xludf.DUMMYFUNCTION("""COMPUTED_VALUE"""),44652)</f>
        <v>44652</v>
      </c>
      <c r="H961" s="6" t="str">
        <f ca="1">IFERROR(__xludf.DUMMYFUNCTION("""COMPUTED_VALUE"""),"Won")</f>
        <v>Won</v>
      </c>
      <c r="I961" s="6" t="str">
        <f ca="1">IFERROR(__xludf.DUMMYFUNCTION("""COMPUTED_VALUE"""),"15-17 April 2022")</f>
        <v>15-17 April 2022</v>
      </c>
      <c r="J961" s="6">
        <f ca="1">IFERROR(__xludf.DUMMYFUNCTION("""COMPUTED_VALUE"""),1)</f>
        <v>1</v>
      </c>
      <c r="K961" s="8">
        <f ca="1">IFERROR(__xludf.DUMMYFUNCTION("""COMPUTED_VALUE"""),30500)</f>
        <v>30500</v>
      </c>
      <c r="L961" s="8">
        <f ca="1">IFERROR(__xludf.DUMMYFUNCTION("""COMPUTED_VALUE"""),349.289967934035)</f>
        <v>349.28996793403502</v>
      </c>
      <c r="M961" s="96">
        <f ca="1">IFERROR(__xludf.DUMMYFUNCTION("""COMPUTED_VALUE"""),44664)</f>
        <v>44664</v>
      </c>
      <c r="N961" s="6" t="str">
        <f ca="1">IFERROR(__xludf.DUMMYFUNCTION("""COMPUTED_VALUE"""),"S10")</f>
        <v>S10</v>
      </c>
      <c r="O961" s="97">
        <f ca="1">IFERROR(__xludf.DUMMYFUNCTION("""COMPUTED_VALUE"""),44664)</f>
        <v>44664</v>
      </c>
      <c r="P961" s="6" t="str">
        <f ca="1">IFERROR(__xludf.DUMMYFUNCTION("""COMPUTED_VALUE"""),"CSTM_BBKRF3QDUMG")</f>
        <v>CSTM_BBKRF3QDUMG</v>
      </c>
      <c r="Q961" s="6"/>
      <c r="R961" s="6" t="str">
        <f ca="1">IFERROR(__xludf.DUMMYFUNCTION("""COMPUTED_VALUE"""),"Pending")</f>
        <v>Pending</v>
      </c>
      <c r="S961" s="6" t="str">
        <f ca="1">IFERROR(__xludf.DUMMYFUNCTION("""COMPUTED_VALUE"""),"Category")</f>
        <v>Category</v>
      </c>
      <c r="T961" s="6"/>
      <c r="U961" s="6"/>
      <c r="V961" s="6"/>
      <c r="W961" s="6"/>
      <c r="X961" s="6"/>
      <c r="Y961" s="6"/>
      <c r="Z961" s="6"/>
      <c r="AA961" s="6"/>
      <c r="AB961" s="6"/>
      <c r="AC961" s="6"/>
      <c r="AD961" s="6"/>
      <c r="AE961" s="6"/>
      <c r="AF961" s="6"/>
      <c r="AG961" s="6"/>
      <c r="AH961" s="6"/>
      <c r="AI961" s="6"/>
      <c r="AJ961" s="6"/>
      <c r="AK961" s="6"/>
      <c r="AL961" s="6"/>
    </row>
    <row r="962" spans="1:38">
      <c r="A962" s="96">
        <f ca="1">IFERROR(__xludf.DUMMYFUNCTION("""COMPUTED_VALUE"""),44664)</f>
        <v>44664</v>
      </c>
      <c r="B962" s="6" t="str">
        <f ca="1">IFERROR(__xludf.DUMMYFUNCTION("""COMPUTED_VALUE"""),"Kavita")</f>
        <v>Kavita</v>
      </c>
      <c r="C962" s="6" t="str">
        <f ca="1">IFERROR(__xludf.DUMMYFUNCTION("""COMPUTED_VALUE"""),"kavita2001@gmail.com")</f>
        <v>kavita2001@gmail.com</v>
      </c>
      <c r="D962" s="6">
        <f ca="1">IFERROR(__xludf.DUMMYFUNCTION("""COMPUTED_VALUE"""),9871113492)</f>
        <v>9871113492</v>
      </c>
      <c r="E962" s="6" t="str">
        <f ca="1">IFERROR(__xludf.DUMMYFUNCTION("""COMPUTED_VALUE"""),"Existing Account")</f>
        <v>Existing Account</v>
      </c>
      <c r="F962" s="6" t="str">
        <f ca="1">IFERROR(__xludf.DUMMYFUNCTION("""COMPUTED_VALUE"""),"PMP 1st Installment")</f>
        <v>PMP 1st Installment</v>
      </c>
      <c r="G962" s="80">
        <f ca="1">IFERROR(__xludf.DUMMYFUNCTION("""COMPUTED_VALUE"""),44652)</f>
        <v>44652</v>
      </c>
      <c r="H962" s="6" t="str">
        <f ca="1">IFERROR(__xludf.DUMMYFUNCTION("""COMPUTED_VALUE"""),"Won")</f>
        <v>Won</v>
      </c>
      <c r="I962" s="6" t="str">
        <f ca="1">IFERROR(__xludf.DUMMYFUNCTION("""COMPUTED_VALUE"""),"16 April 2022")</f>
        <v>16 April 2022</v>
      </c>
      <c r="J962" s="6">
        <f ca="1">IFERROR(__xludf.DUMMYFUNCTION("""COMPUTED_VALUE"""),1)</f>
        <v>1</v>
      </c>
      <c r="K962" s="8">
        <f ca="1">IFERROR(__xludf.DUMMYFUNCTION("""COMPUTED_VALUE"""),24750)</f>
        <v>24750</v>
      </c>
      <c r="L962" s="8">
        <f ca="1">IFERROR(__xludf.DUMMYFUNCTION("""COMPUTED_VALUE"""),283.440219880897)</f>
        <v>283.44021988089702</v>
      </c>
      <c r="M962" s="96">
        <f ca="1">IFERROR(__xludf.DUMMYFUNCTION("""COMPUTED_VALUE"""),44664)</f>
        <v>44664</v>
      </c>
      <c r="N962" s="6" t="str">
        <f ca="1">IFERROR(__xludf.DUMMYFUNCTION("""COMPUTED_VALUE"""),"S10")</f>
        <v>S10</v>
      </c>
      <c r="O962" s="97">
        <f ca="1">IFERROR(__xludf.DUMMYFUNCTION("""COMPUTED_VALUE"""),44664)</f>
        <v>44664</v>
      </c>
      <c r="P962" s="6" t="str">
        <f ca="1">IFERROR(__xludf.DUMMYFUNCTION("""COMPUTED_VALUE"""),"CSTM_PARTIAL_FIRST_ICZI9PMK4GY")</f>
        <v>CSTM_PARTIAL_FIRST_ICZI9PMK4GY</v>
      </c>
      <c r="Q962" s="6"/>
      <c r="R962" s="6" t="str">
        <f ca="1">IFERROR(__xludf.DUMMYFUNCTION("""COMPUTED_VALUE"""),"Pending")</f>
        <v>Pending</v>
      </c>
      <c r="S962" s="6" t="str">
        <f ca="1">IFERROR(__xludf.DUMMYFUNCTION("""COMPUTED_VALUE"""),"NonCategory")</f>
        <v>NonCategory</v>
      </c>
      <c r="T962" s="6"/>
      <c r="U962" s="6"/>
      <c r="V962" s="6"/>
      <c r="W962" s="6"/>
      <c r="X962" s="6"/>
      <c r="Y962" s="6"/>
      <c r="Z962" s="6"/>
      <c r="AA962" s="6"/>
      <c r="AB962" s="6"/>
      <c r="AC962" s="6"/>
      <c r="AD962" s="6"/>
      <c r="AE962" s="6"/>
      <c r="AF962" s="6"/>
      <c r="AG962" s="6"/>
      <c r="AH962" s="6"/>
      <c r="AI962" s="6"/>
      <c r="AJ962" s="6"/>
      <c r="AK962" s="6"/>
      <c r="AL962" s="6"/>
    </row>
    <row r="963" spans="1:38">
      <c r="A963" s="96">
        <f ca="1">IFERROR(__xludf.DUMMYFUNCTION("""COMPUTED_VALUE"""),44665)</f>
        <v>44665</v>
      </c>
      <c r="B963" s="6" t="str">
        <f ca="1">IFERROR(__xludf.DUMMYFUNCTION("""COMPUTED_VALUE"""),"Rathina Raj")</f>
        <v>Rathina Raj</v>
      </c>
      <c r="C963" s="6" t="str">
        <f ca="1">IFERROR(__xludf.DUMMYFUNCTION("""COMPUTED_VALUE"""),"itsmerathanraj@gmail.com")</f>
        <v>itsmerathanraj@gmail.com</v>
      </c>
      <c r="D963" s="6">
        <f ca="1">IFERROR(__xludf.DUMMYFUNCTION("""COMPUTED_VALUE"""),9677298288)</f>
        <v>9677298288</v>
      </c>
      <c r="E963" s="6" t="str">
        <f ca="1">IFERROR(__xludf.DUMMYFUNCTION("""COMPUTED_VALUE"""),"Reference")</f>
        <v>Reference</v>
      </c>
      <c r="F963" s="6" t="str">
        <f ca="1">IFERROR(__xludf.DUMMYFUNCTION("""COMPUTED_VALUE"""),"CSPO")</f>
        <v>CSPO</v>
      </c>
      <c r="G963" s="80">
        <f ca="1">IFERROR(__xludf.DUMMYFUNCTION("""COMPUTED_VALUE"""),44652)</f>
        <v>44652</v>
      </c>
      <c r="H963" s="6" t="str">
        <f ca="1">IFERROR(__xludf.DUMMYFUNCTION("""COMPUTED_VALUE"""),"Won")</f>
        <v>Won</v>
      </c>
      <c r="I963" s="6" t="str">
        <f ca="1">IFERROR(__xludf.DUMMYFUNCTION("""COMPUTED_VALUE"""),"20-22 April 2022")</f>
        <v>20-22 April 2022</v>
      </c>
      <c r="J963" s="6">
        <f ca="1">IFERROR(__xludf.DUMMYFUNCTION("""COMPUTED_VALUE"""),1)</f>
        <v>1</v>
      </c>
      <c r="K963" s="8">
        <f ca="1">IFERROR(__xludf.DUMMYFUNCTION("""COMPUTED_VALUE"""),20000)</f>
        <v>20000</v>
      </c>
      <c r="L963" s="8">
        <f ca="1">IFERROR(__xludf.DUMMYFUNCTION("""COMPUTED_VALUE"""),229.042601923957)</f>
        <v>229.04260192395699</v>
      </c>
      <c r="M963" s="96">
        <f ca="1">IFERROR(__xludf.DUMMYFUNCTION("""COMPUTED_VALUE"""),44665)</f>
        <v>44665</v>
      </c>
      <c r="N963" s="6" t="str">
        <f ca="1">IFERROR(__xludf.DUMMYFUNCTION("""COMPUTED_VALUE"""),"S10")</f>
        <v>S10</v>
      </c>
      <c r="O963" s="97">
        <f ca="1">IFERROR(__xludf.DUMMYFUNCTION("""COMPUTED_VALUE"""),44665)</f>
        <v>44665</v>
      </c>
      <c r="P963" s="6" t="str">
        <f ca="1">IFERROR(__xludf.DUMMYFUNCTION("""COMPUTED_VALUE"""),"CSTM_4DNWILGKLOZ")</f>
        <v>CSTM_4DNWILGKLOZ</v>
      </c>
      <c r="Q963" s="6" t="str">
        <f ca="1">IFERROR(__xludf.DUMMYFUNCTION("""COMPUTED_VALUE"""),"Pragya K - Pending")</f>
        <v>Pragya K - Pending</v>
      </c>
      <c r="R963" s="6" t="str">
        <f ca="1">IFERROR(__xludf.DUMMYFUNCTION("""COMPUTED_VALUE"""),"Pending")</f>
        <v>Pending</v>
      </c>
      <c r="S963" s="6" t="str">
        <f ca="1">IFERROR(__xludf.DUMMYFUNCTION("""COMPUTED_VALUE"""),"Category")</f>
        <v>Category</v>
      </c>
      <c r="T963" s="6" t="str">
        <f ca="1">IFERROR(__xludf.DUMMYFUNCTION("""COMPUTED_VALUE"""),"Keerti - Pending")</f>
        <v>Keerti - Pending</v>
      </c>
      <c r="U963" s="6"/>
      <c r="V963" s="6"/>
      <c r="W963" s="6"/>
      <c r="X963" s="6"/>
      <c r="Y963" s="6"/>
      <c r="Z963" s="6"/>
      <c r="AA963" s="6"/>
      <c r="AB963" s="6"/>
      <c r="AC963" s="6"/>
      <c r="AD963" s="6"/>
      <c r="AE963" s="6"/>
      <c r="AF963" s="6"/>
      <c r="AG963" s="6"/>
      <c r="AH963" s="6"/>
      <c r="AI963" s="6"/>
      <c r="AJ963" s="6"/>
      <c r="AK963" s="6"/>
      <c r="AL963" s="6"/>
    </row>
    <row r="964" spans="1:38">
      <c r="A964" s="96">
        <f ca="1">IFERROR(__xludf.DUMMYFUNCTION("""COMPUTED_VALUE"""),44665)</f>
        <v>44665</v>
      </c>
      <c r="B964" s="6" t="str">
        <f ca="1">IFERROR(__xludf.DUMMYFUNCTION("""COMPUTED_VALUE"""),"Prem Kiran")</f>
        <v>Prem Kiran</v>
      </c>
      <c r="C964" s="6" t="str">
        <f ca="1">IFERROR(__xludf.DUMMYFUNCTION("""COMPUTED_VALUE"""),"premkiranpk@gmail.com")</f>
        <v>premkiranpk@gmail.com</v>
      </c>
      <c r="D964" s="6">
        <f ca="1">IFERROR(__xludf.DUMMYFUNCTION("""COMPUTED_VALUE"""),9632768913)</f>
        <v>9632768913</v>
      </c>
      <c r="E964" s="6" t="str">
        <f ca="1">IFERROR(__xludf.DUMMYFUNCTION("""COMPUTED_VALUE"""),"Existing Account")</f>
        <v>Existing Account</v>
      </c>
      <c r="F964" s="6" t="str">
        <f ca="1">IFERROR(__xludf.DUMMYFUNCTION("""COMPUTED_VALUE"""),"SAFe Agile")</f>
        <v>SAFe Agile</v>
      </c>
      <c r="G964" s="80">
        <f ca="1">IFERROR(__xludf.DUMMYFUNCTION("""COMPUTED_VALUE"""),44652)</f>
        <v>44652</v>
      </c>
      <c r="H964" s="6" t="str">
        <f ca="1">IFERROR(__xludf.DUMMYFUNCTION("""COMPUTED_VALUE"""),"Won")</f>
        <v>Won</v>
      </c>
      <c r="I964" s="6" t="str">
        <f ca="1">IFERROR(__xludf.DUMMYFUNCTION("""COMPUTED_VALUE"""),"23-24 April 2022")</f>
        <v>23-24 April 2022</v>
      </c>
      <c r="J964" s="6">
        <f ca="1">IFERROR(__xludf.DUMMYFUNCTION("""COMPUTED_VALUE"""),1)</f>
        <v>1</v>
      </c>
      <c r="K964" s="8">
        <f ca="1">IFERROR(__xludf.DUMMYFUNCTION("""COMPUTED_VALUE"""),42000)</f>
        <v>42000</v>
      </c>
      <c r="L964" s="8">
        <f ca="1">IFERROR(__xludf.DUMMYFUNCTION("""COMPUTED_VALUE"""),480.989464040311)</f>
        <v>480.98946404031102</v>
      </c>
      <c r="M964" s="96">
        <f ca="1">IFERROR(__xludf.DUMMYFUNCTION("""COMPUTED_VALUE"""),44665)</f>
        <v>44665</v>
      </c>
      <c r="N964" s="6" t="str">
        <f ca="1">IFERROR(__xludf.DUMMYFUNCTION("""COMPUTED_VALUE"""),"S10")</f>
        <v>S10</v>
      </c>
      <c r="O964" s="97">
        <f ca="1">IFERROR(__xludf.DUMMYFUNCTION("""COMPUTED_VALUE"""),44665)</f>
        <v>44665</v>
      </c>
      <c r="P964" s="6" t="str">
        <f ca="1">IFERROR(__xludf.DUMMYFUNCTION("""COMPUTED_VALUE"""),"CSTM_B8SLI6CZFI8")</f>
        <v>CSTM_B8SLI6CZFI8</v>
      </c>
      <c r="Q964" s="6"/>
      <c r="R964" s="6" t="str">
        <f ca="1">IFERROR(__xludf.DUMMYFUNCTION("""COMPUTED_VALUE"""),"Pending")</f>
        <v>Pending</v>
      </c>
      <c r="S964" s="6" t="str">
        <f ca="1">IFERROR(__xludf.DUMMYFUNCTION("""COMPUTED_VALUE"""),"SAFe")</f>
        <v>SAFe</v>
      </c>
      <c r="T964" s="6"/>
      <c r="U964" s="6"/>
      <c r="V964" s="6"/>
      <c r="W964" s="6"/>
      <c r="X964" s="6"/>
      <c r="Y964" s="6"/>
      <c r="Z964" s="6"/>
      <c r="AA964" s="6"/>
      <c r="AB964" s="6"/>
      <c r="AC964" s="6"/>
      <c r="AD964" s="6"/>
      <c r="AE964" s="6"/>
      <c r="AF964" s="6"/>
      <c r="AG964" s="6"/>
      <c r="AH964" s="6"/>
      <c r="AI964" s="6"/>
      <c r="AJ964" s="6"/>
      <c r="AK964" s="6"/>
      <c r="AL964" s="6"/>
    </row>
    <row r="965" spans="1:38">
      <c r="A965" s="96">
        <f ca="1">IFERROR(__xludf.DUMMYFUNCTION("""COMPUTED_VALUE"""),44665)</f>
        <v>44665</v>
      </c>
      <c r="B965" s="6" t="str">
        <f ca="1">IFERROR(__xludf.DUMMYFUNCTION("""COMPUTED_VALUE"""),"Akshay Tyagi")</f>
        <v>Akshay Tyagi</v>
      </c>
      <c r="C965" s="6" t="str">
        <f ca="1">IFERROR(__xludf.DUMMYFUNCTION("""COMPUTED_VALUE"""),"atyagi1101@gmail.com")</f>
        <v>atyagi1101@gmail.com</v>
      </c>
      <c r="D965" s="6">
        <f ca="1">IFERROR(__xludf.DUMMYFUNCTION("""COMPUTED_VALUE"""),9999931431)</f>
        <v>9999931431</v>
      </c>
      <c r="E965" s="6" t="str">
        <f ca="1">IFERROR(__xludf.DUMMYFUNCTION("""COMPUTED_VALUE"""),"chat_initiated")</f>
        <v>chat_initiated</v>
      </c>
      <c r="F965" s="6" t="str">
        <f ca="1">IFERROR(__xludf.DUMMYFUNCTION("""COMPUTED_VALUE"""),"PSM")</f>
        <v>PSM</v>
      </c>
      <c r="G965" s="80">
        <f ca="1">IFERROR(__xludf.DUMMYFUNCTION("""COMPUTED_VALUE"""),44652)</f>
        <v>44652</v>
      </c>
      <c r="H965" s="6" t="str">
        <f ca="1">IFERROR(__xludf.DUMMYFUNCTION("""COMPUTED_VALUE"""),"Won")</f>
        <v>Won</v>
      </c>
      <c r="I965" s="6" t="str">
        <f ca="1">IFERROR(__xludf.DUMMYFUNCTION("""COMPUTED_VALUE"""),"16-17 April 2022")</f>
        <v>16-17 April 2022</v>
      </c>
      <c r="J965" s="6">
        <f ca="1">IFERROR(__xludf.DUMMYFUNCTION("""COMPUTED_VALUE"""),1)</f>
        <v>1</v>
      </c>
      <c r="K965" s="8">
        <f ca="1">IFERROR(__xludf.DUMMYFUNCTION("""COMPUTED_VALUE"""),20500)</f>
        <v>20500</v>
      </c>
      <c r="L965" s="8">
        <f ca="1">IFERROR(__xludf.DUMMYFUNCTION("""COMPUTED_VALUE"""),234.768666972056)</f>
        <v>234.768666972056</v>
      </c>
      <c r="M965" s="96">
        <f ca="1">IFERROR(__xludf.DUMMYFUNCTION("""COMPUTED_VALUE"""),44665)</f>
        <v>44665</v>
      </c>
      <c r="N965" s="6" t="str">
        <f ca="1">IFERROR(__xludf.DUMMYFUNCTION("""COMPUTED_VALUE"""),"S10")</f>
        <v>S10</v>
      </c>
      <c r="O965" s="97">
        <f ca="1">IFERROR(__xludf.DUMMYFUNCTION("""COMPUTED_VALUE"""),44665)</f>
        <v>44665</v>
      </c>
      <c r="P965" s="6" t="str">
        <f ca="1">IFERROR(__xludf.DUMMYFUNCTION("""COMPUTED_VALUE"""),"CSTM_DFG38NKJVG8")</f>
        <v>CSTM_DFG38NKJVG8</v>
      </c>
      <c r="Q965" s="6"/>
      <c r="R965" s="6" t="str">
        <f ca="1">IFERROR(__xludf.DUMMYFUNCTION("""COMPUTED_VALUE"""),"Pending")</f>
        <v>Pending</v>
      </c>
      <c r="S965" s="6" t="str">
        <f ca="1">IFERROR(__xludf.DUMMYFUNCTION("""COMPUTED_VALUE"""),"Category")</f>
        <v>Category</v>
      </c>
      <c r="T965" s="6"/>
      <c r="U965" s="6"/>
      <c r="V965" s="6"/>
      <c r="W965" s="6"/>
      <c r="X965" s="6"/>
      <c r="Y965" s="6"/>
      <c r="Z965" s="6"/>
      <c r="AA965" s="6"/>
      <c r="AB965" s="6"/>
      <c r="AC965" s="6"/>
      <c r="AD965" s="6"/>
      <c r="AE965" s="6"/>
      <c r="AF965" s="6"/>
      <c r="AG965" s="6"/>
      <c r="AH965" s="6"/>
      <c r="AI965" s="6"/>
      <c r="AJ965" s="6"/>
      <c r="AK965" s="6"/>
      <c r="AL965" s="6"/>
    </row>
    <row r="966" spans="1:38">
      <c r="A966" s="96">
        <f ca="1">IFERROR(__xludf.DUMMYFUNCTION("""COMPUTED_VALUE"""),44665)</f>
        <v>44665</v>
      </c>
      <c r="B966" s="6" t="str">
        <f ca="1">IFERROR(__xludf.DUMMYFUNCTION("""COMPUTED_VALUE"""),"Bhakti Koli")</f>
        <v>Bhakti Koli</v>
      </c>
      <c r="C966" s="6" t="str">
        <f ca="1">IFERROR(__xludf.DUMMYFUNCTION("""COMPUTED_VALUE"""),"bhaktikoli9@gmail.com")</f>
        <v>bhaktikoli9@gmail.com</v>
      </c>
      <c r="D966" s="6">
        <f ca="1">IFERROR(__xludf.DUMMYFUNCTION("""COMPUTED_VALUE"""),8459699920)</f>
        <v>8459699920</v>
      </c>
      <c r="E966" s="6" t="str">
        <f ca="1">IFERROR(__xludf.DUMMYFUNCTION("""COMPUTED_VALUE"""),"Reference")</f>
        <v>Reference</v>
      </c>
      <c r="F966" s="6" t="str">
        <f ca="1">IFERROR(__xludf.DUMMYFUNCTION("""COMPUTED_VALUE"""),"PSM")</f>
        <v>PSM</v>
      </c>
      <c r="G966" s="80">
        <f ca="1">IFERROR(__xludf.DUMMYFUNCTION("""COMPUTED_VALUE"""),44652)</f>
        <v>44652</v>
      </c>
      <c r="H966" s="6" t="str">
        <f ca="1">IFERROR(__xludf.DUMMYFUNCTION("""COMPUTED_VALUE"""),"Won")</f>
        <v>Won</v>
      </c>
      <c r="I966" s="6" t="str">
        <f ca="1">IFERROR(__xludf.DUMMYFUNCTION("""COMPUTED_VALUE"""),"16-17 April 2022")</f>
        <v>16-17 April 2022</v>
      </c>
      <c r="J966" s="6">
        <f ca="1">IFERROR(__xludf.DUMMYFUNCTION("""COMPUTED_VALUE"""),1)</f>
        <v>1</v>
      </c>
      <c r="K966" s="8">
        <f ca="1">IFERROR(__xludf.DUMMYFUNCTION("""COMPUTED_VALUE"""),21000)</f>
        <v>21000</v>
      </c>
      <c r="L966" s="8">
        <f ca="1">IFERROR(__xludf.DUMMYFUNCTION("""COMPUTED_VALUE"""),240.494732020155)</f>
        <v>240.494732020155</v>
      </c>
      <c r="M966" s="96">
        <f ca="1">IFERROR(__xludf.DUMMYFUNCTION("""COMPUTED_VALUE"""),44665)</f>
        <v>44665</v>
      </c>
      <c r="N966" s="6" t="str">
        <f ca="1">IFERROR(__xludf.DUMMYFUNCTION("""COMPUTED_VALUE"""),"S10")</f>
        <v>S10</v>
      </c>
      <c r="O966" s="97">
        <f ca="1">IFERROR(__xludf.DUMMYFUNCTION("""COMPUTED_VALUE"""),44665)</f>
        <v>44665</v>
      </c>
      <c r="P966" s="6" t="str">
        <f ca="1">IFERROR(__xludf.DUMMYFUNCTION("""COMPUTED_VALUE"""),"CSTM_8L1P53ZIUPW")</f>
        <v>CSTM_8L1P53ZIUPW</v>
      </c>
      <c r="Q966" s="6" t="str">
        <f ca="1">IFERROR(__xludf.DUMMYFUNCTION("""COMPUTED_VALUE"""),"Reference by jagdish.suryawanshi@gmail.com")</f>
        <v>Reference by jagdish.suryawanshi@gmail.com</v>
      </c>
      <c r="R966" s="6" t="str">
        <f ca="1">IFERROR(__xludf.DUMMYFUNCTION("""COMPUTED_VALUE"""),"Pending")</f>
        <v>Pending</v>
      </c>
      <c r="S966" s="6" t="str">
        <f ca="1">IFERROR(__xludf.DUMMYFUNCTION("""COMPUTED_VALUE"""),"Category")</f>
        <v>Category</v>
      </c>
      <c r="T966" s="6"/>
      <c r="U966" s="6"/>
      <c r="V966" s="6"/>
      <c r="W966" s="6"/>
      <c r="X966" s="6"/>
      <c r="Y966" s="6"/>
      <c r="Z966" s="6"/>
      <c r="AA966" s="6"/>
      <c r="AB966" s="6"/>
      <c r="AC966" s="6"/>
      <c r="AD966" s="6"/>
      <c r="AE966" s="6"/>
      <c r="AF966" s="6"/>
      <c r="AG966" s="6"/>
      <c r="AH966" s="6"/>
      <c r="AI966" s="6"/>
      <c r="AJ966" s="6"/>
      <c r="AK966" s="6"/>
      <c r="AL966" s="6"/>
    </row>
    <row r="967" spans="1:38">
      <c r="A967" s="96">
        <f ca="1">IFERROR(__xludf.DUMMYFUNCTION("""COMPUTED_VALUE"""),44665)</f>
        <v>44665</v>
      </c>
      <c r="B967" s="6" t="str">
        <f ca="1">IFERROR(__xludf.DUMMYFUNCTION("""COMPUTED_VALUE"""),"Jitendra Bastia")</f>
        <v>Jitendra Bastia</v>
      </c>
      <c r="C967" s="6" t="str">
        <f ca="1">IFERROR(__xludf.DUMMYFUNCTION("""COMPUTED_VALUE"""),"humtumjeet@gmail.com")</f>
        <v>humtumjeet@gmail.com</v>
      </c>
      <c r="D967" s="6">
        <f ca="1">IFERROR(__xludf.DUMMYFUNCTION("""COMPUTED_VALUE"""),7829282595)</f>
        <v>7829282595</v>
      </c>
      <c r="E967" s="6" t="str">
        <f ca="1">IFERROR(__xludf.DUMMYFUNCTION("""COMPUTED_VALUE"""),"Reference")</f>
        <v>Reference</v>
      </c>
      <c r="F967" s="6" t="str">
        <f ca="1">IFERROR(__xludf.DUMMYFUNCTION("""COMPUTED_VALUE"""),"PSM")</f>
        <v>PSM</v>
      </c>
      <c r="G967" s="80">
        <f ca="1">IFERROR(__xludf.DUMMYFUNCTION("""COMPUTED_VALUE"""),44652)</f>
        <v>44652</v>
      </c>
      <c r="H967" s="6" t="str">
        <f ca="1">IFERROR(__xludf.DUMMYFUNCTION("""COMPUTED_VALUE"""),"Won")</f>
        <v>Won</v>
      </c>
      <c r="I967" s="6" t="str">
        <f ca="1">IFERROR(__xludf.DUMMYFUNCTION("""COMPUTED_VALUE"""),"30 April - 1 May 2022")</f>
        <v>30 April - 1 May 2022</v>
      </c>
      <c r="J967" s="6">
        <f ca="1">IFERROR(__xludf.DUMMYFUNCTION("""COMPUTED_VALUE"""),1)</f>
        <v>1</v>
      </c>
      <c r="K967" s="8">
        <f ca="1">IFERROR(__xludf.DUMMYFUNCTION("""COMPUTED_VALUE"""),21000)</f>
        <v>21000</v>
      </c>
      <c r="L967" s="8">
        <f ca="1">IFERROR(__xludf.DUMMYFUNCTION("""COMPUTED_VALUE"""),240.494732020155)</f>
        <v>240.494732020155</v>
      </c>
      <c r="M967" s="96">
        <f ca="1">IFERROR(__xludf.DUMMYFUNCTION("""COMPUTED_VALUE"""),44665)</f>
        <v>44665</v>
      </c>
      <c r="N967" s="6" t="str">
        <f ca="1">IFERROR(__xludf.DUMMYFUNCTION("""COMPUTED_VALUE"""),"S10")</f>
        <v>S10</v>
      </c>
      <c r="O967" s="97">
        <f ca="1">IFERROR(__xludf.DUMMYFUNCTION("""COMPUTED_VALUE"""),44665)</f>
        <v>44665</v>
      </c>
      <c r="P967" s="6" t="str">
        <f ca="1">IFERROR(__xludf.DUMMYFUNCTION("""COMPUTED_VALUE"""),"CSTM_TCNINKVY3R")</f>
        <v>CSTM_TCNINKVY3R</v>
      </c>
      <c r="Q967" s="6" t="str">
        <f ca="1">IFERROR(__xludf.DUMMYFUNCTION("""COMPUTED_VALUE"""),"Keerti - Pending")</f>
        <v>Keerti - Pending</v>
      </c>
      <c r="R967" s="6" t="str">
        <f ca="1">IFERROR(__xludf.DUMMYFUNCTION("""COMPUTED_VALUE"""),"Pending")</f>
        <v>Pending</v>
      </c>
      <c r="S967" s="6" t="str">
        <f ca="1">IFERROR(__xludf.DUMMYFUNCTION("""COMPUTED_VALUE"""),"Category")</f>
        <v>Category</v>
      </c>
      <c r="T967" s="6" t="str">
        <f ca="1">IFERROR(__xludf.DUMMYFUNCTION("""COMPUTED_VALUE"""),"Keerti - Pending")</f>
        <v>Keerti - Pending</v>
      </c>
      <c r="U967" s="6"/>
      <c r="V967" s="6"/>
      <c r="W967" s="6"/>
      <c r="X967" s="6"/>
      <c r="Y967" s="6"/>
      <c r="Z967" s="6"/>
      <c r="AA967" s="6"/>
      <c r="AB967" s="6"/>
      <c r="AC967" s="6"/>
      <c r="AD967" s="6"/>
      <c r="AE967" s="6"/>
      <c r="AF967" s="6"/>
      <c r="AG967" s="6"/>
      <c r="AH967" s="6"/>
      <c r="AI967" s="6"/>
      <c r="AJ967" s="6"/>
      <c r="AK967" s="6"/>
      <c r="AL967" s="6"/>
    </row>
    <row r="968" spans="1:38">
      <c r="A968" s="96">
        <f ca="1">IFERROR(__xludf.DUMMYFUNCTION("""COMPUTED_VALUE"""),44669)</f>
        <v>44669</v>
      </c>
      <c r="B968" s="6" t="str">
        <f ca="1">IFERROR(__xludf.DUMMYFUNCTION("""COMPUTED_VALUE"""),"Tanmai Srivastava")</f>
        <v>Tanmai Srivastava</v>
      </c>
      <c r="C968" s="6" t="str">
        <f ca="1">IFERROR(__xludf.DUMMYFUNCTION("""COMPUTED_VALUE"""),"tanmaisrivastava1106@gmail.com")</f>
        <v>tanmaisrivastava1106@gmail.com</v>
      </c>
      <c r="D968" s="6">
        <f ca="1">IFERROR(__xludf.DUMMYFUNCTION("""COMPUTED_VALUE"""),9036448206)</f>
        <v>9036448206</v>
      </c>
      <c r="E968" s="6" t="str">
        <f ca="1">IFERROR(__xludf.DUMMYFUNCTION("""COMPUTED_VALUE"""),"bundle agenda")</f>
        <v>bundle agenda</v>
      </c>
      <c r="F968" s="6" t="str">
        <f ca="1">IFERROR(__xludf.DUMMYFUNCTION("""COMPUTED_VALUE"""),"PGP in BA")</f>
        <v>PGP in BA</v>
      </c>
      <c r="G968" s="80">
        <f ca="1">IFERROR(__xludf.DUMMYFUNCTION("""COMPUTED_VALUE"""),44652)</f>
        <v>44652</v>
      </c>
      <c r="H968" s="6" t="str">
        <f ca="1">IFERROR(__xludf.DUMMYFUNCTION("""COMPUTED_VALUE"""),"Won")</f>
        <v>Won</v>
      </c>
      <c r="I968" s="6" t="str">
        <f ca="1">IFERROR(__xludf.DUMMYFUNCTION("""COMPUTED_VALUE"""),"26 April 2022")</f>
        <v>26 April 2022</v>
      </c>
      <c r="J968" s="6">
        <f ca="1">IFERROR(__xludf.DUMMYFUNCTION("""COMPUTED_VALUE"""),1)</f>
        <v>1</v>
      </c>
      <c r="K968" s="8">
        <f ca="1">IFERROR(__xludf.DUMMYFUNCTION("""COMPUTED_VALUE"""),12600)</f>
        <v>12600</v>
      </c>
      <c r="L968" s="8">
        <f ca="1">IFERROR(__xludf.DUMMYFUNCTION("""COMPUTED_VALUE"""),144.296839212093)</f>
        <v>144.296839212093</v>
      </c>
      <c r="M968" s="96">
        <f ca="1">IFERROR(__xludf.DUMMYFUNCTION("""COMPUTED_VALUE"""),44669)</f>
        <v>44669</v>
      </c>
      <c r="N968" s="6" t="str">
        <f ca="1">IFERROR(__xludf.DUMMYFUNCTION("""COMPUTED_VALUE"""),"S10")</f>
        <v>S10</v>
      </c>
      <c r="O968" s="97">
        <f ca="1">IFERROR(__xludf.DUMMYFUNCTION("""COMPUTED_VALUE"""),44669)</f>
        <v>44669</v>
      </c>
      <c r="P968" s="6" t="str">
        <f ca="1">IFERROR(__xludf.DUMMYFUNCTION("""COMPUTED_VALUE"""),"CSTM_PARTIAL_FIRST_EWW9A5K5PW8")</f>
        <v>CSTM_PARTIAL_FIRST_EWW9A5K5PW8</v>
      </c>
      <c r="Q968" s="6"/>
      <c r="R968" s="6" t="str">
        <f ca="1">IFERROR(__xludf.DUMMYFUNCTION("""COMPUTED_VALUE"""),"Pending")</f>
        <v>Pending</v>
      </c>
      <c r="S968" s="6" t="str">
        <f ca="1">IFERROR(__xludf.DUMMYFUNCTION("""COMPUTED_VALUE"""),"NonCategory")</f>
        <v>NonCategory</v>
      </c>
      <c r="T968" s="6"/>
      <c r="U968" s="6"/>
      <c r="V968" s="6"/>
      <c r="W968" s="6"/>
      <c r="X968" s="6"/>
      <c r="Y968" s="6"/>
      <c r="Z968" s="6"/>
      <c r="AA968" s="6"/>
      <c r="AB968" s="6"/>
      <c r="AC968" s="6"/>
      <c r="AD968" s="6"/>
      <c r="AE968" s="6"/>
      <c r="AF968" s="6"/>
      <c r="AG968" s="6"/>
      <c r="AH968" s="6"/>
      <c r="AI968" s="6"/>
      <c r="AJ968" s="6"/>
      <c r="AK968" s="6"/>
      <c r="AL968" s="6"/>
    </row>
    <row r="969" spans="1:38">
      <c r="A969" s="96">
        <f ca="1">IFERROR(__xludf.DUMMYFUNCTION("""COMPUTED_VALUE"""),44669)</f>
        <v>44669</v>
      </c>
      <c r="B969" s="6" t="str">
        <f ca="1">IFERROR(__xludf.DUMMYFUNCTION("""COMPUTED_VALUE"""),"Tanmai Srivastava")</f>
        <v>Tanmai Srivastava</v>
      </c>
      <c r="C969" s="6" t="str">
        <f ca="1">IFERROR(__xludf.DUMMYFUNCTION("""COMPUTED_VALUE"""),"tanmaisrivastava1106@gmail.com")</f>
        <v>tanmaisrivastava1106@gmail.com</v>
      </c>
      <c r="D969" s="6">
        <f ca="1">IFERROR(__xludf.DUMMYFUNCTION("""COMPUTED_VALUE"""),9036448206)</f>
        <v>9036448206</v>
      </c>
      <c r="E969" s="6" t="str">
        <f ca="1">IFERROR(__xludf.DUMMYFUNCTION("""COMPUTED_VALUE"""),"bundle agenda")</f>
        <v>bundle agenda</v>
      </c>
      <c r="F969" s="6" t="str">
        <f ca="1">IFERROR(__xludf.DUMMYFUNCTION("""COMPUTED_VALUE"""),"PGP in BA")</f>
        <v>PGP in BA</v>
      </c>
      <c r="G969" s="80">
        <f ca="1">IFERROR(__xludf.DUMMYFUNCTION("""COMPUTED_VALUE"""),44652)</f>
        <v>44652</v>
      </c>
      <c r="H969" s="6" t="str">
        <f ca="1">IFERROR(__xludf.DUMMYFUNCTION("""COMPUTED_VALUE"""),"Won")</f>
        <v>Won</v>
      </c>
      <c r="I969" s="6" t="str">
        <f ca="1">IFERROR(__xludf.DUMMYFUNCTION("""COMPUTED_VALUE"""),"26 April 2022")</f>
        <v>26 April 2022</v>
      </c>
      <c r="J969" s="6">
        <f ca="1">IFERROR(__xludf.DUMMYFUNCTION("""COMPUTED_VALUE"""),1)</f>
        <v>1</v>
      </c>
      <c r="K969" s="8">
        <f ca="1">IFERROR(__xludf.DUMMYFUNCTION("""COMPUTED_VALUE"""),71400)</f>
        <v>71400</v>
      </c>
      <c r="L969" s="8">
        <f ca="1">IFERROR(__xludf.DUMMYFUNCTION("""COMPUTED_VALUE"""),817.682088868529)</f>
        <v>817.68208886852904</v>
      </c>
      <c r="M969" s="96">
        <f ca="1">IFERROR(__xludf.DUMMYFUNCTION("""COMPUTED_VALUE"""),44669)</f>
        <v>44669</v>
      </c>
      <c r="N969" s="6" t="str">
        <f ca="1">IFERROR(__xludf.DUMMYFUNCTION("""COMPUTED_VALUE"""),"S10")</f>
        <v>S10</v>
      </c>
      <c r="O969" s="97">
        <f ca="1">IFERROR(__xludf.DUMMYFUNCTION("""COMPUTED_VALUE"""),44669)</f>
        <v>44669</v>
      </c>
      <c r="P969" s="6" t="str">
        <f ca="1">IFERROR(__xludf.DUMMYFUNCTION("""COMPUTED_VALUE"""),"CSTM_PARTIAL_SUBS_1TZJQE4B2JY")</f>
        <v>CSTM_PARTIAL_SUBS_1TZJQE4B2JY</v>
      </c>
      <c r="Q969" s="6"/>
      <c r="R969" s="6" t="str">
        <f ca="1">IFERROR(__xludf.DUMMYFUNCTION("""COMPUTED_VALUE"""),"Pending")</f>
        <v>Pending</v>
      </c>
      <c r="S969" s="6" t="str">
        <f ca="1">IFERROR(__xludf.DUMMYFUNCTION("""COMPUTED_VALUE"""),"NonCategory")</f>
        <v>NonCategory</v>
      </c>
      <c r="T969" s="6"/>
      <c r="U969" s="6"/>
      <c r="V969" s="6"/>
      <c r="W969" s="6"/>
      <c r="X969" s="6"/>
      <c r="Y969" s="6"/>
      <c r="Z969" s="6"/>
      <c r="AA969" s="6"/>
      <c r="AB969" s="6"/>
      <c r="AC969" s="6"/>
      <c r="AD969" s="6"/>
      <c r="AE969" s="6"/>
      <c r="AF969" s="6"/>
      <c r="AG969" s="6"/>
      <c r="AH969" s="6"/>
      <c r="AI969" s="6"/>
      <c r="AJ969" s="6"/>
      <c r="AK969" s="6"/>
      <c r="AL969" s="6"/>
    </row>
    <row r="970" spans="1:38">
      <c r="A970" s="96">
        <f ca="1">IFERROR(__xludf.DUMMYFUNCTION("""COMPUTED_VALUE"""),44669)</f>
        <v>44669</v>
      </c>
      <c r="B970" s="6" t="str">
        <f ca="1">IFERROR(__xludf.DUMMYFUNCTION("""COMPUTED_VALUE"""),"Shikha Nagar")</f>
        <v>Shikha Nagar</v>
      </c>
      <c r="C970" s="6" t="str">
        <f ca="1">IFERROR(__xludf.DUMMYFUNCTION("""COMPUTED_VALUE"""),"nagar.shikha@gmail.com")</f>
        <v>nagar.shikha@gmail.com</v>
      </c>
      <c r="D970" s="6">
        <f ca="1">IFERROR(__xludf.DUMMYFUNCTION("""COMPUTED_VALUE"""),8770702176)</f>
        <v>8770702176</v>
      </c>
      <c r="E970" s="6" t="str">
        <f ca="1">IFERROR(__xludf.DUMMYFUNCTION("""COMPUTED_VALUE"""),"refer&amp;earn")</f>
        <v>refer&amp;earn</v>
      </c>
      <c r="F970" s="6" t="str">
        <f ca="1">IFERROR(__xludf.DUMMYFUNCTION("""COMPUTED_VALUE"""),"CSM")</f>
        <v>CSM</v>
      </c>
      <c r="G970" s="80">
        <f ca="1">IFERROR(__xludf.DUMMYFUNCTION("""COMPUTED_VALUE"""),44652)</f>
        <v>44652</v>
      </c>
      <c r="H970" s="6" t="str">
        <f ca="1">IFERROR(__xludf.DUMMYFUNCTION("""COMPUTED_VALUE"""),"Won")</f>
        <v>Won</v>
      </c>
      <c r="I970" s="6" t="str">
        <f ca="1">IFERROR(__xludf.DUMMYFUNCTION("""COMPUTED_VALUE"""),"19-20 April 2022")</f>
        <v>19-20 April 2022</v>
      </c>
      <c r="J970" s="6">
        <f ca="1">IFERROR(__xludf.DUMMYFUNCTION("""COMPUTED_VALUE"""),1)</f>
        <v>1</v>
      </c>
      <c r="K970" s="8">
        <f ca="1">IFERROR(__xludf.DUMMYFUNCTION("""COMPUTED_VALUE"""),20000)</f>
        <v>20000</v>
      </c>
      <c r="L970" s="8">
        <f ca="1">IFERROR(__xludf.DUMMYFUNCTION("""COMPUTED_VALUE"""),229.042601923957)</f>
        <v>229.04260192395699</v>
      </c>
      <c r="M970" s="96">
        <f ca="1">IFERROR(__xludf.DUMMYFUNCTION("""COMPUTED_VALUE"""),44669)</f>
        <v>44669</v>
      </c>
      <c r="N970" s="6" t="str">
        <f ca="1">IFERROR(__xludf.DUMMYFUNCTION("""COMPUTED_VALUE"""),"S10")</f>
        <v>S10</v>
      </c>
      <c r="O970" s="97">
        <f ca="1">IFERROR(__xludf.DUMMYFUNCTION("""COMPUTED_VALUE"""),44669)</f>
        <v>44669</v>
      </c>
      <c r="P970" s="6" t="str">
        <f ca="1">IFERROR(__xludf.DUMMYFUNCTION("""COMPUTED_VALUE"""),"CSTM_13317CMBEWC")</f>
        <v>CSTM_13317CMBEWC</v>
      </c>
      <c r="Q970" s="6"/>
      <c r="R970" s="6" t="str">
        <f ca="1">IFERROR(__xludf.DUMMYFUNCTION("""COMPUTED_VALUE"""),"Pending")</f>
        <v>Pending</v>
      </c>
      <c r="S970" s="6" t="str">
        <f ca="1">IFERROR(__xludf.DUMMYFUNCTION("""COMPUTED_VALUE"""),"Category")</f>
        <v>Category</v>
      </c>
      <c r="T970" s="6"/>
      <c r="U970" s="6"/>
      <c r="V970" s="6"/>
      <c r="W970" s="6"/>
      <c r="X970" s="6"/>
      <c r="Y970" s="6"/>
      <c r="Z970" s="6"/>
      <c r="AA970" s="6"/>
      <c r="AB970" s="6"/>
      <c r="AC970" s="6"/>
      <c r="AD970" s="6"/>
      <c r="AE970" s="6"/>
      <c r="AF970" s="6"/>
      <c r="AG970" s="6"/>
      <c r="AH970" s="6"/>
      <c r="AI970" s="6"/>
      <c r="AJ970" s="6"/>
      <c r="AK970" s="6"/>
      <c r="AL970" s="6"/>
    </row>
    <row r="971" spans="1:38">
      <c r="A971" s="96">
        <f ca="1">IFERROR(__xludf.DUMMYFUNCTION("""COMPUTED_VALUE"""),44669)</f>
        <v>44669</v>
      </c>
      <c r="B971" s="6" t="str">
        <f ca="1">IFERROR(__xludf.DUMMYFUNCTION("""COMPUTED_VALUE"""),"Ramanuj Kumar")</f>
        <v>Ramanuj Kumar</v>
      </c>
      <c r="C971" s="6" t="str">
        <f ca="1">IFERROR(__xludf.DUMMYFUNCTION("""COMPUTED_VALUE"""),"ramanuj.kumar84@gmail.com")</f>
        <v>ramanuj.kumar84@gmail.com</v>
      </c>
      <c r="D971" s="6">
        <f ca="1">IFERROR(__xludf.DUMMYFUNCTION("""COMPUTED_VALUE"""),9606653895)</f>
        <v>9606653895</v>
      </c>
      <c r="E971" s="6" t="str">
        <f ca="1">IFERROR(__xludf.DUMMYFUNCTION("""COMPUTED_VALUE"""),"chat_initiated")</f>
        <v>chat_initiated</v>
      </c>
      <c r="F971" s="6" t="str">
        <f ca="1">IFERROR(__xludf.DUMMYFUNCTION("""COMPUTED_VALUE"""),"SAFe Agile")</f>
        <v>SAFe Agile</v>
      </c>
      <c r="G971" s="80">
        <f ca="1">IFERROR(__xludf.DUMMYFUNCTION("""COMPUTED_VALUE"""),44652)</f>
        <v>44652</v>
      </c>
      <c r="H971" s="6" t="str">
        <f ca="1">IFERROR(__xludf.DUMMYFUNCTION("""COMPUTED_VALUE"""),"Won")</f>
        <v>Won</v>
      </c>
      <c r="I971" s="6" t="str">
        <f ca="1">IFERROR(__xludf.DUMMYFUNCTION("""COMPUTED_VALUE"""),"23-24 April 2022")</f>
        <v>23-24 April 2022</v>
      </c>
      <c r="J971" s="6">
        <f ca="1">IFERROR(__xludf.DUMMYFUNCTION("""COMPUTED_VALUE"""),1)</f>
        <v>1</v>
      </c>
      <c r="K971" s="8">
        <f ca="1">IFERROR(__xludf.DUMMYFUNCTION("""COMPUTED_VALUE"""),40000)</f>
        <v>40000</v>
      </c>
      <c r="L971" s="8">
        <f ca="1">IFERROR(__xludf.DUMMYFUNCTION("""COMPUTED_VALUE"""),458.085203847915)</f>
        <v>458.08520384791501</v>
      </c>
      <c r="M971" s="96">
        <f ca="1">IFERROR(__xludf.DUMMYFUNCTION("""COMPUTED_VALUE"""),44669)</f>
        <v>44669</v>
      </c>
      <c r="N971" s="6" t="str">
        <f ca="1">IFERROR(__xludf.DUMMYFUNCTION("""COMPUTED_VALUE"""),"S10")</f>
        <v>S10</v>
      </c>
      <c r="O971" s="97">
        <f ca="1">IFERROR(__xludf.DUMMYFUNCTION("""COMPUTED_VALUE"""),44669)</f>
        <v>44669</v>
      </c>
      <c r="P971" s="6" t="str">
        <f ca="1">IFERROR(__xludf.DUMMYFUNCTION("""COMPUTED_VALUE"""),"CSTM_CY1DPX1KFIB")</f>
        <v>CSTM_CY1DPX1KFIB</v>
      </c>
      <c r="Q971" s="6"/>
      <c r="R971" s="6" t="str">
        <f ca="1">IFERROR(__xludf.DUMMYFUNCTION("""COMPUTED_VALUE"""),"Pending")</f>
        <v>Pending</v>
      </c>
      <c r="S971" s="6" t="str">
        <f ca="1">IFERROR(__xludf.DUMMYFUNCTION("""COMPUTED_VALUE"""),"SAFe")</f>
        <v>SAFe</v>
      </c>
      <c r="T971" s="6"/>
      <c r="U971" s="6"/>
      <c r="V971" s="6"/>
      <c r="W971" s="6"/>
      <c r="X971" s="6"/>
      <c r="Y971" s="6"/>
      <c r="Z971" s="6"/>
      <c r="AA971" s="6"/>
      <c r="AB971" s="6"/>
      <c r="AC971" s="6"/>
      <c r="AD971" s="6"/>
      <c r="AE971" s="6"/>
      <c r="AF971" s="6"/>
      <c r="AG971" s="6"/>
      <c r="AH971" s="6"/>
      <c r="AI971" s="6"/>
      <c r="AJ971" s="6"/>
      <c r="AK971" s="6"/>
      <c r="AL971" s="6"/>
    </row>
    <row r="972" spans="1:38">
      <c r="A972" s="96">
        <f ca="1">IFERROR(__xludf.DUMMYFUNCTION("""COMPUTED_VALUE"""),44669)</f>
        <v>44669</v>
      </c>
      <c r="B972" s="6" t="str">
        <f ca="1">IFERROR(__xludf.DUMMYFUNCTION("""COMPUTED_VALUE"""),"Sambhu Sankar")</f>
        <v>Sambhu Sankar</v>
      </c>
      <c r="C972" s="6" t="str">
        <f ca="1">IFERROR(__xludf.DUMMYFUNCTION("""COMPUTED_VALUE"""),"sambhusankar.sahani@gmail.com")</f>
        <v>sambhusankar.sahani@gmail.com</v>
      </c>
      <c r="D972" s="6">
        <f ca="1">IFERROR(__xludf.DUMMYFUNCTION("""COMPUTED_VALUE"""),9673000373)</f>
        <v>9673000373</v>
      </c>
      <c r="E972" s="6" t="str">
        <f ca="1">IFERROR(__xludf.DUMMYFUNCTION("""COMPUTED_VALUE"""),"Tollfree")</f>
        <v>Tollfree</v>
      </c>
      <c r="F972" s="6" t="str">
        <f ca="1">IFERROR(__xludf.DUMMYFUNCTION("""COMPUTED_VALUE"""),"PSM")</f>
        <v>PSM</v>
      </c>
      <c r="G972" s="80">
        <f ca="1">IFERROR(__xludf.DUMMYFUNCTION("""COMPUTED_VALUE"""),44652)</f>
        <v>44652</v>
      </c>
      <c r="H972" s="6" t="str">
        <f ca="1">IFERROR(__xludf.DUMMYFUNCTION("""COMPUTED_VALUE"""),"Won")</f>
        <v>Won</v>
      </c>
      <c r="I972" s="6" t="str">
        <f ca="1">IFERROR(__xludf.DUMMYFUNCTION("""COMPUTED_VALUE"""),"30 April - 1 May 2022")</f>
        <v>30 April - 1 May 2022</v>
      </c>
      <c r="J972" s="6">
        <f ca="1">IFERROR(__xludf.DUMMYFUNCTION("""COMPUTED_VALUE"""),1)</f>
        <v>1</v>
      </c>
      <c r="K972" s="8">
        <f ca="1">IFERROR(__xludf.DUMMYFUNCTION("""COMPUTED_VALUE"""),20500)</f>
        <v>20500</v>
      </c>
      <c r="L972" s="8">
        <f ca="1">IFERROR(__xludf.DUMMYFUNCTION("""COMPUTED_VALUE"""),234.768666972056)</f>
        <v>234.768666972056</v>
      </c>
      <c r="M972" s="96">
        <f ca="1">IFERROR(__xludf.DUMMYFUNCTION("""COMPUTED_VALUE"""),44669)</f>
        <v>44669</v>
      </c>
      <c r="N972" s="6" t="str">
        <f ca="1">IFERROR(__xludf.DUMMYFUNCTION("""COMPUTED_VALUE"""),"S10")</f>
        <v>S10</v>
      </c>
      <c r="O972" s="97">
        <f ca="1">IFERROR(__xludf.DUMMYFUNCTION("""COMPUTED_VALUE"""),44669)</f>
        <v>44669</v>
      </c>
      <c r="P972" s="6" t="str">
        <f ca="1">IFERROR(__xludf.DUMMYFUNCTION("""COMPUTED_VALUE"""),"CSTM_CB9CXA1LAD0")</f>
        <v>CSTM_CB9CXA1LAD0</v>
      </c>
      <c r="Q972" s="6"/>
      <c r="R972" s="6" t="str">
        <f ca="1">IFERROR(__xludf.DUMMYFUNCTION("""COMPUTED_VALUE"""),"Pending")</f>
        <v>Pending</v>
      </c>
      <c r="S972" s="6" t="str">
        <f ca="1">IFERROR(__xludf.DUMMYFUNCTION("""COMPUTED_VALUE"""),"Category")</f>
        <v>Category</v>
      </c>
      <c r="T972" s="6"/>
      <c r="U972" s="6"/>
      <c r="V972" s="6"/>
      <c r="W972" s="6"/>
      <c r="X972" s="6"/>
      <c r="Y972" s="6"/>
      <c r="Z972" s="6"/>
      <c r="AA972" s="6"/>
      <c r="AB972" s="6"/>
      <c r="AC972" s="6"/>
      <c r="AD972" s="6"/>
      <c r="AE972" s="6"/>
      <c r="AF972" s="6"/>
      <c r="AG972" s="6"/>
      <c r="AH972" s="6"/>
      <c r="AI972" s="6"/>
      <c r="AJ972" s="6"/>
      <c r="AK972" s="6"/>
      <c r="AL972" s="6"/>
    </row>
    <row r="973" spans="1:38">
      <c r="A973" s="96">
        <f ca="1">IFERROR(__xludf.DUMMYFUNCTION("""COMPUTED_VALUE"""),44669)</f>
        <v>44669</v>
      </c>
      <c r="B973" s="6" t="str">
        <f ca="1">IFERROR(__xludf.DUMMYFUNCTION("""COMPUTED_VALUE"""),"Pramod Nalam")</f>
        <v>Pramod Nalam</v>
      </c>
      <c r="C973" s="6" t="str">
        <f ca="1">IFERROR(__xludf.DUMMYFUNCTION("""COMPUTED_VALUE"""),"pramodnalam@gmail.com")</f>
        <v>pramodnalam@gmail.com</v>
      </c>
      <c r="D973" s="6">
        <f ca="1">IFERROR(__xludf.DUMMYFUNCTION("""COMPUTED_VALUE"""),9866171464)</f>
        <v>9866171464</v>
      </c>
      <c r="E973" s="6" t="str">
        <f ca="1">IFERROR(__xludf.DUMMYFUNCTION("""COMPUTED_VALUE"""),"course agenda")</f>
        <v>course agenda</v>
      </c>
      <c r="F973" s="6" t="str">
        <f ca="1">IFERROR(__xludf.DUMMYFUNCTION("""COMPUTED_VALUE"""),"PSM")</f>
        <v>PSM</v>
      </c>
      <c r="G973" s="80">
        <f ca="1">IFERROR(__xludf.DUMMYFUNCTION("""COMPUTED_VALUE"""),44652)</f>
        <v>44652</v>
      </c>
      <c r="H973" s="6" t="str">
        <f ca="1">IFERROR(__xludf.DUMMYFUNCTION("""COMPUTED_VALUE"""),"Won")</f>
        <v>Won</v>
      </c>
      <c r="I973" s="6" t="str">
        <f ca="1">IFERROR(__xludf.DUMMYFUNCTION("""COMPUTED_VALUE"""),"23-24 April 2022")</f>
        <v>23-24 April 2022</v>
      </c>
      <c r="J973" s="6">
        <f ca="1">IFERROR(__xludf.DUMMYFUNCTION("""COMPUTED_VALUE"""),1)</f>
        <v>1</v>
      </c>
      <c r="K973" s="8">
        <f ca="1">IFERROR(__xludf.DUMMYFUNCTION("""COMPUTED_VALUE"""),21000)</f>
        <v>21000</v>
      </c>
      <c r="L973" s="8">
        <f ca="1">IFERROR(__xludf.DUMMYFUNCTION("""COMPUTED_VALUE"""),240.494732020155)</f>
        <v>240.494732020155</v>
      </c>
      <c r="M973" s="96">
        <f ca="1">IFERROR(__xludf.DUMMYFUNCTION("""COMPUTED_VALUE"""),44669)</f>
        <v>44669</v>
      </c>
      <c r="N973" s="6" t="str">
        <f ca="1">IFERROR(__xludf.DUMMYFUNCTION("""COMPUTED_VALUE"""),"S10")</f>
        <v>S10</v>
      </c>
      <c r="O973" s="97">
        <f ca="1">IFERROR(__xludf.DUMMYFUNCTION("""COMPUTED_VALUE"""),44669)</f>
        <v>44669</v>
      </c>
      <c r="P973" s="6" t="str">
        <f ca="1">IFERROR(__xludf.DUMMYFUNCTION("""COMPUTED_VALUE"""),"CSTM_63EM5C444U9")</f>
        <v>CSTM_63EM5C444U9</v>
      </c>
      <c r="Q973" s="6"/>
      <c r="R973" s="6" t="str">
        <f ca="1">IFERROR(__xludf.DUMMYFUNCTION("""COMPUTED_VALUE"""),"Pending")</f>
        <v>Pending</v>
      </c>
      <c r="S973" s="6" t="str">
        <f ca="1">IFERROR(__xludf.DUMMYFUNCTION("""COMPUTED_VALUE"""),"Category")</f>
        <v>Category</v>
      </c>
      <c r="T973" s="6"/>
      <c r="U973" s="6"/>
      <c r="V973" s="6"/>
      <c r="W973" s="6"/>
      <c r="X973" s="6"/>
      <c r="Y973" s="6"/>
      <c r="Z973" s="6"/>
      <c r="AA973" s="6"/>
      <c r="AB973" s="6"/>
      <c r="AC973" s="6"/>
      <c r="AD973" s="6"/>
      <c r="AE973" s="6"/>
      <c r="AF973" s="6"/>
      <c r="AG973" s="6"/>
      <c r="AH973" s="6"/>
      <c r="AI973" s="6"/>
      <c r="AJ973" s="6"/>
      <c r="AK973" s="6"/>
      <c r="AL973" s="6"/>
    </row>
    <row r="974" spans="1:38">
      <c r="A974" s="96">
        <f ca="1">IFERROR(__xludf.DUMMYFUNCTION("""COMPUTED_VALUE"""),44670)</f>
        <v>44670</v>
      </c>
      <c r="B974" s="6" t="str">
        <f ca="1">IFERROR(__xludf.DUMMYFUNCTION("""COMPUTED_VALUE"""),"Sameer Gulati")</f>
        <v>Sameer Gulati</v>
      </c>
      <c r="C974" s="6" t="str">
        <f ca="1">IFERROR(__xludf.DUMMYFUNCTION("""COMPUTED_VALUE"""),"sameer.gulati264@gmail.com")</f>
        <v>sameer.gulati264@gmail.com</v>
      </c>
      <c r="D974" s="6">
        <f ca="1">IFERROR(__xludf.DUMMYFUNCTION("""COMPUTED_VALUE"""),9582376376)</f>
        <v>9582376376</v>
      </c>
      <c r="E974" s="6" t="str">
        <f ca="1">IFERROR(__xludf.DUMMYFUNCTION("""COMPUTED_VALUE"""),"chat_initiated")</f>
        <v>chat_initiated</v>
      </c>
      <c r="F974" s="6" t="str">
        <f ca="1">IFERROR(__xludf.DUMMYFUNCTION("""COMPUTED_VALUE"""),"PSPO")</f>
        <v>PSPO</v>
      </c>
      <c r="G974" s="80">
        <f ca="1">IFERROR(__xludf.DUMMYFUNCTION("""COMPUTED_VALUE"""),44652)</f>
        <v>44652</v>
      </c>
      <c r="H974" s="6" t="str">
        <f ca="1">IFERROR(__xludf.DUMMYFUNCTION("""COMPUTED_VALUE"""),"Won")</f>
        <v>Won</v>
      </c>
      <c r="I974" s="6" t="str">
        <f ca="1">IFERROR(__xludf.DUMMYFUNCTION("""COMPUTED_VALUE"""),"23-24 April 2022")</f>
        <v>23-24 April 2022</v>
      </c>
      <c r="J974" s="6">
        <f ca="1">IFERROR(__xludf.DUMMYFUNCTION("""COMPUTED_VALUE"""),1)</f>
        <v>1</v>
      </c>
      <c r="K974" s="8">
        <f ca="1">IFERROR(__xludf.DUMMYFUNCTION("""COMPUTED_VALUE"""),21000)</f>
        <v>21000</v>
      </c>
      <c r="L974" s="8">
        <f ca="1">IFERROR(__xludf.DUMMYFUNCTION("""COMPUTED_VALUE"""),240.494732020155)</f>
        <v>240.494732020155</v>
      </c>
      <c r="M974" s="96">
        <f ca="1">IFERROR(__xludf.DUMMYFUNCTION("""COMPUTED_VALUE"""),44670)</f>
        <v>44670</v>
      </c>
      <c r="N974" s="6" t="str">
        <f ca="1">IFERROR(__xludf.DUMMYFUNCTION("""COMPUTED_VALUE"""),"S10")</f>
        <v>S10</v>
      </c>
      <c r="O974" s="97">
        <f ca="1">IFERROR(__xludf.DUMMYFUNCTION("""COMPUTED_VALUE"""),44670)</f>
        <v>44670</v>
      </c>
      <c r="P974" s="6" t="str">
        <f ca="1">IFERROR(__xludf.DUMMYFUNCTION("""COMPUTED_VALUE"""),"CSTM_5FBTNNOL8FK")</f>
        <v>CSTM_5FBTNNOL8FK</v>
      </c>
      <c r="Q974" s="6"/>
      <c r="R974" s="6" t="str">
        <f ca="1">IFERROR(__xludf.DUMMYFUNCTION("""COMPUTED_VALUE"""),"Pending")</f>
        <v>Pending</v>
      </c>
      <c r="S974" s="6" t="str">
        <f ca="1">IFERROR(__xludf.DUMMYFUNCTION("""COMPUTED_VALUE"""),"Category")</f>
        <v>Category</v>
      </c>
      <c r="T974" s="6"/>
      <c r="U974" s="6"/>
      <c r="V974" s="6"/>
      <c r="W974" s="6"/>
      <c r="X974" s="6"/>
      <c r="Y974" s="6"/>
      <c r="Z974" s="6"/>
      <c r="AA974" s="6"/>
      <c r="AB974" s="6"/>
      <c r="AC974" s="6"/>
      <c r="AD974" s="6"/>
      <c r="AE974" s="6"/>
      <c r="AF974" s="6"/>
      <c r="AG974" s="6"/>
      <c r="AH974" s="6"/>
      <c r="AI974" s="6"/>
      <c r="AJ974" s="6"/>
      <c r="AK974" s="6"/>
      <c r="AL974" s="6"/>
    </row>
    <row r="975" spans="1:38">
      <c r="A975" s="96">
        <f ca="1">IFERROR(__xludf.DUMMYFUNCTION("""COMPUTED_VALUE"""),44671)</f>
        <v>44671</v>
      </c>
      <c r="B975" s="6" t="str">
        <f ca="1">IFERROR(__xludf.DUMMYFUNCTION("""COMPUTED_VALUE"""),"Richard")</f>
        <v>Richard</v>
      </c>
      <c r="C975" s="6" t="str">
        <f ca="1">IFERROR(__xludf.DUMMYFUNCTION("""COMPUTED_VALUE"""),"shabbyrichie@gmail.com")</f>
        <v>shabbyrichie@gmail.com</v>
      </c>
      <c r="D975" s="6">
        <f ca="1">IFERROR(__xludf.DUMMYFUNCTION("""COMPUTED_VALUE"""),8884438364)</f>
        <v>8884438364</v>
      </c>
      <c r="E975" s="6" t="str">
        <f ca="1">IFERROR(__xludf.DUMMYFUNCTION("""COMPUTED_VALUE"""),"Reference")</f>
        <v>Reference</v>
      </c>
      <c r="F975" s="6" t="str">
        <f ca="1">IFERROR(__xludf.DUMMYFUNCTION("""COMPUTED_VALUE"""),"PSM")</f>
        <v>PSM</v>
      </c>
      <c r="G975" s="80">
        <f ca="1">IFERROR(__xludf.DUMMYFUNCTION("""COMPUTED_VALUE"""),44652)</f>
        <v>44652</v>
      </c>
      <c r="H975" s="6" t="str">
        <f ca="1">IFERROR(__xludf.DUMMYFUNCTION("""COMPUTED_VALUE"""),"Won")</f>
        <v>Won</v>
      </c>
      <c r="I975" s="6" t="str">
        <f ca="1">IFERROR(__xludf.DUMMYFUNCTION("""COMPUTED_VALUE"""),"23-24 April 2022")</f>
        <v>23-24 April 2022</v>
      </c>
      <c r="J975" s="6">
        <f ca="1">IFERROR(__xludf.DUMMYFUNCTION("""COMPUTED_VALUE"""),1)</f>
        <v>1</v>
      </c>
      <c r="K975" s="8">
        <f ca="1">IFERROR(__xludf.DUMMYFUNCTION("""COMPUTED_VALUE"""),21000)</f>
        <v>21000</v>
      </c>
      <c r="L975" s="8">
        <f ca="1">IFERROR(__xludf.DUMMYFUNCTION("""COMPUTED_VALUE"""),240.494732020155)</f>
        <v>240.494732020155</v>
      </c>
      <c r="M975" s="96">
        <f ca="1">IFERROR(__xludf.DUMMYFUNCTION("""COMPUTED_VALUE"""),44671)</f>
        <v>44671</v>
      </c>
      <c r="N975" s="6" t="str">
        <f ca="1">IFERROR(__xludf.DUMMYFUNCTION("""COMPUTED_VALUE"""),"S10")</f>
        <v>S10</v>
      </c>
      <c r="O975" s="97">
        <f ca="1">IFERROR(__xludf.DUMMYFUNCTION("""COMPUTED_VALUE"""),44671)</f>
        <v>44671</v>
      </c>
      <c r="P975" s="6" t="str">
        <f ca="1">IFERROR(__xludf.DUMMYFUNCTION("""COMPUTED_VALUE"""),"CSTM_C7ZNMGMZRGI")</f>
        <v>CSTM_C7ZNMGMZRGI</v>
      </c>
      <c r="Q975" s="6" t="str">
        <f ca="1">IFERROR(__xludf.DUMMYFUNCTION("""COMPUTED_VALUE"""),"Reference by Shyam's cx")</f>
        <v>Reference by Shyam's cx</v>
      </c>
      <c r="R975" s="6" t="str">
        <f ca="1">IFERROR(__xludf.DUMMYFUNCTION("""COMPUTED_VALUE"""),"Pending")</f>
        <v>Pending</v>
      </c>
      <c r="S975" s="6" t="str">
        <f ca="1">IFERROR(__xludf.DUMMYFUNCTION("""COMPUTED_VALUE"""),"Category")</f>
        <v>Category</v>
      </c>
      <c r="T975" s="6"/>
      <c r="U975" s="6"/>
      <c r="V975" s="6"/>
      <c r="W975" s="6"/>
      <c r="X975" s="6"/>
      <c r="Y975" s="6"/>
      <c r="Z975" s="6"/>
      <c r="AA975" s="6"/>
      <c r="AB975" s="6"/>
      <c r="AC975" s="6"/>
      <c r="AD975" s="6"/>
      <c r="AE975" s="6"/>
      <c r="AF975" s="6"/>
      <c r="AG975" s="6"/>
      <c r="AH975" s="6"/>
      <c r="AI975" s="6"/>
      <c r="AJ975" s="6"/>
      <c r="AK975" s="6"/>
      <c r="AL975" s="6"/>
    </row>
    <row r="976" spans="1:38">
      <c r="A976" s="96">
        <f ca="1">IFERROR(__xludf.DUMMYFUNCTION("""COMPUTED_VALUE"""),44671)</f>
        <v>44671</v>
      </c>
      <c r="B976" s="6" t="str">
        <f ca="1">IFERROR(__xludf.DUMMYFUNCTION("""COMPUTED_VALUE"""),"Ravikanth Subbisetty")</f>
        <v>Ravikanth Subbisetty</v>
      </c>
      <c r="C976" s="6" t="str">
        <f ca="1">IFERROR(__xludf.DUMMYFUNCTION("""COMPUTED_VALUE"""),"ravikanth.subbisetty@gmail.com")</f>
        <v>ravikanth.subbisetty@gmail.com</v>
      </c>
      <c r="D976" s="6">
        <f ca="1">IFERROR(__xludf.DUMMYFUNCTION("""COMPUTED_VALUE"""),9966046683)</f>
        <v>9966046683</v>
      </c>
      <c r="E976" s="6" t="str">
        <f ca="1">IFERROR(__xludf.DUMMYFUNCTION("""COMPUTED_VALUE"""),"Query box")</f>
        <v>Query box</v>
      </c>
      <c r="F976" s="6" t="str">
        <f ca="1">IFERROR(__xludf.DUMMYFUNCTION("""COMPUTED_VALUE"""),"CSM")</f>
        <v>CSM</v>
      </c>
      <c r="G976" s="80">
        <f ca="1">IFERROR(__xludf.DUMMYFUNCTION("""COMPUTED_VALUE"""),44652)</f>
        <v>44652</v>
      </c>
      <c r="H976" s="6" t="str">
        <f ca="1">IFERROR(__xludf.DUMMYFUNCTION("""COMPUTED_VALUE"""),"Won")</f>
        <v>Won</v>
      </c>
      <c r="I976" s="6" t="str">
        <f ca="1">IFERROR(__xludf.DUMMYFUNCTION("""COMPUTED_VALUE"""),"7-8 May 2022")</f>
        <v>7-8 May 2022</v>
      </c>
      <c r="J976" s="6">
        <f ca="1">IFERROR(__xludf.DUMMYFUNCTION("""COMPUTED_VALUE"""),1)</f>
        <v>1</v>
      </c>
      <c r="K976" s="8">
        <f ca="1">IFERROR(__xludf.DUMMYFUNCTION("""COMPUTED_VALUE"""),20000)</f>
        <v>20000</v>
      </c>
      <c r="L976" s="8">
        <f ca="1">IFERROR(__xludf.DUMMYFUNCTION("""COMPUTED_VALUE"""),229.042601923957)</f>
        <v>229.04260192395699</v>
      </c>
      <c r="M976" s="96">
        <f ca="1">IFERROR(__xludf.DUMMYFUNCTION("""COMPUTED_VALUE"""),44671)</f>
        <v>44671</v>
      </c>
      <c r="N976" s="6" t="str">
        <f ca="1">IFERROR(__xludf.DUMMYFUNCTION("""COMPUTED_VALUE"""),"S10")</f>
        <v>S10</v>
      </c>
      <c r="O976" s="97">
        <f ca="1">IFERROR(__xludf.DUMMYFUNCTION("""COMPUTED_VALUE"""),44671)</f>
        <v>44671</v>
      </c>
      <c r="P976" s="6" t="str">
        <f ca="1">IFERROR(__xludf.DUMMYFUNCTION("""COMPUTED_VALUE"""),"CSTM_6YOZ5E1MYEE")</f>
        <v>CSTM_6YOZ5E1MYEE</v>
      </c>
      <c r="Q976" s="6"/>
      <c r="R976" s="6" t="str">
        <f ca="1">IFERROR(__xludf.DUMMYFUNCTION("""COMPUTED_VALUE"""),"Pending")</f>
        <v>Pending</v>
      </c>
      <c r="S976" s="6" t="str">
        <f ca="1">IFERROR(__xludf.DUMMYFUNCTION("""COMPUTED_VALUE"""),"Category")</f>
        <v>Category</v>
      </c>
      <c r="T976" s="6"/>
      <c r="U976" s="6"/>
      <c r="V976" s="6"/>
      <c r="W976" s="6"/>
      <c r="X976" s="6"/>
      <c r="Y976" s="6"/>
      <c r="Z976" s="6"/>
      <c r="AA976" s="6"/>
      <c r="AB976" s="6"/>
      <c r="AC976" s="6"/>
      <c r="AD976" s="6"/>
      <c r="AE976" s="6"/>
      <c r="AF976" s="6"/>
      <c r="AG976" s="6"/>
      <c r="AH976" s="6"/>
      <c r="AI976" s="6"/>
      <c r="AJ976" s="6"/>
      <c r="AK976" s="6"/>
      <c r="AL976" s="6"/>
    </row>
    <row r="977" spans="1:38">
      <c r="A977" s="96">
        <f ca="1">IFERROR(__xludf.DUMMYFUNCTION("""COMPUTED_VALUE"""),44672)</f>
        <v>44672</v>
      </c>
      <c r="B977" s="6" t="str">
        <f ca="1">IFERROR(__xludf.DUMMYFUNCTION("""COMPUTED_VALUE"""),"Manoj")</f>
        <v>Manoj</v>
      </c>
      <c r="C977" s="6" t="str">
        <f ca="1">IFERROR(__xludf.DUMMYFUNCTION("""COMPUTED_VALUE"""),"thanx4castingsurvey@gmail.com")</f>
        <v>thanx4castingsurvey@gmail.com</v>
      </c>
      <c r="D977" s="6">
        <f ca="1">IFERROR(__xludf.DUMMYFUNCTION("""COMPUTED_VALUE"""),9969409248)</f>
        <v>9969409248</v>
      </c>
      <c r="E977" s="6" t="str">
        <f ca="1">IFERROR(__xludf.DUMMYFUNCTION("""COMPUTED_VALUE"""),"chat_initiated")</f>
        <v>chat_initiated</v>
      </c>
      <c r="F977" s="6" t="str">
        <f ca="1">IFERROR(__xludf.DUMMYFUNCTION("""COMPUTED_VALUE"""),"PSM")</f>
        <v>PSM</v>
      </c>
      <c r="G977" s="80">
        <f ca="1">IFERROR(__xludf.DUMMYFUNCTION("""COMPUTED_VALUE"""),44652)</f>
        <v>44652</v>
      </c>
      <c r="H977" s="6" t="str">
        <f ca="1">IFERROR(__xludf.DUMMYFUNCTION("""COMPUTED_VALUE"""),"Won")</f>
        <v>Won</v>
      </c>
      <c r="I977" s="6" t="str">
        <f ca="1">IFERROR(__xludf.DUMMYFUNCTION("""COMPUTED_VALUE"""),"23-24 April 2022")</f>
        <v>23-24 April 2022</v>
      </c>
      <c r="J977" s="6">
        <f ca="1">IFERROR(__xludf.DUMMYFUNCTION("""COMPUTED_VALUE"""),1)</f>
        <v>1</v>
      </c>
      <c r="K977" s="8">
        <f ca="1">IFERROR(__xludf.DUMMYFUNCTION("""COMPUTED_VALUE"""),21000)</f>
        <v>21000</v>
      </c>
      <c r="L977" s="8">
        <f ca="1">IFERROR(__xludf.DUMMYFUNCTION("""COMPUTED_VALUE"""),240.494732020155)</f>
        <v>240.494732020155</v>
      </c>
      <c r="M977" s="96">
        <f ca="1">IFERROR(__xludf.DUMMYFUNCTION("""COMPUTED_VALUE"""),44672)</f>
        <v>44672</v>
      </c>
      <c r="N977" s="6" t="str">
        <f ca="1">IFERROR(__xludf.DUMMYFUNCTION("""COMPUTED_VALUE"""),"T10")</f>
        <v>T10</v>
      </c>
      <c r="O977" s="97">
        <f ca="1">IFERROR(__xludf.DUMMYFUNCTION("""COMPUTED_VALUE"""),44672)</f>
        <v>44672</v>
      </c>
      <c r="P977" s="6" t="str">
        <f ca="1">IFERROR(__xludf.DUMMYFUNCTION("""COMPUTED_VALUE"""),"CSTM_D7V9QK0XL6J")</f>
        <v>CSTM_D7V9QK0XL6J</v>
      </c>
      <c r="Q977" s="6"/>
      <c r="R977" s="6" t="str">
        <f ca="1">IFERROR(__xludf.DUMMYFUNCTION("""COMPUTED_VALUE"""),"Pending")</f>
        <v>Pending</v>
      </c>
      <c r="S977" s="6" t="str">
        <f ca="1">IFERROR(__xludf.DUMMYFUNCTION("""COMPUTED_VALUE"""),"Category")</f>
        <v>Category</v>
      </c>
      <c r="T977" s="6"/>
      <c r="U977" s="6"/>
      <c r="V977" s="6"/>
      <c r="W977" s="6"/>
      <c r="X977" s="6"/>
      <c r="Y977" s="6"/>
      <c r="Z977" s="6"/>
      <c r="AA977" s="6"/>
      <c r="AB977" s="6"/>
      <c r="AC977" s="6"/>
      <c r="AD977" s="6"/>
      <c r="AE977" s="6"/>
      <c r="AF977" s="6"/>
      <c r="AG977" s="6"/>
      <c r="AH977" s="6"/>
      <c r="AI977" s="6"/>
      <c r="AJ977" s="6"/>
      <c r="AK977" s="6"/>
      <c r="AL977" s="6"/>
    </row>
    <row r="978" spans="1:38">
      <c r="A978" s="96">
        <f ca="1">IFERROR(__xludf.DUMMYFUNCTION("""COMPUTED_VALUE"""),44672)</f>
        <v>44672</v>
      </c>
      <c r="B978" s="6" t="str">
        <f ca="1">IFERROR(__xludf.DUMMYFUNCTION("""COMPUTED_VALUE"""),"Madhumitha Sampath")</f>
        <v>Madhumitha Sampath</v>
      </c>
      <c r="C978" s="6" t="str">
        <f ca="1">IFERROR(__xludf.DUMMYFUNCTION("""COMPUTED_VALUE"""),"email.mitha@gmail.com")</f>
        <v>email.mitha@gmail.com</v>
      </c>
      <c r="D978" s="6">
        <f ca="1">IFERROR(__xludf.DUMMYFUNCTION("""COMPUTED_VALUE"""),9686031655)</f>
        <v>9686031655</v>
      </c>
      <c r="E978" s="6" t="str">
        <f ca="1">IFERROR(__xludf.DUMMYFUNCTION("""COMPUTED_VALUE"""),"Existing Account")</f>
        <v>Existing Account</v>
      </c>
      <c r="F978" s="6" t="str">
        <f ca="1">IFERROR(__xludf.DUMMYFUNCTION("""COMPUTED_VALUE"""),"PSPO")</f>
        <v>PSPO</v>
      </c>
      <c r="G978" s="80">
        <f ca="1">IFERROR(__xludf.DUMMYFUNCTION("""COMPUTED_VALUE"""),44652)</f>
        <v>44652</v>
      </c>
      <c r="H978" s="6" t="str">
        <f ca="1">IFERROR(__xludf.DUMMYFUNCTION("""COMPUTED_VALUE"""),"Won")</f>
        <v>Won</v>
      </c>
      <c r="I978" s="6" t="str">
        <f ca="1">IFERROR(__xludf.DUMMYFUNCTION("""COMPUTED_VALUE"""),"23-24 April 2022")</f>
        <v>23-24 April 2022</v>
      </c>
      <c r="J978" s="6">
        <f ca="1">IFERROR(__xludf.DUMMYFUNCTION("""COMPUTED_VALUE"""),1)</f>
        <v>1</v>
      </c>
      <c r="K978" s="8">
        <f ca="1">IFERROR(__xludf.DUMMYFUNCTION("""COMPUTED_VALUE"""),21000)</f>
        <v>21000</v>
      </c>
      <c r="L978" s="8">
        <f ca="1">IFERROR(__xludf.DUMMYFUNCTION("""COMPUTED_VALUE"""),240.494732020155)</f>
        <v>240.494732020155</v>
      </c>
      <c r="M978" s="96">
        <f ca="1">IFERROR(__xludf.DUMMYFUNCTION("""COMPUTED_VALUE"""),44672)</f>
        <v>44672</v>
      </c>
      <c r="N978" s="6" t="str">
        <f ca="1">IFERROR(__xludf.DUMMYFUNCTION("""COMPUTED_VALUE"""),"T10")</f>
        <v>T10</v>
      </c>
      <c r="O978" s="97">
        <f ca="1">IFERROR(__xludf.DUMMYFUNCTION("""COMPUTED_VALUE"""),44672)</f>
        <v>44672</v>
      </c>
      <c r="P978" s="6" t="str">
        <f ca="1">IFERROR(__xludf.DUMMYFUNCTION("""COMPUTED_VALUE"""),"CSTM_4QD2P18S1FL")</f>
        <v>CSTM_4QD2P18S1FL</v>
      </c>
      <c r="Q978" s="6"/>
      <c r="R978" s="6" t="str">
        <f ca="1">IFERROR(__xludf.DUMMYFUNCTION("""COMPUTED_VALUE"""),"Pending")</f>
        <v>Pending</v>
      </c>
      <c r="S978" s="6" t="str">
        <f ca="1">IFERROR(__xludf.DUMMYFUNCTION("""COMPUTED_VALUE"""),"Category")</f>
        <v>Category</v>
      </c>
      <c r="T978" s="6"/>
      <c r="U978" s="6"/>
      <c r="V978" s="6"/>
      <c r="W978" s="6"/>
      <c r="X978" s="6"/>
      <c r="Y978" s="6"/>
      <c r="Z978" s="6"/>
      <c r="AA978" s="6"/>
      <c r="AB978" s="6"/>
      <c r="AC978" s="6"/>
      <c r="AD978" s="6"/>
      <c r="AE978" s="6"/>
      <c r="AF978" s="6"/>
      <c r="AG978" s="6"/>
      <c r="AH978" s="6"/>
      <c r="AI978" s="6"/>
      <c r="AJ978" s="6"/>
      <c r="AK978" s="6"/>
      <c r="AL978" s="6"/>
    </row>
    <row r="979" spans="1:38">
      <c r="A979" s="96">
        <f ca="1">IFERROR(__xludf.DUMMYFUNCTION("""COMPUTED_VALUE"""),44673)</f>
        <v>44673</v>
      </c>
      <c r="B979" s="6" t="str">
        <f ca="1">IFERROR(__xludf.DUMMYFUNCTION("""COMPUTED_VALUE"""),"Varun Mehta")</f>
        <v>Varun Mehta</v>
      </c>
      <c r="C979" s="6" t="str">
        <f ca="1">IFERROR(__xludf.DUMMYFUNCTION("""COMPUTED_VALUE"""),"itsvarun.mehta29@gmail.com")</f>
        <v>itsvarun.mehta29@gmail.com</v>
      </c>
      <c r="D979" s="6">
        <f ca="1">IFERROR(__xludf.DUMMYFUNCTION("""COMPUTED_VALUE"""),8446611528)</f>
        <v>8446611528</v>
      </c>
      <c r="E979" s="6" t="str">
        <f ca="1">IFERROR(__xludf.DUMMYFUNCTION("""COMPUTED_VALUE"""),"chat_initiated")</f>
        <v>chat_initiated</v>
      </c>
      <c r="F979" s="6" t="str">
        <f ca="1">IFERROR(__xludf.DUMMYFUNCTION("""COMPUTED_VALUE"""),"PSPO")</f>
        <v>PSPO</v>
      </c>
      <c r="G979" s="80">
        <f ca="1">IFERROR(__xludf.DUMMYFUNCTION("""COMPUTED_VALUE"""),44652)</f>
        <v>44652</v>
      </c>
      <c r="H979" s="6" t="str">
        <f ca="1">IFERROR(__xludf.DUMMYFUNCTION("""COMPUTED_VALUE"""),"Won")</f>
        <v>Won</v>
      </c>
      <c r="I979" s="6" t="str">
        <f ca="1">IFERROR(__xludf.DUMMYFUNCTION("""COMPUTED_VALUE"""),"23-24 April 2022")</f>
        <v>23-24 April 2022</v>
      </c>
      <c r="J979" s="6">
        <f ca="1">IFERROR(__xludf.DUMMYFUNCTION("""COMPUTED_VALUE"""),1)</f>
        <v>1</v>
      </c>
      <c r="K979" s="8">
        <f ca="1">IFERROR(__xludf.DUMMYFUNCTION("""COMPUTED_VALUE"""),21000)</f>
        <v>21000</v>
      </c>
      <c r="L979" s="8">
        <f ca="1">IFERROR(__xludf.DUMMYFUNCTION("""COMPUTED_VALUE"""),240.494732020155)</f>
        <v>240.494732020155</v>
      </c>
      <c r="M979" s="96">
        <f ca="1">IFERROR(__xludf.DUMMYFUNCTION("""COMPUTED_VALUE"""),44673)</f>
        <v>44673</v>
      </c>
      <c r="N979" s="6" t="str">
        <f ca="1">IFERROR(__xludf.DUMMYFUNCTION("""COMPUTED_VALUE"""),"T10")</f>
        <v>T10</v>
      </c>
      <c r="O979" s="97">
        <f ca="1">IFERROR(__xludf.DUMMYFUNCTION("""COMPUTED_VALUE"""),44673)</f>
        <v>44673</v>
      </c>
      <c r="P979" s="6" t="str">
        <f ca="1">IFERROR(__xludf.DUMMYFUNCTION("""COMPUTED_VALUE"""),"CSTM_BGYGS2ZQ53Y")</f>
        <v>CSTM_BGYGS2ZQ53Y</v>
      </c>
      <c r="Q979" s="6"/>
      <c r="R979" s="6" t="str">
        <f ca="1">IFERROR(__xludf.DUMMYFUNCTION("""COMPUTED_VALUE"""),"Pending")</f>
        <v>Pending</v>
      </c>
      <c r="S979" s="6" t="str">
        <f ca="1">IFERROR(__xludf.DUMMYFUNCTION("""COMPUTED_VALUE"""),"Category")</f>
        <v>Category</v>
      </c>
      <c r="T979" s="6"/>
      <c r="U979" s="6"/>
      <c r="V979" s="6"/>
      <c r="W979" s="6"/>
      <c r="X979" s="6"/>
      <c r="Y979" s="6"/>
      <c r="Z979" s="6"/>
      <c r="AA979" s="6"/>
      <c r="AB979" s="6"/>
      <c r="AC979" s="6"/>
      <c r="AD979" s="6"/>
      <c r="AE979" s="6"/>
      <c r="AF979" s="6"/>
      <c r="AG979" s="6"/>
      <c r="AH979" s="6"/>
      <c r="AI979" s="6"/>
      <c r="AJ979" s="6"/>
      <c r="AK979" s="6"/>
      <c r="AL979" s="6"/>
    </row>
    <row r="980" spans="1:38">
      <c r="A980" s="96">
        <f ca="1">IFERROR(__xludf.DUMMYFUNCTION("""COMPUTED_VALUE"""),44673)</f>
        <v>44673</v>
      </c>
      <c r="B980" s="6" t="str">
        <f ca="1">IFERROR(__xludf.DUMMYFUNCTION("""COMPUTED_VALUE"""),"Prashant")</f>
        <v>Prashant</v>
      </c>
      <c r="C980" s="6" t="str">
        <f ca="1">IFERROR(__xludf.DUMMYFUNCTION("""COMPUTED_VALUE"""),"prash1406@gmail.com")</f>
        <v>prash1406@gmail.com</v>
      </c>
      <c r="D980" s="6">
        <f ca="1">IFERROR(__xludf.DUMMYFUNCTION("""COMPUTED_VALUE"""),9879617043)</f>
        <v>9879617043</v>
      </c>
      <c r="E980" s="6" t="str">
        <f ca="1">IFERROR(__xludf.DUMMYFUNCTION("""COMPUTED_VALUE"""),"chat_initiated")</f>
        <v>chat_initiated</v>
      </c>
      <c r="F980" s="6" t="str">
        <f ca="1">IFERROR(__xludf.DUMMYFUNCTION("""COMPUTED_VALUE"""),"PSM")</f>
        <v>PSM</v>
      </c>
      <c r="G980" s="80">
        <f ca="1">IFERROR(__xludf.DUMMYFUNCTION("""COMPUTED_VALUE"""),44652)</f>
        <v>44652</v>
      </c>
      <c r="H980" s="6" t="str">
        <f ca="1">IFERROR(__xludf.DUMMYFUNCTION("""COMPUTED_VALUE"""),"Won")</f>
        <v>Won</v>
      </c>
      <c r="I980" s="6" t="str">
        <f ca="1">IFERROR(__xludf.DUMMYFUNCTION("""COMPUTED_VALUE"""),"23-24 April 2022")</f>
        <v>23-24 April 2022</v>
      </c>
      <c r="J980" s="6">
        <f ca="1">IFERROR(__xludf.DUMMYFUNCTION("""COMPUTED_VALUE"""),1)</f>
        <v>1</v>
      </c>
      <c r="K980" s="8">
        <f ca="1">IFERROR(__xludf.DUMMYFUNCTION("""COMPUTED_VALUE"""),21000)</f>
        <v>21000</v>
      </c>
      <c r="L980" s="8">
        <f ca="1">IFERROR(__xludf.DUMMYFUNCTION("""COMPUTED_VALUE"""),240.494732020155)</f>
        <v>240.494732020155</v>
      </c>
      <c r="M980" s="96">
        <f ca="1">IFERROR(__xludf.DUMMYFUNCTION("""COMPUTED_VALUE"""),44673)</f>
        <v>44673</v>
      </c>
      <c r="N980" s="6" t="str">
        <f ca="1">IFERROR(__xludf.DUMMYFUNCTION("""COMPUTED_VALUE"""),"T10")</f>
        <v>T10</v>
      </c>
      <c r="O980" s="97">
        <f ca="1">IFERROR(__xludf.DUMMYFUNCTION("""COMPUTED_VALUE"""),44673)</f>
        <v>44673</v>
      </c>
      <c r="P980" s="6" t="str">
        <f ca="1">IFERROR(__xludf.DUMMYFUNCTION("""COMPUTED_VALUE"""),"CSTM_8YZOV1O0PFP")</f>
        <v>CSTM_8YZOV1O0PFP</v>
      </c>
      <c r="Q980" s="6"/>
      <c r="R980" s="6" t="str">
        <f ca="1">IFERROR(__xludf.DUMMYFUNCTION("""COMPUTED_VALUE"""),"Pending")</f>
        <v>Pending</v>
      </c>
      <c r="S980" s="6" t="str">
        <f ca="1">IFERROR(__xludf.DUMMYFUNCTION("""COMPUTED_VALUE"""),"Category")</f>
        <v>Category</v>
      </c>
      <c r="T980" s="6"/>
      <c r="U980" s="6"/>
      <c r="V980" s="6"/>
      <c r="W980" s="6"/>
      <c r="X980" s="6"/>
      <c r="Y980" s="6"/>
      <c r="Z980" s="6"/>
      <c r="AA980" s="6"/>
      <c r="AB980" s="6"/>
      <c r="AC980" s="6"/>
      <c r="AD980" s="6"/>
      <c r="AE980" s="6"/>
      <c r="AF980" s="6"/>
      <c r="AG980" s="6"/>
      <c r="AH980" s="6"/>
      <c r="AI980" s="6"/>
      <c r="AJ980" s="6"/>
      <c r="AK980" s="6"/>
      <c r="AL980" s="6"/>
    </row>
    <row r="981" spans="1:38">
      <c r="A981" s="96">
        <f ca="1">IFERROR(__xludf.DUMMYFUNCTION("""COMPUTED_VALUE"""),44673)</f>
        <v>44673</v>
      </c>
      <c r="B981" s="6" t="str">
        <f ca="1">IFERROR(__xludf.DUMMYFUNCTION("""COMPUTED_VALUE"""),"Vishwanath Iyer")</f>
        <v>Vishwanath Iyer</v>
      </c>
      <c r="C981" s="6" t="str">
        <f ca="1">IFERROR(__xludf.DUMMYFUNCTION("""COMPUTED_VALUE"""),"pcviyer@gmail.com")</f>
        <v>pcviyer@gmail.com</v>
      </c>
      <c r="D981" s="6">
        <f ca="1">IFERROR(__xludf.DUMMYFUNCTION("""COMPUTED_VALUE"""),9900210178)</f>
        <v>9900210178</v>
      </c>
      <c r="E981" s="6" t="str">
        <f ca="1">IFERROR(__xludf.DUMMYFUNCTION("""COMPUTED_VALUE"""),"Tollfree")</f>
        <v>Tollfree</v>
      </c>
      <c r="F981" s="6" t="str">
        <f ca="1">IFERROR(__xludf.DUMMYFUNCTION("""COMPUTED_VALUE"""),"SAFe Agile")</f>
        <v>SAFe Agile</v>
      </c>
      <c r="G981" s="80">
        <f ca="1">IFERROR(__xludf.DUMMYFUNCTION("""COMPUTED_VALUE"""),44652)</f>
        <v>44652</v>
      </c>
      <c r="H981" s="6" t="str">
        <f ca="1">IFERROR(__xludf.DUMMYFUNCTION("""COMPUTED_VALUE"""),"Won")</f>
        <v>Won</v>
      </c>
      <c r="I981" s="6" t="str">
        <f ca="1">IFERROR(__xludf.DUMMYFUNCTION("""COMPUTED_VALUE"""),"23-24 April 2022")</f>
        <v>23-24 April 2022</v>
      </c>
      <c r="J981" s="6">
        <f ca="1">IFERROR(__xludf.DUMMYFUNCTION("""COMPUTED_VALUE"""),1)</f>
        <v>1</v>
      </c>
      <c r="K981" s="8">
        <f ca="1">IFERROR(__xludf.DUMMYFUNCTION("""COMPUTED_VALUE"""),42000)</f>
        <v>42000</v>
      </c>
      <c r="L981" s="8">
        <f ca="1">IFERROR(__xludf.DUMMYFUNCTION("""COMPUTED_VALUE"""),480.989464040311)</f>
        <v>480.98946404031102</v>
      </c>
      <c r="M981" s="96">
        <f ca="1">IFERROR(__xludf.DUMMYFUNCTION("""COMPUTED_VALUE"""),44673)</f>
        <v>44673</v>
      </c>
      <c r="N981" s="6" t="str">
        <f ca="1">IFERROR(__xludf.DUMMYFUNCTION("""COMPUTED_VALUE"""),"T10")</f>
        <v>T10</v>
      </c>
      <c r="O981" s="97">
        <f ca="1">IFERROR(__xludf.DUMMYFUNCTION("""COMPUTED_VALUE"""),44673)</f>
        <v>44673</v>
      </c>
      <c r="P981" s="6" t="str">
        <f ca="1">IFERROR(__xludf.DUMMYFUNCTION("""COMPUTED_VALUE"""),"CSTM_AFSV34RF942")</f>
        <v>CSTM_AFSV34RF942</v>
      </c>
      <c r="Q981" s="6"/>
      <c r="R981" s="6" t="str">
        <f ca="1">IFERROR(__xludf.DUMMYFUNCTION("""COMPUTED_VALUE"""),"Pending")</f>
        <v>Pending</v>
      </c>
      <c r="S981" s="6" t="str">
        <f ca="1">IFERROR(__xludf.DUMMYFUNCTION("""COMPUTED_VALUE"""),"SAFe")</f>
        <v>SAFe</v>
      </c>
      <c r="T981" s="6"/>
      <c r="U981" s="6"/>
      <c r="V981" s="6"/>
      <c r="W981" s="6"/>
      <c r="X981" s="6"/>
      <c r="Y981" s="6"/>
      <c r="Z981" s="6"/>
      <c r="AA981" s="6"/>
      <c r="AB981" s="6"/>
      <c r="AC981" s="6"/>
      <c r="AD981" s="6"/>
      <c r="AE981" s="6"/>
      <c r="AF981" s="6"/>
      <c r="AG981" s="6"/>
      <c r="AH981" s="6"/>
      <c r="AI981" s="6"/>
      <c r="AJ981" s="6"/>
      <c r="AK981" s="6"/>
      <c r="AL981" s="6"/>
    </row>
    <row r="982" spans="1:38">
      <c r="A982" s="96">
        <f ca="1">IFERROR(__xludf.DUMMYFUNCTION("""COMPUTED_VALUE"""),44673)</f>
        <v>44673</v>
      </c>
      <c r="B982" s="6" t="str">
        <f ca="1">IFERROR(__xludf.DUMMYFUNCTION("""COMPUTED_VALUE"""),"Rajaraman")</f>
        <v>Rajaraman</v>
      </c>
      <c r="C982" s="6" t="str">
        <f ca="1">IFERROR(__xludf.DUMMYFUNCTION("""COMPUTED_VALUE"""),"nrraman.tnj@gmail.com")</f>
        <v>nrraman.tnj@gmail.com</v>
      </c>
      <c r="D982" s="6">
        <f ca="1">IFERROR(__xludf.DUMMYFUNCTION("""COMPUTED_VALUE"""),9841033843)</f>
        <v>9841033843</v>
      </c>
      <c r="E982" s="6" t="str">
        <f ca="1">IFERROR(__xludf.DUMMYFUNCTION("""COMPUTED_VALUE"""),"Query box")</f>
        <v>Query box</v>
      </c>
      <c r="F982" s="6" t="str">
        <f ca="1">IFERROR(__xludf.DUMMYFUNCTION("""COMPUTED_VALUE"""),"SAFe Agile")</f>
        <v>SAFe Agile</v>
      </c>
      <c r="G982" s="80">
        <f ca="1">IFERROR(__xludf.DUMMYFUNCTION("""COMPUTED_VALUE"""),44652)</f>
        <v>44652</v>
      </c>
      <c r="H982" s="6" t="str">
        <f ca="1">IFERROR(__xludf.DUMMYFUNCTION("""COMPUTED_VALUE"""),"Won")</f>
        <v>Won</v>
      </c>
      <c r="I982" s="6" t="str">
        <f ca="1">IFERROR(__xludf.DUMMYFUNCTION("""COMPUTED_VALUE"""),"23-24 April 2022")</f>
        <v>23-24 April 2022</v>
      </c>
      <c r="J982" s="6">
        <f ca="1">IFERROR(__xludf.DUMMYFUNCTION("""COMPUTED_VALUE"""),1)</f>
        <v>1</v>
      </c>
      <c r="K982" s="8">
        <f ca="1">IFERROR(__xludf.DUMMYFUNCTION("""COMPUTED_VALUE"""),42000)</f>
        <v>42000</v>
      </c>
      <c r="L982" s="8">
        <f ca="1">IFERROR(__xludf.DUMMYFUNCTION("""COMPUTED_VALUE"""),480.989464040311)</f>
        <v>480.98946404031102</v>
      </c>
      <c r="M982" s="96">
        <f ca="1">IFERROR(__xludf.DUMMYFUNCTION("""COMPUTED_VALUE"""),44673)</f>
        <v>44673</v>
      </c>
      <c r="N982" s="6" t="str">
        <f ca="1">IFERROR(__xludf.DUMMYFUNCTION("""COMPUTED_VALUE"""),"T10")</f>
        <v>T10</v>
      </c>
      <c r="O982" s="97">
        <f ca="1">IFERROR(__xludf.DUMMYFUNCTION("""COMPUTED_VALUE"""),44673)</f>
        <v>44673</v>
      </c>
      <c r="P982" s="6" t="str">
        <f ca="1">IFERROR(__xludf.DUMMYFUNCTION("""COMPUTED_VALUE"""),"CSTM_14S83DNTN36")</f>
        <v>CSTM_14S83DNTN36</v>
      </c>
      <c r="Q982" s="6"/>
      <c r="R982" s="6" t="str">
        <f ca="1">IFERROR(__xludf.DUMMYFUNCTION("""COMPUTED_VALUE"""),"Pending")</f>
        <v>Pending</v>
      </c>
      <c r="S982" s="6" t="str">
        <f ca="1">IFERROR(__xludf.DUMMYFUNCTION("""COMPUTED_VALUE"""),"SAFe")</f>
        <v>SAFe</v>
      </c>
      <c r="T982" s="6"/>
      <c r="U982" s="6"/>
      <c r="V982" s="6"/>
      <c r="W982" s="6"/>
      <c r="X982" s="6"/>
      <c r="Y982" s="6"/>
      <c r="Z982" s="6"/>
      <c r="AA982" s="6"/>
      <c r="AB982" s="6"/>
      <c r="AC982" s="6"/>
      <c r="AD982" s="6"/>
      <c r="AE982" s="6"/>
      <c r="AF982" s="6"/>
      <c r="AG982" s="6"/>
      <c r="AH982" s="6"/>
      <c r="AI982" s="6"/>
      <c r="AJ982" s="6"/>
      <c r="AK982" s="6"/>
      <c r="AL982" s="6"/>
    </row>
    <row r="983" spans="1:38">
      <c r="A983" s="96">
        <f ca="1">IFERROR(__xludf.DUMMYFUNCTION("""COMPUTED_VALUE"""),44674)</f>
        <v>44674</v>
      </c>
      <c r="B983" s="6" t="str">
        <f ca="1">IFERROR(__xludf.DUMMYFUNCTION("""COMPUTED_VALUE"""),"Alok Jhavitian")</f>
        <v>Alok Jhavitian</v>
      </c>
      <c r="C983" s="6" t="str">
        <f ca="1">IFERROR(__xludf.DUMMYFUNCTION("""COMPUTED_VALUE"""),"alokjhavitian@gmail.com")</f>
        <v>alokjhavitian@gmail.com</v>
      </c>
      <c r="D983" s="6">
        <f ca="1">IFERROR(__xludf.DUMMYFUNCTION("""COMPUTED_VALUE"""),9620083254)</f>
        <v>9620083254</v>
      </c>
      <c r="E983" s="6" t="str">
        <f ca="1">IFERROR(__xludf.DUMMYFUNCTION("""COMPUTED_VALUE"""),"chat_initiated")</f>
        <v>chat_initiated</v>
      </c>
      <c r="F983" s="6" t="str">
        <f ca="1">IFERROR(__xludf.DUMMYFUNCTION("""COMPUTED_VALUE"""),"PSPO")</f>
        <v>PSPO</v>
      </c>
      <c r="G983" s="80">
        <f ca="1">IFERROR(__xludf.DUMMYFUNCTION("""COMPUTED_VALUE"""),44652)</f>
        <v>44652</v>
      </c>
      <c r="H983" s="6" t="str">
        <f ca="1">IFERROR(__xludf.DUMMYFUNCTION("""COMPUTED_VALUE"""),"Won")</f>
        <v>Won</v>
      </c>
      <c r="I983" s="6" t="str">
        <f ca="1">IFERROR(__xludf.DUMMYFUNCTION("""COMPUTED_VALUE"""),"7-8 May 2022")</f>
        <v>7-8 May 2022</v>
      </c>
      <c r="J983" s="6">
        <f ca="1">IFERROR(__xludf.DUMMYFUNCTION("""COMPUTED_VALUE"""),1)</f>
        <v>1</v>
      </c>
      <c r="K983" s="8">
        <f ca="1">IFERROR(__xludf.DUMMYFUNCTION("""COMPUTED_VALUE"""),21000)</f>
        <v>21000</v>
      </c>
      <c r="L983" s="8">
        <f ca="1">IFERROR(__xludf.DUMMYFUNCTION("""COMPUTED_VALUE"""),240.494732020155)</f>
        <v>240.494732020155</v>
      </c>
      <c r="M983" s="96">
        <f ca="1">IFERROR(__xludf.DUMMYFUNCTION("""COMPUTED_VALUE"""),44674)</f>
        <v>44674</v>
      </c>
      <c r="N983" s="6" t="str">
        <f ca="1">IFERROR(__xludf.DUMMYFUNCTION("""COMPUTED_VALUE"""),"T10")</f>
        <v>T10</v>
      </c>
      <c r="O983" s="97">
        <f ca="1">IFERROR(__xludf.DUMMYFUNCTION("""COMPUTED_VALUE"""),44674)</f>
        <v>44674</v>
      </c>
      <c r="P983" s="6" t="str">
        <f ca="1">IFERROR(__xludf.DUMMYFUNCTION("""COMPUTED_VALUE"""),"CSTM_5EX0JHVFT30")</f>
        <v>CSTM_5EX0JHVFT30</v>
      </c>
      <c r="Q983" s="6"/>
      <c r="R983" s="6" t="str">
        <f ca="1">IFERROR(__xludf.DUMMYFUNCTION("""COMPUTED_VALUE"""),"Pending")</f>
        <v>Pending</v>
      </c>
      <c r="S983" s="6" t="str">
        <f ca="1">IFERROR(__xludf.DUMMYFUNCTION("""COMPUTED_VALUE"""),"Category")</f>
        <v>Category</v>
      </c>
      <c r="T983" s="6"/>
      <c r="U983" s="6"/>
      <c r="V983" s="6"/>
      <c r="W983" s="6"/>
      <c r="X983" s="6"/>
      <c r="Y983" s="6"/>
      <c r="Z983" s="6"/>
      <c r="AA983" s="6"/>
      <c r="AB983" s="6"/>
      <c r="AC983" s="6"/>
      <c r="AD983" s="6"/>
      <c r="AE983" s="6"/>
      <c r="AF983" s="6"/>
      <c r="AG983" s="6"/>
      <c r="AH983" s="6"/>
      <c r="AI983" s="6"/>
      <c r="AJ983" s="6"/>
      <c r="AK983" s="6"/>
      <c r="AL983" s="6"/>
    </row>
    <row r="984" spans="1:38">
      <c r="A984" s="96">
        <f ca="1">IFERROR(__xludf.DUMMYFUNCTION("""COMPUTED_VALUE"""),44677)</f>
        <v>44677</v>
      </c>
      <c r="B984" s="6" t="str">
        <f ca="1">IFERROR(__xludf.DUMMYFUNCTION("""COMPUTED_VALUE"""),"Chetan Joshi")</f>
        <v>Chetan Joshi</v>
      </c>
      <c r="C984" s="6" t="str">
        <f ca="1">IFERROR(__xludf.DUMMYFUNCTION("""COMPUTED_VALUE"""),"joshichetan008@gmail.com")</f>
        <v>joshichetan008@gmail.com</v>
      </c>
      <c r="D984" s="6">
        <f ca="1">IFERROR(__xludf.DUMMYFUNCTION("""COMPUTED_VALUE"""),8920923611)</f>
        <v>8920923611</v>
      </c>
      <c r="E984" s="6" t="str">
        <f ca="1">IFERROR(__xludf.DUMMYFUNCTION("""COMPUTED_VALUE"""),"Query box")</f>
        <v>Query box</v>
      </c>
      <c r="F984" s="6" t="str">
        <f ca="1">IFERROR(__xludf.DUMMYFUNCTION("""COMPUTED_VALUE"""),"PSM")</f>
        <v>PSM</v>
      </c>
      <c r="G984" s="80">
        <f ca="1">IFERROR(__xludf.DUMMYFUNCTION("""COMPUTED_VALUE"""),44652)</f>
        <v>44652</v>
      </c>
      <c r="H984" s="6" t="str">
        <f ca="1">IFERROR(__xludf.DUMMYFUNCTION("""COMPUTED_VALUE"""),"Won")</f>
        <v>Won</v>
      </c>
      <c r="I984" s="6" t="str">
        <f ca="1">IFERROR(__xludf.DUMMYFUNCTION("""COMPUTED_VALUE"""),"30 April - 1 May 2022")</f>
        <v>30 April - 1 May 2022</v>
      </c>
      <c r="J984" s="6">
        <f ca="1">IFERROR(__xludf.DUMMYFUNCTION("""COMPUTED_VALUE"""),1)</f>
        <v>1</v>
      </c>
      <c r="K984" s="8">
        <f ca="1">IFERROR(__xludf.DUMMYFUNCTION("""COMPUTED_VALUE"""),21000)</f>
        <v>21000</v>
      </c>
      <c r="L984" s="8">
        <f ca="1">IFERROR(__xludf.DUMMYFUNCTION("""COMPUTED_VALUE"""),240.494732020155)</f>
        <v>240.494732020155</v>
      </c>
      <c r="M984" s="96">
        <f ca="1">IFERROR(__xludf.DUMMYFUNCTION("""COMPUTED_VALUE"""),44677)</f>
        <v>44677</v>
      </c>
      <c r="N984" s="6" t="str">
        <f ca="1">IFERROR(__xludf.DUMMYFUNCTION("""COMPUTED_VALUE"""),"T10")</f>
        <v>T10</v>
      </c>
      <c r="O984" s="97">
        <f ca="1">IFERROR(__xludf.DUMMYFUNCTION("""COMPUTED_VALUE"""),44677)</f>
        <v>44677</v>
      </c>
      <c r="P984" s="6" t="str">
        <f ca="1">IFERROR(__xludf.DUMMYFUNCTION("""COMPUTED_VALUE"""),"CSTM_179H59M1OF5")</f>
        <v>CSTM_179H59M1OF5</v>
      </c>
      <c r="Q984" s="6"/>
      <c r="R984" s="6" t="str">
        <f ca="1">IFERROR(__xludf.DUMMYFUNCTION("""COMPUTED_VALUE"""),"Pending")</f>
        <v>Pending</v>
      </c>
      <c r="S984" s="6" t="str">
        <f ca="1">IFERROR(__xludf.DUMMYFUNCTION("""COMPUTED_VALUE"""),"Category")</f>
        <v>Category</v>
      </c>
      <c r="T984" s="6"/>
      <c r="U984" s="6"/>
      <c r="V984" s="6"/>
      <c r="W984" s="6"/>
      <c r="X984" s="6"/>
      <c r="Y984" s="6"/>
      <c r="Z984" s="6"/>
      <c r="AA984" s="6"/>
      <c r="AB984" s="6"/>
      <c r="AC984" s="6"/>
      <c r="AD984" s="6"/>
      <c r="AE984" s="6"/>
      <c r="AF984" s="6"/>
      <c r="AG984" s="6"/>
      <c r="AH984" s="6"/>
      <c r="AI984" s="6"/>
      <c r="AJ984" s="6"/>
      <c r="AK984" s="6"/>
      <c r="AL984" s="6"/>
    </row>
    <row r="985" spans="1:38">
      <c r="A985" s="96">
        <f ca="1">IFERROR(__xludf.DUMMYFUNCTION("""COMPUTED_VALUE"""),44677)</f>
        <v>44677</v>
      </c>
      <c r="B985" s="6" t="str">
        <f ca="1">IFERROR(__xludf.DUMMYFUNCTION("""COMPUTED_VALUE"""),"Sathish Babu")</f>
        <v>Sathish Babu</v>
      </c>
      <c r="C985" s="6" t="str">
        <f ca="1">IFERROR(__xludf.DUMMYFUNCTION("""COMPUTED_VALUE"""),"sathishbabu.harikrishnan@cognizant.com")</f>
        <v>sathishbabu.harikrishnan@cognizant.com</v>
      </c>
      <c r="D985" s="6">
        <f ca="1">IFERROR(__xludf.DUMMYFUNCTION("""COMPUTED_VALUE"""),9941271935)</f>
        <v>9941271935</v>
      </c>
      <c r="E985" s="6" t="str">
        <f ca="1">IFERROR(__xludf.DUMMYFUNCTION("""COMPUTED_VALUE"""),"Reference")</f>
        <v>Reference</v>
      </c>
      <c r="F985" s="6" t="str">
        <f ca="1">IFERROR(__xludf.DUMMYFUNCTION("""COMPUTED_VALUE"""),"PSM")</f>
        <v>PSM</v>
      </c>
      <c r="G985" s="80">
        <f ca="1">IFERROR(__xludf.DUMMYFUNCTION("""COMPUTED_VALUE"""),44652)</f>
        <v>44652</v>
      </c>
      <c r="H985" s="6" t="str">
        <f ca="1">IFERROR(__xludf.DUMMYFUNCTION("""COMPUTED_VALUE"""),"Won")</f>
        <v>Won</v>
      </c>
      <c r="I985" s="6" t="str">
        <f ca="1">IFERROR(__xludf.DUMMYFUNCTION("""COMPUTED_VALUE"""),"30 April - 1 May 2022")</f>
        <v>30 April - 1 May 2022</v>
      </c>
      <c r="J985" s="6">
        <f ca="1">IFERROR(__xludf.DUMMYFUNCTION("""COMPUTED_VALUE"""),1)</f>
        <v>1</v>
      </c>
      <c r="K985" s="8">
        <f ca="1">IFERROR(__xludf.DUMMYFUNCTION("""COMPUTED_VALUE"""),21000)</f>
        <v>21000</v>
      </c>
      <c r="L985" s="8">
        <f ca="1">IFERROR(__xludf.DUMMYFUNCTION("""COMPUTED_VALUE"""),240.494732020155)</f>
        <v>240.494732020155</v>
      </c>
      <c r="M985" s="96">
        <f ca="1">IFERROR(__xludf.DUMMYFUNCTION("""COMPUTED_VALUE"""),44677)</f>
        <v>44677</v>
      </c>
      <c r="N985" s="6" t="str">
        <f ca="1">IFERROR(__xludf.DUMMYFUNCTION("""COMPUTED_VALUE"""),"T10")</f>
        <v>T10</v>
      </c>
      <c r="O985" s="97">
        <f ca="1">IFERROR(__xludf.DUMMYFUNCTION("""COMPUTED_VALUE"""),44677)</f>
        <v>44677</v>
      </c>
      <c r="P985" s="6" t="str">
        <f ca="1">IFERROR(__xludf.DUMMYFUNCTION("""COMPUTED_VALUE"""),"CSTM_D7JNLP5J3R")</f>
        <v>CSTM_D7JNLP5J3R</v>
      </c>
      <c r="Q985" s="6" t="str">
        <f ca="1">IFERROR(__xludf.DUMMYFUNCTION("""COMPUTED_VALUE"""),"Reference by tej.lalge@gmail.com")</f>
        <v>Reference by tej.lalge@gmail.com</v>
      </c>
      <c r="R985" s="6" t="str">
        <f ca="1">IFERROR(__xludf.DUMMYFUNCTION("""COMPUTED_VALUE"""),"Pending")</f>
        <v>Pending</v>
      </c>
      <c r="S985" s="6" t="str">
        <f ca="1">IFERROR(__xludf.DUMMYFUNCTION("""COMPUTED_VALUE"""),"Category")</f>
        <v>Category</v>
      </c>
      <c r="T985" s="6"/>
      <c r="U985" s="6"/>
      <c r="V985" s="6"/>
      <c r="W985" s="6"/>
      <c r="X985" s="6"/>
      <c r="Y985" s="6"/>
      <c r="Z985" s="6"/>
      <c r="AA985" s="6"/>
      <c r="AB985" s="6"/>
      <c r="AC985" s="6"/>
      <c r="AD985" s="6"/>
      <c r="AE985" s="6"/>
      <c r="AF985" s="6"/>
      <c r="AG985" s="6"/>
      <c r="AH985" s="6"/>
      <c r="AI985" s="6"/>
      <c r="AJ985" s="6"/>
      <c r="AK985" s="6"/>
      <c r="AL985" s="6"/>
    </row>
    <row r="986" spans="1:38">
      <c r="A986" s="96">
        <f ca="1">IFERROR(__xludf.DUMMYFUNCTION("""COMPUTED_VALUE"""),44677)</f>
        <v>44677</v>
      </c>
      <c r="B986" s="6" t="str">
        <f ca="1">IFERROR(__xludf.DUMMYFUNCTION("""COMPUTED_VALUE"""),"Sambit Bhattacharya")</f>
        <v>Sambit Bhattacharya</v>
      </c>
      <c r="C986" s="6" t="str">
        <f ca="1">IFERROR(__xludf.DUMMYFUNCTION("""COMPUTED_VALUE"""),"sambit.bhattacharya1@gmail.com")</f>
        <v>sambit.bhattacharya1@gmail.com</v>
      </c>
      <c r="D986" s="6">
        <f ca="1">IFERROR(__xludf.DUMMYFUNCTION("""COMPUTED_VALUE"""),9830761463)</f>
        <v>9830761463</v>
      </c>
      <c r="E986" s="6" t="str">
        <f ca="1">IFERROR(__xludf.DUMMYFUNCTION("""COMPUTED_VALUE"""),"course agenda")</f>
        <v>course agenda</v>
      </c>
      <c r="F986" s="6" t="str">
        <f ca="1">IFERROR(__xludf.DUMMYFUNCTION("""COMPUTED_VALUE"""),"PSPO")</f>
        <v>PSPO</v>
      </c>
      <c r="G986" s="80">
        <f ca="1">IFERROR(__xludf.DUMMYFUNCTION("""COMPUTED_VALUE"""),44652)</f>
        <v>44652</v>
      </c>
      <c r="H986" s="6" t="str">
        <f ca="1">IFERROR(__xludf.DUMMYFUNCTION("""COMPUTED_VALUE"""),"Won")</f>
        <v>Won</v>
      </c>
      <c r="I986" s="6" t="str">
        <f ca="1">IFERROR(__xludf.DUMMYFUNCTION("""COMPUTED_VALUE"""),"7-8 May 2022")</f>
        <v>7-8 May 2022</v>
      </c>
      <c r="J986" s="6">
        <f ca="1">IFERROR(__xludf.DUMMYFUNCTION("""COMPUTED_VALUE"""),1)</f>
        <v>1</v>
      </c>
      <c r="K986" s="8">
        <f ca="1">IFERROR(__xludf.DUMMYFUNCTION("""COMPUTED_VALUE"""),21000)</f>
        <v>21000</v>
      </c>
      <c r="L986" s="8">
        <f ca="1">IFERROR(__xludf.DUMMYFUNCTION("""COMPUTED_VALUE"""),240.494732020155)</f>
        <v>240.494732020155</v>
      </c>
      <c r="M986" s="96">
        <f ca="1">IFERROR(__xludf.DUMMYFUNCTION("""COMPUTED_VALUE"""),44677)</f>
        <v>44677</v>
      </c>
      <c r="N986" s="6" t="str">
        <f ca="1">IFERROR(__xludf.DUMMYFUNCTION("""COMPUTED_VALUE"""),"T10")</f>
        <v>T10</v>
      </c>
      <c r="O986" s="97">
        <f ca="1">IFERROR(__xludf.DUMMYFUNCTION("""COMPUTED_VALUE"""),44677)</f>
        <v>44677</v>
      </c>
      <c r="P986" s="6" t="str">
        <f ca="1">IFERROR(__xludf.DUMMYFUNCTION("""COMPUTED_VALUE"""),"CSTM_2GQEHOBK96U")</f>
        <v>CSTM_2GQEHOBK96U</v>
      </c>
      <c r="Q986" s="6"/>
      <c r="R986" s="6" t="str">
        <f ca="1">IFERROR(__xludf.DUMMYFUNCTION("""COMPUTED_VALUE"""),"Pending")</f>
        <v>Pending</v>
      </c>
      <c r="S986" s="6" t="str">
        <f ca="1">IFERROR(__xludf.DUMMYFUNCTION("""COMPUTED_VALUE"""),"Category")</f>
        <v>Category</v>
      </c>
      <c r="T986" s="6"/>
      <c r="U986" s="6"/>
      <c r="V986" s="6"/>
      <c r="W986" s="6"/>
      <c r="X986" s="6"/>
      <c r="Y986" s="6"/>
      <c r="Z986" s="6"/>
      <c r="AA986" s="6"/>
      <c r="AB986" s="6"/>
      <c r="AC986" s="6"/>
      <c r="AD986" s="6"/>
      <c r="AE986" s="6"/>
      <c r="AF986" s="6"/>
      <c r="AG986" s="6"/>
      <c r="AH986" s="6"/>
      <c r="AI986" s="6"/>
      <c r="AJ986" s="6"/>
      <c r="AK986" s="6"/>
      <c r="AL986" s="6"/>
    </row>
    <row r="987" spans="1:38">
      <c r="A987" s="96">
        <f ca="1">IFERROR(__xludf.DUMMYFUNCTION("""COMPUTED_VALUE"""),44677)</f>
        <v>44677</v>
      </c>
      <c r="B987" s="6" t="str">
        <f ca="1">IFERROR(__xludf.DUMMYFUNCTION("""COMPUTED_VALUE"""),"Priyanka Sharma")</f>
        <v>Priyanka Sharma</v>
      </c>
      <c r="C987" s="6" t="str">
        <f ca="1">IFERROR(__xludf.DUMMYFUNCTION("""COMPUTED_VALUE"""),"priyanka19sharma@gmail.com")</f>
        <v>priyanka19sharma@gmail.com</v>
      </c>
      <c r="D987" s="6">
        <f ca="1">IFERROR(__xludf.DUMMYFUNCTION("""COMPUTED_VALUE"""),9810228884)</f>
        <v>9810228884</v>
      </c>
      <c r="E987" s="6" t="str">
        <f ca="1">IFERROR(__xludf.DUMMYFUNCTION("""COMPUTED_VALUE"""),"Query box")</f>
        <v>Query box</v>
      </c>
      <c r="F987" s="6" t="str">
        <f ca="1">IFERROR(__xludf.DUMMYFUNCTION("""COMPUTED_VALUE"""),"SAFe Agile")</f>
        <v>SAFe Agile</v>
      </c>
      <c r="G987" s="80">
        <f ca="1">IFERROR(__xludf.DUMMYFUNCTION("""COMPUTED_VALUE"""),44652)</f>
        <v>44652</v>
      </c>
      <c r="H987" s="6" t="str">
        <f ca="1">IFERROR(__xludf.DUMMYFUNCTION("""COMPUTED_VALUE"""),"Won")</f>
        <v>Won</v>
      </c>
      <c r="I987" s="6" t="str">
        <f ca="1">IFERROR(__xludf.DUMMYFUNCTION("""COMPUTED_VALUE"""),"30 April - 1 May 2022")</f>
        <v>30 April - 1 May 2022</v>
      </c>
      <c r="J987" s="6">
        <f ca="1">IFERROR(__xludf.DUMMYFUNCTION("""COMPUTED_VALUE"""),1)</f>
        <v>1</v>
      </c>
      <c r="K987" s="8">
        <f ca="1">IFERROR(__xludf.DUMMYFUNCTION("""COMPUTED_VALUE"""),42000)</f>
        <v>42000</v>
      </c>
      <c r="L987" s="8">
        <f ca="1">IFERROR(__xludf.DUMMYFUNCTION("""COMPUTED_VALUE"""),480.989464040311)</f>
        <v>480.98946404031102</v>
      </c>
      <c r="M987" s="96">
        <f ca="1">IFERROR(__xludf.DUMMYFUNCTION("""COMPUTED_VALUE"""),44677)</f>
        <v>44677</v>
      </c>
      <c r="N987" s="6" t="str">
        <f ca="1">IFERROR(__xludf.DUMMYFUNCTION("""COMPUTED_VALUE"""),"T10")</f>
        <v>T10</v>
      </c>
      <c r="O987" s="97">
        <f ca="1">IFERROR(__xludf.DUMMYFUNCTION("""COMPUTED_VALUE"""),44678)</f>
        <v>44678</v>
      </c>
      <c r="P987" s="6" t="str">
        <f ca="1">IFERROR(__xludf.DUMMYFUNCTION("""COMPUTED_VALUE"""),"CSTM_8FMFRN34G3K")</f>
        <v>CSTM_8FMFRN34G3K</v>
      </c>
      <c r="Q987" s="6"/>
      <c r="R987" s="6" t="str">
        <f ca="1">IFERROR(__xludf.DUMMYFUNCTION("""COMPUTED_VALUE"""),"Pending")</f>
        <v>Pending</v>
      </c>
      <c r="S987" s="6" t="str">
        <f ca="1">IFERROR(__xludf.DUMMYFUNCTION("""COMPUTED_VALUE"""),"SAFe")</f>
        <v>SAFe</v>
      </c>
      <c r="T987" s="6"/>
      <c r="U987" s="6"/>
      <c r="V987" s="6"/>
      <c r="W987" s="6"/>
      <c r="X987" s="6"/>
      <c r="Y987" s="6"/>
      <c r="Z987" s="6"/>
      <c r="AA987" s="6"/>
      <c r="AB987" s="6"/>
      <c r="AC987" s="6"/>
      <c r="AD987" s="6"/>
      <c r="AE987" s="6"/>
      <c r="AF987" s="6"/>
      <c r="AG987" s="6"/>
      <c r="AH987" s="6"/>
      <c r="AI987" s="6"/>
      <c r="AJ987" s="6"/>
      <c r="AK987" s="6"/>
      <c r="AL987" s="6"/>
    </row>
    <row r="988" spans="1:38">
      <c r="A988" s="96">
        <f ca="1">IFERROR(__xludf.DUMMYFUNCTION("""COMPUTED_VALUE"""),44677)</f>
        <v>44677</v>
      </c>
      <c r="B988" s="6" t="str">
        <f ca="1">IFERROR(__xludf.DUMMYFUNCTION("""COMPUTED_VALUE"""),"Hemant Nagalkor")</f>
        <v>Hemant Nagalkor</v>
      </c>
      <c r="C988" s="6" t="str">
        <f ca="1">IFERROR(__xludf.DUMMYFUNCTION("""COMPUTED_VALUE"""),"pgp13033.hemant@iimrpralumni.ac.in")</f>
        <v>pgp13033.hemant@iimrpralumni.ac.in</v>
      </c>
      <c r="D988" s="6">
        <f ca="1">IFERROR(__xludf.DUMMYFUNCTION("""COMPUTED_VALUE"""),9168605001)</f>
        <v>9168605001</v>
      </c>
      <c r="E988" s="6" t="str">
        <f ca="1">IFERROR(__xludf.DUMMYFUNCTION("""COMPUTED_VALUE"""),"Reference")</f>
        <v>Reference</v>
      </c>
      <c r="F988" s="6" t="str">
        <f ca="1">IFERROR(__xludf.DUMMYFUNCTION("""COMPUTED_VALUE"""),"SAFe POPM")</f>
        <v>SAFe POPM</v>
      </c>
      <c r="G988" s="80">
        <f ca="1">IFERROR(__xludf.DUMMYFUNCTION("""COMPUTED_VALUE"""),44652)</f>
        <v>44652</v>
      </c>
      <c r="H988" s="6" t="str">
        <f ca="1">IFERROR(__xludf.DUMMYFUNCTION("""COMPUTED_VALUE"""),"Won")</f>
        <v>Won</v>
      </c>
      <c r="I988" s="6" t="str">
        <f ca="1">IFERROR(__xludf.DUMMYFUNCTION("""COMPUTED_VALUE"""),"7-8 May 2022")</f>
        <v>7-8 May 2022</v>
      </c>
      <c r="J988" s="6">
        <f ca="1">IFERROR(__xludf.DUMMYFUNCTION("""COMPUTED_VALUE"""),1)</f>
        <v>1</v>
      </c>
      <c r="K988" s="8">
        <f ca="1">IFERROR(__xludf.DUMMYFUNCTION("""COMPUTED_VALUE"""),40061)</f>
        <v>40061</v>
      </c>
      <c r="L988" s="8">
        <f ca="1">IFERROR(__xludf.DUMMYFUNCTION("""COMPUTED_VALUE"""),458.783783783783)</f>
        <v>458.78378378378301</v>
      </c>
      <c r="M988" s="96">
        <f ca="1">IFERROR(__xludf.DUMMYFUNCTION("""COMPUTED_VALUE"""),44677)</f>
        <v>44677</v>
      </c>
      <c r="N988" s="6" t="str">
        <f ca="1">IFERROR(__xludf.DUMMYFUNCTION("""COMPUTED_VALUE"""),"T10")</f>
        <v>T10</v>
      </c>
      <c r="O988" s="97">
        <f ca="1">IFERROR(__xludf.DUMMYFUNCTION("""COMPUTED_VALUE"""),44677)</f>
        <v>44677</v>
      </c>
      <c r="P988" s="6" t="str">
        <f ca="1">IFERROR(__xludf.DUMMYFUNCTION("""COMPUTED_VALUE"""),"CSTM_I09K4ZZSYMT")</f>
        <v>CSTM_I09K4ZZSYMT</v>
      </c>
      <c r="Q988" s="6" t="str">
        <f ca="1">IFERROR(__xludf.DUMMYFUNCTION("""COMPUTED_VALUE"""),"Reference by rrohinibhagwat@gmail.com")</f>
        <v>Reference by rrohinibhagwat@gmail.com</v>
      </c>
      <c r="R988" s="6" t="str">
        <f ca="1">IFERROR(__xludf.DUMMYFUNCTION("""COMPUTED_VALUE"""),"Pending")</f>
        <v>Pending</v>
      </c>
      <c r="S988" s="6" t="str">
        <f ca="1">IFERROR(__xludf.DUMMYFUNCTION("""COMPUTED_VALUE"""),"SAFe")</f>
        <v>SAFe</v>
      </c>
      <c r="T988" s="6"/>
      <c r="U988" s="6"/>
      <c r="V988" s="6"/>
      <c r="W988" s="6"/>
      <c r="X988" s="6"/>
      <c r="Y988" s="6"/>
      <c r="Z988" s="6"/>
      <c r="AA988" s="6"/>
      <c r="AB988" s="6"/>
      <c r="AC988" s="6"/>
      <c r="AD988" s="6"/>
      <c r="AE988" s="6"/>
      <c r="AF988" s="6"/>
      <c r="AG988" s="6"/>
      <c r="AH988" s="6"/>
      <c r="AI988" s="6"/>
      <c r="AJ988" s="6"/>
      <c r="AK988" s="6"/>
      <c r="AL988" s="6"/>
    </row>
    <row r="989" spans="1:38">
      <c r="A989" s="96">
        <f ca="1">IFERROR(__xludf.DUMMYFUNCTION("""COMPUTED_VALUE"""),44677)</f>
        <v>44677</v>
      </c>
      <c r="B989" s="6" t="str">
        <f ca="1">IFERROR(__xludf.DUMMYFUNCTION("""COMPUTED_VALUE"""),"Gopal Krishna")</f>
        <v>Gopal Krishna</v>
      </c>
      <c r="C989" s="6" t="str">
        <f ca="1">IFERROR(__xludf.DUMMYFUNCTION("""COMPUTED_VALUE"""),"bgkshenoy@gmail.com")</f>
        <v>bgkshenoy@gmail.com</v>
      </c>
      <c r="D989" s="6">
        <f ca="1">IFERROR(__xludf.DUMMYFUNCTION("""COMPUTED_VALUE"""),9884783670)</f>
        <v>9884783670</v>
      </c>
      <c r="E989" s="6" t="str">
        <f ca="1">IFERROR(__xludf.DUMMYFUNCTION("""COMPUTED_VALUE"""),"Query box")</f>
        <v>Query box</v>
      </c>
      <c r="F989" s="6" t="str">
        <f ca="1">IFERROR(__xludf.DUMMYFUNCTION("""COMPUTED_VALUE"""),"PSM")</f>
        <v>PSM</v>
      </c>
      <c r="G989" s="80">
        <f ca="1">IFERROR(__xludf.DUMMYFUNCTION("""COMPUTED_VALUE"""),44652)</f>
        <v>44652</v>
      </c>
      <c r="H989" s="6" t="str">
        <f ca="1">IFERROR(__xludf.DUMMYFUNCTION("""COMPUTED_VALUE"""),"Won")</f>
        <v>Won</v>
      </c>
      <c r="I989" s="6" t="str">
        <f ca="1">IFERROR(__xludf.DUMMYFUNCTION("""COMPUTED_VALUE"""),"21-22 May 2022")</f>
        <v>21-22 May 2022</v>
      </c>
      <c r="J989" s="6">
        <f ca="1">IFERROR(__xludf.DUMMYFUNCTION("""COMPUTED_VALUE"""),1)</f>
        <v>1</v>
      </c>
      <c r="K989" s="8">
        <f ca="1">IFERROR(__xludf.DUMMYFUNCTION("""COMPUTED_VALUE"""),21000)</f>
        <v>21000</v>
      </c>
      <c r="L989" s="8">
        <f ca="1">IFERROR(__xludf.DUMMYFUNCTION("""COMPUTED_VALUE"""),240.494732020155)</f>
        <v>240.494732020155</v>
      </c>
      <c r="M989" s="96">
        <f ca="1">IFERROR(__xludf.DUMMYFUNCTION("""COMPUTED_VALUE"""),44677)</f>
        <v>44677</v>
      </c>
      <c r="N989" s="6" t="str">
        <f ca="1">IFERROR(__xludf.DUMMYFUNCTION("""COMPUTED_VALUE"""),"T10")</f>
        <v>T10</v>
      </c>
      <c r="O989" s="97">
        <f ca="1">IFERROR(__xludf.DUMMYFUNCTION("""COMPUTED_VALUE"""),44677)</f>
        <v>44677</v>
      </c>
      <c r="P989" s="6" t="str">
        <f ca="1">IFERROR(__xludf.DUMMYFUNCTION("""COMPUTED_VALUE"""),"CSTM_865ETK02N1Y")</f>
        <v>CSTM_865ETK02N1Y</v>
      </c>
      <c r="Q989" s="6"/>
      <c r="R989" s="6" t="str">
        <f ca="1">IFERROR(__xludf.DUMMYFUNCTION("""COMPUTED_VALUE"""),"Pending")</f>
        <v>Pending</v>
      </c>
      <c r="S989" s="6" t="str">
        <f ca="1">IFERROR(__xludf.DUMMYFUNCTION("""COMPUTED_VALUE"""),"Category")</f>
        <v>Category</v>
      </c>
      <c r="T989" s="6"/>
      <c r="U989" s="6"/>
      <c r="V989" s="6"/>
      <c r="W989" s="6"/>
      <c r="X989" s="6"/>
      <c r="Y989" s="6"/>
      <c r="Z989" s="6"/>
      <c r="AA989" s="6"/>
      <c r="AB989" s="6"/>
      <c r="AC989" s="6"/>
      <c r="AD989" s="6"/>
      <c r="AE989" s="6"/>
      <c r="AF989" s="6"/>
      <c r="AG989" s="6"/>
      <c r="AH989" s="6"/>
      <c r="AI989" s="6"/>
      <c r="AJ989" s="6"/>
      <c r="AK989" s="6"/>
      <c r="AL989" s="6"/>
    </row>
    <row r="990" spans="1:38">
      <c r="A990" s="96">
        <f ca="1">IFERROR(__xludf.DUMMYFUNCTION("""COMPUTED_VALUE"""),44678)</f>
        <v>44678</v>
      </c>
      <c r="B990" s="6" t="str">
        <f ca="1">IFERROR(__xludf.DUMMYFUNCTION("""COMPUTED_VALUE"""),"Roopam Thakur")</f>
        <v>Roopam Thakur</v>
      </c>
      <c r="C990" s="6" t="str">
        <f ca="1">IFERROR(__xludf.DUMMYFUNCTION("""COMPUTED_VALUE"""),"roopam_thakur@yahoo.com")</f>
        <v>roopam_thakur@yahoo.com</v>
      </c>
      <c r="D990" s="6">
        <f ca="1">IFERROR(__xludf.DUMMYFUNCTION("""COMPUTED_VALUE"""),9819971130)</f>
        <v>9819971130</v>
      </c>
      <c r="E990" s="6" t="str">
        <f ca="1">IFERROR(__xludf.DUMMYFUNCTION("""COMPUTED_VALUE"""),"Reference")</f>
        <v>Reference</v>
      </c>
      <c r="F990" s="6" t="str">
        <f ca="1">IFERROR(__xludf.DUMMYFUNCTION("""COMPUTED_VALUE"""),"PSM")</f>
        <v>PSM</v>
      </c>
      <c r="G990" s="80">
        <f ca="1">IFERROR(__xludf.DUMMYFUNCTION("""COMPUTED_VALUE"""),44652)</f>
        <v>44652</v>
      </c>
      <c r="H990" s="6" t="str">
        <f ca="1">IFERROR(__xludf.DUMMYFUNCTION("""COMPUTED_VALUE"""),"Won")</f>
        <v>Won</v>
      </c>
      <c r="I990" s="6" t="str">
        <f ca="1">IFERROR(__xludf.DUMMYFUNCTION("""COMPUTED_VALUE"""),"30 April - 1 May 2022")</f>
        <v>30 April - 1 May 2022</v>
      </c>
      <c r="J990" s="6">
        <f ca="1">IFERROR(__xludf.DUMMYFUNCTION("""COMPUTED_VALUE"""),1)</f>
        <v>1</v>
      </c>
      <c r="K990" s="8">
        <f ca="1">IFERROR(__xludf.DUMMYFUNCTION("""COMPUTED_VALUE"""),21000)</f>
        <v>21000</v>
      </c>
      <c r="L990" s="8">
        <f ca="1">IFERROR(__xludf.DUMMYFUNCTION("""COMPUTED_VALUE"""),240.494732020155)</f>
        <v>240.494732020155</v>
      </c>
      <c r="M990" s="96">
        <f ca="1">IFERROR(__xludf.DUMMYFUNCTION("""COMPUTED_VALUE"""),44678)</f>
        <v>44678</v>
      </c>
      <c r="N990" s="6" t="str">
        <f ca="1">IFERROR(__xludf.DUMMYFUNCTION("""COMPUTED_VALUE"""),"T10")</f>
        <v>T10</v>
      </c>
      <c r="O990" s="97">
        <f ca="1">IFERROR(__xludf.DUMMYFUNCTION("""COMPUTED_VALUE"""),44678)</f>
        <v>44678</v>
      </c>
      <c r="P990" s="6" t="str">
        <f ca="1">IFERROR(__xludf.DUMMYFUNCTION("""COMPUTED_VALUE"""),"CSTM_B6WS78P9P4J")</f>
        <v>CSTM_B6WS78P9P4J</v>
      </c>
      <c r="Q990" s="6" t="str">
        <f ca="1">IFERROR(__xludf.DUMMYFUNCTION("""COMPUTED_VALUE"""),"Reference by jignesh.shah@capgemini.com")</f>
        <v>Reference by jignesh.shah@capgemini.com</v>
      </c>
      <c r="R990" s="6" t="str">
        <f ca="1">IFERROR(__xludf.DUMMYFUNCTION("""COMPUTED_VALUE"""),"Pending")</f>
        <v>Pending</v>
      </c>
      <c r="S990" s="6" t="str">
        <f ca="1">IFERROR(__xludf.DUMMYFUNCTION("""COMPUTED_VALUE"""),"Category")</f>
        <v>Category</v>
      </c>
      <c r="T990" s="6"/>
      <c r="U990" s="6"/>
      <c r="V990" s="6"/>
      <c r="W990" s="6"/>
      <c r="X990" s="6"/>
      <c r="Y990" s="6"/>
      <c r="Z990" s="6"/>
      <c r="AA990" s="6"/>
      <c r="AB990" s="6"/>
      <c r="AC990" s="6"/>
      <c r="AD990" s="6"/>
      <c r="AE990" s="6"/>
      <c r="AF990" s="6"/>
      <c r="AG990" s="6"/>
      <c r="AH990" s="6"/>
      <c r="AI990" s="6"/>
      <c r="AJ990" s="6"/>
      <c r="AK990" s="6"/>
      <c r="AL990" s="6"/>
    </row>
    <row r="991" spans="1:38">
      <c r="A991" s="96">
        <f ca="1">IFERROR(__xludf.DUMMYFUNCTION("""COMPUTED_VALUE"""),44678)</f>
        <v>44678</v>
      </c>
      <c r="B991" s="6" t="str">
        <f ca="1">IFERROR(__xludf.DUMMYFUNCTION("""COMPUTED_VALUE"""),"Praveen Nair")</f>
        <v>Praveen Nair</v>
      </c>
      <c r="C991" s="6" t="str">
        <f ca="1">IFERROR(__xludf.DUMMYFUNCTION("""COMPUTED_VALUE"""),"praveen.nair86@gmail.com")</f>
        <v>praveen.nair86@gmail.com</v>
      </c>
      <c r="D991" s="6">
        <f ca="1">IFERROR(__xludf.DUMMYFUNCTION("""COMPUTED_VALUE"""),9652911644)</f>
        <v>9652911644</v>
      </c>
      <c r="E991" s="6" t="str">
        <f ca="1">IFERROR(__xludf.DUMMYFUNCTION("""COMPUTED_VALUE"""),"Existing Account")</f>
        <v>Existing Account</v>
      </c>
      <c r="F991" s="6" t="str">
        <f ca="1">IFERROR(__xludf.DUMMYFUNCTION("""COMPUTED_VALUE"""),"SAFe Agile")</f>
        <v>SAFe Agile</v>
      </c>
      <c r="G991" s="80">
        <f ca="1">IFERROR(__xludf.DUMMYFUNCTION("""COMPUTED_VALUE"""),44652)</f>
        <v>44652</v>
      </c>
      <c r="H991" s="6" t="str">
        <f ca="1">IFERROR(__xludf.DUMMYFUNCTION("""COMPUTED_VALUE"""),"Won")</f>
        <v>Won</v>
      </c>
      <c r="I991" s="6" t="str">
        <f ca="1">IFERROR(__xludf.DUMMYFUNCTION("""COMPUTED_VALUE"""),"30 April - 1 May 2022")</f>
        <v>30 April - 1 May 2022</v>
      </c>
      <c r="J991" s="6">
        <f ca="1">IFERROR(__xludf.DUMMYFUNCTION("""COMPUTED_VALUE"""),1)</f>
        <v>1</v>
      </c>
      <c r="K991" s="8">
        <f ca="1">IFERROR(__xludf.DUMMYFUNCTION("""COMPUTED_VALUE"""),42000)</f>
        <v>42000</v>
      </c>
      <c r="L991" s="8">
        <f ca="1">IFERROR(__xludf.DUMMYFUNCTION("""COMPUTED_VALUE"""),480.989464040311)</f>
        <v>480.98946404031102</v>
      </c>
      <c r="M991" s="96">
        <f ca="1">IFERROR(__xludf.DUMMYFUNCTION("""COMPUTED_VALUE"""),44678)</f>
        <v>44678</v>
      </c>
      <c r="N991" s="6" t="str">
        <f ca="1">IFERROR(__xludf.DUMMYFUNCTION("""COMPUTED_VALUE"""),"T10")</f>
        <v>T10</v>
      </c>
      <c r="O991" s="97">
        <f ca="1">IFERROR(__xludf.DUMMYFUNCTION("""COMPUTED_VALUE"""),44678)</f>
        <v>44678</v>
      </c>
      <c r="P991" s="6" t="str">
        <f ca="1">IFERROR(__xludf.DUMMYFUNCTION("""COMPUTED_VALUE"""),"CSTM_8DTQNLOD88H")</f>
        <v>CSTM_8DTQNLOD88H</v>
      </c>
      <c r="Q991" s="6" t="str">
        <f ca="1">IFERROR(__xludf.DUMMYFUNCTION("""COMPUTED_VALUE"""),"Reference by Rajesh Kori")</f>
        <v>Reference by Rajesh Kori</v>
      </c>
      <c r="R991" s="6" t="str">
        <f ca="1">IFERROR(__xludf.DUMMYFUNCTION("""COMPUTED_VALUE"""),"Pending")</f>
        <v>Pending</v>
      </c>
      <c r="S991" s="6" t="str">
        <f ca="1">IFERROR(__xludf.DUMMYFUNCTION("""COMPUTED_VALUE"""),"SAFe")</f>
        <v>SAFe</v>
      </c>
      <c r="T991" s="6"/>
      <c r="U991" s="6"/>
      <c r="V991" s="6"/>
      <c r="W991" s="6"/>
      <c r="X991" s="6"/>
      <c r="Y991" s="6"/>
      <c r="Z991" s="6"/>
      <c r="AA991" s="6"/>
      <c r="AB991" s="6"/>
      <c r="AC991" s="6"/>
      <c r="AD991" s="6"/>
      <c r="AE991" s="6"/>
      <c r="AF991" s="6"/>
      <c r="AG991" s="6"/>
      <c r="AH991" s="6"/>
      <c r="AI991" s="6"/>
      <c r="AJ991" s="6"/>
      <c r="AK991" s="6"/>
      <c r="AL991" s="6"/>
    </row>
    <row r="992" spans="1:38">
      <c r="A992" s="96">
        <f ca="1">IFERROR(__xludf.DUMMYFUNCTION("""COMPUTED_VALUE"""),44679)</f>
        <v>44679</v>
      </c>
      <c r="B992" s="6" t="str">
        <f ca="1">IFERROR(__xludf.DUMMYFUNCTION("""COMPUTED_VALUE"""),"Sweta Chhwani")</f>
        <v>Sweta Chhwani</v>
      </c>
      <c r="C992" s="6" t="str">
        <f ca="1">IFERROR(__xludf.DUMMYFUNCTION("""COMPUTED_VALUE"""),"swetalachhwani@gmail.com")</f>
        <v>swetalachhwani@gmail.com</v>
      </c>
      <c r="D992" s="6">
        <f ca="1">IFERROR(__xludf.DUMMYFUNCTION("""COMPUTED_VALUE"""),8971247925)</f>
        <v>8971247925</v>
      </c>
      <c r="E992" s="6" t="str">
        <f ca="1">IFERROR(__xludf.DUMMYFUNCTION("""COMPUTED_VALUE"""),"chat_initiated")</f>
        <v>chat_initiated</v>
      </c>
      <c r="F992" s="6" t="str">
        <f ca="1">IFERROR(__xludf.DUMMYFUNCTION("""COMPUTED_VALUE"""),"PSM")</f>
        <v>PSM</v>
      </c>
      <c r="G992" s="80">
        <f ca="1">IFERROR(__xludf.DUMMYFUNCTION("""COMPUTED_VALUE"""),44652)</f>
        <v>44652</v>
      </c>
      <c r="H992" s="6" t="str">
        <f ca="1">IFERROR(__xludf.DUMMYFUNCTION("""COMPUTED_VALUE"""),"Won")</f>
        <v>Won</v>
      </c>
      <c r="I992" s="6" t="str">
        <f ca="1">IFERROR(__xludf.DUMMYFUNCTION("""COMPUTED_VALUE"""),"7-8 May 2022")</f>
        <v>7-8 May 2022</v>
      </c>
      <c r="J992" s="6">
        <f ca="1">IFERROR(__xludf.DUMMYFUNCTION("""COMPUTED_VALUE"""),1)</f>
        <v>1</v>
      </c>
      <c r="K992" s="8">
        <f ca="1">IFERROR(__xludf.DUMMYFUNCTION("""COMPUTED_VALUE"""),21000)</f>
        <v>21000</v>
      </c>
      <c r="L992" s="8">
        <f ca="1">IFERROR(__xludf.DUMMYFUNCTION("""COMPUTED_VALUE"""),240.494732020155)</f>
        <v>240.494732020155</v>
      </c>
      <c r="M992" s="96">
        <f ca="1">IFERROR(__xludf.DUMMYFUNCTION("""COMPUTED_VALUE"""),44679)</f>
        <v>44679</v>
      </c>
      <c r="N992" s="6" t="str">
        <f ca="1">IFERROR(__xludf.DUMMYFUNCTION("""COMPUTED_VALUE"""),"T10")</f>
        <v>T10</v>
      </c>
      <c r="O992" s="97">
        <f ca="1">IFERROR(__xludf.DUMMYFUNCTION("""COMPUTED_VALUE"""),44679)</f>
        <v>44679</v>
      </c>
      <c r="P992" s="6" t="str">
        <f ca="1">IFERROR(__xludf.DUMMYFUNCTION("""COMPUTED_VALUE"""),"CSTM_FQIZMJVVW92")</f>
        <v>CSTM_FQIZMJVVW92</v>
      </c>
      <c r="Q992" s="6"/>
      <c r="R992" s="6" t="str">
        <f ca="1">IFERROR(__xludf.DUMMYFUNCTION("""COMPUTED_VALUE"""),"Pending")</f>
        <v>Pending</v>
      </c>
      <c r="S992" s="6" t="str">
        <f ca="1">IFERROR(__xludf.DUMMYFUNCTION("""COMPUTED_VALUE"""),"Category")</f>
        <v>Category</v>
      </c>
      <c r="T992" s="6"/>
      <c r="U992" s="6"/>
      <c r="V992" s="6"/>
      <c r="W992" s="6"/>
      <c r="X992" s="6"/>
      <c r="Y992" s="6"/>
      <c r="Z992" s="6"/>
      <c r="AA992" s="6"/>
      <c r="AB992" s="6"/>
      <c r="AC992" s="6"/>
      <c r="AD992" s="6"/>
      <c r="AE992" s="6"/>
      <c r="AF992" s="6"/>
      <c r="AG992" s="6"/>
      <c r="AH992" s="6"/>
      <c r="AI992" s="6"/>
      <c r="AJ992" s="6"/>
      <c r="AK992" s="6"/>
      <c r="AL992" s="6"/>
    </row>
    <row r="993" spans="1:38">
      <c r="A993" s="96">
        <f ca="1">IFERROR(__xludf.DUMMYFUNCTION("""COMPUTED_VALUE"""),44679)</f>
        <v>44679</v>
      </c>
      <c r="B993" s="6" t="str">
        <f ca="1">IFERROR(__xludf.DUMMYFUNCTION("""COMPUTED_VALUE"""),"Vidya Aadhav")</f>
        <v>Vidya Aadhav</v>
      </c>
      <c r="C993" s="6" t="str">
        <f ca="1">IFERROR(__xludf.DUMMYFUNCTION("""COMPUTED_VALUE"""),"vidyaadhav77@gmail.com")</f>
        <v>vidyaadhav77@gmail.com</v>
      </c>
      <c r="D993" s="6">
        <f ca="1">IFERROR(__xludf.DUMMYFUNCTION("""COMPUTED_VALUE"""),9146893149)</f>
        <v>9146893149</v>
      </c>
      <c r="E993" s="6" t="str">
        <f ca="1">IFERROR(__xludf.DUMMYFUNCTION("""COMPUTED_VALUE"""),"Request a call")</f>
        <v>Request a call</v>
      </c>
      <c r="F993" s="6" t="str">
        <f ca="1">IFERROR(__xludf.DUMMYFUNCTION("""COMPUTED_VALUE"""),"PSM")</f>
        <v>PSM</v>
      </c>
      <c r="G993" s="80">
        <f ca="1">IFERROR(__xludf.DUMMYFUNCTION("""COMPUTED_VALUE"""),44652)</f>
        <v>44652</v>
      </c>
      <c r="H993" s="6" t="str">
        <f ca="1">IFERROR(__xludf.DUMMYFUNCTION("""COMPUTED_VALUE"""),"Won")</f>
        <v>Won</v>
      </c>
      <c r="I993" s="6" t="str">
        <f ca="1">IFERROR(__xludf.DUMMYFUNCTION("""COMPUTED_VALUE"""),"30 April - 1 May 2022")</f>
        <v>30 April - 1 May 2022</v>
      </c>
      <c r="J993" s="6">
        <f ca="1">IFERROR(__xludf.DUMMYFUNCTION("""COMPUTED_VALUE"""),1)</f>
        <v>1</v>
      </c>
      <c r="K993" s="8">
        <f ca="1">IFERROR(__xludf.DUMMYFUNCTION("""COMPUTED_VALUE"""),21000)</f>
        <v>21000</v>
      </c>
      <c r="L993" s="8">
        <f ca="1">IFERROR(__xludf.DUMMYFUNCTION("""COMPUTED_VALUE"""),240.494732020155)</f>
        <v>240.494732020155</v>
      </c>
      <c r="M993" s="96">
        <f ca="1">IFERROR(__xludf.DUMMYFUNCTION("""COMPUTED_VALUE"""),44679)</f>
        <v>44679</v>
      </c>
      <c r="N993" s="6" t="str">
        <f ca="1">IFERROR(__xludf.DUMMYFUNCTION("""COMPUTED_VALUE"""),"T10")</f>
        <v>T10</v>
      </c>
      <c r="O993" s="97">
        <f ca="1">IFERROR(__xludf.DUMMYFUNCTION("""COMPUTED_VALUE"""),44679)</f>
        <v>44679</v>
      </c>
      <c r="P993" s="6" t="str">
        <f ca="1">IFERROR(__xludf.DUMMYFUNCTION("""COMPUTED_VALUE"""),"CSTM_GXDLINVCRB9")</f>
        <v>CSTM_GXDLINVCRB9</v>
      </c>
      <c r="Q993" s="6"/>
      <c r="R993" s="6" t="str">
        <f ca="1">IFERROR(__xludf.DUMMYFUNCTION("""COMPUTED_VALUE"""),"Pending")</f>
        <v>Pending</v>
      </c>
      <c r="S993" s="6" t="str">
        <f ca="1">IFERROR(__xludf.DUMMYFUNCTION("""COMPUTED_VALUE"""),"Category")</f>
        <v>Category</v>
      </c>
      <c r="T993" s="6"/>
      <c r="U993" s="6"/>
      <c r="V993" s="6"/>
      <c r="W993" s="6"/>
      <c r="X993" s="6"/>
      <c r="Y993" s="6"/>
      <c r="Z993" s="6"/>
      <c r="AA993" s="6"/>
      <c r="AB993" s="6"/>
      <c r="AC993" s="6"/>
      <c r="AD993" s="6"/>
      <c r="AE993" s="6"/>
      <c r="AF993" s="6"/>
      <c r="AG993" s="6"/>
      <c r="AH993" s="6"/>
      <c r="AI993" s="6"/>
      <c r="AJ993" s="6"/>
      <c r="AK993" s="6"/>
      <c r="AL993" s="6"/>
    </row>
    <row r="994" spans="1:38">
      <c r="A994" s="96">
        <f ca="1">IFERROR(__xludf.DUMMYFUNCTION("""COMPUTED_VALUE"""),44679)</f>
        <v>44679</v>
      </c>
      <c r="B994" s="6" t="str">
        <f ca="1">IFERROR(__xludf.DUMMYFUNCTION("""COMPUTED_VALUE"""),"Laksh Razdan")</f>
        <v>Laksh Razdan</v>
      </c>
      <c r="C994" s="6" t="str">
        <f ca="1">IFERROR(__xludf.DUMMYFUNCTION("""COMPUTED_VALUE"""),"laksh_1988@yahoo.co.in")</f>
        <v>laksh_1988@yahoo.co.in</v>
      </c>
      <c r="D994" s="6">
        <f ca="1">IFERROR(__xludf.DUMMYFUNCTION("""COMPUTED_VALUE"""),9893084891)</f>
        <v>9893084891</v>
      </c>
      <c r="E994" s="6" t="str">
        <f ca="1">IFERROR(__xludf.DUMMYFUNCTION("""COMPUTED_VALUE"""),"Query box")</f>
        <v>Query box</v>
      </c>
      <c r="F994" s="6" t="str">
        <f ca="1">IFERROR(__xludf.DUMMYFUNCTION("""COMPUTED_VALUE"""),"CSPO")</f>
        <v>CSPO</v>
      </c>
      <c r="G994" s="80">
        <f ca="1">IFERROR(__xludf.DUMMYFUNCTION("""COMPUTED_VALUE"""),44652)</f>
        <v>44652</v>
      </c>
      <c r="H994" s="6" t="str">
        <f ca="1">IFERROR(__xludf.DUMMYFUNCTION("""COMPUTED_VALUE"""),"Won")</f>
        <v>Won</v>
      </c>
      <c r="I994" s="6" t="str">
        <f ca="1">IFERROR(__xludf.DUMMYFUNCTION("""COMPUTED_VALUE"""),"30 April - 1 May 2022")</f>
        <v>30 April - 1 May 2022</v>
      </c>
      <c r="J994" s="6">
        <f ca="1">IFERROR(__xludf.DUMMYFUNCTION("""COMPUTED_VALUE"""),1)</f>
        <v>1</v>
      </c>
      <c r="K994" s="8">
        <f ca="1">IFERROR(__xludf.DUMMYFUNCTION("""COMPUTED_VALUE"""),20000)</f>
        <v>20000</v>
      </c>
      <c r="L994" s="8">
        <f ca="1">IFERROR(__xludf.DUMMYFUNCTION("""COMPUTED_VALUE"""),229.042601923957)</f>
        <v>229.04260192395699</v>
      </c>
      <c r="M994" s="96">
        <f ca="1">IFERROR(__xludf.DUMMYFUNCTION("""COMPUTED_VALUE"""),44679)</f>
        <v>44679</v>
      </c>
      <c r="N994" s="6" t="str">
        <f ca="1">IFERROR(__xludf.DUMMYFUNCTION("""COMPUTED_VALUE"""),"T10")</f>
        <v>T10</v>
      </c>
      <c r="O994" s="97">
        <f ca="1">IFERROR(__xludf.DUMMYFUNCTION("""COMPUTED_VALUE"""),44680)</f>
        <v>44680</v>
      </c>
      <c r="P994" s="6" t="str">
        <f ca="1">IFERROR(__xludf.DUMMYFUNCTION("""COMPUTED_VALUE"""),"CSTM_AKJ6JMHB1ZL")</f>
        <v>CSTM_AKJ6JMHB1ZL</v>
      </c>
      <c r="Q994" s="6" t="str">
        <f ca="1">IFERROR(__xludf.DUMMYFUNCTION("""COMPUTED_VALUE"""),"Reference by Garima Gupta")</f>
        <v>Reference by Garima Gupta</v>
      </c>
      <c r="R994" s="6" t="str">
        <f ca="1">IFERROR(__xludf.DUMMYFUNCTION("""COMPUTED_VALUE"""),"Pending")</f>
        <v>Pending</v>
      </c>
      <c r="S994" s="6" t="str">
        <f ca="1">IFERROR(__xludf.DUMMYFUNCTION("""COMPUTED_VALUE"""),"Category")</f>
        <v>Category</v>
      </c>
      <c r="T994" s="6"/>
      <c r="U994" s="6"/>
      <c r="V994" s="6"/>
      <c r="W994" s="6"/>
      <c r="X994" s="6"/>
      <c r="Y994" s="6"/>
      <c r="Z994" s="6"/>
      <c r="AA994" s="6"/>
      <c r="AB994" s="6"/>
      <c r="AC994" s="6"/>
      <c r="AD994" s="6"/>
      <c r="AE994" s="6"/>
      <c r="AF994" s="6"/>
      <c r="AG994" s="6"/>
      <c r="AH994" s="6"/>
      <c r="AI994" s="6"/>
      <c r="AJ994" s="6"/>
      <c r="AK994" s="6"/>
      <c r="AL994" s="6"/>
    </row>
    <row r="995" spans="1:38">
      <c r="A995" s="96">
        <f ca="1">IFERROR(__xludf.DUMMYFUNCTION("""COMPUTED_VALUE"""),44680)</f>
        <v>44680</v>
      </c>
      <c r="B995" s="6" t="str">
        <f ca="1">IFERROR(__xludf.DUMMYFUNCTION("""COMPUTED_VALUE"""),"Naveenram Gunasekaran")</f>
        <v>Naveenram Gunasekaran</v>
      </c>
      <c r="C995" s="6" t="str">
        <f ca="1">IFERROR(__xludf.DUMMYFUNCTION("""COMPUTED_VALUE"""),"naveenram.gunasekara@gmail.com")</f>
        <v>naveenram.gunasekara@gmail.com</v>
      </c>
      <c r="D995" s="6">
        <f ca="1">IFERROR(__xludf.DUMMYFUNCTION("""COMPUTED_VALUE"""),9384236185)</f>
        <v>9384236185</v>
      </c>
      <c r="E995" s="6" t="str">
        <f ca="1">IFERROR(__xludf.DUMMYFUNCTION("""COMPUTED_VALUE"""),"chat_initiated")</f>
        <v>chat_initiated</v>
      </c>
      <c r="F995" s="6" t="str">
        <f ca="1">IFERROR(__xludf.DUMMYFUNCTION("""COMPUTED_VALUE"""),"SAFe Agile")</f>
        <v>SAFe Agile</v>
      </c>
      <c r="G995" s="80">
        <f ca="1">IFERROR(__xludf.DUMMYFUNCTION("""COMPUTED_VALUE"""),44652)</f>
        <v>44652</v>
      </c>
      <c r="H995" s="6" t="str">
        <f ca="1">IFERROR(__xludf.DUMMYFUNCTION("""COMPUTED_VALUE"""),"Won")</f>
        <v>Won</v>
      </c>
      <c r="I995" s="6" t="str">
        <f ca="1">IFERROR(__xludf.DUMMYFUNCTION("""COMPUTED_VALUE"""),"30 April - 1 May 2022")</f>
        <v>30 April - 1 May 2022</v>
      </c>
      <c r="J995" s="6">
        <f ca="1">IFERROR(__xludf.DUMMYFUNCTION("""COMPUTED_VALUE"""),1)</f>
        <v>1</v>
      </c>
      <c r="K995" s="8">
        <f ca="1">IFERROR(__xludf.DUMMYFUNCTION("""COMPUTED_VALUE"""),40000)</f>
        <v>40000</v>
      </c>
      <c r="L995" s="8">
        <f ca="1">IFERROR(__xludf.DUMMYFUNCTION("""COMPUTED_VALUE"""),458.085203847915)</f>
        <v>458.08520384791501</v>
      </c>
      <c r="M995" s="96">
        <f ca="1">IFERROR(__xludf.DUMMYFUNCTION("""COMPUTED_VALUE"""),44680)</f>
        <v>44680</v>
      </c>
      <c r="N995" s="6" t="str">
        <f ca="1">IFERROR(__xludf.DUMMYFUNCTION("""COMPUTED_VALUE"""),"T10")</f>
        <v>T10</v>
      </c>
      <c r="O995" s="97">
        <f ca="1">IFERROR(__xludf.DUMMYFUNCTION("""COMPUTED_VALUE"""),44680)</f>
        <v>44680</v>
      </c>
      <c r="P995" s="6" t="str">
        <f ca="1">IFERROR(__xludf.DUMMYFUNCTION("""COMPUTED_VALUE"""),"CSTM_EMOQANH9BWK")</f>
        <v>CSTM_EMOQANH9BWK</v>
      </c>
      <c r="Q995" s="6"/>
      <c r="R995" s="6" t="str">
        <f ca="1">IFERROR(__xludf.DUMMYFUNCTION("""COMPUTED_VALUE"""),"Pending")</f>
        <v>Pending</v>
      </c>
      <c r="S995" s="6" t="str">
        <f ca="1">IFERROR(__xludf.DUMMYFUNCTION("""COMPUTED_VALUE"""),"SAFe")</f>
        <v>SAFe</v>
      </c>
      <c r="T995" s="6"/>
      <c r="U995" s="6"/>
      <c r="V995" s="6"/>
      <c r="W995" s="6"/>
      <c r="X995" s="6"/>
      <c r="Y995" s="6"/>
      <c r="Z995" s="6"/>
      <c r="AA995" s="6"/>
      <c r="AB995" s="6"/>
      <c r="AC995" s="6"/>
      <c r="AD995" s="6"/>
      <c r="AE995" s="6"/>
      <c r="AF995" s="6"/>
      <c r="AG995" s="6"/>
      <c r="AH995" s="6"/>
      <c r="AI995" s="6"/>
      <c r="AJ995" s="6"/>
      <c r="AK995" s="6"/>
      <c r="AL995" s="6"/>
    </row>
    <row r="996" spans="1:38">
      <c r="A996" s="96">
        <f ca="1">IFERROR(__xludf.DUMMYFUNCTION("""COMPUTED_VALUE"""),44681)</f>
        <v>44681</v>
      </c>
      <c r="B996" s="6" t="str">
        <f ca="1">IFERROR(__xludf.DUMMYFUNCTION("""COMPUTED_VALUE"""),"Rashmi")</f>
        <v>Rashmi</v>
      </c>
      <c r="C996" s="6" t="str">
        <f ca="1">IFERROR(__xludf.DUMMYFUNCTION("""COMPUTED_VALUE"""),"rash.bnglr@gmail.com")</f>
        <v>rash.bnglr@gmail.com</v>
      </c>
      <c r="D996" s="6">
        <f ca="1">IFERROR(__xludf.DUMMYFUNCTION("""COMPUTED_VALUE"""),9886991692)</f>
        <v>9886991692</v>
      </c>
      <c r="E996" s="6" t="str">
        <f ca="1">IFERROR(__xludf.DUMMYFUNCTION("""COMPUTED_VALUE"""),"course agenda")</f>
        <v>course agenda</v>
      </c>
      <c r="F996" s="6" t="str">
        <f ca="1">IFERROR(__xludf.DUMMYFUNCTION("""COMPUTED_VALUE"""),"CSM")</f>
        <v>CSM</v>
      </c>
      <c r="G996" s="80">
        <f ca="1">IFERROR(__xludf.DUMMYFUNCTION("""COMPUTED_VALUE"""),44652)</f>
        <v>44652</v>
      </c>
      <c r="H996" s="6" t="str">
        <f ca="1">IFERROR(__xludf.DUMMYFUNCTION("""COMPUTED_VALUE"""),"Won")</f>
        <v>Won</v>
      </c>
      <c r="I996" s="6" t="str">
        <f ca="1">IFERROR(__xludf.DUMMYFUNCTION("""COMPUTED_VALUE"""),"14-15 May 2022")</f>
        <v>14-15 May 2022</v>
      </c>
      <c r="J996" s="6">
        <f ca="1">IFERROR(__xludf.DUMMYFUNCTION("""COMPUTED_VALUE"""),1)</f>
        <v>1</v>
      </c>
      <c r="K996" s="8">
        <f ca="1">IFERROR(__xludf.DUMMYFUNCTION("""COMPUTED_VALUE"""),20000)</f>
        <v>20000</v>
      </c>
      <c r="L996" s="8">
        <f ca="1">IFERROR(__xludf.DUMMYFUNCTION("""COMPUTED_VALUE"""),229.042601923957)</f>
        <v>229.04260192395699</v>
      </c>
      <c r="M996" s="96">
        <f ca="1">IFERROR(__xludf.DUMMYFUNCTION("""COMPUTED_VALUE"""),44681)</f>
        <v>44681</v>
      </c>
      <c r="N996" s="6" t="str">
        <f ca="1">IFERROR(__xludf.DUMMYFUNCTION("""COMPUTED_VALUE"""),"T10")</f>
        <v>T10</v>
      </c>
      <c r="O996" s="97">
        <f ca="1">IFERROR(__xludf.DUMMYFUNCTION("""COMPUTED_VALUE"""),44681)</f>
        <v>44681</v>
      </c>
      <c r="P996" s="6" t="str">
        <f ca="1">IFERROR(__xludf.DUMMYFUNCTION("""COMPUTED_VALUE"""),"CSTM_GPHH2G0JCYI")</f>
        <v>CSTM_GPHH2G0JCYI</v>
      </c>
      <c r="Q996" s="6"/>
      <c r="R996" s="6" t="str">
        <f ca="1">IFERROR(__xludf.DUMMYFUNCTION("""COMPUTED_VALUE"""),"Done. Good feedback.")</f>
        <v>Done. Good feedback.</v>
      </c>
      <c r="S996" s="6" t="str">
        <f ca="1">IFERROR(__xludf.DUMMYFUNCTION("""COMPUTED_VALUE"""),"Category")</f>
        <v>Category</v>
      </c>
      <c r="T996" s="6"/>
      <c r="U996" s="6"/>
      <c r="V996" s="6"/>
      <c r="W996" s="6"/>
      <c r="X996" s="6"/>
      <c r="Y996" s="6"/>
      <c r="Z996" s="6"/>
      <c r="AA996" s="6"/>
      <c r="AB996" s="6"/>
      <c r="AC996" s="6"/>
      <c r="AD996" s="6"/>
      <c r="AE996" s="6"/>
      <c r="AF996" s="6"/>
      <c r="AG996" s="6"/>
      <c r="AH996" s="6"/>
      <c r="AI996" s="6"/>
      <c r="AJ996" s="6"/>
      <c r="AK996" s="6"/>
      <c r="AL996" s="6"/>
    </row>
    <row r="997" spans="1:38">
      <c r="A997" s="96">
        <f ca="1">IFERROR(__xludf.DUMMYFUNCTION("""COMPUTED_VALUE"""),44683)</f>
        <v>44683</v>
      </c>
      <c r="B997" s="6" t="str">
        <f ca="1">IFERROR(__xludf.DUMMYFUNCTION("""COMPUTED_VALUE"""),"Sudhanshu Dabral")</f>
        <v>Sudhanshu Dabral</v>
      </c>
      <c r="C997" s="6" t="str">
        <f ca="1">IFERROR(__xludf.DUMMYFUNCTION("""COMPUTED_VALUE"""),"sudhanshudabral1@gmail.com")</f>
        <v>sudhanshudabral1@gmail.com</v>
      </c>
      <c r="D997" s="6">
        <f ca="1">IFERROR(__xludf.DUMMYFUNCTION("""COMPUTED_VALUE"""),8826628748)</f>
        <v>8826628748</v>
      </c>
      <c r="E997" s="6" t="str">
        <f ca="1">IFERROR(__xludf.DUMMYFUNCTION("""COMPUTED_VALUE"""),"Query box")</f>
        <v>Query box</v>
      </c>
      <c r="F997" s="6" t="str">
        <f ca="1">IFERROR(__xludf.DUMMYFUNCTION("""COMPUTED_VALUE"""),"SAFe POPM")</f>
        <v>SAFe POPM</v>
      </c>
      <c r="G997" s="80">
        <f ca="1">IFERROR(__xludf.DUMMYFUNCTION("""COMPUTED_VALUE"""),44682)</f>
        <v>44682</v>
      </c>
      <c r="H997" s="6" t="str">
        <f ca="1">IFERROR(__xludf.DUMMYFUNCTION("""COMPUTED_VALUE"""),"Won")</f>
        <v>Won</v>
      </c>
      <c r="I997" s="6" t="str">
        <f ca="1">IFERROR(__xludf.DUMMYFUNCTION("""COMPUTED_VALUE"""),"7-8 May 2022")</f>
        <v>7-8 May 2022</v>
      </c>
      <c r="J997" s="6">
        <f ca="1">IFERROR(__xludf.DUMMYFUNCTION("""COMPUTED_VALUE"""),1)</f>
        <v>1</v>
      </c>
      <c r="K997" s="8">
        <f ca="1">IFERROR(__xludf.DUMMYFUNCTION("""COMPUTED_VALUE"""),40061)</f>
        <v>40061</v>
      </c>
      <c r="L997" s="8">
        <f ca="1">IFERROR(__xludf.DUMMYFUNCTION("""COMPUTED_VALUE"""),458.783783783783)</f>
        <v>458.78378378378301</v>
      </c>
      <c r="M997" s="96">
        <f ca="1">IFERROR(__xludf.DUMMYFUNCTION("""COMPUTED_VALUE"""),44683)</f>
        <v>44683</v>
      </c>
      <c r="N997" s="6" t="str">
        <f ca="1">IFERROR(__xludf.DUMMYFUNCTION("""COMPUTED_VALUE"""),"F10")</f>
        <v>F10</v>
      </c>
      <c r="O997" s="97">
        <f ca="1">IFERROR(__xludf.DUMMYFUNCTION("""COMPUTED_VALUE"""),44683)</f>
        <v>44683</v>
      </c>
      <c r="P997" s="6" t="str">
        <f ca="1">IFERROR(__xludf.DUMMYFUNCTION("""COMPUTED_VALUE"""),"CSTM_3L97RFCPRT2")</f>
        <v>CSTM_3L97RFCPRT2</v>
      </c>
      <c r="Q997" s="6"/>
      <c r="R997" s="6" t="str">
        <f ca="1">IFERROR(__xludf.DUMMYFUNCTION("""COMPUTED_VALUE"""),"Pending")</f>
        <v>Pending</v>
      </c>
      <c r="S997" s="6" t="str">
        <f ca="1">IFERROR(__xludf.DUMMYFUNCTION("""COMPUTED_VALUE"""),"SAFe")</f>
        <v>SAFe</v>
      </c>
      <c r="T997" s="6"/>
      <c r="U997" s="6"/>
      <c r="V997" s="6"/>
      <c r="W997" s="6"/>
      <c r="X997" s="6"/>
      <c r="Y997" s="6"/>
      <c r="Z997" s="6"/>
      <c r="AA997" s="6"/>
      <c r="AB997" s="6"/>
      <c r="AC997" s="6"/>
      <c r="AD997" s="6"/>
      <c r="AE997" s="6"/>
      <c r="AF997" s="6"/>
      <c r="AG997" s="6"/>
      <c r="AH997" s="6"/>
      <c r="AI997" s="6"/>
      <c r="AJ997" s="6"/>
      <c r="AK997" s="6"/>
      <c r="AL997" s="6"/>
    </row>
    <row r="998" spans="1:38">
      <c r="A998" s="96">
        <f ca="1">IFERROR(__xludf.DUMMYFUNCTION("""COMPUTED_VALUE"""),44684)</f>
        <v>44684</v>
      </c>
      <c r="B998" s="6" t="str">
        <f ca="1">IFERROR(__xludf.DUMMYFUNCTION("""COMPUTED_VALUE"""),"Shaina Prabhakaran")</f>
        <v>Shaina Prabhakaran</v>
      </c>
      <c r="C998" s="6" t="str">
        <f ca="1">IFERROR(__xludf.DUMMYFUNCTION("""COMPUTED_VALUE"""),"shainamp@gmail.com")</f>
        <v>shainamp@gmail.com</v>
      </c>
      <c r="D998" s="6">
        <f ca="1">IFERROR(__xludf.DUMMYFUNCTION("""COMPUTED_VALUE"""),9449822776)</f>
        <v>9449822776</v>
      </c>
      <c r="E998" s="6" t="str">
        <f ca="1">IFERROR(__xludf.DUMMYFUNCTION("""COMPUTED_VALUE"""),"Reference")</f>
        <v>Reference</v>
      </c>
      <c r="F998" s="6" t="str">
        <f ca="1">IFERROR(__xludf.DUMMYFUNCTION("""COMPUTED_VALUE"""),"PSM")</f>
        <v>PSM</v>
      </c>
      <c r="G998" s="80">
        <f ca="1">IFERROR(__xludf.DUMMYFUNCTION("""COMPUTED_VALUE"""),44682)</f>
        <v>44682</v>
      </c>
      <c r="H998" s="6" t="str">
        <f ca="1">IFERROR(__xludf.DUMMYFUNCTION("""COMPUTED_VALUE"""),"Won")</f>
        <v>Won</v>
      </c>
      <c r="I998" s="6" t="str">
        <f ca="1">IFERROR(__xludf.DUMMYFUNCTION("""COMPUTED_VALUE"""),"28-29 May 2022")</f>
        <v>28-29 May 2022</v>
      </c>
      <c r="J998" s="6">
        <f ca="1">IFERROR(__xludf.DUMMYFUNCTION("""COMPUTED_VALUE"""),1)</f>
        <v>1</v>
      </c>
      <c r="K998" s="8">
        <f ca="1">IFERROR(__xludf.DUMMYFUNCTION("""COMPUTED_VALUE"""),21000)</f>
        <v>21000</v>
      </c>
      <c r="L998" s="8">
        <f ca="1">IFERROR(__xludf.DUMMYFUNCTION("""COMPUTED_VALUE"""),240.494732020155)</f>
        <v>240.494732020155</v>
      </c>
      <c r="M998" s="96">
        <f ca="1">IFERROR(__xludf.DUMMYFUNCTION("""COMPUTED_VALUE"""),44684)</f>
        <v>44684</v>
      </c>
      <c r="N998" s="6" t="str">
        <f ca="1">IFERROR(__xludf.DUMMYFUNCTION("""COMPUTED_VALUE"""),"F10")</f>
        <v>F10</v>
      </c>
      <c r="O998" s="97">
        <f ca="1">IFERROR(__xludf.DUMMYFUNCTION("""COMPUTED_VALUE"""),44684)</f>
        <v>44684</v>
      </c>
      <c r="P998" s="6" t="str">
        <f ca="1">IFERROR(__xludf.DUMMYFUNCTION("""COMPUTED_VALUE"""),"CSTM_DF3MD4BI9SA")</f>
        <v>CSTM_DF3MD4BI9SA</v>
      </c>
      <c r="Q998" s="6" t="str">
        <f ca="1">IFERROR(__xludf.DUMMYFUNCTION("""COMPUTED_VALUE"""),"Keerti - Pending")</f>
        <v>Keerti - Pending</v>
      </c>
      <c r="R998" s="6" t="str">
        <f ca="1">IFERROR(__xludf.DUMMYFUNCTION("""COMPUTED_VALUE"""),"Pending")</f>
        <v>Pending</v>
      </c>
      <c r="S998" s="6" t="str">
        <f ca="1">IFERROR(__xludf.DUMMYFUNCTION("""COMPUTED_VALUE"""),"Category")</f>
        <v>Category</v>
      </c>
      <c r="T998" s="6" t="str">
        <f ca="1">IFERROR(__xludf.DUMMYFUNCTION("""COMPUTED_VALUE"""),"Keerti - Pending")</f>
        <v>Keerti - Pending</v>
      </c>
      <c r="U998" s="6"/>
      <c r="V998" s="6"/>
      <c r="W998" s="6"/>
      <c r="X998" s="6"/>
      <c r="Y998" s="6"/>
      <c r="Z998" s="6"/>
      <c r="AA998" s="6"/>
      <c r="AB998" s="6"/>
      <c r="AC998" s="6"/>
      <c r="AD998" s="6"/>
      <c r="AE998" s="6"/>
      <c r="AF998" s="6"/>
      <c r="AG998" s="6"/>
      <c r="AH998" s="6"/>
      <c r="AI998" s="6"/>
      <c r="AJ998" s="6"/>
      <c r="AK998" s="6"/>
      <c r="AL998" s="6"/>
    </row>
    <row r="999" spans="1:38">
      <c r="A999" s="96">
        <f ca="1">IFERROR(__xludf.DUMMYFUNCTION("""COMPUTED_VALUE"""),44685)</f>
        <v>44685</v>
      </c>
      <c r="B999" s="6" t="str">
        <f ca="1">IFERROR(__xludf.DUMMYFUNCTION("""COMPUTED_VALUE"""),"Koushalya")</f>
        <v>Koushalya</v>
      </c>
      <c r="C999" s="6" t="str">
        <f ca="1">IFERROR(__xludf.DUMMYFUNCTION("""COMPUTED_VALUE"""),"kousianbukumar@gmail.com")</f>
        <v>kousianbukumar@gmail.com</v>
      </c>
      <c r="D999" s="6">
        <f ca="1">IFERROR(__xludf.DUMMYFUNCTION("""COMPUTED_VALUE"""),9940462332)</f>
        <v>9940462332</v>
      </c>
      <c r="E999" s="6" t="str">
        <f ca="1">IFERROR(__xludf.DUMMYFUNCTION("""COMPUTED_VALUE"""),"Existing Account")</f>
        <v>Existing Account</v>
      </c>
      <c r="F999" s="6" t="str">
        <f ca="1">IFERROR(__xludf.DUMMYFUNCTION("""COMPUTED_VALUE"""),"CSM")</f>
        <v>CSM</v>
      </c>
      <c r="G999" s="80">
        <f ca="1">IFERROR(__xludf.DUMMYFUNCTION("""COMPUTED_VALUE"""),44682)</f>
        <v>44682</v>
      </c>
      <c r="H999" s="6" t="str">
        <f ca="1">IFERROR(__xludf.DUMMYFUNCTION("""COMPUTED_VALUE"""),"Won")</f>
        <v>Won</v>
      </c>
      <c r="I999" s="6" t="str">
        <f ca="1">IFERROR(__xludf.DUMMYFUNCTION("""COMPUTED_VALUE"""),"28-29 May 2022")</f>
        <v>28-29 May 2022</v>
      </c>
      <c r="J999" s="6">
        <f ca="1">IFERROR(__xludf.DUMMYFUNCTION("""COMPUTED_VALUE"""),1)</f>
        <v>1</v>
      </c>
      <c r="K999" s="8">
        <f ca="1">IFERROR(__xludf.DUMMYFUNCTION("""COMPUTED_VALUE"""),20000)</f>
        <v>20000</v>
      </c>
      <c r="L999" s="8">
        <f ca="1">IFERROR(__xludf.DUMMYFUNCTION("""COMPUTED_VALUE"""),229.042601923957)</f>
        <v>229.04260192395699</v>
      </c>
      <c r="M999" s="96">
        <f ca="1">IFERROR(__xludf.DUMMYFUNCTION("""COMPUTED_VALUE"""),44685)</f>
        <v>44685</v>
      </c>
      <c r="N999" s="6" t="str">
        <f ca="1">IFERROR(__xludf.DUMMYFUNCTION("""COMPUTED_VALUE"""),"F10")</f>
        <v>F10</v>
      </c>
      <c r="O999" s="97">
        <f ca="1">IFERROR(__xludf.DUMMYFUNCTION("""COMPUTED_VALUE"""),44685)</f>
        <v>44685</v>
      </c>
      <c r="P999" s="6" t="str">
        <f ca="1">IFERROR(__xludf.DUMMYFUNCTION("""COMPUTED_VALUE"""),"CSTM_E810NHEHRCL")</f>
        <v>CSTM_E810NHEHRCL</v>
      </c>
      <c r="Q999" s="6"/>
      <c r="R999" s="6" t="str">
        <f ca="1">IFERROR(__xludf.DUMMYFUNCTION("""COMPUTED_VALUE"""),"Pending")</f>
        <v>Pending</v>
      </c>
      <c r="S999" s="6" t="str">
        <f ca="1">IFERROR(__xludf.DUMMYFUNCTION("""COMPUTED_VALUE"""),"Category")</f>
        <v>Category</v>
      </c>
      <c r="T999" s="6"/>
      <c r="U999" s="6"/>
      <c r="V999" s="6"/>
      <c r="W999" s="6"/>
      <c r="X999" s="6"/>
      <c r="Y999" s="6"/>
      <c r="Z999" s="6"/>
      <c r="AA999" s="6"/>
      <c r="AB999" s="6"/>
      <c r="AC999" s="6"/>
      <c r="AD999" s="6"/>
      <c r="AE999" s="6"/>
      <c r="AF999" s="6"/>
      <c r="AG999" s="6"/>
      <c r="AH999" s="6"/>
      <c r="AI999" s="6"/>
      <c r="AJ999" s="6"/>
      <c r="AK999" s="6"/>
      <c r="AL999" s="6"/>
    </row>
    <row r="1000" spans="1:38">
      <c r="A1000" s="96">
        <f ca="1">IFERROR(__xludf.DUMMYFUNCTION("""COMPUTED_VALUE"""),44685)</f>
        <v>44685</v>
      </c>
      <c r="B1000" s="6" t="str">
        <f ca="1">IFERROR(__xludf.DUMMYFUNCTION("""COMPUTED_VALUE"""),"Siva")</f>
        <v>Siva</v>
      </c>
      <c r="C1000" s="6" t="str">
        <f ca="1">IFERROR(__xludf.DUMMYFUNCTION("""COMPUTED_VALUE"""),"ttksiva@gmail.com")</f>
        <v>ttksiva@gmail.com</v>
      </c>
      <c r="D1000" s="6">
        <f ca="1">IFERROR(__xludf.DUMMYFUNCTION("""COMPUTED_VALUE"""),9363264622)</f>
        <v>9363264622</v>
      </c>
      <c r="E1000" s="6" t="str">
        <f ca="1">IFERROR(__xludf.DUMMYFUNCTION("""COMPUTED_VALUE"""),"Chat_triggered")</f>
        <v>Chat_triggered</v>
      </c>
      <c r="F1000" s="6" t="str">
        <f ca="1">IFERROR(__xludf.DUMMYFUNCTION("""COMPUTED_VALUE"""),"PSM")</f>
        <v>PSM</v>
      </c>
      <c r="G1000" s="80">
        <f ca="1">IFERROR(__xludf.DUMMYFUNCTION("""COMPUTED_VALUE"""),44682)</f>
        <v>44682</v>
      </c>
      <c r="H1000" s="6" t="str">
        <f ca="1">IFERROR(__xludf.DUMMYFUNCTION("""COMPUTED_VALUE"""),"Won")</f>
        <v>Won</v>
      </c>
      <c r="I1000" s="6" t="str">
        <f ca="1">IFERROR(__xludf.DUMMYFUNCTION("""COMPUTED_VALUE"""),"7-8 May 2022")</f>
        <v>7-8 May 2022</v>
      </c>
      <c r="J1000" s="6">
        <f ca="1">IFERROR(__xludf.DUMMYFUNCTION("""COMPUTED_VALUE"""),1)</f>
        <v>1</v>
      </c>
      <c r="K1000" s="8">
        <f ca="1">IFERROR(__xludf.DUMMYFUNCTION("""COMPUTED_VALUE"""),21000)</f>
        <v>21000</v>
      </c>
      <c r="L1000" s="8">
        <f ca="1">IFERROR(__xludf.DUMMYFUNCTION("""COMPUTED_VALUE"""),240.494732020155)</f>
        <v>240.494732020155</v>
      </c>
      <c r="M1000" s="96">
        <f ca="1">IFERROR(__xludf.DUMMYFUNCTION("""COMPUTED_VALUE"""),44685)</f>
        <v>44685</v>
      </c>
      <c r="N1000" s="6" t="str">
        <f ca="1">IFERROR(__xludf.DUMMYFUNCTION("""COMPUTED_VALUE"""),"F10")</f>
        <v>F10</v>
      </c>
      <c r="O1000" s="97">
        <f ca="1">IFERROR(__xludf.DUMMYFUNCTION("""COMPUTED_VALUE"""),44685)</f>
        <v>44685</v>
      </c>
      <c r="P1000" s="6" t="str">
        <f ca="1">IFERROR(__xludf.DUMMYFUNCTION("""COMPUTED_VALUE"""),"CSTM_8NSP2NM66FJ")</f>
        <v>CSTM_8NSP2NM66FJ</v>
      </c>
      <c r="Q1000" s="6"/>
      <c r="R1000" s="6" t="str">
        <f ca="1">IFERROR(__xludf.DUMMYFUNCTION("""COMPUTED_VALUE"""),"Pending")</f>
        <v>Pending</v>
      </c>
      <c r="S1000" s="6" t="str">
        <f ca="1">IFERROR(__xludf.DUMMYFUNCTION("""COMPUTED_VALUE"""),"Category")</f>
        <v>Category</v>
      </c>
      <c r="T1000" s="6"/>
      <c r="U1000" s="6"/>
      <c r="V1000" s="6"/>
      <c r="W1000" s="6"/>
      <c r="X1000" s="6"/>
      <c r="Y1000" s="6"/>
      <c r="Z1000" s="6"/>
      <c r="AA1000" s="6"/>
      <c r="AB1000" s="6"/>
      <c r="AC1000" s="6"/>
      <c r="AD1000" s="6"/>
      <c r="AE1000" s="6"/>
      <c r="AF1000" s="6"/>
      <c r="AG1000" s="6"/>
      <c r="AH1000" s="6"/>
      <c r="AI1000" s="6"/>
      <c r="AJ1000" s="6"/>
      <c r="AK1000" s="6"/>
      <c r="AL1000" s="6"/>
    </row>
    <row r="1001" spans="1:38">
      <c r="A1001" s="96">
        <f ca="1">IFERROR(__xludf.DUMMYFUNCTION("""COMPUTED_VALUE"""),44685)</f>
        <v>44685</v>
      </c>
      <c r="B1001" s="6" t="str">
        <f ca="1">IFERROR(__xludf.DUMMYFUNCTION("""COMPUTED_VALUE"""),"Ishita Kaila")</f>
        <v>Ishita Kaila</v>
      </c>
      <c r="C1001" s="6" t="str">
        <f ca="1">IFERROR(__xludf.DUMMYFUNCTION("""COMPUTED_VALUE"""),"1995ishitakalia@gmail.com")</f>
        <v>1995ishitakalia@gmail.com</v>
      </c>
      <c r="D1001" s="6">
        <f ca="1">IFERROR(__xludf.DUMMYFUNCTION("""COMPUTED_VALUE"""),9501956344)</f>
        <v>9501956344</v>
      </c>
      <c r="E1001" s="6" t="str">
        <f ca="1">IFERROR(__xludf.DUMMYFUNCTION("""COMPUTED_VALUE"""),"Reference")</f>
        <v>Reference</v>
      </c>
      <c r="F1001" s="6" t="str">
        <f ca="1">IFERROR(__xludf.DUMMYFUNCTION("""COMPUTED_VALUE"""),"CSM")</f>
        <v>CSM</v>
      </c>
      <c r="G1001" s="80">
        <f ca="1">IFERROR(__xludf.DUMMYFUNCTION("""COMPUTED_VALUE"""),44682)</f>
        <v>44682</v>
      </c>
      <c r="H1001" s="6" t="str">
        <f ca="1">IFERROR(__xludf.DUMMYFUNCTION("""COMPUTED_VALUE"""),"Won")</f>
        <v>Won</v>
      </c>
      <c r="I1001" s="6" t="str">
        <f ca="1">IFERROR(__xludf.DUMMYFUNCTION("""COMPUTED_VALUE"""),"28-29 May 2022")</f>
        <v>28-29 May 2022</v>
      </c>
      <c r="J1001" s="6">
        <f ca="1">IFERROR(__xludf.DUMMYFUNCTION("""COMPUTED_VALUE"""),1)</f>
        <v>1</v>
      </c>
      <c r="K1001" s="8">
        <f ca="1">IFERROR(__xludf.DUMMYFUNCTION("""COMPUTED_VALUE"""),20000)</f>
        <v>20000</v>
      </c>
      <c r="L1001" s="8">
        <f ca="1">IFERROR(__xludf.DUMMYFUNCTION("""COMPUTED_VALUE"""),229.042601923957)</f>
        <v>229.04260192395699</v>
      </c>
      <c r="M1001" s="96">
        <f ca="1">IFERROR(__xludf.DUMMYFUNCTION("""COMPUTED_VALUE"""),44685)</f>
        <v>44685</v>
      </c>
      <c r="N1001" s="6" t="str">
        <f ca="1">IFERROR(__xludf.DUMMYFUNCTION("""COMPUTED_VALUE"""),"F10")</f>
        <v>F10</v>
      </c>
      <c r="O1001" s="97">
        <f ca="1">IFERROR(__xludf.DUMMYFUNCTION("""COMPUTED_VALUE"""),44685)</f>
        <v>44685</v>
      </c>
      <c r="P1001" s="6" t="str">
        <f ca="1">IFERROR(__xludf.DUMMYFUNCTION("""COMPUTED_VALUE"""),"CSTM_CCVTNIQAU6G")</f>
        <v>CSTM_CCVTNIQAU6G</v>
      </c>
      <c r="Q1001" s="6" t="str">
        <f ca="1">IFERROR(__xludf.DUMMYFUNCTION("""COMPUTED_VALUE"""),"Reference by Manjeet")</f>
        <v>Reference by Manjeet</v>
      </c>
      <c r="R1001" s="6" t="str">
        <f ca="1">IFERROR(__xludf.DUMMYFUNCTION("""COMPUTED_VALUE"""),"Pending")</f>
        <v>Pending</v>
      </c>
      <c r="S1001" s="6" t="str">
        <f ca="1">IFERROR(__xludf.DUMMYFUNCTION("""COMPUTED_VALUE"""),"Category")</f>
        <v>Category</v>
      </c>
      <c r="T1001" s="6"/>
      <c r="U1001" s="6"/>
      <c r="V1001" s="6"/>
      <c r="W1001" s="6"/>
      <c r="X1001" s="6"/>
      <c r="Y1001" s="6"/>
      <c r="Z1001" s="6"/>
      <c r="AA1001" s="6"/>
      <c r="AB1001" s="6"/>
      <c r="AC1001" s="6"/>
      <c r="AD1001" s="6"/>
      <c r="AE1001" s="6"/>
      <c r="AF1001" s="6"/>
      <c r="AG1001" s="6"/>
      <c r="AH1001" s="6"/>
      <c r="AI1001" s="6"/>
      <c r="AJ1001" s="6"/>
      <c r="AK1001" s="6"/>
      <c r="AL1001" s="6"/>
    </row>
    <row r="1002" spans="1:38">
      <c r="A1002" s="96">
        <f ca="1">IFERROR(__xludf.DUMMYFUNCTION("""COMPUTED_VALUE"""),44686)</f>
        <v>44686</v>
      </c>
      <c r="B1002" s="6" t="str">
        <f ca="1">IFERROR(__xludf.DUMMYFUNCTION("""COMPUTED_VALUE"""),"Jijo")</f>
        <v>Jijo</v>
      </c>
      <c r="C1002" s="6" t="str">
        <f ca="1">IFERROR(__xludf.DUMMYFUNCTION("""COMPUTED_VALUE"""),"lijujijo@gmail.com")</f>
        <v>lijujijo@gmail.com</v>
      </c>
      <c r="D1002" s="6">
        <f ca="1">IFERROR(__xludf.DUMMYFUNCTION("""COMPUTED_VALUE"""),9307770368)</f>
        <v>9307770368</v>
      </c>
      <c r="E1002" s="6" t="str">
        <f ca="1">IFERROR(__xludf.DUMMYFUNCTION("""COMPUTED_VALUE"""),"Chat_triggered")</f>
        <v>Chat_triggered</v>
      </c>
      <c r="F1002" s="6" t="str">
        <f ca="1">IFERROR(__xludf.DUMMYFUNCTION("""COMPUTED_VALUE"""),"SAFe POPM")</f>
        <v>SAFe POPM</v>
      </c>
      <c r="G1002" s="80">
        <f ca="1">IFERROR(__xludf.DUMMYFUNCTION("""COMPUTED_VALUE"""),44682)</f>
        <v>44682</v>
      </c>
      <c r="H1002" s="6" t="str">
        <f ca="1">IFERROR(__xludf.DUMMYFUNCTION("""COMPUTED_VALUE"""),"Won")</f>
        <v>Won</v>
      </c>
      <c r="I1002" s="6" t="str">
        <f ca="1">IFERROR(__xludf.DUMMYFUNCTION("""COMPUTED_VALUE"""),"7-8 May 2022")</f>
        <v>7-8 May 2022</v>
      </c>
      <c r="J1002" s="6">
        <f ca="1">IFERROR(__xludf.DUMMYFUNCTION("""COMPUTED_VALUE"""),1)</f>
        <v>1</v>
      </c>
      <c r="K1002" s="8">
        <f ca="1">IFERROR(__xludf.DUMMYFUNCTION("""COMPUTED_VALUE"""),40061)</f>
        <v>40061</v>
      </c>
      <c r="L1002" s="8">
        <f ca="1">IFERROR(__xludf.DUMMYFUNCTION("""COMPUTED_VALUE"""),458.783783783783)</f>
        <v>458.78378378378301</v>
      </c>
      <c r="M1002" s="96">
        <f ca="1">IFERROR(__xludf.DUMMYFUNCTION("""COMPUTED_VALUE"""),44686)</f>
        <v>44686</v>
      </c>
      <c r="N1002" s="6" t="str">
        <f ca="1">IFERROR(__xludf.DUMMYFUNCTION("""COMPUTED_VALUE"""),"F10")</f>
        <v>F10</v>
      </c>
      <c r="O1002" s="97">
        <f ca="1">IFERROR(__xludf.DUMMYFUNCTION("""COMPUTED_VALUE"""),44686)</f>
        <v>44686</v>
      </c>
      <c r="P1002" s="6" t="str">
        <f ca="1">IFERROR(__xludf.DUMMYFUNCTION("""COMPUTED_VALUE"""),"CSTM_1C42ZX6IOW2")</f>
        <v>CSTM_1C42ZX6IOW2</v>
      </c>
      <c r="Q1002" s="6"/>
      <c r="R1002" s="6" t="str">
        <f ca="1">IFERROR(__xludf.DUMMYFUNCTION("""COMPUTED_VALUE"""),"Pending")</f>
        <v>Pending</v>
      </c>
      <c r="S1002" s="6" t="str">
        <f ca="1">IFERROR(__xludf.DUMMYFUNCTION("""COMPUTED_VALUE"""),"SAFe")</f>
        <v>SAFe</v>
      </c>
      <c r="T1002" s="6"/>
      <c r="U1002" s="6"/>
      <c r="V1002" s="6"/>
      <c r="W1002" s="6"/>
      <c r="X1002" s="6"/>
      <c r="Y1002" s="6"/>
      <c r="Z1002" s="6"/>
      <c r="AA1002" s="6"/>
      <c r="AB1002" s="6"/>
      <c r="AC1002" s="6"/>
      <c r="AD1002" s="6"/>
      <c r="AE1002" s="6"/>
      <c r="AF1002" s="6"/>
      <c r="AG1002" s="6"/>
      <c r="AH1002" s="6"/>
      <c r="AI1002" s="6"/>
      <c r="AJ1002" s="6"/>
      <c r="AK1002" s="6"/>
      <c r="AL1002" s="6"/>
    </row>
    <row r="1003" spans="1:38">
      <c r="A1003" s="96">
        <f ca="1">IFERROR(__xludf.DUMMYFUNCTION("""COMPUTED_VALUE"""),44686)</f>
        <v>44686</v>
      </c>
      <c r="B1003" s="6" t="str">
        <f ca="1">IFERROR(__xludf.DUMMYFUNCTION("""COMPUTED_VALUE"""),"Aishwarya P")</f>
        <v>Aishwarya P</v>
      </c>
      <c r="C1003" s="6" t="str">
        <f ca="1">IFERROR(__xludf.DUMMYFUNCTION("""COMPUTED_VALUE"""),"aishwaryap.1989@gmail.com")</f>
        <v>aishwaryap.1989@gmail.com</v>
      </c>
      <c r="D1003" s="6">
        <f ca="1">IFERROR(__xludf.DUMMYFUNCTION("""COMPUTED_VALUE"""),9746090961)</f>
        <v>9746090961</v>
      </c>
      <c r="E1003" s="6" t="str">
        <f ca="1">IFERROR(__xludf.DUMMYFUNCTION("""COMPUTED_VALUE"""),"Reference")</f>
        <v>Reference</v>
      </c>
      <c r="F1003" s="6" t="str">
        <f ca="1">IFERROR(__xludf.DUMMYFUNCTION("""COMPUTED_VALUE"""),"CSPO")</f>
        <v>CSPO</v>
      </c>
      <c r="G1003" s="80">
        <f ca="1">IFERROR(__xludf.DUMMYFUNCTION("""COMPUTED_VALUE"""),44682)</f>
        <v>44682</v>
      </c>
      <c r="H1003" s="6" t="str">
        <f ca="1">IFERROR(__xludf.DUMMYFUNCTION("""COMPUTED_VALUE"""),"Won")</f>
        <v>Won</v>
      </c>
      <c r="I1003" s="6" t="str">
        <f ca="1">IFERROR(__xludf.DUMMYFUNCTION("""COMPUTED_VALUE"""),"21-22 May 2022")</f>
        <v>21-22 May 2022</v>
      </c>
      <c r="J1003" s="6">
        <f ca="1">IFERROR(__xludf.DUMMYFUNCTION("""COMPUTED_VALUE"""),1)</f>
        <v>1</v>
      </c>
      <c r="K1003" s="8">
        <f ca="1">IFERROR(__xludf.DUMMYFUNCTION("""COMPUTED_VALUE"""),20000)</f>
        <v>20000</v>
      </c>
      <c r="L1003" s="8">
        <f ca="1">IFERROR(__xludf.DUMMYFUNCTION("""COMPUTED_VALUE"""),229.042601923957)</f>
        <v>229.04260192395699</v>
      </c>
      <c r="M1003" s="96">
        <f ca="1">IFERROR(__xludf.DUMMYFUNCTION("""COMPUTED_VALUE"""),44686)</f>
        <v>44686</v>
      </c>
      <c r="N1003" s="6" t="str">
        <f ca="1">IFERROR(__xludf.DUMMYFUNCTION("""COMPUTED_VALUE"""),"F10")</f>
        <v>F10</v>
      </c>
      <c r="O1003" s="97">
        <f ca="1">IFERROR(__xludf.DUMMYFUNCTION("""COMPUTED_VALUE"""),44686)</f>
        <v>44686</v>
      </c>
      <c r="P1003" s="6" t="str">
        <f ca="1">IFERROR(__xludf.DUMMYFUNCTION("""COMPUTED_VALUE"""),"CSTM_8NWZEUNXPCA")</f>
        <v>CSTM_8NWZEUNXPCA</v>
      </c>
      <c r="Q1003" s="6" t="str">
        <f ca="1">IFERROR(__xludf.DUMMYFUNCTION("""COMPUTED_VALUE"""),"Reference by Rathina Raj")</f>
        <v>Reference by Rathina Raj</v>
      </c>
      <c r="R1003" s="6" t="str">
        <f ca="1">IFERROR(__xludf.DUMMYFUNCTION("""COMPUTED_VALUE"""),"Done. Good feedback.")</f>
        <v>Done. Good feedback.</v>
      </c>
      <c r="S1003" s="6" t="str">
        <f ca="1">IFERROR(__xludf.DUMMYFUNCTION("""COMPUTED_VALUE"""),"Category")</f>
        <v>Category</v>
      </c>
      <c r="T1003" s="6"/>
      <c r="U1003" s="6"/>
      <c r="V1003" s="6"/>
      <c r="W1003" s="6"/>
      <c r="X1003" s="6"/>
      <c r="Y1003" s="6"/>
      <c r="Z1003" s="6"/>
      <c r="AA1003" s="6"/>
      <c r="AB1003" s="6"/>
      <c r="AC1003" s="6"/>
      <c r="AD1003" s="6"/>
      <c r="AE1003" s="6"/>
      <c r="AF1003" s="6"/>
      <c r="AG1003" s="6"/>
      <c r="AH1003" s="6"/>
      <c r="AI1003" s="6"/>
      <c r="AJ1003" s="6"/>
      <c r="AK1003" s="6"/>
      <c r="AL1003" s="6"/>
    </row>
    <row r="1004" spans="1:38">
      <c r="A1004" s="96">
        <f ca="1">IFERROR(__xludf.DUMMYFUNCTION("""COMPUTED_VALUE"""),44686)</f>
        <v>44686</v>
      </c>
      <c r="B1004" s="6" t="str">
        <f ca="1">IFERROR(__xludf.DUMMYFUNCTION("""COMPUTED_VALUE"""),"Rahul Pahurkar")</f>
        <v>Rahul Pahurkar</v>
      </c>
      <c r="C1004" s="6" t="str">
        <f ca="1">IFERROR(__xludf.DUMMYFUNCTION("""COMPUTED_VALUE"""),"pahurkar.rahul@gmail.com")</f>
        <v>pahurkar.rahul@gmail.com</v>
      </c>
      <c r="D1004" s="6">
        <f ca="1">IFERROR(__xludf.DUMMYFUNCTION("""COMPUTED_VALUE"""),9867140201)</f>
        <v>9867140201</v>
      </c>
      <c r="E1004" s="6" t="str">
        <f ca="1">IFERROR(__xludf.DUMMYFUNCTION("""COMPUTED_VALUE"""),"fpt")</f>
        <v>fpt</v>
      </c>
      <c r="F1004" s="6" t="str">
        <f ca="1">IFERROR(__xludf.DUMMYFUNCTION("""COMPUTED_VALUE"""),"PSM")</f>
        <v>PSM</v>
      </c>
      <c r="G1004" s="80">
        <f ca="1">IFERROR(__xludf.DUMMYFUNCTION("""COMPUTED_VALUE"""),44682)</f>
        <v>44682</v>
      </c>
      <c r="H1004" s="6" t="str">
        <f ca="1">IFERROR(__xludf.DUMMYFUNCTION("""COMPUTED_VALUE"""),"Won")</f>
        <v>Won</v>
      </c>
      <c r="I1004" s="6" t="str">
        <f ca="1">IFERROR(__xludf.DUMMYFUNCTION("""COMPUTED_VALUE"""),"14-15 May 2022")</f>
        <v>14-15 May 2022</v>
      </c>
      <c r="J1004" s="6">
        <f ca="1">IFERROR(__xludf.DUMMYFUNCTION("""COMPUTED_VALUE"""),1)</f>
        <v>1</v>
      </c>
      <c r="K1004" s="8">
        <f ca="1">IFERROR(__xludf.DUMMYFUNCTION("""COMPUTED_VALUE"""),20500)</f>
        <v>20500</v>
      </c>
      <c r="L1004" s="8">
        <f ca="1">IFERROR(__xludf.DUMMYFUNCTION("""COMPUTED_VALUE"""),234.768666972056)</f>
        <v>234.768666972056</v>
      </c>
      <c r="M1004" s="96">
        <f ca="1">IFERROR(__xludf.DUMMYFUNCTION("""COMPUTED_VALUE"""),44686)</f>
        <v>44686</v>
      </c>
      <c r="N1004" s="6" t="str">
        <f ca="1">IFERROR(__xludf.DUMMYFUNCTION("""COMPUTED_VALUE"""),"F10")</f>
        <v>F10</v>
      </c>
      <c r="O1004" s="97">
        <f ca="1">IFERROR(__xludf.DUMMYFUNCTION("""COMPUTED_VALUE"""),44686)</f>
        <v>44686</v>
      </c>
      <c r="P1004" s="6" t="str">
        <f ca="1">IFERROR(__xludf.DUMMYFUNCTION("""COMPUTED_VALUE"""),"CSTM_HZLSBCBB7Y5")</f>
        <v>CSTM_HZLSBCBB7Y5</v>
      </c>
      <c r="Q1004" s="6"/>
      <c r="R1004" s="6" t="str">
        <f ca="1">IFERROR(__xludf.DUMMYFUNCTION("""COMPUTED_VALUE"""),"Done. Good feedback.")</f>
        <v>Done. Good feedback.</v>
      </c>
      <c r="S1004" s="6" t="str">
        <f ca="1">IFERROR(__xludf.DUMMYFUNCTION("""COMPUTED_VALUE"""),"Category")</f>
        <v>Category</v>
      </c>
      <c r="T1004" s="6"/>
      <c r="U1004" s="6"/>
      <c r="V1004" s="6"/>
      <c r="W1004" s="6"/>
      <c r="X1004" s="6"/>
      <c r="Y1004" s="6"/>
      <c r="Z1004" s="6"/>
      <c r="AA1004" s="6"/>
      <c r="AB1004" s="6"/>
      <c r="AC1004" s="6"/>
      <c r="AD1004" s="6"/>
      <c r="AE1004" s="6"/>
      <c r="AF1004" s="6"/>
      <c r="AG1004" s="6"/>
      <c r="AH1004" s="6"/>
      <c r="AI1004" s="6"/>
      <c r="AJ1004" s="6"/>
      <c r="AK1004" s="6"/>
      <c r="AL1004" s="6"/>
    </row>
    <row r="1005" spans="1:38">
      <c r="A1005" s="96">
        <f ca="1">IFERROR(__xludf.DUMMYFUNCTION("""COMPUTED_VALUE"""),44686)</f>
        <v>44686</v>
      </c>
      <c r="B1005" s="6" t="str">
        <f ca="1">IFERROR(__xludf.DUMMYFUNCTION("""COMPUTED_VALUE"""),"Rahul Chiplunkar")</f>
        <v>Rahul Chiplunkar</v>
      </c>
      <c r="C1005" s="6" t="str">
        <f ca="1">IFERROR(__xludf.DUMMYFUNCTION("""COMPUTED_VALUE"""),"rahul.chiplunkar@gmail.com")</f>
        <v>rahul.chiplunkar@gmail.com</v>
      </c>
      <c r="D1005" s="6">
        <f ca="1">IFERROR(__xludf.DUMMYFUNCTION("""COMPUTED_VALUE"""),8879775878)</f>
        <v>8879775878</v>
      </c>
      <c r="E1005" s="6" t="str">
        <f ca="1">IFERROR(__xludf.DUMMYFUNCTION("""COMPUTED_VALUE"""),"Reference")</f>
        <v>Reference</v>
      </c>
      <c r="F1005" s="6" t="str">
        <f ca="1">IFERROR(__xludf.DUMMYFUNCTION("""COMPUTED_VALUE"""),"PSM")</f>
        <v>PSM</v>
      </c>
      <c r="G1005" s="80">
        <f ca="1">IFERROR(__xludf.DUMMYFUNCTION("""COMPUTED_VALUE"""),44682)</f>
        <v>44682</v>
      </c>
      <c r="H1005" s="6" t="str">
        <f ca="1">IFERROR(__xludf.DUMMYFUNCTION("""COMPUTED_VALUE"""),"Won")</f>
        <v>Won</v>
      </c>
      <c r="I1005" s="6" t="str">
        <f ca="1">IFERROR(__xludf.DUMMYFUNCTION("""COMPUTED_VALUE"""),"14-15 May 2022")</f>
        <v>14-15 May 2022</v>
      </c>
      <c r="J1005" s="6">
        <f ca="1">IFERROR(__xludf.DUMMYFUNCTION("""COMPUTED_VALUE"""),1)</f>
        <v>1</v>
      </c>
      <c r="K1005" s="8">
        <f ca="1">IFERROR(__xludf.DUMMYFUNCTION("""COMPUTED_VALUE"""),20500)</f>
        <v>20500</v>
      </c>
      <c r="L1005" s="8">
        <f ca="1">IFERROR(__xludf.DUMMYFUNCTION("""COMPUTED_VALUE"""),234.768666972056)</f>
        <v>234.768666972056</v>
      </c>
      <c r="M1005" s="96">
        <f ca="1">IFERROR(__xludf.DUMMYFUNCTION("""COMPUTED_VALUE"""),44686)</f>
        <v>44686</v>
      </c>
      <c r="N1005" s="6" t="str">
        <f ca="1">IFERROR(__xludf.DUMMYFUNCTION("""COMPUTED_VALUE"""),"F10")</f>
        <v>F10</v>
      </c>
      <c r="O1005" s="97">
        <f ca="1">IFERROR(__xludf.DUMMYFUNCTION("""COMPUTED_VALUE"""),44686)</f>
        <v>44686</v>
      </c>
      <c r="P1005" s="6" t="str">
        <f ca="1">IFERROR(__xludf.DUMMYFUNCTION("""COMPUTED_VALUE"""),"CSTM_ETTYOCC6Q1R")</f>
        <v>CSTM_ETTYOCC6Q1R</v>
      </c>
      <c r="Q1005" s="6" t="str">
        <f ca="1">IFERROR(__xludf.DUMMYFUNCTION("""COMPUTED_VALUE"""),"Reference by Rahul Pahurkar")</f>
        <v>Reference by Rahul Pahurkar</v>
      </c>
      <c r="R1005" s="6" t="str">
        <f ca="1">IFERROR(__xludf.DUMMYFUNCTION("""COMPUTED_VALUE"""),"Done. Good feedback.")</f>
        <v>Done. Good feedback.</v>
      </c>
      <c r="S1005" s="6" t="str">
        <f ca="1">IFERROR(__xludf.DUMMYFUNCTION("""COMPUTED_VALUE"""),"Category")</f>
        <v>Category</v>
      </c>
      <c r="T1005" s="6"/>
      <c r="U1005" s="6"/>
      <c r="V1005" s="6"/>
      <c r="W1005" s="6"/>
      <c r="X1005" s="6"/>
      <c r="Y1005" s="6"/>
      <c r="Z1005" s="6"/>
      <c r="AA1005" s="6"/>
      <c r="AB1005" s="6"/>
      <c r="AC1005" s="6"/>
      <c r="AD1005" s="6"/>
      <c r="AE1005" s="6"/>
      <c r="AF1005" s="6"/>
      <c r="AG1005" s="6"/>
      <c r="AH1005" s="6"/>
      <c r="AI1005" s="6"/>
      <c r="AJ1005" s="6"/>
      <c r="AK1005" s="6"/>
      <c r="AL1005" s="6"/>
    </row>
    <row r="1006" spans="1:38">
      <c r="A1006" s="96">
        <f ca="1">IFERROR(__xludf.DUMMYFUNCTION("""COMPUTED_VALUE"""),44686)</f>
        <v>44686</v>
      </c>
      <c r="B1006" s="6" t="str">
        <f ca="1">IFERROR(__xludf.DUMMYFUNCTION("""COMPUTED_VALUE"""),"Rakesh")</f>
        <v>Rakesh</v>
      </c>
      <c r="C1006" s="6" t="str">
        <f ca="1">IFERROR(__xludf.DUMMYFUNCTION("""COMPUTED_VALUE"""),"dr.rajpurohit@gmail.com")</f>
        <v>dr.rajpurohit@gmail.com</v>
      </c>
      <c r="D1006" s="6">
        <f ca="1">IFERROR(__xludf.DUMMYFUNCTION("""COMPUTED_VALUE"""),8007040333)</f>
        <v>8007040333</v>
      </c>
      <c r="E1006" s="6" t="str">
        <f ca="1">IFERROR(__xludf.DUMMYFUNCTION("""COMPUTED_VALUE"""),"Chat_triggered")</f>
        <v>Chat_triggered</v>
      </c>
      <c r="F1006" s="6" t="str">
        <f ca="1">IFERROR(__xludf.DUMMYFUNCTION("""COMPUTED_VALUE"""),"SAFe Agile")</f>
        <v>SAFe Agile</v>
      </c>
      <c r="G1006" s="80">
        <f ca="1">IFERROR(__xludf.DUMMYFUNCTION("""COMPUTED_VALUE"""),44682)</f>
        <v>44682</v>
      </c>
      <c r="H1006" s="6" t="str">
        <f ca="1">IFERROR(__xludf.DUMMYFUNCTION("""COMPUTED_VALUE"""),"Opportunity")</f>
        <v>Opportunity</v>
      </c>
      <c r="I1006" s="6" t="str">
        <f ca="1">IFERROR(__xludf.DUMMYFUNCTION("""COMPUTED_VALUE"""),"14-15 May 2022")</f>
        <v>14-15 May 2022</v>
      </c>
      <c r="J1006" s="6">
        <f ca="1">IFERROR(__xludf.DUMMYFUNCTION("""COMPUTED_VALUE"""),1)</f>
        <v>1</v>
      </c>
      <c r="K1006" s="8">
        <f ca="1">IFERROR(__xludf.DUMMYFUNCTION("""COMPUTED_VALUE"""),42000)</f>
        <v>42000</v>
      </c>
      <c r="L1006" s="8">
        <f ca="1">IFERROR(__xludf.DUMMYFUNCTION("""COMPUTED_VALUE"""),480.989464040311)</f>
        <v>480.98946404031102</v>
      </c>
      <c r="M1006" s="96">
        <f ca="1">IFERROR(__xludf.DUMMYFUNCTION("""COMPUTED_VALUE"""),44686)</f>
        <v>44686</v>
      </c>
      <c r="N1006" s="6"/>
      <c r="O1006" s="97"/>
      <c r="P1006" s="6"/>
      <c r="Q1006" s="6"/>
      <c r="R1006" s="6"/>
      <c r="S1006" s="6" t="str">
        <f ca="1">IFERROR(__xludf.DUMMYFUNCTION("""COMPUTED_VALUE"""),"SAFe")</f>
        <v>SAFe</v>
      </c>
      <c r="T1006" s="6"/>
      <c r="U1006" s="6"/>
      <c r="V1006" s="6"/>
      <c r="W1006" s="6"/>
      <c r="X1006" s="6"/>
      <c r="Y1006" s="6"/>
      <c r="Z1006" s="6"/>
      <c r="AA1006" s="6"/>
      <c r="AB1006" s="6"/>
      <c r="AC1006" s="6"/>
      <c r="AD1006" s="6"/>
      <c r="AE1006" s="6"/>
      <c r="AF1006" s="6"/>
      <c r="AG1006" s="6"/>
      <c r="AH1006" s="6"/>
      <c r="AI1006" s="6"/>
      <c r="AJ1006" s="6"/>
      <c r="AK1006" s="6"/>
      <c r="AL1006" s="6"/>
    </row>
    <row r="1007" spans="1:38">
      <c r="A1007" s="96">
        <f ca="1">IFERROR(__xludf.DUMMYFUNCTION("""COMPUTED_VALUE"""),44687)</f>
        <v>44687</v>
      </c>
      <c r="B1007" s="6" t="str">
        <f ca="1">IFERROR(__xludf.DUMMYFUNCTION("""COMPUTED_VALUE"""),"Nisha Shah")</f>
        <v>Nisha Shah</v>
      </c>
      <c r="C1007" s="6" t="str">
        <f ca="1">IFERROR(__xludf.DUMMYFUNCTION("""COMPUTED_VALUE"""),"nisha.shah@spglobal.com")</f>
        <v>nisha.shah@spglobal.com</v>
      </c>
      <c r="D1007" s="6">
        <f ca="1">IFERROR(__xludf.DUMMYFUNCTION("""COMPUTED_VALUE"""),8511154200)</f>
        <v>8511154200</v>
      </c>
      <c r="E1007" s="6" t="str">
        <f ca="1">IFERROR(__xludf.DUMMYFUNCTION("""COMPUTED_VALUE"""),"Chat_triggered")</f>
        <v>Chat_triggered</v>
      </c>
      <c r="F1007" s="6" t="str">
        <f ca="1">IFERROR(__xludf.DUMMYFUNCTION("""COMPUTED_VALUE"""),"CSPO")</f>
        <v>CSPO</v>
      </c>
      <c r="G1007" s="80">
        <f ca="1">IFERROR(__xludf.DUMMYFUNCTION("""COMPUTED_VALUE"""),44682)</f>
        <v>44682</v>
      </c>
      <c r="H1007" s="6" t="str">
        <f ca="1">IFERROR(__xludf.DUMMYFUNCTION("""COMPUTED_VALUE"""),"Won")</f>
        <v>Won</v>
      </c>
      <c r="I1007" s="6" t="str">
        <f ca="1">IFERROR(__xludf.DUMMYFUNCTION("""COMPUTED_VALUE"""),"9-10 May 2022")</f>
        <v>9-10 May 2022</v>
      </c>
      <c r="J1007" s="6">
        <f ca="1">IFERROR(__xludf.DUMMYFUNCTION("""COMPUTED_VALUE"""),1)</f>
        <v>1</v>
      </c>
      <c r="K1007" s="8">
        <f ca="1">IFERROR(__xludf.DUMMYFUNCTION("""COMPUTED_VALUE"""),20000)</f>
        <v>20000</v>
      </c>
      <c r="L1007" s="8">
        <f ca="1">IFERROR(__xludf.DUMMYFUNCTION("""COMPUTED_VALUE"""),229.042601923957)</f>
        <v>229.04260192395699</v>
      </c>
      <c r="M1007" s="96">
        <f ca="1">IFERROR(__xludf.DUMMYFUNCTION("""COMPUTED_VALUE"""),44687)</f>
        <v>44687</v>
      </c>
      <c r="N1007" s="6" t="str">
        <f ca="1">IFERROR(__xludf.DUMMYFUNCTION("""COMPUTED_VALUE"""),"F10")</f>
        <v>F10</v>
      </c>
      <c r="O1007" s="97">
        <f ca="1">IFERROR(__xludf.DUMMYFUNCTION("""COMPUTED_VALUE"""),44687)</f>
        <v>44687</v>
      </c>
      <c r="P1007" s="6" t="str">
        <f ca="1">IFERROR(__xludf.DUMMYFUNCTION("""COMPUTED_VALUE"""),"CSTM_1NBUWI41AYM")</f>
        <v>CSTM_1NBUWI41AYM</v>
      </c>
      <c r="Q1007" s="6"/>
      <c r="R1007" s="6" t="str">
        <f ca="1">IFERROR(__xludf.DUMMYFUNCTION("""COMPUTED_VALUE"""),"Pending")</f>
        <v>Pending</v>
      </c>
      <c r="S1007" s="6" t="str">
        <f ca="1">IFERROR(__xludf.DUMMYFUNCTION("""COMPUTED_VALUE"""),"Category")</f>
        <v>Category</v>
      </c>
      <c r="T1007" s="6"/>
      <c r="U1007" s="6"/>
      <c r="V1007" s="6"/>
      <c r="W1007" s="6"/>
      <c r="X1007" s="6"/>
      <c r="Y1007" s="6"/>
      <c r="Z1007" s="6"/>
      <c r="AA1007" s="6"/>
      <c r="AB1007" s="6"/>
      <c r="AC1007" s="6"/>
      <c r="AD1007" s="6"/>
      <c r="AE1007" s="6"/>
      <c r="AF1007" s="6"/>
      <c r="AG1007" s="6"/>
      <c r="AH1007" s="6"/>
      <c r="AI1007" s="6"/>
      <c r="AJ1007" s="6"/>
      <c r="AK1007" s="6"/>
      <c r="AL1007" s="6"/>
    </row>
    <row r="1008" spans="1:38">
      <c r="A1008" s="96">
        <f ca="1">IFERROR(__xludf.DUMMYFUNCTION("""COMPUTED_VALUE"""),44687)</f>
        <v>44687</v>
      </c>
      <c r="B1008" s="6" t="str">
        <f ca="1">IFERROR(__xludf.DUMMYFUNCTION("""COMPUTED_VALUE"""),"Naseeb ")</f>
        <v xml:space="preserve">Naseeb </v>
      </c>
      <c r="C1008" s="6" t="str">
        <f ca="1">IFERROR(__xludf.DUMMYFUNCTION("""COMPUTED_VALUE"""),"naseeb@gmail.com")</f>
        <v>naseeb@gmail.com</v>
      </c>
      <c r="D1008" s="6">
        <f ca="1">IFERROR(__xludf.DUMMYFUNCTION("""COMPUTED_VALUE"""),9902901901)</f>
        <v>9902901901</v>
      </c>
      <c r="E1008" s="6" t="str">
        <f ca="1">IFERROR(__xludf.DUMMYFUNCTION("""COMPUTED_VALUE"""),"Chat_triggered")</f>
        <v>Chat_triggered</v>
      </c>
      <c r="F1008" s="6" t="str">
        <f ca="1">IFERROR(__xludf.DUMMYFUNCTION("""COMPUTED_VALUE"""),"ICP-ACC")</f>
        <v>ICP-ACC</v>
      </c>
      <c r="G1008" s="80">
        <f ca="1">IFERROR(__xludf.DUMMYFUNCTION("""COMPUTED_VALUE"""),44682)</f>
        <v>44682</v>
      </c>
      <c r="H1008" s="6" t="str">
        <f ca="1">IFERROR(__xludf.DUMMYFUNCTION("""COMPUTED_VALUE"""),"Won")</f>
        <v>Won</v>
      </c>
      <c r="I1008" s="6" t="str">
        <f ca="1">IFERROR(__xludf.DUMMYFUNCTION("""COMPUTED_VALUE"""),"20-22 May 2022")</f>
        <v>20-22 May 2022</v>
      </c>
      <c r="J1008" s="6">
        <f ca="1">IFERROR(__xludf.DUMMYFUNCTION("""COMPUTED_VALUE"""),1)</f>
        <v>1</v>
      </c>
      <c r="K1008" s="8">
        <f ca="1">IFERROR(__xludf.DUMMYFUNCTION("""COMPUTED_VALUE"""),30500)</f>
        <v>30500</v>
      </c>
      <c r="L1008" s="8">
        <f ca="1">IFERROR(__xludf.DUMMYFUNCTION("""COMPUTED_VALUE"""),349.289967934035)</f>
        <v>349.28996793403502</v>
      </c>
      <c r="M1008" s="96">
        <f ca="1">IFERROR(__xludf.DUMMYFUNCTION("""COMPUTED_VALUE"""),44687)</f>
        <v>44687</v>
      </c>
      <c r="N1008" s="6" t="str">
        <f ca="1">IFERROR(__xludf.DUMMYFUNCTION("""COMPUTED_VALUE"""),"F10")</f>
        <v>F10</v>
      </c>
      <c r="O1008" s="97">
        <f ca="1">IFERROR(__xludf.DUMMYFUNCTION("""COMPUTED_VALUE"""),44687)</f>
        <v>44687</v>
      </c>
      <c r="P1008" s="6" t="str">
        <f ca="1">IFERROR(__xludf.DUMMYFUNCTION("""COMPUTED_VALUE"""),"CSTM_J75Q7ILX5XS")</f>
        <v>CSTM_J75Q7ILX5XS</v>
      </c>
      <c r="Q1008" s="6"/>
      <c r="R1008" s="6" t="str">
        <f ca="1">IFERROR(__xludf.DUMMYFUNCTION("""COMPUTED_VALUE"""),"Pending")</f>
        <v>Pending</v>
      </c>
      <c r="S1008" s="6" t="str">
        <f ca="1">IFERROR(__xludf.DUMMYFUNCTION("""COMPUTED_VALUE"""),"Category")</f>
        <v>Category</v>
      </c>
      <c r="T1008" s="6"/>
      <c r="U1008" s="6"/>
      <c r="V1008" s="6"/>
      <c r="W1008" s="6"/>
      <c r="X1008" s="6"/>
      <c r="Y1008" s="6"/>
      <c r="Z1008" s="6"/>
      <c r="AA1008" s="6"/>
      <c r="AB1008" s="6"/>
      <c r="AC1008" s="6"/>
      <c r="AD1008" s="6"/>
      <c r="AE1008" s="6"/>
      <c r="AF1008" s="6"/>
      <c r="AG1008" s="6"/>
      <c r="AH1008" s="6"/>
      <c r="AI1008" s="6"/>
      <c r="AJ1008" s="6"/>
      <c r="AK1008" s="6"/>
      <c r="AL1008" s="6"/>
    </row>
    <row r="1009" spans="1:38">
      <c r="A1009" s="96">
        <f ca="1">IFERROR(__xludf.DUMMYFUNCTION("""COMPUTED_VALUE"""),44687)</f>
        <v>44687</v>
      </c>
      <c r="B1009" s="6" t="str">
        <f ca="1">IFERROR(__xludf.DUMMYFUNCTION("""COMPUTED_VALUE"""),"Nilay Mishra")</f>
        <v>Nilay Mishra</v>
      </c>
      <c r="C1009" s="6" t="str">
        <f ca="1">IFERROR(__xludf.DUMMYFUNCTION("""COMPUTED_VALUE"""),"nilaymishra12345@gmail.com")</f>
        <v>nilaymishra12345@gmail.com</v>
      </c>
      <c r="D1009" s="6">
        <f ca="1">IFERROR(__xludf.DUMMYFUNCTION("""COMPUTED_VALUE"""),9795249977)</f>
        <v>9795249977</v>
      </c>
      <c r="E1009" s="6" t="str">
        <f ca="1">IFERROR(__xludf.DUMMYFUNCTION("""COMPUTED_VALUE"""),"Existing Account")</f>
        <v>Existing Account</v>
      </c>
      <c r="F1009" s="6" t="str">
        <f ca="1">IFERROR(__xludf.DUMMYFUNCTION("""COMPUTED_VALUE"""),"Prince2 F&amp;P")</f>
        <v>Prince2 F&amp;P</v>
      </c>
      <c r="G1009" s="80">
        <f ca="1">IFERROR(__xludf.DUMMYFUNCTION("""COMPUTED_VALUE"""),44682)</f>
        <v>44682</v>
      </c>
      <c r="H1009" s="6" t="str">
        <f ca="1">IFERROR(__xludf.DUMMYFUNCTION("""COMPUTED_VALUE"""),"Won")</f>
        <v>Won</v>
      </c>
      <c r="I1009" s="6" t="str">
        <f ca="1">IFERROR(__xludf.DUMMYFUNCTION("""COMPUTED_VALUE"""),"7 May 2022")</f>
        <v>7 May 2022</v>
      </c>
      <c r="J1009" s="6">
        <f ca="1">IFERROR(__xludf.DUMMYFUNCTION("""COMPUTED_VALUE"""),1)</f>
        <v>1</v>
      </c>
      <c r="K1009" s="8">
        <f ca="1">IFERROR(__xludf.DUMMYFUNCTION("""COMPUTED_VALUE"""),45000)</f>
        <v>45000</v>
      </c>
      <c r="L1009" s="8">
        <f ca="1">IFERROR(__xludf.DUMMYFUNCTION("""COMPUTED_VALUE"""),515.345854328905)</f>
        <v>515.34585432890503</v>
      </c>
      <c r="M1009" s="96">
        <f ca="1">IFERROR(__xludf.DUMMYFUNCTION("""COMPUTED_VALUE"""),44687)</f>
        <v>44687</v>
      </c>
      <c r="N1009" s="6" t="str">
        <f ca="1">IFERROR(__xludf.DUMMYFUNCTION("""COMPUTED_VALUE"""),"F10")</f>
        <v>F10</v>
      </c>
      <c r="O1009" s="97">
        <f ca="1">IFERROR(__xludf.DUMMYFUNCTION("""COMPUTED_VALUE"""),44687)</f>
        <v>44687</v>
      </c>
      <c r="P1009" s="6" t="str">
        <f ca="1">IFERROR(__xludf.DUMMYFUNCTION("""COMPUTED_VALUE"""),"CSTM_HKNJS9RNWEL")</f>
        <v>CSTM_HKNJS9RNWEL</v>
      </c>
      <c r="Q1009" s="6"/>
      <c r="R1009" s="6" t="str">
        <f ca="1">IFERROR(__xludf.DUMMYFUNCTION("""COMPUTED_VALUE"""),"Pending")</f>
        <v>Pending</v>
      </c>
      <c r="S1009" s="6" t="str">
        <f ca="1">IFERROR(__xludf.DUMMYFUNCTION("""COMPUTED_VALUE"""),"NonCategory")</f>
        <v>NonCategory</v>
      </c>
      <c r="T1009" s="6"/>
      <c r="U1009" s="6"/>
      <c r="V1009" s="6"/>
      <c r="W1009" s="6"/>
      <c r="X1009" s="6"/>
      <c r="Y1009" s="6"/>
      <c r="Z1009" s="6"/>
      <c r="AA1009" s="6"/>
      <c r="AB1009" s="6"/>
      <c r="AC1009" s="6"/>
      <c r="AD1009" s="6"/>
      <c r="AE1009" s="6"/>
      <c r="AF1009" s="6"/>
      <c r="AG1009" s="6"/>
      <c r="AH1009" s="6"/>
      <c r="AI1009" s="6"/>
      <c r="AJ1009" s="6"/>
      <c r="AK1009" s="6"/>
      <c r="AL1009" s="6"/>
    </row>
    <row r="1010" spans="1:38">
      <c r="A1010" s="96">
        <f ca="1">IFERROR(__xludf.DUMMYFUNCTION("""COMPUTED_VALUE"""),44688)</f>
        <v>44688</v>
      </c>
      <c r="B1010" s="6" t="str">
        <f ca="1">IFERROR(__xludf.DUMMYFUNCTION("""COMPUTED_VALUE"""),"Varthini Moorthy")</f>
        <v>Varthini Moorthy</v>
      </c>
      <c r="C1010" s="6" t="str">
        <f ca="1">IFERROR(__xludf.DUMMYFUNCTION("""COMPUTED_VALUE"""),"govarthinimoorthy@gmail.com")</f>
        <v>govarthinimoorthy@gmail.com</v>
      </c>
      <c r="D1010" s="6">
        <f ca="1">IFERROR(__xludf.DUMMYFUNCTION("""COMPUTED_VALUE"""),8072763761)</f>
        <v>8072763761</v>
      </c>
      <c r="E1010" s="6" t="str">
        <f ca="1">IFERROR(__xludf.DUMMYFUNCTION("""COMPUTED_VALUE"""),"course agenda")</f>
        <v>course agenda</v>
      </c>
      <c r="F1010" s="6" t="str">
        <f ca="1">IFERROR(__xludf.DUMMYFUNCTION("""COMPUTED_VALUE"""),"PSM")</f>
        <v>PSM</v>
      </c>
      <c r="G1010" s="80">
        <f ca="1">IFERROR(__xludf.DUMMYFUNCTION("""COMPUTED_VALUE"""),44682)</f>
        <v>44682</v>
      </c>
      <c r="H1010" s="6" t="str">
        <f ca="1">IFERROR(__xludf.DUMMYFUNCTION("""COMPUTED_VALUE"""),"Won")</f>
        <v>Won</v>
      </c>
      <c r="I1010" s="6" t="str">
        <f ca="1">IFERROR(__xludf.DUMMYFUNCTION("""COMPUTED_VALUE"""),"21-22 May 2022")</f>
        <v>21-22 May 2022</v>
      </c>
      <c r="J1010" s="6">
        <f ca="1">IFERROR(__xludf.DUMMYFUNCTION("""COMPUTED_VALUE"""),1)</f>
        <v>1</v>
      </c>
      <c r="K1010" s="8">
        <f ca="1">IFERROR(__xludf.DUMMYFUNCTION("""COMPUTED_VALUE"""),21000)</f>
        <v>21000</v>
      </c>
      <c r="L1010" s="8">
        <f ca="1">IFERROR(__xludf.DUMMYFUNCTION("""COMPUTED_VALUE"""),240.494732020155)</f>
        <v>240.494732020155</v>
      </c>
      <c r="M1010" s="96">
        <f ca="1">IFERROR(__xludf.DUMMYFUNCTION("""COMPUTED_VALUE"""),44688)</f>
        <v>44688</v>
      </c>
      <c r="N1010" s="6" t="str">
        <f ca="1">IFERROR(__xludf.DUMMYFUNCTION("""COMPUTED_VALUE"""),"F10")</f>
        <v>F10</v>
      </c>
      <c r="O1010" s="97">
        <f ca="1">IFERROR(__xludf.DUMMYFUNCTION("""COMPUTED_VALUE"""),44688)</f>
        <v>44688</v>
      </c>
      <c r="P1010" s="6" t="str">
        <f ca="1">IFERROR(__xludf.DUMMYFUNCTION("""COMPUTED_VALUE"""),"CSTM_VILSC2MLZS")</f>
        <v>CSTM_VILSC2MLZS</v>
      </c>
      <c r="Q1010" s="6"/>
      <c r="R1010" s="6" t="str">
        <f ca="1">IFERROR(__xludf.DUMMYFUNCTION("""COMPUTED_VALUE"""),"Done. Good feedback.")</f>
        <v>Done. Good feedback.</v>
      </c>
      <c r="S1010" s="6" t="str">
        <f ca="1">IFERROR(__xludf.DUMMYFUNCTION("""COMPUTED_VALUE"""),"Category")</f>
        <v>Category</v>
      </c>
      <c r="T1010" s="6"/>
      <c r="U1010" s="6"/>
      <c r="V1010" s="6"/>
      <c r="W1010" s="6"/>
      <c r="X1010" s="6"/>
      <c r="Y1010" s="6"/>
      <c r="Z1010" s="6"/>
      <c r="AA1010" s="6"/>
      <c r="AB1010" s="6"/>
      <c r="AC1010" s="6"/>
      <c r="AD1010" s="6"/>
      <c r="AE1010" s="6"/>
      <c r="AF1010" s="6"/>
      <c r="AG1010" s="6"/>
      <c r="AH1010" s="6"/>
      <c r="AI1010" s="6"/>
      <c r="AJ1010" s="6"/>
      <c r="AK1010" s="6"/>
      <c r="AL1010" s="6"/>
    </row>
    <row r="1011" spans="1:38">
      <c r="A1011" s="96">
        <f ca="1">IFERROR(__xludf.DUMMYFUNCTION("""COMPUTED_VALUE"""),44690)</f>
        <v>44690</v>
      </c>
      <c r="B1011" s="6" t="str">
        <f ca="1">IFERROR(__xludf.DUMMYFUNCTION("""COMPUTED_VALUE"""),"Dinesh")</f>
        <v>Dinesh</v>
      </c>
      <c r="C1011" s="6" t="str">
        <f ca="1">IFERROR(__xludf.DUMMYFUNCTION("""COMPUTED_VALUE"""),"dineshrajuatcbe@gmail.com")</f>
        <v>dineshrajuatcbe@gmail.com</v>
      </c>
      <c r="D1011" s="6">
        <f ca="1">IFERROR(__xludf.DUMMYFUNCTION("""COMPUTED_VALUE"""),8754492050)</f>
        <v>8754492050</v>
      </c>
      <c r="E1011" s="6" t="str">
        <f ca="1">IFERROR(__xludf.DUMMYFUNCTION("""COMPUTED_VALUE"""),"course agenda")</f>
        <v>course agenda</v>
      </c>
      <c r="F1011" s="6" t="str">
        <f ca="1">IFERROR(__xludf.DUMMYFUNCTION("""COMPUTED_VALUE"""),"PSM")</f>
        <v>PSM</v>
      </c>
      <c r="G1011" s="80">
        <f ca="1">IFERROR(__xludf.DUMMYFUNCTION("""COMPUTED_VALUE"""),44682)</f>
        <v>44682</v>
      </c>
      <c r="H1011" s="6" t="str">
        <f ca="1">IFERROR(__xludf.DUMMYFUNCTION("""COMPUTED_VALUE"""),"Opportunity")</f>
        <v>Opportunity</v>
      </c>
      <c r="I1011" s="6" t="str">
        <f ca="1">IFERROR(__xludf.DUMMYFUNCTION("""COMPUTED_VALUE"""),"21-22 May 2022")</f>
        <v>21-22 May 2022</v>
      </c>
      <c r="J1011" s="6">
        <f ca="1">IFERROR(__xludf.DUMMYFUNCTION("""COMPUTED_VALUE"""),1)</f>
        <v>1</v>
      </c>
      <c r="K1011" s="8">
        <f ca="1">IFERROR(__xludf.DUMMYFUNCTION("""COMPUTED_VALUE"""),21000)</f>
        <v>21000</v>
      </c>
      <c r="L1011" s="8">
        <f ca="1">IFERROR(__xludf.DUMMYFUNCTION("""COMPUTED_VALUE"""),240.494732020155)</f>
        <v>240.494732020155</v>
      </c>
      <c r="M1011" s="96">
        <f ca="1">IFERROR(__xludf.DUMMYFUNCTION("""COMPUTED_VALUE"""),44690)</f>
        <v>44690</v>
      </c>
      <c r="N1011" s="6"/>
      <c r="O1011" s="97"/>
      <c r="P1011" s="6"/>
      <c r="Q1011" s="6"/>
      <c r="R1011" s="6"/>
      <c r="S1011" s="6" t="str">
        <f ca="1">IFERROR(__xludf.DUMMYFUNCTION("""COMPUTED_VALUE"""),"Category")</f>
        <v>Category</v>
      </c>
      <c r="T1011" s="6"/>
      <c r="U1011" s="6"/>
      <c r="V1011" s="6"/>
      <c r="W1011" s="6"/>
      <c r="X1011" s="6"/>
      <c r="Y1011" s="6"/>
      <c r="Z1011" s="6"/>
      <c r="AA1011" s="6"/>
      <c r="AB1011" s="6"/>
      <c r="AC1011" s="6"/>
      <c r="AD1011" s="6"/>
      <c r="AE1011" s="6"/>
      <c r="AF1011" s="6"/>
      <c r="AG1011" s="6"/>
      <c r="AH1011" s="6"/>
      <c r="AI1011" s="6"/>
      <c r="AJ1011" s="6"/>
      <c r="AK1011" s="6"/>
      <c r="AL1011" s="6"/>
    </row>
    <row r="1012" spans="1:38">
      <c r="A1012" s="96">
        <f ca="1">IFERROR(__xludf.DUMMYFUNCTION("""COMPUTED_VALUE"""),44691)</f>
        <v>44691</v>
      </c>
      <c r="B1012" s="6" t="str">
        <f ca="1">IFERROR(__xludf.DUMMYFUNCTION("""COMPUTED_VALUE"""),"Hussain Asif")</f>
        <v>Hussain Asif</v>
      </c>
      <c r="C1012" s="6" t="str">
        <f ca="1">IFERROR(__xludf.DUMMYFUNCTION("""COMPUTED_VALUE"""),"asif97200312@gmail.com")</f>
        <v>asif97200312@gmail.com</v>
      </c>
      <c r="D1012" s="6">
        <f ca="1">IFERROR(__xludf.DUMMYFUNCTION("""COMPUTED_VALUE"""),7032701624)</f>
        <v>7032701624</v>
      </c>
      <c r="E1012" s="6" t="str">
        <f ca="1">IFERROR(__xludf.DUMMYFUNCTION("""COMPUTED_VALUE"""),"Query box")</f>
        <v>Query box</v>
      </c>
      <c r="F1012" s="6" t="str">
        <f ca="1">IFERROR(__xludf.DUMMYFUNCTION("""COMPUTED_VALUE"""),"CSM")</f>
        <v>CSM</v>
      </c>
      <c r="G1012" s="80">
        <f ca="1">IFERROR(__xludf.DUMMYFUNCTION("""COMPUTED_VALUE"""),44682)</f>
        <v>44682</v>
      </c>
      <c r="H1012" s="6" t="str">
        <f ca="1">IFERROR(__xludf.DUMMYFUNCTION("""COMPUTED_VALUE"""),"Won")</f>
        <v>Won</v>
      </c>
      <c r="I1012" s="6" t="str">
        <f ca="1">IFERROR(__xludf.DUMMYFUNCTION("""COMPUTED_VALUE"""),"21-22 May 2022")</f>
        <v>21-22 May 2022</v>
      </c>
      <c r="J1012" s="6">
        <f ca="1">IFERROR(__xludf.DUMMYFUNCTION("""COMPUTED_VALUE"""),1)</f>
        <v>1</v>
      </c>
      <c r="K1012" s="8">
        <f ca="1">IFERROR(__xludf.DUMMYFUNCTION("""COMPUTED_VALUE"""),21000)</f>
        <v>21000</v>
      </c>
      <c r="L1012" s="8">
        <f ca="1">IFERROR(__xludf.DUMMYFUNCTION("""COMPUTED_VALUE"""),240.494732020155)</f>
        <v>240.494732020155</v>
      </c>
      <c r="M1012" s="96">
        <f ca="1">IFERROR(__xludf.DUMMYFUNCTION("""COMPUTED_VALUE"""),44691)</f>
        <v>44691</v>
      </c>
      <c r="N1012" s="6" t="str">
        <f ca="1">IFERROR(__xludf.DUMMYFUNCTION("""COMPUTED_VALUE"""),"F10")</f>
        <v>F10</v>
      </c>
      <c r="O1012" s="97">
        <f ca="1">IFERROR(__xludf.DUMMYFUNCTION("""COMPUTED_VALUE"""),44691)</f>
        <v>44691</v>
      </c>
      <c r="P1012" s="6" t="str">
        <f ca="1">IFERROR(__xludf.DUMMYFUNCTION("""COMPUTED_VALUE"""),"CSTM_9CHBAF9XO60")</f>
        <v>CSTM_9CHBAF9XO60</v>
      </c>
      <c r="Q1012" s="6"/>
      <c r="R1012" s="6" t="str">
        <f ca="1">IFERROR(__xludf.DUMMYFUNCTION("""COMPUTED_VALUE"""),"Done. Good feedback.")</f>
        <v>Done. Good feedback.</v>
      </c>
      <c r="S1012" s="6" t="str">
        <f ca="1">IFERROR(__xludf.DUMMYFUNCTION("""COMPUTED_VALUE"""),"Category")</f>
        <v>Category</v>
      </c>
      <c r="T1012" s="6"/>
      <c r="U1012" s="6"/>
      <c r="V1012" s="6"/>
      <c r="W1012" s="6"/>
      <c r="X1012" s="6"/>
      <c r="Y1012" s="6"/>
      <c r="Z1012" s="6"/>
      <c r="AA1012" s="6"/>
      <c r="AB1012" s="6"/>
      <c r="AC1012" s="6"/>
      <c r="AD1012" s="6"/>
      <c r="AE1012" s="6"/>
      <c r="AF1012" s="6"/>
      <c r="AG1012" s="6"/>
      <c r="AH1012" s="6"/>
      <c r="AI1012" s="6"/>
      <c r="AJ1012" s="6"/>
      <c r="AK1012" s="6"/>
      <c r="AL1012" s="6"/>
    </row>
    <row r="1013" spans="1:38">
      <c r="A1013" s="96">
        <f ca="1">IFERROR(__xludf.DUMMYFUNCTION("""COMPUTED_VALUE"""),44691)</f>
        <v>44691</v>
      </c>
      <c r="B1013" s="6" t="str">
        <f ca="1">IFERROR(__xludf.DUMMYFUNCTION("""COMPUTED_VALUE"""),"Priyanka")</f>
        <v>Priyanka</v>
      </c>
      <c r="C1013" s="6" t="str">
        <f ca="1">IFERROR(__xludf.DUMMYFUNCTION("""COMPUTED_VALUE"""),"priyanka5sep@gmail.com")</f>
        <v>priyanka5sep@gmail.com</v>
      </c>
      <c r="D1013" s="6">
        <f ca="1">IFERROR(__xludf.DUMMYFUNCTION("""COMPUTED_VALUE"""),9903598465)</f>
        <v>9903598465</v>
      </c>
      <c r="E1013" s="6" t="str">
        <f ca="1">IFERROR(__xludf.DUMMYFUNCTION("""COMPUTED_VALUE"""),"Query box")</f>
        <v>Query box</v>
      </c>
      <c r="F1013" s="6" t="str">
        <f ca="1">IFERROR(__xludf.DUMMYFUNCTION("""COMPUTED_VALUE"""),"PSM 2")</f>
        <v>PSM 2</v>
      </c>
      <c r="G1013" s="80">
        <f ca="1">IFERROR(__xludf.DUMMYFUNCTION("""COMPUTED_VALUE"""),44682)</f>
        <v>44682</v>
      </c>
      <c r="H1013" s="6" t="str">
        <f ca="1">IFERROR(__xludf.DUMMYFUNCTION("""COMPUTED_VALUE"""),"Won")</f>
        <v>Won</v>
      </c>
      <c r="I1013" s="6" t="str">
        <f ca="1">IFERROR(__xludf.DUMMYFUNCTION("""COMPUTED_VALUE"""),"28-29 May 2022")</f>
        <v>28-29 May 2022</v>
      </c>
      <c r="J1013" s="6">
        <f ca="1">IFERROR(__xludf.DUMMYFUNCTION("""COMPUTED_VALUE"""),1)</f>
        <v>1</v>
      </c>
      <c r="K1013" s="8">
        <f ca="1">IFERROR(__xludf.DUMMYFUNCTION("""COMPUTED_VALUE"""),24000)</f>
        <v>24000</v>
      </c>
      <c r="L1013" s="8">
        <f ca="1">IFERROR(__xludf.DUMMYFUNCTION("""COMPUTED_VALUE"""),274.851122308749)</f>
        <v>274.85112230874898</v>
      </c>
      <c r="M1013" s="96">
        <f ca="1">IFERROR(__xludf.DUMMYFUNCTION("""COMPUTED_VALUE"""),44691)</f>
        <v>44691</v>
      </c>
      <c r="N1013" s="6" t="str">
        <f ca="1">IFERROR(__xludf.DUMMYFUNCTION("""COMPUTED_VALUE"""),"F10")</f>
        <v>F10</v>
      </c>
      <c r="O1013" s="97">
        <f ca="1">IFERROR(__xludf.DUMMYFUNCTION("""COMPUTED_VALUE"""),44691)</f>
        <v>44691</v>
      </c>
      <c r="P1013" s="6" t="str">
        <f ca="1">IFERROR(__xludf.DUMMYFUNCTION("""COMPUTED_VALUE"""),"CSTM_7C6LMQG9A3Y")</f>
        <v>CSTM_7C6LMQG9A3Y</v>
      </c>
      <c r="Q1013" s="6"/>
      <c r="R1013" s="6" t="str">
        <f ca="1">IFERROR(__xludf.DUMMYFUNCTION("""COMPUTED_VALUE"""),"Pending")</f>
        <v>Pending</v>
      </c>
      <c r="S1013" s="6" t="str">
        <f ca="1">IFERROR(__xludf.DUMMYFUNCTION("""COMPUTED_VALUE"""),"Category")</f>
        <v>Category</v>
      </c>
      <c r="T1013" s="6"/>
      <c r="U1013" s="6"/>
      <c r="V1013" s="6"/>
      <c r="W1013" s="6"/>
      <c r="X1013" s="6"/>
      <c r="Y1013" s="6"/>
      <c r="Z1013" s="6"/>
      <c r="AA1013" s="6"/>
      <c r="AB1013" s="6"/>
      <c r="AC1013" s="6"/>
      <c r="AD1013" s="6"/>
      <c r="AE1013" s="6"/>
      <c r="AF1013" s="6"/>
      <c r="AG1013" s="6"/>
      <c r="AH1013" s="6"/>
      <c r="AI1013" s="6"/>
      <c r="AJ1013" s="6"/>
      <c r="AK1013" s="6"/>
      <c r="AL1013" s="6"/>
    </row>
    <row r="1014" spans="1:38">
      <c r="A1014" s="96">
        <f ca="1">IFERROR(__xludf.DUMMYFUNCTION("""COMPUTED_VALUE"""),44691)</f>
        <v>44691</v>
      </c>
      <c r="B1014" s="6" t="str">
        <f ca="1">IFERROR(__xludf.DUMMYFUNCTION("""COMPUTED_VALUE"""),"Ajin Kumar")</f>
        <v>Ajin Kumar</v>
      </c>
      <c r="C1014" s="6" t="str">
        <f ca="1">IFERROR(__xludf.DUMMYFUNCTION("""COMPUTED_VALUE"""),"ajinks4world@gmail.com")</f>
        <v>ajinks4world@gmail.com</v>
      </c>
      <c r="D1014" s="6">
        <f ca="1">IFERROR(__xludf.DUMMYFUNCTION("""COMPUTED_VALUE"""),8754420996)</f>
        <v>8754420996</v>
      </c>
      <c r="E1014" s="6" t="str">
        <f ca="1">IFERROR(__xludf.DUMMYFUNCTION("""COMPUTED_VALUE"""),"chat_initiated")</f>
        <v>chat_initiated</v>
      </c>
      <c r="F1014" s="6" t="str">
        <f ca="1">IFERROR(__xludf.DUMMYFUNCTION("""COMPUTED_VALUE"""),"PSPO")</f>
        <v>PSPO</v>
      </c>
      <c r="G1014" s="80">
        <f ca="1">IFERROR(__xludf.DUMMYFUNCTION("""COMPUTED_VALUE"""),44682)</f>
        <v>44682</v>
      </c>
      <c r="H1014" s="6" t="str">
        <f ca="1">IFERROR(__xludf.DUMMYFUNCTION("""COMPUTED_VALUE"""),"Won")</f>
        <v>Won</v>
      </c>
      <c r="I1014" s="6" t="str">
        <f ca="1">IFERROR(__xludf.DUMMYFUNCTION("""COMPUTED_VALUE"""),"14-15 May 2022")</f>
        <v>14-15 May 2022</v>
      </c>
      <c r="J1014" s="6">
        <f ca="1">IFERROR(__xludf.DUMMYFUNCTION("""COMPUTED_VALUE"""),1)</f>
        <v>1</v>
      </c>
      <c r="K1014" s="8">
        <f ca="1">IFERROR(__xludf.DUMMYFUNCTION("""COMPUTED_VALUE"""),21000)</f>
        <v>21000</v>
      </c>
      <c r="L1014" s="8">
        <f ca="1">IFERROR(__xludf.DUMMYFUNCTION("""COMPUTED_VALUE"""),240.494732020155)</f>
        <v>240.494732020155</v>
      </c>
      <c r="M1014" s="96">
        <f ca="1">IFERROR(__xludf.DUMMYFUNCTION("""COMPUTED_VALUE"""),44691)</f>
        <v>44691</v>
      </c>
      <c r="N1014" s="6" t="str">
        <f ca="1">IFERROR(__xludf.DUMMYFUNCTION("""COMPUTED_VALUE"""),"F10")</f>
        <v>F10</v>
      </c>
      <c r="O1014" s="97">
        <f ca="1">IFERROR(__xludf.DUMMYFUNCTION("""COMPUTED_VALUE"""),44691)</f>
        <v>44691</v>
      </c>
      <c r="P1014" s="6" t="str">
        <f ca="1">IFERROR(__xludf.DUMMYFUNCTION("""COMPUTED_VALUE"""),"CSTM_6LERGZW82QV")</f>
        <v>CSTM_6LERGZW82QV</v>
      </c>
      <c r="Q1014" s="6"/>
      <c r="R1014" s="6" t="str">
        <f ca="1">IFERROR(__xludf.DUMMYFUNCTION("""COMPUTED_VALUE"""),"Pending")</f>
        <v>Pending</v>
      </c>
      <c r="S1014" s="6" t="str">
        <f ca="1">IFERROR(__xludf.DUMMYFUNCTION("""COMPUTED_VALUE"""),"Category")</f>
        <v>Category</v>
      </c>
      <c r="T1014" s="6"/>
      <c r="U1014" s="6"/>
      <c r="V1014" s="6"/>
      <c r="W1014" s="6"/>
      <c r="X1014" s="6"/>
      <c r="Y1014" s="6"/>
      <c r="Z1014" s="6"/>
      <c r="AA1014" s="6"/>
      <c r="AB1014" s="6"/>
      <c r="AC1014" s="6"/>
      <c r="AD1014" s="6"/>
      <c r="AE1014" s="6"/>
      <c r="AF1014" s="6"/>
      <c r="AG1014" s="6"/>
      <c r="AH1014" s="6"/>
      <c r="AI1014" s="6"/>
      <c r="AJ1014" s="6"/>
      <c r="AK1014" s="6"/>
      <c r="AL1014" s="6"/>
    </row>
    <row r="1015" spans="1:38">
      <c r="A1015" s="96">
        <f ca="1">IFERROR(__xludf.DUMMYFUNCTION("""COMPUTED_VALUE"""),44691)</f>
        <v>44691</v>
      </c>
      <c r="B1015" s="6" t="str">
        <f ca="1">IFERROR(__xludf.DUMMYFUNCTION("""COMPUTED_VALUE"""),"Sreenu Vadapalli")</f>
        <v>Sreenu Vadapalli</v>
      </c>
      <c r="C1015" s="6" t="str">
        <f ca="1">IFERROR(__xludf.DUMMYFUNCTION("""COMPUTED_VALUE"""),"sreenuvadapalli@gmail.com")</f>
        <v>sreenuvadapalli@gmail.com</v>
      </c>
      <c r="D1015" s="6">
        <f ca="1">IFERROR(__xludf.DUMMYFUNCTION("""COMPUTED_VALUE"""),9848053095)</f>
        <v>9848053095</v>
      </c>
      <c r="E1015" s="6" t="str">
        <f ca="1">IFERROR(__xludf.DUMMYFUNCTION("""COMPUTED_VALUE"""),"course agenda")</f>
        <v>course agenda</v>
      </c>
      <c r="F1015" s="6" t="str">
        <f ca="1">IFERROR(__xludf.DUMMYFUNCTION("""COMPUTED_VALUE"""),"PSPO")</f>
        <v>PSPO</v>
      </c>
      <c r="G1015" s="80">
        <f ca="1">IFERROR(__xludf.DUMMYFUNCTION("""COMPUTED_VALUE"""),44682)</f>
        <v>44682</v>
      </c>
      <c r="H1015" s="6" t="str">
        <f ca="1">IFERROR(__xludf.DUMMYFUNCTION("""COMPUTED_VALUE"""),"Opportunity")</f>
        <v>Opportunity</v>
      </c>
      <c r="I1015" s="6" t="str">
        <f ca="1">IFERROR(__xludf.DUMMYFUNCTION("""COMPUTED_VALUE"""),"28-29 May 2022")</f>
        <v>28-29 May 2022</v>
      </c>
      <c r="J1015" s="6">
        <f ca="1">IFERROR(__xludf.DUMMYFUNCTION("""COMPUTED_VALUE"""),1)</f>
        <v>1</v>
      </c>
      <c r="K1015" s="8">
        <f ca="1">IFERROR(__xludf.DUMMYFUNCTION("""COMPUTED_VALUE"""),21000)</f>
        <v>21000</v>
      </c>
      <c r="L1015" s="8">
        <f ca="1">IFERROR(__xludf.DUMMYFUNCTION("""COMPUTED_VALUE"""),240.494732020155)</f>
        <v>240.494732020155</v>
      </c>
      <c r="M1015" s="96">
        <f ca="1">IFERROR(__xludf.DUMMYFUNCTION("""COMPUTED_VALUE"""),44691)</f>
        <v>44691</v>
      </c>
      <c r="N1015" s="6"/>
      <c r="O1015" s="97"/>
      <c r="P1015" s="6"/>
      <c r="Q1015" s="6"/>
      <c r="R1015" s="6"/>
      <c r="S1015" s="6" t="str">
        <f ca="1">IFERROR(__xludf.DUMMYFUNCTION("""COMPUTED_VALUE"""),"Category")</f>
        <v>Category</v>
      </c>
      <c r="T1015" s="6"/>
      <c r="U1015" s="6"/>
      <c r="V1015" s="6"/>
      <c r="W1015" s="6"/>
      <c r="X1015" s="6"/>
      <c r="Y1015" s="6"/>
      <c r="Z1015" s="6"/>
      <c r="AA1015" s="6"/>
      <c r="AB1015" s="6"/>
      <c r="AC1015" s="6"/>
      <c r="AD1015" s="6"/>
      <c r="AE1015" s="6"/>
      <c r="AF1015" s="6"/>
      <c r="AG1015" s="6"/>
      <c r="AH1015" s="6"/>
      <c r="AI1015" s="6"/>
      <c r="AJ1015" s="6"/>
      <c r="AK1015" s="6"/>
      <c r="AL1015" s="6"/>
    </row>
    <row r="1016" spans="1:38">
      <c r="A1016" s="96">
        <f ca="1">IFERROR(__xludf.DUMMYFUNCTION("""COMPUTED_VALUE"""),44691)</f>
        <v>44691</v>
      </c>
      <c r="B1016" s="6" t="str">
        <f ca="1">IFERROR(__xludf.DUMMYFUNCTION("""COMPUTED_VALUE"""),"Abhishek Pal")</f>
        <v>Abhishek Pal</v>
      </c>
      <c r="C1016" s="6" t="str">
        <f ca="1">IFERROR(__xludf.DUMMYFUNCTION("""COMPUTED_VALUE"""),"abhishekpal.imi@gmail.com")</f>
        <v>abhishekpal.imi@gmail.com</v>
      </c>
      <c r="D1016" s="6">
        <f ca="1">IFERROR(__xludf.DUMMYFUNCTION("""COMPUTED_VALUE"""),9051116698)</f>
        <v>9051116698</v>
      </c>
      <c r="E1016" s="6" t="str">
        <f ca="1">IFERROR(__xludf.DUMMYFUNCTION("""COMPUTED_VALUE"""),"Reference")</f>
        <v>Reference</v>
      </c>
      <c r="F1016" s="6" t="str">
        <f ca="1">IFERROR(__xludf.DUMMYFUNCTION("""COMPUTED_VALUE"""),"PSM 2")</f>
        <v>PSM 2</v>
      </c>
      <c r="G1016" s="80">
        <f ca="1">IFERROR(__xludf.DUMMYFUNCTION("""COMPUTED_VALUE"""),44682)</f>
        <v>44682</v>
      </c>
      <c r="H1016" s="6" t="str">
        <f ca="1">IFERROR(__xludf.DUMMYFUNCTION("""COMPUTED_VALUE"""),"Won")</f>
        <v>Won</v>
      </c>
      <c r="I1016" s="6" t="str">
        <f ca="1">IFERROR(__xludf.DUMMYFUNCTION("""COMPUTED_VALUE"""),"14-15 May 2022")</f>
        <v>14-15 May 2022</v>
      </c>
      <c r="J1016" s="6">
        <f ca="1">IFERROR(__xludf.DUMMYFUNCTION("""COMPUTED_VALUE"""),1)</f>
        <v>1</v>
      </c>
      <c r="K1016" s="8">
        <f ca="1">IFERROR(__xludf.DUMMYFUNCTION("""COMPUTED_VALUE"""),24000)</f>
        <v>24000</v>
      </c>
      <c r="L1016" s="8">
        <f ca="1">IFERROR(__xludf.DUMMYFUNCTION("""COMPUTED_VALUE"""),274.851122308749)</f>
        <v>274.85112230874898</v>
      </c>
      <c r="M1016" s="96">
        <f ca="1">IFERROR(__xludf.DUMMYFUNCTION("""COMPUTED_VALUE"""),44691)</f>
        <v>44691</v>
      </c>
      <c r="N1016" s="6" t="str">
        <f ca="1">IFERROR(__xludf.DUMMYFUNCTION("""COMPUTED_VALUE"""),"F10")</f>
        <v>F10</v>
      </c>
      <c r="O1016" s="97">
        <f ca="1">IFERROR(__xludf.DUMMYFUNCTION("""COMPUTED_VALUE"""),44691)</f>
        <v>44691</v>
      </c>
      <c r="P1016" s="6" t="str">
        <f ca="1">IFERROR(__xludf.DUMMYFUNCTION("""COMPUTED_VALUE"""),"CSTM_IROE64FTW1Z")</f>
        <v>CSTM_IROE64FTW1Z</v>
      </c>
      <c r="Q1016" s="6" t="str">
        <f ca="1">IFERROR(__xludf.DUMMYFUNCTION("""COMPUTED_VALUE"""),"Reference by toabhishekpal@gmail.com")</f>
        <v>Reference by toabhishekpal@gmail.com</v>
      </c>
      <c r="R1016" s="6" t="str">
        <f ca="1">IFERROR(__xludf.DUMMYFUNCTION("""COMPUTED_VALUE"""),"Done. Good feedback.")</f>
        <v>Done. Good feedback.</v>
      </c>
      <c r="S1016" s="6" t="str">
        <f ca="1">IFERROR(__xludf.DUMMYFUNCTION("""COMPUTED_VALUE"""),"Category")</f>
        <v>Category</v>
      </c>
      <c r="T1016" s="6"/>
      <c r="U1016" s="6"/>
      <c r="V1016" s="6"/>
      <c r="W1016" s="6"/>
      <c r="X1016" s="6"/>
      <c r="Y1016" s="6"/>
      <c r="Z1016" s="6"/>
      <c r="AA1016" s="6"/>
      <c r="AB1016" s="6"/>
      <c r="AC1016" s="6"/>
      <c r="AD1016" s="6"/>
      <c r="AE1016" s="6"/>
      <c r="AF1016" s="6"/>
      <c r="AG1016" s="6"/>
      <c r="AH1016" s="6"/>
      <c r="AI1016" s="6"/>
      <c r="AJ1016" s="6"/>
      <c r="AK1016" s="6"/>
      <c r="AL1016" s="6"/>
    </row>
    <row r="1017" spans="1:38">
      <c r="A1017" s="96">
        <f ca="1">IFERROR(__xludf.DUMMYFUNCTION("""COMPUTED_VALUE"""),44691)</f>
        <v>44691</v>
      </c>
      <c r="B1017" s="6" t="str">
        <f ca="1">IFERROR(__xludf.DUMMYFUNCTION("""COMPUTED_VALUE"""),"Srikanth")</f>
        <v>Srikanth</v>
      </c>
      <c r="C1017" s="6" t="str">
        <f ca="1">IFERROR(__xludf.DUMMYFUNCTION("""COMPUTED_VALUE"""),"psreddyeee@gmail.com")</f>
        <v>psreddyeee@gmail.com</v>
      </c>
      <c r="D1017" s="6">
        <f ca="1">IFERROR(__xludf.DUMMYFUNCTION("""COMPUTED_VALUE"""),9790785121)</f>
        <v>9790785121</v>
      </c>
      <c r="E1017" s="6" t="str">
        <f ca="1">IFERROR(__xludf.DUMMYFUNCTION("""COMPUTED_VALUE"""),"Reference")</f>
        <v>Reference</v>
      </c>
      <c r="F1017" s="6" t="str">
        <f ca="1">IFERROR(__xludf.DUMMYFUNCTION("""COMPUTED_VALUE"""),"CSM")</f>
        <v>CSM</v>
      </c>
      <c r="G1017" s="80">
        <f ca="1">IFERROR(__xludf.DUMMYFUNCTION("""COMPUTED_VALUE"""),44682)</f>
        <v>44682</v>
      </c>
      <c r="H1017" s="6" t="str">
        <f ca="1">IFERROR(__xludf.DUMMYFUNCTION("""COMPUTED_VALUE"""),"Won")</f>
        <v>Won</v>
      </c>
      <c r="I1017" s="6" t="str">
        <f ca="1">IFERROR(__xludf.DUMMYFUNCTION("""COMPUTED_VALUE"""),"21-22 May 2022")</f>
        <v>21-22 May 2022</v>
      </c>
      <c r="J1017" s="6">
        <f ca="1">IFERROR(__xludf.DUMMYFUNCTION("""COMPUTED_VALUE"""),1)</f>
        <v>1</v>
      </c>
      <c r="K1017" s="8">
        <f ca="1">IFERROR(__xludf.DUMMYFUNCTION("""COMPUTED_VALUE"""),20000)</f>
        <v>20000</v>
      </c>
      <c r="L1017" s="8">
        <f ca="1">IFERROR(__xludf.DUMMYFUNCTION("""COMPUTED_VALUE"""),229.042601923957)</f>
        <v>229.04260192395699</v>
      </c>
      <c r="M1017" s="96">
        <f ca="1">IFERROR(__xludf.DUMMYFUNCTION("""COMPUTED_VALUE"""),44691)</f>
        <v>44691</v>
      </c>
      <c r="N1017" s="6" t="str">
        <f ca="1">IFERROR(__xludf.DUMMYFUNCTION("""COMPUTED_VALUE"""),"F10")</f>
        <v>F10</v>
      </c>
      <c r="O1017" s="97">
        <f ca="1">IFERROR(__xludf.DUMMYFUNCTION("""COMPUTED_VALUE"""),44691)</f>
        <v>44691</v>
      </c>
      <c r="P1017" s="6" t="str">
        <f ca="1">IFERROR(__xludf.DUMMYFUNCTION("""COMPUTED_VALUE"""),"CSTM_3EQ78VB7V6B")</f>
        <v>CSTM_3EQ78VB7V6B</v>
      </c>
      <c r="Q1017" s="6" t="str">
        <f ca="1">IFERROR(__xludf.DUMMYFUNCTION("""COMPUTED_VALUE"""),"Keerti - Pending")</f>
        <v>Keerti - Pending</v>
      </c>
      <c r="R1017" s="6" t="str">
        <f ca="1">IFERROR(__xludf.DUMMYFUNCTION("""COMPUTED_VALUE"""),"Done. Good feedback.")</f>
        <v>Done. Good feedback.</v>
      </c>
      <c r="S1017" s="6" t="str">
        <f ca="1">IFERROR(__xludf.DUMMYFUNCTION("""COMPUTED_VALUE"""),"Category")</f>
        <v>Category</v>
      </c>
      <c r="T1017" s="6" t="str">
        <f ca="1">IFERROR(__xludf.DUMMYFUNCTION("""COMPUTED_VALUE"""),"Keerti - Pending")</f>
        <v>Keerti - Pending</v>
      </c>
      <c r="U1017" s="6"/>
      <c r="V1017" s="6"/>
      <c r="W1017" s="6"/>
      <c r="X1017" s="6"/>
      <c r="Y1017" s="6"/>
      <c r="Z1017" s="6"/>
      <c r="AA1017" s="6"/>
      <c r="AB1017" s="6"/>
      <c r="AC1017" s="6"/>
      <c r="AD1017" s="6"/>
      <c r="AE1017" s="6"/>
      <c r="AF1017" s="6"/>
      <c r="AG1017" s="6"/>
      <c r="AH1017" s="6"/>
      <c r="AI1017" s="6"/>
      <c r="AJ1017" s="6"/>
      <c r="AK1017" s="6"/>
      <c r="AL1017" s="6"/>
    </row>
    <row r="1018" spans="1:38">
      <c r="A1018" s="96">
        <f ca="1">IFERROR(__xludf.DUMMYFUNCTION("""COMPUTED_VALUE"""),44692)</f>
        <v>44692</v>
      </c>
      <c r="B1018" s="6" t="str">
        <f ca="1">IFERROR(__xludf.DUMMYFUNCTION("""COMPUTED_VALUE"""),"Prasanth E")</f>
        <v>Prasanth E</v>
      </c>
      <c r="C1018" s="6" t="str">
        <f ca="1">IFERROR(__xludf.DUMMYFUNCTION("""COMPUTED_VALUE"""),"e.prasanthh@gmail.com")</f>
        <v>e.prasanthh@gmail.com</v>
      </c>
      <c r="D1018" s="6">
        <f ca="1">IFERROR(__xludf.DUMMYFUNCTION("""COMPUTED_VALUE"""),8122993478)</f>
        <v>8122993478</v>
      </c>
      <c r="E1018" s="6" t="str">
        <f ca="1">IFERROR(__xludf.DUMMYFUNCTION("""COMPUTED_VALUE"""),"course agenda")</f>
        <v>course agenda</v>
      </c>
      <c r="F1018" s="6" t="str">
        <f ca="1">IFERROR(__xludf.DUMMYFUNCTION("""COMPUTED_VALUE"""),"PSPO")</f>
        <v>PSPO</v>
      </c>
      <c r="G1018" s="80">
        <f ca="1">IFERROR(__xludf.DUMMYFUNCTION("""COMPUTED_VALUE"""),44682)</f>
        <v>44682</v>
      </c>
      <c r="H1018" s="6" t="str">
        <f ca="1">IFERROR(__xludf.DUMMYFUNCTION("""COMPUTED_VALUE"""),"Won")</f>
        <v>Won</v>
      </c>
      <c r="I1018" s="6" t="str">
        <f ca="1">IFERROR(__xludf.DUMMYFUNCTION("""COMPUTED_VALUE"""),"14-15 May 2022")</f>
        <v>14-15 May 2022</v>
      </c>
      <c r="J1018" s="6">
        <f ca="1">IFERROR(__xludf.DUMMYFUNCTION("""COMPUTED_VALUE"""),1)</f>
        <v>1</v>
      </c>
      <c r="K1018" s="8">
        <f ca="1">IFERROR(__xludf.DUMMYFUNCTION("""COMPUTED_VALUE"""),21000)</f>
        <v>21000</v>
      </c>
      <c r="L1018" s="8">
        <f ca="1">IFERROR(__xludf.DUMMYFUNCTION("""COMPUTED_VALUE"""),240.494732020155)</f>
        <v>240.494732020155</v>
      </c>
      <c r="M1018" s="96">
        <f ca="1">IFERROR(__xludf.DUMMYFUNCTION("""COMPUTED_VALUE"""),44692)</f>
        <v>44692</v>
      </c>
      <c r="N1018" s="6" t="str">
        <f ca="1">IFERROR(__xludf.DUMMYFUNCTION("""COMPUTED_VALUE"""),"S10")</f>
        <v>S10</v>
      </c>
      <c r="O1018" s="97">
        <f ca="1">IFERROR(__xludf.DUMMYFUNCTION("""COMPUTED_VALUE"""),44692)</f>
        <v>44692</v>
      </c>
      <c r="P1018" s="6" t="str">
        <f ca="1">IFERROR(__xludf.DUMMYFUNCTION("""COMPUTED_VALUE"""),"CSTM_2XG63FNORXT")</f>
        <v>CSTM_2XG63FNORXT</v>
      </c>
      <c r="Q1018" s="6"/>
      <c r="R1018" s="6" t="str">
        <f ca="1">IFERROR(__xludf.DUMMYFUNCTION("""COMPUTED_VALUE"""),"Done. Good feedback.")</f>
        <v>Done. Good feedback.</v>
      </c>
      <c r="S1018" s="6" t="str">
        <f ca="1">IFERROR(__xludf.DUMMYFUNCTION("""COMPUTED_VALUE"""),"Category")</f>
        <v>Category</v>
      </c>
      <c r="T1018" s="6"/>
      <c r="U1018" s="6"/>
      <c r="V1018" s="6"/>
      <c r="W1018" s="6"/>
      <c r="X1018" s="6"/>
      <c r="Y1018" s="6"/>
      <c r="Z1018" s="6"/>
      <c r="AA1018" s="6"/>
      <c r="AB1018" s="6"/>
      <c r="AC1018" s="6"/>
      <c r="AD1018" s="6"/>
      <c r="AE1018" s="6"/>
      <c r="AF1018" s="6"/>
      <c r="AG1018" s="6"/>
      <c r="AH1018" s="6"/>
      <c r="AI1018" s="6"/>
      <c r="AJ1018" s="6"/>
      <c r="AK1018" s="6"/>
      <c r="AL1018" s="6"/>
    </row>
    <row r="1019" spans="1:38">
      <c r="A1019" s="96">
        <f ca="1">IFERROR(__xludf.DUMMYFUNCTION("""COMPUTED_VALUE"""),44692)</f>
        <v>44692</v>
      </c>
      <c r="B1019" s="6" t="str">
        <f ca="1">IFERROR(__xludf.DUMMYFUNCTION("""COMPUTED_VALUE"""),"Ravi Chaudhary")</f>
        <v>Ravi Chaudhary</v>
      </c>
      <c r="C1019" s="6" t="str">
        <f ca="1">IFERROR(__xludf.DUMMYFUNCTION("""COMPUTED_VALUE"""),"ravi.chaudhary0916@gmail.com")</f>
        <v>ravi.chaudhary0916@gmail.com</v>
      </c>
      <c r="D1019" s="6">
        <f ca="1">IFERROR(__xludf.DUMMYFUNCTION("""COMPUTED_VALUE"""),9560521662)</f>
        <v>9560521662</v>
      </c>
      <c r="E1019" s="6" t="str">
        <f ca="1">IFERROR(__xludf.DUMMYFUNCTION("""COMPUTED_VALUE"""),"Reference")</f>
        <v>Reference</v>
      </c>
      <c r="F1019" s="6" t="str">
        <f ca="1">IFERROR(__xludf.DUMMYFUNCTION("""COMPUTED_VALUE"""),"PSM")</f>
        <v>PSM</v>
      </c>
      <c r="G1019" s="80">
        <f ca="1">IFERROR(__xludf.DUMMYFUNCTION("""COMPUTED_VALUE"""),44682)</f>
        <v>44682</v>
      </c>
      <c r="H1019" s="6" t="str">
        <f ca="1">IFERROR(__xludf.DUMMYFUNCTION("""COMPUTED_VALUE"""),"Won")</f>
        <v>Won</v>
      </c>
      <c r="I1019" s="6" t="str">
        <f ca="1">IFERROR(__xludf.DUMMYFUNCTION("""COMPUTED_VALUE"""),"21-22 May 2022")</f>
        <v>21-22 May 2022</v>
      </c>
      <c r="J1019" s="6">
        <f ca="1">IFERROR(__xludf.DUMMYFUNCTION("""COMPUTED_VALUE"""),1)</f>
        <v>1</v>
      </c>
      <c r="K1019" s="8">
        <f ca="1">IFERROR(__xludf.DUMMYFUNCTION("""COMPUTED_VALUE"""),20500)</f>
        <v>20500</v>
      </c>
      <c r="L1019" s="8">
        <f ca="1">IFERROR(__xludf.DUMMYFUNCTION("""COMPUTED_VALUE"""),234.768666972056)</f>
        <v>234.768666972056</v>
      </c>
      <c r="M1019" s="96">
        <f ca="1">IFERROR(__xludf.DUMMYFUNCTION("""COMPUTED_VALUE"""),44692)</f>
        <v>44692</v>
      </c>
      <c r="N1019" s="6" t="str">
        <f ca="1">IFERROR(__xludf.DUMMYFUNCTION("""COMPUTED_VALUE"""),"S10")</f>
        <v>S10</v>
      </c>
      <c r="O1019" s="97">
        <f ca="1">IFERROR(__xludf.DUMMYFUNCTION("""COMPUTED_VALUE"""),44692)</f>
        <v>44692</v>
      </c>
      <c r="P1019" s="6" t="str">
        <f ca="1">IFERROR(__xludf.DUMMYFUNCTION("""COMPUTED_VALUE"""),"CSTM_3F1I50S3BMQ")</f>
        <v>CSTM_3F1I50S3BMQ</v>
      </c>
      <c r="Q1019" s="6" t="str">
        <f ca="1">IFERROR(__xludf.DUMMYFUNCTION("""COMPUTED_VALUE"""),"Reference by Nitesh")</f>
        <v>Reference by Nitesh</v>
      </c>
      <c r="R1019" s="6" t="str">
        <f ca="1">IFERROR(__xludf.DUMMYFUNCTION("""COMPUTED_VALUE"""),"Done. Good feedback.")</f>
        <v>Done. Good feedback.</v>
      </c>
      <c r="S1019" s="6" t="str">
        <f ca="1">IFERROR(__xludf.DUMMYFUNCTION("""COMPUTED_VALUE"""),"Category")</f>
        <v>Category</v>
      </c>
      <c r="T1019" s="6"/>
      <c r="U1019" s="6"/>
      <c r="V1019" s="6"/>
      <c r="W1019" s="6"/>
      <c r="X1019" s="6"/>
      <c r="Y1019" s="6"/>
      <c r="Z1019" s="6"/>
      <c r="AA1019" s="6"/>
      <c r="AB1019" s="6"/>
      <c r="AC1019" s="6"/>
      <c r="AD1019" s="6"/>
      <c r="AE1019" s="6"/>
      <c r="AF1019" s="6"/>
      <c r="AG1019" s="6"/>
      <c r="AH1019" s="6"/>
      <c r="AI1019" s="6"/>
      <c r="AJ1019" s="6"/>
      <c r="AK1019" s="6"/>
      <c r="AL1019" s="6"/>
    </row>
    <row r="1020" spans="1:38">
      <c r="A1020" s="96">
        <f ca="1">IFERROR(__xludf.DUMMYFUNCTION("""COMPUTED_VALUE"""),44692)</f>
        <v>44692</v>
      </c>
      <c r="B1020" s="6" t="str">
        <f ca="1">IFERROR(__xludf.DUMMYFUNCTION("""COMPUTED_VALUE"""),"Chandan Krup")</f>
        <v>Chandan Krup</v>
      </c>
      <c r="C1020" s="6" t="str">
        <f ca="1">IFERROR(__xludf.DUMMYFUNCTION("""COMPUTED_VALUE"""),"chandankrup@gmail.com")</f>
        <v>chandankrup@gmail.com</v>
      </c>
      <c r="D1020" s="6">
        <f ca="1">IFERROR(__xludf.DUMMYFUNCTION("""COMPUTED_VALUE"""),8904490035)</f>
        <v>8904490035</v>
      </c>
      <c r="E1020" s="6" t="str">
        <f ca="1">IFERROR(__xludf.DUMMYFUNCTION("""COMPUTED_VALUE"""),"course agenda")</f>
        <v>course agenda</v>
      </c>
      <c r="F1020" s="6" t="str">
        <f ca="1">IFERROR(__xludf.DUMMYFUNCTION("""COMPUTED_VALUE"""),"PSM")</f>
        <v>PSM</v>
      </c>
      <c r="G1020" s="80">
        <f ca="1">IFERROR(__xludf.DUMMYFUNCTION("""COMPUTED_VALUE"""),44682)</f>
        <v>44682</v>
      </c>
      <c r="H1020" s="6" t="str">
        <f ca="1">IFERROR(__xludf.DUMMYFUNCTION("""COMPUTED_VALUE"""),"Won")</f>
        <v>Won</v>
      </c>
      <c r="I1020" s="6" t="str">
        <f ca="1">IFERROR(__xludf.DUMMYFUNCTION("""COMPUTED_VALUE"""),"14-15 May 2022")</f>
        <v>14-15 May 2022</v>
      </c>
      <c r="J1020" s="6">
        <f ca="1">IFERROR(__xludf.DUMMYFUNCTION("""COMPUTED_VALUE"""),1)</f>
        <v>1</v>
      </c>
      <c r="K1020" s="8">
        <f ca="1">IFERROR(__xludf.DUMMYFUNCTION("""COMPUTED_VALUE"""),20500)</f>
        <v>20500</v>
      </c>
      <c r="L1020" s="8">
        <f ca="1">IFERROR(__xludf.DUMMYFUNCTION("""COMPUTED_VALUE"""),234.768666972056)</f>
        <v>234.768666972056</v>
      </c>
      <c r="M1020" s="96">
        <f ca="1">IFERROR(__xludf.DUMMYFUNCTION("""COMPUTED_VALUE"""),44692)</f>
        <v>44692</v>
      </c>
      <c r="N1020" s="6" t="str">
        <f ca="1">IFERROR(__xludf.DUMMYFUNCTION("""COMPUTED_VALUE"""),"S10")</f>
        <v>S10</v>
      </c>
      <c r="O1020" s="97">
        <f ca="1">IFERROR(__xludf.DUMMYFUNCTION("""COMPUTED_VALUE"""),44692)</f>
        <v>44692</v>
      </c>
      <c r="P1020" s="6" t="str">
        <f ca="1">IFERROR(__xludf.DUMMYFUNCTION("""COMPUTED_VALUE"""),"CSTM_9TN23NXO395")</f>
        <v>CSTM_9TN23NXO395</v>
      </c>
      <c r="Q1020" s="6"/>
      <c r="R1020" s="6" t="str">
        <f ca="1">IFERROR(__xludf.DUMMYFUNCTION("""COMPUTED_VALUE"""),"Done. Good feedback.")</f>
        <v>Done. Good feedback.</v>
      </c>
      <c r="S1020" s="6" t="str">
        <f ca="1">IFERROR(__xludf.DUMMYFUNCTION("""COMPUTED_VALUE"""),"Category")</f>
        <v>Category</v>
      </c>
      <c r="T1020" s="6"/>
      <c r="U1020" s="6"/>
      <c r="V1020" s="6"/>
      <c r="W1020" s="6"/>
      <c r="X1020" s="6"/>
      <c r="Y1020" s="6"/>
      <c r="Z1020" s="6"/>
      <c r="AA1020" s="6"/>
      <c r="AB1020" s="6"/>
      <c r="AC1020" s="6"/>
      <c r="AD1020" s="6"/>
      <c r="AE1020" s="6"/>
      <c r="AF1020" s="6"/>
      <c r="AG1020" s="6"/>
      <c r="AH1020" s="6"/>
      <c r="AI1020" s="6"/>
      <c r="AJ1020" s="6"/>
      <c r="AK1020" s="6"/>
      <c r="AL1020" s="6"/>
    </row>
    <row r="1021" spans="1:38">
      <c r="A1021" s="96">
        <f ca="1">IFERROR(__xludf.DUMMYFUNCTION("""COMPUTED_VALUE"""),44692)</f>
        <v>44692</v>
      </c>
      <c r="B1021" s="6" t="str">
        <f ca="1">IFERROR(__xludf.DUMMYFUNCTION("""COMPUTED_VALUE"""),"Shubhangi Gupta")</f>
        <v>Shubhangi Gupta</v>
      </c>
      <c r="C1021" s="6" t="str">
        <f ca="1">IFERROR(__xludf.DUMMYFUNCTION("""COMPUTED_VALUE"""),"shubhiguptaa95@gmail.com")</f>
        <v>shubhiguptaa95@gmail.com</v>
      </c>
      <c r="D1021" s="6">
        <f ca="1">IFERROR(__xludf.DUMMYFUNCTION("""COMPUTED_VALUE"""),8890448613)</f>
        <v>8890448613</v>
      </c>
      <c r="E1021" s="6" t="str">
        <f ca="1">IFERROR(__xludf.DUMMYFUNCTION("""COMPUTED_VALUE"""),"Reference")</f>
        <v>Reference</v>
      </c>
      <c r="F1021" s="6" t="str">
        <f ca="1">IFERROR(__xludf.DUMMYFUNCTION("""COMPUTED_VALUE"""),"PSM")</f>
        <v>PSM</v>
      </c>
      <c r="G1021" s="80">
        <f ca="1">IFERROR(__xludf.DUMMYFUNCTION("""COMPUTED_VALUE"""),44682)</f>
        <v>44682</v>
      </c>
      <c r="H1021" s="6" t="str">
        <f ca="1">IFERROR(__xludf.DUMMYFUNCTION("""COMPUTED_VALUE"""),"Opportunity")</f>
        <v>Opportunity</v>
      </c>
      <c r="I1021" s="6" t="str">
        <f ca="1">IFERROR(__xludf.DUMMYFUNCTION("""COMPUTED_VALUE"""),"14-15 May 2022")</f>
        <v>14-15 May 2022</v>
      </c>
      <c r="J1021" s="6">
        <f ca="1">IFERROR(__xludf.DUMMYFUNCTION("""COMPUTED_VALUE"""),1)</f>
        <v>1</v>
      </c>
      <c r="K1021" s="8">
        <f ca="1">IFERROR(__xludf.DUMMYFUNCTION("""COMPUTED_VALUE"""),21000)</f>
        <v>21000</v>
      </c>
      <c r="L1021" s="8">
        <f ca="1">IFERROR(__xludf.DUMMYFUNCTION("""COMPUTED_VALUE"""),240.494732020155)</f>
        <v>240.494732020155</v>
      </c>
      <c r="M1021" s="96">
        <f ca="1">IFERROR(__xludf.DUMMYFUNCTION("""COMPUTED_VALUE"""),44692)</f>
        <v>44692</v>
      </c>
      <c r="N1021" s="6"/>
      <c r="O1021" s="97"/>
      <c r="P1021" s="6"/>
      <c r="Q1021" s="6"/>
      <c r="R1021" s="6"/>
      <c r="S1021" s="6" t="str">
        <f ca="1">IFERROR(__xludf.DUMMYFUNCTION("""COMPUTED_VALUE"""),"Category")</f>
        <v>Category</v>
      </c>
      <c r="T1021" s="6"/>
      <c r="U1021" s="6"/>
      <c r="V1021" s="6"/>
      <c r="W1021" s="6"/>
      <c r="X1021" s="6"/>
      <c r="Y1021" s="6"/>
      <c r="Z1021" s="6"/>
      <c r="AA1021" s="6"/>
      <c r="AB1021" s="6"/>
      <c r="AC1021" s="6"/>
      <c r="AD1021" s="6"/>
      <c r="AE1021" s="6"/>
      <c r="AF1021" s="6"/>
      <c r="AG1021" s="6"/>
      <c r="AH1021" s="6"/>
      <c r="AI1021" s="6"/>
      <c r="AJ1021" s="6"/>
      <c r="AK1021" s="6"/>
      <c r="AL1021" s="6"/>
    </row>
    <row r="1022" spans="1:38">
      <c r="A1022" s="96">
        <f ca="1">IFERROR(__xludf.DUMMYFUNCTION("""COMPUTED_VALUE"""),44692)</f>
        <v>44692</v>
      </c>
      <c r="B1022" s="6" t="str">
        <f ca="1">IFERROR(__xludf.DUMMYFUNCTION("""COMPUTED_VALUE"""),"Varaprasad")</f>
        <v>Varaprasad</v>
      </c>
      <c r="C1022" s="6" t="str">
        <f ca="1">IFERROR(__xludf.DUMMYFUNCTION("""COMPUTED_VALUE"""),"varaprasad.shetty@gmail.com")</f>
        <v>varaprasad.shetty@gmail.com</v>
      </c>
      <c r="D1022" s="6">
        <f ca="1">IFERROR(__xludf.DUMMYFUNCTION("""COMPUTED_VALUE"""),7337753890)</f>
        <v>7337753890</v>
      </c>
      <c r="E1022" s="6" t="str">
        <f ca="1">IFERROR(__xludf.DUMMYFUNCTION("""COMPUTED_VALUE"""),"Existing Account")</f>
        <v>Existing Account</v>
      </c>
      <c r="F1022" s="6" t="str">
        <f ca="1">IFERROR(__xludf.DUMMYFUNCTION("""COMPUTED_VALUE"""),"CSM")</f>
        <v>CSM</v>
      </c>
      <c r="G1022" s="80">
        <f ca="1">IFERROR(__xludf.DUMMYFUNCTION("""COMPUTED_VALUE"""),44682)</f>
        <v>44682</v>
      </c>
      <c r="H1022" s="6" t="str">
        <f ca="1">IFERROR(__xludf.DUMMYFUNCTION("""COMPUTED_VALUE"""),"Won")</f>
        <v>Won</v>
      </c>
      <c r="I1022" s="6" t="str">
        <f ca="1">IFERROR(__xludf.DUMMYFUNCTION("""COMPUTED_VALUE"""),"16-17 May 2022")</f>
        <v>16-17 May 2022</v>
      </c>
      <c r="J1022" s="6">
        <f ca="1">IFERROR(__xludf.DUMMYFUNCTION("""COMPUTED_VALUE"""),1)</f>
        <v>1</v>
      </c>
      <c r="K1022" s="8">
        <f ca="1">IFERROR(__xludf.DUMMYFUNCTION("""COMPUTED_VALUE"""),20000)</f>
        <v>20000</v>
      </c>
      <c r="L1022" s="8">
        <f ca="1">IFERROR(__xludf.DUMMYFUNCTION("""COMPUTED_VALUE"""),229.042601923957)</f>
        <v>229.04260192395699</v>
      </c>
      <c r="M1022" s="96">
        <f ca="1">IFERROR(__xludf.DUMMYFUNCTION("""COMPUTED_VALUE"""),44692)</f>
        <v>44692</v>
      </c>
      <c r="N1022" s="6" t="str">
        <f ca="1">IFERROR(__xludf.DUMMYFUNCTION("""COMPUTED_VALUE"""),"S10")</f>
        <v>S10</v>
      </c>
      <c r="O1022" s="97">
        <f ca="1">IFERROR(__xludf.DUMMYFUNCTION("""COMPUTED_VALUE"""),44692)</f>
        <v>44692</v>
      </c>
      <c r="P1022" s="6" t="str">
        <f ca="1">IFERROR(__xludf.DUMMYFUNCTION("""COMPUTED_VALUE"""),"CSTM_GXT6SZEXYU3")</f>
        <v>CSTM_GXT6SZEXYU3</v>
      </c>
      <c r="Q1022" s="6"/>
      <c r="R1022" s="6" t="str">
        <f ca="1">IFERROR(__xludf.DUMMYFUNCTION("""COMPUTED_VALUE"""),"Pending")</f>
        <v>Pending</v>
      </c>
      <c r="S1022" s="6" t="str">
        <f ca="1">IFERROR(__xludf.DUMMYFUNCTION("""COMPUTED_VALUE"""),"Category")</f>
        <v>Category</v>
      </c>
      <c r="T1022" s="6"/>
      <c r="U1022" s="6"/>
      <c r="V1022" s="6"/>
      <c r="W1022" s="6"/>
      <c r="X1022" s="6"/>
      <c r="Y1022" s="6"/>
      <c r="Z1022" s="6"/>
      <c r="AA1022" s="6"/>
      <c r="AB1022" s="6"/>
      <c r="AC1022" s="6"/>
      <c r="AD1022" s="6"/>
      <c r="AE1022" s="6"/>
      <c r="AF1022" s="6"/>
      <c r="AG1022" s="6"/>
      <c r="AH1022" s="6"/>
      <c r="AI1022" s="6"/>
      <c r="AJ1022" s="6"/>
      <c r="AK1022" s="6"/>
      <c r="AL1022" s="6"/>
    </row>
    <row r="1023" spans="1:38">
      <c r="A1023" s="96">
        <f ca="1">IFERROR(__xludf.DUMMYFUNCTION("""COMPUTED_VALUE"""),44693)</f>
        <v>44693</v>
      </c>
      <c r="B1023" s="6" t="str">
        <f ca="1">IFERROR(__xludf.DUMMYFUNCTION("""COMPUTED_VALUE"""),"Anand Sampath")</f>
        <v>Anand Sampath</v>
      </c>
      <c r="C1023" s="6" t="str">
        <f ca="1">IFERROR(__xludf.DUMMYFUNCTION("""COMPUTED_VALUE"""),"sampath_anand@hotmail.com")</f>
        <v>sampath_anand@hotmail.com</v>
      </c>
      <c r="D1023" s="6">
        <f ca="1">IFERROR(__xludf.DUMMYFUNCTION("""COMPUTED_VALUE"""),9741066446)</f>
        <v>9741066446</v>
      </c>
      <c r="E1023" s="6" t="str">
        <f ca="1">IFERROR(__xludf.DUMMYFUNCTION("""COMPUTED_VALUE"""),"Chat_triggered")</f>
        <v>Chat_triggered</v>
      </c>
      <c r="F1023" s="6" t="str">
        <f ca="1">IFERROR(__xludf.DUMMYFUNCTION("""COMPUTED_VALUE"""),"PSPO")</f>
        <v>PSPO</v>
      </c>
      <c r="G1023" s="80">
        <f ca="1">IFERROR(__xludf.DUMMYFUNCTION("""COMPUTED_VALUE"""),44682)</f>
        <v>44682</v>
      </c>
      <c r="H1023" s="6" t="str">
        <f ca="1">IFERROR(__xludf.DUMMYFUNCTION("""COMPUTED_VALUE"""),"Won")</f>
        <v>Won</v>
      </c>
      <c r="I1023" s="6" t="str">
        <f ca="1">IFERROR(__xludf.DUMMYFUNCTION("""COMPUTED_VALUE"""),"14-15 May 2022")</f>
        <v>14-15 May 2022</v>
      </c>
      <c r="J1023" s="6">
        <f ca="1">IFERROR(__xludf.DUMMYFUNCTION("""COMPUTED_VALUE"""),1)</f>
        <v>1</v>
      </c>
      <c r="K1023" s="8">
        <f ca="1">IFERROR(__xludf.DUMMYFUNCTION("""COMPUTED_VALUE"""),21000)</f>
        <v>21000</v>
      </c>
      <c r="L1023" s="8">
        <f ca="1">IFERROR(__xludf.DUMMYFUNCTION("""COMPUTED_VALUE"""),240.494732020155)</f>
        <v>240.494732020155</v>
      </c>
      <c r="M1023" s="96">
        <f ca="1">IFERROR(__xludf.DUMMYFUNCTION("""COMPUTED_VALUE"""),44693)</f>
        <v>44693</v>
      </c>
      <c r="N1023" s="6" t="str">
        <f ca="1">IFERROR(__xludf.DUMMYFUNCTION("""COMPUTED_VALUE"""),"S10")</f>
        <v>S10</v>
      </c>
      <c r="O1023" s="97">
        <f ca="1">IFERROR(__xludf.DUMMYFUNCTION("""COMPUTED_VALUE"""),44693)</f>
        <v>44693</v>
      </c>
      <c r="P1023" s="6" t="str">
        <f ca="1">IFERROR(__xludf.DUMMYFUNCTION("""COMPUTED_VALUE"""),"CSTM_FBDCKE20LAM")</f>
        <v>CSTM_FBDCKE20LAM</v>
      </c>
      <c r="Q1023" s="6"/>
      <c r="R1023" s="6" t="str">
        <f ca="1">IFERROR(__xludf.DUMMYFUNCTION("""COMPUTED_VALUE"""),"Done. Good feedback.")</f>
        <v>Done. Good feedback.</v>
      </c>
      <c r="S1023" s="6" t="str">
        <f ca="1">IFERROR(__xludf.DUMMYFUNCTION("""COMPUTED_VALUE"""),"Category")</f>
        <v>Category</v>
      </c>
      <c r="T1023" s="6"/>
      <c r="U1023" s="6"/>
      <c r="V1023" s="6"/>
      <c r="W1023" s="6"/>
      <c r="X1023" s="6"/>
      <c r="Y1023" s="6"/>
      <c r="Z1023" s="6"/>
      <c r="AA1023" s="6"/>
      <c r="AB1023" s="6"/>
      <c r="AC1023" s="6"/>
      <c r="AD1023" s="6"/>
      <c r="AE1023" s="6"/>
      <c r="AF1023" s="6"/>
      <c r="AG1023" s="6"/>
      <c r="AH1023" s="6"/>
      <c r="AI1023" s="6"/>
      <c r="AJ1023" s="6"/>
      <c r="AK1023" s="6"/>
      <c r="AL1023" s="6"/>
    </row>
    <row r="1024" spans="1:38">
      <c r="A1024" s="96">
        <f ca="1">IFERROR(__xludf.DUMMYFUNCTION("""COMPUTED_VALUE"""),44694)</f>
        <v>44694</v>
      </c>
      <c r="B1024" s="6" t="str">
        <f ca="1">IFERROR(__xludf.DUMMYFUNCTION("""COMPUTED_VALUE"""),"Onkar Swamy")</f>
        <v>Onkar Swamy</v>
      </c>
      <c r="C1024" s="6" t="str">
        <f ca="1">IFERROR(__xludf.DUMMYFUNCTION("""COMPUTED_VALUE"""),"swamyonkar@gmail.com")</f>
        <v>swamyonkar@gmail.com</v>
      </c>
      <c r="D1024" s="6">
        <f ca="1">IFERROR(__xludf.DUMMYFUNCTION("""COMPUTED_VALUE"""),9830438631)</f>
        <v>9830438631</v>
      </c>
      <c r="E1024" s="6" t="str">
        <f ca="1">IFERROR(__xludf.DUMMYFUNCTION("""COMPUTED_VALUE"""),"Query box")</f>
        <v>Query box</v>
      </c>
      <c r="F1024" s="6" t="str">
        <f ca="1">IFERROR(__xludf.DUMMYFUNCTION("""COMPUTED_VALUE"""),"PSM 2")</f>
        <v>PSM 2</v>
      </c>
      <c r="G1024" s="80">
        <f ca="1">IFERROR(__xludf.DUMMYFUNCTION("""COMPUTED_VALUE"""),44682)</f>
        <v>44682</v>
      </c>
      <c r="H1024" s="6" t="str">
        <f ca="1">IFERROR(__xludf.DUMMYFUNCTION("""COMPUTED_VALUE"""),"Won")</f>
        <v>Won</v>
      </c>
      <c r="I1024" s="6" t="str">
        <f ca="1">IFERROR(__xludf.DUMMYFUNCTION("""COMPUTED_VALUE"""),"14-15 May 2022")</f>
        <v>14-15 May 2022</v>
      </c>
      <c r="J1024" s="6">
        <f ca="1">IFERROR(__xludf.DUMMYFUNCTION("""COMPUTED_VALUE"""),1)</f>
        <v>1</v>
      </c>
      <c r="K1024" s="8">
        <f ca="1">IFERROR(__xludf.DUMMYFUNCTION("""COMPUTED_VALUE"""),24000)</f>
        <v>24000</v>
      </c>
      <c r="L1024" s="8">
        <f ca="1">IFERROR(__xludf.DUMMYFUNCTION("""COMPUTED_VALUE"""),274.851122308749)</f>
        <v>274.85112230874898</v>
      </c>
      <c r="M1024" s="96">
        <f ca="1">IFERROR(__xludf.DUMMYFUNCTION("""COMPUTED_VALUE"""),44694)</f>
        <v>44694</v>
      </c>
      <c r="N1024" s="6" t="str">
        <f ca="1">IFERROR(__xludf.DUMMYFUNCTION("""COMPUTED_VALUE"""),"S10")</f>
        <v>S10</v>
      </c>
      <c r="O1024" s="97">
        <f ca="1">IFERROR(__xludf.DUMMYFUNCTION("""COMPUTED_VALUE"""),44694)</f>
        <v>44694</v>
      </c>
      <c r="P1024" s="6" t="str">
        <f ca="1">IFERROR(__xludf.DUMMYFUNCTION("""COMPUTED_VALUE"""),"CSTM_F5WJ0IHCEPK")</f>
        <v>CSTM_F5WJ0IHCEPK</v>
      </c>
      <c r="Q1024" s="6"/>
      <c r="R1024" s="6" t="str">
        <f ca="1">IFERROR(__xludf.DUMMYFUNCTION("""COMPUTED_VALUE"""),"Done. Good feedback.")</f>
        <v>Done. Good feedback.</v>
      </c>
      <c r="S1024" s="6" t="str">
        <f ca="1">IFERROR(__xludf.DUMMYFUNCTION("""COMPUTED_VALUE"""),"Category")</f>
        <v>Category</v>
      </c>
      <c r="T1024" s="6"/>
      <c r="U1024" s="6"/>
      <c r="V1024" s="6"/>
      <c r="W1024" s="6"/>
      <c r="X1024" s="6"/>
      <c r="Y1024" s="6"/>
      <c r="Z1024" s="6"/>
      <c r="AA1024" s="6"/>
      <c r="AB1024" s="6"/>
      <c r="AC1024" s="6"/>
      <c r="AD1024" s="6"/>
      <c r="AE1024" s="6"/>
      <c r="AF1024" s="6"/>
      <c r="AG1024" s="6"/>
      <c r="AH1024" s="6"/>
      <c r="AI1024" s="6"/>
      <c r="AJ1024" s="6"/>
      <c r="AK1024" s="6"/>
      <c r="AL1024" s="6"/>
    </row>
    <row r="1025" spans="1:38">
      <c r="A1025" s="96">
        <f ca="1">IFERROR(__xludf.DUMMYFUNCTION("""COMPUTED_VALUE"""),44694)</f>
        <v>44694</v>
      </c>
      <c r="B1025" s="6" t="str">
        <f ca="1">IFERROR(__xludf.DUMMYFUNCTION("""COMPUTED_VALUE"""),"Puneet")</f>
        <v>Puneet</v>
      </c>
      <c r="C1025" s="6" t="str">
        <f ca="1">IFERROR(__xludf.DUMMYFUNCTION("""COMPUTED_VALUE"""),"puneet1518@gmail.com")</f>
        <v>puneet1518@gmail.com</v>
      </c>
      <c r="D1025" s="6">
        <f ca="1">IFERROR(__xludf.DUMMYFUNCTION("""COMPUTED_VALUE"""),9717892427)</f>
        <v>9717892427</v>
      </c>
      <c r="E1025" s="6" t="str">
        <f ca="1">IFERROR(__xludf.DUMMYFUNCTION("""COMPUTED_VALUE"""),"Query box")</f>
        <v>Query box</v>
      </c>
      <c r="F1025" s="6" t="str">
        <f ca="1">IFERROR(__xludf.DUMMYFUNCTION("""COMPUTED_VALUE"""),"PSM 2")</f>
        <v>PSM 2</v>
      </c>
      <c r="G1025" s="80">
        <f ca="1">IFERROR(__xludf.DUMMYFUNCTION("""COMPUTED_VALUE"""),44682)</f>
        <v>44682</v>
      </c>
      <c r="H1025" s="6" t="str">
        <f ca="1">IFERROR(__xludf.DUMMYFUNCTION("""COMPUTED_VALUE"""),"Won")</f>
        <v>Won</v>
      </c>
      <c r="I1025" s="6" t="str">
        <f ca="1">IFERROR(__xludf.DUMMYFUNCTION("""COMPUTED_VALUE"""),"14-15 May 2022")</f>
        <v>14-15 May 2022</v>
      </c>
      <c r="J1025" s="6">
        <f ca="1">IFERROR(__xludf.DUMMYFUNCTION("""COMPUTED_VALUE"""),1)</f>
        <v>1</v>
      </c>
      <c r="K1025" s="8">
        <f ca="1">IFERROR(__xludf.DUMMYFUNCTION("""COMPUTED_VALUE"""),24000)</f>
        <v>24000</v>
      </c>
      <c r="L1025" s="8">
        <f ca="1">IFERROR(__xludf.DUMMYFUNCTION("""COMPUTED_VALUE"""),274.851122308749)</f>
        <v>274.85112230874898</v>
      </c>
      <c r="M1025" s="96">
        <f ca="1">IFERROR(__xludf.DUMMYFUNCTION("""COMPUTED_VALUE"""),44694)</f>
        <v>44694</v>
      </c>
      <c r="N1025" s="6" t="str">
        <f ca="1">IFERROR(__xludf.DUMMYFUNCTION("""COMPUTED_VALUE"""),"S10")</f>
        <v>S10</v>
      </c>
      <c r="O1025" s="97">
        <f ca="1">IFERROR(__xludf.DUMMYFUNCTION("""COMPUTED_VALUE"""),44694)</f>
        <v>44694</v>
      </c>
      <c r="P1025" s="6" t="str">
        <f ca="1">IFERROR(__xludf.DUMMYFUNCTION("""COMPUTED_VALUE"""),"CSTM_G2N454LBPTT")</f>
        <v>CSTM_G2N454LBPTT</v>
      </c>
      <c r="Q1025" s="6"/>
      <c r="R1025" s="6" t="str">
        <f ca="1">IFERROR(__xludf.DUMMYFUNCTION("""COMPUTED_VALUE"""),"Done. Good feedback.")</f>
        <v>Done. Good feedback.</v>
      </c>
      <c r="S1025" s="6" t="str">
        <f ca="1">IFERROR(__xludf.DUMMYFUNCTION("""COMPUTED_VALUE"""),"Category")</f>
        <v>Category</v>
      </c>
      <c r="T1025" s="6"/>
      <c r="U1025" s="6"/>
      <c r="V1025" s="6"/>
      <c r="W1025" s="6"/>
      <c r="X1025" s="6"/>
      <c r="Y1025" s="6"/>
      <c r="Z1025" s="6"/>
      <c r="AA1025" s="6"/>
      <c r="AB1025" s="6"/>
      <c r="AC1025" s="6"/>
      <c r="AD1025" s="6"/>
      <c r="AE1025" s="6"/>
      <c r="AF1025" s="6"/>
      <c r="AG1025" s="6"/>
      <c r="AH1025" s="6"/>
      <c r="AI1025" s="6"/>
      <c r="AJ1025" s="6"/>
      <c r="AK1025" s="6"/>
      <c r="AL1025" s="6"/>
    </row>
    <row r="1026" spans="1:38">
      <c r="A1026" s="96">
        <f ca="1">IFERROR(__xludf.DUMMYFUNCTION("""COMPUTED_VALUE"""),44694)</f>
        <v>44694</v>
      </c>
      <c r="B1026" s="6" t="str">
        <f ca="1">IFERROR(__xludf.DUMMYFUNCTION("""COMPUTED_VALUE"""),"Leni Rose Jacob")</f>
        <v>Leni Rose Jacob</v>
      </c>
      <c r="C1026" s="6" t="str">
        <f ca="1">IFERROR(__xludf.DUMMYFUNCTION("""COMPUTED_VALUE"""),"lenirosejacob@gmail.com")</f>
        <v>lenirosejacob@gmail.com</v>
      </c>
      <c r="D1026" s="6">
        <f ca="1">IFERROR(__xludf.DUMMYFUNCTION("""COMPUTED_VALUE"""),9446114928)</f>
        <v>9446114928</v>
      </c>
      <c r="E1026" s="6" t="str">
        <f ca="1">IFERROR(__xludf.DUMMYFUNCTION("""COMPUTED_VALUE"""),"Reference")</f>
        <v>Reference</v>
      </c>
      <c r="F1026" s="6" t="str">
        <f ca="1">IFERROR(__xludf.DUMMYFUNCTION("""COMPUTED_VALUE"""),"CSM")</f>
        <v>CSM</v>
      </c>
      <c r="G1026" s="80">
        <f ca="1">IFERROR(__xludf.DUMMYFUNCTION("""COMPUTED_VALUE"""),44682)</f>
        <v>44682</v>
      </c>
      <c r="H1026" s="6" t="str">
        <f ca="1">IFERROR(__xludf.DUMMYFUNCTION("""COMPUTED_VALUE"""),"Won")</f>
        <v>Won</v>
      </c>
      <c r="I1026" s="6" t="str">
        <f ca="1">IFERROR(__xludf.DUMMYFUNCTION("""COMPUTED_VALUE"""),"28-29 May 2022")</f>
        <v>28-29 May 2022</v>
      </c>
      <c r="J1026" s="6">
        <f ca="1">IFERROR(__xludf.DUMMYFUNCTION("""COMPUTED_VALUE"""),1)</f>
        <v>1</v>
      </c>
      <c r="K1026" s="8">
        <f ca="1">IFERROR(__xludf.DUMMYFUNCTION("""COMPUTED_VALUE"""),20000)</f>
        <v>20000</v>
      </c>
      <c r="L1026" s="8">
        <f ca="1">IFERROR(__xludf.DUMMYFUNCTION("""COMPUTED_VALUE"""),229.042601923957)</f>
        <v>229.04260192395699</v>
      </c>
      <c r="M1026" s="96">
        <f ca="1">IFERROR(__xludf.DUMMYFUNCTION("""COMPUTED_VALUE"""),44694)</f>
        <v>44694</v>
      </c>
      <c r="N1026" s="6" t="str">
        <f ca="1">IFERROR(__xludf.DUMMYFUNCTION("""COMPUTED_VALUE"""),"S10")</f>
        <v>S10</v>
      </c>
      <c r="O1026" s="97">
        <f ca="1">IFERROR(__xludf.DUMMYFUNCTION("""COMPUTED_VALUE"""),44694)</f>
        <v>44694</v>
      </c>
      <c r="P1026" s="6" t="str">
        <f ca="1">IFERROR(__xludf.DUMMYFUNCTION("""COMPUTED_VALUE"""),"CSTM_IWATBIYPREC")</f>
        <v>CSTM_IWATBIYPREC</v>
      </c>
      <c r="Q1026" s="6" t="str">
        <f ca="1">IFERROR(__xludf.DUMMYFUNCTION("""COMPUTED_VALUE"""),"Pragya K - Pending")</f>
        <v>Pragya K - Pending</v>
      </c>
      <c r="R1026" s="6" t="str">
        <f ca="1">IFERROR(__xludf.DUMMYFUNCTION("""COMPUTED_VALUE"""),"Pending")</f>
        <v>Pending</v>
      </c>
      <c r="S1026" s="6" t="str">
        <f ca="1">IFERROR(__xludf.DUMMYFUNCTION("""COMPUTED_VALUE"""),"Category")</f>
        <v>Category</v>
      </c>
      <c r="T1026" s="6" t="str">
        <f ca="1">IFERROR(__xludf.DUMMYFUNCTION("""COMPUTED_VALUE"""),"Pragya K - Pending")</f>
        <v>Pragya K - Pending</v>
      </c>
      <c r="U1026" s="6"/>
      <c r="V1026" s="6"/>
      <c r="W1026" s="6"/>
      <c r="X1026" s="6"/>
      <c r="Y1026" s="6"/>
      <c r="Z1026" s="6"/>
      <c r="AA1026" s="6"/>
      <c r="AB1026" s="6"/>
      <c r="AC1026" s="6"/>
      <c r="AD1026" s="6"/>
      <c r="AE1026" s="6"/>
      <c r="AF1026" s="6"/>
      <c r="AG1026" s="6"/>
      <c r="AH1026" s="6"/>
      <c r="AI1026" s="6"/>
      <c r="AJ1026" s="6"/>
      <c r="AK1026" s="6"/>
      <c r="AL1026" s="6"/>
    </row>
    <row r="1027" spans="1:38">
      <c r="A1027" s="96">
        <f ca="1">IFERROR(__xludf.DUMMYFUNCTION("""COMPUTED_VALUE"""),44694)</f>
        <v>44694</v>
      </c>
      <c r="B1027" s="6" t="str">
        <f ca="1">IFERROR(__xludf.DUMMYFUNCTION("""COMPUTED_VALUE"""),"Kavita")</f>
        <v>Kavita</v>
      </c>
      <c r="C1027" s="6" t="str">
        <f ca="1">IFERROR(__xludf.DUMMYFUNCTION("""COMPUTED_VALUE"""),"kavita2001@gmail.com")</f>
        <v>kavita2001@gmail.com</v>
      </c>
      <c r="D1027" s="6">
        <f ca="1">IFERROR(__xludf.DUMMYFUNCTION("""COMPUTED_VALUE"""),9871113492)</f>
        <v>9871113492</v>
      </c>
      <c r="E1027" s="6" t="str">
        <f ca="1">IFERROR(__xludf.DUMMYFUNCTION("""COMPUTED_VALUE"""),"Existing Account")</f>
        <v>Existing Account</v>
      </c>
      <c r="F1027" s="6" t="str">
        <f ca="1">IFERROR(__xludf.DUMMYFUNCTION("""COMPUTED_VALUE"""),"PMP 2nd Installment")</f>
        <v>PMP 2nd Installment</v>
      </c>
      <c r="G1027" s="80">
        <f ca="1">IFERROR(__xludf.DUMMYFUNCTION("""COMPUTED_VALUE"""),44682)</f>
        <v>44682</v>
      </c>
      <c r="H1027" s="6" t="str">
        <f ca="1">IFERROR(__xludf.DUMMYFUNCTION("""COMPUTED_VALUE"""),"Won")</f>
        <v>Won</v>
      </c>
      <c r="I1027" s="6" t="str">
        <f ca="1">IFERROR(__xludf.DUMMYFUNCTION("""COMPUTED_VALUE"""),"7 May 2022")</f>
        <v>7 May 2022</v>
      </c>
      <c r="J1027" s="6">
        <f ca="1">IFERROR(__xludf.DUMMYFUNCTION("""COMPUTED_VALUE"""),1)</f>
        <v>1</v>
      </c>
      <c r="K1027" s="8">
        <f ca="1">IFERROR(__xludf.DUMMYFUNCTION("""COMPUTED_VALUE"""),24750)</f>
        <v>24750</v>
      </c>
      <c r="L1027" s="8">
        <f ca="1">IFERROR(__xludf.DUMMYFUNCTION("""COMPUTED_VALUE"""),283.440219880897)</f>
        <v>283.44021988089702</v>
      </c>
      <c r="M1027" s="96">
        <f ca="1">IFERROR(__xludf.DUMMYFUNCTION("""COMPUTED_VALUE"""),44694)</f>
        <v>44694</v>
      </c>
      <c r="N1027" s="6" t="str">
        <f ca="1">IFERROR(__xludf.DUMMYFUNCTION("""COMPUTED_VALUE"""),"S10")</f>
        <v>S10</v>
      </c>
      <c r="O1027" s="97">
        <f ca="1">IFERROR(__xludf.DUMMYFUNCTION("""COMPUTED_VALUE"""),44694)</f>
        <v>44694</v>
      </c>
      <c r="P1027" s="6" t="str">
        <f ca="1">IFERROR(__xludf.DUMMYFUNCTION("""COMPUTED_VALUE"""),"CSTM_PARTIAL_SUBS_PESF1R0W0W")</f>
        <v>CSTM_PARTIAL_SUBS_PESF1R0W0W</v>
      </c>
      <c r="Q1027" s="6"/>
      <c r="R1027" s="6" t="str">
        <f ca="1">IFERROR(__xludf.DUMMYFUNCTION("""COMPUTED_VALUE"""),"Pending")</f>
        <v>Pending</v>
      </c>
      <c r="S1027" s="6" t="str">
        <f ca="1">IFERROR(__xludf.DUMMYFUNCTION("""COMPUTED_VALUE"""),"NonCategory")</f>
        <v>NonCategory</v>
      </c>
      <c r="T1027" s="6"/>
      <c r="U1027" s="6"/>
      <c r="V1027" s="6"/>
      <c r="W1027" s="6"/>
      <c r="X1027" s="6"/>
      <c r="Y1027" s="6"/>
      <c r="Z1027" s="6"/>
      <c r="AA1027" s="6"/>
      <c r="AB1027" s="6"/>
      <c r="AC1027" s="6"/>
      <c r="AD1027" s="6"/>
      <c r="AE1027" s="6"/>
      <c r="AF1027" s="6"/>
      <c r="AG1027" s="6"/>
      <c r="AH1027" s="6"/>
      <c r="AI1027" s="6"/>
      <c r="AJ1027" s="6"/>
      <c r="AK1027" s="6"/>
      <c r="AL1027" s="6"/>
    </row>
    <row r="1028" spans="1:38">
      <c r="A1028" s="96">
        <f ca="1">IFERROR(__xludf.DUMMYFUNCTION("""COMPUTED_VALUE"""),44697)</f>
        <v>44697</v>
      </c>
      <c r="B1028" s="6" t="str">
        <f ca="1">IFERROR(__xludf.DUMMYFUNCTION("""COMPUTED_VALUE"""),"Nagendra Singh")</f>
        <v>Nagendra Singh</v>
      </c>
      <c r="C1028" s="6" t="str">
        <f ca="1">IFERROR(__xludf.DUMMYFUNCTION("""COMPUTED_VALUE"""),"singh.nagendra88@outlook.com")</f>
        <v>singh.nagendra88@outlook.com</v>
      </c>
      <c r="D1028" s="6">
        <f ca="1">IFERROR(__xludf.DUMMYFUNCTION("""COMPUTED_VALUE"""),9967524526)</f>
        <v>9967524526</v>
      </c>
      <c r="E1028" s="6" t="str">
        <f ca="1">IFERROR(__xludf.DUMMYFUNCTION("""COMPUTED_VALUE"""),"Existing Account")</f>
        <v>Existing Account</v>
      </c>
      <c r="F1028" s="6" t="str">
        <f ca="1">IFERROR(__xludf.DUMMYFUNCTION("""COMPUTED_VALUE"""),"SAFe Agile")</f>
        <v>SAFe Agile</v>
      </c>
      <c r="G1028" s="80">
        <f ca="1">IFERROR(__xludf.DUMMYFUNCTION("""COMPUTED_VALUE"""),44682)</f>
        <v>44682</v>
      </c>
      <c r="H1028" s="6" t="str">
        <f ca="1">IFERROR(__xludf.DUMMYFUNCTION("""COMPUTED_VALUE"""),"Won")</f>
        <v>Won</v>
      </c>
      <c r="I1028" s="6" t="str">
        <f ca="1">IFERROR(__xludf.DUMMYFUNCTION("""COMPUTED_VALUE"""),"4-5 June 2022")</f>
        <v>4-5 June 2022</v>
      </c>
      <c r="J1028" s="6">
        <f ca="1">IFERROR(__xludf.DUMMYFUNCTION("""COMPUTED_VALUE"""),1)</f>
        <v>1</v>
      </c>
      <c r="K1028" s="8">
        <f ca="1">IFERROR(__xludf.DUMMYFUNCTION("""COMPUTED_VALUE"""),42000)</f>
        <v>42000</v>
      </c>
      <c r="L1028" s="8">
        <f ca="1">IFERROR(__xludf.DUMMYFUNCTION("""COMPUTED_VALUE"""),480.989464040311)</f>
        <v>480.98946404031102</v>
      </c>
      <c r="M1028" s="96">
        <f ca="1">IFERROR(__xludf.DUMMYFUNCTION("""COMPUTED_VALUE"""),44697)</f>
        <v>44697</v>
      </c>
      <c r="N1028" s="6" t="str">
        <f ca="1">IFERROR(__xludf.DUMMYFUNCTION("""COMPUTED_VALUE"""),"S10")</f>
        <v>S10</v>
      </c>
      <c r="O1028" s="97">
        <f ca="1">IFERROR(__xludf.DUMMYFUNCTION("""COMPUTED_VALUE"""),44697)</f>
        <v>44697</v>
      </c>
      <c r="P1028" s="6" t="str">
        <f ca="1">IFERROR(__xludf.DUMMYFUNCTION("""COMPUTED_VALUE"""),"CSTM_JA3CLXRD42A")</f>
        <v>CSTM_JA3CLXRD42A</v>
      </c>
      <c r="Q1028" s="6"/>
      <c r="R1028" s="6" t="str">
        <f ca="1">IFERROR(__xludf.DUMMYFUNCTION("""COMPUTED_VALUE"""),"Done. Good feedback.")</f>
        <v>Done. Good feedback.</v>
      </c>
      <c r="S1028" s="6" t="str">
        <f ca="1">IFERROR(__xludf.DUMMYFUNCTION("""COMPUTED_VALUE"""),"SAFe")</f>
        <v>SAFe</v>
      </c>
      <c r="T1028" s="6"/>
      <c r="U1028" s="6"/>
      <c r="V1028" s="6"/>
      <c r="W1028" s="6"/>
      <c r="X1028" s="6"/>
      <c r="Y1028" s="6"/>
      <c r="Z1028" s="6"/>
      <c r="AA1028" s="6"/>
      <c r="AB1028" s="6"/>
      <c r="AC1028" s="6"/>
      <c r="AD1028" s="6"/>
      <c r="AE1028" s="6"/>
      <c r="AF1028" s="6"/>
      <c r="AG1028" s="6"/>
      <c r="AH1028" s="6"/>
      <c r="AI1028" s="6"/>
      <c r="AJ1028" s="6"/>
      <c r="AK1028" s="6"/>
      <c r="AL1028" s="6"/>
    </row>
    <row r="1029" spans="1:38">
      <c r="A1029" s="96">
        <f ca="1">IFERROR(__xludf.DUMMYFUNCTION("""COMPUTED_VALUE"""),44697)</f>
        <v>44697</v>
      </c>
      <c r="B1029" s="6" t="str">
        <f ca="1">IFERROR(__xludf.DUMMYFUNCTION("""COMPUTED_VALUE"""),"Seemoni")</f>
        <v>Seemoni</v>
      </c>
      <c r="C1029" s="6" t="str">
        <f ca="1">IFERROR(__xludf.DUMMYFUNCTION("""COMPUTED_VALUE"""),"seemonisinha@gmail.com")</f>
        <v>seemonisinha@gmail.com</v>
      </c>
      <c r="D1029" s="6">
        <f ca="1">IFERROR(__xludf.DUMMYFUNCTION("""COMPUTED_VALUE"""),8984265398)</f>
        <v>8984265398</v>
      </c>
      <c r="E1029" s="6" t="str">
        <f ca="1">IFERROR(__xludf.DUMMYFUNCTION("""COMPUTED_VALUE"""),"Tollfree")</f>
        <v>Tollfree</v>
      </c>
      <c r="F1029" s="6" t="str">
        <f ca="1">IFERROR(__xludf.DUMMYFUNCTION("""COMPUTED_VALUE"""),"PSM")</f>
        <v>PSM</v>
      </c>
      <c r="G1029" s="80">
        <f ca="1">IFERROR(__xludf.DUMMYFUNCTION("""COMPUTED_VALUE"""),44682)</f>
        <v>44682</v>
      </c>
      <c r="H1029" s="6" t="str">
        <f ca="1">IFERROR(__xludf.DUMMYFUNCTION("""COMPUTED_VALUE"""),"Won")</f>
        <v>Won</v>
      </c>
      <c r="I1029" s="6" t="str">
        <f ca="1">IFERROR(__xludf.DUMMYFUNCTION("""COMPUTED_VALUE"""),"28-29 May 2022")</f>
        <v>28-29 May 2022</v>
      </c>
      <c r="J1029" s="6">
        <f ca="1">IFERROR(__xludf.DUMMYFUNCTION("""COMPUTED_VALUE"""),1)</f>
        <v>1</v>
      </c>
      <c r="K1029" s="8">
        <f ca="1">IFERROR(__xludf.DUMMYFUNCTION("""COMPUTED_VALUE"""),21000)</f>
        <v>21000</v>
      </c>
      <c r="L1029" s="8">
        <f ca="1">IFERROR(__xludf.DUMMYFUNCTION("""COMPUTED_VALUE"""),240.494732020155)</f>
        <v>240.494732020155</v>
      </c>
      <c r="M1029" s="96">
        <f ca="1">IFERROR(__xludf.DUMMYFUNCTION("""COMPUTED_VALUE"""),44704)</f>
        <v>44704</v>
      </c>
      <c r="N1029" s="6" t="str">
        <f ca="1">IFERROR(__xludf.DUMMYFUNCTION("""COMPUTED_VALUE"""),"T10")</f>
        <v>T10</v>
      </c>
      <c r="O1029" s="97">
        <f ca="1">IFERROR(__xludf.DUMMYFUNCTION("""COMPUTED_VALUE"""),44703)</f>
        <v>44703</v>
      </c>
      <c r="P1029" s="6" t="str">
        <f ca="1">IFERROR(__xludf.DUMMYFUNCTION("""COMPUTED_VALUE"""),"CSTM_DDHXV0DRDS7")</f>
        <v>CSTM_DDHXV0DRDS7</v>
      </c>
      <c r="Q1029" s="6"/>
      <c r="R1029" s="6" t="str">
        <f ca="1">IFERROR(__xludf.DUMMYFUNCTION("""COMPUTED_VALUE"""),"Pending")</f>
        <v>Pending</v>
      </c>
      <c r="S1029" s="6" t="str">
        <f ca="1">IFERROR(__xludf.DUMMYFUNCTION("""COMPUTED_VALUE"""),"Category")</f>
        <v>Category</v>
      </c>
      <c r="T1029" s="6"/>
      <c r="U1029" s="6"/>
      <c r="V1029" s="6"/>
      <c r="W1029" s="6"/>
      <c r="X1029" s="6"/>
      <c r="Y1029" s="6"/>
      <c r="Z1029" s="6"/>
      <c r="AA1029" s="6"/>
      <c r="AB1029" s="6"/>
      <c r="AC1029" s="6"/>
      <c r="AD1029" s="6"/>
      <c r="AE1029" s="6"/>
      <c r="AF1029" s="6"/>
      <c r="AG1029" s="6"/>
      <c r="AH1029" s="6"/>
      <c r="AI1029" s="6"/>
      <c r="AJ1029" s="6"/>
      <c r="AK1029" s="6"/>
      <c r="AL1029" s="6"/>
    </row>
    <row r="1030" spans="1:38">
      <c r="A1030" s="96">
        <f ca="1">IFERROR(__xludf.DUMMYFUNCTION("""COMPUTED_VALUE"""),44697)</f>
        <v>44697</v>
      </c>
      <c r="B1030" s="6" t="str">
        <f ca="1">IFERROR(__xludf.DUMMYFUNCTION("""COMPUTED_VALUE"""),"Sangeetha Babu")</f>
        <v>Sangeetha Babu</v>
      </c>
      <c r="C1030" s="6" t="str">
        <f ca="1">IFERROR(__xludf.DUMMYFUNCTION("""COMPUTED_VALUE"""),"baburajsangeetha@gmail.com")</f>
        <v>baburajsangeetha@gmail.com</v>
      </c>
      <c r="D1030" s="6">
        <f ca="1">IFERROR(__xludf.DUMMYFUNCTION("""COMPUTED_VALUE"""),9663372280)</f>
        <v>9663372280</v>
      </c>
      <c r="E1030" s="6" t="str">
        <f ca="1">IFERROR(__xludf.DUMMYFUNCTION("""COMPUTED_VALUE"""),"chat_initiated")</f>
        <v>chat_initiated</v>
      </c>
      <c r="F1030" s="6" t="str">
        <f ca="1">IFERROR(__xludf.DUMMYFUNCTION("""COMPUTED_VALUE"""),"PSPO")</f>
        <v>PSPO</v>
      </c>
      <c r="G1030" s="80">
        <f ca="1">IFERROR(__xludf.DUMMYFUNCTION("""COMPUTED_VALUE"""),44682)</f>
        <v>44682</v>
      </c>
      <c r="H1030" s="6" t="str">
        <f ca="1">IFERROR(__xludf.DUMMYFUNCTION("""COMPUTED_VALUE"""),"Won")</f>
        <v>Won</v>
      </c>
      <c r="I1030" s="6" t="str">
        <f ca="1">IFERROR(__xludf.DUMMYFUNCTION("""COMPUTED_VALUE"""),"11-12 June 2022")</f>
        <v>11-12 June 2022</v>
      </c>
      <c r="J1030" s="6">
        <f ca="1">IFERROR(__xludf.DUMMYFUNCTION("""COMPUTED_VALUE"""),1)</f>
        <v>1</v>
      </c>
      <c r="K1030" s="8">
        <f ca="1">IFERROR(__xludf.DUMMYFUNCTION("""COMPUTED_VALUE"""),21000)</f>
        <v>21000</v>
      </c>
      <c r="L1030" s="8">
        <f ca="1">IFERROR(__xludf.DUMMYFUNCTION("""COMPUTED_VALUE"""),240.494732020155)</f>
        <v>240.494732020155</v>
      </c>
      <c r="M1030" s="96">
        <f ca="1">IFERROR(__xludf.DUMMYFUNCTION("""COMPUTED_VALUE"""),44697)</f>
        <v>44697</v>
      </c>
      <c r="N1030" s="6" t="str">
        <f ca="1">IFERROR(__xludf.DUMMYFUNCTION("""COMPUTED_VALUE"""),"S10")</f>
        <v>S10</v>
      </c>
      <c r="O1030" s="97">
        <f ca="1">IFERROR(__xludf.DUMMYFUNCTION("""COMPUTED_VALUE"""),44698)</f>
        <v>44698</v>
      </c>
      <c r="P1030" s="6" t="str">
        <f ca="1">IFERROR(__xludf.DUMMYFUNCTION("""COMPUTED_VALUE"""),"CSTM_29RSSQUCX97")</f>
        <v>CSTM_29RSSQUCX97</v>
      </c>
      <c r="Q1030" s="6"/>
      <c r="R1030" s="6" t="str">
        <f ca="1">IFERROR(__xludf.DUMMYFUNCTION("""COMPUTED_VALUE"""),"Pending")</f>
        <v>Pending</v>
      </c>
      <c r="S1030" s="6" t="str">
        <f ca="1">IFERROR(__xludf.DUMMYFUNCTION("""COMPUTED_VALUE"""),"Category")</f>
        <v>Category</v>
      </c>
      <c r="T1030" s="6"/>
      <c r="U1030" s="6"/>
      <c r="V1030" s="6"/>
      <c r="W1030" s="6"/>
      <c r="X1030" s="6"/>
      <c r="Y1030" s="6"/>
      <c r="Z1030" s="6"/>
      <c r="AA1030" s="6"/>
      <c r="AB1030" s="6"/>
      <c r="AC1030" s="6"/>
      <c r="AD1030" s="6"/>
      <c r="AE1030" s="6"/>
      <c r="AF1030" s="6"/>
      <c r="AG1030" s="6"/>
      <c r="AH1030" s="6"/>
      <c r="AI1030" s="6"/>
      <c r="AJ1030" s="6"/>
      <c r="AK1030" s="6"/>
      <c r="AL1030" s="6"/>
    </row>
    <row r="1031" spans="1:38">
      <c r="A1031" s="96">
        <f ca="1">IFERROR(__xludf.DUMMYFUNCTION("""COMPUTED_VALUE"""),44697)</f>
        <v>44697</v>
      </c>
      <c r="B1031" s="6" t="str">
        <f ca="1">IFERROR(__xludf.DUMMYFUNCTION("""COMPUTED_VALUE"""),"Shamla Kannur")</f>
        <v>Shamla Kannur</v>
      </c>
      <c r="C1031" s="6" t="str">
        <f ca="1">IFERROR(__xludf.DUMMYFUNCTION("""COMPUTED_VALUE"""),"shamla.kannur@gmail.com")</f>
        <v>shamla.kannur@gmail.com</v>
      </c>
      <c r="D1031" s="6">
        <f ca="1">IFERROR(__xludf.DUMMYFUNCTION("""COMPUTED_VALUE"""),9740953483)</f>
        <v>9740953483</v>
      </c>
      <c r="E1031" s="6" t="str">
        <f ca="1">IFERROR(__xludf.DUMMYFUNCTION("""COMPUTED_VALUE"""),"Chat_triggered")</f>
        <v>Chat_triggered</v>
      </c>
      <c r="F1031" s="6" t="str">
        <f ca="1">IFERROR(__xludf.DUMMYFUNCTION("""COMPUTED_VALUE"""),"CSM")</f>
        <v>CSM</v>
      </c>
      <c r="G1031" s="80">
        <f ca="1">IFERROR(__xludf.DUMMYFUNCTION("""COMPUTED_VALUE"""),44682)</f>
        <v>44682</v>
      </c>
      <c r="H1031" s="6" t="str">
        <f ca="1">IFERROR(__xludf.DUMMYFUNCTION("""COMPUTED_VALUE"""),"Won")</f>
        <v>Won</v>
      </c>
      <c r="I1031" s="6" t="str">
        <f ca="1">IFERROR(__xludf.DUMMYFUNCTION("""COMPUTED_VALUE"""),"28-29 May 2022")</f>
        <v>28-29 May 2022</v>
      </c>
      <c r="J1031" s="6">
        <f ca="1">IFERROR(__xludf.DUMMYFUNCTION("""COMPUTED_VALUE"""),1)</f>
        <v>1</v>
      </c>
      <c r="K1031" s="8">
        <f ca="1">IFERROR(__xludf.DUMMYFUNCTION("""COMPUTED_VALUE"""),20000)</f>
        <v>20000</v>
      </c>
      <c r="L1031" s="8">
        <f ca="1">IFERROR(__xludf.DUMMYFUNCTION("""COMPUTED_VALUE"""),229.042601923957)</f>
        <v>229.04260192395699</v>
      </c>
      <c r="M1031" s="96">
        <f ca="1">IFERROR(__xludf.DUMMYFUNCTION("""COMPUTED_VALUE"""),44697)</f>
        <v>44697</v>
      </c>
      <c r="N1031" s="6" t="str">
        <f ca="1">IFERROR(__xludf.DUMMYFUNCTION("""COMPUTED_VALUE"""),"S10")</f>
        <v>S10</v>
      </c>
      <c r="O1031" s="97">
        <f ca="1">IFERROR(__xludf.DUMMYFUNCTION("""COMPUTED_VALUE"""),44697)</f>
        <v>44697</v>
      </c>
      <c r="P1031" s="6" t="str">
        <f ca="1">IFERROR(__xludf.DUMMYFUNCTION("""COMPUTED_VALUE"""),"CSTM_CMKN9R246QS")</f>
        <v>CSTM_CMKN9R246QS</v>
      </c>
      <c r="Q1031" s="6"/>
      <c r="R1031" s="6" t="str">
        <f ca="1">IFERROR(__xludf.DUMMYFUNCTION("""COMPUTED_VALUE"""),"Pending")</f>
        <v>Pending</v>
      </c>
      <c r="S1031" s="6" t="str">
        <f ca="1">IFERROR(__xludf.DUMMYFUNCTION("""COMPUTED_VALUE"""),"Category")</f>
        <v>Category</v>
      </c>
      <c r="T1031" s="6"/>
      <c r="U1031" s="6"/>
      <c r="V1031" s="6"/>
      <c r="W1031" s="6"/>
      <c r="X1031" s="6"/>
      <c r="Y1031" s="6"/>
      <c r="Z1031" s="6"/>
      <c r="AA1031" s="6"/>
      <c r="AB1031" s="6"/>
      <c r="AC1031" s="6"/>
      <c r="AD1031" s="6"/>
      <c r="AE1031" s="6"/>
      <c r="AF1031" s="6"/>
      <c r="AG1031" s="6"/>
      <c r="AH1031" s="6"/>
      <c r="AI1031" s="6"/>
      <c r="AJ1031" s="6"/>
      <c r="AK1031" s="6"/>
      <c r="AL1031" s="6"/>
    </row>
    <row r="1032" spans="1:38">
      <c r="A1032" s="96">
        <f ca="1">IFERROR(__xludf.DUMMYFUNCTION("""COMPUTED_VALUE"""),44698)</f>
        <v>44698</v>
      </c>
      <c r="B1032" s="6" t="str">
        <f ca="1">IFERROR(__xludf.DUMMYFUNCTION("""COMPUTED_VALUE"""),"Kamini Panchal")</f>
        <v>Kamini Panchal</v>
      </c>
      <c r="C1032" s="6" t="str">
        <f ca="1">IFERROR(__xludf.DUMMYFUNCTION("""COMPUTED_VALUE"""),"kamini.panchal@gmail.com")</f>
        <v>kamini.panchal@gmail.com</v>
      </c>
      <c r="D1032" s="6">
        <f ca="1">IFERROR(__xludf.DUMMYFUNCTION("""COMPUTED_VALUE"""),9850980812)</f>
        <v>9850980812</v>
      </c>
      <c r="E1032" s="6" t="str">
        <f ca="1">IFERROR(__xludf.DUMMYFUNCTION("""COMPUTED_VALUE"""),"Query box")</f>
        <v>Query box</v>
      </c>
      <c r="F1032" s="6" t="str">
        <f ca="1">IFERROR(__xludf.DUMMYFUNCTION("""COMPUTED_VALUE"""),"ICP-ACC")</f>
        <v>ICP-ACC</v>
      </c>
      <c r="G1032" s="80">
        <f ca="1">IFERROR(__xludf.DUMMYFUNCTION("""COMPUTED_VALUE"""),44682)</f>
        <v>44682</v>
      </c>
      <c r="H1032" s="6" t="str">
        <f ca="1">IFERROR(__xludf.DUMMYFUNCTION("""COMPUTED_VALUE"""),"Opportunity")</f>
        <v>Opportunity</v>
      </c>
      <c r="I1032" s="6" t="str">
        <f ca="1">IFERROR(__xludf.DUMMYFUNCTION("""COMPUTED_VALUE"""),"20-22 May 2022")</f>
        <v>20-22 May 2022</v>
      </c>
      <c r="J1032" s="6">
        <f ca="1">IFERROR(__xludf.DUMMYFUNCTION("""COMPUTED_VALUE"""),1)</f>
        <v>1</v>
      </c>
      <c r="K1032" s="8">
        <f ca="1">IFERROR(__xludf.DUMMYFUNCTION("""COMPUTED_VALUE"""),30500)</f>
        <v>30500</v>
      </c>
      <c r="L1032" s="8">
        <f ca="1">IFERROR(__xludf.DUMMYFUNCTION("""COMPUTED_VALUE"""),349.289967934035)</f>
        <v>349.28996793403502</v>
      </c>
      <c r="M1032" s="96">
        <f ca="1">IFERROR(__xludf.DUMMYFUNCTION("""COMPUTED_VALUE"""),44698)</f>
        <v>44698</v>
      </c>
      <c r="N1032" s="6"/>
      <c r="O1032" s="97"/>
      <c r="P1032" s="6"/>
      <c r="Q1032" s="6"/>
      <c r="R1032" s="6"/>
      <c r="S1032" s="6" t="str">
        <f ca="1">IFERROR(__xludf.DUMMYFUNCTION("""COMPUTED_VALUE"""),"Category")</f>
        <v>Category</v>
      </c>
      <c r="T1032" s="6"/>
      <c r="U1032" s="6"/>
      <c r="V1032" s="6"/>
      <c r="W1032" s="6"/>
      <c r="X1032" s="6"/>
      <c r="Y1032" s="6"/>
      <c r="Z1032" s="6"/>
      <c r="AA1032" s="6"/>
      <c r="AB1032" s="6"/>
      <c r="AC1032" s="6"/>
      <c r="AD1032" s="6"/>
      <c r="AE1032" s="6"/>
      <c r="AF1032" s="6"/>
      <c r="AG1032" s="6"/>
      <c r="AH1032" s="6"/>
      <c r="AI1032" s="6"/>
      <c r="AJ1032" s="6"/>
      <c r="AK1032" s="6"/>
      <c r="AL1032" s="6"/>
    </row>
    <row r="1033" spans="1:38">
      <c r="A1033" s="96">
        <f ca="1">IFERROR(__xludf.DUMMYFUNCTION("""COMPUTED_VALUE"""),44699)</f>
        <v>44699</v>
      </c>
      <c r="B1033" s="6" t="str">
        <f ca="1">IFERROR(__xludf.DUMMYFUNCTION("""COMPUTED_VALUE"""),"Vijay Phani")</f>
        <v>Vijay Phani</v>
      </c>
      <c r="C1033" s="6" t="str">
        <f ca="1">IFERROR(__xludf.DUMMYFUNCTION("""COMPUTED_VALUE"""),"phanivijay555@gmail.com")</f>
        <v>phanivijay555@gmail.com</v>
      </c>
      <c r="D1033" s="6">
        <f ca="1">IFERROR(__xludf.DUMMYFUNCTION("""COMPUTED_VALUE"""),9765967969)</f>
        <v>9765967969</v>
      </c>
      <c r="E1033" s="6" t="str">
        <f ca="1">IFERROR(__xludf.DUMMYFUNCTION("""COMPUTED_VALUE"""),"Tollfree")</f>
        <v>Tollfree</v>
      </c>
      <c r="F1033" s="6" t="str">
        <f ca="1">IFERROR(__xludf.DUMMYFUNCTION("""COMPUTED_VALUE"""),"PSM")</f>
        <v>PSM</v>
      </c>
      <c r="G1033" s="80">
        <f ca="1">IFERROR(__xludf.DUMMYFUNCTION("""COMPUTED_VALUE"""),44682)</f>
        <v>44682</v>
      </c>
      <c r="H1033" s="6" t="str">
        <f ca="1">IFERROR(__xludf.DUMMYFUNCTION("""COMPUTED_VALUE"""),"Won")</f>
        <v>Won</v>
      </c>
      <c r="I1033" s="6" t="str">
        <f ca="1">IFERROR(__xludf.DUMMYFUNCTION("""COMPUTED_VALUE"""),"21-22 May 2022")</f>
        <v>21-22 May 2022</v>
      </c>
      <c r="J1033" s="6">
        <f ca="1">IFERROR(__xludf.DUMMYFUNCTION("""COMPUTED_VALUE"""),1)</f>
        <v>1</v>
      </c>
      <c r="K1033" s="8">
        <f ca="1">IFERROR(__xludf.DUMMYFUNCTION("""COMPUTED_VALUE"""),21000)</f>
        <v>21000</v>
      </c>
      <c r="L1033" s="8">
        <f ca="1">IFERROR(__xludf.DUMMYFUNCTION("""COMPUTED_VALUE"""),240.494732020155)</f>
        <v>240.494732020155</v>
      </c>
      <c r="M1033" s="96">
        <f ca="1">IFERROR(__xludf.DUMMYFUNCTION("""COMPUTED_VALUE"""),44699)</f>
        <v>44699</v>
      </c>
      <c r="N1033" s="6" t="str">
        <f ca="1">IFERROR(__xludf.DUMMYFUNCTION("""COMPUTED_VALUE"""),"S10")</f>
        <v>S10</v>
      </c>
      <c r="O1033" s="97">
        <f ca="1">IFERROR(__xludf.DUMMYFUNCTION("""COMPUTED_VALUE"""),44699)</f>
        <v>44699</v>
      </c>
      <c r="P1033" s="6" t="str">
        <f ca="1">IFERROR(__xludf.DUMMYFUNCTION("""COMPUTED_VALUE"""),"CSTM_EUYHXM8TZIP")</f>
        <v>CSTM_EUYHXM8TZIP</v>
      </c>
      <c r="Q1033" s="6"/>
      <c r="R1033" s="6" t="str">
        <f ca="1">IFERROR(__xludf.DUMMYFUNCTION("""COMPUTED_VALUE"""),"Pending")</f>
        <v>Pending</v>
      </c>
      <c r="S1033" s="6" t="str">
        <f ca="1">IFERROR(__xludf.DUMMYFUNCTION("""COMPUTED_VALUE"""),"Category")</f>
        <v>Category</v>
      </c>
      <c r="T1033" s="6"/>
      <c r="U1033" s="6"/>
      <c r="V1033" s="6"/>
      <c r="W1033" s="6"/>
      <c r="X1033" s="6"/>
      <c r="Y1033" s="6"/>
      <c r="Z1033" s="6"/>
      <c r="AA1033" s="6"/>
      <c r="AB1033" s="6"/>
      <c r="AC1033" s="6"/>
      <c r="AD1033" s="6"/>
      <c r="AE1033" s="6"/>
      <c r="AF1033" s="6"/>
      <c r="AG1033" s="6"/>
      <c r="AH1033" s="6"/>
      <c r="AI1033" s="6"/>
      <c r="AJ1033" s="6"/>
      <c r="AK1033" s="6"/>
      <c r="AL1033" s="6"/>
    </row>
    <row r="1034" spans="1:38">
      <c r="A1034" s="96">
        <f ca="1">IFERROR(__xludf.DUMMYFUNCTION("""COMPUTED_VALUE"""),44699)</f>
        <v>44699</v>
      </c>
      <c r="B1034" s="6" t="str">
        <f ca="1">IFERROR(__xludf.DUMMYFUNCTION("""COMPUTED_VALUE"""),"Naveen")</f>
        <v>Naveen</v>
      </c>
      <c r="C1034" s="6" t="str">
        <f ca="1">IFERROR(__xludf.DUMMYFUNCTION("""COMPUTED_VALUE"""),"naveen.4241@gmail.com")</f>
        <v>naveen.4241@gmail.com</v>
      </c>
      <c r="D1034" s="6">
        <f ca="1">IFERROR(__xludf.DUMMYFUNCTION("""COMPUTED_VALUE"""),9765800603)</f>
        <v>9765800603</v>
      </c>
      <c r="E1034" s="6" t="str">
        <f ca="1">IFERROR(__xludf.DUMMYFUNCTION("""COMPUTED_VALUE"""),"Chat_triggered")</f>
        <v>Chat_triggered</v>
      </c>
      <c r="F1034" s="6" t="str">
        <f ca="1">IFERROR(__xludf.DUMMYFUNCTION("""COMPUTED_VALUE"""),"PSM")</f>
        <v>PSM</v>
      </c>
      <c r="G1034" s="80">
        <f ca="1">IFERROR(__xludf.DUMMYFUNCTION("""COMPUTED_VALUE"""),44682)</f>
        <v>44682</v>
      </c>
      <c r="H1034" s="6" t="str">
        <f ca="1">IFERROR(__xludf.DUMMYFUNCTION("""COMPUTED_VALUE"""),"Won")</f>
        <v>Won</v>
      </c>
      <c r="I1034" s="6" t="str">
        <f ca="1">IFERROR(__xludf.DUMMYFUNCTION("""COMPUTED_VALUE"""),"21-22 May 2022")</f>
        <v>21-22 May 2022</v>
      </c>
      <c r="J1034" s="6">
        <f ca="1">IFERROR(__xludf.DUMMYFUNCTION("""COMPUTED_VALUE"""),1)</f>
        <v>1</v>
      </c>
      <c r="K1034" s="8">
        <f ca="1">IFERROR(__xludf.DUMMYFUNCTION("""COMPUTED_VALUE"""),21000)</f>
        <v>21000</v>
      </c>
      <c r="L1034" s="8">
        <f ca="1">IFERROR(__xludf.DUMMYFUNCTION("""COMPUTED_VALUE"""),240.494732020155)</f>
        <v>240.494732020155</v>
      </c>
      <c r="M1034" s="96">
        <f ca="1">IFERROR(__xludf.DUMMYFUNCTION("""COMPUTED_VALUE"""),44699)</f>
        <v>44699</v>
      </c>
      <c r="N1034" s="6" t="str">
        <f ca="1">IFERROR(__xludf.DUMMYFUNCTION("""COMPUTED_VALUE"""),"S10")</f>
        <v>S10</v>
      </c>
      <c r="O1034" s="97">
        <f ca="1">IFERROR(__xludf.DUMMYFUNCTION("""COMPUTED_VALUE"""),44699)</f>
        <v>44699</v>
      </c>
      <c r="P1034" s="6" t="str">
        <f ca="1">IFERROR(__xludf.DUMMYFUNCTION("""COMPUTED_VALUE"""),"CSTM_3Z0L0HGWKK8")</f>
        <v>CSTM_3Z0L0HGWKK8</v>
      </c>
      <c r="Q1034" s="6"/>
      <c r="R1034" s="6" t="str">
        <f ca="1">IFERROR(__xludf.DUMMYFUNCTION("""COMPUTED_VALUE"""),"Done. Good feedback.")</f>
        <v>Done. Good feedback.</v>
      </c>
      <c r="S1034" s="6" t="str">
        <f ca="1">IFERROR(__xludf.DUMMYFUNCTION("""COMPUTED_VALUE"""),"Category")</f>
        <v>Category</v>
      </c>
      <c r="T1034" s="6"/>
      <c r="U1034" s="6"/>
      <c r="V1034" s="6"/>
      <c r="W1034" s="6"/>
      <c r="X1034" s="6"/>
      <c r="Y1034" s="6"/>
      <c r="Z1034" s="6"/>
      <c r="AA1034" s="6"/>
      <c r="AB1034" s="6"/>
      <c r="AC1034" s="6"/>
      <c r="AD1034" s="6"/>
      <c r="AE1034" s="6"/>
      <c r="AF1034" s="6"/>
      <c r="AG1034" s="6"/>
      <c r="AH1034" s="6"/>
      <c r="AI1034" s="6"/>
      <c r="AJ1034" s="6"/>
      <c r="AK1034" s="6"/>
      <c r="AL1034" s="6"/>
    </row>
    <row r="1035" spans="1:38">
      <c r="A1035" s="96">
        <f ca="1">IFERROR(__xludf.DUMMYFUNCTION("""COMPUTED_VALUE"""),44700)</f>
        <v>44700</v>
      </c>
      <c r="B1035" s="6" t="str">
        <f ca="1">IFERROR(__xludf.DUMMYFUNCTION("""COMPUTED_VALUE"""),"Sunitha Endabetla")</f>
        <v>Sunitha Endabetla</v>
      </c>
      <c r="C1035" s="6" t="str">
        <f ca="1">IFERROR(__xludf.DUMMYFUNCTION("""COMPUTED_VALUE"""),"esunitha06@gmail.com")</f>
        <v>esunitha06@gmail.com</v>
      </c>
      <c r="D1035" s="6">
        <f ca="1">IFERROR(__xludf.DUMMYFUNCTION("""COMPUTED_VALUE"""),9177629711)</f>
        <v>9177629711</v>
      </c>
      <c r="E1035" s="6" t="str">
        <f ca="1">IFERROR(__xludf.DUMMYFUNCTION("""COMPUTED_VALUE"""),"course agenda")</f>
        <v>course agenda</v>
      </c>
      <c r="F1035" s="6" t="str">
        <f ca="1">IFERROR(__xludf.DUMMYFUNCTION("""COMPUTED_VALUE"""),"PSM")</f>
        <v>PSM</v>
      </c>
      <c r="G1035" s="80">
        <f ca="1">IFERROR(__xludf.DUMMYFUNCTION("""COMPUTED_VALUE"""),44682)</f>
        <v>44682</v>
      </c>
      <c r="H1035" s="6" t="str">
        <f ca="1">IFERROR(__xludf.DUMMYFUNCTION("""COMPUTED_VALUE"""),"Won")</f>
        <v>Won</v>
      </c>
      <c r="I1035" s="6" t="str">
        <f ca="1">IFERROR(__xludf.DUMMYFUNCTION("""COMPUTED_VALUE"""),"21-22 May 2022")</f>
        <v>21-22 May 2022</v>
      </c>
      <c r="J1035" s="6">
        <f ca="1">IFERROR(__xludf.DUMMYFUNCTION("""COMPUTED_VALUE"""),1)</f>
        <v>1</v>
      </c>
      <c r="K1035" s="8">
        <f ca="1">IFERROR(__xludf.DUMMYFUNCTION("""COMPUTED_VALUE"""),20500)</f>
        <v>20500</v>
      </c>
      <c r="L1035" s="8">
        <f ca="1">IFERROR(__xludf.DUMMYFUNCTION("""COMPUTED_VALUE"""),234.768666972056)</f>
        <v>234.768666972056</v>
      </c>
      <c r="M1035" s="96">
        <f ca="1">IFERROR(__xludf.DUMMYFUNCTION("""COMPUTED_VALUE"""),44700)</f>
        <v>44700</v>
      </c>
      <c r="N1035" s="6" t="str">
        <f ca="1">IFERROR(__xludf.DUMMYFUNCTION("""COMPUTED_VALUE"""),"S10")</f>
        <v>S10</v>
      </c>
      <c r="O1035" s="97">
        <f ca="1">IFERROR(__xludf.DUMMYFUNCTION("""COMPUTED_VALUE"""),44700)</f>
        <v>44700</v>
      </c>
      <c r="P1035" s="6" t="str">
        <f ca="1">IFERROR(__xludf.DUMMYFUNCTION("""COMPUTED_VALUE"""),"CSTM_JHXWXQ2Y3SS")</f>
        <v>CSTM_JHXWXQ2Y3SS</v>
      </c>
      <c r="Q1035" s="6"/>
      <c r="R1035" s="6" t="str">
        <f ca="1">IFERROR(__xludf.DUMMYFUNCTION("""COMPUTED_VALUE"""),"Done. Good feedback.")</f>
        <v>Done. Good feedback.</v>
      </c>
      <c r="S1035" s="6" t="str">
        <f ca="1">IFERROR(__xludf.DUMMYFUNCTION("""COMPUTED_VALUE"""),"Category")</f>
        <v>Category</v>
      </c>
      <c r="T1035" s="6"/>
      <c r="U1035" s="6"/>
      <c r="V1035" s="6"/>
      <c r="W1035" s="6"/>
      <c r="X1035" s="6"/>
      <c r="Y1035" s="6"/>
      <c r="Z1035" s="6"/>
      <c r="AA1035" s="6"/>
      <c r="AB1035" s="6"/>
      <c r="AC1035" s="6"/>
      <c r="AD1035" s="6"/>
      <c r="AE1035" s="6"/>
      <c r="AF1035" s="6"/>
      <c r="AG1035" s="6"/>
      <c r="AH1035" s="6"/>
      <c r="AI1035" s="6"/>
      <c r="AJ1035" s="6"/>
      <c r="AK1035" s="6"/>
      <c r="AL1035" s="6"/>
    </row>
    <row r="1036" spans="1:38">
      <c r="A1036" s="96">
        <f ca="1">IFERROR(__xludf.DUMMYFUNCTION("""COMPUTED_VALUE"""),44700)</f>
        <v>44700</v>
      </c>
      <c r="B1036" s="6" t="str">
        <f ca="1">IFERROR(__xludf.DUMMYFUNCTION("""COMPUTED_VALUE"""),"Nivrutti Thorat")</f>
        <v>Nivrutti Thorat</v>
      </c>
      <c r="C1036" s="6" t="str">
        <f ca="1">IFERROR(__xludf.DUMMYFUNCTION("""COMPUTED_VALUE"""),"nivruttithorat@gmail.com")</f>
        <v>nivruttithorat@gmail.com</v>
      </c>
      <c r="D1036" s="6">
        <f ca="1">IFERROR(__xludf.DUMMYFUNCTION("""COMPUTED_VALUE"""),9307950788)</f>
        <v>9307950788</v>
      </c>
      <c r="E1036" s="6" t="str">
        <f ca="1">IFERROR(__xludf.DUMMYFUNCTION("""COMPUTED_VALUE"""),"Reference")</f>
        <v>Reference</v>
      </c>
      <c r="F1036" s="6" t="str">
        <f ca="1">IFERROR(__xludf.DUMMYFUNCTION("""COMPUTED_VALUE"""),"PSM")</f>
        <v>PSM</v>
      </c>
      <c r="G1036" s="80">
        <f ca="1">IFERROR(__xludf.DUMMYFUNCTION("""COMPUTED_VALUE"""),44682)</f>
        <v>44682</v>
      </c>
      <c r="H1036" s="6" t="str">
        <f ca="1">IFERROR(__xludf.DUMMYFUNCTION("""COMPUTED_VALUE"""),"Won")</f>
        <v>Won</v>
      </c>
      <c r="I1036" s="6" t="str">
        <f ca="1">IFERROR(__xludf.DUMMYFUNCTION("""COMPUTED_VALUE"""),"21-22 May 2022")</f>
        <v>21-22 May 2022</v>
      </c>
      <c r="J1036" s="6">
        <f ca="1">IFERROR(__xludf.DUMMYFUNCTION("""COMPUTED_VALUE"""),1)</f>
        <v>1</v>
      </c>
      <c r="K1036" s="8">
        <f ca="1">IFERROR(__xludf.DUMMYFUNCTION("""COMPUTED_VALUE"""),20500)</f>
        <v>20500</v>
      </c>
      <c r="L1036" s="8">
        <f ca="1">IFERROR(__xludf.DUMMYFUNCTION("""COMPUTED_VALUE"""),234.768666972056)</f>
        <v>234.768666972056</v>
      </c>
      <c r="M1036" s="96">
        <f ca="1">IFERROR(__xludf.DUMMYFUNCTION("""COMPUTED_VALUE"""),44700)</f>
        <v>44700</v>
      </c>
      <c r="N1036" s="6" t="str">
        <f ca="1">IFERROR(__xludf.DUMMYFUNCTION("""COMPUTED_VALUE"""),"S10")</f>
        <v>S10</v>
      </c>
      <c r="O1036" s="97">
        <f ca="1">IFERROR(__xludf.DUMMYFUNCTION("""COMPUTED_VALUE"""),44700)</f>
        <v>44700</v>
      </c>
      <c r="P1036" s="6" t="str">
        <f ca="1">IFERROR(__xludf.DUMMYFUNCTION("""COMPUTED_VALUE"""),"CSTM_BC4FQY00JV")</f>
        <v>CSTM_BC4FQY00JV</v>
      </c>
      <c r="Q1036" s="6" t="str">
        <f ca="1">IFERROR(__xludf.DUMMYFUNCTION("""COMPUTED_VALUE"""),"Reference by Sunitha")</f>
        <v>Reference by Sunitha</v>
      </c>
      <c r="R1036" s="6" t="str">
        <f ca="1">IFERROR(__xludf.DUMMYFUNCTION("""COMPUTED_VALUE"""),"Pending")</f>
        <v>Pending</v>
      </c>
      <c r="S1036" s="6" t="str">
        <f ca="1">IFERROR(__xludf.DUMMYFUNCTION("""COMPUTED_VALUE"""),"Category")</f>
        <v>Category</v>
      </c>
      <c r="T1036" s="6"/>
      <c r="U1036" s="6"/>
      <c r="V1036" s="6"/>
      <c r="W1036" s="6"/>
      <c r="X1036" s="6"/>
      <c r="Y1036" s="6"/>
      <c r="Z1036" s="6"/>
      <c r="AA1036" s="6"/>
      <c r="AB1036" s="6"/>
      <c r="AC1036" s="6"/>
      <c r="AD1036" s="6"/>
      <c r="AE1036" s="6"/>
      <c r="AF1036" s="6"/>
      <c r="AG1036" s="6"/>
      <c r="AH1036" s="6"/>
      <c r="AI1036" s="6"/>
      <c r="AJ1036" s="6"/>
      <c r="AK1036" s="6"/>
      <c r="AL1036" s="6"/>
    </row>
    <row r="1037" spans="1:38">
      <c r="A1037" s="96">
        <f ca="1">IFERROR(__xludf.DUMMYFUNCTION("""COMPUTED_VALUE"""),44700)</f>
        <v>44700</v>
      </c>
      <c r="B1037" s="6" t="str">
        <f ca="1">IFERROR(__xludf.DUMMYFUNCTION("""COMPUTED_VALUE"""),"Raja")</f>
        <v>Raja</v>
      </c>
      <c r="C1037" s="6" t="str">
        <f ca="1">IFERROR(__xludf.DUMMYFUNCTION("""COMPUTED_VALUE"""),"raja.srm1@gmail.com")</f>
        <v>raja.srm1@gmail.com</v>
      </c>
      <c r="D1037" s="6">
        <f ca="1">IFERROR(__xludf.DUMMYFUNCTION("""COMPUTED_VALUE"""),8870013665)</f>
        <v>8870013665</v>
      </c>
      <c r="E1037" s="6" t="str">
        <f ca="1">IFERROR(__xludf.DUMMYFUNCTION("""COMPUTED_VALUE"""),"Existing Account")</f>
        <v>Existing Account</v>
      </c>
      <c r="F1037" s="6" t="str">
        <f ca="1">IFERROR(__xludf.DUMMYFUNCTION("""COMPUTED_VALUE"""),"PSM")</f>
        <v>PSM</v>
      </c>
      <c r="G1037" s="80">
        <f ca="1">IFERROR(__xludf.DUMMYFUNCTION("""COMPUTED_VALUE"""),44682)</f>
        <v>44682</v>
      </c>
      <c r="H1037" s="6" t="str">
        <f ca="1">IFERROR(__xludf.DUMMYFUNCTION("""COMPUTED_VALUE"""),"Won")</f>
        <v>Won</v>
      </c>
      <c r="I1037" s="6" t="str">
        <f ca="1">IFERROR(__xludf.DUMMYFUNCTION("""COMPUTED_VALUE"""),"21-22 May 2022")</f>
        <v>21-22 May 2022</v>
      </c>
      <c r="J1037" s="6">
        <f ca="1">IFERROR(__xludf.DUMMYFUNCTION("""COMPUTED_VALUE"""),1)</f>
        <v>1</v>
      </c>
      <c r="K1037" s="8">
        <f ca="1">IFERROR(__xludf.DUMMYFUNCTION("""COMPUTED_VALUE"""),21000)</f>
        <v>21000</v>
      </c>
      <c r="L1037" s="8">
        <f ca="1">IFERROR(__xludf.DUMMYFUNCTION("""COMPUTED_VALUE"""),240.494732020155)</f>
        <v>240.494732020155</v>
      </c>
      <c r="M1037" s="96">
        <f ca="1">IFERROR(__xludf.DUMMYFUNCTION("""COMPUTED_VALUE"""),44700)</f>
        <v>44700</v>
      </c>
      <c r="N1037" s="6" t="str">
        <f ca="1">IFERROR(__xludf.DUMMYFUNCTION("""COMPUTED_VALUE"""),"S10")</f>
        <v>S10</v>
      </c>
      <c r="O1037" s="97">
        <f ca="1">IFERROR(__xludf.DUMMYFUNCTION("""COMPUTED_VALUE"""),44700)</f>
        <v>44700</v>
      </c>
      <c r="P1037" s="6" t="str">
        <f ca="1">IFERROR(__xludf.DUMMYFUNCTION("""COMPUTED_VALUE"""),"CSTM_8ZWTL8BLYG0")</f>
        <v>CSTM_8ZWTL8BLYG0</v>
      </c>
      <c r="Q1037" s="6"/>
      <c r="R1037" s="6" t="str">
        <f ca="1">IFERROR(__xludf.DUMMYFUNCTION("""COMPUTED_VALUE"""),"Pending")</f>
        <v>Pending</v>
      </c>
      <c r="S1037" s="6" t="str">
        <f ca="1">IFERROR(__xludf.DUMMYFUNCTION("""COMPUTED_VALUE"""),"Category")</f>
        <v>Category</v>
      </c>
      <c r="T1037" s="6"/>
      <c r="U1037" s="6"/>
      <c r="V1037" s="6"/>
      <c r="W1037" s="6"/>
      <c r="X1037" s="6"/>
      <c r="Y1037" s="6"/>
      <c r="Z1037" s="6"/>
      <c r="AA1037" s="6"/>
      <c r="AB1037" s="6"/>
      <c r="AC1037" s="6"/>
      <c r="AD1037" s="6"/>
      <c r="AE1037" s="6"/>
      <c r="AF1037" s="6"/>
      <c r="AG1037" s="6"/>
      <c r="AH1037" s="6"/>
      <c r="AI1037" s="6"/>
      <c r="AJ1037" s="6"/>
      <c r="AK1037" s="6"/>
      <c r="AL1037" s="6"/>
    </row>
    <row r="1038" spans="1:38">
      <c r="A1038" s="96">
        <f ca="1">IFERROR(__xludf.DUMMYFUNCTION("""COMPUTED_VALUE"""),44700)</f>
        <v>44700</v>
      </c>
      <c r="B1038" s="6" t="str">
        <f ca="1">IFERROR(__xludf.DUMMYFUNCTION("""COMPUTED_VALUE"""),"Asha Kalse")</f>
        <v>Asha Kalse</v>
      </c>
      <c r="C1038" s="6" t="str">
        <f ca="1">IFERROR(__xludf.DUMMYFUNCTION("""COMPUTED_VALUE"""),"ashakalse23@gmail.com")</f>
        <v>ashakalse23@gmail.com</v>
      </c>
      <c r="D1038" s="6">
        <f ca="1">IFERROR(__xludf.DUMMYFUNCTION("""COMPUTED_VALUE"""),9004096288)</f>
        <v>9004096288</v>
      </c>
      <c r="E1038" s="6" t="str">
        <f ca="1">IFERROR(__xludf.DUMMYFUNCTION("""COMPUTED_VALUE"""),"Reference")</f>
        <v>Reference</v>
      </c>
      <c r="F1038" s="6" t="str">
        <f ca="1">IFERROR(__xludf.DUMMYFUNCTION("""COMPUTED_VALUE"""),"CSM")</f>
        <v>CSM</v>
      </c>
      <c r="G1038" s="80">
        <f ca="1">IFERROR(__xludf.DUMMYFUNCTION("""COMPUTED_VALUE"""),44682)</f>
        <v>44682</v>
      </c>
      <c r="H1038" s="6" t="str">
        <f ca="1">IFERROR(__xludf.DUMMYFUNCTION("""COMPUTED_VALUE"""),"Won")</f>
        <v>Won</v>
      </c>
      <c r="I1038" s="6" t="str">
        <f ca="1">IFERROR(__xludf.DUMMYFUNCTION("""COMPUTED_VALUE"""),"4-5 June 2022")</f>
        <v>4-5 June 2022</v>
      </c>
      <c r="J1038" s="6">
        <f ca="1">IFERROR(__xludf.DUMMYFUNCTION("""COMPUTED_VALUE"""),1)</f>
        <v>1</v>
      </c>
      <c r="K1038" s="8">
        <f ca="1">IFERROR(__xludf.DUMMYFUNCTION("""COMPUTED_VALUE"""),20000)</f>
        <v>20000</v>
      </c>
      <c r="L1038" s="8">
        <f ca="1">IFERROR(__xludf.DUMMYFUNCTION("""COMPUTED_VALUE"""),229.042601923957)</f>
        <v>229.04260192395699</v>
      </c>
      <c r="M1038" s="96">
        <f ca="1">IFERROR(__xludf.DUMMYFUNCTION("""COMPUTED_VALUE"""),44700)</f>
        <v>44700</v>
      </c>
      <c r="N1038" s="6" t="str">
        <f ca="1">IFERROR(__xludf.DUMMYFUNCTION("""COMPUTED_VALUE"""),"S10")</f>
        <v>S10</v>
      </c>
      <c r="O1038" s="97">
        <f ca="1">IFERROR(__xludf.DUMMYFUNCTION("""COMPUTED_VALUE"""),44700)</f>
        <v>44700</v>
      </c>
      <c r="P1038" s="6" t="str">
        <f ca="1">IFERROR(__xludf.DUMMYFUNCTION("""COMPUTED_VALUE"""),"CSTM_10OIJ544GVQ")</f>
        <v>CSTM_10OIJ544GVQ</v>
      </c>
      <c r="Q1038" s="6" t="str">
        <f ca="1">IFERROR(__xludf.DUMMYFUNCTION("""COMPUTED_VALUE"""),"Keerti - cx exists")</f>
        <v>Keerti - cx exists</v>
      </c>
      <c r="R1038" s="6" t="str">
        <f ca="1">IFERROR(__xludf.DUMMYFUNCTION("""COMPUTED_VALUE"""),"Done. Good feedback.")</f>
        <v>Done. Good feedback.</v>
      </c>
      <c r="S1038" s="6" t="str">
        <f ca="1">IFERROR(__xludf.DUMMYFUNCTION("""COMPUTED_VALUE"""),"Category")</f>
        <v>Category</v>
      </c>
      <c r="T1038" s="6"/>
      <c r="U1038" s="6"/>
      <c r="V1038" s="6"/>
      <c r="W1038" s="6"/>
      <c r="X1038" s="6"/>
      <c r="Y1038" s="6"/>
      <c r="Z1038" s="6"/>
      <c r="AA1038" s="6"/>
      <c r="AB1038" s="6"/>
      <c r="AC1038" s="6"/>
      <c r="AD1038" s="6"/>
      <c r="AE1038" s="6"/>
      <c r="AF1038" s="6"/>
      <c r="AG1038" s="6"/>
      <c r="AH1038" s="6"/>
      <c r="AI1038" s="6"/>
      <c r="AJ1038" s="6"/>
      <c r="AK1038" s="6"/>
      <c r="AL1038" s="6"/>
    </row>
    <row r="1039" spans="1:38">
      <c r="A1039" s="96">
        <f ca="1">IFERROR(__xludf.DUMMYFUNCTION("""COMPUTED_VALUE"""),44701)</f>
        <v>44701</v>
      </c>
      <c r="B1039" s="6" t="str">
        <f ca="1">IFERROR(__xludf.DUMMYFUNCTION("""COMPUTED_VALUE"""),"Utkarsh")</f>
        <v>Utkarsh</v>
      </c>
      <c r="C1039" s="6" t="str">
        <f ca="1">IFERROR(__xludf.DUMMYFUNCTION("""COMPUTED_VALUE"""),"utkarsh0608@gmail.com")</f>
        <v>utkarsh0608@gmail.com</v>
      </c>
      <c r="D1039" s="6">
        <f ca="1">IFERROR(__xludf.DUMMYFUNCTION("""COMPUTED_VALUE"""),8055238964)</f>
        <v>8055238964</v>
      </c>
      <c r="E1039" s="6" t="str">
        <f ca="1">IFERROR(__xludf.DUMMYFUNCTION("""COMPUTED_VALUE"""),"Reference")</f>
        <v>Reference</v>
      </c>
      <c r="F1039" s="6" t="str">
        <f ca="1">IFERROR(__xludf.DUMMYFUNCTION("""COMPUTED_VALUE"""),"CSPO")</f>
        <v>CSPO</v>
      </c>
      <c r="G1039" s="80">
        <f ca="1">IFERROR(__xludf.DUMMYFUNCTION("""COMPUTED_VALUE"""),44682)</f>
        <v>44682</v>
      </c>
      <c r="H1039" s="6" t="str">
        <f ca="1">IFERROR(__xludf.DUMMYFUNCTION("""COMPUTED_VALUE"""),"Won")</f>
        <v>Won</v>
      </c>
      <c r="I1039" s="6" t="str">
        <f ca="1">IFERROR(__xludf.DUMMYFUNCTION("""COMPUTED_VALUE"""),"21-22 May 2022")</f>
        <v>21-22 May 2022</v>
      </c>
      <c r="J1039" s="6">
        <f ca="1">IFERROR(__xludf.DUMMYFUNCTION("""COMPUTED_VALUE"""),1)</f>
        <v>1</v>
      </c>
      <c r="K1039" s="8">
        <f ca="1">IFERROR(__xludf.DUMMYFUNCTION("""COMPUTED_VALUE"""),20000)</f>
        <v>20000</v>
      </c>
      <c r="L1039" s="8">
        <f ca="1">IFERROR(__xludf.DUMMYFUNCTION("""COMPUTED_VALUE"""),229.042601923957)</f>
        <v>229.04260192395699</v>
      </c>
      <c r="M1039" s="96">
        <f ca="1">IFERROR(__xludf.DUMMYFUNCTION("""COMPUTED_VALUE"""),44701)</f>
        <v>44701</v>
      </c>
      <c r="N1039" s="6" t="str">
        <f ca="1">IFERROR(__xludf.DUMMYFUNCTION("""COMPUTED_VALUE"""),"S10")</f>
        <v>S10</v>
      </c>
      <c r="O1039" s="97">
        <f ca="1">IFERROR(__xludf.DUMMYFUNCTION("""COMPUTED_VALUE"""),44701)</f>
        <v>44701</v>
      </c>
      <c r="P1039" s="6" t="str">
        <f ca="1">IFERROR(__xludf.DUMMYFUNCTION("""COMPUTED_VALUE"""),"CSTM_H9SMY90ZF3O")</f>
        <v>CSTM_H9SMY90ZF3O</v>
      </c>
      <c r="Q1039" s="6" t="str">
        <f ca="1">IFERROR(__xludf.DUMMYFUNCTION("""COMPUTED_VALUE"""),"Keerti - Done")</f>
        <v>Keerti - Done</v>
      </c>
      <c r="R1039" s="6" t="str">
        <f ca="1">IFERROR(__xludf.DUMMYFUNCTION("""COMPUTED_VALUE"""),"Done. Good feedback.")</f>
        <v>Done. Good feedback.</v>
      </c>
      <c r="S1039" s="6" t="str">
        <f ca="1">IFERROR(__xludf.DUMMYFUNCTION("""COMPUTED_VALUE"""),"Category")</f>
        <v>Category</v>
      </c>
      <c r="T1039" s="6" t="str">
        <f ca="1">IFERROR(__xludf.DUMMYFUNCTION("""COMPUTED_VALUE"""),"Done")</f>
        <v>Done</v>
      </c>
      <c r="U1039" s="6"/>
      <c r="V1039" s="6"/>
      <c r="W1039" s="6"/>
      <c r="X1039" s="6"/>
      <c r="Y1039" s="6"/>
      <c r="Z1039" s="6"/>
      <c r="AA1039" s="6"/>
      <c r="AB1039" s="6"/>
      <c r="AC1039" s="6"/>
      <c r="AD1039" s="6"/>
      <c r="AE1039" s="6"/>
      <c r="AF1039" s="6"/>
      <c r="AG1039" s="6"/>
      <c r="AH1039" s="6"/>
      <c r="AI1039" s="6"/>
      <c r="AJ1039" s="6"/>
      <c r="AK1039" s="6"/>
      <c r="AL1039" s="6"/>
    </row>
    <row r="1040" spans="1:38">
      <c r="A1040" s="96">
        <f ca="1">IFERROR(__xludf.DUMMYFUNCTION("""COMPUTED_VALUE"""),44701)</f>
        <v>44701</v>
      </c>
      <c r="B1040" s="6" t="str">
        <f ca="1">IFERROR(__xludf.DUMMYFUNCTION("""COMPUTED_VALUE"""),"Ganesh Shetty")</f>
        <v>Ganesh Shetty</v>
      </c>
      <c r="C1040" s="6" t="str">
        <f ca="1">IFERROR(__xludf.DUMMYFUNCTION("""COMPUTED_VALUE"""),"ganesh.shetty@smithsdetection.com")</f>
        <v>ganesh.shetty@smithsdetection.com</v>
      </c>
      <c r="D1040" s="6">
        <f ca="1">IFERROR(__xludf.DUMMYFUNCTION("""COMPUTED_VALUE"""),4917641713050)</f>
        <v>4917641713050</v>
      </c>
      <c r="E1040" s="6" t="str">
        <f ca="1">IFERROR(__xludf.DUMMYFUNCTION("""COMPUTED_VALUE"""),"Existing Account")</f>
        <v>Existing Account</v>
      </c>
      <c r="F1040" s="6" t="str">
        <f ca="1">IFERROR(__xludf.DUMMYFUNCTION("""COMPUTED_VALUE"""),"SAFe Agile")</f>
        <v>SAFe Agile</v>
      </c>
      <c r="G1040" s="80">
        <f ca="1">IFERROR(__xludf.DUMMYFUNCTION("""COMPUTED_VALUE"""),44682)</f>
        <v>44682</v>
      </c>
      <c r="H1040" s="6" t="str">
        <f ca="1">IFERROR(__xludf.DUMMYFUNCTION("""COMPUTED_VALUE"""),"Won")</f>
        <v>Won</v>
      </c>
      <c r="I1040" s="6" t="str">
        <f ca="1">IFERROR(__xludf.DUMMYFUNCTION("""COMPUTED_VALUE"""),"28-29 May 2022")</f>
        <v>28-29 May 2022</v>
      </c>
      <c r="J1040" s="6">
        <f ca="1">IFERROR(__xludf.DUMMYFUNCTION("""COMPUTED_VALUE"""),1)</f>
        <v>1</v>
      </c>
      <c r="K1040" s="8">
        <f ca="1">IFERROR(__xludf.DUMMYFUNCTION("""COMPUTED_VALUE"""),120000)</f>
        <v>120000</v>
      </c>
      <c r="L1040" s="8">
        <f ca="1">IFERROR(__xludf.DUMMYFUNCTION("""COMPUTED_VALUE"""),1374.25561154374)</f>
        <v>1374.2556115437401</v>
      </c>
      <c r="M1040" s="96">
        <f ca="1">IFERROR(__xludf.DUMMYFUNCTION("""COMPUTED_VALUE"""),44712)</f>
        <v>44712</v>
      </c>
      <c r="N1040" s="6" t="str">
        <f ca="1">IFERROR(__xludf.DUMMYFUNCTION("""COMPUTED_VALUE"""),"T10")</f>
        <v>T10</v>
      </c>
      <c r="O1040" s="97">
        <f ca="1">IFERROR(__xludf.DUMMYFUNCTION("""COMPUTED_VALUE"""),44704)</f>
        <v>44704</v>
      </c>
      <c r="P1040" s="6" t="str">
        <f ca="1">IFERROR(__xludf.DUMMYFUNCTION("""COMPUTED_VALUE"""),"00063921_01")</f>
        <v>00063921_01</v>
      </c>
      <c r="Q1040" s="6"/>
      <c r="R1040" s="6" t="str">
        <f ca="1">IFERROR(__xludf.DUMMYFUNCTION("""COMPUTED_VALUE"""),"Pending")</f>
        <v>Pending</v>
      </c>
      <c r="S1040" s="6" t="str">
        <f ca="1">IFERROR(__xludf.DUMMYFUNCTION("""COMPUTED_VALUE"""),"SAFe")</f>
        <v>SAFe</v>
      </c>
      <c r="T1040" s="6"/>
      <c r="U1040" s="6"/>
      <c r="V1040" s="6"/>
      <c r="W1040" s="6"/>
      <c r="X1040" s="6"/>
      <c r="Y1040" s="6"/>
      <c r="Z1040" s="6"/>
      <c r="AA1040" s="6"/>
      <c r="AB1040" s="6"/>
      <c r="AC1040" s="6"/>
      <c r="AD1040" s="6"/>
      <c r="AE1040" s="6"/>
      <c r="AF1040" s="6"/>
      <c r="AG1040" s="6"/>
      <c r="AH1040" s="6"/>
      <c r="AI1040" s="6"/>
      <c r="AJ1040" s="6"/>
      <c r="AK1040" s="6"/>
      <c r="AL1040" s="6"/>
    </row>
    <row r="1041" spans="1:38">
      <c r="A1041" s="96">
        <f ca="1">IFERROR(__xludf.DUMMYFUNCTION("""COMPUTED_VALUE"""),44701)</f>
        <v>44701</v>
      </c>
      <c r="B1041" s="6" t="str">
        <f ca="1">IFERROR(__xludf.DUMMYFUNCTION("""COMPUTED_VALUE"""),"Dinesh")</f>
        <v>Dinesh</v>
      </c>
      <c r="C1041" s="6" t="str">
        <f ca="1">IFERROR(__xludf.DUMMYFUNCTION("""COMPUTED_VALUE"""),"dineshrajuatcbe@gmail.com")</f>
        <v>dineshrajuatcbe@gmail.com</v>
      </c>
      <c r="D1041" s="6">
        <f ca="1">IFERROR(__xludf.DUMMYFUNCTION("""COMPUTED_VALUE"""),8754492050)</f>
        <v>8754492050</v>
      </c>
      <c r="E1041" s="6" t="str">
        <f ca="1">IFERROR(__xludf.DUMMYFUNCTION("""COMPUTED_VALUE"""),"course agenda")</f>
        <v>course agenda</v>
      </c>
      <c r="F1041" s="6" t="str">
        <f ca="1">IFERROR(__xludf.DUMMYFUNCTION("""COMPUTED_VALUE"""),"PSM")</f>
        <v>PSM</v>
      </c>
      <c r="G1041" s="80">
        <f ca="1">IFERROR(__xludf.DUMMYFUNCTION("""COMPUTED_VALUE"""),44682)</f>
        <v>44682</v>
      </c>
      <c r="H1041" s="6" t="str">
        <f ca="1">IFERROR(__xludf.DUMMYFUNCTION("""COMPUTED_VALUE"""),"Won")</f>
        <v>Won</v>
      </c>
      <c r="I1041" s="6" t="str">
        <f ca="1">IFERROR(__xludf.DUMMYFUNCTION("""COMPUTED_VALUE"""),"21-22 May 2022")</f>
        <v>21-22 May 2022</v>
      </c>
      <c r="J1041" s="6">
        <f ca="1">IFERROR(__xludf.DUMMYFUNCTION("""COMPUTED_VALUE"""),1)</f>
        <v>1</v>
      </c>
      <c r="K1041" s="8">
        <f ca="1">IFERROR(__xludf.DUMMYFUNCTION("""COMPUTED_VALUE"""),21000)</f>
        <v>21000</v>
      </c>
      <c r="L1041" s="8">
        <f ca="1">IFERROR(__xludf.DUMMYFUNCTION("""COMPUTED_VALUE"""),240.494732020155)</f>
        <v>240.494732020155</v>
      </c>
      <c r="M1041" s="96">
        <f ca="1">IFERROR(__xludf.DUMMYFUNCTION("""COMPUTED_VALUE"""),44701)</f>
        <v>44701</v>
      </c>
      <c r="N1041" s="6" t="str">
        <f ca="1">IFERROR(__xludf.DUMMYFUNCTION("""COMPUTED_VALUE"""),"S10")</f>
        <v>S10</v>
      </c>
      <c r="O1041" s="97">
        <f ca="1">IFERROR(__xludf.DUMMYFUNCTION("""COMPUTED_VALUE"""),44701)</f>
        <v>44701</v>
      </c>
      <c r="P1041" s="6" t="str">
        <f ca="1">IFERROR(__xludf.DUMMYFUNCTION("""COMPUTED_VALUE"""),"CSTM_B8BUCF81WWQ")</f>
        <v>CSTM_B8BUCF81WWQ</v>
      </c>
      <c r="Q1041" s="6"/>
      <c r="R1041" s="6" t="str">
        <f ca="1">IFERROR(__xludf.DUMMYFUNCTION("""COMPUTED_VALUE"""),"Pending")</f>
        <v>Pending</v>
      </c>
      <c r="S1041" s="6" t="str">
        <f ca="1">IFERROR(__xludf.DUMMYFUNCTION("""COMPUTED_VALUE"""),"Category")</f>
        <v>Category</v>
      </c>
      <c r="T1041" s="6"/>
      <c r="U1041" s="6"/>
      <c r="V1041" s="6"/>
      <c r="W1041" s="6"/>
      <c r="X1041" s="6"/>
      <c r="Y1041" s="6"/>
      <c r="Z1041" s="6"/>
      <c r="AA1041" s="6"/>
      <c r="AB1041" s="6"/>
      <c r="AC1041" s="6"/>
      <c r="AD1041" s="6"/>
      <c r="AE1041" s="6"/>
      <c r="AF1041" s="6"/>
      <c r="AG1041" s="6"/>
      <c r="AH1041" s="6"/>
      <c r="AI1041" s="6"/>
      <c r="AJ1041" s="6"/>
      <c r="AK1041" s="6"/>
      <c r="AL1041" s="6"/>
    </row>
    <row r="1042" spans="1:38">
      <c r="A1042" s="96">
        <f ca="1">IFERROR(__xludf.DUMMYFUNCTION("""COMPUTED_VALUE"""),44704)</f>
        <v>44704</v>
      </c>
      <c r="B1042" s="6" t="str">
        <f ca="1">IFERROR(__xludf.DUMMYFUNCTION("""COMPUTED_VALUE"""),"Sudheendra Satrasala")</f>
        <v>Sudheendra Satrasala</v>
      </c>
      <c r="C1042" s="6" t="str">
        <f ca="1">IFERROR(__xludf.DUMMYFUNCTION("""COMPUTED_VALUE"""),"sudheendra.satrasala@gmail.com")</f>
        <v>sudheendra.satrasala@gmail.com</v>
      </c>
      <c r="D1042" s="6">
        <f ca="1">IFERROR(__xludf.DUMMYFUNCTION("""COMPUTED_VALUE"""),9108691503)</f>
        <v>9108691503</v>
      </c>
      <c r="E1042" s="6" t="str">
        <f ca="1">IFERROR(__xludf.DUMMYFUNCTION("""COMPUTED_VALUE"""),"chat_initiated")</f>
        <v>chat_initiated</v>
      </c>
      <c r="F1042" s="6" t="str">
        <f ca="1">IFERROR(__xludf.DUMMYFUNCTION("""COMPUTED_VALUE"""),"PSM 2")</f>
        <v>PSM 2</v>
      </c>
      <c r="G1042" s="80">
        <f ca="1">IFERROR(__xludf.DUMMYFUNCTION("""COMPUTED_VALUE"""),44682)</f>
        <v>44682</v>
      </c>
      <c r="H1042" s="6" t="str">
        <f ca="1">IFERROR(__xludf.DUMMYFUNCTION("""COMPUTED_VALUE"""),"Won")</f>
        <v>Won</v>
      </c>
      <c r="I1042" s="6" t="str">
        <f ca="1">IFERROR(__xludf.DUMMYFUNCTION("""COMPUTED_VALUE"""),"28-29 May 2022")</f>
        <v>28-29 May 2022</v>
      </c>
      <c r="J1042" s="6">
        <f ca="1">IFERROR(__xludf.DUMMYFUNCTION("""COMPUTED_VALUE"""),1)</f>
        <v>1</v>
      </c>
      <c r="K1042" s="8">
        <f ca="1">IFERROR(__xludf.DUMMYFUNCTION("""COMPUTED_VALUE"""),24000)</f>
        <v>24000</v>
      </c>
      <c r="L1042" s="8">
        <f ca="1">IFERROR(__xludf.DUMMYFUNCTION("""COMPUTED_VALUE"""),274.851122308749)</f>
        <v>274.85112230874898</v>
      </c>
      <c r="M1042" s="96">
        <f ca="1">IFERROR(__xludf.DUMMYFUNCTION("""COMPUTED_VALUE"""),44704)</f>
        <v>44704</v>
      </c>
      <c r="N1042" s="6" t="str">
        <f ca="1">IFERROR(__xludf.DUMMYFUNCTION("""COMPUTED_VALUE"""),"T10")</f>
        <v>T10</v>
      </c>
      <c r="O1042" s="97">
        <f ca="1">IFERROR(__xludf.DUMMYFUNCTION("""COMPUTED_VALUE"""),44704)</f>
        <v>44704</v>
      </c>
      <c r="P1042" s="6" t="str">
        <f ca="1">IFERROR(__xludf.DUMMYFUNCTION("""COMPUTED_VALUE"""),"CSTM_155VA4SU3UI")</f>
        <v>CSTM_155VA4SU3UI</v>
      </c>
      <c r="Q1042" s="6"/>
      <c r="R1042" s="6" t="str">
        <f ca="1">IFERROR(__xludf.DUMMYFUNCTION("""COMPUTED_VALUE"""),"Pending")</f>
        <v>Pending</v>
      </c>
      <c r="S1042" s="6" t="str">
        <f ca="1">IFERROR(__xludf.DUMMYFUNCTION("""COMPUTED_VALUE"""),"Category")</f>
        <v>Category</v>
      </c>
      <c r="T1042" s="6"/>
      <c r="U1042" s="6"/>
      <c r="V1042" s="6"/>
      <c r="W1042" s="6"/>
      <c r="X1042" s="6"/>
      <c r="Y1042" s="6"/>
      <c r="Z1042" s="6"/>
      <c r="AA1042" s="6"/>
      <c r="AB1042" s="6"/>
      <c r="AC1042" s="6"/>
      <c r="AD1042" s="6"/>
      <c r="AE1042" s="6"/>
      <c r="AF1042" s="6"/>
      <c r="AG1042" s="6"/>
      <c r="AH1042" s="6"/>
      <c r="AI1042" s="6"/>
      <c r="AJ1042" s="6"/>
      <c r="AK1042" s="6"/>
      <c r="AL1042" s="6"/>
    </row>
    <row r="1043" spans="1:38">
      <c r="A1043" s="96">
        <f ca="1">IFERROR(__xludf.DUMMYFUNCTION("""COMPUTED_VALUE"""),44705)</f>
        <v>44705</v>
      </c>
      <c r="B1043" s="6" t="str">
        <f ca="1">IFERROR(__xludf.DUMMYFUNCTION("""COMPUTED_VALUE"""),"Shwetha Kamath")</f>
        <v>Shwetha Kamath</v>
      </c>
      <c r="C1043" s="6" t="str">
        <f ca="1">IFERROR(__xludf.DUMMYFUNCTION("""COMPUTED_VALUE"""),"shwethakamath.a@gmail.com")</f>
        <v>shwethakamath.a@gmail.com</v>
      </c>
      <c r="D1043" s="6">
        <f ca="1">IFERROR(__xludf.DUMMYFUNCTION("""COMPUTED_VALUE"""),9900725972)</f>
        <v>9900725972</v>
      </c>
      <c r="E1043" s="6" t="str">
        <f ca="1">IFERROR(__xludf.DUMMYFUNCTION("""COMPUTED_VALUE"""),"Chat_triggered")</f>
        <v>Chat_triggered</v>
      </c>
      <c r="F1043" s="6" t="str">
        <f ca="1">IFERROR(__xludf.DUMMYFUNCTION("""COMPUTED_VALUE"""),"PSM")</f>
        <v>PSM</v>
      </c>
      <c r="G1043" s="80">
        <f ca="1">IFERROR(__xludf.DUMMYFUNCTION("""COMPUTED_VALUE"""),44682)</f>
        <v>44682</v>
      </c>
      <c r="H1043" s="6" t="str">
        <f ca="1">IFERROR(__xludf.DUMMYFUNCTION("""COMPUTED_VALUE"""),"Won")</f>
        <v>Won</v>
      </c>
      <c r="I1043" s="6" t="str">
        <f ca="1">IFERROR(__xludf.DUMMYFUNCTION("""COMPUTED_VALUE"""),"28-29 May 2022")</f>
        <v>28-29 May 2022</v>
      </c>
      <c r="J1043" s="6">
        <f ca="1">IFERROR(__xludf.DUMMYFUNCTION("""COMPUTED_VALUE"""),1)</f>
        <v>1</v>
      </c>
      <c r="K1043" s="8">
        <f ca="1">IFERROR(__xludf.DUMMYFUNCTION("""COMPUTED_VALUE"""),21000)</f>
        <v>21000</v>
      </c>
      <c r="L1043" s="8">
        <f ca="1">IFERROR(__xludf.DUMMYFUNCTION("""COMPUTED_VALUE"""),240.494732020155)</f>
        <v>240.494732020155</v>
      </c>
      <c r="M1043" s="96">
        <f ca="1">IFERROR(__xludf.DUMMYFUNCTION("""COMPUTED_VALUE"""),44705)</f>
        <v>44705</v>
      </c>
      <c r="N1043" s="6" t="str">
        <f ca="1">IFERROR(__xludf.DUMMYFUNCTION("""COMPUTED_VALUE"""),"T10")</f>
        <v>T10</v>
      </c>
      <c r="O1043" s="97">
        <f ca="1">IFERROR(__xludf.DUMMYFUNCTION("""COMPUTED_VALUE"""),44705)</f>
        <v>44705</v>
      </c>
      <c r="P1043" s="6" t="str">
        <f ca="1">IFERROR(__xludf.DUMMYFUNCTION("""COMPUTED_VALUE"""),"CSTM_M1YXC0B5A0")</f>
        <v>CSTM_M1YXC0B5A0</v>
      </c>
      <c r="Q1043" s="6"/>
      <c r="R1043" s="6" t="str">
        <f ca="1">IFERROR(__xludf.DUMMYFUNCTION("""COMPUTED_VALUE"""),"Pending")</f>
        <v>Pending</v>
      </c>
      <c r="S1043" s="6" t="str">
        <f ca="1">IFERROR(__xludf.DUMMYFUNCTION("""COMPUTED_VALUE"""),"Category")</f>
        <v>Category</v>
      </c>
      <c r="T1043" s="6"/>
      <c r="U1043" s="6"/>
      <c r="V1043" s="6"/>
      <c r="W1043" s="6"/>
      <c r="X1043" s="6"/>
      <c r="Y1043" s="6"/>
      <c r="Z1043" s="6"/>
      <c r="AA1043" s="6"/>
      <c r="AB1043" s="6"/>
      <c r="AC1043" s="6"/>
      <c r="AD1043" s="6"/>
      <c r="AE1043" s="6"/>
      <c r="AF1043" s="6"/>
      <c r="AG1043" s="6"/>
      <c r="AH1043" s="6"/>
      <c r="AI1043" s="6"/>
      <c r="AJ1043" s="6"/>
      <c r="AK1043" s="6"/>
      <c r="AL1043" s="6"/>
    </row>
    <row r="1044" spans="1:38">
      <c r="A1044" s="96">
        <f ca="1">IFERROR(__xludf.DUMMYFUNCTION("""COMPUTED_VALUE"""),44705)</f>
        <v>44705</v>
      </c>
      <c r="B1044" s="6" t="str">
        <f ca="1">IFERROR(__xludf.DUMMYFUNCTION("""COMPUTED_VALUE"""),"Prajakta")</f>
        <v>Prajakta</v>
      </c>
      <c r="C1044" s="6" t="str">
        <f ca="1">IFERROR(__xludf.DUMMYFUNCTION("""COMPUTED_VALUE"""),"prajakta.hambire@eclerx.com")</f>
        <v>prajakta.hambire@eclerx.com</v>
      </c>
      <c r="D1044" s="6">
        <f ca="1">IFERROR(__xludf.DUMMYFUNCTION("""COMPUTED_VALUE"""),7387365229)</f>
        <v>7387365229</v>
      </c>
      <c r="E1044" s="6" t="str">
        <f ca="1">IFERROR(__xludf.DUMMYFUNCTION("""COMPUTED_VALUE"""),"Reference")</f>
        <v>Reference</v>
      </c>
      <c r="F1044" s="6" t="str">
        <f ca="1">IFERROR(__xludf.DUMMYFUNCTION("""COMPUTED_VALUE"""),"SAFe Agile")</f>
        <v>SAFe Agile</v>
      </c>
      <c r="G1044" s="80">
        <f ca="1">IFERROR(__xludf.DUMMYFUNCTION("""COMPUTED_VALUE"""),44682)</f>
        <v>44682</v>
      </c>
      <c r="H1044" s="6" t="str">
        <f ca="1">IFERROR(__xludf.DUMMYFUNCTION("""COMPUTED_VALUE"""),"Won")</f>
        <v>Won</v>
      </c>
      <c r="I1044" s="6" t="str">
        <f ca="1">IFERROR(__xludf.DUMMYFUNCTION("""COMPUTED_VALUE"""),"11-12 June 2022")</f>
        <v>11-12 June 2022</v>
      </c>
      <c r="J1044" s="6">
        <f ca="1">IFERROR(__xludf.DUMMYFUNCTION("""COMPUTED_VALUE"""),1)</f>
        <v>1</v>
      </c>
      <c r="K1044" s="8">
        <f ca="1">IFERROR(__xludf.DUMMYFUNCTION("""COMPUTED_VALUE"""),42000)</f>
        <v>42000</v>
      </c>
      <c r="L1044" s="8">
        <f ca="1">IFERROR(__xludf.DUMMYFUNCTION("""COMPUTED_VALUE"""),480.989464040311)</f>
        <v>480.98946404031102</v>
      </c>
      <c r="M1044" s="96">
        <f ca="1">IFERROR(__xludf.DUMMYFUNCTION("""COMPUTED_VALUE"""),44705)</f>
        <v>44705</v>
      </c>
      <c r="N1044" s="6" t="str">
        <f ca="1">IFERROR(__xludf.DUMMYFUNCTION("""COMPUTED_VALUE"""),"T10")</f>
        <v>T10</v>
      </c>
      <c r="O1044" s="97">
        <f ca="1">IFERROR(__xludf.DUMMYFUNCTION("""COMPUTED_VALUE"""),44705)</f>
        <v>44705</v>
      </c>
      <c r="P1044" s="6" t="str">
        <f ca="1">IFERROR(__xludf.DUMMYFUNCTION("""COMPUTED_VALUE"""),"CSTM_E8F1TDG9J8W")</f>
        <v>CSTM_E8F1TDG9J8W</v>
      </c>
      <c r="Q1044" s="6" t="str">
        <f ca="1">IFERROR(__xludf.DUMMYFUNCTION("""COMPUTED_VALUE"""),"Reference by amit.gmat1@gmail.com")</f>
        <v>Reference by amit.gmat1@gmail.com</v>
      </c>
      <c r="R1044" s="6" t="str">
        <f ca="1">IFERROR(__xludf.DUMMYFUNCTION("""COMPUTED_VALUE"""),"Pending")</f>
        <v>Pending</v>
      </c>
      <c r="S1044" s="6" t="str">
        <f ca="1">IFERROR(__xludf.DUMMYFUNCTION("""COMPUTED_VALUE"""),"SAFe")</f>
        <v>SAFe</v>
      </c>
      <c r="T1044" s="6"/>
      <c r="U1044" s="6"/>
      <c r="V1044" s="6"/>
      <c r="W1044" s="6"/>
      <c r="X1044" s="6"/>
      <c r="Y1044" s="6"/>
      <c r="Z1044" s="6"/>
      <c r="AA1044" s="6"/>
      <c r="AB1044" s="6"/>
      <c r="AC1044" s="6"/>
      <c r="AD1044" s="6"/>
      <c r="AE1044" s="6"/>
      <c r="AF1044" s="6"/>
      <c r="AG1044" s="6"/>
      <c r="AH1044" s="6"/>
      <c r="AI1044" s="6"/>
      <c r="AJ1044" s="6"/>
      <c r="AK1044" s="6"/>
      <c r="AL1044" s="6"/>
    </row>
    <row r="1045" spans="1:38">
      <c r="A1045" s="96">
        <f ca="1">IFERROR(__xludf.DUMMYFUNCTION("""COMPUTED_VALUE"""),44706)</f>
        <v>44706</v>
      </c>
      <c r="B1045" s="6" t="str">
        <f ca="1">IFERROR(__xludf.DUMMYFUNCTION("""COMPUTED_VALUE"""),"Somit Pandey")</f>
        <v>Somit Pandey</v>
      </c>
      <c r="C1045" s="6" t="str">
        <f ca="1">IFERROR(__xludf.DUMMYFUNCTION("""COMPUTED_VALUE"""),"somit.pandey12@gmail.com")</f>
        <v>somit.pandey12@gmail.com</v>
      </c>
      <c r="D1045" s="6">
        <f ca="1">IFERROR(__xludf.DUMMYFUNCTION("""COMPUTED_VALUE"""),9303384554)</f>
        <v>9303384554</v>
      </c>
      <c r="E1045" s="6" t="str">
        <f ca="1">IFERROR(__xludf.DUMMYFUNCTION("""COMPUTED_VALUE"""),"Chat_triggered")</f>
        <v>Chat_triggered</v>
      </c>
      <c r="F1045" s="6" t="str">
        <f ca="1">IFERROR(__xludf.DUMMYFUNCTION("""COMPUTED_VALUE"""),"CSM")</f>
        <v>CSM</v>
      </c>
      <c r="G1045" s="80">
        <f ca="1">IFERROR(__xludf.DUMMYFUNCTION("""COMPUTED_VALUE"""),44682)</f>
        <v>44682</v>
      </c>
      <c r="H1045" s="6" t="str">
        <f ca="1">IFERROR(__xludf.DUMMYFUNCTION("""COMPUTED_VALUE"""),"Opportunity")</f>
        <v>Opportunity</v>
      </c>
      <c r="I1045" s="6" t="str">
        <f ca="1">IFERROR(__xludf.DUMMYFUNCTION("""COMPUTED_VALUE"""),"4-5 June 2022")</f>
        <v>4-5 June 2022</v>
      </c>
      <c r="J1045" s="6">
        <f ca="1">IFERROR(__xludf.DUMMYFUNCTION("""COMPUTED_VALUE"""),1)</f>
        <v>1</v>
      </c>
      <c r="K1045" s="8">
        <f ca="1">IFERROR(__xludf.DUMMYFUNCTION("""COMPUTED_VALUE"""),40061)</f>
        <v>40061</v>
      </c>
      <c r="L1045" s="8">
        <f ca="1">IFERROR(__xludf.DUMMYFUNCTION("""COMPUTED_VALUE"""),458.783783783783)</f>
        <v>458.78378378378301</v>
      </c>
      <c r="M1045" s="96">
        <f ca="1">IFERROR(__xludf.DUMMYFUNCTION("""COMPUTED_VALUE"""),44706)</f>
        <v>44706</v>
      </c>
      <c r="N1045" s="6"/>
      <c r="O1045" s="97"/>
      <c r="P1045" s="6"/>
      <c r="Q1045" s="6"/>
      <c r="R1045" s="6"/>
      <c r="S1045" s="6" t="str">
        <f ca="1">IFERROR(__xludf.DUMMYFUNCTION("""COMPUTED_VALUE"""),"Category")</f>
        <v>Category</v>
      </c>
      <c r="T1045" s="6"/>
      <c r="U1045" s="6"/>
      <c r="V1045" s="6"/>
      <c r="W1045" s="6"/>
      <c r="X1045" s="6"/>
      <c r="Y1045" s="6"/>
      <c r="Z1045" s="6"/>
      <c r="AA1045" s="6"/>
      <c r="AB1045" s="6"/>
      <c r="AC1045" s="6"/>
      <c r="AD1045" s="6"/>
      <c r="AE1045" s="6"/>
      <c r="AF1045" s="6"/>
      <c r="AG1045" s="6"/>
      <c r="AH1045" s="6"/>
      <c r="AI1045" s="6"/>
      <c r="AJ1045" s="6"/>
      <c r="AK1045" s="6"/>
      <c r="AL1045" s="6"/>
    </row>
    <row r="1046" spans="1:38">
      <c r="A1046" s="96">
        <f ca="1">IFERROR(__xludf.DUMMYFUNCTION("""COMPUTED_VALUE"""),44706)</f>
        <v>44706</v>
      </c>
      <c r="B1046" s="6" t="str">
        <f ca="1">IFERROR(__xludf.DUMMYFUNCTION("""COMPUTED_VALUE"""),"Pruthvi Raj")</f>
        <v>Pruthvi Raj</v>
      </c>
      <c r="C1046" s="6" t="str">
        <f ca="1">IFERROR(__xludf.DUMMYFUNCTION("""COMPUTED_VALUE"""),"pruthviraj9094@gmail.com")</f>
        <v>pruthviraj9094@gmail.com</v>
      </c>
      <c r="D1046" s="6">
        <f ca="1">IFERROR(__xludf.DUMMYFUNCTION("""COMPUTED_VALUE"""),8106090650)</f>
        <v>8106090650</v>
      </c>
      <c r="E1046" s="6" t="str">
        <f ca="1">IFERROR(__xludf.DUMMYFUNCTION("""COMPUTED_VALUE"""),"course agenda")</f>
        <v>course agenda</v>
      </c>
      <c r="F1046" s="6" t="str">
        <f ca="1">IFERROR(__xludf.DUMMYFUNCTION("""COMPUTED_VALUE"""),"PSPO")</f>
        <v>PSPO</v>
      </c>
      <c r="G1046" s="80">
        <f ca="1">IFERROR(__xludf.DUMMYFUNCTION("""COMPUTED_VALUE"""),44682)</f>
        <v>44682</v>
      </c>
      <c r="H1046" s="6" t="str">
        <f ca="1">IFERROR(__xludf.DUMMYFUNCTION("""COMPUTED_VALUE"""),"Won")</f>
        <v>Won</v>
      </c>
      <c r="I1046" s="6" t="str">
        <f ca="1">IFERROR(__xludf.DUMMYFUNCTION("""COMPUTED_VALUE"""),"28-29 May 2022")</f>
        <v>28-29 May 2022</v>
      </c>
      <c r="J1046" s="6">
        <f ca="1">IFERROR(__xludf.DUMMYFUNCTION("""COMPUTED_VALUE"""),1)</f>
        <v>1</v>
      </c>
      <c r="K1046" s="8">
        <f ca="1">IFERROR(__xludf.DUMMYFUNCTION("""COMPUTED_VALUE"""),21000)</f>
        <v>21000</v>
      </c>
      <c r="L1046" s="8">
        <f ca="1">IFERROR(__xludf.DUMMYFUNCTION("""COMPUTED_VALUE"""),240.494732020155)</f>
        <v>240.494732020155</v>
      </c>
      <c r="M1046" s="96">
        <f ca="1">IFERROR(__xludf.DUMMYFUNCTION("""COMPUTED_VALUE"""),44706)</f>
        <v>44706</v>
      </c>
      <c r="N1046" s="6" t="str">
        <f ca="1">IFERROR(__xludf.DUMMYFUNCTION("""COMPUTED_VALUE"""),"T10")</f>
        <v>T10</v>
      </c>
      <c r="O1046" s="97">
        <f ca="1">IFERROR(__xludf.DUMMYFUNCTION("""COMPUTED_VALUE"""),44707)</f>
        <v>44707</v>
      </c>
      <c r="P1046" s="6" t="str">
        <f ca="1">IFERROR(__xludf.DUMMYFUNCTION("""COMPUTED_VALUE"""),"CSTM_1K43T7EYCFO")</f>
        <v>CSTM_1K43T7EYCFO</v>
      </c>
      <c r="Q1046" s="6"/>
      <c r="R1046" s="6" t="str">
        <f ca="1">IFERROR(__xludf.DUMMYFUNCTION("""COMPUTED_VALUE"""),"Pending")</f>
        <v>Pending</v>
      </c>
      <c r="S1046" s="6" t="str">
        <f ca="1">IFERROR(__xludf.DUMMYFUNCTION("""COMPUTED_VALUE"""),"Category")</f>
        <v>Category</v>
      </c>
      <c r="T1046" s="6"/>
      <c r="U1046" s="6"/>
      <c r="V1046" s="6"/>
      <c r="W1046" s="6"/>
      <c r="X1046" s="6"/>
      <c r="Y1046" s="6"/>
      <c r="Z1046" s="6"/>
      <c r="AA1046" s="6"/>
      <c r="AB1046" s="6"/>
      <c r="AC1046" s="6"/>
      <c r="AD1046" s="6"/>
      <c r="AE1046" s="6"/>
      <c r="AF1046" s="6"/>
      <c r="AG1046" s="6"/>
      <c r="AH1046" s="6"/>
      <c r="AI1046" s="6"/>
      <c r="AJ1046" s="6"/>
      <c r="AK1046" s="6"/>
      <c r="AL1046" s="6"/>
    </row>
    <row r="1047" spans="1:38">
      <c r="A1047" s="96">
        <f ca="1">IFERROR(__xludf.DUMMYFUNCTION("""COMPUTED_VALUE"""),44707)</f>
        <v>44707</v>
      </c>
      <c r="B1047" s="6" t="str">
        <f ca="1">IFERROR(__xludf.DUMMYFUNCTION("""COMPUTED_VALUE"""),"Pallavi Gupta")</f>
        <v>Pallavi Gupta</v>
      </c>
      <c r="C1047" s="6" t="str">
        <f ca="1">IFERROR(__xludf.DUMMYFUNCTION("""COMPUTED_VALUE"""),"pallavi.gupta@eclerx.com")</f>
        <v>pallavi.gupta@eclerx.com</v>
      </c>
      <c r="D1047" s="6">
        <f ca="1">IFERROR(__xludf.DUMMYFUNCTION("""COMPUTED_VALUE"""),9930973175)</f>
        <v>9930973175</v>
      </c>
      <c r="E1047" s="6" t="str">
        <f ca="1">IFERROR(__xludf.DUMMYFUNCTION("""COMPUTED_VALUE"""),"Reference")</f>
        <v>Reference</v>
      </c>
      <c r="F1047" s="6" t="str">
        <f ca="1">IFERROR(__xludf.DUMMYFUNCTION("""COMPUTED_VALUE"""),"SAFe Agile")</f>
        <v>SAFe Agile</v>
      </c>
      <c r="G1047" s="80">
        <f ca="1">IFERROR(__xludf.DUMMYFUNCTION("""COMPUTED_VALUE"""),44682)</f>
        <v>44682</v>
      </c>
      <c r="H1047" s="6" t="str">
        <f ca="1">IFERROR(__xludf.DUMMYFUNCTION("""COMPUTED_VALUE"""),"Won")</f>
        <v>Won</v>
      </c>
      <c r="I1047" s="6" t="str">
        <f ca="1">IFERROR(__xludf.DUMMYFUNCTION("""COMPUTED_VALUE"""),"18-19 June 2022")</f>
        <v>18-19 June 2022</v>
      </c>
      <c r="J1047" s="6">
        <f ca="1">IFERROR(__xludf.DUMMYFUNCTION("""COMPUTED_VALUE"""),1)</f>
        <v>1</v>
      </c>
      <c r="K1047" s="8">
        <f ca="1">IFERROR(__xludf.DUMMYFUNCTION("""COMPUTED_VALUE"""),40061)</f>
        <v>40061</v>
      </c>
      <c r="L1047" s="8">
        <f ca="1">IFERROR(__xludf.DUMMYFUNCTION("""COMPUTED_VALUE"""),458.783783783783)</f>
        <v>458.78378378378301</v>
      </c>
      <c r="M1047" s="96">
        <f ca="1">IFERROR(__xludf.DUMMYFUNCTION("""COMPUTED_VALUE"""),44707)</f>
        <v>44707</v>
      </c>
      <c r="N1047" s="6" t="str">
        <f ca="1">IFERROR(__xludf.DUMMYFUNCTION("""COMPUTED_VALUE"""),"T10")</f>
        <v>T10</v>
      </c>
      <c r="O1047" s="97">
        <f ca="1">IFERROR(__xludf.DUMMYFUNCTION("""COMPUTED_VALUE"""),44707)</f>
        <v>44707</v>
      </c>
      <c r="P1047" s="6" t="str">
        <f ca="1">IFERROR(__xludf.DUMMYFUNCTION("""COMPUTED_VALUE"""),"CSTM_H6WYRCJYM1D")</f>
        <v>CSTM_H6WYRCJYM1D</v>
      </c>
      <c r="Q1047" s="6" t="str">
        <f ca="1">IFERROR(__xludf.DUMMYFUNCTION("""COMPUTED_VALUE"""),"Reference by amit.gmat1@gmail.com")</f>
        <v>Reference by amit.gmat1@gmail.com</v>
      </c>
      <c r="R1047" s="6" t="str">
        <f ca="1">IFERROR(__xludf.DUMMYFUNCTION("""COMPUTED_VALUE"""),"Pending")</f>
        <v>Pending</v>
      </c>
      <c r="S1047" s="6" t="str">
        <f ca="1">IFERROR(__xludf.DUMMYFUNCTION("""COMPUTED_VALUE"""),"SAFe")</f>
        <v>SAFe</v>
      </c>
      <c r="T1047" s="6"/>
      <c r="U1047" s="6"/>
      <c r="V1047" s="6"/>
      <c r="W1047" s="6"/>
      <c r="X1047" s="6"/>
      <c r="Y1047" s="6"/>
      <c r="Z1047" s="6"/>
      <c r="AA1047" s="6"/>
      <c r="AB1047" s="6"/>
      <c r="AC1047" s="6"/>
      <c r="AD1047" s="6"/>
      <c r="AE1047" s="6"/>
      <c r="AF1047" s="6"/>
      <c r="AG1047" s="6"/>
      <c r="AH1047" s="6"/>
      <c r="AI1047" s="6"/>
      <c r="AJ1047" s="6"/>
      <c r="AK1047" s="6"/>
      <c r="AL1047" s="6"/>
    </row>
    <row r="1048" spans="1:38">
      <c r="A1048" s="96">
        <f ca="1">IFERROR(__xludf.DUMMYFUNCTION("""COMPUTED_VALUE"""),44708)</f>
        <v>44708</v>
      </c>
      <c r="B1048" s="6" t="str">
        <f ca="1">IFERROR(__xludf.DUMMYFUNCTION("""COMPUTED_VALUE"""),"Gayatri Karnik")</f>
        <v>Gayatri Karnik</v>
      </c>
      <c r="C1048" s="6" t="str">
        <f ca="1">IFERROR(__xludf.DUMMYFUNCTION("""COMPUTED_VALUE"""),"gayatrikarnik1809@gmail.com")</f>
        <v>gayatrikarnik1809@gmail.com</v>
      </c>
      <c r="D1048" s="6">
        <f ca="1">IFERROR(__xludf.DUMMYFUNCTION("""COMPUTED_VALUE"""),9518534946)</f>
        <v>9518534946</v>
      </c>
      <c r="E1048" s="6" t="str">
        <f ca="1">IFERROR(__xludf.DUMMYFUNCTION("""COMPUTED_VALUE"""),"na-payment")</f>
        <v>na-payment</v>
      </c>
      <c r="F1048" s="6" t="str">
        <f ca="1">IFERROR(__xludf.DUMMYFUNCTION("""COMPUTED_VALUE"""),"PSM")</f>
        <v>PSM</v>
      </c>
      <c r="G1048" s="80">
        <f ca="1">IFERROR(__xludf.DUMMYFUNCTION("""COMPUTED_VALUE"""),44713)</f>
        <v>44713</v>
      </c>
      <c r="H1048" s="6" t="str">
        <f ca="1">IFERROR(__xludf.DUMMYFUNCTION("""COMPUTED_VALUE"""),"Won")</f>
        <v>Won</v>
      </c>
      <c r="I1048" s="6" t="str">
        <f ca="1">IFERROR(__xludf.DUMMYFUNCTION("""COMPUTED_VALUE"""),"11-12 June 2022")</f>
        <v>11-12 June 2022</v>
      </c>
      <c r="J1048" s="6">
        <f ca="1">IFERROR(__xludf.DUMMYFUNCTION("""COMPUTED_VALUE"""),1)</f>
        <v>1</v>
      </c>
      <c r="K1048" s="8">
        <f ca="1">IFERROR(__xludf.DUMMYFUNCTION("""COMPUTED_VALUE"""),21000)</f>
        <v>21000</v>
      </c>
      <c r="L1048" s="8">
        <f ca="1">IFERROR(__xludf.DUMMYFUNCTION("""COMPUTED_VALUE"""),240.494732020155)</f>
        <v>240.494732020155</v>
      </c>
      <c r="M1048" s="96">
        <f ca="1">IFERROR(__xludf.DUMMYFUNCTION("""COMPUTED_VALUE"""),44708)</f>
        <v>44708</v>
      </c>
      <c r="N1048" s="6" t="str">
        <f ca="1">IFERROR(__xludf.DUMMYFUNCTION("""COMPUTED_VALUE"""),"F10")</f>
        <v>F10</v>
      </c>
      <c r="O1048" s="97">
        <f ca="1">IFERROR(__xludf.DUMMYFUNCTION("""COMPUTED_VALUE"""),44721)</f>
        <v>44721</v>
      </c>
      <c r="P1048" s="6" t="str">
        <f ca="1">IFERROR(__xludf.DUMMYFUNCTION("""COMPUTED_VALUE"""),"CSTM_5NWER05NQV")</f>
        <v>CSTM_5NWER05NQV</v>
      </c>
      <c r="Q1048" s="6"/>
      <c r="R1048" s="6" t="str">
        <f ca="1">IFERROR(__xludf.DUMMYFUNCTION("""COMPUTED_VALUE"""),"Done. Good feedback.")</f>
        <v>Done. Good feedback.</v>
      </c>
      <c r="S1048" s="6" t="str">
        <f ca="1">IFERROR(__xludf.DUMMYFUNCTION("""COMPUTED_VALUE"""),"Category")</f>
        <v>Category</v>
      </c>
      <c r="T1048" s="6"/>
      <c r="U1048" s="6"/>
      <c r="V1048" s="6"/>
      <c r="W1048" s="6"/>
      <c r="X1048" s="6"/>
      <c r="Y1048" s="6"/>
      <c r="Z1048" s="6"/>
      <c r="AA1048" s="6"/>
      <c r="AB1048" s="6"/>
      <c r="AC1048" s="6"/>
      <c r="AD1048" s="6"/>
      <c r="AE1048" s="6"/>
      <c r="AF1048" s="6"/>
      <c r="AG1048" s="6"/>
      <c r="AH1048" s="6"/>
      <c r="AI1048" s="6"/>
      <c r="AJ1048" s="6"/>
      <c r="AK1048" s="6"/>
      <c r="AL1048" s="6"/>
    </row>
    <row r="1049" spans="1:38">
      <c r="A1049" s="96">
        <f ca="1">IFERROR(__xludf.DUMMYFUNCTION("""COMPUTED_VALUE"""),44708)</f>
        <v>44708</v>
      </c>
      <c r="B1049" s="6" t="str">
        <f ca="1">IFERROR(__xludf.DUMMYFUNCTION("""COMPUTED_VALUE"""),"Sambhu Sankar")</f>
        <v>Sambhu Sankar</v>
      </c>
      <c r="C1049" s="6" t="str">
        <f ca="1">IFERROR(__xludf.DUMMYFUNCTION("""COMPUTED_VALUE"""),"sambhusankar.sahani@gmail.com")</f>
        <v>sambhusankar.sahani@gmail.com</v>
      </c>
      <c r="D1049" s="6">
        <f ca="1">IFERROR(__xludf.DUMMYFUNCTION("""COMPUTED_VALUE"""),9673000373)</f>
        <v>9673000373</v>
      </c>
      <c r="E1049" s="6" t="str">
        <f ca="1">IFERROR(__xludf.DUMMYFUNCTION("""COMPUTED_VALUE"""),"Existing Account")</f>
        <v>Existing Account</v>
      </c>
      <c r="F1049" s="6" t="str">
        <f ca="1">IFERROR(__xludf.DUMMYFUNCTION("""COMPUTED_VALUE"""),"PSM 2")</f>
        <v>PSM 2</v>
      </c>
      <c r="G1049" s="80">
        <f ca="1">IFERROR(__xludf.DUMMYFUNCTION("""COMPUTED_VALUE"""),44682)</f>
        <v>44682</v>
      </c>
      <c r="H1049" s="6" t="str">
        <f ca="1">IFERROR(__xludf.DUMMYFUNCTION("""COMPUTED_VALUE"""),"Won")</f>
        <v>Won</v>
      </c>
      <c r="I1049" s="6" t="str">
        <f ca="1">IFERROR(__xludf.DUMMYFUNCTION("""COMPUTED_VALUE"""),"28-29 May 2022")</f>
        <v>28-29 May 2022</v>
      </c>
      <c r="J1049" s="6">
        <f ca="1">IFERROR(__xludf.DUMMYFUNCTION("""COMPUTED_VALUE"""),1)</f>
        <v>1</v>
      </c>
      <c r="K1049" s="8">
        <f ca="1">IFERROR(__xludf.DUMMYFUNCTION("""COMPUTED_VALUE"""),24000)</f>
        <v>24000</v>
      </c>
      <c r="L1049" s="8">
        <f ca="1">IFERROR(__xludf.DUMMYFUNCTION("""COMPUTED_VALUE"""),274.851122308749)</f>
        <v>274.85112230874898</v>
      </c>
      <c r="M1049" s="96">
        <f ca="1">IFERROR(__xludf.DUMMYFUNCTION("""COMPUTED_VALUE"""),44708)</f>
        <v>44708</v>
      </c>
      <c r="N1049" s="6" t="str">
        <f ca="1">IFERROR(__xludf.DUMMYFUNCTION("""COMPUTED_VALUE"""),"T10")</f>
        <v>T10</v>
      </c>
      <c r="O1049" s="97">
        <f ca="1">IFERROR(__xludf.DUMMYFUNCTION("""COMPUTED_VALUE"""),44708)</f>
        <v>44708</v>
      </c>
      <c r="P1049" s="6" t="str">
        <f ca="1">IFERROR(__xludf.DUMMYFUNCTION("""COMPUTED_VALUE"""),"CSTM_7QSRBDNEL7U")</f>
        <v>CSTM_7QSRBDNEL7U</v>
      </c>
      <c r="Q1049" s="6"/>
      <c r="R1049" s="6" t="str">
        <f ca="1">IFERROR(__xludf.DUMMYFUNCTION("""COMPUTED_VALUE"""),"Pending")</f>
        <v>Pending</v>
      </c>
      <c r="S1049" s="6" t="str">
        <f ca="1">IFERROR(__xludf.DUMMYFUNCTION("""COMPUTED_VALUE"""),"Category")</f>
        <v>Category</v>
      </c>
      <c r="T1049" s="6"/>
      <c r="U1049" s="6"/>
      <c r="V1049" s="6"/>
      <c r="W1049" s="6"/>
      <c r="X1049" s="6"/>
      <c r="Y1049" s="6"/>
      <c r="Z1049" s="6"/>
      <c r="AA1049" s="6"/>
      <c r="AB1049" s="6"/>
      <c r="AC1049" s="6"/>
      <c r="AD1049" s="6"/>
      <c r="AE1049" s="6"/>
      <c r="AF1049" s="6"/>
      <c r="AG1049" s="6"/>
      <c r="AH1049" s="6"/>
      <c r="AI1049" s="6"/>
      <c r="AJ1049" s="6"/>
      <c r="AK1049" s="6"/>
      <c r="AL1049" s="6"/>
    </row>
    <row r="1050" spans="1:38">
      <c r="A1050" s="96">
        <f ca="1">IFERROR(__xludf.DUMMYFUNCTION("""COMPUTED_VALUE"""),44708)</f>
        <v>44708</v>
      </c>
      <c r="B1050" s="6" t="str">
        <f ca="1">IFERROR(__xludf.DUMMYFUNCTION("""COMPUTED_VALUE"""),"Rajesh Madhu")</f>
        <v>Rajesh Madhu</v>
      </c>
      <c r="C1050" s="6" t="str">
        <f ca="1">IFERROR(__xludf.DUMMYFUNCTION("""COMPUTED_VALUE"""),"rajesh.jmadhu2000@gmail.com")</f>
        <v>rajesh.jmadhu2000@gmail.com</v>
      </c>
      <c r="D1050" s="6">
        <f ca="1">IFERROR(__xludf.DUMMYFUNCTION("""COMPUTED_VALUE"""),7411032012)</f>
        <v>7411032012</v>
      </c>
      <c r="E1050" s="6" t="str">
        <f ca="1">IFERROR(__xludf.DUMMYFUNCTION("""COMPUTED_VALUE"""),"Existing Account")</f>
        <v>Existing Account</v>
      </c>
      <c r="F1050" s="6" t="str">
        <f ca="1">IFERROR(__xludf.DUMMYFUNCTION("""COMPUTED_VALUE"""),"SAFe Agile")</f>
        <v>SAFe Agile</v>
      </c>
      <c r="G1050" s="80">
        <f ca="1">IFERROR(__xludf.DUMMYFUNCTION("""COMPUTED_VALUE"""),44682)</f>
        <v>44682</v>
      </c>
      <c r="H1050" s="6" t="str">
        <f ca="1">IFERROR(__xludf.DUMMYFUNCTION("""COMPUTED_VALUE"""),"Opportunity")</f>
        <v>Opportunity</v>
      </c>
      <c r="I1050" s="6" t="str">
        <f ca="1">IFERROR(__xludf.DUMMYFUNCTION("""COMPUTED_VALUE"""),"28-29 May 2022")</f>
        <v>28-29 May 2022</v>
      </c>
      <c r="J1050" s="6">
        <f ca="1">IFERROR(__xludf.DUMMYFUNCTION("""COMPUTED_VALUE"""),1)</f>
        <v>1</v>
      </c>
      <c r="K1050" s="8">
        <f ca="1">IFERROR(__xludf.DUMMYFUNCTION("""COMPUTED_VALUE"""),42000)</f>
        <v>42000</v>
      </c>
      <c r="L1050" s="8">
        <f ca="1">IFERROR(__xludf.DUMMYFUNCTION("""COMPUTED_VALUE"""),480.989464040311)</f>
        <v>480.98946404031102</v>
      </c>
      <c r="M1050" s="96">
        <f ca="1">IFERROR(__xludf.DUMMYFUNCTION("""COMPUTED_VALUE"""),44708)</f>
        <v>44708</v>
      </c>
      <c r="N1050" s="6"/>
      <c r="O1050" s="97"/>
      <c r="P1050" s="6"/>
      <c r="Q1050" s="6"/>
      <c r="R1050" s="6"/>
      <c r="S1050" s="6" t="str">
        <f ca="1">IFERROR(__xludf.DUMMYFUNCTION("""COMPUTED_VALUE"""),"SAFe")</f>
        <v>SAFe</v>
      </c>
      <c r="T1050" s="6"/>
      <c r="U1050" s="6"/>
      <c r="V1050" s="6"/>
      <c r="W1050" s="6"/>
      <c r="X1050" s="6"/>
      <c r="Y1050" s="6"/>
      <c r="Z1050" s="6"/>
      <c r="AA1050" s="6"/>
      <c r="AB1050" s="6"/>
      <c r="AC1050" s="6"/>
      <c r="AD1050" s="6"/>
      <c r="AE1050" s="6"/>
      <c r="AF1050" s="6"/>
      <c r="AG1050" s="6"/>
      <c r="AH1050" s="6"/>
      <c r="AI1050" s="6"/>
      <c r="AJ1050" s="6"/>
      <c r="AK1050" s="6"/>
      <c r="AL1050" s="6"/>
    </row>
    <row r="1051" spans="1:38">
      <c r="A1051" s="96">
        <f ca="1">IFERROR(__xludf.DUMMYFUNCTION("""COMPUTED_VALUE"""),44709)</f>
        <v>44709</v>
      </c>
      <c r="B1051" s="6" t="str">
        <f ca="1">IFERROR(__xludf.DUMMYFUNCTION("""COMPUTED_VALUE"""),"Vikram Bans")</f>
        <v>Vikram Bans</v>
      </c>
      <c r="C1051" s="6" t="str">
        <f ca="1">IFERROR(__xludf.DUMMYFUNCTION("""COMPUTED_VALUE"""),"vkbans@gmail.com")</f>
        <v>vkbans@gmail.com</v>
      </c>
      <c r="D1051" s="6">
        <f ca="1">IFERROR(__xludf.DUMMYFUNCTION("""COMPUTED_VALUE"""),9513324987)</f>
        <v>9513324987</v>
      </c>
      <c r="E1051" s="6" t="str">
        <f ca="1">IFERROR(__xludf.DUMMYFUNCTION("""COMPUTED_VALUE"""),"na-payment")</f>
        <v>na-payment</v>
      </c>
      <c r="F1051" s="6" t="str">
        <f ca="1">IFERROR(__xludf.DUMMYFUNCTION("""COMPUTED_VALUE"""),"PSPO")</f>
        <v>PSPO</v>
      </c>
      <c r="G1051" s="80">
        <f ca="1">IFERROR(__xludf.DUMMYFUNCTION("""COMPUTED_VALUE"""),44682)</f>
        <v>44682</v>
      </c>
      <c r="H1051" s="6" t="str">
        <f ca="1">IFERROR(__xludf.DUMMYFUNCTION("""COMPUTED_VALUE"""),"Won")</f>
        <v>Won</v>
      </c>
      <c r="I1051" s="6" t="str">
        <f ca="1">IFERROR(__xludf.DUMMYFUNCTION("""COMPUTED_VALUE"""),"11-12 June 2022")</f>
        <v>11-12 June 2022</v>
      </c>
      <c r="J1051" s="6">
        <f ca="1">IFERROR(__xludf.DUMMYFUNCTION("""COMPUTED_VALUE"""),1)</f>
        <v>1</v>
      </c>
      <c r="K1051" s="8">
        <f ca="1">IFERROR(__xludf.DUMMYFUNCTION("""COMPUTED_VALUE"""),21000)</f>
        <v>21000</v>
      </c>
      <c r="L1051" s="8">
        <f ca="1">IFERROR(__xludf.DUMMYFUNCTION("""COMPUTED_VALUE"""),240.494732020155)</f>
        <v>240.494732020155</v>
      </c>
      <c r="M1051" s="96">
        <f ca="1">IFERROR(__xludf.DUMMYFUNCTION("""COMPUTED_VALUE"""),44709)</f>
        <v>44709</v>
      </c>
      <c r="N1051" s="6" t="str">
        <f ca="1">IFERROR(__xludf.DUMMYFUNCTION("""COMPUTED_VALUE"""),"T10")</f>
        <v>T10</v>
      </c>
      <c r="O1051" s="97">
        <f ca="1">IFERROR(__xludf.DUMMYFUNCTION("""COMPUTED_VALUE"""),44708)</f>
        <v>44708</v>
      </c>
      <c r="P1051" s="6" t="str">
        <f ca="1">IFERROR(__xludf.DUMMYFUNCTION("""COMPUTED_VALUE"""),"CSTM_HDOK28EFFP0")</f>
        <v>CSTM_HDOK28EFFP0</v>
      </c>
      <c r="Q1051" s="6"/>
      <c r="R1051" s="6" t="str">
        <f ca="1">IFERROR(__xludf.DUMMYFUNCTION("""COMPUTED_VALUE"""),"Pending")</f>
        <v>Pending</v>
      </c>
      <c r="S1051" s="6" t="str">
        <f ca="1">IFERROR(__xludf.DUMMYFUNCTION("""COMPUTED_VALUE"""),"Category")</f>
        <v>Category</v>
      </c>
      <c r="T1051" s="6"/>
      <c r="U1051" s="6"/>
      <c r="V1051" s="6"/>
      <c r="W1051" s="6"/>
      <c r="X1051" s="6"/>
      <c r="Y1051" s="6"/>
      <c r="Z1051" s="6"/>
      <c r="AA1051" s="6"/>
      <c r="AB1051" s="6"/>
      <c r="AC1051" s="6"/>
      <c r="AD1051" s="6"/>
      <c r="AE1051" s="6"/>
      <c r="AF1051" s="6"/>
      <c r="AG1051" s="6"/>
      <c r="AH1051" s="6"/>
      <c r="AI1051" s="6"/>
      <c r="AJ1051" s="6"/>
      <c r="AK1051" s="6"/>
      <c r="AL1051" s="6"/>
    </row>
    <row r="1052" spans="1:38">
      <c r="A1052" s="96">
        <f ca="1">IFERROR(__xludf.DUMMYFUNCTION("""COMPUTED_VALUE"""),44712)</f>
        <v>44712</v>
      </c>
      <c r="B1052" s="6" t="str">
        <f ca="1">IFERROR(__xludf.DUMMYFUNCTION("""COMPUTED_VALUE"""),"Sivaraman")</f>
        <v>Sivaraman</v>
      </c>
      <c r="C1052" s="6" t="str">
        <f ca="1">IFERROR(__xludf.DUMMYFUNCTION("""COMPUTED_VALUE"""),"sara.lsivaraman@gmail.com")</f>
        <v>sara.lsivaraman@gmail.com</v>
      </c>
      <c r="D1052" s="6">
        <f ca="1">IFERROR(__xludf.DUMMYFUNCTION("""COMPUTED_VALUE"""),9886574914)</f>
        <v>9886574914</v>
      </c>
      <c r="E1052" s="6" t="str">
        <f ca="1">IFERROR(__xludf.DUMMYFUNCTION("""COMPUTED_VALUE"""),"Query box")</f>
        <v>Query box</v>
      </c>
      <c r="F1052" s="6" t="str">
        <f ca="1">IFERROR(__xludf.DUMMYFUNCTION("""COMPUTED_VALUE"""),"CSPO")</f>
        <v>CSPO</v>
      </c>
      <c r="G1052" s="80">
        <f ca="1">IFERROR(__xludf.DUMMYFUNCTION("""COMPUTED_VALUE"""),44682)</f>
        <v>44682</v>
      </c>
      <c r="H1052" s="6" t="str">
        <f ca="1">IFERROR(__xludf.DUMMYFUNCTION("""COMPUTED_VALUE"""),"Opportunity")</f>
        <v>Opportunity</v>
      </c>
      <c r="I1052" s="6" t="str">
        <f ca="1">IFERROR(__xludf.DUMMYFUNCTION("""COMPUTED_VALUE"""),"6-8 June 2022")</f>
        <v>6-8 June 2022</v>
      </c>
      <c r="J1052" s="6">
        <f ca="1">IFERROR(__xludf.DUMMYFUNCTION("""COMPUTED_VALUE"""),1)</f>
        <v>1</v>
      </c>
      <c r="K1052" s="8">
        <f ca="1">IFERROR(__xludf.DUMMYFUNCTION("""COMPUTED_VALUE"""),20000)</f>
        <v>20000</v>
      </c>
      <c r="L1052" s="8">
        <f ca="1">IFERROR(__xludf.DUMMYFUNCTION("""COMPUTED_VALUE"""),229.042601923957)</f>
        <v>229.04260192395699</v>
      </c>
      <c r="M1052" s="96">
        <f ca="1">IFERROR(__xludf.DUMMYFUNCTION("""COMPUTED_VALUE"""),44712)</f>
        <v>44712</v>
      </c>
      <c r="N1052" s="6"/>
      <c r="O1052" s="97"/>
      <c r="P1052" s="6"/>
      <c r="Q1052" s="6"/>
      <c r="R1052" s="6"/>
      <c r="S1052" s="6" t="str">
        <f ca="1">IFERROR(__xludf.DUMMYFUNCTION("""COMPUTED_VALUE"""),"Category")</f>
        <v>Category</v>
      </c>
      <c r="T1052" s="6"/>
      <c r="U1052" s="6"/>
      <c r="V1052" s="6"/>
      <c r="W1052" s="6"/>
      <c r="X1052" s="6"/>
      <c r="Y1052" s="6"/>
      <c r="Z1052" s="6"/>
      <c r="AA1052" s="6"/>
      <c r="AB1052" s="6"/>
      <c r="AC1052" s="6"/>
      <c r="AD1052" s="6"/>
      <c r="AE1052" s="6"/>
      <c r="AF1052" s="6"/>
      <c r="AG1052" s="6"/>
      <c r="AH1052" s="6"/>
      <c r="AI1052" s="6"/>
      <c r="AJ1052" s="6"/>
      <c r="AK1052" s="6"/>
      <c r="AL1052" s="6"/>
    </row>
    <row r="1053" spans="1:38">
      <c r="A1053" s="96">
        <f ca="1">IFERROR(__xludf.DUMMYFUNCTION("""COMPUTED_VALUE"""),44712)</f>
        <v>44712</v>
      </c>
      <c r="B1053" s="6" t="str">
        <f ca="1">IFERROR(__xludf.DUMMYFUNCTION("""COMPUTED_VALUE"""),"Darsan Setty")</f>
        <v>Darsan Setty</v>
      </c>
      <c r="C1053" s="6" t="str">
        <f ca="1">IFERROR(__xludf.DUMMYFUNCTION("""COMPUTED_VALUE"""),"setty.3185@gmail.com")</f>
        <v>setty.3185@gmail.com</v>
      </c>
      <c r="D1053" s="6">
        <f ca="1">IFERROR(__xludf.DUMMYFUNCTION("""COMPUTED_VALUE"""),9886419960)</f>
        <v>9886419960</v>
      </c>
      <c r="E1053" s="6" t="str">
        <f ca="1">IFERROR(__xludf.DUMMYFUNCTION("""COMPUTED_VALUE"""),"Reference")</f>
        <v>Reference</v>
      </c>
      <c r="F1053" s="6" t="str">
        <f ca="1">IFERROR(__xludf.DUMMYFUNCTION("""COMPUTED_VALUE"""),"CSM")</f>
        <v>CSM</v>
      </c>
      <c r="G1053" s="80">
        <f ca="1">IFERROR(__xludf.DUMMYFUNCTION("""COMPUTED_VALUE"""),44682)</f>
        <v>44682</v>
      </c>
      <c r="H1053" s="6" t="str">
        <f ca="1">IFERROR(__xludf.DUMMYFUNCTION("""COMPUTED_VALUE"""),"Won")</f>
        <v>Won</v>
      </c>
      <c r="I1053" s="6" t="str">
        <f ca="1">IFERROR(__xludf.DUMMYFUNCTION("""COMPUTED_VALUE"""),"11-12 June 2022")</f>
        <v>11-12 June 2022</v>
      </c>
      <c r="J1053" s="6">
        <f ca="1">IFERROR(__xludf.DUMMYFUNCTION("""COMPUTED_VALUE"""),1)</f>
        <v>1</v>
      </c>
      <c r="K1053" s="8">
        <f ca="1">IFERROR(__xludf.DUMMYFUNCTION("""COMPUTED_VALUE"""),20000)</f>
        <v>20000</v>
      </c>
      <c r="L1053" s="8">
        <f ca="1">IFERROR(__xludf.DUMMYFUNCTION("""COMPUTED_VALUE"""),229.042601923957)</f>
        <v>229.04260192395699</v>
      </c>
      <c r="M1053" s="96">
        <f ca="1">IFERROR(__xludf.DUMMYFUNCTION("""COMPUTED_VALUE"""),44712)</f>
        <v>44712</v>
      </c>
      <c r="N1053" s="6" t="str">
        <f ca="1">IFERROR(__xludf.DUMMYFUNCTION("""COMPUTED_VALUE"""),"T10")</f>
        <v>T10</v>
      </c>
      <c r="O1053" s="97">
        <f ca="1">IFERROR(__xludf.DUMMYFUNCTION("""COMPUTED_VALUE"""),44712)</f>
        <v>44712</v>
      </c>
      <c r="P1053" s="6" t="str">
        <f ca="1">IFERROR(__xludf.DUMMYFUNCTION("""COMPUTED_VALUE"""),"CSTM_D6KW8JNYV53")</f>
        <v>CSTM_D6KW8JNYV53</v>
      </c>
      <c r="Q1053" s="6" t="str">
        <f ca="1">IFERROR(__xludf.DUMMYFUNCTION("""COMPUTED_VALUE"""),"Reference by prabhakaran61@gmail.com")</f>
        <v>Reference by prabhakaran61@gmail.com</v>
      </c>
      <c r="R1053" s="6" t="str">
        <f ca="1">IFERROR(__xludf.DUMMYFUNCTION("""COMPUTED_VALUE"""),"Done. Good feedback.")</f>
        <v>Done. Good feedback.</v>
      </c>
      <c r="S1053" s="6" t="str">
        <f ca="1">IFERROR(__xludf.DUMMYFUNCTION("""COMPUTED_VALUE"""),"Category")</f>
        <v>Category</v>
      </c>
      <c r="T1053" s="6"/>
      <c r="U1053" s="6"/>
      <c r="V1053" s="6"/>
      <c r="W1053" s="6"/>
      <c r="X1053" s="6"/>
      <c r="Y1053" s="6"/>
      <c r="Z1053" s="6"/>
      <c r="AA1053" s="6"/>
      <c r="AB1053" s="6"/>
      <c r="AC1053" s="6"/>
      <c r="AD1053" s="6"/>
      <c r="AE1053" s="6"/>
      <c r="AF1053" s="6"/>
      <c r="AG1053" s="6"/>
      <c r="AH1053" s="6"/>
      <c r="AI1053" s="6"/>
      <c r="AJ1053" s="6"/>
      <c r="AK1053" s="6"/>
      <c r="AL1053" s="6"/>
    </row>
    <row r="1054" spans="1:38">
      <c r="A1054" s="96">
        <f ca="1">IFERROR(__xludf.DUMMYFUNCTION("""COMPUTED_VALUE"""),44712)</f>
        <v>44712</v>
      </c>
      <c r="B1054" s="6" t="str">
        <f ca="1">IFERROR(__xludf.DUMMYFUNCTION("""COMPUTED_VALUE"""),"Aditi Tungare")</f>
        <v>Aditi Tungare</v>
      </c>
      <c r="C1054" s="6" t="str">
        <f ca="1">IFERROR(__xludf.DUMMYFUNCTION("""COMPUTED_VALUE"""),"adititungare47@gmail.com")</f>
        <v>adititungare47@gmail.com</v>
      </c>
      <c r="D1054" s="6">
        <f ca="1">IFERROR(__xludf.DUMMYFUNCTION("""COMPUTED_VALUE"""),8369558787)</f>
        <v>8369558787</v>
      </c>
      <c r="E1054" s="6" t="str">
        <f ca="1">IFERROR(__xludf.DUMMYFUNCTION("""COMPUTED_VALUE"""),"Tollfree")</f>
        <v>Tollfree</v>
      </c>
      <c r="F1054" s="6" t="str">
        <f ca="1">IFERROR(__xludf.DUMMYFUNCTION("""COMPUTED_VALUE"""),"PSPO")</f>
        <v>PSPO</v>
      </c>
      <c r="G1054" s="80">
        <f ca="1">IFERROR(__xludf.DUMMYFUNCTION("""COMPUTED_VALUE"""),44682)</f>
        <v>44682</v>
      </c>
      <c r="H1054" s="6" t="str">
        <f ca="1">IFERROR(__xludf.DUMMYFUNCTION("""COMPUTED_VALUE"""),"Won")</f>
        <v>Won</v>
      </c>
      <c r="I1054" s="6" t="str">
        <f ca="1">IFERROR(__xludf.DUMMYFUNCTION("""COMPUTED_VALUE"""),"18-19 June 2022")</f>
        <v>18-19 June 2022</v>
      </c>
      <c r="J1054" s="6">
        <f ca="1">IFERROR(__xludf.DUMMYFUNCTION("""COMPUTED_VALUE"""),1)</f>
        <v>1</v>
      </c>
      <c r="K1054" s="8">
        <f ca="1">IFERROR(__xludf.DUMMYFUNCTION("""COMPUTED_VALUE"""),21000)</f>
        <v>21000</v>
      </c>
      <c r="L1054" s="8">
        <f ca="1">IFERROR(__xludf.DUMMYFUNCTION("""COMPUTED_VALUE"""),240.494732020155)</f>
        <v>240.494732020155</v>
      </c>
      <c r="M1054" s="96">
        <f ca="1">IFERROR(__xludf.DUMMYFUNCTION("""COMPUTED_VALUE"""),44712)</f>
        <v>44712</v>
      </c>
      <c r="N1054" s="6" t="str">
        <f ca="1">IFERROR(__xludf.DUMMYFUNCTION("""COMPUTED_VALUE"""),"T10")</f>
        <v>T10</v>
      </c>
      <c r="O1054" s="97">
        <f ca="1">IFERROR(__xludf.DUMMYFUNCTION("""COMPUTED_VALUE"""),44712)</f>
        <v>44712</v>
      </c>
      <c r="P1054" s="6" t="str">
        <f ca="1">IFERROR(__xludf.DUMMYFUNCTION("""COMPUTED_VALUE"""),"CSTM_C6DL95P2XLH")</f>
        <v>CSTM_C6DL95P2XLH</v>
      </c>
      <c r="Q1054" s="6"/>
      <c r="R1054" s="6" t="str">
        <f ca="1">IFERROR(__xludf.DUMMYFUNCTION("""COMPUTED_VALUE"""),"Done. Good feedback.")</f>
        <v>Done. Good feedback.</v>
      </c>
      <c r="S1054" s="6" t="str">
        <f ca="1">IFERROR(__xludf.DUMMYFUNCTION("""COMPUTED_VALUE"""),"Category")</f>
        <v>Category</v>
      </c>
      <c r="T1054" s="6"/>
      <c r="U1054" s="6"/>
      <c r="V1054" s="6"/>
      <c r="W1054" s="6"/>
      <c r="X1054" s="6"/>
      <c r="Y1054" s="6"/>
      <c r="Z1054" s="6"/>
      <c r="AA1054" s="6"/>
      <c r="AB1054" s="6"/>
      <c r="AC1054" s="6"/>
      <c r="AD1054" s="6"/>
      <c r="AE1054" s="6"/>
      <c r="AF1054" s="6"/>
      <c r="AG1054" s="6"/>
      <c r="AH1054" s="6"/>
      <c r="AI1054" s="6"/>
      <c r="AJ1054" s="6"/>
      <c r="AK1054" s="6"/>
      <c r="AL1054" s="6"/>
    </row>
    <row r="1055" spans="1:38">
      <c r="A1055" s="96">
        <f ca="1">IFERROR(__xludf.DUMMYFUNCTION("""COMPUTED_VALUE"""),44712)</f>
        <v>44712</v>
      </c>
      <c r="B1055" s="6" t="str">
        <f ca="1">IFERROR(__xludf.DUMMYFUNCTION("""COMPUTED_VALUE"""),"Ritu Sharma")</f>
        <v>Ritu Sharma</v>
      </c>
      <c r="C1055" s="6" t="str">
        <f ca="1">IFERROR(__xludf.DUMMYFUNCTION("""COMPUTED_VALUE"""),"sritu00@gmail.com")</f>
        <v>sritu00@gmail.com</v>
      </c>
      <c r="D1055" s="6">
        <f ca="1">IFERROR(__xludf.DUMMYFUNCTION("""COMPUTED_VALUE"""),8291085656)</f>
        <v>8291085656</v>
      </c>
      <c r="E1055" s="6" t="str">
        <f ca="1">IFERROR(__xludf.DUMMYFUNCTION("""COMPUTED_VALUE"""),"Existing Account")</f>
        <v>Existing Account</v>
      </c>
      <c r="F1055" s="6" t="str">
        <f ca="1">IFERROR(__xludf.DUMMYFUNCTION("""COMPUTED_VALUE"""),"Prince2 F&amp;P")</f>
        <v>Prince2 F&amp;P</v>
      </c>
      <c r="G1055" s="80">
        <f ca="1">IFERROR(__xludf.DUMMYFUNCTION("""COMPUTED_VALUE"""),44682)</f>
        <v>44682</v>
      </c>
      <c r="H1055" s="6" t="str">
        <f ca="1">IFERROR(__xludf.DUMMYFUNCTION("""COMPUTED_VALUE"""),"Won")</f>
        <v>Won</v>
      </c>
      <c r="I1055" s="6" t="str">
        <f ca="1">IFERROR(__xludf.DUMMYFUNCTION("""COMPUTED_VALUE"""),"18 June 2022")</f>
        <v>18 June 2022</v>
      </c>
      <c r="J1055" s="6">
        <f ca="1">IFERROR(__xludf.DUMMYFUNCTION("""COMPUTED_VALUE"""),1)</f>
        <v>1</v>
      </c>
      <c r="K1055" s="8">
        <f ca="1">IFERROR(__xludf.DUMMYFUNCTION("""COMPUTED_VALUE"""),40000)</f>
        <v>40000</v>
      </c>
      <c r="L1055" s="8">
        <f ca="1">IFERROR(__xludf.DUMMYFUNCTION("""COMPUTED_VALUE"""),458.085203847915)</f>
        <v>458.08520384791501</v>
      </c>
      <c r="M1055" s="96">
        <f ca="1">IFERROR(__xludf.DUMMYFUNCTION("""COMPUTED_VALUE"""),44712)</f>
        <v>44712</v>
      </c>
      <c r="N1055" s="6" t="str">
        <f ca="1">IFERROR(__xludf.DUMMYFUNCTION("""COMPUTED_VALUE"""),"T10")</f>
        <v>T10</v>
      </c>
      <c r="O1055" s="97">
        <f ca="1">IFERROR(__xludf.DUMMYFUNCTION("""COMPUTED_VALUE"""),44712)</f>
        <v>44712</v>
      </c>
      <c r="P1055" s="6" t="str">
        <f ca="1">IFERROR(__xludf.DUMMYFUNCTION("""COMPUTED_VALUE"""),"CSTM_H858U5660X")</f>
        <v>CSTM_H858U5660X</v>
      </c>
      <c r="Q1055" s="6"/>
      <c r="R1055" s="6" t="str">
        <f ca="1">IFERROR(__xludf.DUMMYFUNCTION("""COMPUTED_VALUE"""),"Pending")</f>
        <v>Pending</v>
      </c>
      <c r="S1055" s="6" t="str">
        <f ca="1">IFERROR(__xludf.DUMMYFUNCTION("""COMPUTED_VALUE"""),"NonCategory")</f>
        <v>NonCategory</v>
      </c>
      <c r="T1055" s="6"/>
      <c r="U1055" s="6"/>
      <c r="V1055" s="6"/>
      <c r="W1055" s="6"/>
      <c r="X1055" s="6"/>
      <c r="Y1055" s="6"/>
      <c r="Z1055" s="6"/>
      <c r="AA1055" s="6"/>
      <c r="AB1055" s="6"/>
      <c r="AC1055" s="6"/>
      <c r="AD1055" s="6"/>
      <c r="AE1055" s="6"/>
      <c r="AF1055" s="6"/>
      <c r="AG1055" s="6"/>
      <c r="AH1055" s="6"/>
      <c r="AI1055" s="6"/>
      <c r="AJ1055" s="6"/>
      <c r="AK1055" s="6"/>
      <c r="AL1055" s="6"/>
    </row>
    <row r="1056" spans="1:38">
      <c r="A1056" s="96">
        <f ca="1">IFERROR(__xludf.DUMMYFUNCTION("""COMPUTED_VALUE"""),44712)</f>
        <v>44712</v>
      </c>
      <c r="B1056" s="6" t="str">
        <f ca="1">IFERROR(__xludf.DUMMYFUNCTION("""COMPUTED_VALUE"""),"Usha Raman")</f>
        <v>Usha Raman</v>
      </c>
      <c r="C1056" s="6" t="str">
        <f ca="1">IFERROR(__xludf.DUMMYFUNCTION("""COMPUTED_VALUE"""),"usharamanamma@gmail.com")</f>
        <v>usharamanamma@gmail.com</v>
      </c>
      <c r="D1056" s="6">
        <f ca="1">IFERROR(__xludf.DUMMYFUNCTION("""COMPUTED_VALUE"""),8374286916)</f>
        <v>8374286916</v>
      </c>
      <c r="E1056" s="6" t="str">
        <f ca="1">IFERROR(__xludf.DUMMYFUNCTION("""COMPUTED_VALUE"""),"Query box")</f>
        <v>Query box</v>
      </c>
      <c r="F1056" s="6" t="str">
        <f ca="1">IFERROR(__xludf.DUMMYFUNCTION("""COMPUTED_VALUE"""),"PSM")</f>
        <v>PSM</v>
      </c>
      <c r="G1056" s="80">
        <f ca="1">IFERROR(__xludf.DUMMYFUNCTION("""COMPUTED_VALUE"""),44682)</f>
        <v>44682</v>
      </c>
      <c r="H1056" s="6" t="str">
        <f ca="1">IFERROR(__xludf.DUMMYFUNCTION("""COMPUTED_VALUE"""),"Won")</f>
        <v>Won</v>
      </c>
      <c r="I1056" s="6" t="str">
        <f ca="1">IFERROR(__xludf.DUMMYFUNCTION("""COMPUTED_VALUE"""),"4-5 June 2022")</f>
        <v>4-5 June 2022</v>
      </c>
      <c r="J1056" s="6">
        <f ca="1">IFERROR(__xludf.DUMMYFUNCTION("""COMPUTED_VALUE"""),1)</f>
        <v>1</v>
      </c>
      <c r="K1056" s="8">
        <f ca="1">IFERROR(__xludf.DUMMYFUNCTION("""COMPUTED_VALUE"""),21000)</f>
        <v>21000</v>
      </c>
      <c r="L1056" s="8">
        <f ca="1">IFERROR(__xludf.DUMMYFUNCTION("""COMPUTED_VALUE"""),240.494732020155)</f>
        <v>240.494732020155</v>
      </c>
      <c r="M1056" s="96">
        <f ca="1">IFERROR(__xludf.DUMMYFUNCTION("""COMPUTED_VALUE"""),44712)</f>
        <v>44712</v>
      </c>
      <c r="N1056" s="6" t="str">
        <f ca="1">IFERROR(__xludf.DUMMYFUNCTION("""COMPUTED_VALUE"""),"T10")</f>
        <v>T10</v>
      </c>
      <c r="O1056" s="97">
        <f ca="1">IFERROR(__xludf.DUMMYFUNCTION("""COMPUTED_VALUE"""),44712)</f>
        <v>44712</v>
      </c>
      <c r="P1056" s="6" t="str">
        <f ca="1">IFERROR(__xludf.DUMMYFUNCTION("""COMPUTED_VALUE"""),"CSTM_A8CQ2AEO4HR")</f>
        <v>CSTM_A8CQ2AEO4HR</v>
      </c>
      <c r="Q1056" s="6"/>
      <c r="R1056" s="6" t="str">
        <f ca="1">IFERROR(__xludf.DUMMYFUNCTION("""COMPUTED_VALUE"""),"Done. Good feedback.")</f>
        <v>Done. Good feedback.</v>
      </c>
      <c r="S1056" s="6" t="str">
        <f ca="1">IFERROR(__xludf.DUMMYFUNCTION("""COMPUTED_VALUE"""),"Category")</f>
        <v>Category</v>
      </c>
      <c r="T1056" s="6"/>
      <c r="U1056" s="6"/>
      <c r="V1056" s="6"/>
      <c r="W1056" s="6"/>
      <c r="X1056" s="6"/>
      <c r="Y1056" s="6"/>
      <c r="Z1056" s="6"/>
      <c r="AA1056" s="6"/>
      <c r="AB1056" s="6"/>
      <c r="AC1056" s="6"/>
      <c r="AD1056" s="6"/>
      <c r="AE1056" s="6"/>
      <c r="AF1056" s="6"/>
      <c r="AG1056" s="6"/>
      <c r="AH1056" s="6"/>
      <c r="AI1056" s="6"/>
      <c r="AJ1056" s="6"/>
      <c r="AK1056" s="6"/>
      <c r="AL1056" s="6"/>
    </row>
    <row r="1057" spans="1:38">
      <c r="A1057" s="96">
        <f ca="1">IFERROR(__xludf.DUMMYFUNCTION("""COMPUTED_VALUE"""),44712)</f>
        <v>44712</v>
      </c>
      <c r="B1057" s="6" t="str">
        <f ca="1">IFERROR(__xludf.DUMMYFUNCTION("""COMPUTED_VALUE"""),"Amit Purohit")</f>
        <v>Amit Purohit</v>
      </c>
      <c r="C1057" s="6" t="str">
        <f ca="1">IFERROR(__xludf.DUMMYFUNCTION("""COMPUTED_VALUE"""),"amit.gmat1@gmail.com")</f>
        <v>amit.gmat1@gmail.com</v>
      </c>
      <c r="D1057" s="6">
        <f ca="1">IFERROR(__xludf.DUMMYFUNCTION("""COMPUTED_VALUE"""),8879233363)</f>
        <v>8879233363</v>
      </c>
      <c r="E1057" s="6" t="str">
        <f ca="1">IFERROR(__xludf.DUMMYFUNCTION("""COMPUTED_VALUE"""),"Reference")</f>
        <v>Reference</v>
      </c>
      <c r="F1057" s="6" t="str">
        <f ca="1">IFERROR(__xludf.DUMMYFUNCTION("""COMPUTED_VALUE"""),"SAFe Agile")</f>
        <v>SAFe Agile</v>
      </c>
      <c r="G1057" s="80">
        <f ca="1">IFERROR(__xludf.DUMMYFUNCTION("""COMPUTED_VALUE"""),44682)</f>
        <v>44682</v>
      </c>
      <c r="H1057" s="6" t="str">
        <f ca="1">IFERROR(__xludf.DUMMYFUNCTION("""COMPUTED_VALUE"""),"Won")</f>
        <v>Won</v>
      </c>
      <c r="I1057" s="6" t="str">
        <f ca="1">IFERROR(__xludf.DUMMYFUNCTION("""COMPUTED_VALUE"""),"25-26 June 2022")</f>
        <v>25-26 June 2022</v>
      </c>
      <c r="J1057" s="6">
        <f ca="1">IFERROR(__xludf.DUMMYFUNCTION("""COMPUTED_VALUE"""),1)</f>
        <v>1</v>
      </c>
      <c r="K1057" s="8">
        <f ca="1">IFERROR(__xludf.DUMMYFUNCTION("""COMPUTED_VALUE"""),40061)</f>
        <v>40061</v>
      </c>
      <c r="L1057" s="8">
        <f ca="1">IFERROR(__xludf.DUMMYFUNCTION("""COMPUTED_VALUE"""),458.783783783783)</f>
        <v>458.78378378378301</v>
      </c>
      <c r="M1057" s="96">
        <f ca="1">IFERROR(__xludf.DUMMYFUNCTION("""COMPUTED_VALUE"""),44712)</f>
        <v>44712</v>
      </c>
      <c r="N1057" s="6" t="str">
        <f ca="1">IFERROR(__xludf.DUMMYFUNCTION("""COMPUTED_VALUE"""),"T10")</f>
        <v>T10</v>
      </c>
      <c r="O1057" s="97">
        <f ca="1">IFERROR(__xludf.DUMMYFUNCTION("""COMPUTED_VALUE"""),44712)</f>
        <v>44712</v>
      </c>
      <c r="P1057" s="6" t="str">
        <f ca="1">IFERROR(__xludf.DUMMYFUNCTION("""COMPUTED_VALUE"""),"CSTM_CCVFQCXXAYN")</f>
        <v>CSTM_CCVFQCXXAYN</v>
      </c>
      <c r="Q1057" s="6" t="str">
        <f ca="1">IFERROR(__xludf.DUMMYFUNCTION("""COMPUTED_VALUE"""),"Keerti - Pending")</f>
        <v>Keerti - Pending</v>
      </c>
      <c r="R1057" s="6" t="str">
        <f ca="1">IFERROR(__xludf.DUMMYFUNCTION("""COMPUTED_VALUE"""),"Done. Good feedback.")</f>
        <v>Done. Good feedback.</v>
      </c>
      <c r="S1057" s="6" t="str">
        <f ca="1">IFERROR(__xludf.DUMMYFUNCTION("""COMPUTED_VALUE"""),"SAFe")</f>
        <v>SAFe</v>
      </c>
      <c r="T1057" s="6" t="str">
        <f ca="1">IFERROR(__xludf.DUMMYFUNCTION("""COMPUTED_VALUE"""),"Keerti - Pending")</f>
        <v>Keerti - Pending</v>
      </c>
      <c r="U1057" s="6"/>
      <c r="V1057" s="6"/>
      <c r="W1057" s="6"/>
      <c r="X1057" s="6"/>
      <c r="Y1057" s="6"/>
      <c r="Z1057" s="6"/>
      <c r="AA1057" s="6"/>
      <c r="AB1057" s="6"/>
      <c r="AC1057" s="6"/>
      <c r="AD1057" s="6"/>
      <c r="AE1057" s="6"/>
      <c r="AF1057" s="6"/>
      <c r="AG1057" s="6"/>
      <c r="AH1057" s="6"/>
      <c r="AI1057" s="6"/>
      <c r="AJ1057" s="6"/>
      <c r="AK1057" s="6"/>
      <c r="AL1057" s="6"/>
    </row>
    <row r="1058" spans="1:38">
      <c r="A1058" s="96">
        <f ca="1">IFERROR(__xludf.DUMMYFUNCTION("""COMPUTED_VALUE"""),44713)</f>
        <v>44713</v>
      </c>
      <c r="B1058" s="6" t="str">
        <f ca="1">IFERROR(__xludf.DUMMYFUNCTION("""COMPUTED_VALUE"""),"Rahul ")</f>
        <v xml:space="preserve">Rahul </v>
      </c>
      <c r="C1058" s="6" t="str">
        <f ca="1">IFERROR(__xludf.DUMMYFUNCTION("""COMPUTED_VALUE"""),"rahul.alld@gmail.com")</f>
        <v>rahul.alld@gmail.com</v>
      </c>
      <c r="D1058" s="6">
        <f ca="1">IFERROR(__xludf.DUMMYFUNCTION("""COMPUTED_VALUE"""),9313816691)</f>
        <v>9313816691</v>
      </c>
      <c r="E1058" s="6" t="str">
        <f ca="1">IFERROR(__xludf.DUMMYFUNCTION("""COMPUTED_VALUE"""),"Chat_triggered")</f>
        <v>Chat_triggered</v>
      </c>
      <c r="F1058" s="6" t="str">
        <f ca="1">IFERROR(__xludf.DUMMYFUNCTION("""COMPUTED_VALUE"""),"PSM")</f>
        <v>PSM</v>
      </c>
      <c r="G1058" s="80">
        <f ca="1">IFERROR(__xludf.DUMMYFUNCTION("""COMPUTED_VALUE"""),44713)</f>
        <v>44713</v>
      </c>
      <c r="H1058" s="6" t="str">
        <f ca="1">IFERROR(__xludf.DUMMYFUNCTION("""COMPUTED_VALUE"""),"Won")</f>
        <v>Won</v>
      </c>
      <c r="I1058" s="6" t="str">
        <f ca="1">IFERROR(__xludf.DUMMYFUNCTION("""COMPUTED_VALUE"""),"4-5 June 2022")</f>
        <v>4-5 June 2022</v>
      </c>
      <c r="J1058" s="6">
        <f ca="1">IFERROR(__xludf.DUMMYFUNCTION("""COMPUTED_VALUE"""),1)</f>
        <v>1</v>
      </c>
      <c r="K1058" s="8">
        <f ca="1">IFERROR(__xludf.DUMMYFUNCTION("""COMPUTED_VALUE"""),20500)</f>
        <v>20500</v>
      </c>
      <c r="L1058" s="8">
        <f ca="1">IFERROR(__xludf.DUMMYFUNCTION("""COMPUTED_VALUE"""),234.768666972056)</f>
        <v>234.768666972056</v>
      </c>
      <c r="M1058" s="96">
        <f ca="1">IFERROR(__xludf.DUMMYFUNCTION("""COMPUTED_VALUE"""),44713)</f>
        <v>44713</v>
      </c>
      <c r="N1058" s="6" t="str">
        <f ca="1">IFERROR(__xludf.DUMMYFUNCTION("""COMPUTED_VALUE"""),"F10")</f>
        <v>F10</v>
      </c>
      <c r="O1058" s="97">
        <f ca="1">IFERROR(__xludf.DUMMYFUNCTION("""COMPUTED_VALUE"""),44713)</f>
        <v>44713</v>
      </c>
      <c r="P1058" s="6" t="str">
        <f ca="1">IFERROR(__xludf.DUMMYFUNCTION("""COMPUTED_VALUE"""),"CSTM_1NJ9LIJPEW7")</f>
        <v>CSTM_1NJ9LIJPEW7</v>
      </c>
      <c r="Q1058" s="6"/>
      <c r="R1058" s="6" t="str">
        <f ca="1">IFERROR(__xludf.DUMMYFUNCTION("""COMPUTED_VALUE"""),"Done. Good feedback.")</f>
        <v>Done. Good feedback.</v>
      </c>
      <c r="S1058" s="6" t="str">
        <f ca="1">IFERROR(__xludf.DUMMYFUNCTION("""COMPUTED_VALUE"""),"Category")</f>
        <v>Category</v>
      </c>
      <c r="T1058" s="6"/>
      <c r="U1058" s="6"/>
      <c r="V1058" s="6"/>
      <c r="W1058" s="6"/>
      <c r="X1058" s="6"/>
      <c r="Y1058" s="6"/>
      <c r="Z1058" s="6"/>
      <c r="AA1058" s="6"/>
      <c r="AB1058" s="6"/>
      <c r="AC1058" s="6"/>
      <c r="AD1058" s="6"/>
      <c r="AE1058" s="6"/>
      <c r="AF1058" s="6"/>
      <c r="AG1058" s="6"/>
      <c r="AH1058" s="6"/>
      <c r="AI1058" s="6"/>
      <c r="AJ1058" s="6"/>
      <c r="AK1058" s="6"/>
      <c r="AL1058" s="6"/>
    </row>
    <row r="1059" spans="1:38">
      <c r="A1059" s="96">
        <f ca="1">IFERROR(__xludf.DUMMYFUNCTION("""COMPUTED_VALUE"""),44713)</f>
        <v>44713</v>
      </c>
      <c r="B1059" s="6" t="str">
        <f ca="1">IFERROR(__xludf.DUMMYFUNCTION("""COMPUTED_VALUE"""),"Ruchi Ghiya")</f>
        <v>Ruchi Ghiya</v>
      </c>
      <c r="C1059" s="6" t="str">
        <f ca="1">IFERROR(__xludf.DUMMYFUNCTION("""COMPUTED_VALUE"""),"ruchi.ghiya26@gmail.com")</f>
        <v>ruchi.ghiya26@gmail.com</v>
      </c>
      <c r="D1059" s="6">
        <f ca="1">IFERROR(__xludf.DUMMYFUNCTION("""COMPUTED_VALUE"""),9953611216)</f>
        <v>9953611216</v>
      </c>
      <c r="E1059" s="6" t="str">
        <f ca="1">IFERROR(__xludf.DUMMYFUNCTION("""COMPUTED_VALUE"""),"Reference")</f>
        <v>Reference</v>
      </c>
      <c r="F1059" s="6" t="str">
        <f ca="1">IFERROR(__xludf.DUMMYFUNCTION("""COMPUTED_VALUE"""),"PSM")</f>
        <v>PSM</v>
      </c>
      <c r="G1059" s="80">
        <f ca="1">IFERROR(__xludf.DUMMYFUNCTION("""COMPUTED_VALUE"""),44713)</f>
        <v>44713</v>
      </c>
      <c r="H1059" s="6" t="str">
        <f ca="1">IFERROR(__xludf.DUMMYFUNCTION("""COMPUTED_VALUE"""),"Won")</f>
        <v>Won</v>
      </c>
      <c r="I1059" s="6" t="str">
        <f ca="1">IFERROR(__xludf.DUMMYFUNCTION("""COMPUTED_VALUE"""),"4-5 June 2022")</f>
        <v>4-5 June 2022</v>
      </c>
      <c r="J1059" s="6">
        <f ca="1">IFERROR(__xludf.DUMMYFUNCTION("""COMPUTED_VALUE"""),1)</f>
        <v>1</v>
      </c>
      <c r="K1059" s="8">
        <f ca="1">IFERROR(__xludf.DUMMYFUNCTION("""COMPUTED_VALUE"""),20500)</f>
        <v>20500</v>
      </c>
      <c r="L1059" s="8">
        <f ca="1">IFERROR(__xludf.DUMMYFUNCTION("""COMPUTED_VALUE"""),234.768666972056)</f>
        <v>234.768666972056</v>
      </c>
      <c r="M1059" s="96">
        <f ca="1">IFERROR(__xludf.DUMMYFUNCTION("""COMPUTED_VALUE"""),44713)</f>
        <v>44713</v>
      </c>
      <c r="N1059" s="6" t="str">
        <f ca="1">IFERROR(__xludf.DUMMYFUNCTION("""COMPUTED_VALUE"""),"F10")</f>
        <v>F10</v>
      </c>
      <c r="O1059" s="97">
        <f ca="1">IFERROR(__xludf.DUMMYFUNCTION("""COMPUTED_VALUE"""),44713)</f>
        <v>44713</v>
      </c>
      <c r="P1059" s="6" t="str">
        <f ca="1">IFERROR(__xludf.DUMMYFUNCTION("""COMPUTED_VALUE"""),"CSTM_GIIHEDMX2ZA")</f>
        <v>CSTM_GIIHEDMX2ZA</v>
      </c>
      <c r="Q1059" s="6" t="str">
        <f ca="1">IFERROR(__xludf.DUMMYFUNCTION("""COMPUTED_VALUE"""),"Reference by Rahul Alld")</f>
        <v>Reference by Rahul Alld</v>
      </c>
      <c r="R1059" s="6" t="str">
        <f ca="1">IFERROR(__xludf.DUMMYFUNCTION("""COMPUTED_VALUE"""),"Pending")</f>
        <v>Pending</v>
      </c>
      <c r="S1059" s="6" t="str">
        <f ca="1">IFERROR(__xludf.DUMMYFUNCTION("""COMPUTED_VALUE"""),"Category")</f>
        <v>Category</v>
      </c>
      <c r="T1059" s="6"/>
      <c r="U1059" s="6"/>
      <c r="V1059" s="6"/>
      <c r="W1059" s="6"/>
      <c r="X1059" s="6"/>
      <c r="Y1059" s="6"/>
      <c r="Z1059" s="6"/>
      <c r="AA1059" s="6"/>
      <c r="AB1059" s="6"/>
      <c r="AC1059" s="6"/>
      <c r="AD1059" s="6"/>
      <c r="AE1059" s="6"/>
      <c r="AF1059" s="6"/>
      <c r="AG1059" s="6"/>
      <c r="AH1059" s="6"/>
      <c r="AI1059" s="6"/>
      <c r="AJ1059" s="6"/>
      <c r="AK1059" s="6"/>
      <c r="AL1059" s="6"/>
    </row>
    <row r="1060" spans="1:38">
      <c r="A1060" s="96">
        <f ca="1">IFERROR(__xludf.DUMMYFUNCTION("""COMPUTED_VALUE"""),44713)</f>
        <v>44713</v>
      </c>
      <c r="B1060" s="6" t="str">
        <f ca="1">IFERROR(__xludf.DUMMYFUNCTION("""COMPUTED_VALUE"""),"Rao Athota")</f>
        <v>Rao Athota</v>
      </c>
      <c r="C1060" s="6" t="str">
        <f ca="1">IFERROR(__xludf.DUMMYFUNCTION("""COMPUTED_VALUE"""),"rao.athota@gmail.com")</f>
        <v>rao.athota@gmail.com</v>
      </c>
      <c r="D1060" s="6">
        <f ca="1">IFERROR(__xludf.DUMMYFUNCTION("""COMPUTED_VALUE"""),7730910725)</f>
        <v>7730910725</v>
      </c>
      <c r="E1060" s="6" t="str">
        <f ca="1">IFERROR(__xludf.DUMMYFUNCTION("""COMPUTED_VALUE"""),"Reference")</f>
        <v>Reference</v>
      </c>
      <c r="F1060" s="6" t="str">
        <f ca="1">IFERROR(__xludf.DUMMYFUNCTION("""COMPUTED_VALUE"""),"PSM")</f>
        <v>PSM</v>
      </c>
      <c r="G1060" s="80">
        <f ca="1">IFERROR(__xludf.DUMMYFUNCTION("""COMPUTED_VALUE"""),44713)</f>
        <v>44713</v>
      </c>
      <c r="H1060" s="6" t="str">
        <f ca="1">IFERROR(__xludf.DUMMYFUNCTION("""COMPUTED_VALUE"""),"Won")</f>
        <v>Won</v>
      </c>
      <c r="I1060" s="6" t="str">
        <f ca="1">IFERROR(__xludf.DUMMYFUNCTION("""COMPUTED_VALUE"""),"4-5 June 2022")</f>
        <v>4-5 June 2022</v>
      </c>
      <c r="J1060" s="6">
        <f ca="1">IFERROR(__xludf.DUMMYFUNCTION("""COMPUTED_VALUE"""),1)</f>
        <v>1</v>
      </c>
      <c r="K1060" s="8">
        <f ca="1">IFERROR(__xludf.DUMMYFUNCTION("""COMPUTED_VALUE"""),20500)</f>
        <v>20500</v>
      </c>
      <c r="L1060" s="8">
        <f ca="1">IFERROR(__xludf.DUMMYFUNCTION("""COMPUTED_VALUE"""),234.768666972056)</f>
        <v>234.768666972056</v>
      </c>
      <c r="M1060" s="96">
        <f ca="1">IFERROR(__xludf.DUMMYFUNCTION("""COMPUTED_VALUE"""),44713)</f>
        <v>44713</v>
      </c>
      <c r="N1060" s="6" t="str">
        <f ca="1">IFERROR(__xludf.DUMMYFUNCTION("""COMPUTED_VALUE"""),"F10")</f>
        <v>F10</v>
      </c>
      <c r="O1060" s="97">
        <f ca="1">IFERROR(__xludf.DUMMYFUNCTION("""COMPUTED_VALUE"""),44713)</f>
        <v>44713</v>
      </c>
      <c r="P1060" s="6" t="str">
        <f ca="1">IFERROR(__xludf.DUMMYFUNCTION("""COMPUTED_VALUE"""),"CSTM_42949Y93VUF")</f>
        <v>CSTM_42949Y93VUF</v>
      </c>
      <c r="Q1060" s="6" t="str">
        <f ca="1">IFERROR(__xludf.DUMMYFUNCTION("""COMPUTED_VALUE"""),"Reference by Ganga")</f>
        <v>Reference by Ganga</v>
      </c>
      <c r="R1060" s="6" t="str">
        <f ca="1">IFERROR(__xludf.DUMMYFUNCTION("""COMPUTED_VALUE"""),"Done. Good feedback.")</f>
        <v>Done. Good feedback.</v>
      </c>
      <c r="S1060" s="6" t="str">
        <f ca="1">IFERROR(__xludf.DUMMYFUNCTION("""COMPUTED_VALUE"""),"Category")</f>
        <v>Category</v>
      </c>
      <c r="T1060" s="6"/>
      <c r="U1060" s="6"/>
      <c r="V1060" s="6"/>
      <c r="W1060" s="6"/>
      <c r="X1060" s="6"/>
      <c r="Y1060" s="6"/>
      <c r="Z1060" s="6"/>
      <c r="AA1060" s="6"/>
      <c r="AB1060" s="6"/>
      <c r="AC1060" s="6"/>
      <c r="AD1060" s="6"/>
      <c r="AE1060" s="6"/>
      <c r="AF1060" s="6"/>
      <c r="AG1060" s="6"/>
      <c r="AH1060" s="6"/>
      <c r="AI1060" s="6"/>
      <c r="AJ1060" s="6"/>
      <c r="AK1060" s="6"/>
      <c r="AL1060" s="6"/>
    </row>
    <row r="1061" spans="1:38">
      <c r="A1061" s="96">
        <f ca="1">IFERROR(__xludf.DUMMYFUNCTION("""COMPUTED_VALUE"""),44713)</f>
        <v>44713</v>
      </c>
      <c r="B1061" s="6" t="str">
        <f ca="1">IFERROR(__xludf.DUMMYFUNCTION("""COMPUTED_VALUE"""),"Dushyant")</f>
        <v>Dushyant</v>
      </c>
      <c r="C1061" s="6" t="str">
        <f ca="1">IFERROR(__xludf.DUMMYFUNCTION("""COMPUTED_VALUE"""),"dushyant.infy@gmail.com")</f>
        <v>dushyant.infy@gmail.com</v>
      </c>
      <c r="D1061" s="6">
        <f ca="1">IFERROR(__xludf.DUMMYFUNCTION("""COMPUTED_VALUE"""),9920109571)</f>
        <v>9920109571</v>
      </c>
      <c r="E1061" s="6" t="str">
        <f ca="1">IFERROR(__xludf.DUMMYFUNCTION("""COMPUTED_VALUE"""),"chat_initiated")</f>
        <v>chat_initiated</v>
      </c>
      <c r="F1061" s="6" t="str">
        <f ca="1">IFERROR(__xludf.DUMMYFUNCTION("""COMPUTED_VALUE"""),"SAFe POPM")</f>
        <v>SAFe POPM</v>
      </c>
      <c r="G1061" s="80">
        <f ca="1">IFERROR(__xludf.DUMMYFUNCTION("""COMPUTED_VALUE"""),44713)</f>
        <v>44713</v>
      </c>
      <c r="H1061" s="6" t="str">
        <f ca="1">IFERROR(__xludf.DUMMYFUNCTION("""COMPUTED_VALUE"""),"Won")</f>
        <v>Won</v>
      </c>
      <c r="I1061" s="6" t="str">
        <f ca="1">IFERROR(__xludf.DUMMYFUNCTION("""COMPUTED_VALUE"""),"4-5 June 2022")</f>
        <v>4-5 June 2022</v>
      </c>
      <c r="J1061" s="6">
        <f ca="1">IFERROR(__xludf.DUMMYFUNCTION("""COMPUTED_VALUE"""),1)</f>
        <v>1</v>
      </c>
      <c r="K1061" s="8">
        <f ca="1">IFERROR(__xludf.DUMMYFUNCTION("""COMPUTED_VALUE"""),42000)</f>
        <v>42000</v>
      </c>
      <c r="L1061" s="8">
        <f ca="1">IFERROR(__xludf.DUMMYFUNCTION("""COMPUTED_VALUE"""),480.989464040311)</f>
        <v>480.98946404031102</v>
      </c>
      <c r="M1061" s="96">
        <f ca="1">IFERROR(__xludf.DUMMYFUNCTION("""COMPUTED_VALUE"""),44713)</f>
        <v>44713</v>
      </c>
      <c r="N1061" s="6" t="str">
        <f ca="1">IFERROR(__xludf.DUMMYFUNCTION("""COMPUTED_VALUE"""),"F10")</f>
        <v>F10</v>
      </c>
      <c r="O1061" s="97">
        <f ca="1">IFERROR(__xludf.DUMMYFUNCTION("""COMPUTED_VALUE"""),44713)</f>
        <v>44713</v>
      </c>
      <c r="P1061" s="6" t="str">
        <f ca="1">IFERROR(__xludf.DUMMYFUNCTION("""COMPUTED_VALUE"""),"CSTM_66KFCYGGKTD")</f>
        <v>CSTM_66KFCYGGKTD</v>
      </c>
      <c r="Q1061" s="6"/>
      <c r="R1061" s="6" t="str">
        <f ca="1">IFERROR(__xludf.DUMMYFUNCTION("""COMPUTED_VALUE"""),"Don't ask.")</f>
        <v>Don't ask.</v>
      </c>
      <c r="S1061" s="6" t="str">
        <f ca="1">IFERROR(__xludf.DUMMYFUNCTION("""COMPUTED_VALUE"""),"SAFe")</f>
        <v>SAFe</v>
      </c>
      <c r="T1061" s="6"/>
      <c r="U1061" s="6"/>
      <c r="V1061" s="6"/>
      <c r="W1061" s="6"/>
      <c r="X1061" s="6"/>
      <c r="Y1061" s="6"/>
      <c r="Z1061" s="6"/>
      <c r="AA1061" s="6"/>
      <c r="AB1061" s="6"/>
      <c r="AC1061" s="6"/>
      <c r="AD1061" s="6"/>
      <c r="AE1061" s="6"/>
      <c r="AF1061" s="6"/>
      <c r="AG1061" s="6"/>
      <c r="AH1061" s="6"/>
      <c r="AI1061" s="6"/>
      <c r="AJ1061" s="6"/>
      <c r="AK1061" s="6"/>
      <c r="AL1061" s="6"/>
    </row>
    <row r="1062" spans="1:38">
      <c r="A1062" s="96">
        <f ca="1">IFERROR(__xludf.DUMMYFUNCTION("""COMPUTED_VALUE"""),44713)</f>
        <v>44713</v>
      </c>
      <c r="B1062" s="6" t="str">
        <f ca="1">IFERROR(__xludf.DUMMYFUNCTION("""COMPUTED_VALUE"""),"Anurag Pingle")</f>
        <v>Anurag Pingle</v>
      </c>
      <c r="C1062" s="6" t="str">
        <f ca="1">IFERROR(__xludf.DUMMYFUNCTION("""COMPUTED_VALUE"""),"anuragpingle@gmail.com")</f>
        <v>anuragpingle@gmail.com</v>
      </c>
      <c r="D1062" s="6">
        <f ca="1">IFERROR(__xludf.DUMMYFUNCTION("""COMPUTED_VALUE"""),9660448271)</f>
        <v>9660448271</v>
      </c>
      <c r="E1062" s="6" t="str">
        <f ca="1">IFERROR(__xludf.DUMMYFUNCTION("""COMPUTED_VALUE"""),"chat_initiated")</f>
        <v>chat_initiated</v>
      </c>
      <c r="F1062" s="6" t="str">
        <f ca="1">IFERROR(__xludf.DUMMYFUNCTION("""COMPUTED_VALUE"""),"SAFe POPM")</f>
        <v>SAFe POPM</v>
      </c>
      <c r="G1062" s="80">
        <f ca="1">IFERROR(__xludf.DUMMYFUNCTION("""COMPUTED_VALUE"""),44713)</f>
        <v>44713</v>
      </c>
      <c r="H1062" s="6" t="str">
        <f ca="1">IFERROR(__xludf.DUMMYFUNCTION("""COMPUTED_VALUE"""),"Won")</f>
        <v>Won</v>
      </c>
      <c r="I1062" s="6" t="str">
        <f ca="1">IFERROR(__xludf.DUMMYFUNCTION("""COMPUTED_VALUE"""),"4-5 June 2022")</f>
        <v>4-5 June 2022</v>
      </c>
      <c r="J1062" s="6">
        <f ca="1">IFERROR(__xludf.DUMMYFUNCTION("""COMPUTED_VALUE"""),1)</f>
        <v>1</v>
      </c>
      <c r="K1062" s="8">
        <f ca="1">IFERROR(__xludf.DUMMYFUNCTION("""COMPUTED_VALUE"""),42000)</f>
        <v>42000</v>
      </c>
      <c r="L1062" s="8">
        <f ca="1">IFERROR(__xludf.DUMMYFUNCTION("""COMPUTED_VALUE"""),480.989464040311)</f>
        <v>480.98946404031102</v>
      </c>
      <c r="M1062" s="96">
        <f ca="1">IFERROR(__xludf.DUMMYFUNCTION("""COMPUTED_VALUE"""),44713)</f>
        <v>44713</v>
      </c>
      <c r="N1062" s="6" t="str">
        <f ca="1">IFERROR(__xludf.DUMMYFUNCTION("""COMPUTED_VALUE"""),"F10")</f>
        <v>F10</v>
      </c>
      <c r="O1062" s="97">
        <f ca="1">IFERROR(__xludf.DUMMYFUNCTION("""COMPUTED_VALUE"""),44713)</f>
        <v>44713</v>
      </c>
      <c r="P1062" s="6" t="str">
        <f ca="1">IFERROR(__xludf.DUMMYFUNCTION("""COMPUTED_VALUE"""),"CSTM_F7W8SG986IQ")</f>
        <v>CSTM_F7W8SG986IQ</v>
      </c>
      <c r="Q1062" s="6"/>
      <c r="R1062" s="6" t="str">
        <f ca="1">IFERROR(__xludf.DUMMYFUNCTION("""COMPUTED_VALUE"""),"Done. Good feedback.")</f>
        <v>Done. Good feedback.</v>
      </c>
      <c r="S1062" s="6" t="str">
        <f ca="1">IFERROR(__xludf.DUMMYFUNCTION("""COMPUTED_VALUE"""),"SAFe")</f>
        <v>SAFe</v>
      </c>
      <c r="T1062" s="6"/>
      <c r="U1062" s="6"/>
      <c r="V1062" s="6"/>
      <c r="W1062" s="6"/>
      <c r="X1062" s="6"/>
      <c r="Y1062" s="6"/>
      <c r="Z1062" s="6"/>
      <c r="AA1062" s="6"/>
      <c r="AB1062" s="6"/>
      <c r="AC1062" s="6"/>
      <c r="AD1062" s="6"/>
      <c r="AE1062" s="6"/>
      <c r="AF1062" s="6"/>
      <c r="AG1062" s="6"/>
      <c r="AH1062" s="6"/>
      <c r="AI1062" s="6"/>
      <c r="AJ1062" s="6"/>
      <c r="AK1062" s="6"/>
      <c r="AL1062" s="6"/>
    </row>
    <row r="1063" spans="1:38">
      <c r="A1063" s="96">
        <f ca="1">IFERROR(__xludf.DUMMYFUNCTION("""COMPUTED_VALUE"""),44713)</f>
        <v>44713</v>
      </c>
      <c r="B1063" s="6" t="str">
        <f ca="1">IFERROR(__xludf.DUMMYFUNCTION("""COMPUTED_VALUE"""),"Naveenram Gunasekaran")</f>
        <v>Naveenram Gunasekaran</v>
      </c>
      <c r="C1063" s="6" t="str">
        <f ca="1">IFERROR(__xludf.DUMMYFUNCTION("""COMPUTED_VALUE"""),"naveenram.gunasekara@gmail.com")</f>
        <v>naveenram.gunasekara@gmail.com</v>
      </c>
      <c r="D1063" s="6">
        <f ca="1">IFERROR(__xludf.DUMMYFUNCTION("""COMPUTED_VALUE"""),9384236185)</f>
        <v>9384236185</v>
      </c>
      <c r="E1063" s="6" t="str">
        <f ca="1">IFERROR(__xludf.DUMMYFUNCTION("""COMPUTED_VALUE"""),"Existing Account")</f>
        <v>Existing Account</v>
      </c>
      <c r="F1063" s="6" t="str">
        <f ca="1">IFERROR(__xludf.DUMMYFUNCTION("""COMPUTED_VALUE"""),"Prince2 F&amp;P")</f>
        <v>Prince2 F&amp;P</v>
      </c>
      <c r="G1063" s="80">
        <f ca="1">IFERROR(__xludf.DUMMYFUNCTION("""COMPUTED_VALUE"""),44713)</f>
        <v>44713</v>
      </c>
      <c r="H1063" s="6" t="str">
        <f ca="1">IFERROR(__xludf.DUMMYFUNCTION("""COMPUTED_VALUE"""),"Won")</f>
        <v>Won</v>
      </c>
      <c r="I1063" s="6" t="str">
        <f ca="1">IFERROR(__xludf.DUMMYFUNCTION("""COMPUTED_VALUE"""),"4 June 2022")</f>
        <v>4 June 2022</v>
      </c>
      <c r="J1063" s="6">
        <f ca="1">IFERROR(__xludf.DUMMYFUNCTION("""COMPUTED_VALUE"""),1)</f>
        <v>1</v>
      </c>
      <c r="K1063" s="8">
        <f ca="1">IFERROR(__xludf.DUMMYFUNCTION("""COMPUTED_VALUE"""),39000)</f>
        <v>39000</v>
      </c>
      <c r="L1063" s="8">
        <f ca="1">IFERROR(__xludf.DUMMYFUNCTION("""COMPUTED_VALUE"""),446.633073751717)</f>
        <v>446.63307375171701</v>
      </c>
      <c r="M1063" s="96">
        <f ca="1">IFERROR(__xludf.DUMMYFUNCTION("""COMPUTED_VALUE"""),44713)</f>
        <v>44713</v>
      </c>
      <c r="N1063" s="6" t="str">
        <f ca="1">IFERROR(__xludf.DUMMYFUNCTION("""COMPUTED_VALUE"""),"F10")</f>
        <v>F10</v>
      </c>
      <c r="O1063" s="97">
        <f ca="1">IFERROR(__xludf.DUMMYFUNCTION("""COMPUTED_VALUE"""),44714)</f>
        <v>44714</v>
      </c>
      <c r="P1063" s="6" t="str">
        <f ca="1">IFERROR(__xludf.DUMMYFUNCTION("""COMPUTED_VALUE"""),"CSTM_25F4H1AQS0L")</f>
        <v>CSTM_25F4H1AQS0L</v>
      </c>
      <c r="Q1063" s="6"/>
      <c r="R1063" s="6" t="str">
        <f ca="1">IFERROR(__xludf.DUMMYFUNCTION("""COMPUTED_VALUE"""),"Pending")</f>
        <v>Pending</v>
      </c>
      <c r="S1063" s="6" t="str">
        <f ca="1">IFERROR(__xludf.DUMMYFUNCTION("""COMPUTED_VALUE"""),"NonCategory")</f>
        <v>NonCategory</v>
      </c>
      <c r="T1063" s="6"/>
      <c r="U1063" s="6"/>
      <c r="V1063" s="6"/>
      <c r="W1063" s="6"/>
      <c r="X1063" s="6"/>
      <c r="Y1063" s="6"/>
      <c r="Z1063" s="6"/>
      <c r="AA1063" s="6"/>
      <c r="AB1063" s="6"/>
      <c r="AC1063" s="6"/>
      <c r="AD1063" s="6"/>
      <c r="AE1063" s="6"/>
      <c r="AF1063" s="6"/>
      <c r="AG1063" s="6"/>
      <c r="AH1063" s="6"/>
      <c r="AI1063" s="6"/>
      <c r="AJ1063" s="6"/>
      <c r="AK1063" s="6"/>
      <c r="AL1063" s="6"/>
    </row>
    <row r="1064" spans="1:38">
      <c r="A1064" s="96">
        <f ca="1">IFERROR(__xludf.DUMMYFUNCTION("""COMPUTED_VALUE"""),44715)</f>
        <v>44715</v>
      </c>
      <c r="B1064" s="6" t="str">
        <f ca="1">IFERROR(__xludf.DUMMYFUNCTION("""COMPUTED_VALUE"""),"Goraksha Jarkad")</f>
        <v>Goraksha Jarkad</v>
      </c>
      <c r="C1064" s="6" t="str">
        <f ca="1">IFERROR(__xludf.DUMMYFUNCTION("""COMPUTED_VALUE"""),"goraksha.jarkad@gmail.com")</f>
        <v>goraksha.jarkad@gmail.com</v>
      </c>
      <c r="D1064" s="6">
        <f ca="1">IFERROR(__xludf.DUMMYFUNCTION("""COMPUTED_VALUE"""),9975586546)</f>
        <v>9975586546</v>
      </c>
      <c r="E1064" s="6" t="str">
        <f ca="1">IFERROR(__xludf.DUMMYFUNCTION("""COMPUTED_VALUE"""),"Chat_triggered")</f>
        <v>Chat_triggered</v>
      </c>
      <c r="F1064" s="6" t="str">
        <f ca="1">IFERROR(__xludf.DUMMYFUNCTION("""COMPUTED_VALUE"""),"PSM")</f>
        <v>PSM</v>
      </c>
      <c r="G1064" s="80">
        <f ca="1">IFERROR(__xludf.DUMMYFUNCTION("""COMPUTED_VALUE"""),44713)</f>
        <v>44713</v>
      </c>
      <c r="H1064" s="6" t="str">
        <f ca="1">IFERROR(__xludf.DUMMYFUNCTION("""COMPUTED_VALUE"""),"Won")</f>
        <v>Won</v>
      </c>
      <c r="I1064" s="6" t="str">
        <f ca="1">IFERROR(__xludf.DUMMYFUNCTION("""COMPUTED_VALUE"""),"3 June 2022")</f>
        <v>3 June 2022</v>
      </c>
      <c r="J1064" s="6">
        <f ca="1">IFERROR(__xludf.DUMMYFUNCTION("""COMPUTED_VALUE"""),1)</f>
        <v>1</v>
      </c>
      <c r="K1064" s="8">
        <f ca="1">IFERROR(__xludf.DUMMYFUNCTION("""COMPUTED_VALUE"""),20500)</f>
        <v>20500</v>
      </c>
      <c r="L1064" s="8">
        <f ca="1">IFERROR(__xludf.DUMMYFUNCTION("""COMPUTED_VALUE"""),234.768666972056)</f>
        <v>234.768666972056</v>
      </c>
      <c r="M1064" s="96">
        <f ca="1">IFERROR(__xludf.DUMMYFUNCTION("""COMPUTED_VALUE"""),44715)</f>
        <v>44715</v>
      </c>
      <c r="N1064" s="6" t="str">
        <f ca="1">IFERROR(__xludf.DUMMYFUNCTION("""COMPUTED_VALUE"""),"F10")</f>
        <v>F10</v>
      </c>
      <c r="O1064" s="97">
        <f ca="1">IFERROR(__xludf.DUMMYFUNCTION("""COMPUTED_VALUE"""),44715)</f>
        <v>44715</v>
      </c>
      <c r="P1064" s="6" t="str">
        <f ca="1">IFERROR(__xludf.DUMMYFUNCTION("""COMPUTED_VALUE"""),"CSTM_6N0G50XOOKZ")</f>
        <v>CSTM_6N0G50XOOKZ</v>
      </c>
      <c r="Q1064" s="6"/>
      <c r="R1064" s="6" t="str">
        <f ca="1">IFERROR(__xludf.DUMMYFUNCTION("""COMPUTED_VALUE"""),"Pending")</f>
        <v>Pending</v>
      </c>
      <c r="S1064" s="6" t="str">
        <f ca="1">IFERROR(__xludf.DUMMYFUNCTION("""COMPUTED_VALUE"""),"Category")</f>
        <v>Category</v>
      </c>
      <c r="T1064" s="6"/>
      <c r="U1064" s="6"/>
      <c r="V1064" s="6"/>
      <c r="W1064" s="6"/>
      <c r="X1064" s="6"/>
      <c r="Y1064" s="6"/>
      <c r="Z1064" s="6"/>
      <c r="AA1064" s="6"/>
      <c r="AB1064" s="6"/>
      <c r="AC1064" s="6"/>
      <c r="AD1064" s="6"/>
      <c r="AE1064" s="6"/>
      <c r="AF1064" s="6"/>
      <c r="AG1064" s="6"/>
      <c r="AH1064" s="6"/>
      <c r="AI1064" s="6"/>
      <c r="AJ1064" s="6"/>
      <c r="AK1064" s="6"/>
      <c r="AL1064" s="6"/>
    </row>
    <row r="1065" spans="1:38">
      <c r="A1065" s="96">
        <f ca="1">IFERROR(__xludf.DUMMYFUNCTION("""COMPUTED_VALUE"""),44715)</f>
        <v>44715</v>
      </c>
      <c r="B1065" s="6" t="str">
        <f ca="1">IFERROR(__xludf.DUMMYFUNCTION("""COMPUTED_VALUE"""),"Chandran J")</f>
        <v>Chandran J</v>
      </c>
      <c r="C1065" s="6" t="str">
        <f ca="1">IFERROR(__xludf.DUMMYFUNCTION("""COMPUTED_VALUE"""),"jchandu2006@gmail.com")</f>
        <v>jchandu2006@gmail.com</v>
      </c>
      <c r="D1065" s="6">
        <f ca="1">IFERROR(__xludf.DUMMYFUNCTION("""COMPUTED_VALUE"""),9790949045)</f>
        <v>9790949045</v>
      </c>
      <c r="E1065" s="6" t="str">
        <f ca="1">IFERROR(__xludf.DUMMYFUNCTION("""COMPUTED_VALUE"""),"chat_initiated")</f>
        <v>chat_initiated</v>
      </c>
      <c r="F1065" s="6" t="str">
        <f ca="1">IFERROR(__xludf.DUMMYFUNCTION("""COMPUTED_VALUE"""),"SAFe Agile")</f>
        <v>SAFe Agile</v>
      </c>
      <c r="G1065" s="80">
        <f ca="1">IFERROR(__xludf.DUMMYFUNCTION("""COMPUTED_VALUE"""),44713)</f>
        <v>44713</v>
      </c>
      <c r="H1065" s="6" t="str">
        <f ca="1">IFERROR(__xludf.DUMMYFUNCTION("""COMPUTED_VALUE"""),"Won")</f>
        <v>Won</v>
      </c>
      <c r="I1065" s="6" t="str">
        <f ca="1">IFERROR(__xludf.DUMMYFUNCTION("""COMPUTED_VALUE"""),"4-5 June 2022")</f>
        <v>4-5 June 2022</v>
      </c>
      <c r="J1065" s="6">
        <f ca="1">IFERROR(__xludf.DUMMYFUNCTION("""COMPUTED_VALUE"""),1)</f>
        <v>1</v>
      </c>
      <c r="K1065" s="8">
        <f ca="1">IFERROR(__xludf.DUMMYFUNCTION("""COMPUTED_VALUE"""),40061)</f>
        <v>40061</v>
      </c>
      <c r="L1065" s="8">
        <f ca="1">IFERROR(__xludf.DUMMYFUNCTION("""COMPUTED_VALUE"""),458.783783783783)</f>
        <v>458.78378378378301</v>
      </c>
      <c r="M1065" s="96">
        <f ca="1">IFERROR(__xludf.DUMMYFUNCTION("""COMPUTED_VALUE"""),44715)</f>
        <v>44715</v>
      </c>
      <c r="N1065" s="6" t="str">
        <f ca="1">IFERROR(__xludf.DUMMYFUNCTION("""COMPUTED_VALUE"""),"F10")</f>
        <v>F10</v>
      </c>
      <c r="O1065" s="97">
        <f ca="1">IFERROR(__xludf.DUMMYFUNCTION("""COMPUTED_VALUE"""),44715)</f>
        <v>44715</v>
      </c>
      <c r="P1065" s="6" t="str">
        <f ca="1">IFERROR(__xludf.DUMMYFUNCTION("""COMPUTED_VALUE"""),"CSTM_BJGI23WM05T")</f>
        <v>CSTM_BJGI23WM05T</v>
      </c>
      <c r="Q1065" s="6"/>
      <c r="R1065" s="6" t="str">
        <f ca="1">IFERROR(__xludf.DUMMYFUNCTION("""COMPUTED_VALUE"""),"Done. Good feedback.")</f>
        <v>Done. Good feedback.</v>
      </c>
      <c r="S1065" s="6" t="str">
        <f ca="1">IFERROR(__xludf.DUMMYFUNCTION("""COMPUTED_VALUE"""),"SAFe")</f>
        <v>SAFe</v>
      </c>
      <c r="T1065" s="6"/>
      <c r="U1065" s="6"/>
      <c r="V1065" s="6"/>
      <c r="W1065" s="6"/>
      <c r="X1065" s="6"/>
      <c r="Y1065" s="6"/>
      <c r="Z1065" s="6"/>
      <c r="AA1065" s="6"/>
      <c r="AB1065" s="6"/>
      <c r="AC1065" s="6"/>
      <c r="AD1065" s="6"/>
      <c r="AE1065" s="6"/>
      <c r="AF1065" s="6"/>
      <c r="AG1065" s="6"/>
      <c r="AH1065" s="6"/>
      <c r="AI1065" s="6"/>
      <c r="AJ1065" s="6"/>
      <c r="AK1065" s="6"/>
      <c r="AL1065" s="6"/>
    </row>
    <row r="1066" spans="1:38">
      <c r="A1066" s="96">
        <f ca="1">IFERROR(__xludf.DUMMYFUNCTION("""COMPUTED_VALUE"""),44715)</f>
        <v>44715</v>
      </c>
      <c r="B1066" s="6" t="str">
        <f ca="1">IFERROR(__xludf.DUMMYFUNCTION("""COMPUTED_VALUE"""),"Devesh")</f>
        <v>Devesh</v>
      </c>
      <c r="C1066" s="6" t="str">
        <f ca="1">IFERROR(__xludf.DUMMYFUNCTION("""COMPUTED_VALUE"""),"deveshindian21@gmail.com")</f>
        <v>deveshindian21@gmail.com</v>
      </c>
      <c r="D1066" s="6">
        <f ca="1">IFERROR(__xludf.DUMMYFUNCTION("""COMPUTED_VALUE"""),9650963690)</f>
        <v>9650963690</v>
      </c>
      <c r="E1066" s="6" t="str">
        <f ca="1">IFERROR(__xludf.DUMMYFUNCTION("""COMPUTED_VALUE"""),"Chat_triggered")</f>
        <v>Chat_triggered</v>
      </c>
      <c r="F1066" s="6" t="str">
        <f ca="1">IFERROR(__xludf.DUMMYFUNCTION("""COMPUTED_VALUE"""),"CI/CD Jenkins")</f>
        <v>CI/CD Jenkins</v>
      </c>
      <c r="G1066" s="80">
        <f ca="1">IFERROR(__xludf.DUMMYFUNCTION("""COMPUTED_VALUE"""),44713)</f>
        <v>44713</v>
      </c>
      <c r="H1066" s="6" t="str">
        <f ca="1">IFERROR(__xludf.DUMMYFUNCTION("""COMPUTED_VALUE"""),"Won")</f>
        <v>Won</v>
      </c>
      <c r="I1066" s="6" t="str">
        <f ca="1">IFERROR(__xludf.DUMMYFUNCTION("""COMPUTED_VALUE"""),"4 June 2022")</f>
        <v>4 June 2022</v>
      </c>
      <c r="J1066" s="6">
        <f ca="1">IFERROR(__xludf.DUMMYFUNCTION("""COMPUTED_VALUE"""),1)</f>
        <v>1</v>
      </c>
      <c r="K1066" s="8">
        <f ca="1">IFERROR(__xludf.DUMMYFUNCTION("""COMPUTED_VALUE"""),16000)</f>
        <v>16000</v>
      </c>
      <c r="L1066" s="8">
        <f ca="1">IFERROR(__xludf.DUMMYFUNCTION("""COMPUTED_VALUE"""),183.234081539166)</f>
        <v>183.234081539166</v>
      </c>
      <c r="M1066" s="96">
        <f ca="1">IFERROR(__xludf.DUMMYFUNCTION("""COMPUTED_VALUE"""),44715)</f>
        <v>44715</v>
      </c>
      <c r="N1066" s="6" t="str">
        <f ca="1">IFERROR(__xludf.DUMMYFUNCTION("""COMPUTED_VALUE"""),"F10")</f>
        <v>F10</v>
      </c>
      <c r="O1066" s="97">
        <f ca="1">IFERROR(__xludf.DUMMYFUNCTION("""COMPUTED_VALUE"""),44715)</f>
        <v>44715</v>
      </c>
      <c r="P1066" s="6" t="str">
        <f ca="1">IFERROR(__xludf.DUMMYFUNCTION("""COMPUTED_VALUE"""),"CSTM_17BTHU7YFZL")</f>
        <v>CSTM_17BTHU7YFZL</v>
      </c>
      <c r="Q1066" s="6"/>
      <c r="R1066" s="6" t="str">
        <f ca="1">IFERROR(__xludf.DUMMYFUNCTION("""COMPUTED_VALUE"""),"Pending")</f>
        <v>Pending</v>
      </c>
      <c r="S1066" s="6" t="str">
        <f ca="1">IFERROR(__xludf.DUMMYFUNCTION("""COMPUTED_VALUE"""),"NonCategory")</f>
        <v>NonCategory</v>
      </c>
      <c r="T1066" s="6"/>
      <c r="U1066" s="6"/>
      <c r="V1066" s="6"/>
      <c r="W1066" s="6"/>
      <c r="X1066" s="6"/>
      <c r="Y1066" s="6"/>
      <c r="Z1066" s="6"/>
      <c r="AA1066" s="6"/>
      <c r="AB1066" s="6"/>
      <c r="AC1066" s="6"/>
      <c r="AD1066" s="6"/>
      <c r="AE1066" s="6"/>
      <c r="AF1066" s="6"/>
      <c r="AG1066" s="6"/>
      <c r="AH1066" s="6"/>
      <c r="AI1066" s="6"/>
      <c r="AJ1066" s="6"/>
      <c r="AK1066" s="6"/>
      <c r="AL1066" s="6"/>
    </row>
    <row r="1067" spans="1:38">
      <c r="A1067" s="96">
        <f ca="1">IFERROR(__xludf.DUMMYFUNCTION("""COMPUTED_VALUE"""),44718)</f>
        <v>44718</v>
      </c>
      <c r="B1067" s="6" t="str">
        <f ca="1">IFERROR(__xludf.DUMMYFUNCTION("""COMPUTED_VALUE"""),"Gaurav Gabhane")</f>
        <v>Gaurav Gabhane</v>
      </c>
      <c r="C1067" s="6" t="str">
        <f ca="1">IFERROR(__xludf.DUMMYFUNCTION("""COMPUTED_VALUE"""),"grv.gabhane@gmail.com")</f>
        <v>grv.gabhane@gmail.com</v>
      </c>
      <c r="D1067" s="6">
        <f ca="1">IFERROR(__xludf.DUMMYFUNCTION("""COMPUTED_VALUE"""),9860866670)</f>
        <v>9860866670</v>
      </c>
      <c r="E1067" s="6" t="str">
        <f ca="1">IFERROR(__xludf.DUMMYFUNCTION("""COMPUTED_VALUE"""),"chat_initiated")</f>
        <v>chat_initiated</v>
      </c>
      <c r="F1067" s="6" t="str">
        <f ca="1">IFERROR(__xludf.DUMMYFUNCTION("""COMPUTED_VALUE"""),"PSM")</f>
        <v>PSM</v>
      </c>
      <c r="G1067" s="80">
        <f ca="1">IFERROR(__xludf.DUMMYFUNCTION("""COMPUTED_VALUE"""),44713)</f>
        <v>44713</v>
      </c>
      <c r="H1067" s="6" t="str">
        <f ca="1">IFERROR(__xludf.DUMMYFUNCTION("""COMPUTED_VALUE"""),"Won")</f>
        <v>Won</v>
      </c>
      <c r="I1067" s="6" t="str">
        <f ca="1">IFERROR(__xludf.DUMMYFUNCTION("""COMPUTED_VALUE"""),"18-19 June 2022")</f>
        <v>18-19 June 2022</v>
      </c>
      <c r="J1067" s="6">
        <f ca="1">IFERROR(__xludf.DUMMYFUNCTION("""COMPUTED_VALUE"""),1)</f>
        <v>1</v>
      </c>
      <c r="K1067" s="8">
        <f ca="1">IFERROR(__xludf.DUMMYFUNCTION("""COMPUTED_VALUE"""),21000)</f>
        <v>21000</v>
      </c>
      <c r="L1067" s="8">
        <f ca="1">IFERROR(__xludf.DUMMYFUNCTION("""COMPUTED_VALUE"""),240.494732020155)</f>
        <v>240.494732020155</v>
      </c>
      <c r="M1067" s="96">
        <f ca="1">IFERROR(__xludf.DUMMYFUNCTION("""COMPUTED_VALUE"""),44718)</f>
        <v>44718</v>
      </c>
      <c r="N1067" s="6" t="str">
        <f ca="1">IFERROR(__xludf.DUMMYFUNCTION("""COMPUTED_VALUE"""),"F10")</f>
        <v>F10</v>
      </c>
      <c r="O1067" s="97">
        <f ca="1">IFERROR(__xludf.DUMMYFUNCTION("""COMPUTED_VALUE"""),44718)</f>
        <v>44718</v>
      </c>
      <c r="P1067" s="6" t="str">
        <f ca="1">IFERROR(__xludf.DUMMYFUNCTION("""COMPUTED_VALUE"""),"CSTM_4ZIEVS94K9D")</f>
        <v>CSTM_4ZIEVS94K9D</v>
      </c>
      <c r="Q1067" s="6"/>
      <c r="R1067" s="6" t="str">
        <f ca="1">IFERROR(__xludf.DUMMYFUNCTION("""COMPUTED_VALUE"""),"Pending")</f>
        <v>Pending</v>
      </c>
      <c r="S1067" s="6" t="str">
        <f ca="1">IFERROR(__xludf.DUMMYFUNCTION("""COMPUTED_VALUE"""),"Category")</f>
        <v>Category</v>
      </c>
      <c r="T1067" s="6"/>
      <c r="U1067" s="6"/>
      <c r="V1067" s="6"/>
      <c r="W1067" s="6"/>
      <c r="X1067" s="6"/>
      <c r="Y1067" s="6"/>
      <c r="Z1067" s="6"/>
      <c r="AA1067" s="6"/>
      <c r="AB1067" s="6"/>
      <c r="AC1067" s="6"/>
      <c r="AD1067" s="6"/>
      <c r="AE1067" s="6"/>
      <c r="AF1067" s="6"/>
      <c r="AG1067" s="6"/>
      <c r="AH1067" s="6"/>
      <c r="AI1067" s="6"/>
      <c r="AJ1067" s="6"/>
      <c r="AK1067" s="6"/>
      <c r="AL1067" s="6"/>
    </row>
    <row r="1068" spans="1:38">
      <c r="A1068" s="96">
        <f ca="1">IFERROR(__xludf.DUMMYFUNCTION("""COMPUTED_VALUE"""),44718)</f>
        <v>44718</v>
      </c>
      <c r="B1068" s="6" t="str">
        <f ca="1">IFERROR(__xludf.DUMMYFUNCTION("""COMPUTED_VALUE"""),"Abhi Shah")</f>
        <v>Abhi Shah</v>
      </c>
      <c r="C1068" s="6" t="str">
        <f ca="1">IFERROR(__xludf.DUMMYFUNCTION("""COMPUTED_VALUE"""),"abhishah3645@gmail.com")</f>
        <v>abhishah3645@gmail.com</v>
      </c>
      <c r="D1068" s="6">
        <f ca="1">IFERROR(__xludf.DUMMYFUNCTION("""COMPUTED_VALUE"""),8866649197)</f>
        <v>8866649197</v>
      </c>
      <c r="E1068" s="6" t="str">
        <f ca="1">IFERROR(__xludf.DUMMYFUNCTION("""COMPUTED_VALUE"""),"Existing Account")</f>
        <v>Existing Account</v>
      </c>
      <c r="F1068" s="6" t="str">
        <f ca="1">IFERROR(__xludf.DUMMYFUNCTION("""COMPUTED_VALUE"""),"CSM")</f>
        <v>CSM</v>
      </c>
      <c r="G1068" s="80">
        <f ca="1">IFERROR(__xludf.DUMMYFUNCTION("""COMPUTED_VALUE"""),44713)</f>
        <v>44713</v>
      </c>
      <c r="H1068" s="6" t="str">
        <f ca="1">IFERROR(__xludf.DUMMYFUNCTION("""COMPUTED_VALUE"""),"Won")</f>
        <v>Won</v>
      </c>
      <c r="I1068" s="6" t="str">
        <f ca="1">IFERROR(__xludf.DUMMYFUNCTION("""COMPUTED_VALUE"""),"16-17 June 2022")</f>
        <v>16-17 June 2022</v>
      </c>
      <c r="J1068" s="6">
        <f ca="1">IFERROR(__xludf.DUMMYFUNCTION("""COMPUTED_VALUE"""),1)</f>
        <v>1</v>
      </c>
      <c r="K1068" s="8">
        <f ca="1">IFERROR(__xludf.DUMMYFUNCTION("""COMPUTED_VALUE"""),20000)</f>
        <v>20000</v>
      </c>
      <c r="L1068" s="8">
        <f ca="1">IFERROR(__xludf.DUMMYFUNCTION("""COMPUTED_VALUE"""),229.042601923957)</f>
        <v>229.04260192395699</v>
      </c>
      <c r="M1068" s="96">
        <f ca="1">IFERROR(__xludf.DUMMYFUNCTION("""COMPUTED_VALUE"""),44718)</f>
        <v>44718</v>
      </c>
      <c r="N1068" s="6" t="str">
        <f ca="1">IFERROR(__xludf.DUMMYFUNCTION("""COMPUTED_VALUE"""),"F10")</f>
        <v>F10</v>
      </c>
      <c r="O1068" s="97">
        <f ca="1">IFERROR(__xludf.DUMMYFUNCTION("""COMPUTED_VALUE"""),44718)</f>
        <v>44718</v>
      </c>
      <c r="P1068" s="6" t="str">
        <f ca="1">IFERROR(__xludf.DUMMYFUNCTION("""COMPUTED_VALUE"""),"CSTM_9CSUU7CGFD")</f>
        <v>CSTM_9CSUU7CGFD</v>
      </c>
      <c r="Q1068" s="6"/>
      <c r="R1068" s="6" t="str">
        <f ca="1">IFERROR(__xludf.DUMMYFUNCTION("""COMPUTED_VALUE"""),"Pending")</f>
        <v>Pending</v>
      </c>
      <c r="S1068" s="6" t="str">
        <f ca="1">IFERROR(__xludf.DUMMYFUNCTION("""COMPUTED_VALUE"""),"Category")</f>
        <v>Category</v>
      </c>
      <c r="T1068" s="6"/>
      <c r="U1068" s="6"/>
      <c r="V1068" s="6"/>
      <c r="W1068" s="6"/>
      <c r="X1068" s="6"/>
      <c r="Y1068" s="6"/>
      <c r="Z1068" s="6"/>
      <c r="AA1068" s="6"/>
      <c r="AB1068" s="6"/>
      <c r="AC1068" s="6"/>
      <c r="AD1068" s="6"/>
      <c r="AE1068" s="6"/>
      <c r="AF1068" s="6"/>
      <c r="AG1068" s="6"/>
      <c r="AH1068" s="6"/>
      <c r="AI1068" s="6"/>
      <c r="AJ1068" s="6"/>
      <c r="AK1068" s="6"/>
      <c r="AL1068" s="6"/>
    </row>
    <row r="1069" spans="1:38">
      <c r="A1069" s="96">
        <f ca="1">IFERROR(__xludf.DUMMYFUNCTION("""COMPUTED_VALUE"""),44719)</f>
        <v>44719</v>
      </c>
      <c r="B1069" s="6" t="str">
        <f ca="1">IFERROR(__xludf.DUMMYFUNCTION("""COMPUTED_VALUE"""),"Satish Kabade")</f>
        <v>Satish Kabade</v>
      </c>
      <c r="C1069" s="6" t="str">
        <f ca="1">IFERROR(__xludf.DUMMYFUNCTION("""COMPUTED_VALUE"""),"satish.kabade@gmail.com")</f>
        <v>satish.kabade@gmail.com</v>
      </c>
      <c r="D1069" s="6">
        <f ca="1">IFERROR(__xludf.DUMMYFUNCTION("""COMPUTED_VALUE"""),9739911620)</f>
        <v>9739911620</v>
      </c>
      <c r="E1069" s="6" t="str">
        <f ca="1">IFERROR(__xludf.DUMMYFUNCTION("""COMPUTED_VALUE"""),"chat_initiated")</f>
        <v>chat_initiated</v>
      </c>
      <c r="F1069" s="6" t="str">
        <f ca="1">IFERROR(__xludf.DUMMYFUNCTION("""COMPUTED_VALUE"""),"CSM")</f>
        <v>CSM</v>
      </c>
      <c r="G1069" s="80">
        <f ca="1">IFERROR(__xludf.DUMMYFUNCTION("""COMPUTED_VALUE"""),44713)</f>
        <v>44713</v>
      </c>
      <c r="H1069" s="6" t="str">
        <f ca="1">IFERROR(__xludf.DUMMYFUNCTION("""COMPUTED_VALUE"""),"Won")</f>
        <v>Won</v>
      </c>
      <c r="I1069" s="6" t="str">
        <f ca="1">IFERROR(__xludf.DUMMYFUNCTION("""COMPUTED_VALUE"""),"11-12 June 2022")</f>
        <v>11-12 June 2022</v>
      </c>
      <c r="J1069" s="6">
        <f ca="1">IFERROR(__xludf.DUMMYFUNCTION("""COMPUTED_VALUE"""),1)</f>
        <v>1</v>
      </c>
      <c r="K1069" s="8">
        <f ca="1">IFERROR(__xludf.DUMMYFUNCTION("""COMPUTED_VALUE"""),20000)</f>
        <v>20000</v>
      </c>
      <c r="L1069" s="8">
        <f ca="1">IFERROR(__xludf.DUMMYFUNCTION("""COMPUTED_VALUE"""),229.042601923957)</f>
        <v>229.04260192395699</v>
      </c>
      <c r="M1069" s="96">
        <f ca="1">IFERROR(__xludf.DUMMYFUNCTION("""COMPUTED_VALUE"""),44719)</f>
        <v>44719</v>
      </c>
      <c r="N1069" s="6" t="str">
        <f ca="1">IFERROR(__xludf.DUMMYFUNCTION("""COMPUTED_VALUE"""),"F10")</f>
        <v>F10</v>
      </c>
      <c r="O1069" s="97">
        <f ca="1">IFERROR(__xludf.DUMMYFUNCTION("""COMPUTED_VALUE"""),44719)</f>
        <v>44719</v>
      </c>
      <c r="P1069" s="6" t="str">
        <f ca="1">IFERROR(__xludf.DUMMYFUNCTION("""COMPUTED_VALUE"""),"CSTM_BYHGSXYENYQ")</f>
        <v>CSTM_BYHGSXYENYQ</v>
      </c>
      <c r="Q1069" s="6"/>
      <c r="R1069" s="6" t="str">
        <f ca="1">IFERROR(__xludf.DUMMYFUNCTION("""COMPUTED_VALUE"""),"Done. Good feedback.")</f>
        <v>Done. Good feedback.</v>
      </c>
      <c r="S1069" s="6" t="str">
        <f ca="1">IFERROR(__xludf.DUMMYFUNCTION("""COMPUTED_VALUE"""),"Category")</f>
        <v>Category</v>
      </c>
      <c r="T1069" s="6"/>
      <c r="U1069" s="6"/>
      <c r="V1069" s="6"/>
      <c r="W1069" s="6"/>
      <c r="X1069" s="6"/>
      <c r="Y1069" s="6"/>
      <c r="Z1069" s="6"/>
      <c r="AA1069" s="6"/>
      <c r="AB1069" s="6"/>
      <c r="AC1069" s="6"/>
      <c r="AD1069" s="6"/>
      <c r="AE1069" s="6"/>
      <c r="AF1069" s="6"/>
      <c r="AG1069" s="6"/>
      <c r="AH1069" s="6"/>
      <c r="AI1069" s="6"/>
      <c r="AJ1069" s="6"/>
      <c r="AK1069" s="6"/>
      <c r="AL1069" s="6"/>
    </row>
    <row r="1070" spans="1:38">
      <c r="A1070" s="96">
        <f ca="1">IFERROR(__xludf.DUMMYFUNCTION("""COMPUTED_VALUE"""),44720)</f>
        <v>44720</v>
      </c>
      <c r="B1070" s="6" t="str">
        <f ca="1">IFERROR(__xludf.DUMMYFUNCTION("""COMPUTED_VALUE"""),"Gaurav Joshi")</f>
        <v>Gaurav Joshi</v>
      </c>
      <c r="C1070" s="6" t="str">
        <f ca="1">IFERROR(__xludf.DUMMYFUNCTION("""COMPUTED_VALUE"""),"gjoshi1122@gmail.com")</f>
        <v>gjoshi1122@gmail.com</v>
      </c>
      <c r="D1070" s="6">
        <f ca="1">IFERROR(__xludf.DUMMYFUNCTION("""COMPUTED_VALUE"""),8308021122)</f>
        <v>8308021122</v>
      </c>
      <c r="E1070" s="6" t="str">
        <f ca="1">IFERROR(__xludf.DUMMYFUNCTION("""COMPUTED_VALUE"""),"Query box")</f>
        <v>Query box</v>
      </c>
      <c r="F1070" s="6" t="str">
        <f ca="1">IFERROR(__xludf.DUMMYFUNCTION("""COMPUTED_VALUE"""),"PSPO")</f>
        <v>PSPO</v>
      </c>
      <c r="G1070" s="80">
        <f ca="1">IFERROR(__xludf.DUMMYFUNCTION("""COMPUTED_VALUE"""),44713)</f>
        <v>44713</v>
      </c>
      <c r="H1070" s="6" t="str">
        <f ca="1">IFERROR(__xludf.DUMMYFUNCTION("""COMPUTED_VALUE"""),"Won")</f>
        <v>Won</v>
      </c>
      <c r="I1070" s="6" t="str">
        <f ca="1">IFERROR(__xludf.DUMMYFUNCTION("""COMPUTED_VALUE"""),"18-19 June 2022")</f>
        <v>18-19 June 2022</v>
      </c>
      <c r="J1070" s="6">
        <f ca="1">IFERROR(__xludf.DUMMYFUNCTION("""COMPUTED_VALUE"""),1)</f>
        <v>1</v>
      </c>
      <c r="K1070" s="8">
        <f ca="1">IFERROR(__xludf.DUMMYFUNCTION("""COMPUTED_VALUE"""),21000)</f>
        <v>21000</v>
      </c>
      <c r="L1070" s="8">
        <f ca="1">IFERROR(__xludf.DUMMYFUNCTION("""COMPUTED_VALUE"""),240.494732020155)</f>
        <v>240.494732020155</v>
      </c>
      <c r="M1070" s="96">
        <f ca="1">IFERROR(__xludf.DUMMYFUNCTION("""COMPUTED_VALUE"""),44720)</f>
        <v>44720</v>
      </c>
      <c r="N1070" s="6" t="str">
        <f ca="1">IFERROR(__xludf.DUMMYFUNCTION("""COMPUTED_VALUE"""),"F10")</f>
        <v>F10</v>
      </c>
      <c r="O1070" s="97">
        <f ca="1">IFERROR(__xludf.DUMMYFUNCTION("""COMPUTED_VALUE"""),44721)</f>
        <v>44721</v>
      </c>
      <c r="P1070" s="6" t="str">
        <f ca="1">IFERROR(__xludf.DUMMYFUNCTION("""COMPUTED_VALUE"""),"CSTM_YI6G8RLSF5")</f>
        <v>CSTM_YI6G8RLSF5</v>
      </c>
      <c r="Q1070" s="6"/>
      <c r="R1070" s="6" t="str">
        <f ca="1">IFERROR(__xludf.DUMMYFUNCTION("""COMPUTED_VALUE"""),"Done. Good feedback.")</f>
        <v>Done. Good feedback.</v>
      </c>
      <c r="S1070" s="6" t="str">
        <f ca="1">IFERROR(__xludf.DUMMYFUNCTION("""COMPUTED_VALUE"""),"Category")</f>
        <v>Category</v>
      </c>
      <c r="T1070" s="6"/>
      <c r="U1070" s="6"/>
      <c r="V1070" s="6"/>
      <c r="W1070" s="6"/>
      <c r="X1070" s="6"/>
      <c r="Y1070" s="6"/>
      <c r="Z1070" s="6"/>
      <c r="AA1070" s="6"/>
      <c r="AB1070" s="6"/>
      <c r="AC1070" s="6"/>
      <c r="AD1070" s="6"/>
      <c r="AE1070" s="6"/>
      <c r="AF1070" s="6"/>
      <c r="AG1070" s="6"/>
      <c r="AH1070" s="6"/>
      <c r="AI1070" s="6"/>
      <c r="AJ1070" s="6"/>
      <c r="AK1070" s="6"/>
      <c r="AL1070" s="6"/>
    </row>
    <row r="1071" spans="1:38">
      <c r="A1071" s="96">
        <f ca="1">IFERROR(__xludf.DUMMYFUNCTION("""COMPUTED_VALUE"""),44721)</f>
        <v>44721</v>
      </c>
      <c r="B1071" s="6" t="str">
        <f ca="1">IFERROR(__xludf.DUMMYFUNCTION("""COMPUTED_VALUE"""),"Poorani")</f>
        <v>Poorani</v>
      </c>
      <c r="C1071" s="6" t="str">
        <f ca="1">IFERROR(__xludf.DUMMYFUNCTION("""COMPUTED_VALUE"""),"pooranimail@gmail.com")</f>
        <v>pooranimail@gmail.com</v>
      </c>
      <c r="D1071" s="6">
        <f ca="1">IFERROR(__xludf.DUMMYFUNCTION("""COMPUTED_VALUE"""),8971835799)</f>
        <v>8971835799</v>
      </c>
      <c r="E1071" s="6" t="str">
        <f ca="1">IFERROR(__xludf.DUMMYFUNCTION("""COMPUTED_VALUE"""),"Query box")</f>
        <v>Query box</v>
      </c>
      <c r="F1071" s="6" t="str">
        <f ca="1">IFERROR(__xludf.DUMMYFUNCTION("""COMPUTED_VALUE"""),"SAFe Agile")</f>
        <v>SAFe Agile</v>
      </c>
      <c r="G1071" s="80">
        <f ca="1">IFERROR(__xludf.DUMMYFUNCTION("""COMPUTED_VALUE"""),44713)</f>
        <v>44713</v>
      </c>
      <c r="H1071" s="6" t="str">
        <f ca="1">IFERROR(__xludf.DUMMYFUNCTION("""COMPUTED_VALUE"""),"Won")</f>
        <v>Won</v>
      </c>
      <c r="I1071" s="6" t="str">
        <f ca="1">IFERROR(__xludf.DUMMYFUNCTION("""COMPUTED_VALUE"""),"11-12 June 2022")</f>
        <v>11-12 June 2022</v>
      </c>
      <c r="J1071" s="6">
        <f ca="1">IFERROR(__xludf.DUMMYFUNCTION("""COMPUTED_VALUE"""),1)</f>
        <v>1</v>
      </c>
      <c r="K1071" s="8">
        <f ca="1">IFERROR(__xludf.DUMMYFUNCTION("""COMPUTED_VALUE"""),42000)</f>
        <v>42000</v>
      </c>
      <c r="L1071" s="8">
        <f ca="1">IFERROR(__xludf.DUMMYFUNCTION("""COMPUTED_VALUE"""),480.989464040311)</f>
        <v>480.98946404031102</v>
      </c>
      <c r="M1071" s="96">
        <f ca="1">IFERROR(__xludf.DUMMYFUNCTION("""COMPUTED_VALUE"""),44721)</f>
        <v>44721</v>
      </c>
      <c r="N1071" s="6" t="str">
        <f ca="1">IFERROR(__xludf.DUMMYFUNCTION("""COMPUTED_VALUE"""),"F10")</f>
        <v>F10</v>
      </c>
      <c r="O1071" s="97">
        <f ca="1">IFERROR(__xludf.DUMMYFUNCTION("""COMPUTED_VALUE"""),44721)</f>
        <v>44721</v>
      </c>
      <c r="P1071" s="6" t="str">
        <f ca="1">IFERROR(__xludf.DUMMYFUNCTION("""COMPUTED_VALUE"""),"CSTM_9LPRQ17SMB1")</f>
        <v>CSTM_9LPRQ17SMB1</v>
      </c>
      <c r="Q1071" s="6"/>
      <c r="R1071" s="6" t="str">
        <f ca="1">IFERROR(__xludf.DUMMYFUNCTION("""COMPUTED_VALUE"""),"Done. Good feedback.")</f>
        <v>Done. Good feedback.</v>
      </c>
      <c r="S1071" s="6" t="str">
        <f ca="1">IFERROR(__xludf.DUMMYFUNCTION("""COMPUTED_VALUE"""),"SAFe")</f>
        <v>SAFe</v>
      </c>
      <c r="T1071" s="6"/>
      <c r="U1071" s="6"/>
      <c r="V1071" s="6"/>
      <c r="W1071" s="6"/>
      <c r="X1071" s="6"/>
      <c r="Y1071" s="6"/>
      <c r="Z1071" s="6"/>
      <c r="AA1071" s="6"/>
      <c r="AB1071" s="6"/>
      <c r="AC1071" s="6"/>
      <c r="AD1071" s="6"/>
      <c r="AE1071" s="6"/>
      <c r="AF1071" s="6"/>
      <c r="AG1071" s="6"/>
      <c r="AH1071" s="6"/>
      <c r="AI1071" s="6"/>
      <c r="AJ1071" s="6"/>
      <c r="AK1071" s="6"/>
      <c r="AL1071" s="6"/>
    </row>
    <row r="1072" spans="1:38">
      <c r="A1072" s="96">
        <f ca="1">IFERROR(__xludf.DUMMYFUNCTION("""COMPUTED_VALUE"""),44721)</f>
        <v>44721</v>
      </c>
      <c r="B1072" s="6" t="str">
        <f ca="1">IFERROR(__xludf.DUMMYFUNCTION("""COMPUTED_VALUE"""),"Vishwanath Aladi")</f>
        <v>Vishwanath Aladi</v>
      </c>
      <c r="C1072" s="6" t="str">
        <f ca="1">IFERROR(__xludf.DUMMYFUNCTION("""COMPUTED_VALUE"""),"vishwanath.aladi@infosys.com")</f>
        <v>vishwanath.aladi@infosys.com</v>
      </c>
      <c r="D1072" s="6">
        <f ca="1">IFERROR(__xludf.DUMMYFUNCTION("""COMPUTED_VALUE"""),9611462132)</f>
        <v>9611462132</v>
      </c>
      <c r="E1072" s="6" t="str">
        <f ca="1">IFERROR(__xludf.DUMMYFUNCTION("""COMPUTED_VALUE"""),"Reference")</f>
        <v>Reference</v>
      </c>
      <c r="F1072" s="6" t="str">
        <f ca="1">IFERROR(__xludf.DUMMYFUNCTION("""COMPUTED_VALUE"""),"PSM")</f>
        <v>PSM</v>
      </c>
      <c r="G1072" s="80">
        <f ca="1">IFERROR(__xludf.DUMMYFUNCTION("""COMPUTED_VALUE"""),44713)</f>
        <v>44713</v>
      </c>
      <c r="H1072" s="6" t="str">
        <f ca="1">IFERROR(__xludf.DUMMYFUNCTION("""COMPUTED_VALUE"""),"Won")</f>
        <v>Won</v>
      </c>
      <c r="I1072" s="6" t="str">
        <f ca="1">IFERROR(__xludf.DUMMYFUNCTION("""COMPUTED_VALUE"""),"11-12 June 2022")</f>
        <v>11-12 June 2022</v>
      </c>
      <c r="J1072" s="6">
        <f ca="1">IFERROR(__xludf.DUMMYFUNCTION("""COMPUTED_VALUE"""),1)</f>
        <v>1</v>
      </c>
      <c r="K1072" s="8">
        <f ca="1">IFERROR(__xludf.DUMMYFUNCTION("""COMPUTED_VALUE"""),20500)</f>
        <v>20500</v>
      </c>
      <c r="L1072" s="8">
        <f ca="1">IFERROR(__xludf.DUMMYFUNCTION("""COMPUTED_VALUE"""),234.768666972056)</f>
        <v>234.768666972056</v>
      </c>
      <c r="M1072" s="96">
        <f ca="1">IFERROR(__xludf.DUMMYFUNCTION("""COMPUTED_VALUE"""),44721)</f>
        <v>44721</v>
      </c>
      <c r="N1072" s="6" t="str">
        <f ca="1">IFERROR(__xludf.DUMMYFUNCTION("""COMPUTED_VALUE"""),"F10")</f>
        <v>F10</v>
      </c>
      <c r="O1072" s="97">
        <f ca="1">IFERROR(__xludf.DUMMYFUNCTION("""COMPUTED_VALUE"""),44721)</f>
        <v>44721</v>
      </c>
      <c r="P1072" s="6" t="str">
        <f ca="1">IFERROR(__xludf.DUMMYFUNCTION("""COMPUTED_VALUE"""),"CSTM_E33ARUKSFP6")</f>
        <v>CSTM_E33ARUKSFP6</v>
      </c>
      <c r="Q1072" s="6" t="str">
        <f ca="1">IFERROR(__xludf.DUMMYFUNCTION("""COMPUTED_VALUE"""),"Reference by Sunita Endabatle")</f>
        <v>Reference by Sunita Endabatle</v>
      </c>
      <c r="R1072" s="6" t="str">
        <f ca="1">IFERROR(__xludf.DUMMYFUNCTION("""COMPUTED_VALUE"""),"Done. Good feedback.")</f>
        <v>Done. Good feedback.</v>
      </c>
      <c r="S1072" s="6" t="str">
        <f ca="1">IFERROR(__xludf.DUMMYFUNCTION("""COMPUTED_VALUE"""),"Category")</f>
        <v>Category</v>
      </c>
      <c r="T1072" s="6"/>
      <c r="U1072" s="6"/>
      <c r="V1072" s="6"/>
      <c r="W1072" s="6"/>
      <c r="X1072" s="6"/>
      <c r="Y1072" s="6"/>
      <c r="Z1072" s="6"/>
      <c r="AA1072" s="6"/>
      <c r="AB1072" s="6"/>
      <c r="AC1072" s="6"/>
      <c r="AD1072" s="6"/>
      <c r="AE1072" s="6"/>
      <c r="AF1072" s="6"/>
      <c r="AG1072" s="6"/>
      <c r="AH1072" s="6"/>
      <c r="AI1072" s="6"/>
      <c r="AJ1072" s="6"/>
      <c r="AK1072" s="6"/>
      <c r="AL1072" s="6"/>
    </row>
    <row r="1073" spans="1:38">
      <c r="A1073" s="96">
        <f ca="1">IFERROR(__xludf.DUMMYFUNCTION("""COMPUTED_VALUE"""),44721)</f>
        <v>44721</v>
      </c>
      <c r="B1073" s="6" t="str">
        <f ca="1">IFERROR(__xludf.DUMMYFUNCTION("""COMPUTED_VALUE"""),"Dwaraki Rao")</f>
        <v>Dwaraki Rao</v>
      </c>
      <c r="C1073" s="6" t="str">
        <f ca="1">IFERROR(__xludf.DUMMYFUNCTION("""COMPUTED_VALUE"""),"dwaraki_rao@yahoo.com")</f>
        <v>dwaraki_rao@yahoo.com</v>
      </c>
      <c r="D1073" s="6">
        <f ca="1">IFERROR(__xludf.DUMMYFUNCTION("""COMPUTED_VALUE"""),9480184670)</f>
        <v>9480184670</v>
      </c>
      <c r="E1073" s="6" t="str">
        <f ca="1">IFERROR(__xludf.DUMMYFUNCTION("""COMPUTED_VALUE"""),"course preview")</f>
        <v>course preview</v>
      </c>
      <c r="F1073" s="6" t="str">
        <f ca="1">IFERROR(__xludf.DUMMYFUNCTION("""COMPUTED_VALUE"""),"ITILv MPT")</f>
        <v>ITILv MPT</v>
      </c>
      <c r="G1073" s="80">
        <f ca="1">IFERROR(__xludf.DUMMYFUNCTION("""COMPUTED_VALUE"""),44713)</f>
        <v>44713</v>
      </c>
      <c r="H1073" s="6" t="str">
        <f ca="1">IFERROR(__xludf.DUMMYFUNCTION("""COMPUTED_VALUE"""),"Won")</f>
        <v>Won</v>
      </c>
      <c r="I1073" s="6" t="str">
        <f ca="1">IFERROR(__xludf.DUMMYFUNCTION("""COMPUTED_VALUE"""),"OSL")</f>
        <v>OSL</v>
      </c>
      <c r="J1073" s="6">
        <f ca="1">IFERROR(__xludf.DUMMYFUNCTION("""COMPUTED_VALUE"""),1)</f>
        <v>1</v>
      </c>
      <c r="K1073" s="8">
        <f ca="1">IFERROR(__xludf.DUMMYFUNCTION("""COMPUTED_VALUE"""),26500)</f>
        <v>26500</v>
      </c>
      <c r="L1073" s="8">
        <f ca="1">IFERROR(__xludf.DUMMYFUNCTION("""COMPUTED_VALUE"""),303.481447549244)</f>
        <v>303.48144754924402</v>
      </c>
      <c r="M1073" s="96">
        <f ca="1">IFERROR(__xludf.DUMMYFUNCTION("""COMPUTED_VALUE"""),44721)</f>
        <v>44721</v>
      </c>
      <c r="N1073" s="6" t="str">
        <f ca="1">IFERROR(__xludf.DUMMYFUNCTION("""COMPUTED_VALUE"""),"F10")</f>
        <v>F10</v>
      </c>
      <c r="O1073" s="97">
        <f ca="1">IFERROR(__xludf.DUMMYFUNCTION("""COMPUTED_VALUE"""),44721)</f>
        <v>44721</v>
      </c>
      <c r="P1073" s="6" t="str">
        <f ca="1">IFERROR(__xludf.DUMMYFUNCTION("""COMPUTED_VALUE"""),"CSTM_J6DO5LZ3R8Q")</f>
        <v>CSTM_J6DO5LZ3R8Q</v>
      </c>
      <c r="Q1073" s="6"/>
      <c r="R1073" s="6" t="str">
        <f ca="1">IFERROR(__xludf.DUMMYFUNCTION("""COMPUTED_VALUE"""),"Pending")</f>
        <v>Pending</v>
      </c>
      <c r="S1073" s="6" t="str">
        <f ca="1">IFERROR(__xludf.DUMMYFUNCTION("""COMPUTED_VALUE"""),"NonCategory")</f>
        <v>NonCategory</v>
      </c>
      <c r="T1073" s="6"/>
      <c r="U1073" s="6"/>
      <c r="V1073" s="6"/>
      <c r="W1073" s="6"/>
      <c r="X1073" s="6"/>
      <c r="Y1073" s="6"/>
      <c r="Z1073" s="6"/>
      <c r="AA1073" s="6"/>
      <c r="AB1073" s="6"/>
      <c r="AC1073" s="6"/>
      <c r="AD1073" s="6"/>
      <c r="AE1073" s="6"/>
      <c r="AF1073" s="6"/>
      <c r="AG1073" s="6"/>
      <c r="AH1073" s="6"/>
      <c r="AI1073" s="6"/>
      <c r="AJ1073" s="6"/>
      <c r="AK1073" s="6"/>
      <c r="AL1073" s="6"/>
    </row>
    <row r="1074" spans="1:38">
      <c r="A1074" s="96">
        <f ca="1">IFERROR(__xludf.DUMMYFUNCTION("""COMPUTED_VALUE"""),44721)</f>
        <v>44721</v>
      </c>
      <c r="B1074" s="6" t="str">
        <f ca="1">IFERROR(__xludf.DUMMYFUNCTION("""COMPUTED_VALUE"""),"Srinath")</f>
        <v>Srinath</v>
      </c>
      <c r="C1074" s="6" t="str">
        <f ca="1">IFERROR(__xludf.DUMMYFUNCTION("""COMPUTED_VALUE"""),"srinathmv.mv@gmail.com")</f>
        <v>srinathmv.mv@gmail.com</v>
      </c>
      <c r="D1074" s="6">
        <f ca="1">IFERROR(__xludf.DUMMYFUNCTION("""COMPUTED_VALUE"""),9880484927)</f>
        <v>9880484927</v>
      </c>
      <c r="E1074" s="6" t="str">
        <f ca="1">IFERROR(__xludf.DUMMYFUNCTION("""COMPUTED_VALUE"""),"Chat_triggered")</f>
        <v>Chat_triggered</v>
      </c>
      <c r="F1074" s="6" t="str">
        <f ca="1">IFERROR(__xludf.DUMMYFUNCTION("""COMPUTED_VALUE"""),"PSM")</f>
        <v>PSM</v>
      </c>
      <c r="G1074" s="80">
        <f ca="1">IFERROR(__xludf.DUMMYFUNCTION("""COMPUTED_VALUE"""),44713)</f>
        <v>44713</v>
      </c>
      <c r="H1074" s="6" t="str">
        <f ca="1">IFERROR(__xludf.DUMMYFUNCTION("""COMPUTED_VALUE"""),"Won")</f>
        <v>Won</v>
      </c>
      <c r="I1074" s="6" t="str">
        <f ca="1">IFERROR(__xludf.DUMMYFUNCTION("""COMPUTED_VALUE"""),"11-12 June 2022")</f>
        <v>11-12 June 2022</v>
      </c>
      <c r="J1074" s="6">
        <f ca="1">IFERROR(__xludf.DUMMYFUNCTION("""COMPUTED_VALUE"""),1)</f>
        <v>1</v>
      </c>
      <c r="K1074" s="8">
        <f ca="1">IFERROR(__xludf.DUMMYFUNCTION("""COMPUTED_VALUE"""),21000)</f>
        <v>21000</v>
      </c>
      <c r="L1074" s="8">
        <f ca="1">IFERROR(__xludf.DUMMYFUNCTION("""COMPUTED_VALUE"""),240.494732020155)</f>
        <v>240.494732020155</v>
      </c>
      <c r="M1074" s="96">
        <f ca="1">IFERROR(__xludf.DUMMYFUNCTION("""COMPUTED_VALUE"""),44721)</f>
        <v>44721</v>
      </c>
      <c r="N1074" s="6" t="str">
        <f ca="1">IFERROR(__xludf.DUMMYFUNCTION("""COMPUTED_VALUE"""),"F10")</f>
        <v>F10</v>
      </c>
      <c r="O1074" s="97">
        <f ca="1">IFERROR(__xludf.DUMMYFUNCTION("""COMPUTED_VALUE"""),44721)</f>
        <v>44721</v>
      </c>
      <c r="P1074" s="6" t="str">
        <f ca="1">IFERROR(__xludf.DUMMYFUNCTION("""COMPUTED_VALUE"""),"CSTM_7YTY7ZGGX20")</f>
        <v>CSTM_7YTY7ZGGX20</v>
      </c>
      <c r="Q1074" s="6"/>
      <c r="R1074" s="6" t="str">
        <f ca="1">IFERROR(__xludf.DUMMYFUNCTION("""COMPUTED_VALUE"""),"Done. Good feedback.")</f>
        <v>Done. Good feedback.</v>
      </c>
      <c r="S1074" s="6" t="str">
        <f ca="1">IFERROR(__xludf.DUMMYFUNCTION("""COMPUTED_VALUE"""),"Category")</f>
        <v>Category</v>
      </c>
      <c r="T1074" s="6"/>
      <c r="U1074" s="6"/>
      <c r="V1074" s="6"/>
      <c r="W1074" s="6"/>
      <c r="X1074" s="6"/>
      <c r="Y1074" s="6"/>
      <c r="Z1074" s="6"/>
      <c r="AA1074" s="6"/>
      <c r="AB1074" s="6"/>
      <c r="AC1074" s="6"/>
      <c r="AD1074" s="6"/>
      <c r="AE1074" s="6"/>
      <c r="AF1074" s="6"/>
      <c r="AG1074" s="6"/>
      <c r="AH1074" s="6"/>
      <c r="AI1074" s="6"/>
      <c r="AJ1074" s="6"/>
      <c r="AK1074" s="6"/>
      <c r="AL1074" s="6"/>
    </row>
    <row r="1075" spans="1:38">
      <c r="A1075" s="96">
        <f ca="1">IFERROR(__xludf.DUMMYFUNCTION("""COMPUTED_VALUE"""),44722)</f>
        <v>44722</v>
      </c>
      <c r="B1075" s="6" t="str">
        <f ca="1">IFERROR(__xludf.DUMMYFUNCTION("""COMPUTED_VALUE"""),"Satya Sakthivel")</f>
        <v>Satya Sakthivel</v>
      </c>
      <c r="C1075" s="6" t="str">
        <f ca="1">IFERROR(__xludf.DUMMYFUNCTION("""COMPUTED_VALUE"""),"satyasakthivel11@yahoo.in")</f>
        <v>satyasakthivel11@yahoo.in</v>
      </c>
      <c r="D1075" s="6">
        <f ca="1">IFERROR(__xludf.DUMMYFUNCTION("""COMPUTED_VALUE"""),8610880702)</f>
        <v>8610880702</v>
      </c>
      <c r="E1075" s="6" t="str">
        <f ca="1">IFERROR(__xludf.DUMMYFUNCTION("""COMPUTED_VALUE"""),"chat_initiated")</f>
        <v>chat_initiated</v>
      </c>
      <c r="F1075" s="6" t="str">
        <f ca="1">IFERROR(__xludf.DUMMYFUNCTION("""COMPUTED_VALUE"""),"PSM")</f>
        <v>PSM</v>
      </c>
      <c r="G1075" s="80">
        <f ca="1">IFERROR(__xludf.DUMMYFUNCTION("""COMPUTED_VALUE"""),44713)</f>
        <v>44713</v>
      </c>
      <c r="H1075" s="6" t="str">
        <f ca="1">IFERROR(__xludf.DUMMYFUNCTION("""COMPUTED_VALUE"""),"Won")</f>
        <v>Won</v>
      </c>
      <c r="I1075" s="6" t="str">
        <f ca="1">IFERROR(__xludf.DUMMYFUNCTION("""COMPUTED_VALUE"""),"11-12 June 2022")</f>
        <v>11-12 June 2022</v>
      </c>
      <c r="J1075" s="6">
        <f ca="1">IFERROR(__xludf.DUMMYFUNCTION("""COMPUTED_VALUE"""),1)</f>
        <v>1</v>
      </c>
      <c r="K1075" s="8">
        <f ca="1">IFERROR(__xludf.DUMMYFUNCTION("""COMPUTED_VALUE"""),21000)</f>
        <v>21000</v>
      </c>
      <c r="L1075" s="8">
        <f ca="1">IFERROR(__xludf.DUMMYFUNCTION("""COMPUTED_VALUE"""),240.494732020155)</f>
        <v>240.494732020155</v>
      </c>
      <c r="M1075" s="96">
        <f ca="1">IFERROR(__xludf.DUMMYFUNCTION("""COMPUTED_VALUE"""),44722)</f>
        <v>44722</v>
      </c>
      <c r="N1075" s="6" t="str">
        <f ca="1">IFERROR(__xludf.DUMMYFUNCTION("""COMPUTED_VALUE"""),"F10")</f>
        <v>F10</v>
      </c>
      <c r="O1075" s="97">
        <f ca="1">IFERROR(__xludf.DUMMYFUNCTION("""COMPUTED_VALUE"""),44722)</f>
        <v>44722</v>
      </c>
      <c r="P1075" s="6" t="str">
        <f ca="1">IFERROR(__xludf.DUMMYFUNCTION("""COMPUTED_VALUE"""),"CSTM_9UGAKQA69SU")</f>
        <v>CSTM_9UGAKQA69SU</v>
      </c>
      <c r="Q1075" s="6"/>
      <c r="R1075" s="6" t="str">
        <f ca="1">IFERROR(__xludf.DUMMYFUNCTION("""COMPUTED_VALUE"""),"Done. Good feedback.")</f>
        <v>Done. Good feedback.</v>
      </c>
      <c r="S1075" s="6" t="str">
        <f ca="1">IFERROR(__xludf.DUMMYFUNCTION("""COMPUTED_VALUE"""),"Category")</f>
        <v>Category</v>
      </c>
      <c r="T1075" s="6"/>
      <c r="U1075" s="6"/>
      <c r="V1075" s="6"/>
      <c r="W1075" s="6"/>
      <c r="X1075" s="6"/>
      <c r="Y1075" s="6"/>
      <c r="Z1075" s="6"/>
      <c r="AA1075" s="6"/>
      <c r="AB1075" s="6"/>
      <c r="AC1075" s="6"/>
      <c r="AD1075" s="6"/>
      <c r="AE1075" s="6"/>
      <c r="AF1075" s="6"/>
      <c r="AG1075" s="6"/>
      <c r="AH1075" s="6"/>
      <c r="AI1075" s="6"/>
      <c r="AJ1075" s="6"/>
      <c r="AK1075" s="6"/>
      <c r="AL1075" s="6"/>
    </row>
    <row r="1076" spans="1:38">
      <c r="A1076" s="96">
        <f ca="1">IFERROR(__xludf.DUMMYFUNCTION("""COMPUTED_VALUE"""),44722)</f>
        <v>44722</v>
      </c>
      <c r="B1076" s="6" t="str">
        <f ca="1">IFERROR(__xludf.DUMMYFUNCTION("""COMPUTED_VALUE"""),"Manohar")</f>
        <v>Manohar</v>
      </c>
      <c r="C1076" s="6" t="str">
        <f ca="1">IFERROR(__xludf.DUMMYFUNCTION("""COMPUTED_VALUE"""),"rvs_manohar@yahoo.com")</f>
        <v>rvs_manohar@yahoo.com</v>
      </c>
      <c r="D1076" s="6">
        <f ca="1">IFERROR(__xludf.DUMMYFUNCTION("""COMPUTED_VALUE"""),8500290073)</f>
        <v>8500290073</v>
      </c>
      <c r="E1076" s="6" t="str">
        <f ca="1">IFERROR(__xludf.DUMMYFUNCTION("""COMPUTED_VALUE"""),"Chat_triggered")</f>
        <v>Chat_triggered</v>
      </c>
      <c r="F1076" s="6" t="str">
        <f ca="1">IFERROR(__xludf.DUMMYFUNCTION("""COMPUTED_VALUE"""),"CSM")</f>
        <v>CSM</v>
      </c>
      <c r="G1076" s="80">
        <f ca="1">IFERROR(__xludf.DUMMYFUNCTION("""COMPUTED_VALUE"""),44713)</f>
        <v>44713</v>
      </c>
      <c r="H1076" s="6" t="str">
        <f ca="1">IFERROR(__xludf.DUMMYFUNCTION("""COMPUTED_VALUE"""),"Won")</f>
        <v>Won</v>
      </c>
      <c r="I1076" s="6" t="str">
        <f ca="1">IFERROR(__xludf.DUMMYFUNCTION("""COMPUTED_VALUE"""),"11-12 June 2022")</f>
        <v>11-12 June 2022</v>
      </c>
      <c r="J1076" s="6">
        <f ca="1">IFERROR(__xludf.DUMMYFUNCTION("""COMPUTED_VALUE"""),1)</f>
        <v>1</v>
      </c>
      <c r="K1076" s="8">
        <f ca="1">IFERROR(__xludf.DUMMYFUNCTION("""COMPUTED_VALUE"""),20000)</f>
        <v>20000</v>
      </c>
      <c r="L1076" s="8">
        <f ca="1">IFERROR(__xludf.DUMMYFUNCTION("""COMPUTED_VALUE"""),229.042601923957)</f>
        <v>229.04260192395699</v>
      </c>
      <c r="M1076" s="96">
        <f ca="1">IFERROR(__xludf.DUMMYFUNCTION("""COMPUTED_VALUE"""),44722)</f>
        <v>44722</v>
      </c>
      <c r="N1076" s="6" t="str">
        <f ca="1">IFERROR(__xludf.DUMMYFUNCTION("""COMPUTED_VALUE"""),"F10")</f>
        <v>F10</v>
      </c>
      <c r="O1076" s="97">
        <f ca="1">IFERROR(__xludf.DUMMYFUNCTION("""COMPUTED_VALUE"""),44722)</f>
        <v>44722</v>
      </c>
      <c r="P1076" s="6" t="str">
        <f ca="1">IFERROR(__xludf.DUMMYFUNCTION("""COMPUTED_VALUE"""),"CSTM_5KE8CDHHU2K")</f>
        <v>CSTM_5KE8CDHHU2K</v>
      </c>
      <c r="Q1076" s="6"/>
      <c r="R1076" s="6" t="str">
        <f ca="1">IFERROR(__xludf.DUMMYFUNCTION("""COMPUTED_VALUE"""),"Done. Good feedback.")</f>
        <v>Done. Good feedback.</v>
      </c>
      <c r="S1076" s="6" t="str">
        <f ca="1">IFERROR(__xludf.DUMMYFUNCTION("""COMPUTED_VALUE"""),"Category")</f>
        <v>Category</v>
      </c>
      <c r="T1076" s="6"/>
      <c r="U1076" s="6"/>
      <c r="V1076" s="6"/>
      <c r="W1076" s="6"/>
      <c r="X1076" s="6"/>
      <c r="Y1076" s="6"/>
      <c r="Z1076" s="6"/>
      <c r="AA1076" s="6"/>
      <c r="AB1076" s="6"/>
      <c r="AC1076" s="6"/>
      <c r="AD1076" s="6"/>
      <c r="AE1076" s="6"/>
      <c r="AF1076" s="6"/>
      <c r="AG1076" s="6"/>
      <c r="AH1076" s="6"/>
      <c r="AI1076" s="6"/>
      <c r="AJ1076" s="6"/>
      <c r="AK1076" s="6"/>
      <c r="AL1076" s="6"/>
    </row>
    <row r="1077" spans="1:38">
      <c r="A1077" s="96">
        <f ca="1">IFERROR(__xludf.DUMMYFUNCTION("""COMPUTED_VALUE"""),44725)</f>
        <v>44725</v>
      </c>
      <c r="B1077" s="6" t="str">
        <f ca="1">IFERROR(__xludf.DUMMYFUNCTION("""COMPUTED_VALUE"""),"Amit Nankani")</f>
        <v>Amit Nankani</v>
      </c>
      <c r="C1077" s="6" t="str">
        <f ca="1">IFERROR(__xludf.DUMMYFUNCTION("""COMPUTED_VALUE"""),"amit.nankani@eclerx.com")</f>
        <v>amit.nankani@eclerx.com</v>
      </c>
      <c r="D1077" s="6">
        <f ca="1">IFERROR(__xludf.DUMMYFUNCTION("""COMPUTED_VALUE"""),8879966654)</f>
        <v>8879966654</v>
      </c>
      <c r="E1077" s="6" t="str">
        <f ca="1">IFERROR(__xludf.DUMMYFUNCTION("""COMPUTED_VALUE"""),"Reference")</f>
        <v>Reference</v>
      </c>
      <c r="F1077" s="6" t="str">
        <f ca="1">IFERROR(__xludf.DUMMYFUNCTION("""COMPUTED_VALUE"""),"SAFe Agile")</f>
        <v>SAFe Agile</v>
      </c>
      <c r="G1077" s="80">
        <f ca="1">IFERROR(__xludf.DUMMYFUNCTION("""COMPUTED_VALUE"""),44713)</f>
        <v>44713</v>
      </c>
      <c r="H1077" s="6" t="str">
        <f ca="1">IFERROR(__xludf.DUMMYFUNCTION("""COMPUTED_VALUE"""),"Won")</f>
        <v>Won</v>
      </c>
      <c r="I1077" s="6" t="str">
        <f ca="1">IFERROR(__xludf.DUMMYFUNCTION("""COMPUTED_VALUE"""),"25-26 June 2022")</f>
        <v>25-26 June 2022</v>
      </c>
      <c r="J1077" s="6">
        <f ca="1">IFERROR(__xludf.DUMMYFUNCTION("""COMPUTED_VALUE"""),1)</f>
        <v>1</v>
      </c>
      <c r="K1077" s="8">
        <f ca="1">IFERROR(__xludf.DUMMYFUNCTION("""COMPUTED_VALUE"""),40061)</f>
        <v>40061</v>
      </c>
      <c r="L1077" s="8">
        <f ca="1">IFERROR(__xludf.DUMMYFUNCTION("""COMPUTED_VALUE"""),458.783783783783)</f>
        <v>458.78378378378301</v>
      </c>
      <c r="M1077" s="96">
        <f ca="1">IFERROR(__xludf.DUMMYFUNCTION("""COMPUTED_VALUE"""),44725)</f>
        <v>44725</v>
      </c>
      <c r="N1077" s="6" t="str">
        <f ca="1">IFERROR(__xludf.DUMMYFUNCTION("""COMPUTED_VALUE"""),"S10")</f>
        <v>S10</v>
      </c>
      <c r="O1077" s="97">
        <f ca="1">IFERROR(__xludf.DUMMYFUNCTION("""COMPUTED_VALUE"""),44725)</f>
        <v>44725</v>
      </c>
      <c r="P1077" s="6" t="str">
        <f ca="1">IFERROR(__xludf.DUMMYFUNCTION("""COMPUTED_VALUE"""),"CSTM_B8U5WH51POR")</f>
        <v>CSTM_B8U5WH51POR</v>
      </c>
      <c r="Q1077" s="6" t="str">
        <f ca="1">IFERROR(__xludf.DUMMYFUNCTION("""COMPUTED_VALUE"""),"Reference by Amit Purohit")</f>
        <v>Reference by Amit Purohit</v>
      </c>
      <c r="R1077" s="6" t="str">
        <f ca="1">IFERROR(__xludf.DUMMYFUNCTION("""COMPUTED_VALUE"""),"Done. Good feedback.")</f>
        <v>Done. Good feedback.</v>
      </c>
      <c r="S1077" s="6" t="str">
        <f ca="1">IFERROR(__xludf.DUMMYFUNCTION("""COMPUTED_VALUE"""),"SAFe")</f>
        <v>SAFe</v>
      </c>
      <c r="T1077" s="6"/>
      <c r="U1077" s="6"/>
      <c r="V1077" s="6"/>
      <c r="W1077" s="6"/>
      <c r="X1077" s="6"/>
      <c r="Y1077" s="6"/>
      <c r="Z1077" s="6"/>
      <c r="AA1077" s="6"/>
      <c r="AB1077" s="6"/>
      <c r="AC1077" s="6"/>
      <c r="AD1077" s="6"/>
      <c r="AE1077" s="6"/>
      <c r="AF1077" s="6"/>
      <c r="AG1077" s="6"/>
      <c r="AH1077" s="6"/>
      <c r="AI1077" s="6"/>
      <c r="AJ1077" s="6"/>
      <c r="AK1077" s="6"/>
      <c r="AL1077" s="6"/>
    </row>
    <row r="1078" spans="1:38">
      <c r="A1078" s="96">
        <f ca="1">IFERROR(__xludf.DUMMYFUNCTION("""COMPUTED_VALUE"""),44725)</f>
        <v>44725</v>
      </c>
      <c r="B1078" s="6" t="str">
        <f ca="1">IFERROR(__xludf.DUMMYFUNCTION("""COMPUTED_VALUE"""),"Hima Alice")</f>
        <v>Hima Alice</v>
      </c>
      <c r="C1078" s="6" t="str">
        <f ca="1">IFERROR(__xludf.DUMMYFUNCTION("""COMPUTED_VALUE"""),"himaalicejohn@gmail.com")</f>
        <v>himaalicejohn@gmail.com</v>
      </c>
      <c r="D1078" s="6">
        <f ca="1">IFERROR(__xludf.DUMMYFUNCTION("""COMPUTED_VALUE"""),9447868166)</f>
        <v>9447868166</v>
      </c>
      <c r="E1078" s="6" t="str">
        <f ca="1">IFERROR(__xludf.DUMMYFUNCTION("""COMPUTED_VALUE"""),"chat_initiated")</f>
        <v>chat_initiated</v>
      </c>
      <c r="F1078" s="6" t="str">
        <f ca="1">IFERROR(__xludf.DUMMYFUNCTION("""COMPUTED_VALUE"""),"PSPO")</f>
        <v>PSPO</v>
      </c>
      <c r="G1078" s="80">
        <f ca="1">IFERROR(__xludf.DUMMYFUNCTION("""COMPUTED_VALUE"""),44713)</f>
        <v>44713</v>
      </c>
      <c r="H1078" s="6" t="str">
        <f ca="1">IFERROR(__xludf.DUMMYFUNCTION("""COMPUTED_VALUE"""),"Won")</f>
        <v>Won</v>
      </c>
      <c r="I1078" s="6" t="str">
        <f ca="1">IFERROR(__xludf.DUMMYFUNCTION("""COMPUTED_VALUE"""),"25-26 June 2022")</f>
        <v>25-26 June 2022</v>
      </c>
      <c r="J1078" s="6">
        <f ca="1">IFERROR(__xludf.DUMMYFUNCTION("""COMPUTED_VALUE"""),1)</f>
        <v>1</v>
      </c>
      <c r="K1078" s="8">
        <f ca="1">IFERROR(__xludf.DUMMYFUNCTION("""COMPUTED_VALUE"""),21000)</f>
        <v>21000</v>
      </c>
      <c r="L1078" s="8">
        <f ca="1">IFERROR(__xludf.DUMMYFUNCTION("""COMPUTED_VALUE"""),240.494732020155)</f>
        <v>240.494732020155</v>
      </c>
      <c r="M1078" s="96">
        <f ca="1">IFERROR(__xludf.DUMMYFUNCTION("""COMPUTED_VALUE"""),44725)</f>
        <v>44725</v>
      </c>
      <c r="N1078" s="6" t="str">
        <f ca="1">IFERROR(__xludf.DUMMYFUNCTION("""COMPUTED_VALUE"""),"S10")</f>
        <v>S10</v>
      </c>
      <c r="O1078" s="97">
        <f ca="1">IFERROR(__xludf.DUMMYFUNCTION("""COMPUTED_VALUE"""),44725)</f>
        <v>44725</v>
      </c>
      <c r="P1078" s="6" t="str">
        <f ca="1">IFERROR(__xludf.DUMMYFUNCTION("""COMPUTED_VALUE"""),"CSTM_6X1QQQESMS0")</f>
        <v>CSTM_6X1QQQESMS0</v>
      </c>
      <c r="Q1078" s="6"/>
      <c r="R1078" s="6" t="str">
        <f ca="1">IFERROR(__xludf.DUMMYFUNCTION("""COMPUTED_VALUE"""),"Done. Good feedback.")</f>
        <v>Done. Good feedback.</v>
      </c>
      <c r="S1078" s="6" t="str">
        <f ca="1">IFERROR(__xludf.DUMMYFUNCTION("""COMPUTED_VALUE"""),"Category")</f>
        <v>Category</v>
      </c>
      <c r="T1078" s="6"/>
      <c r="U1078" s="6"/>
      <c r="V1078" s="6"/>
      <c r="W1078" s="6"/>
      <c r="X1078" s="6"/>
      <c r="Y1078" s="6"/>
      <c r="Z1078" s="6"/>
      <c r="AA1078" s="6"/>
      <c r="AB1078" s="6"/>
      <c r="AC1078" s="6"/>
      <c r="AD1078" s="6"/>
      <c r="AE1078" s="6"/>
      <c r="AF1078" s="6"/>
      <c r="AG1078" s="6"/>
      <c r="AH1078" s="6"/>
      <c r="AI1078" s="6"/>
      <c r="AJ1078" s="6"/>
      <c r="AK1078" s="6"/>
      <c r="AL1078" s="6"/>
    </row>
    <row r="1079" spans="1:38">
      <c r="A1079" s="96">
        <f ca="1">IFERROR(__xludf.DUMMYFUNCTION("""COMPUTED_VALUE"""),44726)</f>
        <v>44726</v>
      </c>
      <c r="B1079" s="6" t="str">
        <f ca="1">IFERROR(__xludf.DUMMYFUNCTION("""COMPUTED_VALUE"""),"Sachin Sharma")</f>
        <v>Sachin Sharma</v>
      </c>
      <c r="C1079" s="6" t="str">
        <f ca="1">IFERROR(__xludf.DUMMYFUNCTION("""COMPUTED_VALUE"""),"spsharma001@yahoo.com")</f>
        <v>spsharma001@yahoo.com</v>
      </c>
      <c r="D1079" s="6">
        <f ca="1">IFERROR(__xludf.DUMMYFUNCTION("""COMPUTED_VALUE"""),9820765943)</f>
        <v>9820765943</v>
      </c>
      <c r="E1079" s="6" t="str">
        <f ca="1">IFERROR(__xludf.DUMMYFUNCTION("""COMPUTED_VALUE"""),"Reference")</f>
        <v>Reference</v>
      </c>
      <c r="F1079" s="6" t="str">
        <f ca="1">IFERROR(__xludf.DUMMYFUNCTION("""COMPUTED_VALUE"""),"Togaf - 1st partial")</f>
        <v>Togaf - 1st partial</v>
      </c>
      <c r="G1079" s="80">
        <f ca="1">IFERROR(__xludf.DUMMYFUNCTION("""COMPUTED_VALUE"""),44713)</f>
        <v>44713</v>
      </c>
      <c r="H1079" s="6" t="str">
        <f ca="1">IFERROR(__xludf.DUMMYFUNCTION("""COMPUTED_VALUE"""),"Opportunity")</f>
        <v>Opportunity</v>
      </c>
      <c r="I1079" s="6" t="str">
        <f ca="1">IFERROR(__xludf.DUMMYFUNCTION("""COMPUTED_VALUE"""),"18 June 2022")</f>
        <v>18 June 2022</v>
      </c>
      <c r="J1079" s="6">
        <f ca="1">IFERROR(__xludf.DUMMYFUNCTION("""COMPUTED_VALUE"""),1)</f>
        <v>1</v>
      </c>
      <c r="K1079" s="8">
        <f ca="1">IFERROR(__xludf.DUMMYFUNCTION("""COMPUTED_VALUE"""),21000)</f>
        <v>21000</v>
      </c>
      <c r="L1079" s="8">
        <f ca="1">IFERROR(__xludf.DUMMYFUNCTION("""COMPUTED_VALUE"""),240.494732020155)</f>
        <v>240.494732020155</v>
      </c>
      <c r="M1079" s="96">
        <f ca="1">IFERROR(__xludf.DUMMYFUNCTION("""COMPUTED_VALUE"""),44726)</f>
        <v>44726</v>
      </c>
      <c r="N1079" s="6"/>
      <c r="O1079" s="97"/>
      <c r="P1079" s="6"/>
      <c r="Q1079" s="6"/>
      <c r="R1079" s="6"/>
      <c r="S1079" s="6" t="str">
        <f ca="1">IFERROR(__xludf.DUMMYFUNCTION("""COMPUTED_VALUE"""),"NonCategory")</f>
        <v>NonCategory</v>
      </c>
      <c r="T1079" s="6"/>
      <c r="U1079" s="6"/>
      <c r="V1079" s="6"/>
      <c r="W1079" s="6"/>
      <c r="X1079" s="6"/>
      <c r="Y1079" s="6"/>
      <c r="Z1079" s="6"/>
      <c r="AA1079" s="6"/>
      <c r="AB1079" s="6"/>
      <c r="AC1079" s="6"/>
      <c r="AD1079" s="6"/>
      <c r="AE1079" s="6"/>
      <c r="AF1079" s="6"/>
      <c r="AG1079" s="6"/>
      <c r="AH1079" s="6"/>
      <c r="AI1079" s="6"/>
      <c r="AJ1079" s="6"/>
      <c r="AK1079" s="6"/>
      <c r="AL1079" s="6"/>
    </row>
    <row r="1080" spans="1:38">
      <c r="A1080" s="96">
        <f ca="1">IFERROR(__xludf.DUMMYFUNCTION("""COMPUTED_VALUE"""),44726)</f>
        <v>44726</v>
      </c>
      <c r="B1080" s="6" t="str">
        <f ca="1">IFERROR(__xludf.DUMMYFUNCTION("""COMPUTED_VALUE"""),"Priyanka Gandhi")</f>
        <v>Priyanka Gandhi</v>
      </c>
      <c r="C1080" s="6" t="str">
        <f ca="1">IFERROR(__xludf.DUMMYFUNCTION("""COMPUTED_VALUE"""),"priyankagandhi10@gmail.com")</f>
        <v>priyankagandhi10@gmail.com</v>
      </c>
      <c r="D1080" s="6">
        <f ca="1">IFERROR(__xludf.DUMMYFUNCTION("""COMPUTED_VALUE"""),7507779696)</f>
        <v>7507779696</v>
      </c>
      <c r="E1080" s="6" t="str">
        <f ca="1">IFERROR(__xludf.DUMMYFUNCTION("""COMPUTED_VALUE"""),"Request a call")</f>
        <v>Request a call</v>
      </c>
      <c r="F1080" s="6" t="str">
        <f ca="1">IFERROR(__xludf.DUMMYFUNCTION("""COMPUTED_VALUE"""),"PSM")</f>
        <v>PSM</v>
      </c>
      <c r="G1080" s="80">
        <f ca="1">IFERROR(__xludf.DUMMYFUNCTION("""COMPUTED_VALUE"""),44713)</f>
        <v>44713</v>
      </c>
      <c r="H1080" s="6" t="str">
        <f ca="1">IFERROR(__xludf.DUMMYFUNCTION("""COMPUTED_VALUE"""),"Won")</f>
        <v>Won</v>
      </c>
      <c r="I1080" s="6" t="str">
        <f ca="1">IFERROR(__xludf.DUMMYFUNCTION("""COMPUTED_VALUE"""),"25-26 June 2022")</f>
        <v>25-26 June 2022</v>
      </c>
      <c r="J1080" s="6">
        <f ca="1">IFERROR(__xludf.DUMMYFUNCTION("""COMPUTED_VALUE"""),1)</f>
        <v>1</v>
      </c>
      <c r="K1080" s="8">
        <f ca="1">IFERROR(__xludf.DUMMYFUNCTION("""COMPUTED_VALUE"""),21000)</f>
        <v>21000</v>
      </c>
      <c r="L1080" s="8">
        <f ca="1">IFERROR(__xludf.DUMMYFUNCTION("""COMPUTED_VALUE"""),240.494732020155)</f>
        <v>240.494732020155</v>
      </c>
      <c r="M1080" s="96">
        <f ca="1">IFERROR(__xludf.DUMMYFUNCTION("""COMPUTED_VALUE"""),44726)</f>
        <v>44726</v>
      </c>
      <c r="N1080" s="6" t="str">
        <f ca="1">IFERROR(__xludf.DUMMYFUNCTION("""COMPUTED_VALUE"""),"S10")</f>
        <v>S10</v>
      </c>
      <c r="O1080" s="97">
        <f ca="1">IFERROR(__xludf.DUMMYFUNCTION("""COMPUTED_VALUE"""),44726)</f>
        <v>44726</v>
      </c>
      <c r="P1080" s="6" t="str">
        <f ca="1">IFERROR(__xludf.DUMMYFUNCTION("""COMPUTED_VALUE"""),"CSTM_9LH71N9U6AH")</f>
        <v>CSTM_9LH71N9U6AH</v>
      </c>
      <c r="Q1080" s="6"/>
      <c r="R1080" s="6" t="str">
        <f ca="1">IFERROR(__xludf.DUMMYFUNCTION("""COMPUTED_VALUE"""),"Done. Good feedback.")</f>
        <v>Done. Good feedback.</v>
      </c>
      <c r="S1080" s="6" t="str">
        <f ca="1">IFERROR(__xludf.DUMMYFUNCTION("""COMPUTED_VALUE"""),"Category")</f>
        <v>Category</v>
      </c>
      <c r="T1080" s="6"/>
      <c r="U1080" s="6"/>
      <c r="V1080" s="6"/>
      <c r="W1080" s="6"/>
      <c r="X1080" s="6"/>
      <c r="Y1080" s="6"/>
      <c r="Z1080" s="6"/>
      <c r="AA1080" s="6"/>
      <c r="AB1080" s="6"/>
      <c r="AC1080" s="6"/>
      <c r="AD1080" s="6"/>
      <c r="AE1080" s="6"/>
      <c r="AF1080" s="6"/>
      <c r="AG1080" s="6"/>
      <c r="AH1080" s="6"/>
      <c r="AI1080" s="6"/>
      <c r="AJ1080" s="6"/>
      <c r="AK1080" s="6"/>
      <c r="AL1080" s="6"/>
    </row>
    <row r="1081" spans="1:38">
      <c r="A1081" s="96">
        <f ca="1">IFERROR(__xludf.DUMMYFUNCTION("""COMPUTED_VALUE"""),44727)</f>
        <v>44727</v>
      </c>
      <c r="B1081" s="6" t="str">
        <f ca="1">IFERROR(__xludf.DUMMYFUNCTION("""COMPUTED_VALUE"""),"Ripander Saini")</f>
        <v>Ripander Saini</v>
      </c>
      <c r="C1081" s="6" t="str">
        <f ca="1">IFERROR(__xludf.DUMMYFUNCTION("""COMPUTED_VALUE"""),"ripandeep.saini@gmail.com")</f>
        <v>ripandeep.saini@gmail.com</v>
      </c>
      <c r="D1081" s="6">
        <f ca="1">IFERROR(__xludf.DUMMYFUNCTION("""COMPUTED_VALUE"""),9004335935)</f>
        <v>9004335935</v>
      </c>
      <c r="E1081" s="6" t="str">
        <f ca="1">IFERROR(__xludf.DUMMYFUNCTION("""COMPUTED_VALUE"""),"chat_initiated")</f>
        <v>chat_initiated</v>
      </c>
      <c r="F1081" s="6" t="str">
        <f ca="1">IFERROR(__xludf.DUMMYFUNCTION("""COMPUTED_VALUE"""),"PSM 2")</f>
        <v>PSM 2</v>
      </c>
      <c r="G1081" s="80">
        <f ca="1">IFERROR(__xludf.DUMMYFUNCTION("""COMPUTED_VALUE"""),44713)</f>
        <v>44713</v>
      </c>
      <c r="H1081" s="6" t="str">
        <f ca="1">IFERROR(__xludf.DUMMYFUNCTION("""COMPUTED_VALUE"""),"Won")</f>
        <v>Won</v>
      </c>
      <c r="I1081" s="6" t="str">
        <f ca="1">IFERROR(__xludf.DUMMYFUNCTION("""COMPUTED_VALUE"""),"23-24 July 2022")</f>
        <v>23-24 July 2022</v>
      </c>
      <c r="J1081" s="6">
        <f ca="1">IFERROR(__xludf.DUMMYFUNCTION("""COMPUTED_VALUE"""),1)</f>
        <v>1</v>
      </c>
      <c r="K1081" s="8">
        <f ca="1">IFERROR(__xludf.DUMMYFUNCTION("""COMPUTED_VALUE"""),24000)</f>
        <v>24000</v>
      </c>
      <c r="L1081" s="8">
        <f ca="1">IFERROR(__xludf.DUMMYFUNCTION("""COMPUTED_VALUE"""),274.851122308749)</f>
        <v>274.85112230874898</v>
      </c>
      <c r="M1081" s="96">
        <f ca="1">IFERROR(__xludf.DUMMYFUNCTION("""COMPUTED_VALUE"""),44727)</f>
        <v>44727</v>
      </c>
      <c r="N1081" s="6" t="str">
        <f ca="1">IFERROR(__xludf.DUMMYFUNCTION("""COMPUTED_VALUE"""),"S10")</f>
        <v>S10</v>
      </c>
      <c r="O1081" s="97">
        <f ca="1">IFERROR(__xludf.DUMMYFUNCTION("""COMPUTED_VALUE"""),44728)</f>
        <v>44728</v>
      </c>
      <c r="P1081" s="6" t="str">
        <f ca="1">IFERROR(__xludf.DUMMYFUNCTION("""COMPUTED_VALUE"""),"CSTM_B6W0CX18TH7")</f>
        <v>CSTM_B6W0CX18TH7</v>
      </c>
      <c r="Q1081" s="6"/>
      <c r="R1081" s="6" t="str">
        <f ca="1">IFERROR(__xludf.DUMMYFUNCTION("""COMPUTED_VALUE"""),"Done. Good feedback.")</f>
        <v>Done. Good feedback.</v>
      </c>
      <c r="S1081" s="6" t="str">
        <f ca="1">IFERROR(__xludf.DUMMYFUNCTION("""COMPUTED_VALUE"""),"Category")</f>
        <v>Category</v>
      </c>
      <c r="T1081" s="6"/>
      <c r="U1081" s="6"/>
      <c r="V1081" s="6"/>
      <c r="W1081" s="6"/>
      <c r="X1081" s="6"/>
      <c r="Y1081" s="6"/>
      <c r="Z1081" s="6"/>
      <c r="AA1081" s="6"/>
      <c r="AB1081" s="6"/>
      <c r="AC1081" s="6"/>
      <c r="AD1081" s="6"/>
      <c r="AE1081" s="6"/>
      <c r="AF1081" s="6"/>
      <c r="AG1081" s="6"/>
      <c r="AH1081" s="6"/>
      <c r="AI1081" s="6"/>
      <c r="AJ1081" s="6"/>
      <c r="AK1081" s="6"/>
      <c r="AL1081" s="6"/>
    </row>
    <row r="1082" spans="1:38">
      <c r="A1082" s="96">
        <f ca="1">IFERROR(__xludf.DUMMYFUNCTION("""COMPUTED_VALUE"""),44727)</f>
        <v>44727</v>
      </c>
      <c r="B1082" s="6" t="str">
        <f ca="1">IFERROR(__xludf.DUMMYFUNCTION("""COMPUTED_VALUE"""),"Richa Kukyrani")</f>
        <v>Richa Kukyrani</v>
      </c>
      <c r="C1082" s="6" t="str">
        <f ca="1">IFERROR(__xludf.DUMMYFUNCTION("""COMPUTED_VALUE"""),"richakukyrani@gmail.com")</f>
        <v>richakukyrani@gmail.com</v>
      </c>
      <c r="D1082" s="6">
        <f ca="1">IFERROR(__xludf.DUMMYFUNCTION("""COMPUTED_VALUE"""),7353520842)</f>
        <v>7353520842</v>
      </c>
      <c r="E1082" s="6" t="str">
        <f ca="1">IFERROR(__xludf.DUMMYFUNCTION("""COMPUTED_VALUE"""),"Chat_triggered")</f>
        <v>Chat_triggered</v>
      </c>
      <c r="F1082" s="6" t="str">
        <f ca="1">IFERROR(__xludf.DUMMYFUNCTION("""COMPUTED_VALUE"""),"SAFe POPM")</f>
        <v>SAFe POPM</v>
      </c>
      <c r="G1082" s="80">
        <f ca="1">IFERROR(__xludf.DUMMYFUNCTION("""COMPUTED_VALUE"""),44713)</f>
        <v>44713</v>
      </c>
      <c r="H1082" s="6" t="str">
        <f ca="1">IFERROR(__xludf.DUMMYFUNCTION("""COMPUTED_VALUE"""),"Won")</f>
        <v>Won</v>
      </c>
      <c r="I1082" s="6" t="str">
        <f ca="1">IFERROR(__xludf.DUMMYFUNCTION("""COMPUTED_VALUE"""),"18-19 June 2022")</f>
        <v>18-19 June 2022</v>
      </c>
      <c r="J1082" s="6">
        <f ca="1">IFERROR(__xludf.DUMMYFUNCTION("""COMPUTED_VALUE"""),1)</f>
        <v>1</v>
      </c>
      <c r="K1082" s="8">
        <f ca="1">IFERROR(__xludf.DUMMYFUNCTION("""COMPUTED_VALUE"""),40061)</f>
        <v>40061</v>
      </c>
      <c r="L1082" s="8">
        <f ca="1">IFERROR(__xludf.DUMMYFUNCTION("""COMPUTED_VALUE"""),458.783783783783)</f>
        <v>458.78378378378301</v>
      </c>
      <c r="M1082" s="96">
        <f ca="1">IFERROR(__xludf.DUMMYFUNCTION("""COMPUTED_VALUE"""),44727)</f>
        <v>44727</v>
      </c>
      <c r="N1082" s="6" t="str">
        <f ca="1">IFERROR(__xludf.DUMMYFUNCTION("""COMPUTED_VALUE"""),"S10")</f>
        <v>S10</v>
      </c>
      <c r="O1082" s="97">
        <f ca="1">IFERROR(__xludf.DUMMYFUNCTION("""COMPUTED_VALUE"""),44727)</f>
        <v>44727</v>
      </c>
      <c r="P1082" s="6" t="str">
        <f ca="1">IFERROR(__xludf.DUMMYFUNCTION("""COMPUTED_VALUE"""),"CSTM_35YWHVIVJKL")</f>
        <v>CSTM_35YWHVIVJKL</v>
      </c>
      <c r="Q1082" s="6"/>
      <c r="R1082" s="6" t="str">
        <f ca="1">IFERROR(__xludf.DUMMYFUNCTION("""COMPUTED_VALUE"""),"Done. Good feedback.")</f>
        <v>Done. Good feedback.</v>
      </c>
      <c r="S1082" s="6" t="str">
        <f ca="1">IFERROR(__xludf.DUMMYFUNCTION("""COMPUTED_VALUE"""),"SAFe")</f>
        <v>SAFe</v>
      </c>
      <c r="T1082" s="6"/>
      <c r="U1082" s="6"/>
      <c r="V1082" s="6"/>
      <c r="W1082" s="6"/>
      <c r="X1082" s="6"/>
      <c r="Y1082" s="6"/>
      <c r="Z1082" s="6"/>
      <c r="AA1082" s="6"/>
      <c r="AB1082" s="6"/>
      <c r="AC1082" s="6"/>
      <c r="AD1082" s="6"/>
      <c r="AE1082" s="6"/>
      <c r="AF1082" s="6"/>
      <c r="AG1082" s="6"/>
      <c r="AH1082" s="6"/>
      <c r="AI1082" s="6"/>
      <c r="AJ1082" s="6"/>
      <c r="AK1082" s="6"/>
      <c r="AL1082" s="6"/>
    </row>
    <row r="1083" spans="1:38">
      <c r="A1083" s="96">
        <f ca="1">IFERROR(__xludf.DUMMYFUNCTION("""COMPUTED_VALUE"""),44727)</f>
        <v>44727</v>
      </c>
      <c r="B1083" s="6" t="str">
        <f ca="1">IFERROR(__xludf.DUMMYFUNCTION("""COMPUTED_VALUE"""),"Kapil Garg")</f>
        <v>Kapil Garg</v>
      </c>
      <c r="C1083" s="6" t="str">
        <f ca="1">IFERROR(__xludf.DUMMYFUNCTION("""COMPUTED_VALUE"""),"kapil30sep@gmail.com")</f>
        <v>kapil30sep@gmail.com</v>
      </c>
      <c r="D1083" s="6">
        <f ca="1">IFERROR(__xludf.DUMMYFUNCTION("""COMPUTED_VALUE"""),9899057444)</f>
        <v>9899057444</v>
      </c>
      <c r="E1083" s="6" t="str">
        <f ca="1">IFERROR(__xludf.DUMMYFUNCTION("""COMPUTED_VALUE"""),"Reference")</f>
        <v>Reference</v>
      </c>
      <c r="F1083" s="6" t="str">
        <f ca="1">IFERROR(__xludf.DUMMYFUNCTION("""COMPUTED_VALUE"""),"CSM")</f>
        <v>CSM</v>
      </c>
      <c r="G1083" s="80">
        <f ca="1">IFERROR(__xludf.DUMMYFUNCTION("""COMPUTED_VALUE"""),44713)</f>
        <v>44713</v>
      </c>
      <c r="H1083" s="6" t="str">
        <f ca="1">IFERROR(__xludf.DUMMYFUNCTION("""COMPUTED_VALUE"""),"Won")</f>
        <v>Won</v>
      </c>
      <c r="I1083" s="6" t="str">
        <f ca="1">IFERROR(__xludf.DUMMYFUNCTION("""COMPUTED_VALUE"""),"16-17 July 2022")</f>
        <v>16-17 July 2022</v>
      </c>
      <c r="J1083" s="6">
        <f ca="1">IFERROR(__xludf.DUMMYFUNCTION("""COMPUTED_VALUE"""),1)</f>
        <v>1</v>
      </c>
      <c r="K1083" s="8">
        <f ca="1">IFERROR(__xludf.DUMMYFUNCTION("""COMPUTED_VALUE"""),19500)</f>
        <v>19500</v>
      </c>
      <c r="L1083" s="8">
        <f ca="1">IFERROR(__xludf.DUMMYFUNCTION("""COMPUTED_VALUE"""),223.316536875858)</f>
        <v>223.31653687585799</v>
      </c>
      <c r="M1083" s="96">
        <f ca="1">IFERROR(__xludf.DUMMYFUNCTION("""COMPUTED_VALUE"""),44727)</f>
        <v>44727</v>
      </c>
      <c r="N1083" s="6" t="str">
        <f ca="1">IFERROR(__xludf.DUMMYFUNCTION("""COMPUTED_VALUE"""),"S10")</f>
        <v>S10</v>
      </c>
      <c r="O1083" s="97">
        <f ca="1">IFERROR(__xludf.DUMMYFUNCTION("""COMPUTED_VALUE"""),44727)</f>
        <v>44727</v>
      </c>
      <c r="P1083" s="6" t="str">
        <f ca="1">IFERROR(__xludf.DUMMYFUNCTION("""COMPUTED_VALUE"""),"CSTM_G9DJGMX70Z2")</f>
        <v>CSTM_G9DJGMX70Z2</v>
      </c>
      <c r="Q1083" s="6" t="str">
        <f ca="1">IFERROR(__xludf.DUMMYFUNCTION("""COMPUTED_VALUE"""),"Reference by rashmi123456789@gmail.com")</f>
        <v>Reference by rashmi123456789@gmail.com</v>
      </c>
      <c r="R1083" s="6" t="str">
        <f ca="1">IFERROR(__xludf.DUMMYFUNCTION("""COMPUTED_VALUE"""),"Done. Good feedback.")</f>
        <v>Done. Good feedback.</v>
      </c>
      <c r="S1083" s="6" t="str">
        <f ca="1">IFERROR(__xludf.DUMMYFUNCTION("""COMPUTED_VALUE"""),"Category")</f>
        <v>Category</v>
      </c>
      <c r="T1083" s="6"/>
      <c r="U1083" s="6"/>
      <c r="V1083" s="6"/>
      <c r="W1083" s="6"/>
      <c r="X1083" s="6"/>
      <c r="Y1083" s="6"/>
      <c r="Z1083" s="6"/>
      <c r="AA1083" s="6"/>
      <c r="AB1083" s="6"/>
      <c r="AC1083" s="6"/>
      <c r="AD1083" s="6"/>
      <c r="AE1083" s="6"/>
      <c r="AF1083" s="6"/>
      <c r="AG1083" s="6"/>
      <c r="AH1083" s="6"/>
      <c r="AI1083" s="6"/>
      <c r="AJ1083" s="6"/>
      <c r="AK1083" s="6"/>
      <c r="AL1083" s="6"/>
    </row>
    <row r="1084" spans="1:38">
      <c r="A1084" s="96">
        <f ca="1">IFERROR(__xludf.DUMMYFUNCTION("""COMPUTED_VALUE"""),44727)</f>
        <v>44727</v>
      </c>
      <c r="B1084" s="6" t="str">
        <f ca="1">IFERROR(__xludf.DUMMYFUNCTION("""COMPUTED_VALUE"""),"Nitin Uttamrao Salve")</f>
        <v>Nitin Uttamrao Salve</v>
      </c>
      <c r="C1084" s="6" t="str">
        <f ca="1">IFERROR(__xludf.DUMMYFUNCTION("""COMPUTED_VALUE"""),"nitsmind@gmail.com")</f>
        <v>nitsmind@gmail.com</v>
      </c>
      <c r="D1084" s="6">
        <f ca="1">IFERROR(__xludf.DUMMYFUNCTION("""COMPUTED_VALUE"""),9881157776)</f>
        <v>9881157776</v>
      </c>
      <c r="E1084" s="6" t="str">
        <f ca="1">IFERROR(__xludf.DUMMYFUNCTION("""COMPUTED_VALUE"""),"Reference")</f>
        <v>Reference</v>
      </c>
      <c r="F1084" s="6" t="str">
        <f ca="1">IFERROR(__xludf.DUMMYFUNCTION("""COMPUTED_VALUE"""),"CSM")</f>
        <v>CSM</v>
      </c>
      <c r="G1084" s="80">
        <f ca="1">IFERROR(__xludf.DUMMYFUNCTION("""COMPUTED_VALUE"""),44713)</f>
        <v>44713</v>
      </c>
      <c r="H1084" s="6" t="str">
        <f ca="1">IFERROR(__xludf.DUMMYFUNCTION("""COMPUTED_VALUE"""),"Won")</f>
        <v>Won</v>
      </c>
      <c r="I1084" s="6" t="str">
        <f ca="1">IFERROR(__xludf.DUMMYFUNCTION("""COMPUTED_VALUE"""),"16-17 July 2022")</f>
        <v>16-17 July 2022</v>
      </c>
      <c r="J1084" s="6">
        <f ca="1">IFERROR(__xludf.DUMMYFUNCTION("""COMPUTED_VALUE"""),1)</f>
        <v>1</v>
      </c>
      <c r="K1084" s="8">
        <f ca="1">IFERROR(__xludf.DUMMYFUNCTION("""COMPUTED_VALUE"""),19500)</f>
        <v>19500</v>
      </c>
      <c r="L1084" s="8">
        <f ca="1">IFERROR(__xludf.DUMMYFUNCTION("""COMPUTED_VALUE"""),223.316536875858)</f>
        <v>223.31653687585799</v>
      </c>
      <c r="M1084" s="96">
        <f ca="1">IFERROR(__xludf.DUMMYFUNCTION("""COMPUTED_VALUE"""),44727)</f>
        <v>44727</v>
      </c>
      <c r="N1084" s="6" t="str">
        <f ca="1">IFERROR(__xludf.DUMMYFUNCTION("""COMPUTED_VALUE"""),"S10")</f>
        <v>S10</v>
      </c>
      <c r="O1084" s="97">
        <f ca="1">IFERROR(__xludf.DUMMYFUNCTION("""COMPUTED_VALUE"""),44727)</f>
        <v>44727</v>
      </c>
      <c r="P1084" s="6" t="str">
        <f ca="1">IFERROR(__xludf.DUMMYFUNCTION("""COMPUTED_VALUE"""),"CSTM_DQ03JH0WK44")</f>
        <v>CSTM_DQ03JH0WK44</v>
      </c>
      <c r="Q1084" s="6" t="str">
        <f ca="1">IFERROR(__xludf.DUMMYFUNCTION("""COMPUTED_VALUE"""),"Reference by rashmi123456789@gmail.com")</f>
        <v>Reference by rashmi123456789@gmail.com</v>
      </c>
      <c r="R1084" s="6" t="str">
        <f ca="1">IFERROR(__xludf.DUMMYFUNCTION("""COMPUTED_VALUE"""),"Done. Good feedback.")</f>
        <v>Done. Good feedback.</v>
      </c>
      <c r="S1084" s="6" t="str">
        <f ca="1">IFERROR(__xludf.DUMMYFUNCTION("""COMPUTED_VALUE"""),"Category")</f>
        <v>Category</v>
      </c>
      <c r="T1084" s="6"/>
      <c r="U1084" s="6"/>
      <c r="V1084" s="6"/>
      <c r="W1084" s="6"/>
      <c r="X1084" s="6"/>
      <c r="Y1084" s="6"/>
      <c r="Z1084" s="6"/>
      <c r="AA1084" s="6"/>
      <c r="AB1084" s="6"/>
      <c r="AC1084" s="6"/>
      <c r="AD1084" s="6"/>
      <c r="AE1084" s="6"/>
      <c r="AF1084" s="6"/>
      <c r="AG1084" s="6"/>
      <c r="AH1084" s="6"/>
      <c r="AI1084" s="6"/>
      <c r="AJ1084" s="6"/>
      <c r="AK1084" s="6"/>
      <c r="AL1084" s="6"/>
    </row>
    <row r="1085" spans="1:38">
      <c r="A1085" s="96">
        <f ca="1">IFERROR(__xludf.DUMMYFUNCTION("""COMPUTED_VALUE"""),44728)</f>
        <v>44728</v>
      </c>
      <c r="B1085" s="6" t="str">
        <f ca="1">IFERROR(__xludf.DUMMYFUNCTION("""COMPUTED_VALUE"""),"Srinivas PSR")</f>
        <v>Srinivas PSR</v>
      </c>
      <c r="C1085" s="6" t="str">
        <f ca="1">IFERROR(__xludf.DUMMYFUNCTION("""COMPUTED_VALUE"""),"sri.psr@gmail.com")</f>
        <v>sri.psr@gmail.com</v>
      </c>
      <c r="D1085" s="6">
        <f ca="1">IFERROR(__xludf.DUMMYFUNCTION("""COMPUTED_VALUE"""),9642970111)</f>
        <v>9642970111</v>
      </c>
      <c r="E1085" s="6" t="str">
        <f ca="1">IFERROR(__xludf.DUMMYFUNCTION("""COMPUTED_VALUE"""),"na-payment")</f>
        <v>na-payment</v>
      </c>
      <c r="F1085" s="6" t="str">
        <f ca="1">IFERROR(__xludf.DUMMYFUNCTION("""COMPUTED_VALUE"""),"SAFe Agile")</f>
        <v>SAFe Agile</v>
      </c>
      <c r="G1085" s="80">
        <f ca="1">IFERROR(__xludf.DUMMYFUNCTION("""COMPUTED_VALUE"""),44713)</f>
        <v>44713</v>
      </c>
      <c r="H1085" s="6" t="str">
        <f ca="1">IFERROR(__xludf.DUMMYFUNCTION("""COMPUTED_VALUE"""),"Won")</f>
        <v>Won</v>
      </c>
      <c r="I1085" s="6" t="str">
        <f ca="1">IFERROR(__xludf.DUMMYFUNCTION("""COMPUTED_VALUE"""),"18-19 June 2022")</f>
        <v>18-19 June 2022</v>
      </c>
      <c r="J1085" s="6">
        <f ca="1">IFERROR(__xludf.DUMMYFUNCTION("""COMPUTED_VALUE"""),1)</f>
        <v>1</v>
      </c>
      <c r="K1085" s="8">
        <f ca="1">IFERROR(__xludf.DUMMYFUNCTION("""COMPUTED_VALUE"""),40061)</f>
        <v>40061</v>
      </c>
      <c r="L1085" s="8">
        <f ca="1">IFERROR(__xludf.DUMMYFUNCTION("""COMPUTED_VALUE"""),458.783783783783)</f>
        <v>458.78378378378301</v>
      </c>
      <c r="M1085" s="96">
        <f ca="1">IFERROR(__xludf.DUMMYFUNCTION("""COMPUTED_VALUE"""),44728)</f>
        <v>44728</v>
      </c>
      <c r="N1085" s="6" t="str">
        <f ca="1">IFERROR(__xludf.DUMMYFUNCTION("""COMPUTED_VALUE"""),"S10")</f>
        <v>S10</v>
      </c>
      <c r="O1085" s="97">
        <f ca="1">IFERROR(__xludf.DUMMYFUNCTION("""COMPUTED_VALUE"""),44728)</f>
        <v>44728</v>
      </c>
      <c r="P1085" s="6" t="str">
        <f ca="1">IFERROR(__xludf.DUMMYFUNCTION("""COMPUTED_VALUE"""),"CSTM_B8OBFUIZN9M")</f>
        <v>CSTM_B8OBFUIZN9M</v>
      </c>
      <c r="Q1085" s="6"/>
      <c r="R1085" s="6" t="str">
        <f ca="1">IFERROR(__xludf.DUMMYFUNCTION("""COMPUTED_VALUE"""),"Done. Good feedback.")</f>
        <v>Done. Good feedback.</v>
      </c>
      <c r="S1085" s="6" t="str">
        <f ca="1">IFERROR(__xludf.DUMMYFUNCTION("""COMPUTED_VALUE"""),"SAFe")</f>
        <v>SAFe</v>
      </c>
      <c r="T1085" s="6"/>
      <c r="U1085" s="6"/>
      <c r="V1085" s="6"/>
      <c r="W1085" s="6"/>
      <c r="X1085" s="6"/>
      <c r="Y1085" s="6"/>
      <c r="Z1085" s="6"/>
      <c r="AA1085" s="6"/>
      <c r="AB1085" s="6"/>
      <c r="AC1085" s="6"/>
      <c r="AD1085" s="6"/>
      <c r="AE1085" s="6"/>
      <c r="AF1085" s="6"/>
      <c r="AG1085" s="6"/>
      <c r="AH1085" s="6"/>
      <c r="AI1085" s="6"/>
      <c r="AJ1085" s="6"/>
      <c r="AK1085" s="6"/>
      <c r="AL1085" s="6"/>
    </row>
    <row r="1086" spans="1:38">
      <c r="A1086" s="96">
        <f ca="1">IFERROR(__xludf.DUMMYFUNCTION("""COMPUTED_VALUE"""),44728)</f>
        <v>44728</v>
      </c>
      <c r="B1086" s="6" t="str">
        <f ca="1">IFERROR(__xludf.DUMMYFUNCTION("""COMPUTED_VALUE"""),"Siddhesh Deshpande")</f>
        <v>Siddhesh Deshpande</v>
      </c>
      <c r="C1086" s="6" t="str">
        <f ca="1">IFERROR(__xludf.DUMMYFUNCTION("""COMPUTED_VALUE"""),"siddheshdeshpande67@gmail.com")</f>
        <v>siddheshdeshpande67@gmail.com</v>
      </c>
      <c r="D1086" s="6">
        <f ca="1">IFERROR(__xludf.DUMMYFUNCTION("""COMPUTED_VALUE"""),9834376139)</f>
        <v>9834376139</v>
      </c>
      <c r="E1086" s="6" t="str">
        <f ca="1">IFERROR(__xludf.DUMMYFUNCTION("""COMPUTED_VALUE"""),"Query box")</f>
        <v>Query box</v>
      </c>
      <c r="F1086" s="6" t="str">
        <f ca="1">IFERROR(__xludf.DUMMYFUNCTION("""COMPUTED_VALUE"""),"PSPO")</f>
        <v>PSPO</v>
      </c>
      <c r="G1086" s="80">
        <f ca="1">IFERROR(__xludf.DUMMYFUNCTION("""COMPUTED_VALUE"""),44713)</f>
        <v>44713</v>
      </c>
      <c r="H1086" s="6" t="str">
        <f ca="1">IFERROR(__xludf.DUMMYFUNCTION("""COMPUTED_VALUE"""),"Won")</f>
        <v>Won</v>
      </c>
      <c r="I1086" s="6" t="str">
        <f ca="1">IFERROR(__xludf.DUMMYFUNCTION("""COMPUTED_VALUE"""),"18-19 June 2022")</f>
        <v>18-19 June 2022</v>
      </c>
      <c r="J1086" s="6">
        <f ca="1">IFERROR(__xludf.DUMMYFUNCTION("""COMPUTED_VALUE"""),1)</f>
        <v>1</v>
      </c>
      <c r="K1086" s="8">
        <f ca="1">IFERROR(__xludf.DUMMYFUNCTION("""COMPUTED_VALUE"""),21000)</f>
        <v>21000</v>
      </c>
      <c r="L1086" s="8">
        <f ca="1">IFERROR(__xludf.DUMMYFUNCTION("""COMPUTED_VALUE"""),240.494732020155)</f>
        <v>240.494732020155</v>
      </c>
      <c r="M1086" s="96">
        <f ca="1">IFERROR(__xludf.DUMMYFUNCTION("""COMPUTED_VALUE"""),44728)</f>
        <v>44728</v>
      </c>
      <c r="N1086" s="6" t="str">
        <f ca="1">IFERROR(__xludf.DUMMYFUNCTION("""COMPUTED_VALUE"""),"S10")</f>
        <v>S10</v>
      </c>
      <c r="O1086" s="97">
        <f ca="1">IFERROR(__xludf.DUMMYFUNCTION("""COMPUTED_VALUE"""),44728)</f>
        <v>44728</v>
      </c>
      <c r="P1086" s="6" t="str">
        <f ca="1">IFERROR(__xludf.DUMMYFUNCTION("""COMPUTED_VALUE"""),"CSTM_CDI1KMYJXYD")</f>
        <v>CSTM_CDI1KMYJXYD</v>
      </c>
      <c r="Q1086" s="6"/>
      <c r="R1086" s="6" t="str">
        <f ca="1">IFERROR(__xludf.DUMMYFUNCTION("""COMPUTED_VALUE"""),"Done. Good feedback.")</f>
        <v>Done. Good feedback.</v>
      </c>
      <c r="S1086" s="6" t="str">
        <f ca="1">IFERROR(__xludf.DUMMYFUNCTION("""COMPUTED_VALUE"""),"Category")</f>
        <v>Category</v>
      </c>
      <c r="T1086" s="6"/>
      <c r="U1086" s="6"/>
      <c r="V1086" s="6"/>
      <c r="W1086" s="6"/>
      <c r="X1086" s="6"/>
      <c r="Y1086" s="6"/>
      <c r="Z1086" s="6"/>
      <c r="AA1086" s="6"/>
      <c r="AB1086" s="6"/>
      <c r="AC1086" s="6"/>
      <c r="AD1086" s="6"/>
      <c r="AE1086" s="6"/>
      <c r="AF1086" s="6"/>
      <c r="AG1086" s="6"/>
      <c r="AH1086" s="6"/>
      <c r="AI1086" s="6"/>
      <c r="AJ1086" s="6"/>
      <c r="AK1086" s="6"/>
      <c r="AL1086" s="6"/>
    </row>
    <row r="1087" spans="1:38">
      <c r="A1087" s="96">
        <f ca="1">IFERROR(__xludf.DUMMYFUNCTION("""COMPUTED_VALUE"""),44728)</f>
        <v>44728</v>
      </c>
      <c r="B1087" s="6" t="str">
        <f ca="1">IFERROR(__xludf.DUMMYFUNCTION("""COMPUTED_VALUE"""),"Deepak N")</f>
        <v>Deepak N</v>
      </c>
      <c r="C1087" s="6" t="str">
        <f ca="1">IFERROR(__xludf.DUMMYFUNCTION("""COMPUTED_VALUE"""),"deepak5853@gmail.com")</f>
        <v>deepak5853@gmail.com</v>
      </c>
      <c r="D1087" s="6">
        <f ca="1">IFERROR(__xludf.DUMMYFUNCTION("""COMPUTED_VALUE"""),9176299699)</f>
        <v>9176299699</v>
      </c>
      <c r="E1087" s="6" t="str">
        <f ca="1">IFERROR(__xludf.DUMMYFUNCTION("""COMPUTED_VALUE"""),"course agenda")</f>
        <v>course agenda</v>
      </c>
      <c r="F1087" s="6" t="str">
        <f ca="1">IFERROR(__xludf.DUMMYFUNCTION("""COMPUTED_VALUE"""),"PSPO")</f>
        <v>PSPO</v>
      </c>
      <c r="G1087" s="80">
        <f ca="1">IFERROR(__xludf.DUMMYFUNCTION("""COMPUTED_VALUE"""),44713)</f>
        <v>44713</v>
      </c>
      <c r="H1087" s="6" t="str">
        <f ca="1">IFERROR(__xludf.DUMMYFUNCTION("""COMPUTED_VALUE"""),"Won")</f>
        <v>Won</v>
      </c>
      <c r="I1087" s="6" t="str">
        <f ca="1">IFERROR(__xludf.DUMMYFUNCTION("""COMPUTED_VALUE"""),"18-19 June 2022")</f>
        <v>18-19 June 2022</v>
      </c>
      <c r="J1087" s="6">
        <f ca="1">IFERROR(__xludf.DUMMYFUNCTION("""COMPUTED_VALUE"""),1)</f>
        <v>1</v>
      </c>
      <c r="K1087" s="8">
        <f ca="1">IFERROR(__xludf.DUMMYFUNCTION("""COMPUTED_VALUE"""),21000)</f>
        <v>21000</v>
      </c>
      <c r="L1087" s="8">
        <f ca="1">IFERROR(__xludf.DUMMYFUNCTION("""COMPUTED_VALUE"""),240.494732020155)</f>
        <v>240.494732020155</v>
      </c>
      <c r="M1087" s="96">
        <f ca="1">IFERROR(__xludf.DUMMYFUNCTION("""COMPUTED_VALUE"""),44728)</f>
        <v>44728</v>
      </c>
      <c r="N1087" s="6" t="str">
        <f ca="1">IFERROR(__xludf.DUMMYFUNCTION("""COMPUTED_VALUE"""),"S10")</f>
        <v>S10</v>
      </c>
      <c r="O1087" s="97">
        <f ca="1">IFERROR(__xludf.DUMMYFUNCTION("""COMPUTED_VALUE"""),44728)</f>
        <v>44728</v>
      </c>
      <c r="P1087" s="6" t="str">
        <f ca="1">IFERROR(__xludf.DUMMYFUNCTION("""COMPUTED_VALUE"""),"CSTM_4VFVCWAONSH")</f>
        <v>CSTM_4VFVCWAONSH</v>
      </c>
      <c r="Q1087" s="6"/>
      <c r="R1087" s="6" t="str">
        <f ca="1">IFERROR(__xludf.DUMMYFUNCTION("""COMPUTED_VALUE"""),"Done. Good feedback.")</f>
        <v>Done. Good feedback.</v>
      </c>
      <c r="S1087" s="6" t="str">
        <f ca="1">IFERROR(__xludf.DUMMYFUNCTION("""COMPUTED_VALUE"""),"Category")</f>
        <v>Category</v>
      </c>
      <c r="T1087" s="6"/>
      <c r="U1087" s="6"/>
      <c r="V1087" s="6"/>
      <c r="W1087" s="6"/>
      <c r="X1087" s="6"/>
      <c r="Y1087" s="6"/>
      <c r="Z1087" s="6"/>
      <c r="AA1087" s="6"/>
      <c r="AB1087" s="6"/>
      <c r="AC1087" s="6"/>
      <c r="AD1087" s="6"/>
      <c r="AE1087" s="6"/>
      <c r="AF1087" s="6"/>
      <c r="AG1087" s="6"/>
      <c r="AH1087" s="6"/>
      <c r="AI1087" s="6"/>
      <c r="AJ1087" s="6"/>
      <c r="AK1087" s="6"/>
      <c r="AL1087" s="6"/>
    </row>
    <row r="1088" spans="1:38">
      <c r="A1088" s="96">
        <f ca="1">IFERROR(__xludf.DUMMYFUNCTION("""COMPUTED_VALUE"""),44728)</f>
        <v>44728</v>
      </c>
      <c r="B1088" s="6" t="str">
        <f ca="1">IFERROR(__xludf.DUMMYFUNCTION("""COMPUTED_VALUE"""),"Vicky Kukreja")</f>
        <v>Vicky Kukreja</v>
      </c>
      <c r="C1088" s="6" t="str">
        <f ca="1">IFERROR(__xludf.DUMMYFUNCTION("""COMPUTED_VALUE"""),"vickykukreja9028@gmail.com")</f>
        <v>vickykukreja9028@gmail.com</v>
      </c>
      <c r="D1088" s="6">
        <f ca="1">IFERROR(__xludf.DUMMYFUNCTION("""COMPUTED_VALUE"""),9028998081)</f>
        <v>9028998081</v>
      </c>
      <c r="E1088" s="6" t="str">
        <f ca="1">IFERROR(__xludf.DUMMYFUNCTION("""COMPUTED_VALUE"""),"Reference")</f>
        <v>Reference</v>
      </c>
      <c r="F1088" s="6" t="str">
        <f ca="1">IFERROR(__xludf.DUMMYFUNCTION("""COMPUTED_VALUE"""),"PSM")</f>
        <v>PSM</v>
      </c>
      <c r="G1088" s="80">
        <f ca="1">IFERROR(__xludf.DUMMYFUNCTION("""COMPUTED_VALUE"""),44713)</f>
        <v>44713</v>
      </c>
      <c r="H1088" s="6" t="str">
        <f ca="1">IFERROR(__xludf.DUMMYFUNCTION("""COMPUTED_VALUE"""),"Won")</f>
        <v>Won</v>
      </c>
      <c r="I1088" s="6" t="str">
        <f ca="1">IFERROR(__xludf.DUMMYFUNCTION("""COMPUTED_VALUE"""),"18-19 June 2022")</f>
        <v>18-19 June 2022</v>
      </c>
      <c r="J1088" s="6">
        <f ca="1">IFERROR(__xludf.DUMMYFUNCTION("""COMPUTED_VALUE"""),1)</f>
        <v>1</v>
      </c>
      <c r="K1088" s="8">
        <f ca="1">IFERROR(__xludf.DUMMYFUNCTION("""COMPUTED_VALUE"""),21000)</f>
        <v>21000</v>
      </c>
      <c r="L1088" s="8">
        <f ca="1">IFERROR(__xludf.DUMMYFUNCTION("""COMPUTED_VALUE"""),240.494732020155)</f>
        <v>240.494732020155</v>
      </c>
      <c r="M1088" s="96">
        <f ca="1">IFERROR(__xludf.DUMMYFUNCTION("""COMPUTED_VALUE"""),44728)</f>
        <v>44728</v>
      </c>
      <c r="N1088" s="6" t="str">
        <f ca="1">IFERROR(__xludf.DUMMYFUNCTION("""COMPUTED_VALUE"""),"S10")</f>
        <v>S10</v>
      </c>
      <c r="O1088" s="97">
        <f ca="1">IFERROR(__xludf.DUMMYFUNCTION("""COMPUTED_VALUE"""),44728)</f>
        <v>44728</v>
      </c>
      <c r="P1088" s="6" t="str">
        <f ca="1">IFERROR(__xludf.DUMMYFUNCTION("""COMPUTED_VALUE"""),"CSTM_6XABF4JNQPG")</f>
        <v>CSTM_6XABF4JNQPG</v>
      </c>
      <c r="Q1088" s="6" t="str">
        <f ca="1">IFERROR(__xludf.DUMMYFUNCTION("""COMPUTED_VALUE"""),"Reference by neelamrajput06@gmail.com")</f>
        <v>Reference by neelamrajput06@gmail.com</v>
      </c>
      <c r="R1088" s="6" t="str">
        <f ca="1">IFERROR(__xludf.DUMMYFUNCTION("""COMPUTED_VALUE"""),"Done. Good feedback.")</f>
        <v>Done. Good feedback.</v>
      </c>
      <c r="S1088" s="6" t="str">
        <f ca="1">IFERROR(__xludf.DUMMYFUNCTION("""COMPUTED_VALUE"""),"Category")</f>
        <v>Category</v>
      </c>
      <c r="T1088" s="6"/>
      <c r="U1088" s="6"/>
      <c r="V1088" s="6"/>
      <c r="W1088" s="6"/>
      <c r="X1088" s="6"/>
      <c r="Y1088" s="6"/>
      <c r="Z1088" s="6"/>
      <c r="AA1088" s="6"/>
      <c r="AB1088" s="6"/>
      <c r="AC1088" s="6"/>
      <c r="AD1088" s="6"/>
      <c r="AE1088" s="6"/>
      <c r="AF1088" s="6"/>
      <c r="AG1088" s="6"/>
      <c r="AH1088" s="6"/>
      <c r="AI1088" s="6"/>
      <c r="AJ1088" s="6"/>
      <c r="AK1088" s="6"/>
      <c r="AL1088" s="6"/>
    </row>
    <row r="1089" spans="1:38">
      <c r="A1089" s="96">
        <f ca="1">IFERROR(__xludf.DUMMYFUNCTION("""COMPUTED_VALUE"""),44728)</f>
        <v>44728</v>
      </c>
      <c r="B1089" s="6" t="str">
        <f ca="1">IFERROR(__xludf.DUMMYFUNCTION("""COMPUTED_VALUE"""),"Deepanshu Dheer")</f>
        <v>Deepanshu Dheer</v>
      </c>
      <c r="C1089" s="6" t="str">
        <f ca="1">IFERROR(__xludf.DUMMYFUNCTION("""COMPUTED_VALUE"""),"deepanshu.dheer92@gmail.com")</f>
        <v>deepanshu.dheer92@gmail.com</v>
      </c>
      <c r="D1089" s="6">
        <f ca="1">IFERROR(__xludf.DUMMYFUNCTION("""COMPUTED_VALUE"""),9982230203)</f>
        <v>9982230203</v>
      </c>
      <c r="E1089" s="6" t="str">
        <f ca="1">IFERROR(__xludf.DUMMYFUNCTION("""COMPUTED_VALUE"""),"Reference")</f>
        <v>Reference</v>
      </c>
      <c r="F1089" s="6" t="str">
        <f ca="1">IFERROR(__xludf.DUMMYFUNCTION("""COMPUTED_VALUE"""),"SAFe POPM")</f>
        <v>SAFe POPM</v>
      </c>
      <c r="G1089" s="80">
        <f ca="1">IFERROR(__xludf.DUMMYFUNCTION("""COMPUTED_VALUE"""),44713)</f>
        <v>44713</v>
      </c>
      <c r="H1089" s="6" t="str">
        <f ca="1">IFERROR(__xludf.DUMMYFUNCTION("""COMPUTED_VALUE"""),"Won")</f>
        <v>Won</v>
      </c>
      <c r="I1089" s="6" t="str">
        <f ca="1">IFERROR(__xludf.DUMMYFUNCTION("""COMPUTED_VALUE"""),"18-19 June 2022")</f>
        <v>18-19 June 2022</v>
      </c>
      <c r="J1089" s="6">
        <f ca="1">IFERROR(__xludf.DUMMYFUNCTION("""COMPUTED_VALUE"""),1)</f>
        <v>1</v>
      </c>
      <c r="K1089" s="8">
        <f ca="1">IFERROR(__xludf.DUMMYFUNCTION("""COMPUTED_VALUE"""),40061)</f>
        <v>40061</v>
      </c>
      <c r="L1089" s="8">
        <f ca="1">IFERROR(__xludf.DUMMYFUNCTION("""COMPUTED_VALUE"""),458.783783783783)</f>
        <v>458.78378378378301</v>
      </c>
      <c r="M1089" s="96">
        <f ca="1">IFERROR(__xludf.DUMMYFUNCTION("""COMPUTED_VALUE"""),44728)</f>
        <v>44728</v>
      </c>
      <c r="N1089" s="6" t="str">
        <f ca="1">IFERROR(__xludf.DUMMYFUNCTION("""COMPUTED_VALUE"""),"S10")</f>
        <v>S10</v>
      </c>
      <c r="O1089" s="97">
        <f ca="1">IFERROR(__xludf.DUMMYFUNCTION("""COMPUTED_VALUE"""),44728)</f>
        <v>44728</v>
      </c>
      <c r="P1089" s="6" t="str">
        <f ca="1">IFERROR(__xludf.DUMMYFUNCTION("""COMPUTED_VALUE"""),"CSTM_2W6KNN17I66")</f>
        <v>CSTM_2W6KNN17I66</v>
      </c>
      <c r="Q1089" s="6" t="str">
        <f ca="1">IFERROR(__xludf.DUMMYFUNCTION("""COMPUTED_VALUE"""),"Pragya K - Pending")</f>
        <v>Pragya K - Pending</v>
      </c>
      <c r="R1089" s="6" t="str">
        <f ca="1">IFERROR(__xludf.DUMMYFUNCTION("""COMPUTED_VALUE"""),"Done. Good feedback.")</f>
        <v>Done. Good feedback.</v>
      </c>
      <c r="S1089" s="6" t="str">
        <f ca="1">IFERROR(__xludf.DUMMYFUNCTION("""COMPUTED_VALUE"""),"SAFe")</f>
        <v>SAFe</v>
      </c>
      <c r="T1089" s="6" t="str">
        <f ca="1">IFERROR(__xludf.DUMMYFUNCTION("""COMPUTED_VALUE"""),"Pragya K - Pending")</f>
        <v>Pragya K - Pending</v>
      </c>
      <c r="U1089" s="6"/>
      <c r="V1089" s="6"/>
      <c r="W1089" s="6"/>
      <c r="X1089" s="6"/>
      <c r="Y1089" s="6"/>
      <c r="Z1089" s="6"/>
      <c r="AA1089" s="6"/>
      <c r="AB1089" s="6"/>
      <c r="AC1089" s="6"/>
      <c r="AD1089" s="6"/>
      <c r="AE1089" s="6"/>
      <c r="AF1089" s="6"/>
      <c r="AG1089" s="6"/>
      <c r="AH1089" s="6"/>
      <c r="AI1089" s="6"/>
      <c r="AJ1089" s="6"/>
      <c r="AK1089" s="6"/>
      <c r="AL1089" s="6"/>
    </row>
    <row r="1090" spans="1:38">
      <c r="A1090" s="96">
        <f ca="1">IFERROR(__xludf.DUMMYFUNCTION("""COMPUTED_VALUE"""),44729)</f>
        <v>44729</v>
      </c>
      <c r="B1090" s="6" t="str">
        <f ca="1">IFERROR(__xludf.DUMMYFUNCTION("""COMPUTED_VALUE"""),"Chandra Reddy")</f>
        <v>Chandra Reddy</v>
      </c>
      <c r="C1090" s="6" t="str">
        <f ca="1">IFERROR(__xludf.DUMMYFUNCTION("""COMPUTED_VALUE"""),"b4u.chandra@gmail.com")</f>
        <v>b4u.chandra@gmail.com</v>
      </c>
      <c r="D1090" s="6">
        <f ca="1">IFERROR(__xludf.DUMMYFUNCTION("""COMPUTED_VALUE"""),9642867788)</f>
        <v>9642867788</v>
      </c>
      <c r="E1090" s="6" t="str">
        <f ca="1">IFERROR(__xludf.DUMMYFUNCTION("""COMPUTED_VALUE"""),"chat_initiated")</f>
        <v>chat_initiated</v>
      </c>
      <c r="F1090" s="6" t="str">
        <f ca="1">IFERROR(__xludf.DUMMYFUNCTION("""COMPUTED_VALUE"""),"SAFe Agile")</f>
        <v>SAFe Agile</v>
      </c>
      <c r="G1090" s="80">
        <f ca="1">IFERROR(__xludf.DUMMYFUNCTION("""COMPUTED_VALUE"""),44713)</f>
        <v>44713</v>
      </c>
      <c r="H1090" s="6" t="str">
        <f ca="1">IFERROR(__xludf.DUMMYFUNCTION("""COMPUTED_VALUE"""),"Won")</f>
        <v>Won</v>
      </c>
      <c r="I1090" s="6" t="str">
        <f ca="1">IFERROR(__xludf.DUMMYFUNCTION("""COMPUTED_VALUE"""),"18-19 June 2022")</f>
        <v>18-19 June 2022</v>
      </c>
      <c r="J1090" s="6">
        <f ca="1">IFERROR(__xludf.DUMMYFUNCTION("""COMPUTED_VALUE"""),1)</f>
        <v>1</v>
      </c>
      <c r="K1090" s="8">
        <f ca="1">IFERROR(__xludf.DUMMYFUNCTION("""COMPUTED_VALUE"""),40061)</f>
        <v>40061</v>
      </c>
      <c r="L1090" s="8">
        <f ca="1">IFERROR(__xludf.DUMMYFUNCTION("""COMPUTED_VALUE"""),458.783783783783)</f>
        <v>458.78378378378301</v>
      </c>
      <c r="M1090" s="96">
        <f ca="1">IFERROR(__xludf.DUMMYFUNCTION("""COMPUTED_VALUE"""),44729)</f>
        <v>44729</v>
      </c>
      <c r="N1090" s="6" t="str">
        <f ca="1">IFERROR(__xludf.DUMMYFUNCTION("""COMPUTED_VALUE"""),"S10")</f>
        <v>S10</v>
      </c>
      <c r="O1090" s="97">
        <f ca="1">IFERROR(__xludf.DUMMYFUNCTION("""COMPUTED_VALUE"""),44729)</f>
        <v>44729</v>
      </c>
      <c r="P1090" s="6" t="str">
        <f ca="1">IFERROR(__xludf.DUMMYFUNCTION("""COMPUTED_VALUE"""),"CSTM_2MIJ5LKK87S")</f>
        <v>CSTM_2MIJ5LKK87S</v>
      </c>
      <c r="Q1090" s="6"/>
      <c r="R1090" s="6" t="str">
        <f ca="1">IFERROR(__xludf.DUMMYFUNCTION("""COMPUTED_VALUE"""),"Done. Good feedback.")</f>
        <v>Done. Good feedback.</v>
      </c>
      <c r="S1090" s="6" t="str">
        <f ca="1">IFERROR(__xludf.DUMMYFUNCTION("""COMPUTED_VALUE"""),"SAFe")</f>
        <v>SAFe</v>
      </c>
      <c r="T1090" s="6"/>
      <c r="U1090" s="6"/>
      <c r="V1090" s="6"/>
      <c r="W1090" s="6"/>
      <c r="X1090" s="6"/>
      <c r="Y1090" s="6"/>
      <c r="Z1090" s="6"/>
      <c r="AA1090" s="6"/>
      <c r="AB1090" s="6"/>
      <c r="AC1090" s="6"/>
      <c r="AD1090" s="6"/>
      <c r="AE1090" s="6"/>
      <c r="AF1090" s="6"/>
      <c r="AG1090" s="6"/>
      <c r="AH1090" s="6"/>
      <c r="AI1090" s="6"/>
      <c r="AJ1090" s="6"/>
      <c r="AK1090" s="6"/>
      <c r="AL1090" s="6"/>
    </row>
    <row r="1091" spans="1:38">
      <c r="A1091" s="96">
        <f ca="1">IFERROR(__xludf.DUMMYFUNCTION("""COMPUTED_VALUE"""),44729)</f>
        <v>44729</v>
      </c>
      <c r="B1091" s="6" t="str">
        <f ca="1">IFERROR(__xludf.DUMMYFUNCTION("""COMPUTED_VALUE"""),"Karthi Sudar")</f>
        <v>Karthi Sudar</v>
      </c>
      <c r="C1091" s="6" t="str">
        <f ca="1">IFERROR(__xludf.DUMMYFUNCTION("""COMPUTED_VALUE"""),"karthisudar@gmail.com")</f>
        <v>karthisudar@gmail.com</v>
      </c>
      <c r="D1091" s="6">
        <f ca="1">IFERROR(__xludf.DUMMYFUNCTION("""COMPUTED_VALUE"""),9944851660)</f>
        <v>9944851660</v>
      </c>
      <c r="E1091" s="6" t="str">
        <f ca="1">IFERROR(__xludf.DUMMYFUNCTION("""COMPUTED_VALUE"""),"Existing Account")</f>
        <v>Existing Account</v>
      </c>
      <c r="F1091" s="6" t="str">
        <f ca="1">IFERROR(__xludf.DUMMYFUNCTION("""COMPUTED_VALUE"""),"CEH")</f>
        <v>CEH</v>
      </c>
      <c r="G1091" s="80">
        <f ca="1">IFERROR(__xludf.DUMMYFUNCTION("""COMPUTED_VALUE"""),44713)</f>
        <v>44713</v>
      </c>
      <c r="H1091" s="6" t="str">
        <f ca="1">IFERROR(__xludf.DUMMYFUNCTION("""COMPUTED_VALUE"""),"Won")</f>
        <v>Won</v>
      </c>
      <c r="I1091" s="6" t="str">
        <f ca="1">IFERROR(__xludf.DUMMYFUNCTION("""COMPUTED_VALUE"""),"18 June 2022")</f>
        <v>18 June 2022</v>
      </c>
      <c r="J1091" s="6">
        <f ca="1">IFERROR(__xludf.DUMMYFUNCTION("""COMPUTED_VALUE"""),1)</f>
        <v>1</v>
      </c>
      <c r="K1091" s="8">
        <f ca="1">IFERROR(__xludf.DUMMYFUNCTION("""COMPUTED_VALUE"""),36000)</f>
        <v>36000</v>
      </c>
      <c r="L1091" s="8">
        <f ca="1">IFERROR(__xludf.DUMMYFUNCTION("""COMPUTED_VALUE"""),412.276683463124)</f>
        <v>412.27668346312402</v>
      </c>
      <c r="M1091" s="96">
        <f ca="1">IFERROR(__xludf.DUMMYFUNCTION("""COMPUTED_VALUE"""),44729)</f>
        <v>44729</v>
      </c>
      <c r="N1091" s="6" t="str">
        <f ca="1">IFERROR(__xludf.DUMMYFUNCTION("""COMPUTED_VALUE"""),"S10")</f>
        <v>S10</v>
      </c>
      <c r="O1091" s="97">
        <f ca="1">IFERROR(__xludf.DUMMYFUNCTION("""COMPUTED_VALUE"""),44729)</f>
        <v>44729</v>
      </c>
      <c r="P1091" s="6" t="str">
        <f ca="1">IFERROR(__xludf.DUMMYFUNCTION("""COMPUTED_VALUE"""),"CSTM_5URZVLBQD7U")</f>
        <v>CSTM_5URZVLBQD7U</v>
      </c>
      <c r="Q1091" s="6"/>
      <c r="R1091" s="6" t="str">
        <f ca="1">IFERROR(__xludf.DUMMYFUNCTION("""COMPUTED_VALUE"""),"Pending")</f>
        <v>Pending</v>
      </c>
      <c r="S1091" s="6" t="str">
        <f ca="1">IFERROR(__xludf.DUMMYFUNCTION("""COMPUTED_VALUE"""),"NonCategory")</f>
        <v>NonCategory</v>
      </c>
      <c r="T1091" s="6"/>
      <c r="U1091" s="6"/>
      <c r="V1091" s="6"/>
      <c r="W1091" s="6"/>
      <c r="X1091" s="6"/>
      <c r="Y1091" s="6"/>
      <c r="Z1091" s="6"/>
      <c r="AA1091" s="6"/>
      <c r="AB1091" s="6"/>
      <c r="AC1091" s="6"/>
      <c r="AD1091" s="6"/>
      <c r="AE1091" s="6"/>
      <c r="AF1091" s="6"/>
      <c r="AG1091" s="6"/>
      <c r="AH1091" s="6"/>
      <c r="AI1091" s="6"/>
      <c r="AJ1091" s="6"/>
      <c r="AK1091" s="6"/>
      <c r="AL1091" s="6"/>
    </row>
    <row r="1092" spans="1:38">
      <c r="A1092" s="96">
        <f ca="1">IFERROR(__xludf.DUMMYFUNCTION("""COMPUTED_VALUE"""),44731)</f>
        <v>44731</v>
      </c>
      <c r="B1092" s="6" t="str">
        <f ca="1">IFERROR(__xludf.DUMMYFUNCTION("""COMPUTED_VALUE"""),"Tripti Jadli")</f>
        <v>Tripti Jadli</v>
      </c>
      <c r="C1092" s="6" t="str">
        <f ca="1">IFERROR(__xludf.DUMMYFUNCTION("""COMPUTED_VALUE"""),"triptijadli91@gmail.com")</f>
        <v>triptijadli91@gmail.com</v>
      </c>
      <c r="D1092" s="6">
        <f ca="1">IFERROR(__xludf.DUMMYFUNCTION("""COMPUTED_VALUE"""),9873482884)</f>
        <v>9873482884</v>
      </c>
      <c r="E1092" s="6" t="str">
        <f ca="1">IFERROR(__xludf.DUMMYFUNCTION("""COMPUTED_VALUE"""),"Query box")</f>
        <v>Query box</v>
      </c>
      <c r="F1092" s="6" t="str">
        <f ca="1">IFERROR(__xludf.DUMMYFUNCTION("""COMPUTED_VALUE"""),"PSPO")</f>
        <v>PSPO</v>
      </c>
      <c r="G1092" s="80">
        <f ca="1">IFERROR(__xludf.DUMMYFUNCTION("""COMPUTED_VALUE"""),44713)</f>
        <v>44713</v>
      </c>
      <c r="H1092" s="6" t="str">
        <f ca="1">IFERROR(__xludf.DUMMYFUNCTION("""COMPUTED_VALUE"""),"Won")</f>
        <v>Won</v>
      </c>
      <c r="I1092" s="6" t="str">
        <f ca="1">IFERROR(__xludf.DUMMYFUNCTION("""COMPUTED_VALUE"""),"25-26 June 2022")</f>
        <v>25-26 June 2022</v>
      </c>
      <c r="J1092" s="6">
        <f ca="1">IFERROR(__xludf.DUMMYFUNCTION("""COMPUTED_VALUE"""),1)</f>
        <v>1</v>
      </c>
      <c r="K1092" s="8">
        <f ca="1">IFERROR(__xludf.DUMMYFUNCTION("""COMPUTED_VALUE"""),21000)</f>
        <v>21000</v>
      </c>
      <c r="L1092" s="8">
        <f ca="1">IFERROR(__xludf.DUMMYFUNCTION("""COMPUTED_VALUE"""),240.494732020155)</f>
        <v>240.494732020155</v>
      </c>
      <c r="M1092" s="96">
        <f ca="1">IFERROR(__xludf.DUMMYFUNCTION("""COMPUTED_VALUE"""),44731)</f>
        <v>44731</v>
      </c>
      <c r="N1092" s="6" t="str">
        <f ca="1">IFERROR(__xludf.DUMMYFUNCTION("""COMPUTED_VALUE"""),"S10")</f>
        <v>S10</v>
      </c>
      <c r="O1092" s="97">
        <f ca="1">IFERROR(__xludf.DUMMYFUNCTION("""COMPUTED_VALUE"""),44731)</f>
        <v>44731</v>
      </c>
      <c r="P1092" s="6" t="str">
        <f ca="1">IFERROR(__xludf.DUMMYFUNCTION("""COMPUTED_VALUE"""),"CSTM_5X95D4Q3A6")</f>
        <v>CSTM_5X95D4Q3A6</v>
      </c>
      <c r="Q1092" s="6"/>
      <c r="R1092" s="6" t="str">
        <f ca="1">IFERROR(__xludf.DUMMYFUNCTION("""COMPUTED_VALUE"""),"Done. Good feedback.")</f>
        <v>Done. Good feedback.</v>
      </c>
      <c r="S1092" s="6" t="str">
        <f ca="1">IFERROR(__xludf.DUMMYFUNCTION("""COMPUTED_VALUE"""),"Category")</f>
        <v>Category</v>
      </c>
      <c r="T1092" s="6"/>
      <c r="U1092" s="6"/>
      <c r="V1092" s="6"/>
      <c r="W1092" s="6"/>
      <c r="X1092" s="6"/>
      <c r="Y1092" s="6"/>
      <c r="Z1092" s="6"/>
      <c r="AA1092" s="6"/>
      <c r="AB1092" s="6"/>
      <c r="AC1092" s="6"/>
      <c r="AD1092" s="6"/>
      <c r="AE1092" s="6"/>
      <c r="AF1092" s="6"/>
      <c r="AG1092" s="6"/>
      <c r="AH1092" s="6"/>
      <c r="AI1092" s="6"/>
      <c r="AJ1092" s="6"/>
      <c r="AK1092" s="6"/>
      <c r="AL1092" s="6"/>
    </row>
    <row r="1093" spans="1:38">
      <c r="A1093" s="96">
        <f ca="1">IFERROR(__xludf.DUMMYFUNCTION("""COMPUTED_VALUE"""),44732)</f>
        <v>44732</v>
      </c>
      <c r="B1093" s="6" t="str">
        <f ca="1">IFERROR(__xludf.DUMMYFUNCTION("""COMPUTED_VALUE"""),"Reena Verma")</f>
        <v>Reena Verma</v>
      </c>
      <c r="C1093" s="6" t="str">
        <f ca="1">IFERROR(__xludf.DUMMYFUNCTION("""COMPUTED_VALUE"""),"vermareena@yahoo.com")</f>
        <v>vermareena@yahoo.com</v>
      </c>
      <c r="D1093" s="6">
        <f ca="1">IFERROR(__xludf.DUMMYFUNCTION("""COMPUTED_VALUE"""),9871197047)</f>
        <v>9871197047</v>
      </c>
      <c r="E1093" s="6" t="str">
        <f ca="1">IFERROR(__xludf.DUMMYFUNCTION("""COMPUTED_VALUE"""),"chat_initiated")</f>
        <v>chat_initiated</v>
      </c>
      <c r="F1093" s="6" t="str">
        <f ca="1">IFERROR(__xludf.DUMMYFUNCTION("""COMPUTED_VALUE"""),"SAFe Agile")</f>
        <v>SAFe Agile</v>
      </c>
      <c r="G1093" s="80">
        <f ca="1">IFERROR(__xludf.DUMMYFUNCTION("""COMPUTED_VALUE"""),44713)</f>
        <v>44713</v>
      </c>
      <c r="H1093" s="6" t="str">
        <f ca="1">IFERROR(__xludf.DUMMYFUNCTION("""COMPUTED_VALUE"""),"Won")</f>
        <v>Won</v>
      </c>
      <c r="I1093" s="6" t="str">
        <f ca="1">IFERROR(__xludf.DUMMYFUNCTION("""COMPUTED_VALUE"""),"25-26 June 2022")</f>
        <v>25-26 June 2022</v>
      </c>
      <c r="J1093" s="6">
        <f ca="1">IFERROR(__xludf.DUMMYFUNCTION("""COMPUTED_VALUE"""),1)</f>
        <v>1</v>
      </c>
      <c r="K1093" s="8">
        <f ca="1">IFERROR(__xludf.DUMMYFUNCTION("""COMPUTED_VALUE"""),42000)</f>
        <v>42000</v>
      </c>
      <c r="L1093" s="8">
        <f ca="1">IFERROR(__xludf.DUMMYFUNCTION("""COMPUTED_VALUE"""),480.989464040311)</f>
        <v>480.98946404031102</v>
      </c>
      <c r="M1093" s="96">
        <f ca="1">IFERROR(__xludf.DUMMYFUNCTION("""COMPUTED_VALUE"""),44732)</f>
        <v>44732</v>
      </c>
      <c r="N1093" s="6" t="str">
        <f ca="1">IFERROR(__xludf.DUMMYFUNCTION("""COMPUTED_VALUE"""),"S10")</f>
        <v>S10</v>
      </c>
      <c r="O1093" s="97">
        <f ca="1">IFERROR(__xludf.DUMMYFUNCTION("""COMPUTED_VALUE"""),44732)</f>
        <v>44732</v>
      </c>
      <c r="P1093" s="6" t="str">
        <f ca="1">IFERROR(__xludf.DUMMYFUNCTION("""COMPUTED_VALUE"""),"CSTM_9PFGCA2FCTJ")</f>
        <v>CSTM_9PFGCA2FCTJ</v>
      </c>
      <c r="Q1093" s="6"/>
      <c r="R1093" s="6" t="str">
        <f ca="1">IFERROR(__xludf.DUMMYFUNCTION("""COMPUTED_VALUE"""),"Done. Good feedback.")</f>
        <v>Done. Good feedback.</v>
      </c>
      <c r="S1093" s="6" t="str">
        <f ca="1">IFERROR(__xludf.DUMMYFUNCTION("""COMPUTED_VALUE"""),"SAFe")</f>
        <v>SAFe</v>
      </c>
      <c r="T1093" s="6"/>
      <c r="U1093" s="6"/>
      <c r="V1093" s="6"/>
      <c r="W1093" s="6"/>
      <c r="X1093" s="6"/>
      <c r="Y1093" s="6"/>
      <c r="Z1093" s="6"/>
      <c r="AA1093" s="6"/>
      <c r="AB1093" s="6"/>
      <c r="AC1093" s="6"/>
      <c r="AD1093" s="6"/>
      <c r="AE1093" s="6"/>
      <c r="AF1093" s="6"/>
      <c r="AG1093" s="6"/>
      <c r="AH1093" s="6"/>
      <c r="AI1093" s="6"/>
      <c r="AJ1093" s="6"/>
      <c r="AK1093" s="6"/>
      <c r="AL1093" s="6"/>
    </row>
    <row r="1094" spans="1:38">
      <c r="A1094" s="96">
        <f ca="1">IFERROR(__xludf.DUMMYFUNCTION("""COMPUTED_VALUE"""),44732)</f>
        <v>44732</v>
      </c>
      <c r="B1094" s="6" t="str">
        <f ca="1">IFERROR(__xludf.DUMMYFUNCTION("""COMPUTED_VALUE"""),"Navaneetham")</f>
        <v>Navaneetham</v>
      </c>
      <c r="C1094" s="6" t="str">
        <f ca="1">IFERROR(__xludf.DUMMYFUNCTION("""COMPUTED_VALUE"""),"navaneetham.rk@hotmail.com")</f>
        <v>navaneetham.rk@hotmail.com</v>
      </c>
      <c r="D1094" s="6">
        <f ca="1">IFERROR(__xludf.DUMMYFUNCTION("""COMPUTED_VALUE"""),9591623401)</f>
        <v>9591623401</v>
      </c>
      <c r="E1094" s="6" t="str">
        <f ca="1">IFERROR(__xludf.DUMMYFUNCTION("""COMPUTED_VALUE"""),"chat_initiated")</f>
        <v>chat_initiated</v>
      </c>
      <c r="F1094" s="6" t="str">
        <f ca="1">IFERROR(__xludf.DUMMYFUNCTION("""COMPUTED_VALUE"""),"PSM")</f>
        <v>PSM</v>
      </c>
      <c r="G1094" s="80">
        <f ca="1">IFERROR(__xludf.DUMMYFUNCTION("""COMPUTED_VALUE"""),44713)</f>
        <v>44713</v>
      </c>
      <c r="H1094" s="6" t="str">
        <f ca="1">IFERROR(__xludf.DUMMYFUNCTION("""COMPUTED_VALUE"""),"Won")</f>
        <v>Won</v>
      </c>
      <c r="I1094" s="6" t="str">
        <f ca="1">IFERROR(__xludf.DUMMYFUNCTION("""COMPUTED_VALUE"""),"25-26 June 2022")</f>
        <v>25-26 June 2022</v>
      </c>
      <c r="J1094" s="6">
        <f ca="1">IFERROR(__xludf.DUMMYFUNCTION("""COMPUTED_VALUE"""),1)</f>
        <v>1</v>
      </c>
      <c r="K1094" s="8">
        <f ca="1">IFERROR(__xludf.DUMMYFUNCTION("""COMPUTED_VALUE"""),21000)</f>
        <v>21000</v>
      </c>
      <c r="L1094" s="8">
        <f ca="1">IFERROR(__xludf.DUMMYFUNCTION("""COMPUTED_VALUE"""),240.494732020155)</f>
        <v>240.494732020155</v>
      </c>
      <c r="M1094" s="96">
        <f ca="1">IFERROR(__xludf.DUMMYFUNCTION("""COMPUTED_VALUE"""),44732)</f>
        <v>44732</v>
      </c>
      <c r="N1094" s="6" t="str">
        <f ca="1">IFERROR(__xludf.DUMMYFUNCTION("""COMPUTED_VALUE"""),"S10")</f>
        <v>S10</v>
      </c>
      <c r="O1094" s="97">
        <f ca="1">IFERROR(__xludf.DUMMYFUNCTION("""COMPUTED_VALUE"""),44732)</f>
        <v>44732</v>
      </c>
      <c r="P1094" s="6" t="str">
        <f ca="1">IFERROR(__xludf.DUMMYFUNCTION("""COMPUTED_VALUE"""),"CSTM_3S53MEBHJ67")</f>
        <v>CSTM_3S53MEBHJ67</v>
      </c>
      <c r="Q1094" s="6"/>
      <c r="R1094" s="6" t="str">
        <f ca="1">IFERROR(__xludf.DUMMYFUNCTION("""COMPUTED_VALUE"""),"Pending")</f>
        <v>Pending</v>
      </c>
      <c r="S1094" s="6" t="str">
        <f ca="1">IFERROR(__xludf.DUMMYFUNCTION("""COMPUTED_VALUE"""),"Category")</f>
        <v>Category</v>
      </c>
      <c r="T1094" s="6"/>
      <c r="U1094" s="6"/>
      <c r="V1094" s="6"/>
      <c r="W1094" s="6"/>
      <c r="X1094" s="6"/>
      <c r="Y1094" s="6"/>
      <c r="Z1094" s="6"/>
      <c r="AA1094" s="6"/>
      <c r="AB1094" s="6"/>
      <c r="AC1094" s="6"/>
      <c r="AD1094" s="6"/>
      <c r="AE1094" s="6"/>
      <c r="AF1094" s="6"/>
      <c r="AG1094" s="6"/>
      <c r="AH1094" s="6"/>
      <c r="AI1094" s="6"/>
      <c r="AJ1094" s="6"/>
      <c r="AK1094" s="6"/>
      <c r="AL1094" s="6"/>
    </row>
    <row r="1095" spans="1:38">
      <c r="A1095" s="96">
        <f ca="1">IFERROR(__xludf.DUMMYFUNCTION("""COMPUTED_VALUE"""),44732)</f>
        <v>44732</v>
      </c>
      <c r="B1095" s="6" t="str">
        <f ca="1">IFERROR(__xludf.DUMMYFUNCTION("""COMPUTED_VALUE"""),"Arunanshu Pandey")</f>
        <v>Arunanshu Pandey</v>
      </c>
      <c r="C1095" s="6" t="str">
        <f ca="1">IFERROR(__xludf.DUMMYFUNCTION("""COMPUTED_VALUE"""),"arunanshu.pandey@zs.com")</f>
        <v>arunanshu.pandey@zs.com</v>
      </c>
      <c r="D1095" s="6">
        <f ca="1">IFERROR(__xludf.DUMMYFUNCTION("""COMPUTED_VALUE"""),1234567890)</f>
        <v>1234567890</v>
      </c>
      <c r="E1095" s="6" t="str">
        <f ca="1">IFERROR(__xludf.DUMMYFUNCTION("""COMPUTED_VALUE"""),"Reference")</f>
        <v>Reference</v>
      </c>
      <c r="F1095" s="6" t="str">
        <f ca="1">IFERROR(__xludf.DUMMYFUNCTION("""COMPUTED_VALUE"""),"SAFe POPM")</f>
        <v>SAFe POPM</v>
      </c>
      <c r="G1095" s="80">
        <f ca="1">IFERROR(__xludf.DUMMYFUNCTION("""COMPUTED_VALUE"""),44713)</f>
        <v>44713</v>
      </c>
      <c r="H1095" s="6" t="str">
        <f ca="1">IFERROR(__xludf.DUMMYFUNCTION("""COMPUTED_VALUE"""),"Won")</f>
        <v>Won</v>
      </c>
      <c r="I1095" s="6" t="str">
        <f ca="1">IFERROR(__xludf.DUMMYFUNCTION("""COMPUTED_VALUE"""),"4-5 July 2022")</f>
        <v>4-5 July 2022</v>
      </c>
      <c r="J1095" s="6">
        <f ca="1">IFERROR(__xludf.DUMMYFUNCTION("""COMPUTED_VALUE"""),1)</f>
        <v>1</v>
      </c>
      <c r="K1095" s="8">
        <f ca="1">IFERROR(__xludf.DUMMYFUNCTION("""COMPUTED_VALUE"""),40061)</f>
        <v>40061</v>
      </c>
      <c r="L1095" s="8">
        <f ca="1">IFERROR(__xludf.DUMMYFUNCTION("""COMPUTED_VALUE"""),458.783783783783)</f>
        <v>458.78378378378301</v>
      </c>
      <c r="M1095" s="96">
        <f ca="1">IFERROR(__xludf.DUMMYFUNCTION("""COMPUTED_VALUE"""),44732)</f>
        <v>44732</v>
      </c>
      <c r="N1095" s="6" t="str">
        <f ca="1">IFERROR(__xludf.DUMMYFUNCTION("""COMPUTED_VALUE"""),"S10")</f>
        <v>S10</v>
      </c>
      <c r="O1095" s="97">
        <f ca="1">IFERROR(__xludf.DUMMYFUNCTION("""COMPUTED_VALUE"""),44732)</f>
        <v>44732</v>
      </c>
      <c r="P1095" s="6" t="str">
        <f ca="1">IFERROR(__xludf.DUMMYFUNCTION("""COMPUTED_VALUE"""),"CSTM_3C5G4W6U21T")</f>
        <v>CSTM_3C5G4W6U21T</v>
      </c>
      <c r="Q1095" s="6" t="str">
        <f ca="1">IFERROR(__xludf.DUMMYFUNCTION("""COMPUTED_VALUE"""),"Reference by Mayura P Joshi")</f>
        <v>Reference by Mayura P Joshi</v>
      </c>
      <c r="R1095" s="6" t="str">
        <f ca="1">IFERROR(__xludf.DUMMYFUNCTION("""COMPUTED_VALUE"""),"Pending")</f>
        <v>Pending</v>
      </c>
      <c r="S1095" s="6" t="str">
        <f ca="1">IFERROR(__xludf.DUMMYFUNCTION("""COMPUTED_VALUE"""),"SAFe")</f>
        <v>SAFe</v>
      </c>
      <c r="T1095" s="6"/>
      <c r="U1095" s="6"/>
      <c r="V1095" s="6"/>
      <c r="W1095" s="6"/>
      <c r="X1095" s="6"/>
      <c r="Y1095" s="6"/>
      <c r="Z1095" s="6"/>
      <c r="AA1095" s="6"/>
      <c r="AB1095" s="6"/>
      <c r="AC1095" s="6"/>
      <c r="AD1095" s="6"/>
      <c r="AE1095" s="6"/>
      <c r="AF1095" s="6"/>
      <c r="AG1095" s="6"/>
      <c r="AH1095" s="6"/>
      <c r="AI1095" s="6"/>
      <c r="AJ1095" s="6"/>
      <c r="AK1095" s="6"/>
      <c r="AL1095" s="6"/>
    </row>
    <row r="1096" spans="1:38">
      <c r="A1096" s="96">
        <f ca="1">IFERROR(__xludf.DUMMYFUNCTION("""COMPUTED_VALUE"""),44732)</f>
        <v>44732</v>
      </c>
      <c r="B1096" s="6" t="str">
        <f ca="1">IFERROR(__xludf.DUMMYFUNCTION("""COMPUTED_VALUE"""),"Ritu Sharma")</f>
        <v>Ritu Sharma</v>
      </c>
      <c r="C1096" s="6" t="str">
        <f ca="1">IFERROR(__xludf.DUMMYFUNCTION("""COMPUTED_VALUE"""),"ritu.sharma@zs.com")</f>
        <v>ritu.sharma@zs.com</v>
      </c>
      <c r="D1096" s="6">
        <f ca="1">IFERROR(__xludf.DUMMYFUNCTION("""COMPUTED_VALUE"""),1234567890)</f>
        <v>1234567890</v>
      </c>
      <c r="E1096" s="6" t="str">
        <f ca="1">IFERROR(__xludf.DUMMYFUNCTION("""COMPUTED_VALUE"""),"Reference")</f>
        <v>Reference</v>
      </c>
      <c r="F1096" s="6" t="str">
        <f ca="1">IFERROR(__xludf.DUMMYFUNCTION("""COMPUTED_VALUE"""),"SAFe POPM")</f>
        <v>SAFe POPM</v>
      </c>
      <c r="G1096" s="80">
        <f ca="1">IFERROR(__xludf.DUMMYFUNCTION("""COMPUTED_VALUE"""),44713)</f>
        <v>44713</v>
      </c>
      <c r="H1096" s="6" t="str">
        <f ca="1">IFERROR(__xludf.DUMMYFUNCTION("""COMPUTED_VALUE"""),"Won")</f>
        <v>Won</v>
      </c>
      <c r="I1096" s="6" t="str">
        <f ca="1">IFERROR(__xludf.DUMMYFUNCTION("""COMPUTED_VALUE"""),"4-5 July 2022")</f>
        <v>4-5 July 2022</v>
      </c>
      <c r="J1096" s="6">
        <f ca="1">IFERROR(__xludf.DUMMYFUNCTION("""COMPUTED_VALUE"""),1)</f>
        <v>1</v>
      </c>
      <c r="K1096" s="8">
        <f ca="1">IFERROR(__xludf.DUMMYFUNCTION("""COMPUTED_VALUE"""),40061)</f>
        <v>40061</v>
      </c>
      <c r="L1096" s="8">
        <f ca="1">IFERROR(__xludf.DUMMYFUNCTION("""COMPUTED_VALUE"""),458.783783783783)</f>
        <v>458.78378378378301</v>
      </c>
      <c r="M1096" s="96">
        <f ca="1">IFERROR(__xludf.DUMMYFUNCTION("""COMPUTED_VALUE"""),44732)</f>
        <v>44732</v>
      </c>
      <c r="N1096" s="6" t="str">
        <f ca="1">IFERROR(__xludf.DUMMYFUNCTION("""COMPUTED_VALUE"""),"T10")</f>
        <v>T10</v>
      </c>
      <c r="O1096" s="97">
        <f ca="1">IFERROR(__xludf.DUMMYFUNCTION("""COMPUTED_VALUE"""),44733)</f>
        <v>44733</v>
      </c>
      <c r="P1096" s="6" t="str">
        <f ca="1">IFERROR(__xludf.DUMMYFUNCTION("""COMPUTED_VALUE"""),"CSTM_YD43SX7O48")</f>
        <v>CSTM_YD43SX7O48</v>
      </c>
      <c r="Q1096" s="6" t="str">
        <f ca="1">IFERROR(__xludf.DUMMYFUNCTION("""COMPUTED_VALUE"""),"Reference by Mayura P Joshi")</f>
        <v>Reference by Mayura P Joshi</v>
      </c>
      <c r="R1096" s="6" t="str">
        <f ca="1">IFERROR(__xludf.DUMMYFUNCTION("""COMPUTED_VALUE"""),"Pending")</f>
        <v>Pending</v>
      </c>
      <c r="S1096" s="6" t="str">
        <f ca="1">IFERROR(__xludf.DUMMYFUNCTION("""COMPUTED_VALUE"""),"SAFe")</f>
        <v>SAFe</v>
      </c>
      <c r="T1096" s="6"/>
      <c r="U1096" s="6"/>
      <c r="V1096" s="6"/>
      <c r="W1096" s="6"/>
      <c r="X1096" s="6"/>
      <c r="Y1096" s="6"/>
      <c r="Z1096" s="6"/>
      <c r="AA1096" s="6"/>
      <c r="AB1096" s="6"/>
      <c r="AC1096" s="6"/>
      <c r="AD1096" s="6"/>
      <c r="AE1096" s="6"/>
      <c r="AF1096" s="6"/>
      <c r="AG1096" s="6"/>
      <c r="AH1096" s="6"/>
      <c r="AI1096" s="6"/>
      <c r="AJ1096" s="6"/>
      <c r="AK1096" s="6"/>
      <c r="AL1096" s="6"/>
    </row>
    <row r="1097" spans="1:38">
      <c r="A1097" s="96">
        <f ca="1">IFERROR(__xludf.DUMMYFUNCTION("""COMPUTED_VALUE"""),44732)</f>
        <v>44732</v>
      </c>
      <c r="B1097" s="6" t="str">
        <f ca="1">IFERROR(__xludf.DUMMYFUNCTION("""COMPUTED_VALUE"""),"Aarish Gumber")</f>
        <v>Aarish Gumber</v>
      </c>
      <c r="C1097" s="6" t="str">
        <f ca="1">IFERROR(__xludf.DUMMYFUNCTION("""COMPUTED_VALUE"""),"aarish.gumber@zs.com")</f>
        <v>aarish.gumber@zs.com</v>
      </c>
      <c r="D1097" s="6">
        <f ca="1">IFERROR(__xludf.DUMMYFUNCTION("""COMPUTED_VALUE"""),1234567890)</f>
        <v>1234567890</v>
      </c>
      <c r="E1097" s="6" t="str">
        <f ca="1">IFERROR(__xludf.DUMMYFUNCTION("""COMPUTED_VALUE"""),"Reference")</f>
        <v>Reference</v>
      </c>
      <c r="F1097" s="6" t="str">
        <f ca="1">IFERROR(__xludf.DUMMYFUNCTION("""COMPUTED_VALUE"""),"SAFe POPM")</f>
        <v>SAFe POPM</v>
      </c>
      <c r="G1097" s="80">
        <f ca="1">IFERROR(__xludf.DUMMYFUNCTION("""COMPUTED_VALUE"""),44713)</f>
        <v>44713</v>
      </c>
      <c r="H1097" s="6" t="str">
        <f ca="1">IFERROR(__xludf.DUMMYFUNCTION("""COMPUTED_VALUE"""),"Won")</f>
        <v>Won</v>
      </c>
      <c r="I1097" s="6" t="str">
        <f ca="1">IFERROR(__xludf.DUMMYFUNCTION("""COMPUTED_VALUE"""),"4-5 July 2022")</f>
        <v>4-5 July 2022</v>
      </c>
      <c r="J1097" s="6">
        <f ca="1">IFERROR(__xludf.DUMMYFUNCTION("""COMPUTED_VALUE"""),1)</f>
        <v>1</v>
      </c>
      <c r="K1097" s="8">
        <f ca="1">IFERROR(__xludf.DUMMYFUNCTION("""COMPUTED_VALUE"""),40061)</f>
        <v>40061</v>
      </c>
      <c r="L1097" s="8">
        <f ca="1">IFERROR(__xludf.DUMMYFUNCTION("""COMPUTED_VALUE"""),458.783783783783)</f>
        <v>458.78378378378301</v>
      </c>
      <c r="M1097" s="96">
        <f ca="1">IFERROR(__xludf.DUMMYFUNCTION("""COMPUTED_VALUE"""),44732)</f>
        <v>44732</v>
      </c>
      <c r="N1097" s="6" t="str">
        <f ca="1">IFERROR(__xludf.DUMMYFUNCTION("""COMPUTED_VALUE"""),"T10")</f>
        <v>T10</v>
      </c>
      <c r="O1097" s="97">
        <f ca="1">IFERROR(__xludf.DUMMYFUNCTION("""COMPUTED_VALUE"""),44733)</f>
        <v>44733</v>
      </c>
      <c r="P1097" s="6" t="str">
        <f ca="1">IFERROR(__xludf.DUMMYFUNCTION("""COMPUTED_VALUE"""),"CSTM_4Q7MJDM5OH4")</f>
        <v>CSTM_4Q7MJDM5OH4</v>
      </c>
      <c r="Q1097" s="6" t="str">
        <f ca="1">IFERROR(__xludf.DUMMYFUNCTION("""COMPUTED_VALUE"""),"Reference by Mayura P Joshi")</f>
        <v>Reference by Mayura P Joshi</v>
      </c>
      <c r="R1097" s="6" t="str">
        <f ca="1">IFERROR(__xludf.DUMMYFUNCTION("""COMPUTED_VALUE"""),"Pending")</f>
        <v>Pending</v>
      </c>
      <c r="S1097" s="6" t="str">
        <f ca="1">IFERROR(__xludf.DUMMYFUNCTION("""COMPUTED_VALUE"""),"SAFe")</f>
        <v>SAFe</v>
      </c>
      <c r="T1097" s="6"/>
      <c r="U1097" s="6"/>
      <c r="V1097" s="6"/>
      <c r="W1097" s="6"/>
      <c r="X1097" s="6"/>
      <c r="Y1097" s="6"/>
      <c r="Z1097" s="6"/>
      <c r="AA1097" s="6"/>
      <c r="AB1097" s="6"/>
      <c r="AC1097" s="6"/>
      <c r="AD1097" s="6"/>
      <c r="AE1097" s="6"/>
      <c r="AF1097" s="6"/>
      <c r="AG1097" s="6"/>
      <c r="AH1097" s="6"/>
      <c r="AI1097" s="6"/>
      <c r="AJ1097" s="6"/>
      <c r="AK1097" s="6"/>
      <c r="AL1097" s="6"/>
    </row>
    <row r="1098" spans="1:38">
      <c r="A1098" s="96">
        <f ca="1">IFERROR(__xludf.DUMMYFUNCTION("""COMPUTED_VALUE"""),44732)</f>
        <v>44732</v>
      </c>
      <c r="B1098" s="6" t="str">
        <f ca="1">IFERROR(__xludf.DUMMYFUNCTION("""COMPUTED_VALUE"""),"Moraish Kumar")</f>
        <v>Moraish Kumar</v>
      </c>
      <c r="C1098" s="6" t="str">
        <f ca="1">IFERROR(__xludf.DUMMYFUNCTION("""COMPUTED_VALUE"""),"moraish.kapoor@zs.com")</f>
        <v>moraish.kapoor@zs.com</v>
      </c>
      <c r="D1098" s="6">
        <f ca="1">IFERROR(__xludf.DUMMYFUNCTION("""COMPUTED_VALUE"""),1234567890)</f>
        <v>1234567890</v>
      </c>
      <c r="E1098" s="6" t="str">
        <f ca="1">IFERROR(__xludf.DUMMYFUNCTION("""COMPUTED_VALUE"""),"Reference")</f>
        <v>Reference</v>
      </c>
      <c r="F1098" s="6" t="str">
        <f ca="1">IFERROR(__xludf.DUMMYFUNCTION("""COMPUTED_VALUE"""),"SAFe POPM")</f>
        <v>SAFe POPM</v>
      </c>
      <c r="G1098" s="80">
        <f ca="1">IFERROR(__xludf.DUMMYFUNCTION("""COMPUTED_VALUE"""),44713)</f>
        <v>44713</v>
      </c>
      <c r="H1098" s="6" t="str">
        <f ca="1">IFERROR(__xludf.DUMMYFUNCTION("""COMPUTED_VALUE"""),"Opportunity")</f>
        <v>Opportunity</v>
      </c>
      <c r="I1098" s="6" t="str">
        <f ca="1">IFERROR(__xludf.DUMMYFUNCTION("""COMPUTED_VALUE"""),"4-5 July 2022")</f>
        <v>4-5 July 2022</v>
      </c>
      <c r="J1098" s="6">
        <f ca="1">IFERROR(__xludf.DUMMYFUNCTION("""COMPUTED_VALUE"""),1)</f>
        <v>1</v>
      </c>
      <c r="K1098" s="8">
        <f ca="1">IFERROR(__xludf.DUMMYFUNCTION("""COMPUTED_VALUE"""),40061)</f>
        <v>40061</v>
      </c>
      <c r="L1098" s="8">
        <f ca="1">IFERROR(__xludf.DUMMYFUNCTION("""COMPUTED_VALUE"""),458.783783783783)</f>
        <v>458.78378378378301</v>
      </c>
      <c r="M1098" s="96">
        <f ca="1">IFERROR(__xludf.DUMMYFUNCTION("""COMPUTED_VALUE"""),44732)</f>
        <v>44732</v>
      </c>
      <c r="N1098" s="6"/>
      <c r="O1098" s="97"/>
      <c r="P1098" s="6"/>
      <c r="Q1098" s="6" t="str">
        <f ca="1">IFERROR(__xludf.DUMMYFUNCTION("""COMPUTED_VALUE"""),"Reference by Mayura P Joshi")</f>
        <v>Reference by Mayura P Joshi</v>
      </c>
      <c r="R1098" s="6"/>
      <c r="S1098" s="6" t="str">
        <f ca="1">IFERROR(__xludf.DUMMYFUNCTION("""COMPUTED_VALUE"""),"SAFe")</f>
        <v>SAFe</v>
      </c>
      <c r="T1098" s="6"/>
      <c r="U1098" s="6"/>
      <c r="V1098" s="6"/>
      <c r="W1098" s="6"/>
      <c r="X1098" s="6"/>
      <c r="Y1098" s="6"/>
      <c r="Z1098" s="6"/>
      <c r="AA1098" s="6"/>
      <c r="AB1098" s="6"/>
      <c r="AC1098" s="6"/>
      <c r="AD1098" s="6"/>
      <c r="AE1098" s="6"/>
      <c r="AF1098" s="6"/>
      <c r="AG1098" s="6"/>
      <c r="AH1098" s="6"/>
      <c r="AI1098" s="6"/>
      <c r="AJ1098" s="6"/>
      <c r="AK1098" s="6"/>
      <c r="AL1098" s="6"/>
    </row>
    <row r="1099" spans="1:38">
      <c r="A1099" s="96">
        <f ca="1">IFERROR(__xludf.DUMMYFUNCTION("""COMPUTED_VALUE"""),44732)</f>
        <v>44732</v>
      </c>
      <c r="B1099" s="6" t="str">
        <f ca="1">IFERROR(__xludf.DUMMYFUNCTION("""COMPUTED_VALUE"""),"Shubham Kumar")</f>
        <v>Shubham Kumar</v>
      </c>
      <c r="C1099" s="6" t="str">
        <f ca="1">IFERROR(__xludf.DUMMYFUNCTION("""COMPUTED_VALUE"""),"shubham.s.kumar2@zs.com")</f>
        <v>shubham.s.kumar2@zs.com</v>
      </c>
      <c r="D1099" s="6">
        <f ca="1">IFERROR(__xludf.DUMMYFUNCTION("""COMPUTED_VALUE"""),1234567890)</f>
        <v>1234567890</v>
      </c>
      <c r="E1099" s="6" t="str">
        <f ca="1">IFERROR(__xludf.DUMMYFUNCTION("""COMPUTED_VALUE"""),"Reference")</f>
        <v>Reference</v>
      </c>
      <c r="F1099" s="6" t="str">
        <f ca="1">IFERROR(__xludf.DUMMYFUNCTION("""COMPUTED_VALUE"""),"SAFe POPM")</f>
        <v>SAFe POPM</v>
      </c>
      <c r="G1099" s="80">
        <f ca="1">IFERROR(__xludf.DUMMYFUNCTION("""COMPUTED_VALUE"""),44713)</f>
        <v>44713</v>
      </c>
      <c r="H1099" s="6" t="str">
        <f ca="1">IFERROR(__xludf.DUMMYFUNCTION("""COMPUTED_VALUE"""),"Opportunity")</f>
        <v>Opportunity</v>
      </c>
      <c r="I1099" s="6" t="str">
        <f ca="1">IFERROR(__xludf.DUMMYFUNCTION("""COMPUTED_VALUE"""),"4-5 July 2022")</f>
        <v>4-5 July 2022</v>
      </c>
      <c r="J1099" s="6">
        <f ca="1">IFERROR(__xludf.DUMMYFUNCTION("""COMPUTED_VALUE"""),1)</f>
        <v>1</v>
      </c>
      <c r="K1099" s="8">
        <f ca="1">IFERROR(__xludf.DUMMYFUNCTION("""COMPUTED_VALUE"""),40061)</f>
        <v>40061</v>
      </c>
      <c r="L1099" s="8">
        <f ca="1">IFERROR(__xludf.DUMMYFUNCTION("""COMPUTED_VALUE"""),458.783783783783)</f>
        <v>458.78378378378301</v>
      </c>
      <c r="M1099" s="96">
        <f ca="1">IFERROR(__xludf.DUMMYFUNCTION("""COMPUTED_VALUE"""),44732)</f>
        <v>44732</v>
      </c>
      <c r="N1099" s="6"/>
      <c r="O1099" s="97"/>
      <c r="P1099" s="6"/>
      <c r="Q1099" s="6" t="str">
        <f ca="1">IFERROR(__xludf.DUMMYFUNCTION("""COMPUTED_VALUE"""),"Reference by Mayura P Joshi")</f>
        <v>Reference by Mayura P Joshi</v>
      </c>
      <c r="R1099" s="6"/>
      <c r="S1099" s="6" t="str">
        <f ca="1">IFERROR(__xludf.DUMMYFUNCTION("""COMPUTED_VALUE"""),"SAFe")</f>
        <v>SAFe</v>
      </c>
      <c r="T1099" s="6"/>
      <c r="U1099" s="6"/>
      <c r="V1099" s="6"/>
      <c r="W1099" s="6"/>
      <c r="X1099" s="6"/>
      <c r="Y1099" s="6"/>
      <c r="Z1099" s="6"/>
      <c r="AA1099" s="6"/>
      <c r="AB1099" s="6"/>
      <c r="AC1099" s="6"/>
      <c r="AD1099" s="6"/>
      <c r="AE1099" s="6"/>
      <c r="AF1099" s="6"/>
      <c r="AG1099" s="6"/>
      <c r="AH1099" s="6"/>
      <c r="AI1099" s="6"/>
      <c r="AJ1099" s="6"/>
      <c r="AK1099" s="6"/>
      <c r="AL1099" s="6"/>
    </row>
    <row r="1100" spans="1:38">
      <c r="A1100" s="96">
        <f ca="1">IFERROR(__xludf.DUMMYFUNCTION("""COMPUTED_VALUE"""),44732)</f>
        <v>44732</v>
      </c>
      <c r="B1100" s="6" t="str">
        <f ca="1">IFERROR(__xludf.DUMMYFUNCTION("""COMPUTED_VALUE"""),"Sonal Singh")</f>
        <v>Sonal Singh</v>
      </c>
      <c r="C1100" s="6" t="str">
        <f ca="1">IFERROR(__xludf.DUMMYFUNCTION("""COMPUTED_VALUE"""),"sonal.s.singh@zs.com")</f>
        <v>sonal.s.singh@zs.com</v>
      </c>
      <c r="D1100" s="6">
        <f ca="1">IFERROR(__xludf.DUMMYFUNCTION("""COMPUTED_VALUE"""),1234567890)</f>
        <v>1234567890</v>
      </c>
      <c r="E1100" s="6" t="str">
        <f ca="1">IFERROR(__xludf.DUMMYFUNCTION("""COMPUTED_VALUE"""),"Reference")</f>
        <v>Reference</v>
      </c>
      <c r="F1100" s="6" t="str">
        <f ca="1">IFERROR(__xludf.DUMMYFUNCTION("""COMPUTED_VALUE"""),"SAFe POPM")</f>
        <v>SAFe POPM</v>
      </c>
      <c r="G1100" s="80">
        <f ca="1">IFERROR(__xludf.DUMMYFUNCTION("""COMPUTED_VALUE"""),44713)</f>
        <v>44713</v>
      </c>
      <c r="H1100" s="6" t="str">
        <f ca="1">IFERROR(__xludf.DUMMYFUNCTION("""COMPUTED_VALUE"""),"Won")</f>
        <v>Won</v>
      </c>
      <c r="I1100" s="6" t="str">
        <f ca="1">IFERROR(__xludf.DUMMYFUNCTION("""COMPUTED_VALUE"""),"4-5 July 2022")</f>
        <v>4-5 July 2022</v>
      </c>
      <c r="J1100" s="6">
        <f ca="1">IFERROR(__xludf.DUMMYFUNCTION("""COMPUTED_VALUE"""),1)</f>
        <v>1</v>
      </c>
      <c r="K1100" s="8">
        <f ca="1">IFERROR(__xludf.DUMMYFUNCTION("""COMPUTED_VALUE"""),40061)</f>
        <v>40061</v>
      </c>
      <c r="L1100" s="8">
        <f ca="1">IFERROR(__xludf.DUMMYFUNCTION("""COMPUTED_VALUE"""),458.783783783783)</f>
        <v>458.78378378378301</v>
      </c>
      <c r="M1100" s="96">
        <f ca="1">IFERROR(__xludf.DUMMYFUNCTION("""COMPUTED_VALUE"""),44732)</f>
        <v>44732</v>
      </c>
      <c r="N1100" s="6" t="str">
        <f ca="1">IFERROR(__xludf.DUMMYFUNCTION("""COMPUTED_VALUE"""),"T10")</f>
        <v>T10</v>
      </c>
      <c r="O1100" s="97">
        <f ca="1">IFERROR(__xludf.DUMMYFUNCTION("""COMPUTED_VALUE"""),44739)</f>
        <v>44739</v>
      </c>
      <c r="P1100" s="6" t="str">
        <f ca="1">IFERROR(__xludf.DUMMYFUNCTION("""COMPUTED_VALUE"""),"CSTM_DNVBJ17SV8M")</f>
        <v>CSTM_DNVBJ17SV8M</v>
      </c>
      <c r="Q1100" s="6" t="str">
        <f ca="1">IFERROR(__xludf.DUMMYFUNCTION("""COMPUTED_VALUE"""),"Reference by Mayura P Joshi")</f>
        <v>Reference by Mayura P Joshi</v>
      </c>
      <c r="R1100" s="6" t="str">
        <f ca="1">IFERROR(__xludf.DUMMYFUNCTION("""COMPUTED_VALUE"""),"Pending")</f>
        <v>Pending</v>
      </c>
      <c r="S1100" s="6" t="str">
        <f ca="1">IFERROR(__xludf.DUMMYFUNCTION("""COMPUTED_VALUE"""),"SAFe")</f>
        <v>SAFe</v>
      </c>
      <c r="T1100" s="6"/>
      <c r="U1100" s="6"/>
      <c r="V1100" s="6"/>
      <c r="W1100" s="6"/>
      <c r="X1100" s="6"/>
      <c r="Y1100" s="6"/>
      <c r="Z1100" s="6"/>
      <c r="AA1100" s="6"/>
      <c r="AB1100" s="6"/>
      <c r="AC1100" s="6"/>
      <c r="AD1100" s="6"/>
      <c r="AE1100" s="6"/>
      <c r="AF1100" s="6"/>
      <c r="AG1100" s="6"/>
      <c r="AH1100" s="6"/>
      <c r="AI1100" s="6"/>
      <c r="AJ1100" s="6"/>
      <c r="AK1100" s="6"/>
      <c r="AL1100" s="6"/>
    </row>
    <row r="1101" spans="1:38">
      <c r="A1101" s="96">
        <f ca="1">IFERROR(__xludf.DUMMYFUNCTION("""COMPUTED_VALUE"""),44732)</f>
        <v>44732</v>
      </c>
      <c r="B1101" s="6" t="str">
        <f ca="1">IFERROR(__xludf.DUMMYFUNCTION("""COMPUTED_VALUE"""),"Riya Srivastava")</f>
        <v>Riya Srivastava</v>
      </c>
      <c r="C1101" s="6" t="str">
        <f ca="1">IFERROR(__xludf.DUMMYFUNCTION("""COMPUTED_VALUE"""),"riya.srivastava@zs.com")</f>
        <v>riya.srivastava@zs.com</v>
      </c>
      <c r="D1101" s="6">
        <f ca="1">IFERROR(__xludf.DUMMYFUNCTION("""COMPUTED_VALUE"""),1234567890)</f>
        <v>1234567890</v>
      </c>
      <c r="E1101" s="6" t="str">
        <f ca="1">IFERROR(__xludf.DUMMYFUNCTION("""COMPUTED_VALUE"""),"Reference")</f>
        <v>Reference</v>
      </c>
      <c r="F1101" s="6" t="str">
        <f ca="1">IFERROR(__xludf.DUMMYFUNCTION("""COMPUTED_VALUE"""),"SAFe POPM")</f>
        <v>SAFe POPM</v>
      </c>
      <c r="G1101" s="80">
        <f ca="1">IFERROR(__xludf.DUMMYFUNCTION("""COMPUTED_VALUE"""),44713)</f>
        <v>44713</v>
      </c>
      <c r="H1101" s="6" t="str">
        <f ca="1">IFERROR(__xludf.DUMMYFUNCTION("""COMPUTED_VALUE"""),"Opportunity")</f>
        <v>Opportunity</v>
      </c>
      <c r="I1101" s="6" t="str">
        <f ca="1">IFERROR(__xludf.DUMMYFUNCTION("""COMPUTED_VALUE"""),"4-5 July 2022")</f>
        <v>4-5 July 2022</v>
      </c>
      <c r="J1101" s="6">
        <f ca="1">IFERROR(__xludf.DUMMYFUNCTION("""COMPUTED_VALUE"""),1)</f>
        <v>1</v>
      </c>
      <c r="K1101" s="8">
        <f ca="1">IFERROR(__xludf.DUMMYFUNCTION("""COMPUTED_VALUE"""),40061)</f>
        <v>40061</v>
      </c>
      <c r="L1101" s="8">
        <f ca="1">IFERROR(__xludf.DUMMYFUNCTION("""COMPUTED_VALUE"""),458.783783783783)</f>
        <v>458.78378378378301</v>
      </c>
      <c r="M1101" s="96">
        <f ca="1">IFERROR(__xludf.DUMMYFUNCTION("""COMPUTED_VALUE"""),44732)</f>
        <v>44732</v>
      </c>
      <c r="N1101" s="6"/>
      <c r="O1101" s="97"/>
      <c r="P1101" s="6"/>
      <c r="Q1101" s="6" t="str">
        <f ca="1">IFERROR(__xludf.DUMMYFUNCTION("""COMPUTED_VALUE"""),"Reference by Mayura P Joshi")</f>
        <v>Reference by Mayura P Joshi</v>
      </c>
      <c r="R1101" s="6"/>
      <c r="S1101" s="6" t="str">
        <f ca="1">IFERROR(__xludf.DUMMYFUNCTION("""COMPUTED_VALUE"""),"SAFe")</f>
        <v>SAFe</v>
      </c>
      <c r="T1101" s="6"/>
      <c r="U1101" s="6"/>
      <c r="V1101" s="6"/>
      <c r="W1101" s="6"/>
      <c r="X1101" s="6"/>
      <c r="Y1101" s="6"/>
      <c r="Z1101" s="6"/>
      <c r="AA1101" s="6"/>
      <c r="AB1101" s="6"/>
      <c r="AC1101" s="6"/>
      <c r="AD1101" s="6"/>
      <c r="AE1101" s="6"/>
      <c r="AF1101" s="6"/>
      <c r="AG1101" s="6"/>
      <c r="AH1101" s="6"/>
      <c r="AI1101" s="6"/>
      <c r="AJ1101" s="6"/>
      <c r="AK1101" s="6"/>
      <c r="AL1101" s="6"/>
    </row>
    <row r="1102" spans="1:38">
      <c r="A1102" s="96">
        <f ca="1">IFERROR(__xludf.DUMMYFUNCTION("""COMPUTED_VALUE"""),44733)</f>
        <v>44733</v>
      </c>
      <c r="B1102" s="6" t="str">
        <f ca="1">IFERROR(__xludf.DUMMYFUNCTION("""COMPUTED_VALUE"""),"Anamika Chaumal")</f>
        <v>Anamika Chaumal</v>
      </c>
      <c r="C1102" s="6" t="str">
        <f ca="1">IFERROR(__xludf.DUMMYFUNCTION("""COMPUTED_VALUE"""),"anamika.chaumal@gmail.com")</f>
        <v>anamika.chaumal@gmail.com</v>
      </c>
      <c r="D1102" s="6">
        <f ca="1">IFERROR(__xludf.DUMMYFUNCTION("""COMPUTED_VALUE"""),9663571171)</f>
        <v>9663571171</v>
      </c>
      <c r="E1102" s="6" t="str">
        <f ca="1">IFERROR(__xludf.DUMMYFUNCTION("""COMPUTED_VALUE"""),"Tollfree")</f>
        <v>Tollfree</v>
      </c>
      <c r="F1102" s="6" t="str">
        <f ca="1">IFERROR(__xludf.DUMMYFUNCTION("""COMPUTED_VALUE"""),"SAFe Agile")</f>
        <v>SAFe Agile</v>
      </c>
      <c r="G1102" s="80">
        <f ca="1">IFERROR(__xludf.DUMMYFUNCTION("""COMPUTED_VALUE"""),44713)</f>
        <v>44713</v>
      </c>
      <c r="H1102" s="6" t="str">
        <f ca="1">IFERROR(__xludf.DUMMYFUNCTION("""COMPUTED_VALUE"""),"Won")</f>
        <v>Won</v>
      </c>
      <c r="I1102" s="6" t="str">
        <f ca="1">IFERROR(__xludf.DUMMYFUNCTION("""COMPUTED_VALUE"""),"25-26 June 2022")</f>
        <v>25-26 June 2022</v>
      </c>
      <c r="J1102" s="6">
        <f ca="1">IFERROR(__xludf.DUMMYFUNCTION("""COMPUTED_VALUE"""),1)</f>
        <v>1</v>
      </c>
      <c r="K1102" s="8">
        <f ca="1">IFERROR(__xludf.DUMMYFUNCTION("""COMPUTED_VALUE"""),40061)</f>
        <v>40061</v>
      </c>
      <c r="L1102" s="8">
        <f ca="1">IFERROR(__xludf.DUMMYFUNCTION("""COMPUTED_VALUE"""),458.783783783783)</f>
        <v>458.78378378378301</v>
      </c>
      <c r="M1102" s="96">
        <f ca="1">IFERROR(__xludf.DUMMYFUNCTION("""COMPUTED_VALUE"""),44733)</f>
        <v>44733</v>
      </c>
      <c r="N1102" s="6" t="str">
        <f ca="1">IFERROR(__xludf.DUMMYFUNCTION("""COMPUTED_VALUE"""),"T10")</f>
        <v>T10</v>
      </c>
      <c r="O1102" s="97">
        <f ca="1">IFERROR(__xludf.DUMMYFUNCTION("""COMPUTED_VALUE"""),44734)</f>
        <v>44734</v>
      </c>
      <c r="P1102" s="6" t="str">
        <f ca="1">IFERROR(__xludf.DUMMYFUNCTION("""COMPUTED_VALUE"""),"CSTM_J42NNFQFYZB")</f>
        <v>CSTM_J42NNFQFYZB</v>
      </c>
      <c r="Q1102" s="6"/>
      <c r="R1102" s="6" t="str">
        <f ca="1">IFERROR(__xludf.DUMMYFUNCTION("""COMPUTED_VALUE"""),"Done. Good feedback.")</f>
        <v>Done. Good feedback.</v>
      </c>
      <c r="S1102" s="6" t="str">
        <f ca="1">IFERROR(__xludf.DUMMYFUNCTION("""COMPUTED_VALUE"""),"SAFe")</f>
        <v>SAFe</v>
      </c>
      <c r="T1102" s="6"/>
      <c r="U1102" s="6"/>
      <c r="V1102" s="6"/>
      <c r="W1102" s="6"/>
      <c r="X1102" s="6"/>
      <c r="Y1102" s="6"/>
      <c r="Z1102" s="6"/>
      <c r="AA1102" s="6"/>
      <c r="AB1102" s="6"/>
      <c r="AC1102" s="6"/>
      <c r="AD1102" s="6"/>
      <c r="AE1102" s="6"/>
      <c r="AF1102" s="6"/>
      <c r="AG1102" s="6"/>
      <c r="AH1102" s="6"/>
      <c r="AI1102" s="6"/>
      <c r="AJ1102" s="6"/>
      <c r="AK1102" s="6"/>
      <c r="AL1102" s="6"/>
    </row>
    <row r="1103" spans="1:38">
      <c r="A1103" s="96">
        <f ca="1">IFERROR(__xludf.DUMMYFUNCTION("""COMPUTED_VALUE"""),44733)</f>
        <v>44733</v>
      </c>
      <c r="B1103" s="6" t="str">
        <f ca="1">IFERROR(__xludf.DUMMYFUNCTION("""COMPUTED_VALUE"""),"Vivek Kumar")</f>
        <v>Vivek Kumar</v>
      </c>
      <c r="C1103" s="6" t="str">
        <f ca="1">IFERROR(__xludf.DUMMYFUNCTION("""COMPUTED_VALUE"""),"vivek.kumar1@syf.com")</f>
        <v>vivek.kumar1@syf.com</v>
      </c>
      <c r="D1103" s="6">
        <f ca="1">IFERROR(__xludf.DUMMYFUNCTION("""COMPUTED_VALUE"""),9035293758)</f>
        <v>9035293758</v>
      </c>
      <c r="E1103" s="6" t="str">
        <f ca="1">IFERROR(__xludf.DUMMYFUNCTION("""COMPUTED_VALUE"""),"Chat_triggered")</f>
        <v>Chat_triggered</v>
      </c>
      <c r="F1103" s="6" t="str">
        <f ca="1">IFERROR(__xludf.DUMMYFUNCTION("""COMPUTED_VALUE"""),"CSM")</f>
        <v>CSM</v>
      </c>
      <c r="G1103" s="80">
        <f ca="1">IFERROR(__xludf.DUMMYFUNCTION("""COMPUTED_VALUE"""),44713)</f>
        <v>44713</v>
      </c>
      <c r="H1103" s="6" t="str">
        <f ca="1">IFERROR(__xludf.DUMMYFUNCTION("""COMPUTED_VALUE"""),"Opportunity")</f>
        <v>Opportunity</v>
      </c>
      <c r="I1103" s="6" t="str">
        <f ca="1">IFERROR(__xludf.DUMMYFUNCTION("""COMPUTED_VALUE"""),"9-10 July 2022")</f>
        <v>9-10 July 2022</v>
      </c>
      <c r="J1103" s="6">
        <f ca="1">IFERROR(__xludf.DUMMYFUNCTION("""COMPUTED_VALUE"""),1)</f>
        <v>1</v>
      </c>
      <c r="K1103" s="8">
        <f ca="1">IFERROR(__xludf.DUMMYFUNCTION("""COMPUTED_VALUE"""),20000)</f>
        <v>20000</v>
      </c>
      <c r="L1103" s="8">
        <f ca="1">IFERROR(__xludf.DUMMYFUNCTION("""COMPUTED_VALUE"""),229.042601923957)</f>
        <v>229.04260192395699</v>
      </c>
      <c r="M1103" s="96">
        <f ca="1">IFERROR(__xludf.DUMMYFUNCTION("""COMPUTED_VALUE"""),44733)</f>
        <v>44733</v>
      </c>
      <c r="N1103" s="6"/>
      <c r="O1103" s="97"/>
      <c r="P1103" s="6"/>
      <c r="Q1103" s="6"/>
      <c r="R1103" s="6"/>
      <c r="S1103" s="6" t="str">
        <f ca="1">IFERROR(__xludf.DUMMYFUNCTION("""COMPUTED_VALUE"""),"Category")</f>
        <v>Category</v>
      </c>
      <c r="T1103" s="6"/>
      <c r="U1103" s="6"/>
      <c r="V1103" s="6"/>
      <c r="W1103" s="6"/>
      <c r="X1103" s="6"/>
      <c r="Y1103" s="6"/>
      <c r="Z1103" s="6"/>
      <c r="AA1103" s="6"/>
      <c r="AB1103" s="6"/>
      <c r="AC1103" s="6"/>
      <c r="AD1103" s="6"/>
      <c r="AE1103" s="6"/>
      <c r="AF1103" s="6"/>
      <c r="AG1103" s="6"/>
      <c r="AH1103" s="6"/>
      <c r="AI1103" s="6"/>
      <c r="AJ1103" s="6"/>
      <c r="AK1103" s="6"/>
      <c r="AL1103" s="6"/>
    </row>
    <row r="1104" spans="1:38">
      <c r="A1104" s="96">
        <f ca="1">IFERROR(__xludf.DUMMYFUNCTION("""COMPUTED_VALUE"""),44735)</f>
        <v>44735</v>
      </c>
      <c r="B1104" s="6" t="str">
        <f ca="1">IFERROR(__xludf.DUMMYFUNCTION("""COMPUTED_VALUE"""),"VijayKrishnan")</f>
        <v>VijayKrishnan</v>
      </c>
      <c r="C1104" s="6" t="str">
        <f ca="1">IFERROR(__xludf.DUMMYFUNCTION("""COMPUTED_VALUE"""),"vijay.krishnans@hcl.com")</f>
        <v>vijay.krishnans@hcl.com</v>
      </c>
      <c r="D1104" s="6">
        <f ca="1">IFERROR(__xludf.DUMMYFUNCTION("""COMPUTED_VALUE"""),9791045629)</f>
        <v>9791045629</v>
      </c>
      <c r="E1104" s="6" t="str">
        <f ca="1">IFERROR(__xludf.DUMMYFUNCTION("""COMPUTED_VALUE"""),"Chat_triggered")</f>
        <v>Chat_triggered</v>
      </c>
      <c r="F1104" s="6" t="str">
        <f ca="1">IFERROR(__xludf.DUMMYFUNCTION("""COMPUTED_VALUE"""),"PSPO")</f>
        <v>PSPO</v>
      </c>
      <c r="G1104" s="80">
        <f ca="1">IFERROR(__xludf.DUMMYFUNCTION("""COMPUTED_VALUE"""),44713)</f>
        <v>44713</v>
      </c>
      <c r="H1104" s="6" t="str">
        <f ca="1">IFERROR(__xludf.DUMMYFUNCTION("""COMPUTED_VALUE"""),"Won")</f>
        <v>Won</v>
      </c>
      <c r="I1104" s="6" t="str">
        <f ca="1">IFERROR(__xludf.DUMMYFUNCTION("""COMPUTED_VALUE"""),"25-26 June 2022")</f>
        <v>25-26 June 2022</v>
      </c>
      <c r="J1104" s="6">
        <f ca="1">IFERROR(__xludf.DUMMYFUNCTION("""COMPUTED_VALUE"""),1)</f>
        <v>1</v>
      </c>
      <c r="K1104" s="8">
        <f ca="1">IFERROR(__xludf.DUMMYFUNCTION("""COMPUTED_VALUE"""),21000)</f>
        <v>21000</v>
      </c>
      <c r="L1104" s="8">
        <f ca="1">IFERROR(__xludf.DUMMYFUNCTION("""COMPUTED_VALUE"""),240.494732020155)</f>
        <v>240.494732020155</v>
      </c>
      <c r="M1104" s="96">
        <f ca="1">IFERROR(__xludf.DUMMYFUNCTION("""COMPUTED_VALUE"""),44735)</f>
        <v>44735</v>
      </c>
      <c r="N1104" s="6" t="str">
        <f ca="1">IFERROR(__xludf.DUMMYFUNCTION("""COMPUTED_VALUE"""),"T10")</f>
        <v>T10</v>
      </c>
      <c r="O1104" s="97">
        <f ca="1">IFERROR(__xludf.DUMMYFUNCTION("""COMPUTED_VALUE"""),44735)</f>
        <v>44735</v>
      </c>
      <c r="P1104" s="6" t="str">
        <f ca="1">IFERROR(__xludf.DUMMYFUNCTION("""COMPUTED_VALUE"""),"CSTM_5D2RKVZ287V")</f>
        <v>CSTM_5D2RKVZ287V</v>
      </c>
      <c r="Q1104" s="6"/>
      <c r="R1104" s="6" t="str">
        <f ca="1">IFERROR(__xludf.DUMMYFUNCTION("""COMPUTED_VALUE"""),"Done. Good feedback.")</f>
        <v>Done. Good feedback.</v>
      </c>
      <c r="S1104" s="6" t="str">
        <f ca="1">IFERROR(__xludf.DUMMYFUNCTION("""COMPUTED_VALUE"""),"Category")</f>
        <v>Category</v>
      </c>
      <c r="T1104" s="6"/>
      <c r="U1104" s="6"/>
      <c r="V1104" s="6"/>
      <c r="W1104" s="6"/>
      <c r="X1104" s="6"/>
      <c r="Y1104" s="6"/>
      <c r="Z1104" s="6"/>
      <c r="AA1104" s="6"/>
      <c r="AB1104" s="6"/>
      <c r="AC1104" s="6"/>
      <c r="AD1104" s="6"/>
      <c r="AE1104" s="6"/>
      <c r="AF1104" s="6"/>
      <c r="AG1104" s="6"/>
      <c r="AH1104" s="6"/>
      <c r="AI1104" s="6"/>
      <c r="AJ1104" s="6"/>
      <c r="AK1104" s="6"/>
      <c r="AL1104" s="6"/>
    </row>
    <row r="1105" spans="1:38">
      <c r="A1105" s="96">
        <f ca="1">IFERROR(__xludf.DUMMYFUNCTION("""COMPUTED_VALUE"""),44735)</f>
        <v>44735</v>
      </c>
      <c r="B1105" s="6" t="str">
        <f ca="1">IFERROR(__xludf.DUMMYFUNCTION("""COMPUTED_VALUE"""),"Tamil Mani")</f>
        <v>Tamil Mani</v>
      </c>
      <c r="C1105" s="6" t="str">
        <f ca="1">IFERROR(__xludf.DUMMYFUNCTION("""COMPUTED_VALUE"""),"tamilmani.t@hcl.com")</f>
        <v>tamilmani.t@hcl.com</v>
      </c>
      <c r="D1105" s="6">
        <f ca="1">IFERROR(__xludf.DUMMYFUNCTION("""COMPUTED_VALUE"""),8095442204)</f>
        <v>8095442204</v>
      </c>
      <c r="E1105" s="6" t="str">
        <f ca="1">IFERROR(__xludf.DUMMYFUNCTION("""COMPUTED_VALUE"""),"Reference")</f>
        <v>Reference</v>
      </c>
      <c r="F1105" s="6" t="str">
        <f ca="1">IFERROR(__xludf.DUMMYFUNCTION("""COMPUTED_VALUE"""),"PSPO")</f>
        <v>PSPO</v>
      </c>
      <c r="G1105" s="80">
        <f ca="1">IFERROR(__xludf.DUMMYFUNCTION("""COMPUTED_VALUE"""),44713)</f>
        <v>44713</v>
      </c>
      <c r="H1105" s="6" t="str">
        <f ca="1">IFERROR(__xludf.DUMMYFUNCTION("""COMPUTED_VALUE"""),"Won")</f>
        <v>Won</v>
      </c>
      <c r="I1105" s="6" t="str">
        <f ca="1">IFERROR(__xludf.DUMMYFUNCTION("""COMPUTED_VALUE"""),"25-26 June 2022")</f>
        <v>25-26 June 2022</v>
      </c>
      <c r="J1105" s="6">
        <f ca="1">IFERROR(__xludf.DUMMYFUNCTION("""COMPUTED_VALUE"""),1)</f>
        <v>1</v>
      </c>
      <c r="K1105" s="8">
        <f ca="1">IFERROR(__xludf.DUMMYFUNCTION("""COMPUTED_VALUE"""),21000)</f>
        <v>21000</v>
      </c>
      <c r="L1105" s="8">
        <f ca="1">IFERROR(__xludf.DUMMYFUNCTION("""COMPUTED_VALUE"""),240.494732020155)</f>
        <v>240.494732020155</v>
      </c>
      <c r="M1105" s="96">
        <f ca="1">IFERROR(__xludf.DUMMYFUNCTION("""COMPUTED_VALUE"""),44735)</f>
        <v>44735</v>
      </c>
      <c r="N1105" s="6" t="str">
        <f ca="1">IFERROR(__xludf.DUMMYFUNCTION("""COMPUTED_VALUE"""),"T10")</f>
        <v>T10</v>
      </c>
      <c r="O1105" s="97">
        <f ca="1">IFERROR(__xludf.DUMMYFUNCTION("""COMPUTED_VALUE"""),44735)</f>
        <v>44735</v>
      </c>
      <c r="P1105" s="6" t="str">
        <f ca="1">IFERROR(__xludf.DUMMYFUNCTION("""COMPUTED_VALUE"""),"CSTM_JLVSB74WUCQ")</f>
        <v>CSTM_JLVSB74WUCQ</v>
      </c>
      <c r="Q1105" s="6" t="str">
        <f ca="1">IFERROR(__xludf.DUMMYFUNCTION("""COMPUTED_VALUE"""),"Reference by vijaykrishs@gmail.com")</f>
        <v>Reference by vijaykrishs@gmail.com</v>
      </c>
      <c r="R1105" s="6" t="str">
        <f ca="1">IFERROR(__xludf.DUMMYFUNCTION("""COMPUTED_VALUE"""),"Done. Good feedback.")</f>
        <v>Done. Good feedback.</v>
      </c>
      <c r="S1105" s="6" t="str">
        <f ca="1">IFERROR(__xludf.DUMMYFUNCTION("""COMPUTED_VALUE"""),"Category")</f>
        <v>Category</v>
      </c>
      <c r="T1105" s="6"/>
      <c r="U1105" s="6"/>
      <c r="V1105" s="6"/>
      <c r="W1105" s="6"/>
      <c r="X1105" s="6"/>
      <c r="Y1105" s="6"/>
      <c r="Z1105" s="6"/>
      <c r="AA1105" s="6"/>
      <c r="AB1105" s="6"/>
      <c r="AC1105" s="6"/>
      <c r="AD1105" s="6"/>
      <c r="AE1105" s="6"/>
      <c r="AF1105" s="6"/>
      <c r="AG1105" s="6"/>
      <c r="AH1105" s="6"/>
      <c r="AI1105" s="6"/>
      <c r="AJ1105" s="6"/>
      <c r="AK1105" s="6"/>
      <c r="AL1105" s="6"/>
    </row>
    <row r="1106" spans="1:38">
      <c r="A1106" s="96">
        <f ca="1">IFERROR(__xludf.DUMMYFUNCTION("""COMPUTED_VALUE"""),44735)</f>
        <v>44735</v>
      </c>
      <c r="B1106" s="6" t="str">
        <f ca="1">IFERROR(__xludf.DUMMYFUNCTION("""COMPUTED_VALUE"""),"Kartik VS")</f>
        <v>Kartik VS</v>
      </c>
      <c r="C1106" s="6" t="str">
        <f ca="1">IFERROR(__xludf.DUMMYFUNCTION("""COMPUTED_VALUE"""),"kvs4uall@gmail.com")</f>
        <v>kvs4uall@gmail.com</v>
      </c>
      <c r="D1106" s="6">
        <f ca="1">IFERROR(__xludf.DUMMYFUNCTION("""COMPUTED_VALUE"""),9619712149)</f>
        <v>9619712149</v>
      </c>
      <c r="E1106" s="6" t="str">
        <f ca="1">IFERROR(__xludf.DUMMYFUNCTION("""COMPUTED_VALUE"""),"Chat_triggered")</f>
        <v>Chat_triggered</v>
      </c>
      <c r="F1106" s="6" t="str">
        <f ca="1">IFERROR(__xludf.DUMMYFUNCTION("""COMPUTED_VALUE"""),"PSM")</f>
        <v>PSM</v>
      </c>
      <c r="G1106" s="80">
        <f ca="1">IFERROR(__xludf.DUMMYFUNCTION("""COMPUTED_VALUE"""),44713)</f>
        <v>44713</v>
      </c>
      <c r="H1106" s="6" t="str">
        <f ca="1">IFERROR(__xludf.DUMMYFUNCTION("""COMPUTED_VALUE"""),"Won")</f>
        <v>Won</v>
      </c>
      <c r="I1106" s="6" t="str">
        <f ca="1">IFERROR(__xludf.DUMMYFUNCTION("""COMPUTED_VALUE"""),"25-26 June 2022")</f>
        <v>25-26 June 2022</v>
      </c>
      <c r="J1106" s="6">
        <f ca="1">IFERROR(__xludf.DUMMYFUNCTION("""COMPUTED_VALUE"""),1)</f>
        <v>1</v>
      </c>
      <c r="K1106" s="8">
        <f ca="1">IFERROR(__xludf.DUMMYFUNCTION("""COMPUTED_VALUE"""),21000)</f>
        <v>21000</v>
      </c>
      <c r="L1106" s="8">
        <f ca="1">IFERROR(__xludf.DUMMYFUNCTION("""COMPUTED_VALUE"""),240.494732020155)</f>
        <v>240.494732020155</v>
      </c>
      <c r="M1106" s="96">
        <f ca="1">IFERROR(__xludf.DUMMYFUNCTION("""COMPUTED_VALUE"""),44735)</f>
        <v>44735</v>
      </c>
      <c r="N1106" s="6" t="str">
        <f ca="1">IFERROR(__xludf.DUMMYFUNCTION("""COMPUTED_VALUE"""),"T10")</f>
        <v>T10</v>
      </c>
      <c r="O1106" s="97">
        <f ca="1">IFERROR(__xludf.DUMMYFUNCTION("""COMPUTED_VALUE"""),44735)</f>
        <v>44735</v>
      </c>
      <c r="P1106" s="6" t="str">
        <f ca="1">IFERROR(__xludf.DUMMYFUNCTION("""COMPUTED_VALUE"""),"CSTM_BQRKYEIMQFA")</f>
        <v>CSTM_BQRKYEIMQFA</v>
      </c>
      <c r="Q1106" s="6"/>
      <c r="R1106" s="6" t="str">
        <f ca="1">IFERROR(__xludf.DUMMYFUNCTION("""COMPUTED_VALUE"""),"Pending")</f>
        <v>Pending</v>
      </c>
      <c r="S1106" s="6" t="str">
        <f ca="1">IFERROR(__xludf.DUMMYFUNCTION("""COMPUTED_VALUE"""),"Category")</f>
        <v>Category</v>
      </c>
      <c r="T1106" s="6"/>
      <c r="U1106" s="6"/>
      <c r="V1106" s="6"/>
      <c r="W1106" s="6"/>
      <c r="X1106" s="6"/>
      <c r="Y1106" s="6"/>
      <c r="Z1106" s="6"/>
      <c r="AA1106" s="6"/>
      <c r="AB1106" s="6"/>
      <c r="AC1106" s="6"/>
      <c r="AD1106" s="6"/>
      <c r="AE1106" s="6"/>
      <c r="AF1106" s="6"/>
      <c r="AG1106" s="6"/>
      <c r="AH1106" s="6"/>
      <c r="AI1106" s="6"/>
      <c r="AJ1106" s="6"/>
      <c r="AK1106" s="6"/>
      <c r="AL1106" s="6"/>
    </row>
    <row r="1107" spans="1:38">
      <c r="A1107" s="96">
        <f ca="1">IFERROR(__xludf.DUMMYFUNCTION("""COMPUTED_VALUE"""),44735)</f>
        <v>44735</v>
      </c>
      <c r="B1107" s="6" t="str">
        <f ca="1">IFERROR(__xludf.DUMMYFUNCTION("""COMPUTED_VALUE"""),"Priya Bhatnagar")</f>
        <v>Priya Bhatnagar</v>
      </c>
      <c r="C1107" s="6" t="str">
        <f ca="1">IFERROR(__xludf.DUMMYFUNCTION("""COMPUTED_VALUE"""),"mail2priyabhatnagar@gmail.com")</f>
        <v>mail2priyabhatnagar@gmail.com</v>
      </c>
      <c r="D1107" s="6">
        <f ca="1">IFERROR(__xludf.DUMMYFUNCTION("""COMPUTED_VALUE"""),9372298954)</f>
        <v>9372298954</v>
      </c>
      <c r="E1107" s="6" t="str">
        <f ca="1">IFERROR(__xludf.DUMMYFUNCTION("""COMPUTED_VALUE"""),"Chat_triggered")</f>
        <v>Chat_triggered</v>
      </c>
      <c r="F1107" s="6" t="str">
        <f ca="1">IFERROR(__xludf.DUMMYFUNCTION("""COMPUTED_VALUE"""),"SAFe Agile")</f>
        <v>SAFe Agile</v>
      </c>
      <c r="G1107" s="80">
        <f ca="1">IFERROR(__xludf.DUMMYFUNCTION("""COMPUTED_VALUE"""),44713)</f>
        <v>44713</v>
      </c>
      <c r="H1107" s="6" t="str">
        <f ca="1">IFERROR(__xludf.DUMMYFUNCTION("""COMPUTED_VALUE"""),"Won")</f>
        <v>Won</v>
      </c>
      <c r="I1107" s="6" t="str">
        <f ca="1">IFERROR(__xludf.DUMMYFUNCTION("""COMPUTED_VALUE"""),"25-26 June 2022")</f>
        <v>25-26 June 2022</v>
      </c>
      <c r="J1107" s="6">
        <f ca="1">IFERROR(__xludf.DUMMYFUNCTION("""COMPUTED_VALUE"""),1)</f>
        <v>1</v>
      </c>
      <c r="K1107" s="8">
        <f ca="1">IFERROR(__xludf.DUMMYFUNCTION("""COMPUTED_VALUE"""),40061)</f>
        <v>40061</v>
      </c>
      <c r="L1107" s="8">
        <f ca="1">IFERROR(__xludf.DUMMYFUNCTION("""COMPUTED_VALUE"""),458.783783783783)</f>
        <v>458.78378378378301</v>
      </c>
      <c r="M1107" s="96">
        <f ca="1">IFERROR(__xludf.DUMMYFUNCTION("""COMPUTED_VALUE"""),44735)</f>
        <v>44735</v>
      </c>
      <c r="N1107" s="6" t="str">
        <f ca="1">IFERROR(__xludf.DUMMYFUNCTION("""COMPUTED_VALUE"""),"T10")</f>
        <v>T10</v>
      </c>
      <c r="O1107" s="97">
        <f ca="1">IFERROR(__xludf.DUMMYFUNCTION("""COMPUTED_VALUE"""),44735)</f>
        <v>44735</v>
      </c>
      <c r="P1107" s="6" t="str">
        <f ca="1">IFERROR(__xludf.DUMMYFUNCTION("""COMPUTED_VALUE"""),"CSTM_CMCUTHY3FEF")</f>
        <v>CSTM_CMCUTHY3FEF</v>
      </c>
      <c r="Q1107" s="6"/>
      <c r="R1107" s="6" t="str">
        <f ca="1">IFERROR(__xludf.DUMMYFUNCTION("""COMPUTED_VALUE"""),"Done. Good feedback.")</f>
        <v>Done. Good feedback.</v>
      </c>
      <c r="S1107" s="6" t="str">
        <f ca="1">IFERROR(__xludf.DUMMYFUNCTION("""COMPUTED_VALUE"""),"SAFe")</f>
        <v>SAFe</v>
      </c>
      <c r="T1107" s="6"/>
      <c r="U1107" s="6"/>
      <c r="V1107" s="6"/>
      <c r="W1107" s="6"/>
      <c r="X1107" s="6"/>
      <c r="Y1107" s="6"/>
      <c r="Z1107" s="6"/>
      <c r="AA1107" s="6"/>
      <c r="AB1107" s="6"/>
      <c r="AC1107" s="6"/>
      <c r="AD1107" s="6"/>
      <c r="AE1107" s="6"/>
      <c r="AF1107" s="6"/>
      <c r="AG1107" s="6"/>
      <c r="AH1107" s="6"/>
      <c r="AI1107" s="6"/>
      <c r="AJ1107" s="6"/>
      <c r="AK1107" s="6"/>
      <c r="AL1107" s="6"/>
    </row>
    <row r="1108" spans="1:38">
      <c r="A1108" s="96">
        <f ca="1">IFERROR(__xludf.DUMMYFUNCTION("""COMPUTED_VALUE"""),44736)</f>
        <v>44736</v>
      </c>
      <c r="B1108" s="6" t="str">
        <f ca="1">IFERROR(__xludf.DUMMYFUNCTION("""COMPUTED_VALUE"""),"Ujjwal Dobhal")</f>
        <v>Ujjwal Dobhal</v>
      </c>
      <c r="C1108" s="6" t="str">
        <f ca="1">IFERROR(__xludf.DUMMYFUNCTION("""COMPUTED_VALUE"""),"udobhal@gmail.com")</f>
        <v>udobhal@gmail.com</v>
      </c>
      <c r="D1108" s="6">
        <f ca="1">IFERROR(__xludf.DUMMYFUNCTION("""COMPUTED_VALUE"""),8879390103)</f>
        <v>8879390103</v>
      </c>
      <c r="E1108" s="6" t="str">
        <f ca="1">IFERROR(__xludf.DUMMYFUNCTION("""COMPUTED_VALUE"""),"Existing Account")</f>
        <v>Existing Account</v>
      </c>
      <c r="F1108" s="6" t="str">
        <f ca="1">IFERROR(__xludf.DUMMYFUNCTION("""COMPUTED_VALUE"""),"ITIL MPT")</f>
        <v>ITIL MPT</v>
      </c>
      <c r="G1108" s="80">
        <f ca="1">IFERROR(__xludf.DUMMYFUNCTION("""COMPUTED_VALUE"""),44713)</f>
        <v>44713</v>
      </c>
      <c r="H1108" s="6" t="str">
        <f ca="1">IFERROR(__xludf.DUMMYFUNCTION("""COMPUTED_VALUE"""),"Won")</f>
        <v>Won</v>
      </c>
      <c r="I1108" s="6" t="str">
        <f ca="1">IFERROR(__xludf.DUMMYFUNCTION("""COMPUTED_VALUE"""),"OSL")</f>
        <v>OSL</v>
      </c>
      <c r="J1108" s="6">
        <f ca="1">IFERROR(__xludf.DUMMYFUNCTION("""COMPUTED_VALUE"""),1)</f>
        <v>1</v>
      </c>
      <c r="K1108" s="8">
        <f ca="1">IFERROR(__xludf.DUMMYFUNCTION("""COMPUTED_VALUE"""),26000)</f>
        <v>26000</v>
      </c>
      <c r="L1108" s="8">
        <f ca="1">IFERROR(__xludf.DUMMYFUNCTION("""COMPUTED_VALUE"""),297.755382501145)</f>
        <v>297.75538250114499</v>
      </c>
      <c r="M1108" s="96">
        <f ca="1">IFERROR(__xludf.DUMMYFUNCTION("""COMPUTED_VALUE"""),44736)</f>
        <v>44736</v>
      </c>
      <c r="N1108" s="6" t="str">
        <f ca="1">IFERROR(__xludf.DUMMYFUNCTION("""COMPUTED_VALUE"""),"T10")</f>
        <v>T10</v>
      </c>
      <c r="O1108" s="97">
        <f ca="1">IFERROR(__xludf.DUMMYFUNCTION("""COMPUTED_VALUE"""),44737)</f>
        <v>44737</v>
      </c>
      <c r="P1108" s="6" t="str">
        <f ca="1">IFERROR(__xludf.DUMMYFUNCTION("""COMPUTED_VALUE"""),"CSTM_HPENIVASCJ9")</f>
        <v>CSTM_HPENIVASCJ9</v>
      </c>
      <c r="Q1108" s="6"/>
      <c r="R1108" s="6" t="str">
        <f ca="1">IFERROR(__xludf.DUMMYFUNCTION("""COMPUTED_VALUE"""),"Pending")</f>
        <v>Pending</v>
      </c>
      <c r="S1108" s="6" t="str">
        <f ca="1">IFERROR(__xludf.DUMMYFUNCTION("""COMPUTED_VALUE"""),"NonCategory")</f>
        <v>NonCategory</v>
      </c>
      <c r="T1108" s="6"/>
      <c r="U1108" s="6"/>
      <c r="V1108" s="6"/>
      <c r="W1108" s="6"/>
      <c r="X1108" s="6"/>
      <c r="Y1108" s="6"/>
      <c r="Z1108" s="6"/>
      <c r="AA1108" s="6"/>
      <c r="AB1108" s="6"/>
      <c r="AC1108" s="6"/>
      <c r="AD1108" s="6"/>
      <c r="AE1108" s="6"/>
      <c r="AF1108" s="6"/>
      <c r="AG1108" s="6"/>
      <c r="AH1108" s="6"/>
      <c r="AI1108" s="6"/>
      <c r="AJ1108" s="6"/>
      <c r="AK1108" s="6"/>
      <c r="AL1108" s="6"/>
    </row>
    <row r="1109" spans="1:38">
      <c r="A1109" s="96">
        <f ca="1">IFERROR(__xludf.DUMMYFUNCTION("""COMPUTED_VALUE"""),44738)</f>
        <v>44738</v>
      </c>
      <c r="B1109" s="6" t="str">
        <f ca="1">IFERROR(__xludf.DUMMYFUNCTION("""COMPUTED_VALUE"""),"Prathit Vyas")</f>
        <v>Prathit Vyas</v>
      </c>
      <c r="C1109" s="6" t="str">
        <f ca="1">IFERROR(__xludf.DUMMYFUNCTION("""COMPUTED_VALUE"""),"prathitnvyas@gmail.com")</f>
        <v>prathitnvyas@gmail.com</v>
      </c>
      <c r="D1109" s="6">
        <f ca="1">IFERROR(__xludf.DUMMYFUNCTION("""COMPUTED_VALUE"""),9879558347)</f>
        <v>9879558347</v>
      </c>
      <c r="E1109" s="6" t="str">
        <f ca="1">IFERROR(__xludf.DUMMYFUNCTION("""COMPUTED_VALUE"""),"chat_initiated")</f>
        <v>chat_initiated</v>
      </c>
      <c r="F1109" s="6" t="str">
        <f ca="1">IFERROR(__xludf.DUMMYFUNCTION("""COMPUTED_VALUE"""),"PSM")</f>
        <v>PSM</v>
      </c>
      <c r="G1109" s="80">
        <f ca="1">IFERROR(__xludf.DUMMYFUNCTION("""COMPUTED_VALUE"""),44713)</f>
        <v>44713</v>
      </c>
      <c r="H1109" s="6" t="str">
        <f ca="1">IFERROR(__xludf.DUMMYFUNCTION("""COMPUTED_VALUE"""),"Won")</f>
        <v>Won</v>
      </c>
      <c r="I1109" s="6" t="str">
        <f ca="1">IFERROR(__xludf.DUMMYFUNCTION("""COMPUTED_VALUE"""),"30-31 July 2022")</f>
        <v>30-31 July 2022</v>
      </c>
      <c r="J1109" s="6">
        <f ca="1">IFERROR(__xludf.DUMMYFUNCTION("""COMPUTED_VALUE"""),1)</f>
        <v>1</v>
      </c>
      <c r="K1109" s="8">
        <f ca="1">IFERROR(__xludf.DUMMYFUNCTION("""COMPUTED_VALUE"""),21000)</f>
        <v>21000</v>
      </c>
      <c r="L1109" s="8">
        <f ca="1">IFERROR(__xludf.DUMMYFUNCTION("""COMPUTED_VALUE"""),240.494732020155)</f>
        <v>240.494732020155</v>
      </c>
      <c r="M1109" s="96">
        <f ca="1">IFERROR(__xludf.DUMMYFUNCTION("""COMPUTED_VALUE"""),44738)</f>
        <v>44738</v>
      </c>
      <c r="N1109" s="6" t="str">
        <f ca="1">IFERROR(__xludf.DUMMYFUNCTION("""COMPUTED_VALUE"""),"T10")</f>
        <v>T10</v>
      </c>
      <c r="O1109" s="97">
        <f ca="1">IFERROR(__xludf.DUMMYFUNCTION("""COMPUTED_VALUE"""),44738)</f>
        <v>44738</v>
      </c>
      <c r="P1109" s="6" t="str">
        <f ca="1">IFERROR(__xludf.DUMMYFUNCTION("""COMPUTED_VALUE"""),"CSTM_I99G063CYOB")</f>
        <v>CSTM_I99G063CYOB</v>
      </c>
      <c r="Q1109" s="6"/>
      <c r="R1109" s="6" t="str">
        <f ca="1">IFERROR(__xludf.DUMMYFUNCTION("""COMPUTED_VALUE"""),"Done. Good feedback.")</f>
        <v>Done. Good feedback.</v>
      </c>
      <c r="S1109" s="6" t="str">
        <f ca="1">IFERROR(__xludf.DUMMYFUNCTION("""COMPUTED_VALUE"""),"Category")</f>
        <v>Category</v>
      </c>
      <c r="T1109" s="6"/>
      <c r="U1109" s="6"/>
      <c r="V1109" s="6"/>
      <c r="W1109" s="6"/>
      <c r="X1109" s="6"/>
      <c r="Y1109" s="6"/>
      <c r="Z1109" s="6"/>
      <c r="AA1109" s="6"/>
      <c r="AB1109" s="6"/>
      <c r="AC1109" s="6"/>
      <c r="AD1109" s="6"/>
      <c r="AE1109" s="6"/>
      <c r="AF1109" s="6"/>
      <c r="AG1109" s="6"/>
      <c r="AH1109" s="6"/>
      <c r="AI1109" s="6"/>
      <c r="AJ1109" s="6"/>
      <c r="AK1109" s="6"/>
      <c r="AL1109" s="6"/>
    </row>
    <row r="1110" spans="1:38">
      <c r="A1110" s="96">
        <f ca="1">IFERROR(__xludf.DUMMYFUNCTION("""COMPUTED_VALUE"""),44739)</f>
        <v>44739</v>
      </c>
      <c r="B1110" s="6" t="str">
        <f ca="1">IFERROR(__xludf.DUMMYFUNCTION("""COMPUTED_VALUE"""),"Janani Krishnan")</f>
        <v>Janani Krishnan</v>
      </c>
      <c r="C1110" s="6" t="str">
        <f ca="1">IFERROR(__xludf.DUMMYFUNCTION("""COMPUTED_VALUE"""),"k.jananikrishnan@gmail.com")</f>
        <v>k.jananikrishnan@gmail.com</v>
      </c>
      <c r="D1110" s="6">
        <f ca="1">IFERROR(__xludf.DUMMYFUNCTION("""COMPUTED_VALUE"""),8838954778)</f>
        <v>8838954778</v>
      </c>
      <c r="E1110" s="6" t="str">
        <f ca="1">IFERROR(__xludf.DUMMYFUNCTION("""COMPUTED_VALUE"""),"course agenda")</f>
        <v>course agenda</v>
      </c>
      <c r="F1110" s="6" t="str">
        <f ca="1">IFERROR(__xludf.DUMMYFUNCTION("""COMPUTED_VALUE"""),"SAFe SSM")</f>
        <v>SAFe SSM</v>
      </c>
      <c r="G1110" s="80">
        <f ca="1">IFERROR(__xludf.DUMMYFUNCTION("""COMPUTED_VALUE"""),44713)</f>
        <v>44713</v>
      </c>
      <c r="H1110" s="6" t="str">
        <f ca="1">IFERROR(__xludf.DUMMYFUNCTION("""COMPUTED_VALUE"""),"Won")</f>
        <v>Won</v>
      </c>
      <c r="I1110" s="6" t="str">
        <f ca="1">IFERROR(__xludf.DUMMYFUNCTION("""COMPUTED_VALUE"""),"2-3 July 2022")</f>
        <v>2-3 July 2022</v>
      </c>
      <c r="J1110" s="6">
        <f ca="1">IFERROR(__xludf.DUMMYFUNCTION("""COMPUTED_VALUE"""),1)</f>
        <v>1</v>
      </c>
      <c r="K1110" s="8">
        <f ca="1">IFERROR(__xludf.DUMMYFUNCTION("""COMPUTED_VALUE"""),40061)</f>
        <v>40061</v>
      </c>
      <c r="L1110" s="8">
        <f ca="1">IFERROR(__xludf.DUMMYFUNCTION("""COMPUTED_VALUE"""),458.783783783783)</f>
        <v>458.78378378378301</v>
      </c>
      <c r="M1110" s="96">
        <f ca="1">IFERROR(__xludf.DUMMYFUNCTION("""COMPUTED_VALUE"""),44738)</f>
        <v>44738</v>
      </c>
      <c r="N1110" s="6" t="str">
        <f ca="1">IFERROR(__xludf.DUMMYFUNCTION("""COMPUTED_VALUE"""),"T10")</f>
        <v>T10</v>
      </c>
      <c r="O1110" s="97">
        <f ca="1">IFERROR(__xludf.DUMMYFUNCTION("""COMPUTED_VALUE"""),44740)</f>
        <v>44740</v>
      </c>
      <c r="P1110" s="6" t="str">
        <f ca="1">IFERROR(__xludf.DUMMYFUNCTION("""COMPUTED_VALUE"""),"CSTM_CEIAHPT5QYN")</f>
        <v>CSTM_CEIAHPT5QYN</v>
      </c>
      <c r="Q1110" s="6"/>
      <c r="R1110" s="6" t="str">
        <f ca="1">IFERROR(__xludf.DUMMYFUNCTION("""COMPUTED_VALUE"""),"Pending")</f>
        <v>Pending</v>
      </c>
      <c r="S1110" s="6" t="str">
        <f ca="1">IFERROR(__xludf.DUMMYFUNCTION("""COMPUTED_VALUE"""),"SAFe")</f>
        <v>SAFe</v>
      </c>
      <c r="T1110" s="6"/>
      <c r="U1110" s="6"/>
      <c r="V1110" s="6"/>
      <c r="W1110" s="6"/>
      <c r="X1110" s="6"/>
      <c r="Y1110" s="6"/>
      <c r="Z1110" s="6"/>
      <c r="AA1110" s="6"/>
      <c r="AB1110" s="6"/>
      <c r="AC1110" s="6"/>
      <c r="AD1110" s="6"/>
      <c r="AE1110" s="6"/>
      <c r="AF1110" s="6"/>
      <c r="AG1110" s="6"/>
      <c r="AH1110" s="6"/>
      <c r="AI1110" s="6"/>
      <c r="AJ1110" s="6"/>
      <c r="AK1110" s="6"/>
      <c r="AL1110" s="6"/>
    </row>
    <row r="1111" spans="1:38">
      <c r="A1111" s="96">
        <f ca="1">IFERROR(__xludf.DUMMYFUNCTION("""COMPUTED_VALUE"""),44739)</f>
        <v>44739</v>
      </c>
      <c r="B1111" s="6" t="str">
        <f ca="1">IFERROR(__xludf.DUMMYFUNCTION("""COMPUTED_VALUE"""),"Saurabh Garg")</f>
        <v>Saurabh Garg</v>
      </c>
      <c r="C1111" s="6" t="str">
        <f ca="1">IFERROR(__xludf.DUMMYFUNCTION("""COMPUTED_VALUE"""),"saurabh.garg83@gmail.com")</f>
        <v>saurabh.garg83@gmail.com</v>
      </c>
      <c r="D1111" s="6">
        <f ca="1">IFERROR(__xludf.DUMMYFUNCTION("""COMPUTED_VALUE"""),9650911080)</f>
        <v>9650911080</v>
      </c>
      <c r="E1111" s="6" t="str">
        <f ca="1">IFERROR(__xludf.DUMMYFUNCTION("""COMPUTED_VALUE"""),"Query box")</f>
        <v>Query box</v>
      </c>
      <c r="F1111" s="6" t="str">
        <f ca="1">IFERROR(__xludf.DUMMYFUNCTION("""COMPUTED_VALUE"""),"PSM")</f>
        <v>PSM</v>
      </c>
      <c r="G1111" s="80">
        <f ca="1">IFERROR(__xludf.DUMMYFUNCTION("""COMPUTED_VALUE"""),44713)</f>
        <v>44713</v>
      </c>
      <c r="H1111" s="6" t="str">
        <f ca="1">IFERROR(__xludf.DUMMYFUNCTION("""COMPUTED_VALUE"""),"Won")</f>
        <v>Won</v>
      </c>
      <c r="I1111" s="6" t="str">
        <f ca="1">IFERROR(__xludf.DUMMYFUNCTION("""COMPUTED_VALUE"""),"2-3 July 2022")</f>
        <v>2-3 July 2022</v>
      </c>
      <c r="J1111" s="6">
        <f ca="1">IFERROR(__xludf.DUMMYFUNCTION("""COMPUTED_VALUE"""),1)</f>
        <v>1</v>
      </c>
      <c r="K1111" s="8">
        <f ca="1">IFERROR(__xludf.DUMMYFUNCTION("""COMPUTED_VALUE"""),21000)</f>
        <v>21000</v>
      </c>
      <c r="L1111" s="8">
        <f ca="1">IFERROR(__xludf.DUMMYFUNCTION("""COMPUTED_VALUE"""),240.494732020155)</f>
        <v>240.494732020155</v>
      </c>
      <c r="M1111" s="96">
        <f ca="1">IFERROR(__xludf.DUMMYFUNCTION("""COMPUTED_VALUE"""),44740)</f>
        <v>44740</v>
      </c>
      <c r="N1111" s="6" t="str">
        <f ca="1">IFERROR(__xludf.DUMMYFUNCTION("""COMPUTED_VALUE"""),"T10")</f>
        <v>T10</v>
      </c>
      <c r="O1111" s="97">
        <f ca="1">IFERROR(__xludf.DUMMYFUNCTION("""COMPUTED_VALUE"""),44741)</f>
        <v>44741</v>
      </c>
      <c r="P1111" s="6" t="str">
        <f ca="1">IFERROR(__xludf.DUMMYFUNCTION("""COMPUTED_VALUE"""),"CSTM_7JWHT3WC4F9")</f>
        <v>CSTM_7JWHT3WC4F9</v>
      </c>
      <c r="Q1111" s="6"/>
      <c r="R1111" s="6" t="str">
        <f ca="1">IFERROR(__xludf.DUMMYFUNCTION("""COMPUTED_VALUE"""),"Done. Good feedback.")</f>
        <v>Done. Good feedback.</v>
      </c>
      <c r="S1111" s="6" t="str">
        <f ca="1">IFERROR(__xludf.DUMMYFUNCTION("""COMPUTED_VALUE"""),"Category")</f>
        <v>Category</v>
      </c>
      <c r="T1111" s="6"/>
      <c r="U1111" s="6"/>
      <c r="V1111" s="6"/>
      <c r="W1111" s="6"/>
      <c r="X1111" s="6"/>
      <c r="Y1111" s="6"/>
      <c r="Z1111" s="6"/>
      <c r="AA1111" s="6"/>
      <c r="AB1111" s="6"/>
      <c r="AC1111" s="6"/>
      <c r="AD1111" s="6"/>
      <c r="AE1111" s="6"/>
      <c r="AF1111" s="6"/>
      <c r="AG1111" s="6"/>
      <c r="AH1111" s="6"/>
      <c r="AI1111" s="6"/>
      <c r="AJ1111" s="6"/>
      <c r="AK1111" s="6"/>
      <c r="AL1111" s="6"/>
    </row>
    <row r="1112" spans="1:38">
      <c r="A1112" s="96">
        <f ca="1">IFERROR(__xludf.DUMMYFUNCTION("""COMPUTED_VALUE"""),44741)</f>
        <v>44741</v>
      </c>
      <c r="B1112" s="6" t="str">
        <f ca="1">IFERROR(__xludf.DUMMYFUNCTION("""COMPUTED_VALUE"""),"Sekar Jayabal")</f>
        <v>Sekar Jayabal</v>
      </c>
      <c r="C1112" s="6" t="str">
        <f ca="1">IFERROR(__xludf.DUMMYFUNCTION("""COMPUTED_VALUE"""),"sekar.jayabal@gmail.com")</f>
        <v>sekar.jayabal@gmail.com</v>
      </c>
      <c r="D1112" s="6">
        <f ca="1">IFERROR(__xludf.DUMMYFUNCTION("""COMPUTED_VALUE"""),9845848799)</f>
        <v>9845848799</v>
      </c>
      <c r="E1112" s="6" t="str">
        <f ca="1">IFERROR(__xludf.DUMMYFUNCTION("""COMPUTED_VALUE"""),"chat_initiated")</f>
        <v>chat_initiated</v>
      </c>
      <c r="F1112" s="6" t="str">
        <f ca="1">IFERROR(__xludf.DUMMYFUNCTION("""COMPUTED_VALUE"""),"SAFe POPM")</f>
        <v>SAFe POPM</v>
      </c>
      <c r="G1112" s="80">
        <f ca="1">IFERROR(__xludf.DUMMYFUNCTION("""COMPUTED_VALUE"""),44713)</f>
        <v>44713</v>
      </c>
      <c r="H1112" s="6" t="str">
        <f ca="1">IFERROR(__xludf.DUMMYFUNCTION("""COMPUTED_VALUE"""),"Won")</f>
        <v>Won</v>
      </c>
      <c r="I1112" s="6" t="str">
        <f ca="1">IFERROR(__xludf.DUMMYFUNCTION("""COMPUTED_VALUE"""),"4-5 July 2022")</f>
        <v>4-5 July 2022</v>
      </c>
      <c r="J1112" s="6">
        <f ca="1">IFERROR(__xludf.DUMMYFUNCTION("""COMPUTED_VALUE"""),1)</f>
        <v>1</v>
      </c>
      <c r="K1112" s="8">
        <f ca="1">IFERROR(__xludf.DUMMYFUNCTION("""COMPUTED_VALUE"""),42000)</f>
        <v>42000</v>
      </c>
      <c r="L1112" s="8">
        <f ca="1">IFERROR(__xludf.DUMMYFUNCTION("""COMPUTED_VALUE"""),480.989464040311)</f>
        <v>480.98946404031102</v>
      </c>
      <c r="M1112" s="96">
        <f ca="1">IFERROR(__xludf.DUMMYFUNCTION("""COMPUTED_VALUE"""),44741)</f>
        <v>44741</v>
      </c>
      <c r="N1112" s="6" t="str">
        <f ca="1">IFERROR(__xludf.DUMMYFUNCTION("""COMPUTED_VALUE"""),"T10")</f>
        <v>T10</v>
      </c>
      <c r="O1112" s="97">
        <f ca="1">IFERROR(__xludf.DUMMYFUNCTION("""COMPUTED_VALUE"""),44741)</f>
        <v>44741</v>
      </c>
      <c r="P1112" s="6" t="str">
        <f ca="1">IFERROR(__xludf.DUMMYFUNCTION("""COMPUTED_VALUE"""),"CSTM_8592JEISID3")</f>
        <v>CSTM_8592JEISID3</v>
      </c>
      <c r="Q1112" s="6"/>
      <c r="R1112" s="6" t="str">
        <f ca="1">IFERROR(__xludf.DUMMYFUNCTION("""COMPUTED_VALUE"""),"Pending")</f>
        <v>Pending</v>
      </c>
      <c r="S1112" s="6" t="str">
        <f ca="1">IFERROR(__xludf.DUMMYFUNCTION("""COMPUTED_VALUE"""),"SAFe")</f>
        <v>SAFe</v>
      </c>
      <c r="T1112" s="6"/>
      <c r="U1112" s="6"/>
      <c r="V1112" s="6"/>
      <c r="W1112" s="6"/>
      <c r="X1112" s="6"/>
      <c r="Y1112" s="6"/>
      <c r="Z1112" s="6"/>
      <c r="AA1112" s="6"/>
      <c r="AB1112" s="6"/>
      <c r="AC1112" s="6"/>
      <c r="AD1112" s="6"/>
      <c r="AE1112" s="6"/>
      <c r="AF1112" s="6"/>
      <c r="AG1112" s="6"/>
      <c r="AH1112" s="6"/>
      <c r="AI1112" s="6"/>
      <c r="AJ1112" s="6"/>
      <c r="AK1112" s="6"/>
      <c r="AL1112" s="6"/>
    </row>
    <row r="1113" spans="1:38">
      <c r="A1113" s="96">
        <f ca="1">IFERROR(__xludf.DUMMYFUNCTION("""COMPUTED_VALUE"""),44741)</f>
        <v>44741</v>
      </c>
      <c r="B1113" s="6" t="str">
        <f ca="1">IFERROR(__xludf.DUMMYFUNCTION("""COMPUTED_VALUE"""),"Radhika Santosh")</f>
        <v>Radhika Santosh</v>
      </c>
      <c r="C1113" s="6" t="str">
        <f ca="1">IFERROR(__xludf.DUMMYFUNCTION("""COMPUTED_VALUE"""),"radhikasantosh@gmail.com")</f>
        <v>radhikasantosh@gmail.com</v>
      </c>
      <c r="D1113" s="6">
        <f ca="1">IFERROR(__xludf.DUMMYFUNCTION("""COMPUTED_VALUE"""),9886704280)</f>
        <v>9886704280</v>
      </c>
      <c r="E1113" s="6" t="str">
        <f ca="1">IFERROR(__xludf.DUMMYFUNCTION("""COMPUTED_VALUE"""),"Existing Account")</f>
        <v>Existing Account</v>
      </c>
      <c r="F1113" s="6" t="str">
        <f ca="1">IFERROR(__xludf.DUMMYFUNCTION("""COMPUTED_VALUE"""),"SAFe Agile")</f>
        <v>SAFe Agile</v>
      </c>
      <c r="G1113" s="80">
        <f ca="1">IFERROR(__xludf.DUMMYFUNCTION("""COMPUTED_VALUE"""),44713)</f>
        <v>44713</v>
      </c>
      <c r="H1113" s="6" t="str">
        <f ca="1">IFERROR(__xludf.DUMMYFUNCTION("""COMPUTED_VALUE"""),"Won")</f>
        <v>Won</v>
      </c>
      <c r="I1113" s="6" t="str">
        <f ca="1">IFERROR(__xludf.DUMMYFUNCTION("""COMPUTED_VALUE"""),"9-10 July 2022")</f>
        <v>9-10 July 2022</v>
      </c>
      <c r="J1113" s="6">
        <f ca="1">IFERROR(__xludf.DUMMYFUNCTION("""COMPUTED_VALUE"""),1)</f>
        <v>1</v>
      </c>
      <c r="K1113" s="8">
        <f ca="1">IFERROR(__xludf.DUMMYFUNCTION("""COMPUTED_VALUE"""),42000)</f>
        <v>42000</v>
      </c>
      <c r="L1113" s="8">
        <f ca="1">IFERROR(__xludf.DUMMYFUNCTION("""COMPUTED_VALUE"""),480.989464040311)</f>
        <v>480.98946404031102</v>
      </c>
      <c r="M1113" s="96">
        <f ca="1">IFERROR(__xludf.DUMMYFUNCTION("""COMPUTED_VALUE"""),44741)</f>
        <v>44741</v>
      </c>
      <c r="N1113" s="6" t="str">
        <f ca="1">IFERROR(__xludf.DUMMYFUNCTION("""COMPUTED_VALUE"""),"T10")</f>
        <v>T10</v>
      </c>
      <c r="O1113" s="97">
        <f ca="1">IFERROR(__xludf.DUMMYFUNCTION("""COMPUTED_VALUE"""),44741)</f>
        <v>44741</v>
      </c>
      <c r="P1113" s="6" t="str">
        <f ca="1">IFERROR(__xludf.DUMMYFUNCTION("""COMPUTED_VALUE"""),"CSTM_FMZ5SRWVDAO")</f>
        <v>CSTM_FMZ5SRWVDAO</v>
      </c>
      <c r="Q1113" s="6"/>
      <c r="R1113" s="6" t="str">
        <f ca="1">IFERROR(__xludf.DUMMYFUNCTION("""COMPUTED_VALUE"""),"Done. Good feedback.")</f>
        <v>Done. Good feedback.</v>
      </c>
      <c r="S1113" s="6" t="str">
        <f ca="1">IFERROR(__xludf.DUMMYFUNCTION("""COMPUTED_VALUE"""),"SAFe")</f>
        <v>SAFe</v>
      </c>
      <c r="T1113" s="6"/>
      <c r="U1113" s="6"/>
      <c r="V1113" s="6"/>
      <c r="W1113" s="6"/>
      <c r="X1113" s="6"/>
      <c r="Y1113" s="6"/>
      <c r="Z1113" s="6"/>
      <c r="AA1113" s="6"/>
      <c r="AB1113" s="6"/>
      <c r="AC1113" s="6"/>
      <c r="AD1113" s="6"/>
      <c r="AE1113" s="6"/>
      <c r="AF1113" s="6"/>
      <c r="AG1113" s="6"/>
      <c r="AH1113" s="6"/>
      <c r="AI1113" s="6"/>
      <c r="AJ1113" s="6"/>
      <c r="AK1113" s="6"/>
      <c r="AL1113" s="6"/>
    </row>
    <row r="1114" spans="1:38">
      <c r="A1114" s="96">
        <f ca="1">IFERROR(__xludf.DUMMYFUNCTION("""COMPUTED_VALUE"""),44741)</f>
        <v>44741</v>
      </c>
      <c r="B1114" s="6" t="str">
        <f ca="1">IFERROR(__xludf.DUMMYFUNCTION("""COMPUTED_VALUE"""),"Kaushik S")</f>
        <v>Kaushik S</v>
      </c>
      <c r="C1114" s="6" t="str">
        <f ca="1">IFERROR(__xludf.DUMMYFUNCTION("""COMPUTED_VALUE"""),"kaushik.s@eclerx.com")</f>
        <v>kaushik.s@eclerx.com</v>
      </c>
      <c r="D1114" s="6">
        <f ca="1">IFERROR(__xludf.DUMMYFUNCTION("""COMPUTED_VALUE"""),9600010688)</f>
        <v>9600010688</v>
      </c>
      <c r="E1114" s="6" t="str">
        <f ca="1">IFERROR(__xludf.DUMMYFUNCTION("""COMPUTED_VALUE"""),"Reference")</f>
        <v>Reference</v>
      </c>
      <c r="F1114" s="6" t="str">
        <f ca="1">IFERROR(__xludf.DUMMYFUNCTION("""COMPUTED_VALUE"""),"SAFe Agile")</f>
        <v>SAFe Agile</v>
      </c>
      <c r="G1114" s="80">
        <f ca="1">IFERROR(__xludf.DUMMYFUNCTION("""COMPUTED_VALUE"""),44713)</f>
        <v>44713</v>
      </c>
      <c r="H1114" s="6" t="str">
        <f ca="1">IFERROR(__xludf.DUMMYFUNCTION("""COMPUTED_VALUE"""),"Won")</f>
        <v>Won</v>
      </c>
      <c r="I1114" s="6" t="str">
        <f ca="1">IFERROR(__xludf.DUMMYFUNCTION("""COMPUTED_VALUE"""),"9-10 July 2022")</f>
        <v>9-10 July 2022</v>
      </c>
      <c r="J1114" s="6">
        <f ca="1">IFERROR(__xludf.DUMMYFUNCTION("""COMPUTED_VALUE"""),1)</f>
        <v>1</v>
      </c>
      <c r="K1114" s="8">
        <f ca="1">IFERROR(__xludf.DUMMYFUNCTION("""COMPUTED_VALUE"""),40061)</f>
        <v>40061</v>
      </c>
      <c r="L1114" s="8">
        <f ca="1">IFERROR(__xludf.DUMMYFUNCTION("""COMPUTED_VALUE"""),458.783783783783)</f>
        <v>458.78378378378301</v>
      </c>
      <c r="M1114" s="96">
        <f ca="1">IFERROR(__xludf.DUMMYFUNCTION("""COMPUTED_VALUE"""),44741)</f>
        <v>44741</v>
      </c>
      <c r="N1114" s="6" t="str">
        <f ca="1">IFERROR(__xludf.DUMMYFUNCTION("""COMPUTED_VALUE"""),"T10")</f>
        <v>T10</v>
      </c>
      <c r="O1114" s="97">
        <f ca="1">IFERROR(__xludf.DUMMYFUNCTION("""COMPUTED_VALUE"""),44741)</f>
        <v>44741</v>
      </c>
      <c r="P1114" s="6" t="str">
        <f ca="1">IFERROR(__xludf.DUMMYFUNCTION("""COMPUTED_VALUE"""),"CSTM_8WYFCHJ0G7C")</f>
        <v>CSTM_8WYFCHJ0G7C</v>
      </c>
      <c r="Q1114" s="6" t="str">
        <f ca="1">IFERROR(__xludf.DUMMYFUNCTION("""COMPUTED_VALUE"""),"Reference by amit.gmat1@gmail.com")</f>
        <v>Reference by amit.gmat1@gmail.com</v>
      </c>
      <c r="R1114" s="6" t="str">
        <f ca="1">IFERROR(__xludf.DUMMYFUNCTION("""COMPUTED_VALUE"""),"Done. Good feedback.")</f>
        <v>Done. Good feedback.</v>
      </c>
      <c r="S1114" s="6" t="str">
        <f ca="1">IFERROR(__xludf.DUMMYFUNCTION("""COMPUTED_VALUE"""),"SAFe")</f>
        <v>SAFe</v>
      </c>
      <c r="T1114" s="6"/>
      <c r="U1114" s="6"/>
      <c r="V1114" s="6"/>
      <c r="W1114" s="6"/>
      <c r="X1114" s="6"/>
      <c r="Y1114" s="6"/>
      <c r="Z1114" s="6"/>
      <c r="AA1114" s="6"/>
      <c r="AB1114" s="6"/>
      <c r="AC1114" s="6"/>
      <c r="AD1114" s="6"/>
      <c r="AE1114" s="6"/>
      <c r="AF1114" s="6"/>
      <c r="AG1114" s="6"/>
      <c r="AH1114" s="6"/>
      <c r="AI1114" s="6"/>
      <c r="AJ1114" s="6"/>
      <c r="AK1114" s="6"/>
      <c r="AL1114" s="6"/>
    </row>
    <row r="1115" spans="1:38">
      <c r="A1115" s="96">
        <f ca="1">IFERROR(__xludf.DUMMYFUNCTION("""COMPUTED_VALUE"""),44742)</f>
        <v>44742</v>
      </c>
      <c r="B1115" s="6" t="str">
        <f ca="1">IFERROR(__xludf.DUMMYFUNCTION("""COMPUTED_VALUE"""),"Malcolm Lewis")</f>
        <v>Malcolm Lewis</v>
      </c>
      <c r="C1115" s="6" t="str">
        <f ca="1">IFERROR(__xludf.DUMMYFUNCTION("""COMPUTED_VALUE"""),"malcolmlewis74@gmail.com")</f>
        <v>malcolmlewis74@gmail.com</v>
      </c>
      <c r="D1115" s="6">
        <f ca="1">IFERROR(__xludf.DUMMYFUNCTION("""COMPUTED_VALUE"""),9480322985)</f>
        <v>9480322985</v>
      </c>
      <c r="E1115" s="6" t="str">
        <f ca="1">IFERROR(__xludf.DUMMYFUNCTION("""COMPUTED_VALUE"""),"course agenda")</f>
        <v>course agenda</v>
      </c>
      <c r="F1115" s="6" t="str">
        <f ca="1">IFERROR(__xludf.DUMMYFUNCTION("""COMPUTED_VALUE"""),"PSM")</f>
        <v>PSM</v>
      </c>
      <c r="G1115" s="80">
        <f ca="1">IFERROR(__xludf.DUMMYFUNCTION("""COMPUTED_VALUE"""),44713)</f>
        <v>44713</v>
      </c>
      <c r="H1115" s="6" t="str">
        <f ca="1">IFERROR(__xludf.DUMMYFUNCTION("""COMPUTED_VALUE"""),"Won")</f>
        <v>Won</v>
      </c>
      <c r="I1115" s="6" t="str">
        <f ca="1">IFERROR(__xludf.DUMMYFUNCTION("""COMPUTED_VALUE"""),"2-3 July 2022")</f>
        <v>2-3 July 2022</v>
      </c>
      <c r="J1115" s="6">
        <f ca="1">IFERROR(__xludf.DUMMYFUNCTION("""COMPUTED_VALUE"""),1)</f>
        <v>1</v>
      </c>
      <c r="K1115" s="8">
        <f ca="1">IFERROR(__xludf.DUMMYFUNCTION("""COMPUTED_VALUE"""),21000)</f>
        <v>21000</v>
      </c>
      <c r="L1115" s="8">
        <f ca="1">IFERROR(__xludf.DUMMYFUNCTION("""COMPUTED_VALUE"""),240.494732020155)</f>
        <v>240.494732020155</v>
      </c>
      <c r="M1115" s="96">
        <f ca="1">IFERROR(__xludf.DUMMYFUNCTION("""COMPUTED_VALUE"""),44742)</f>
        <v>44742</v>
      </c>
      <c r="N1115" s="6" t="str">
        <f ca="1">IFERROR(__xludf.DUMMYFUNCTION("""COMPUTED_VALUE"""),"T10")</f>
        <v>T10</v>
      </c>
      <c r="O1115" s="97">
        <f ca="1">IFERROR(__xludf.DUMMYFUNCTION("""COMPUTED_VALUE"""),44742)</f>
        <v>44742</v>
      </c>
      <c r="P1115" s="6" t="str">
        <f ca="1">IFERROR(__xludf.DUMMYFUNCTION("""COMPUTED_VALUE"""),"CSTM_9JUQHBKPH6J")</f>
        <v>CSTM_9JUQHBKPH6J</v>
      </c>
      <c r="Q1115" s="6"/>
      <c r="R1115" s="6" t="str">
        <f ca="1">IFERROR(__xludf.DUMMYFUNCTION("""COMPUTED_VALUE"""),"Done. Good feedback.")</f>
        <v>Done. Good feedback.</v>
      </c>
      <c r="S1115" s="6" t="str">
        <f ca="1">IFERROR(__xludf.DUMMYFUNCTION("""COMPUTED_VALUE"""),"Category")</f>
        <v>Category</v>
      </c>
      <c r="T1115" s="6"/>
      <c r="U1115" s="6"/>
      <c r="V1115" s="6"/>
      <c r="W1115" s="6"/>
      <c r="X1115" s="6"/>
      <c r="Y1115" s="6"/>
      <c r="Z1115" s="6"/>
      <c r="AA1115" s="6"/>
      <c r="AB1115" s="6"/>
      <c r="AC1115" s="6"/>
      <c r="AD1115" s="6"/>
      <c r="AE1115" s="6"/>
      <c r="AF1115" s="6"/>
      <c r="AG1115" s="6"/>
      <c r="AH1115" s="6"/>
      <c r="AI1115" s="6"/>
      <c r="AJ1115" s="6"/>
      <c r="AK1115" s="6"/>
      <c r="AL1115" s="6"/>
    </row>
    <row r="1116" spans="1:38">
      <c r="A1116" s="96">
        <f ca="1">IFERROR(__xludf.DUMMYFUNCTION("""COMPUTED_VALUE"""),44743)</f>
        <v>44743</v>
      </c>
      <c r="B1116" s="6" t="str">
        <f ca="1">IFERROR(__xludf.DUMMYFUNCTION("""COMPUTED_VALUE"""),"Ramakrishna Reddy")</f>
        <v>Ramakrishna Reddy</v>
      </c>
      <c r="C1116" s="6" t="str">
        <f ca="1">IFERROR(__xludf.DUMMYFUNCTION("""COMPUTED_VALUE"""),"ramakrishna.cingireddy215@gmail.com")</f>
        <v>ramakrishna.cingireddy215@gmail.com</v>
      </c>
      <c r="D1116" s="6">
        <f ca="1">IFERROR(__xludf.DUMMYFUNCTION("""COMPUTED_VALUE"""),7816003890)</f>
        <v>7816003890</v>
      </c>
      <c r="E1116" s="6" t="str">
        <f ca="1">IFERROR(__xludf.DUMMYFUNCTION("""COMPUTED_VALUE"""),"na-payment")</f>
        <v>na-payment</v>
      </c>
      <c r="F1116" s="6" t="str">
        <f ca="1">IFERROR(__xludf.DUMMYFUNCTION("""COMPUTED_VALUE"""),"SAFe SSM")</f>
        <v>SAFe SSM</v>
      </c>
      <c r="G1116" s="80">
        <f ca="1">IFERROR(__xludf.DUMMYFUNCTION("""COMPUTED_VALUE"""),44743)</f>
        <v>44743</v>
      </c>
      <c r="H1116" s="6" t="str">
        <f ca="1">IFERROR(__xludf.DUMMYFUNCTION("""COMPUTED_VALUE"""),"Won")</f>
        <v>Won</v>
      </c>
      <c r="I1116" s="6" t="str">
        <f ca="1">IFERROR(__xludf.DUMMYFUNCTION("""COMPUTED_VALUE"""),"2-3 July 2022")</f>
        <v>2-3 July 2022</v>
      </c>
      <c r="J1116" s="6">
        <f ca="1">IFERROR(__xludf.DUMMYFUNCTION("""COMPUTED_VALUE"""),1)</f>
        <v>1</v>
      </c>
      <c r="K1116" s="8">
        <f ca="1">IFERROR(__xludf.DUMMYFUNCTION("""COMPUTED_VALUE"""),42000)</f>
        <v>42000</v>
      </c>
      <c r="L1116" s="8">
        <f ca="1">IFERROR(__xludf.DUMMYFUNCTION("""COMPUTED_VALUE"""),480.989464040311)</f>
        <v>480.98946404031102</v>
      </c>
      <c r="M1116" s="96">
        <f ca="1">IFERROR(__xludf.DUMMYFUNCTION("""COMPUTED_VALUE"""),44743)</f>
        <v>44743</v>
      </c>
      <c r="N1116" s="6" t="str">
        <f ca="1">IFERROR(__xludf.DUMMYFUNCTION("""COMPUTED_VALUE"""),"F10")</f>
        <v>F10</v>
      </c>
      <c r="O1116" s="97">
        <f ca="1">IFERROR(__xludf.DUMMYFUNCTION("""COMPUTED_VALUE"""),44743)</f>
        <v>44743</v>
      </c>
      <c r="P1116" s="6" t="str">
        <f ca="1">IFERROR(__xludf.DUMMYFUNCTION("""COMPUTED_VALUE"""),"CSTM_7JPVA9GD7ZH")</f>
        <v>CSTM_7JPVA9GD7ZH</v>
      </c>
      <c r="Q1116" s="6"/>
      <c r="R1116" s="6" t="str">
        <f ca="1">IFERROR(__xludf.DUMMYFUNCTION("""COMPUTED_VALUE"""),"Done. Good feedback.")</f>
        <v>Done. Good feedback.</v>
      </c>
      <c r="S1116" s="6" t="str">
        <f ca="1">IFERROR(__xludf.DUMMYFUNCTION("""COMPUTED_VALUE"""),"SAFe")</f>
        <v>SAFe</v>
      </c>
      <c r="T1116" s="6"/>
      <c r="U1116" s="6"/>
      <c r="V1116" s="6"/>
      <c r="W1116" s="6"/>
      <c r="X1116" s="6"/>
      <c r="Y1116" s="6"/>
      <c r="Z1116" s="6"/>
      <c r="AA1116" s="6"/>
      <c r="AB1116" s="6"/>
      <c r="AC1116" s="6"/>
      <c r="AD1116" s="6"/>
      <c r="AE1116" s="6"/>
      <c r="AF1116" s="6"/>
      <c r="AG1116" s="6"/>
      <c r="AH1116" s="6"/>
      <c r="AI1116" s="6"/>
      <c r="AJ1116" s="6"/>
      <c r="AK1116" s="6"/>
      <c r="AL1116" s="6"/>
    </row>
    <row r="1117" spans="1:38">
      <c r="A1117" s="96">
        <f ca="1">IFERROR(__xludf.DUMMYFUNCTION("""COMPUTED_VALUE"""),44743)</f>
        <v>44743</v>
      </c>
      <c r="B1117" s="6" t="str">
        <f ca="1">IFERROR(__xludf.DUMMYFUNCTION("""COMPUTED_VALUE"""),"Chetan Malavade")</f>
        <v>Chetan Malavade</v>
      </c>
      <c r="C1117" s="6" t="str">
        <f ca="1">IFERROR(__xludf.DUMMYFUNCTION("""COMPUTED_VALUE"""),"chetan.malavade@tcs.com")</f>
        <v>chetan.malavade@tcs.com</v>
      </c>
      <c r="D1117" s="6">
        <f ca="1">IFERROR(__xludf.DUMMYFUNCTION("""COMPUTED_VALUE"""),9823111705)</f>
        <v>9823111705</v>
      </c>
      <c r="E1117" s="6" t="str">
        <f ca="1">IFERROR(__xludf.DUMMYFUNCTION("""COMPUTED_VALUE"""),"frs_chat_initiated")</f>
        <v>frs_chat_initiated</v>
      </c>
      <c r="F1117" s="6" t="str">
        <f ca="1">IFERROR(__xludf.DUMMYFUNCTION("""COMPUTED_VALUE"""),"PSM 2")</f>
        <v>PSM 2</v>
      </c>
      <c r="G1117" s="80">
        <f ca="1">IFERROR(__xludf.DUMMYFUNCTION("""COMPUTED_VALUE"""),44743)</f>
        <v>44743</v>
      </c>
      <c r="H1117" s="6" t="str">
        <f ca="1">IFERROR(__xludf.DUMMYFUNCTION("""COMPUTED_VALUE"""),"Won")</f>
        <v>Won</v>
      </c>
      <c r="I1117" s="6" t="str">
        <f ca="1">IFERROR(__xludf.DUMMYFUNCTION("""COMPUTED_VALUE"""),"23-24 July 2022")</f>
        <v>23-24 July 2022</v>
      </c>
      <c r="J1117" s="6">
        <f ca="1">IFERROR(__xludf.DUMMYFUNCTION("""COMPUTED_VALUE"""),1)</f>
        <v>1</v>
      </c>
      <c r="K1117" s="8">
        <f ca="1">IFERROR(__xludf.DUMMYFUNCTION("""COMPUTED_VALUE"""),24000)</f>
        <v>24000</v>
      </c>
      <c r="L1117" s="8">
        <f ca="1">IFERROR(__xludf.DUMMYFUNCTION("""COMPUTED_VALUE"""),274.851122308749)</f>
        <v>274.85112230874898</v>
      </c>
      <c r="M1117" s="96">
        <f ca="1">IFERROR(__xludf.DUMMYFUNCTION("""COMPUTED_VALUE"""),44743)</f>
        <v>44743</v>
      </c>
      <c r="N1117" s="6" t="str">
        <f ca="1">IFERROR(__xludf.DUMMYFUNCTION("""COMPUTED_VALUE"""),"F10")</f>
        <v>F10</v>
      </c>
      <c r="O1117" s="97">
        <f ca="1">IFERROR(__xludf.DUMMYFUNCTION("""COMPUTED_VALUE"""),44743)</f>
        <v>44743</v>
      </c>
      <c r="P1117" s="6" t="str">
        <f ca="1">IFERROR(__xludf.DUMMYFUNCTION("""COMPUTED_VALUE"""),"CSTM_7CNR7ES7B9P")</f>
        <v>CSTM_7CNR7ES7B9P</v>
      </c>
      <c r="Q1117" s="6"/>
      <c r="R1117" s="6" t="str">
        <f ca="1">IFERROR(__xludf.DUMMYFUNCTION("""COMPUTED_VALUE"""),"Done. Good feedback.")</f>
        <v>Done. Good feedback.</v>
      </c>
      <c r="S1117" s="6" t="str">
        <f ca="1">IFERROR(__xludf.DUMMYFUNCTION("""COMPUTED_VALUE"""),"Category")</f>
        <v>Category</v>
      </c>
      <c r="T1117" s="6"/>
      <c r="U1117" s="6"/>
      <c r="V1117" s="6"/>
      <c r="W1117" s="6"/>
      <c r="X1117" s="6"/>
      <c r="Y1117" s="6"/>
      <c r="Z1117" s="6"/>
      <c r="AA1117" s="6"/>
      <c r="AB1117" s="6"/>
      <c r="AC1117" s="6"/>
      <c r="AD1117" s="6"/>
      <c r="AE1117" s="6"/>
      <c r="AF1117" s="6"/>
      <c r="AG1117" s="6"/>
      <c r="AH1117" s="6"/>
      <c r="AI1117" s="6"/>
      <c r="AJ1117" s="6"/>
      <c r="AK1117" s="6"/>
      <c r="AL1117" s="6"/>
    </row>
    <row r="1118" spans="1:38">
      <c r="A1118" s="96">
        <f ca="1">IFERROR(__xludf.DUMMYFUNCTION("""COMPUTED_VALUE"""),44743)</f>
        <v>44743</v>
      </c>
      <c r="B1118" s="6" t="str">
        <f ca="1">IFERROR(__xludf.DUMMYFUNCTION("""COMPUTED_VALUE"""),"Anoop")</f>
        <v>Anoop</v>
      </c>
      <c r="C1118" s="6" t="str">
        <f ca="1">IFERROR(__xludf.DUMMYFUNCTION("""COMPUTED_VALUE"""),"mydearanoop@gmail.com")</f>
        <v>mydearanoop@gmail.com</v>
      </c>
      <c r="D1118" s="6">
        <f ca="1">IFERROR(__xludf.DUMMYFUNCTION("""COMPUTED_VALUE"""),9936597607)</f>
        <v>9936597607</v>
      </c>
      <c r="E1118" s="6" t="str">
        <f ca="1">IFERROR(__xludf.DUMMYFUNCTION("""COMPUTED_VALUE"""),"Chat_triggered")</f>
        <v>Chat_triggered</v>
      </c>
      <c r="F1118" s="6" t="str">
        <f ca="1">IFERROR(__xludf.DUMMYFUNCTION("""COMPUTED_VALUE"""),"PMP")</f>
        <v>PMP</v>
      </c>
      <c r="G1118" s="80">
        <f ca="1">IFERROR(__xludf.DUMMYFUNCTION("""COMPUTED_VALUE"""),44743)</f>
        <v>44743</v>
      </c>
      <c r="H1118" s="6" t="str">
        <f ca="1">IFERROR(__xludf.DUMMYFUNCTION("""COMPUTED_VALUE"""),"Opportunity")</f>
        <v>Opportunity</v>
      </c>
      <c r="I1118" s="6" t="str">
        <f ca="1">IFERROR(__xludf.DUMMYFUNCTION("""COMPUTED_VALUE"""),"4 July 2022")</f>
        <v>4 July 2022</v>
      </c>
      <c r="J1118" s="6">
        <f ca="1">IFERROR(__xludf.DUMMYFUNCTION("""COMPUTED_VALUE"""),1)</f>
        <v>1</v>
      </c>
      <c r="K1118" s="8">
        <f ca="1">IFERROR(__xludf.DUMMYFUNCTION("""COMPUTED_VALUE"""),10000)</f>
        <v>10000</v>
      </c>
      <c r="L1118" s="8">
        <f ca="1">IFERROR(__xludf.DUMMYFUNCTION("""COMPUTED_VALUE"""),114.521300961978)</f>
        <v>114.521300961978</v>
      </c>
      <c r="M1118" s="96">
        <f ca="1">IFERROR(__xludf.DUMMYFUNCTION("""COMPUTED_VALUE"""),44743)</f>
        <v>44743</v>
      </c>
      <c r="N1118" s="6"/>
      <c r="O1118" s="97"/>
      <c r="P1118" s="6"/>
      <c r="Q1118" s="6"/>
      <c r="R1118" s="6"/>
      <c r="S1118" s="6" t="str">
        <f ca="1">IFERROR(__xludf.DUMMYFUNCTION("""COMPUTED_VALUE"""),"NonCategory")</f>
        <v>NonCategory</v>
      </c>
      <c r="T1118" s="6"/>
      <c r="U1118" s="6"/>
      <c r="V1118" s="6"/>
      <c r="W1118" s="6"/>
      <c r="X1118" s="6"/>
      <c r="Y1118" s="6"/>
      <c r="Z1118" s="6"/>
      <c r="AA1118" s="6"/>
      <c r="AB1118" s="6"/>
      <c r="AC1118" s="6"/>
      <c r="AD1118" s="6"/>
      <c r="AE1118" s="6"/>
      <c r="AF1118" s="6"/>
      <c r="AG1118" s="6"/>
      <c r="AH1118" s="6"/>
      <c r="AI1118" s="6"/>
      <c r="AJ1118" s="6"/>
      <c r="AK1118" s="6"/>
      <c r="AL1118" s="6"/>
    </row>
    <row r="1119" spans="1:38">
      <c r="A1119" s="96">
        <f ca="1">IFERROR(__xludf.DUMMYFUNCTION("""COMPUTED_VALUE"""),44743)</f>
        <v>44743</v>
      </c>
      <c r="B1119" s="6" t="str">
        <f ca="1">IFERROR(__xludf.DUMMYFUNCTION("""COMPUTED_VALUE"""),"Bhavin Shah")</f>
        <v>Bhavin Shah</v>
      </c>
      <c r="C1119" s="6" t="str">
        <f ca="1">IFERROR(__xludf.DUMMYFUNCTION("""COMPUTED_VALUE"""),"shah.bhavin.mba@gmail.com")</f>
        <v>shah.bhavin.mba@gmail.com</v>
      </c>
      <c r="D1119" s="6">
        <f ca="1">IFERROR(__xludf.DUMMYFUNCTION("""COMPUTED_VALUE"""),9833369654)</f>
        <v>9833369654</v>
      </c>
      <c r="E1119" s="6" t="str">
        <f ca="1">IFERROR(__xludf.DUMMYFUNCTION("""COMPUTED_VALUE"""),"chat_initiated")</f>
        <v>chat_initiated</v>
      </c>
      <c r="F1119" s="6" t="str">
        <f ca="1">IFERROR(__xludf.DUMMYFUNCTION("""COMPUTED_VALUE"""),"CSPO")</f>
        <v>CSPO</v>
      </c>
      <c r="G1119" s="80">
        <f ca="1">IFERROR(__xludf.DUMMYFUNCTION("""COMPUTED_VALUE"""),44743)</f>
        <v>44743</v>
      </c>
      <c r="H1119" s="6" t="str">
        <f ca="1">IFERROR(__xludf.DUMMYFUNCTION("""COMPUTED_VALUE"""),"Won")</f>
        <v>Won</v>
      </c>
      <c r="I1119" s="6" t="str">
        <f ca="1">IFERROR(__xludf.DUMMYFUNCTION("""COMPUTED_VALUE"""),"2-3 July 2022")</f>
        <v>2-3 July 2022</v>
      </c>
      <c r="J1119" s="6">
        <f ca="1">IFERROR(__xludf.DUMMYFUNCTION("""COMPUTED_VALUE"""),1)</f>
        <v>1</v>
      </c>
      <c r="K1119" s="8">
        <f ca="1">IFERROR(__xludf.DUMMYFUNCTION("""COMPUTED_VALUE"""),20000)</f>
        <v>20000</v>
      </c>
      <c r="L1119" s="8">
        <f ca="1">IFERROR(__xludf.DUMMYFUNCTION("""COMPUTED_VALUE"""),229.042601923957)</f>
        <v>229.04260192395699</v>
      </c>
      <c r="M1119" s="96">
        <f ca="1">IFERROR(__xludf.DUMMYFUNCTION("""COMPUTED_VALUE"""),44743)</f>
        <v>44743</v>
      </c>
      <c r="N1119" s="6" t="str">
        <f ca="1">IFERROR(__xludf.DUMMYFUNCTION("""COMPUTED_VALUE"""),"F10")</f>
        <v>F10</v>
      </c>
      <c r="O1119" s="97">
        <f ca="1">IFERROR(__xludf.DUMMYFUNCTION("""COMPUTED_VALUE"""),44743)</f>
        <v>44743</v>
      </c>
      <c r="P1119" s="6" t="str">
        <f ca="1">IFERROR(__xludf.DUMMYFUNCTION("""COMPUTED_VALUE"""),"CSTM_HWETG6KPHLX")</f>
        <v>CSTM_HWETG6KPHLX</v>
      </c>
      <c r="Q1119" s="6"/>
      <c r="R1119" s="6" t="str">
        <f ca="1">IFERROR(__xludf.DUMMYFUNCTION("""COMPUTED_VALUE"""),"Done. Good feedback.")</f>
        <v>Done. Good feedback.</v>
      </c>
      <c r="S1119" s="6" t="str">
        <f ca="1">IFERROR(__xludf.DUMMYFUNCTION("""COMPUTED_VALUE"""),"Category")</f>
        <v>Category</v>
      </c>
      <c r="T1119" s="6"/>
      <c r="U1119" s="6"/>
      <c r="V1119" s="6"/>
      <c r="W1119" s="6"/>
      <c r="X1119" s="6"/>
      <c r="Y1119" s="6"/>
      <c r="Z1119" s="6"/>
      <c r="AA1119" s="6"/>
      <c r="AB1119" s="6"/>
      <c r="AC1119" s="6"/>
      <c r="AD1119" s="6"/>
      <c r="AE1119" s="6"/>
      <c r="AF1119" s="6"/>
      <c r="AG1119" s="6"/>
      <c r="AH1119" s="6"/>
      <c r="AI1119" s="6"/>
      <c r="AJ1119" s="6"/>
      <c r="AK1119" s="6"/>
      <c r="AL1119" s="6"/>
    </row>
    <row r="1120" spans="1:38">
      <c r="A1120" s="96">
        <f ca="1">IFERROR(__xludf.DUMMYFUNCTION("""COMPUTED_VALUE"""),44744)</f>
        <v>44744</v>
      </c>
      <c r="B1120" s="6" t="str">
        <f ca="1">IFERROR(__xludf.DUMMYFUNCTION("""COMPUTED_VALUE"""),"Mandeep")</f>
        <v>Mandeep</v>
      </c>
      <c r="C1120" s="6" t="str">
        <f ca="1">IFERROR(__xludf.DUMMYFUNCTION("""COMPUTED_VALUE"""),"contactmandy2010@gmail.com")</f>
        <v>contactmandy2010@gmail.com</v>
      </c>
      <c r="D1120" s="6">
        <f ca="1">IFERROR(__xludf.DUMMYFUNCTION("""COMPUTED_VALUE"""),9501725533)</f>
        <v>9501725533</v>
      </c>
      <c r="E1120" s="6" t="str">
        <f ca="1">IFERROR(__xludf.DUMMYFUNCTION("""COMPUTED_VALUE"""),"Tollfree")</f>
        <v>Tollfree</v>
      </c>
      <c r="F1120" s="6" t="str">
        <f ca="1">IFERROR(__xludf.DUMMYFUNCTION("""COMPUTED_VALUE"""),"CSM")</f>
        <v>CSM</v>
      </c>
      <c r="G1120" s="80">
        <f ca="1">IFERROR(__xludf.DUMMYFUNCTION("""COMPUTED_VALUE"""),44743)</f>
        <v>44743</v>
      </c>
      <c r="H1120" s="6" t="str">
        <f ca="1">IFERROR(__xludf.DUMMYFUNCTION("""COMPUTED_VALUE"""),"Won")</f>
        <v>Won</v>
      </c>
      <c r="I1120" s="6" t="str">
        <f ca="1">IFERROR(__xludf.DUMMYFUNCTION("""COMPUTED_VALUE"""),"6-8 July 2022")</f>
        <v>6-8 July 2022</v>
      </c>
      <c r="J1120" s="6">
        <f ca="1">IFERROR(__xludf.DUMMYFUNCTION("""COMPUTED_VALUE"""),1)</f>
        <v>1</v>
      </c>
      <c r="K1120" s="8">
        <f ca="1">IFERROR(__xludf.DUMMYFUNCTION("""COMPUTED_VALUE"""),20000)</f>
        <v>20000</v>
      </c>
      <c r="L1120" s="8">
        <f ca="1">IFERROR(__xludf.DUMMYFUNCTION("""COMPUTED_VALUE"""),229.042601923957)</f>
        <v>229.04260192395699</v>
      </c>
      <c r="M1120" s="96">
        <f ca="1">IFERROR(__xludf.DUMMYFUNCTION("""COMPUTED_VALUE"""),44744)</f>
        <v>44744</v>
      </c>
      <c r="N1120" s="6" t="str">
        <f ca="1">IFERROR(__xludf.DUMMYFUNCTION("""COMPUTED_VALUE"""),"F10")</f>
        <v>F10</v>
      </c>
      <c r="O1120" s="97">
        <f ca="1">IFERROR(__xludf.DUMMYFUNCTION("""COMPUTED_VALUE"""),44744)</f>
        <v>44744</v>
      </c>
      <c r="P1120" s="6" t="str">
        <f ca="1">IFERROR(__xludf.DUMMYFUNCTION("""COMPUTED_VALUE"""),"CSTM_4PCU5RL3WSG")</f>
        <v>CSTM_4PCU5RL3WSG</v>
      </c>
      <c r="Q1120" s="6"/>
      <c r="R1120" s="6" t="str">
        <f ca="1">IFERROR(__xludf.DUMMYFUNCTION("""COMPUTED_VALUE"""),"Pending")</f>
        <v>Pending</v>
      </c>
      <c r="S1120" s="6" t="str">
        <f ca="1">IFERROR(__xludf.DUMMYFUNCTION("""COMPUTED_VALUE"""),"Category")</f>
        <v>Category</v>
      </c>
      <c r="T1120" s="6"/>
      <c r="U1120" s="6"/>
      <c r="V1120" s="6"/>
      <c r="W1120" s="6"/>
      <c r="X1120" s="6"/>
      <c r="Y1120" s="6"/>
      <c r="Z1120" s="6"/>
      <c r="AA1120" s="6"/>
      <c r="AB1120" s="6"/>
      <c r="AC1120" s="6"/>
      <c r="AD1120" s="6"/>
      <c r="AE1120" s="6"/>
      <c r="AF1120" s="6"/>
      <c r="AG1120" s="6"/>
      <c r="AH1120" s="6"/>
      <c r="AI1120" s="6"/>
      <c r="AJ1120" s="6"/>
      <c r="AK1120" s="6"/>
      <c r="AL1120" s="6"/>
    </row>
    <row r="1121" spans="1:38">
      <c r="A1121" s="96">
        <f ca="1">IFERROR(__xludf.DUMMYFUNCTION("""COMPUTED_VALUE"""),44744)</f>
        <v>44744</v>
      </c>
      <c r="B1121" s="6" t="str">
        <f ca="1">IFERROR(__xludf.DUMMYFUNCTION("""COMPUTED_VALUE"""),"Shramana Kundu")</f>
        <v>Shramana Kundu</v>
      </c>
      <c r="C1121" s="6" t="str">
        <f ca="1">IFERROR(__xludf.DUMMYFUNCTION("""COMPUTED_VALUE"""),"shramana.kundu@gmail.com")</f>
        <v>shramana.kundu@gmail.com</v>
      </c>
      <c r="D1121" s="6">
        <f ca="1">IFERROR(__xludf.DUMMYFUNCTION("""COMPUTED_VALUE"""),9665922233)</f>
        <v>9665922233</v>
      </c>
      <c r="E1121" s="6" t="str">
        <f ca="1">IFERROR(__xludf.DUMMYFUNCTION("""COMPUTED_VALUE"""),"Chat_triggered")</f>
        <v>Chat_triggered</v>
      </c>
      <c r="F1121" s="6" t="str">
        <f ca="1">IFERROR(__xludf.DUMMYFUNCTION("""COMPUTED_VALUE"""),"PSPO")</f>
        <v>PSPO</v>
      </c>
      <c r="G1121" s="80">
        <f ca="1">IFERROR(__xludf.DUMMYFUNCTION("""COMPUTED_VALUE"""),44743)</f>
        <v>44743</v>
      </c>
      <c r="H1121" s="6" t="str">
        <f ca="1">IFERROR(__xludf.DUMMYFUNCTION("""COMPUTED_VALUE"""),"Won")</f>
        <v>Won</v>
      </c>
      <c r="I1121" s="6" t="str">
        <f ca="1">IFERROR(__xludf.DUMMYFUNCTION("""COMPUTED_VALUE"""),"9-10 July 2022")</f>
        <v>9-10 July 2022</v>
      </c>
      <c r="J1121" s="6">
        <f ca="1">IFERROR(__xludf.DUMMYFUNCTION("""COMPUTED_VALUE"""),1)</f>
        <v>1</v>
      </c>
      <c r="K1121" s="8">
        <f ca="1">IFERROR(__xludf.DUMMYFUNCTION("""COMPUTED_VALUE"""),21000)</f>
        <v>21000</v>
      </c>
      <c r="L1121" s="8">
        <f ca="1">IFERROR(__xludf.DUMMYFUNCTION("""COMPUTED_VALUE"""),240.494732020155)</f>
        <v>240.494732020155</v>
      </c>
      <c r="M1121" s="96">
        <f ca="1">IFERROR(__xludf.DUMMYFUNCTION("""COMPUTED_VALUE"""),44744)</f>
        <v>44744</v>
      </c>
      <c r="N1121" s="6" t="str">
        <f ca="1">IFERROR(__xludf.DUMMYFUNCTION("""COMPUTED_VALUE"""),"F10")</f>
        <v>F10</v>
      </c>
      <c r="O1121" s="97">
        <f ca="1">IFERROR(__xludf.DUMMYFUNCTION("""COMPUTED_VALUE"""),44744)</f>
        <v>44744</v>
      </c>
      <c r="P1121" s="6" t="str">
        <f ca="1">IFERROR(__xludf.DUMMYFUNCTION("""COMPUTED_VALUE"""),"CSTM_FPVM3V68G66")</f>
        <v>CSTM_FPVM3V68G66</v>
      </c>
      <c r="Q1121" s="6"/>
      <c r="R1121" s="6" t="str">
        <f ca="1">IFERROR(__xludf.DUMMYFUNCTION("""COMPUTED_VALUE"""),"Done. Good feedback.")</f>
        <v>Done. Good feedback.</v>
      </c>
      <c r="S1121" s="6" t="str">
        <f ca="1">IFERROR(__xludf.DUMMYFUNCTION("""COMPUTED_VALUE"""),"Category")</f>
        <v>Category</v>
      </c>
      <c r="T1121" s="6"/>
      <c r="U1121" s="6"/>
      <c r="V1121" s="6"/>
      <c r="W1121" s="6"/>
      <c r="X1121" s="6"/>
      <c r="Y1121" s="6"/>
      <c r="Z1121" s="6"/>
      <c r="AA1121" s="6"/>
      <c r="AB1121" s="6"/>
      <c r="AC1121" s="6"/>
      <c r="AD1121" s="6"/>
      <c r="AE1121" s="6"/>
      <c r="AF1121" s="6"/>
      <c r="AG1121" s="6"/>
      <c r="AH1121" s="6"/>
      <c r="AI1121" s="6"/>
      <c r="AJ1121" s="6"/>
      <c r="AK1121" s="6"/>
      <c r="AL1121" s="6"/>
    </row>
    <row r="1122" spans="1:38">
      <c r="A1122" s="96">
        <f ca="1">IFERROR(__xludf.DUMMYFUNCTION("""COMPUTED_VALUE"""),44744)</f>
        <v>44744</v>
      </c>
      <c r="B1122" s="6" t="str">
        <f ca="1">IFERROR(__xludf.DUMMYFUNCTION("""COMPUTED_VALUE"""),"Kiran")</f>
        <v>Kiran</v>
      </c>
      <c r="C1122" s="6" t="str">
        <f ca="1">IFERROR(__xludf.DUMMYFUNCTION("""COMPUTED_VALUE"""),"yvnkiran@gmail.com")</f>
        <v>yvnkiran@gmail.com</v>
      </c>
      <c r="D1122" s="6">
        <f ca="1">IFERROR(__xludf.DUMMYFUNCTION("""COMPUTED_VALUE"""),8008711162)</f>
        <v>8008711162</v>
      </c>
      <c r="E1122" s="6" t="str">
        <f ca="1">IFERROR(__xludf.DUMMYFUNCTION("""COMPUTED_VALUE"""),"chat_initiated")</f>
        <v>chat_initiated</v>
      </c>
      <c r="F1122" s="6" t="str">
        <f ca="1">IFERROR(__xludf.DUMMYFUNCTION("""COMPUTED_VALUE"""),"SAFe Agile")</f>
        <v>SAFe Agile</v>
      </c>
      <c r="G1122" s="80">
        <f ca="1">IFERROR(__xludf.DUMMYFUNCTION("""COMPUTED_VALUE"""),44743)</f>
        <v>44743</v>
      </c>
      <c r="H1122" s="6" t="str">
        <f ca="1">IFERROR(__xludf.DUMMYFUNCTION("""COMPUTED_VALUE"""),"Won")</f>
        <v>Won</v>
      </c>
      <c r="I1122" s="6" t="str">
        <f ca="1">IFERROR(__xludf.DUMMYFUNCTION("""COMPUTED_VALUE"""),"9-10 July 2022")</f>
        <v>9-10 July 2022</v>
      </c>
      <c r="J1122" s="6">
        <f ca="1">IFERROR(__xludf.DUMMYFUNCTION("""COMPUTED_VALUE"""),1)</f>
        <v>1</v>
      </c>
      <c r="K1122" s="8">
        <f ca="1">IFERROR(__xludf.DUMMYFUNCTION("""COMPUTED_VALUE"""),42000)</f>
        <v>42000</v>
      </c>
      <c r="L1122" s="8">
        <f ca="1">IFERROR(__xludf.DUMMYFUNCTION("""COMPUTED_VALUE"""),480.989464040311)</f>
        <v>480.98946404031102</v>
      </c>
      <c r="M1122" s="96">
        <f ca="1">IFERROR(__xludf.DUMMYFUNCTION("""COMPUTED_VALUE"""),44744)</f>
        <v>44744</v>
      </c>
      <c r="N1122" s="6" t="str">
        <f ca="1">IFERROR(__xludf.DUMMYFUNCTION("""COMPUTED_VALUE"""),"F10")</f>
        <v>F10</v>
      </c>
      <c r="O1122" s="97">
        <f ca="1">IFERROR(__xludf.DUMMYFUNCTION("""COMPUTED_VALUE"""),44744)</f>
        <v>44744</v>
      </c>
      <c r="P1122" s="6" t="str">
        <f ca="1">IFERROR(__xludf.DUMMYFUNCTION("""COMPUTED_VALUE"""),"CSTM_3Y4MPGQ1AIS")</f>
        <v>CSTM_3Y4MPGQ1AIS</v>
      </c>
      <c r="Q1122" s="6"/>
      <c r="R1122" s="6" t="str">
        <f ca="1">IFERROR(__xludf.DUMMYFUNCTION("""COMPUTED_VALUE"""),"Done. Good feedback.")</f>
        <v>Done. Good feedback.</v>
      </c>
      <c r="S1122" s="6" t="str">
        <f ca="1">IFERROR(__xludf.DUMMYFUNCTION("""COMPUTED_VALUE"""),"SAFe")</f>
        <v>SAFe</v>
      </c>
      <c r="T1122" s="6"/>
      <c r="U1122" s="6"/>
      <c r="V1122" s="6"/>
      <c r="W1122" s="6"/>
      <c r="X1122" s="6"/>
      <c r="Y1122" s="6"/>
      <c r="Z1122" s="6"/>
      <c r="AA1122" s="6"/>
      <c r="AB1122" s="6"/>
      <c r="AC1122" s="6"/>
      <c r="AD1122" s="6"/>
      <c r="AE1122" s="6"/>
      <c r="AF1122" s="6"/>
      <c r="AG1122" s="6"/>
      <c r="AH1122" s="6"/>
      <c r="AI1122" s="6"/>
      <c r="AJ1122" s="6"/>
      <c r="AK1122" s="6"/>
      <c r="AL1122" s="6"/>
    </row>
    <row r="1123" spans="1:38">
      <c r="A1123" s="96">
        <f ca="1">IFERROR(__xludf.DUMMYFUNCTION("""COMPUTED_VALUE"""),44746)</f>
        <v>44746</v>
      </c>
      <c r="B1123" s="6" t="str">
        <f ca="1">IFERROR(__xludf.DUMMYFUNCTION("""COMPUTED_VALUE"""),"Varun Gupta")</f>
        <v>Varun Gupta</v>
      </c>
      <c r="C1123" s="6" t="str">
        <f ca="1">IFERROR(__xludf.DUMMYFUNCTION("""COMPUTED_VALUE"""),"2006varun@gmail.com")</f>
        <v>2006varun@gmail.com</v>
      </c>
      <c r="D1123" s="6">
        <f ca="1">IFERROR(__xludf.DUMMYFUNCTION("""COMPUTED_VALUE"""),9032043380)</f>
        <v>9032043380</v>
      </c>
      <c r="E1123" s="6" t="str">
        <f ca="1">IFERROR(__xludf.DUMMYFUNCTION("""COMPUTED_VALUE"""),"Tollfree")</f>
        <v>Tollfree</v>
      </c>
      <c r="F1123" s="6" t="str">
        <f ca="1">IFERROR(__xludf.DUMMYFUNCTION("""COMPUTED_VALUE"""),"PSM")</f>
        <v>PSM</v>
      </c>
      <c r="G1123" s="80">
        <f ca="1">IFERROR(__xludf.DUMMYFUNCTION("""COMPUTED_VALUE"""),44743)</f>
        <v>44743</v>
      </c>
      <c r="H1123" s="6" t="str">
        <f ca="1">IFERROR(__xludf.DUMMYFUNCTION("""COMPUTED_VALUE"""),"Won")</f>
        <v>Won</v>
      </c>
      <c r="I1123" s="6" t="str">
        <f ca="1">IFERROR(__xludf.DUMMYFUNCTION("""COMPUTED_VALUE"""),"13-14 Aug 2022")</f>
        <v>13-14 Aug 2022</v>
      </c>
      <c r="J1123" s="6">
        <f ca="1">IFERROR(__xludf.DUMMYFUNCTION("""COMPUTED_VALUE"""),1)</f>
        <v>1</v>
      </c>
      <c r="K1123" s="8">
        <f ca="1">IFERROR(__xludf.DUMMYFUNCTION("""COMPUTED_VALUE"""),20500)</f>
        <v>20500</v>
      </c>
      <c r="L1123" s="8">
        <f ca="1">IFERROR(__xludf.DUMMYFUNCTION("""COMPUTED_VALUE"""),234.768666972056)</f>
        <v>234.768666972056</v>
      </c>
      <c r="M1123" s="96">
        <f ca="1">IFERROR(__xludf.DUMMYFUNCTION("""COMPUTED_VALUE"""),44746)</f>
        <v>44746</v>
      </c>
      <c r="N1123" s="6" t="str">
        <f ca="1">IFERROR(__xludf.DUMMYFUNCTION("""COMPUTED_VALUE"""),"F10")</f>
        <v>F10</v>
      </c>
      <c r="O1123" s="97">
        <f ca="1">IFERROR(__xludf.DUMMYFUNCTION("""COMPUTED_VALUE"""),44747)</f>
        <v>44747</v>
      </c>
      <c r="P1123" s="6" t="str">
        <f ca="1">IFERROR(__xludf.DUMMYFUNCTION("""COMPUTED_VALUE"""),"CSTM_7FED1VD7H53")</f>
        <v>CSTM_7FED1VD7H53</v>
      </c>
      <c r="Q1123" s="6"/>
      <c r="R1123" s="6" t="str">
        <f ca="1">IFERROR(__xludf.DUMMYFUNCTION("""COMPUTED_VALUE"""),"Done. Good feedback.")</f>
        <v>Done. Good feedback.</v>
      </c>
      <c r="S1123" s="6" t="str">
        <f ca="1">IFERROR(__xludf.DUMMYFUNCTION("""COMPUTED_VALUE"""),"Category")</f>
        <v>Category</v>
      </c>
      <c r="T1123" s="6"/>
      <c r="U1123" s="6"/>
      <c r="V1123" s="6"/>
      <c r="W1123" s="6"/>
      <c r="X1123" s="6"/>
      <c r="Y1123" s="6"/>
      <c r="Z1123" s="6"/>
      <c r="AA1123" s="6"/>
      <c r="AB1123" s="6"/>
      <c r="AC1123" s="6"/>
      <c r="AD1123" s="6"/>
      <c r="AE1123" s="6"/>
      <c r="AF1123" s="6"/>
      <c r="AG1123" s="6"/>
      <c r="AH1123" s="6"/>
      <c r="AI1123" s="6"/>
      <c r="AJ1123" s="6"/>
      <c r="AK1123" s="6"/>
      <c r="AL1123" s="6"/>
    </row>
    <row r="1124" spans="1:38">
      <c r="A1124" s="96">
        <f ca="1">IFERROR(__xludf.DUMMYFUNCTION("""COMPUTED_VALUE"""),44747)</f>
        <v>44747</v>
      </c>
      <c r="B1124" s="6" t="str">
        <f ca="1">IFERROR(__xludf.DUMMYFUNCTION("""COMPUTED_VALUE"""),"Venugopal")</f>
        <v>Venugopal</v>
      </c>
      <c r="C1124" s="6" t="str">
        <f ca="1">IFERROR(__xludf.DUMMYFUNCTION("""COMPUTED_VALUE"""),"venu13519@gmail.com")</f>
        <v>venu13519@gmail.com</v>
      </c>
      <c r="D1124" s="6">
        <f ca="1">IFERROR(__xludf.DUMMYFUNCTION("""COMPUTED_VALUE"""),7760772920)</f>
        <v>7760772920</v>
      </c>
      <c r="E1124" s="6" t="str">
        <f ca="1">IFERROR(__xludf.DUMMYFUNCTION("""COMPUTED_VALUE"""),"Reference")</f>
        <v>Reference</v>
      </c>
      <c r="F1124" s="6" t="str">
        <f ca="1">IFERROR(__xludf.DUMMYFUNCTION("""COMPUTED_VALUE"""),"Data Analyst Masters")</f>
        <v>Data Analyst Masters</v>
      </c>
      <c r="G1124" s="80">
        <f ca="1">IFERROR(__xludf.DUMMYFUNCTION("""COMPUTED_VALUE"""),44743)</f>
        <v>44743</v>
      </c>
      <c r="H1124" s="6" t="str">
        <f ca="1">IFERROR(__xludf.DUMMYFUNCTION("""COMPUTED_VALUE"""),"Won")</f>
        <v>Won</v>
      </c>
      <c r="I1124" s="6" t="str">
        <f ca="1">IFERROR(__xludf.DUMMYFUNCTION("""COMPUTED_VALUE"""),"9 July 2022")</f>
        <v>9 July 2022</v>
      </c>
      <c r="J1124" s="6">
        <f ca="1">IFERROR(__xludf.DUMMYFUNCTION("""COMPUTED_VALUE"""),1)</f>
        <v>1</v>
      </c>
      <c r="K1124" s="8">
        <f ca="1">IFERROR(__xludf.DUMMYFUNCTION("""COMPUTED_VALUE"""),37000)</f>
        <v>37000</v>
      </c>
      <c r="L1124" s="8">
        <f ca="1">IFERROR(__xludf.DUMMYFUNCTION("""COMPUTED_VALUE"""),423.728813559322)</f>
        <v>423.72881355932202</v>
      </c>
      <c r="M1124" s="96">
        <f ca="1">IFERROR(__xludf.DUMMYFUNCTION("""COMPUTED_VALUE"""),44747)</f>
        <v>44747</v>
      </c>
      <c r="N1124" s="6" t="str">
        <f ca="1">IFERROR(__xludf.DUMMYFUNCTION("""COMPUTED_VALUE"""),"F10")</f>
        <v>F10</v>
      </c>
      <c r="O1124" s="97">
        <f ca="1">IFERROR(__xludf.DUMMYFUNCTION("""COMPUTED_VALUE"""),44747)</f>
        <v>44747</v>
      </c>
      <c r="P1124" s="6" t="str">
        <f ca="1">IFERROR(__xludf.DUMMYFUNCTION("""COMPUTED_VALUE"""),"CSTM_83DN9KMS4FE")</f>
        <v>CSTM_83DN9KMS4FE</v>
      </c>
      <c r="Q1124" s="6" t="str">
        <f ca="1">IFERROR(__xludf.DUMMYFUNCTION("""COMPUTED_VALUE"""),"Pragya K - Pending")</f>
        <v>Pragya K - Pending</v>
      </c>
      <c r="R1124" s="6" t="str">
        <f ca="1">IFERROR(__xludf.DUMMYFUNCTION("""COMPUTED_VALUE"""),"Pending")</f>
        <v>Pending</v>
      </c>
      <c r="S1124" s="6" t="str">
        <f ca="1">IFERROR(__xludf.DUMMYFUNCTION("""COMPUTED_VALUE"""),"NonCategory")</f>
        <v>NonCategory</v>
      </c>
      <c r="T1124" s="6" t="str">
        <f ca="1">IFERROR(__xludf.DUMMYFUNCTION("""COMPUTED_VALUE"""),"Pragya K - Pending - Filled till here")</f>
        <v>Pragya K - Pending - Filled till here</v>
      </c>
      <c r="U1124" s="6"/>
      <c r="V1124" s="6"/>
      <c r="W1124" s="6"/>
      <c r="X1124" s="6"/>
      <c r="Y1124" s="6"/>
      <c r="Z1124" s="6"/>
      <c r="AA1124" s="6"/>
      <c r="AB1124" s="6"/>
      <c r="AC1124" s="6"/>
      <c r="AD1124" s="6"/>
      <c r="AE1124" s="6"/>
      <c r="AF1124" s="6"/>
      <c r="AG1124" s="6"/>
      <c r="AH1124" s="6"/>
      <c r="AI1124" s="6"/>
      <c r="AJ1124" s="6"/>
      <c r="AK1124" s="6"/>
      <c r="AL1124" s="6"/>
    </row>
    <row r="1125" spans="1:38">
      <c r="A1125" s="96">
        <f ca="1">IFERROR(__xludf.DUMMYFUNCTION("""COMPUTED_VALUE"""),44749)</f>
        <v>44749</v>
      </c>
      <c r="B1125" s="6" t="str">
        <f ca="1">IFERROR(__xludf.DUMMYFUNCTION("""COMPUTED_VALUE"""),"Sudhir Valluri")</f>
        <v>Sudhir Valluri</v>
      </c>
      <c r="C1125" s="6" t="str">
        <f ca="1">IFERROR(__xludf.DUMMYFUNCTION("""COMPUTED_VALUE"""),"sudhirvalluri@gmail.com")</f>
        <v>sudhirvalluri@gmail.com</v>
      </c>
      <c r="D1125" s="6">
        <f ca="1">IFERROR(__xludf.DUMMYFUNCTION("""COMPUTED_VALUE"""),9535277536)</f>
        <v>9535277536</v>
      </c>
      <c r="E1125" s="6" t="str">
        <f ca="1">IFERROR(__xludf.DUMMYFUNCTION("""COMPUTED_VALUE"""),"frs ebook hot")</f>
        <v>frs ebook hot</v>
      </c>
      <c r="F1125" s="6" t="str">
        <f ca="1">IFERROR(__xludf.DUMMYFUNCTION("""COMPUTED_VALUE"""),"SAFe Agile")</f>
        <v>SAFe Agile</v>
      </c>
      <c r="G1125" s="80">
        <f ca="1">IFERROR(__xludf.DUMMYFUNCTION("""COMPUTED_VALUE"""),44743)</f>
        <v>44743</v>
      </c>
      <c r="H1125" s="6" t="str">
        <f ca="1">IFERROR(__xludf.DUMMYFUNCTION("""COMPUTED_VALUE"""),"Won")</f>
        <v>Won</v>
      </c>
      <c r="I1125" s="6" t="str">
        <f ca="1">IFERROR(__xludf.DUMMYFUNCTION("""COMPUTED_VALUE"""),"23-24 July 2022")</f>
        <v>23-24 July 2022</v>
      </c>
      <c r="J1125" s="6">
        <f ca="1">IFERROR(__xludf.DUMMYFUNCTION("""COMPUTED_VALUE"""),1)</f>
        <v>1</v>
      </c>
      <c r="K1125" s="8">
        <f ca="1">IFERROR(__xludf.DUMMYFUNCTION("""COMPUTED_VALUE"""),40000)</f>
        <v>40000</v>
      </c>
      <c r="L1125" s="8">
        <f ca="1">IFERROR(__xludf.DUMMYFUNCTION("""COMPUTED_VALUE"""),458.085203847915)</f>
        <v>458.08520384791501</v>
      </c>
      <c r="M1125" s="96">
        <f ca="1">IFERROR(__xludf.DUMMYFUNCTION("""COMPUTED_VALUE"""),44749)</f>
        <v>44749</v>
      </c>
      <c r="N1125" s="6" t="str">
        <f ca="1">IFERROR(__xludf.DUMMYFUNCTION("""COMPUTED_VALUE"""),"F10")</f>
        <v>F10</v>
      </c>
      <c r="O1125" s="97">
        <f ca="1">IFERROR(__xludf.DUMMYFUNCTION("""COMPUTED_VALUE"""),44749)</f>
        <v>44749</v>
      </c>
      <c r="P1125" s="6" t="str">
        <f ca="1">IFERROR(__xludf.DUMMYFUNCTION("""COMPUTED_VALUE"""),"CSTM_A3B3VKHKNKE")</f>
        <v>CSTM_A3B3VKHKNKE</v>
      </c>
      <c r="Q1125" s="6"/>
      <c r="R1125" s="6" t="str">
        <f ca="1">IFERROR(__xludf.DUMMYFUNCTION("""COMPUTED_VALUE"""),"Pending")</f>
        <v>Pending</v>
      </c>
      <c r="S1125" s="6" t="str">
        <f ca="1">IFERROR(__xludf.DUMMYFUNCTION("""COMPUTED_VALUE"""),"SAFe")</f>
        <v>SAFe</v>
      </c>
      <c r="T1125" s="6"/>
      <c r="U1125" s="6"/>
      <c r="V1125" s="6"/>
      <c r="W1125" s="6"/>
      <c r="X1125" s="6"/>
      <c r="Y1125" s="6"/>
      <c r="Z1125" s="6"/>
      <c r="AA1125" s="6"/>
      <c r="AB1125" s="6"/>
      <c r="AC1125" s="6"/>
      <c r="AD1125" s="6"/>
      <c r="AE1125" s="6"/>
      <c r="AF1125" s="6"/>
      <c r="AG1125" s="6"/>
      <c r="AH1125" s="6"/>
      <c r="AI1125" s="6"/>
      <c r="AJ1125" s="6"/>
      <c r="AK1125" s="6"/>
      <c r="AL1125" s="6"/>
    </row>
    <row r="1126" spans="1:38">
      <c r="A1126" s="96">
        <f ca="1">IFERROR(__xludf.DUMMYFUNCTION("""COMPUTED_VALUE"""),44728)</f>
        <v>44728</v>
      </c>
      <c r="B1126" s="6" t="str">
        <f ca="1">IFERROR(__xludf.DUMMYFUNCTION("""COMPUTED_VALUE"""),"Prabhu Jaganathan")</f>
        <v>Prabhu Jaganathan</v>
      </c>
      <c r="C1126" s="6" t="str">
        <f ca="1">IFERROR(__xludf.DUMMYFUNCTION("""COMPUTED_VALUE"""),"prabhujaganathan03@gmail.com")</f>
        <v>prabhujaganathan03@gmail.com</v>
      </c>
      <c r="D1126" s="6">
        <f ca="1">IFERROR(__xludf.DUMMYFUNCTION("""COMPUTED_VALUE"""),9789171111)</f>
        <v>9789171111</v>
      </c>
      <c r="E1126" s="6" t="str">
        <f ca="1">IFERROR(__xludf.DUMMYFUNCTION("""COMPUTED_VALUE"""),"chat_initiated")</f>
        <v>chat_initiated</v>
      </c>
      <c r="F1126" s="6" t="str">
        <f ca="1">IFERROR(__xludf.DUMMYFUNCTION("""COMPUTED_VALUE"""),"SAFe POPM")</f>
        <v>SAFe POPM</v>
      </c>
      <c r="G1126" s="80">
        <f ca="1">IFERROR(__xludf.DUMMYFUNCTION("""COMPUTED_VALUE"""),44713)</f>
        <v>44713</v>
      </c>
      <c r="H1126" s="6" t="str">
        <f ca="1">IFERROR(__xludf.DUMMYFUNCTION("""COMPUTED_VALUE"""),"Won")</f>
        <v>Won</v>
      </c>
      <c r="I1126" s="6" t="str">
        <f ca="1">IFERROR(__xludf.DUMMYFUNCTION("""COMPUTED_VALUE"""),"9-10 July 2022")</f>
        <v>9-10 July 2022</v>
      </c>
      <c r="J1126" s="6">
        <f ca="1">IFERROR(__xludf.DUMMYFUNCTION("""COMPUTED_VALUE"""),1)</f>
        <v>1</v>
      </c>
      <c r="K1126" s="8">
        <f ca="1">IFERROR(__xludf.DUMMYFUNCTION("""COMPUTED_VALUE"""),42000)</f>
        <v>42000</v>
      </c>
      <c r="L1126" s="8">
        <f ca="1">IFERROR(__xludf.DUMMYFUNCTION("""COMPUTED_VALUE"""),480.989464040311)</f>
        <v>480.98946404031102</v>
      </c>
      <c r="M1126" s="96">
        <f ca="1">IFERROR(__xludf.DUMMYFUNCTION("""COMPUTED_VALUE"""),44758)</f>
        <v>44758</v>
      </c>
      <c r="N1126" s="6" t="str">
        <f ca="1">IFERROR(__xludf.DUMMYFUNCTION("""COMPUTED_VALUE"""),"S10")</f>
        <v>S10</v>
      </c>
      <c r="O1126" s="97">
        <f ca="1">IFERROR(__xludf.DUMMYFUNCTION("""COMPUTED_VALUE"""),44728)</f>
        <v>44728</v>
      </c>
      <c r="P1126" s="6" t="str">
        <f ca="1">IFERROR(__xludf.DUMMYFUNCTION("""COMPUTED_VALUE"""),"CSTM_5V3OSUNUYYX")</f>
        <v>CSTM_5V3OSUNUYYX</v>
      </c>
      <c r="Q1126" s="6"/>
      <c r="R1126" s="6" t="str">
        <f ca="1">IFERROR(__xludf.DUMMYFUNCTION("""COMPUTED_VALUE"""),"Done. Good feedback.")</f>
        <v>Done. Good feedback.</v>
      </c>
      <c r="S1126" s="6" t="str">
        <f ca="1">IFERROR(__xludf.DUMMYFUNCTION("""COMPUTED_VALUE"""),"SAFe")</f>
        <v>SAFe</v>
      </c>
      <c r="T1126" s="6"/>
      <c r="U1126" s="6"/>
      <c r="V1126" s="6"/>
      <c r="W1126" s="6"/>
      <c r="X1126" s="6"/>
      <c r="Y1126" s="6"/>
      <c r="Z1126" s="6"/>
      <c r="AA1126" s="6"/>
      <c r="AB1126" s="6"/>
      <c r="AC1126" s="6"/>
      <c r="AD1126" s="6"/>
      <c r="AE1126" s="6"/>
      <c r="AF1126" s="6"/>
      <c r="AG1126" s="6"/>
      <c r="AH1126" s="6"/>
      <c r="AI1126" s="6"/>
      <c r="AJ1126" s="6"/>
      <c r="AK1126" s="6"/>
      <c r="AL1126" s="6"/>
    </row>
    <row r="1127" spans="1:38">
      <c r="A1127" s="96">
        <f ca="1">IFERROR(__xludf.DUMMYFUNCTION("""COMPUTED_VALUE"""),44750)</f>
        <v>44750</v>
      </c>
      <c r="B1127" s="6" t="str">
        <f ca="1">IFERROR(__xludf.DUMMYFUNCTION("""COMPUTED_VALUE"""),"Sumukh Haritasa")</f>
        <v>Sumukh Haritasa</v>
      </c>
      <c r="C1127" s="6" t="str">
        <f ca="1">IFERROR(__xludf.DUMMYFUNCTION("""COMPUTED_VALUE"""),"sumukhaharitasa@gmail.com")</f>
        <v>sumukhaharitasa@gmail.com</v>
      </c>
      <c r="D1127" s="6">
        <f ca="1">IFERROR(__xludf.DUMMYFUNCTION("""COMPUTED_VALUE"""),8431745370)</f>
        <v>8431745370</v>
      </c>
      <c r="E1127" s="6" t="str">
        <f ca="1">IFERROR(__xludf.DUMMYFUNCTION("""COMPUTED_VALUE"""),"course agenda")</f>
        <v>course agenda</v>
      </c>
      <c r="F1127" s="6" t="str">
        <f ca="1">IFERROR(__xludf.DUMMYFUNCTION("""COMPUTED_VALUE"""),"CSM")</f>
        <v>CSM</v>
      </c>
      <c r="G1127" s="80">
        <f ca="1">IFERROR(__xludf.DUMMYFUNCTION("""COMPUTED_VALUE"""),44743)</f>
        <v>44743</v>
      </c>
      <c r="H1127" s="6" t="str">
        <f ca="1">IFERROR(__xludf.DUMMYFUNCTION("""COMPUTED_VALUE"""),"Won")</f>
        <v>Won</v>
      </c>
      <c r="I1127" s="6" t="str">
        <f ca="1">IFERROR(__xludf.DUMMYFUNCTION("""COMPUTED_VALUE"""),"9-10 July 2022")</f>
        <v>9-10 July 2022</v>
      </c>
      <c r="J1127" s="6">
        <f ca="1">IFERROR(__xludf.DUMMYFUNCTION("""COMPUTED_VALUE"""),1)</f>
        <v>1</v>
      </c>
      <c r="K1127" s="8">
        <f ca="1">IFERROR(__xludf.DUMMYFUNCTION("""COMPUTED_VALUE"""),20000)</f>
        <v>20000</v>
      </c>
      <c r="L1127" s="8">
        <f ca="1">IFERROR(__xludf.DUMMYFUNCTION("""COMPUTED_VALUE"""),229.042601923957)</f>
        <v>229.04260192395699</v>
      </c>
      <c r="M1127" s="96">
        <f ca="1">IFERROR(__xludf.DUMMYFUNCTION("""COMPUTED_VALUE"""),44750)</f>
        <v>44750</v>
      </c>
      <c r="N1127" s="6" t="str">
        <f ca="1">IFERROR(__xludf.DUMMYFUNCTION("""COMPUTED_VALUE"""),"F10")</f>
        <v>F10</v>
      </c>
      <c r="O1127" s="97">
        <f ca="1">IFERROR(__xludf.DUMMYFUNCTION("""COMPUTED_VALUE"""),44750)</f>
        <v>44750</v>
      </c>
      <c r="P1127" s="6" t="str">
        <f ca="1">IFERROR(__xludf.DUMMYFUNCTION("""COMPUTED_VALUE"""),"CSTM_7P4QQKEJ9CF")</f>
        <v>CSTM_7P4QQKEJ9CF</v>
      </c>
      <c r="Q1127" s="6"/>
      <c r="R1127" s="6" t="str">
        <f ca="1">IFERROR(__xludf.DUMMYFUNCTION("""COMPUTED_VALUE"""),"Done. Good feedback.")</f>
        <v>Done. Good feedback.</v>
      </c>
      <c r="S1127" s="6" t="str">
        <f ca="1">IFERROR(__xludf.DUMMYFUNCTION("""COMPUTED_VALUE"""),"Category")</f>
        <v>Category</v>
      </c>
      <c r="T1127" s="6"/>
      <c r="U1127" s="6"/>
      <c r="V1127" s="6"/>
      <c r="W1127" s="6"/>
      <c r="X1127" s="6"/>
      <c r="Y1127" s="6"/>
      <c r="Z1127" s="6"/>
      <c r="AA1127" s="6"/>
      <c r="AB1127" s="6"/>
      <c r="AC1127" s="6"/>
      <c r="AD1127" s="6"/>
      <c r="AE1127" s="6"/>
      <c r="AF1127" s="6"/>
      <c r="AG1127" s="6"/>
      <c r="AH1127" s="6"/>
      <c r="AI1127" s="6"/>
      <c r="AJ1127" s="6"/>
      <c r="AK1127" s="6"/>
      <c r="AL1127" s="6"/>
    </row>
    <row r="1128" spans="1:38">
      <c r="A1128" s="96">
        <f ca="1">IFERROR(__xludf.DUMMYFUNCTION("""COMPUTED_VALUE"""),44750)</f>
        <v>44750</v>
      </c>
      <c r="B1128" s="6" t="str">
        <f ca="1">IFERROR(__xludf.DUMMYFUNCTION("""COMPUTED_VALUE"""),"David Irwin")</f>
        <v>David Irwin</v>
      </c>
      <c r="C1128" s="6" t="str">
        <f ca="1">IFERROR(__xludf.DUMMYFUNCTION("""COMPUTED_VALUE"""),"david.irwin@se.com")</f>
        <v>david.irwin@se.com</v>
      </c>
      <c r="D1128" s="6">
        <f ca="1">IFERROR(__xludf.DUMMYFUNCTION("""COMPUTED_VALUE"""),9900152355)</f>
        <v>9900152355</v>
      </c>
      <c r="E1128" s="6" t="str">
        <f ca="1">IFERROR(__xludf.DUMMYFUNCTION("""COMPUTED_VALUE"""),"Reference")</f>
        <v>Reference</v>
      </c>
      <c r="F1128" s="6" t="str">
        <f ca="1">IFERROR(__xludf.DUMMYFUNCTION("""COMPUTED_VALUE"""),"PSM")</f>
        <v>PSM</v>
      </c>
      <c r="G1128" s="80">
        <f ca="1">IFERROR(__xludf.DUMMYFUNCTION("""COMPUTED_VALUE"""),44743)</f>
        <v>44743</v>
      </c>
      <c r="H1128" s="6" t="str">
        <f ca="1">IFERROR(__xludf.DUMMYFUNCTION("""COMPUTED_VALUE"""),"Won")</f>
        <v>Won</v>
      </c>
      <c r="I1128" s="6" t="str">
        <f ca="1">IFERROR(__xludf.DUMMYFUNCTION("""COMPUTED_VALUE"""),"9-10 July 2022")</f>
        <v>9-10 July 2022</v>
      </c>
      <c r="J1128" s="6">
        <f ca="1">IFERROR(__xludf.DUMMYFUNCTION("""COMPUTED_VALUE"""),1)</f>
        <v>1</v>
      </c>
      <c r="K1128" s="8">
        <f ca="1">IFERROR(__xludf.DUMMYFUNCTION("""COMPUTED_VALUE"""),21000)</f>
        <v>21000</v>
      </c>
      <c r="L1128" s="8">
        <f ca="1">IFERROR(__xludf.DUMMYFUNCTION("""COMPUTED_VALUE"""),240.494732020155)</f>
        <v>240.494732020155</v>
      </c>
      <c r="M1128" s="96">
        <f ca="1">IFERROR(__xludf.DUMMYFUNCTION("""COMPUTED_VALUE"""),44750)</f>
        <v>44750</v>
      </c>
      <c r="N1128" s="6" t="str">
        <f ca="1">IFERROR(__xludf.DUMMYFUNCTION("""COMPUTED_VALUE"""),"F10")</f>
        <v>F10</v>
      </c>
      <c r="O1128" s="97">
        <f ca="1">IFERROR(__xludf.DUMMYFUNCTION("""COMPUTED_VALUE"""),44750)</f>
        <v>44750</v>
      </c>
      <c r="P1128" s="6" t="str">
        <f ca="1">IFERROR(__xludf.DUMMYFUNCTION("""COMPUTED_VALUE"""),"CSTM_BG0KFGX8QQI")</f>
        <v>CSTM_BG0KFGX8QQI</v>
      </c>
      <c r="Q1128" s="6"/>
      <c r="R1128" s="6" t="str">
        <f ca="1">IFERROR(__xludf.DUMMYFUNCTION("""COMPUTED_VALUE"""),"Done. Good feedback.")</f>
        <v>Done. Good feedback.</v>
      </c>
      <c r="S1128" s="6" t="str">
        <f ca="1">IFERROR(__xludf.DUMMYFUNCTION("""COMPUTED_VALUE"""),"Category")</f>
        <v>Category</v>
      </c>
      <c r="T1128" s="6"/>
      <c r="U1128" s="6"/>
      <c r="V1128" s="6"/>
      <c r="W1128" s="6"/>
      <c r="X1128" s="6"/>
      <c r="Y1128" s="6"/>
      <c r="Z1128" s="6"/>
      <c r="AA1128" s="6"/>
      <c r="AB1128" s="6"/>
      <c r="AC1128" s="6"/>
      <c r="AD1128" s="6"/>
      <c r="AE1128" s="6"/>
      <c r="AF1128" s="6"/>
      <c r="AG1128" s="6"/>
      <c r="AH1128" s="6"/>
      <c r="AI1128" s="6"/>
      <c r="AJ1128" s="6"/>
      <c r="AK1128" s="6"/>
      <c r="AL1128" s="6"/>
    </row>
    <row r="1129" spans="1:38">
      <c r="A1129" s="96">
        <f ca="1">IFERROR(__xludf.DUMMYFUNCTION("""COMPUTED_VALUE"""),44750)</f>
        <v>44750</v>
      </c>
      <c r="B1129" s="6" t="str">
        <f ca="1">IFERROR(__xludf.DUMMYFUNCTION("""COMPUTED_VALUE"""),"Sagar Rajwani")</f>
        <v>Sagar Rajwani</v>
      </c>
      <c r="C1129" s="6" t="str">
        <f ca="1">IFERROR(__xludf.DUMMYFUNCTION("""COMPUTED_VALUE"""),"saggyr80@gmail.com")</f>
        <v>saggyr80@gmail.com</v>
      </c>
      <c r="D1129" s="6">
        <f ca="1">IFERROR(__xludf.DUMMYFUNCTION("""COMPUTED_VALUE"""),9899252107)</f>
        <v>9899252107</v>
      </c>
      <c r="E1129" s="6" t="str">
        <f ca="1">IFERROR(__xludf.DUMMYFUNCTION("""COMPUTED_VALUE"""),"Query box")</f>
        <v>Query box</v>
      </c>
      <c r="F1129" s="6" t="str">
        <f ca="1">IFERROR(__xludf.DUMMYFUNCTION("""COMPUTED_VALUE"""),"PSM")</f>
        <v>PSM</v>
      </c>
      <c r="G1129" s="80">
        <f ca="1">IFERROR(__xludf.DUMMYFUNCTION("""COMPUTED_VALUE"""),44743)</f>
        <v>44743</v>
      </c>
      <c r="H1129" s="6" t="str">
        <f ca="1">IFERROR(__xludf.DUMMYFUNCTION("""COMPUTED_VALUE"""),"Won")</f>
        <v>Won</v>
      </c>
      <c r="I1129" s="6" t="str">
        <f ca="1">IFERROR(__xludf.DUMMYFUNCTION("""COMPUTED_VALUE"""),"16-17 July 2022")</f>
        <v>16-17 July 2022</v>
      </c>
      <c r="J1129" s="6">
        <f ca="1">IFERROR(__xludf.DUMMYFUNCTION("""COMPUTED_VALUE"""),1)</f>
        <v>1</v>
      </c>
      <c r="K1129" s="8">
        <f ca="1">IFERROR(__xludf.DUMMYFUNCTION("""COMPUTED_VALUE"""),21000)</f>
        <v>21000</v>
      </c>
      <c r="L1129" s="8">
        <f ca="1">IFERROR(__xludf.DUMMYFUNCTION("""COMPUTED_VALUE"""),240.494732020155)</f>
        <v>240.494732020155</v>
      </c>
      <c r="M1129" s="96">
        <f ca="1">IFERROR(__xludf.DUMMYFUNCTION("""COMPUTED_VALUE"""),44750)</f>
        <v>44750</v>
      </c>
      <c r="N1129" s="6" t="str">
        <f ca="1">IFERROR(__xludf.DUMMYFUNCTION("""COMPUTED_VALUE"""),"F10")</f>
        <v>F10</v>
      </c>
      <c r="O1129" s="97">
        <f ca="1">IFERROR(__xludf.DUMMYFUNCTION("""COMPUTED_VALUE"""),44750)</f>
        <v>44750</v>
      </c>
      <c r="P1129" s="6" t="str">
        <f ca="1">IFERROR(__xludf.DUMMYFUNCTION("""COMPUTED_VALUE"""),"CSTM_E6BG26JSSN1")</f>
        <v>CSTM_E6BG26JSSN1</v>
      </c>
      <c r="Q1129" s="6"/>
      <c r="R1129" s="6" t="str">
        <f ca="1">IFERROR(__xludf.DUMMYFUNCTION("""COMPUTED_VALUE"""),"Done. Good feedback.")</f>
        <v>Done. Good feedback.</v>
      </c>
      <c r="S1129" s="6" t="str">
        <f ca="1">IFERROR(__xludf.DUMMYFUNCTION("""COMPUTED_VALUE"""),"Category")</f>
        <v>Category</v>
      </c>
      <c r="T1129" s="6"/>
      <c r="U1129" s="6"/>
      <c r="V1129" s="6"/>
      <c r="W1129" s="6"/>
      <c r="X1129" s="6"/>
      <c r="Y1129" s="6"/>
      <c r="Z1129" s="6"/>
      <c r="AA1129" s="6"/>
      <c r="AB1129" s="6"/>
      <c r="AC1129" s="6"/>
      <c r="AD1129" s="6"/>
      <c r="AE1129" s="6"/>
      <c r="AF1129" s="6"/>
      <c r="AG1129" s="6"/>
      <c r="AH1129" s="6"/>
      <c r="AI1129" s="6"/>
      <c r="AJ1129" s="6"/>
      <c r="AK1129" s="6"/>
      <c r="AL1129" s="6"/>
    </row>
    <row r="1130" spans="1:38">
      <c r="A1130" s="96">
        <f ca="1">IFERROR(__xludf.DUMMYFUNCTION("""COMPUTED_VALUE"""),44750)</f>
        <v>44750</v>
      </c>
      <c r="B1130" s="6" t="str">
        <f ca="1">IFERROR(__xludf.DUMMYFUNCTION("""COMPUTED_VALUE"""),"Sujata Halakarni")</f>
        <v>Sujata Halakarni</v>
      </c>
      <c r="C1130" s="6" t="str">
        <f ca="1">IFERROR(__xludf.DUMMYFUNCTION("""COMPUTED_VALUE"""),"halakarni.sujata@gmail.com")</f>
        <v>halakarni.sujata@gmail.com</v>
      </c>
      <c r="D1130" s="6">
        <f ca="1">IFERROR(__xludf.DUMMYFUNCTION("""COMPUTED_VALUE"""),9901941643)</f>
        <v>9901941643</v>
      </c>
      <c r="E1130" s="6" t="str">
        <f ca="1">IFERROR(__xludf.DUMMYFUNCTION("""COMPUTED_VALUE"""),"na-payment")</f>
        <v>na-payment</v>
      </c>
      <c r="F1130" s="6" t="str">
        <f ca="1">IFERROR(__xludf.DUMMYFUNCTION("""COMPUTED_VALUE"""),"PSPO")</f>
        <v>PSPO</v>
      </c>
      <c r="G1130" s="80">
        <f ca="1">IFERROR(__xludf.DUMMYFUNCTION("""COMPUTED_VALUE"""),44743)</f>
        <v>44743</v>
      </c>
      <c r="H1130" s="6" t="str">
        <f ca="1">IFERROR(__xludf.DUMMYFUNCTION("""COMPUTED_VALUE"""),"Won")</f>
        <v>Won</v>
      </c>
      <c r="I1130" s="6" t="str">
        <f ca="1">IFERROR(__xludf.DUMMYFUNCTION("""COMPUTED_VALUE"""),"9-10 July 2022")</f>
        <v>9-10 July 2022</v>
      </c>
      <c r="J1130" s="6">
        <f ca="1">IFERROR(__xludf.DUMMYFUNCTION("""COMPUTED_VALUE"""),1)</f>
        <v>1</v>
      </c>
      <c r="K1130" s="8">
        <f ca="1">IFERROR(__xludf.DUMMYFUNCTION("""COMPUTED_VALUE"""),28558)</f>
        <v>28558</v>
      </c>
      <c r="L1130" s="8">
        <f ca="1">IFERROR(__xludf.DUMMYFUNCTION("""COMPUTED_VALUE"""),327.049931287219)</f>
        <v>327.04993128721901</v>
      </c>
      <c r="M1130" s="96">
        <f ca="1">IFERROR(__xludf.DUMMYFUNCTION("""COMPUTED_VALUE"""),44750)</f>
        <v>44750</v>
      </c>
      <c r="N1130" s="6" t="str">
        <f ca="1">IFERROR(__xludf.DUMMYFUNCTION("""COMPUTED_VALUE"""),"F10")</f>
        <v>F10</v>
      </c>
      <c r="O1130" s="97">
        <f ca="1">IFERROR(__xludf.DUMMYFUNCTION("""COMPUTED_VALUE"""),44750)</f>
        <v>44750</v>
      </c>
      <c r="P1130" s="6" t="str">
        <f ca="1">IFERROR(__xludf.DUMMYFUNCTION("""COMPUTED_VALUE"""),"SMPL_5JC1FO8Z0FX")</f>
        <v>SMPL_5JC1FO8Z0FX</v>
      </c>
      <c r="Q1130" s="6"/>
      <c r="R1130" s="6" t="str">
        <f ca="1">IFERROR(__xludf.DUMMYFUNCTION("""COMPUTED_VALUE"""),"Done. Good feedback.")</f>
        <v>Done. Good feedback.</v>
      </c>
      <c r="S1130" s="6" t="str">
        <f ca="1">IFERROR(__xludf.DUMMYFUNCTION("""COMPUTED_VALUE"""),"Category")</f>
        <v>Category</v>
      </c>
      <c r="T1130" s="6"/>
      <c r="U1130" s="6"/>
      <c r="V1130" s="6"/>
      <c r="W1130" s="6"/>
      <c r="X1130" s="6"/>
      <c r="Y1130" s="6"/>
      <c r="Z1130" s="6"/>
      <c r="AA1130" s="6"/>
      <c r="AB1130" s="6"/>
      <c r="AC1130" s="6"/>
      <c r="AD1130" s="6"/>
      <c r="AE1130" s="6"/>
      <c r="AF1130" s="6"/>
      <c r="AG1130" s="6"/>
      <c r="AH1130" s="6"/>
      <c r="AI1130" s="6"/>
      <c r="AJ1130" s="6"/>
      <c r="AK1130" s="6"/>
      <c r="AL1130" s="6"/>
    </row>
    <row r="1131" spans="1:38">
      <c r="A1131" s="96">
        <f ca="1">IFERROR(__xludf.DUMMYFUNCTION("""COMPUTED_VALUE"""),44751)</f>
        <v>44751</v>
      </c>
      <c r="B1131" s="6" t="str">
        <f ca="1">IFERROR(__xludf.DUMMYFUNCTION("""COMPUTED_VALUE"""),"Renuka Prajapati")</f>
        <v>Renuka Prajapati</v>
      </c>
      <c r="C1131" s="6" t="str">
        <f ca="1">IFERROR(__xludf.DUMMYFUNCTION("""COMPUTED_VALUE"""),"prajapati.renuka@gmail.com")</f>
        <v>prajapati.renuka@gmail.com</v>
      </c>
      <c r="D1131" s="6">
        <f ca="1">IFERROR(__xludf.DUMMYFUNCTION("""COMPUTED_VALUE"""),7456821904)</f>
        <v>7456821904</v>
      </c>
      <c r="E1131" s="6" t="str">
        <f ca="1">IFERROR(__xludf.DUMMYFUNCTION("""COMPUTED_VALUE"""),"Reference")</f>
        <v>Reference</v>
      </c>
      <c r="F1131" s="6" t="str">
        <f ca="1">IFERROR(__xludf.DUMMYFUNCTION("""COMPUTED_VALUE"""),"CSPO")</f>
        <v>CSPO</v>
      </c>
      <c r="G1131" s="80">
        <f ca="1">IFERROR(__xludf.DUMMYFUNCTION("""COMPUTED_VALUE"""),44743)</f>
        <v>44743</v>
      </c>
      <c r="H1131" s="6" t="str">
        <f ca="1">IFERROR(__xludf.DUMMYFUNCTION("""COMPUTED_VALUE"""),"Won")</f>
        <v>Won</v>
      </c>
      <c r="I1131" s="6" t="str">
        <f ca="1">IFERROR(__xludf.DUMMYFUNCTION("""COMPUTED_VALUE"""),"13-14 July 2022")</f>
        <v>13-14 July 2022</v>
      </c>
      <c r="J1131" s="6">
        <f ca="1">IFERROR(__xludf.DUMMYFUNCTION("""COMPUTED_VALUE"""),1)</f>
        <v>1</v>
      </c>
      <c r="K1131" s="8">
        <f ca="1">IFERROR(__xludf.DUMMYFUNCTION("""COMPUTED_VALUE"""),20000)</f>
        <v>20000</v>
      </c>
      <c r="L1131" s="8">
        <f ca="1">IFERROR(__xludf.DUMMYFUNCTION("""COMPUTED_VALUE"""),229.042601923957)</f>
        <v>229.04260192395699</v>
      </c>
      <c r="M1131" s="96">
        <f ca="1">IFERROR(__xludf.DUMMYFUNCTION("""COMPUTED_VALUE"""),44751)</f>
        <v>44751</v>
      </c>
      <c r="N1131" s="6" t="str">
        <f ca="1">IFERROR(__xludf.DUMMYFUNCTION("""COMPUTED_VALUE"""),"S10")</f>
        <v>S10</v>
      </c>
      <c r="O1131" s="97">
        <f ca="1">IFERROR(__xludf.DUMMYFUNCTION("""COMPUTED_VALUE"""),44753)</f>
        <v>44753</v>
      </c>
      <c r="P1131" s="6" t="str">
        <f ca="1">IFERROR(__xludf.DUMMYFUNCTION("""COMPUTED_VALUE"""),"CSTM_AU0LUNN9CA4")</f>
        <v>CSTM_AU0LUNN9CA4</v>
      </c>
      <c r="Q1131" s="6"/>
      <c r="R1131" s="6" t="str">
        <f ca="1">IFERROR(__xludf.DUMMYFUNCTION("""COMPUTED_VALUE"""),"Pending")</f>
        <v>Pending</v>
      </c>
      <c r="S1131" s="6" t="str">
        <f ca="1">IFERROR(__xludf.DUMMYFUNCTION("""COMPUTED_VALUE"""),"Category")</f>
        <v>Category</v>
      </c>
      <c r="T1131" s="6"/>
      <c r="U1131" s="6"/>
      <c r="V1131" s="6"/>
      <c r="W1131" s="6"/>
      <c r="X1131" s="6"/>
      <c r="Y1131" s="6"/>
      <c r="Z1131" s="6"/>
      <c r="AA1131" s="6"/>
      <c r="AB1131" s="6"/>
      <c r="AC1131" s="6"/>
      <c r="AD1131" s="6"/>
      <c r="AE1131" s="6"/>
      <c r="AF1131" s="6"/>
      <c r="AG1131" s="6"/>
      <c r="AH1131" s="6"/>
      <c r="AI1131" s="6"/>
      <c r="AJ1131" s="6"/>
      <c r="AK1131" s="6"/>
      <c r="AL1131" s="6"/>
    </row>
    <row r="1132" spans="1:38">
      <c r="A1132" s="96">
        <f ca="1">IFERROR(__xludf.DUMMYFUNCTION("""COMPUTED_VALUE"""),44753)</f>
        <v>44753</v>
      </c>
      <c r="B1132" s="6" t="str">
        <f ca="1">IFERROR(__xludf.DUMMYFUNCTION("""COMPUTED_VALUE"""),"Tanya Singla")</f>
        <v>Tanya Singla</v>
      </c>
      <c r="C1132" s="6" t="str">
        <f ca="1">IFERROR(__xludf.DUMMYFUNCTION("""COMPUTED_VALUE"""),"tanyasingla0905@gmail.com")</f>
        <v>tanyasingla0905@gmail.com</v>
      </c>
      <c r="D1132" s="6">
        <f ca="1">IFERROR(__xludf.DUMMYFUNCTION("""COMPUTED_VALUE"""),9646483144)</f>
        <v>9646483144</v>
      </c>
      <c r="E1132" s="6" t="str">
        <f ca="1">IFERROR(__xludf.DUMMYFUNCTION("""COMPUTED_VALUE"""),"Reference")</f>
        <v>Reference</v>
      </c>
      <c r="F1132" s="6" t="str">
        <f ca="1">IFERROR(__xludf.DUMMYFUNCTION("""COMPUTED_VALUE"""),"CSM")</f>
        <v>CSM</v>
      </c>
      <c r="G1132" s="80">
        <f ca="1">IFERROR(__xludf.DUMMYFUNCTION("""COMPUTED_VALUE"""),44743)</f>
        <v>44743</v>
      </c>
      <c r="H1132" s="6" t="str">
        <f ca="1">IFERROR(__xludf.DUMMYFUNCTION("""COMPUTED_VALUE"""),"Won")</f>
        <v>Won</v>
      </c>
      <c r="I1132" s="6" t="str">
        <f ca="1">IFERROR(__xludf.DUMMYFUNCTION("""COMPUTED_VALUE"""),"23-24 July 2022")</f>
        <v>23-24 July 2022</v>
      </c>
      <c r="J1132" s="6">
        <f ca="1">IFERROR(__xludf.DUMMYFUNCTION("""COMPUTED_VALUE"""),1)</f>
        <v>1</v>
      </c>
      <c r="K1132" s="8">
        <f ca="1">IFERROR(__xludf.DUMMYFUNCTION("""COMPUTED_VALUE"""),20000)</f>
        <v>20000</v>
      </c>
      <c r="L1132" s="8">
        <f ca="1">IFERROR(__xludf.DUMMYFUNCTION("""COMPUTED_VALUE"""),229.042601923957)</f>
        <v>229.04260192395699</v>
      </c>
      <c r="M1132" s="96">
        <f ca="1">IFERROR(__xludf.DUMMYFUNCTION("""COMPUTED_VALUE"""),44753)</f>
        <v>44753</v>
      </c>
      <c r="N1132" s="6" t="str">
        <f ca="1">IFERROR(__xludf.DUMMYFUNCTION("""COMPUTED_VALUE"""),"S10")</f>
        <v>S10</v>
      </c>
      <c r="O1132" s="97">
        <f ca="1">IFERROR(__xludf.DUMMYFUNCTION("""COMPUTED_VALUE"""),44753)</f>
        <v>44753</v>
      </c>
      <c r="P1132" s="6" t="str">
        <f ca="1">IFERROR(__xludf.DUMMYFUNCTION("""COMPUTED_VALUE"""),"CSTM_9DQJ4W98XF3")</f>
        <v>CSTM_9DQJ4W98XF3</v>
      </c>
      <c r="Q1132" s="6"/>
      <c r="R1132" s="6" t="str">
        <f ca="1">IFERROR(__xludf.DUMMYFUNCTION("""COMPUTED_VALUE"""),"Done. Good feedback.")</f>
        <v>Done. Good feedback.</v>
      </c>
      <c r="S1132" s="6" t="str">
        <f ca="1">IFERROR(__xludf.DUMMYFUNCTION("""COMPUTED_VALUE"""),"Category")</f>
        <v>Category</v>
      </c>
      <c r="T1132" s="6"/>
      <c r="U1132" s="6"/>
      <c r="V1132" s="6"/>
      <c r="W1132" s="6"/>
      <c r="X1132" s="6"/>
      <c r="Y1132" s="6"/>
      <c r="Z1132" s="6"/>
      <c r="AA1132" s="6"/>
      <c r="AB1132" s="6"/>
      <c r="AC1132" s="6"/>
      <c r="AD1132" s="6"/>
      <c r="AE1132" s="6"/>
      <c r="AF1132" s="6"/>
      <c r="AG1132" s="6"/>
      <c r="AH1132" s="6"/>
      <c r="AI1132" s="6"/>
      <c r="AJ1132" s="6"/>
      <c r="AK1132" s="6"/>
      <c r="AL1132" s="6"/>
    </row>
    <row r="1133" spans="1:38">
      <c r="A1133" s="96">
        <f ca="1">IFERROR(__xludf.DUMMYFUNCTION("""COMPUTED_VALUE"""),44753)</f>
        <v>44753</v>
      </c>
      <c r="B1133" s="6" t="str">
        <f ca="1">IFERROR(__xludf.DUMMYFUNCTION("""COMPUTED_VALUE"""),"Rinku Kumari")</f>
        <v>Rinku Kumari</v>
      </c>
      <c r="C1133" s="6" t="str">
        <f ca="1">IFERROR(__xludf.DUMMYFUNCTION("""COMPUTED_VALUE"""),"shrim24@gmail.com")</f>
        <v>shrim24@gmail.com</v>
      </c>
      <c r="D1133" s="6">
        <f ca="1">IFERROR(__xludf.DUMMYFUNCTION("""COMPUTED_VALUE"""),9835966416)</f>
        <v>9835966416</v>
      </c>
      <c r="E1133" s="6" t="str">
        <f ca="1">IFERROR(__xludf.DUMMYFUNCTION("""COMPUTED_VALUE"""),"chat_initiated")</f>
        <v>chat_initiated</v>
      </c>
      <c r="F1133" s="6" t="str">
        <f ca="1">IFERROR(__xludf.DUMMYFUNCTION("""COMPUTED_VALUE"""),"PSM 2")</f>
        <v>PSM 2</v>
      </c>
      <c r="G1133" s="80">
        <f ca="1">IFERROR(__xludf.DUMMYFUNCTION("""COMPUTED_VALUE"""),44743)</f>
        <v>44743</v>
      </c>
      <c r="H1133" s="6" t="str">
        <f ca="1">IFERROR(__xludf.DUMMYFUNCTION("""COMPUTED_VALUE"""),"Won")</f>
        <v>Won</v>
      </c>
      <c r="I1133" s="6" t="str">
        <f ca="1">IFERROR(__xludf.DUMMYFUNCTION("""COMPUTED_VALUE"""),"23-24 July 2022")</f>
        <v>23-24 July 2022</v>
      </c>
      <c r="J1133" s="6">
        <f ca="1">IFERROR(__xludf.DUMMYFUNCTION("""COMPUTED_VALUE"""),1)</f>
        <v>1</v>
      </c>
      <c r="K1133" s="8">
        <f ca="1">IFERROR(__xludf.DUMMYFUNCTION("""COMPUTED_VALUE"""),24000)</f>
        <v>24000</v>
      </c>
      <c r="L1133" s="8">
        <f ca="1">IFERROR(__xludf.DUMMYFUNCTION("""COMPUTED_VALUE"""),274.851122308749)</f>
        <v>274.85112230874898</v>
      </c>
      <c r="M1133" s="96">
        <f ca="1">IFERROR(__xludf.DUMMYFUNCTION("""COMPUTED_VALUE"""),44753)</f>
        <v>44753</v>
      </c>
      <c r="N1133" s="6" t="str">
        <f ca="1">IFERROR(__xludf.DUMMYFUNCTION("""COMPUTED_VALUE"""),"S10")</f>
        <v>S10</v>
      </c>
      <c r="O1133" s="97">
        <f ca="1">IFERROR(__xludf.DUMMYFUNCTION("""COMPUTED_VALUE"""),44753)</f>
        <v>44753</v>
      </c>
      <c r="P1133" s="6" t="str">
        <f ca="1">IFERROR(__xludf.DUMMYFUNCTION("""COMPUTED_VALUE"""),"CSTM_EE4G9J83VEF")</f>
        <v>CSTM_EE4G9J83VEF</v>
      </c>
      <c r="Q1133" s="6"/>
      <c r="R1133" s="6" t="str">
        <f ca="1">IFERROR(__xludf.DUMMYFUNCTION("""COMPUTED_VALUE"""),"Done. Good feedback.")</f>
        <v>Done. Good feedback.</v>
      </c>
      <c r="S1133" s="6" t="str">
        <f ca="1">IFERROR(__xludf.DUMMYFUNCTION("""COMPUTED_VALUE"""),"Category")</f>
        <v>Category</v>
      </c>
      <c r="T1133" s="6"/>
      <c r="U1133" s="6"/>
      <c r="V1133" s="6"/>
      <c r="W1133" s="6"/>
      <c r="X1133" s="6"/>
      <c r="Y1133" s="6"/>
      <c r="Z1133" s="6"/>
      <c r="AA1133" s="6"/>
      <c r="AB1133" s="6"/>
      <c r="AC1133" s="6"/>
      <c r="AD1133" s="6"/>
      <c r="AE1133" s="6"/>
      <c r="AF1133" s="6"/>
      <c r="AG1133" s="6"/>
      <c r="AH1133" s="6"/>
      <c r="AI1133" s="6"/>
      <c r="AJ1133" s="6"/>
      <c r="AK1133" s="6"/>
      <c r="AL1133" s="6"/>
    </row>
    <row r="1134" spans="1:38">
      <c r="A1134" s="96">
        <f ca="1">IFERROR(__xludf.DUMMYFUNCTION("""COMPUTED_VALUE"""),44753)</f>
        <v>44753</v>
      </c>
      <c r="B1134" s="6" t="str">
        <f ca="1">IFERROR(__xludf.DUMMYFUNCTION("""COMPUTED_VALUE"""),"Arpit Shri")</f>
        <v>Arpit Shri</v>
      </c>
      <c r="C1134" s="6" t="str">
        <f ca="1">IFERROR(__xludf.DUMMYFUNCTION("""COMPUTED_VALUE"""),"ashri4937@gmail.com")</f>
        <v>ashri4937@gmail.com</v>
      </c>
      <c r="D1134" s="6">
        <f ca="1">IFERROR(__xludf.DUMMYFUNCTION("""COMPUTED_VALUE"""),9962979976)</f>
        <v>9962979976</v>
      </c>
      <c r="E1134" s="6" t="str">
        <f ca="1">IFERROR(__xludf.DUMMYFUNCTION("""COMPUTED_VALUE"""),"Query box")</f>
        <v>Query box</v>
      </c>
      <c r="F1134" s="6" t="str">
        <f ca="1">IFERROR(__xludf.DUMMYFUNCTION("""COMPUTED_VALUE"""),"SAFe Agile")</f>
        <v>SAFe Agile</v>
      </c>
      <c r="G1134" s="80">
        <f ca="1">IFERROR(__xludf.DUMMYFUNCTION("""COMPUTED_VALUE"""),44743)</f>
        <v>44743</v>
      </c>
      <c r="H1134" s="6" t="str">
        <f ca="1">IFERROR(__xludf.DUMMYFUNCTION("""COMPUTED_VALUE"""),"Won")</f>
        <v>Won</v>
      </c>
      <c r="I1134" s="6" t="str">
        <f ca="1">IFERROR(__xludf.DUMMYFUNCTION("""COMPUTED_VALUE"""),"16-17 July 2022")</f>
        <v>16-17 July 2022</v>
      </c>
      <c r="J1134" s="6">
        <f ca="1">IFERROR(__xludf.DUMMYFUNCTION("""COMPUTED_VALUE"""),1)</f>
        <v>1</v>
      </c>
      <c r="K1134" s="8">
        <f ca="1">IFERROR(__xludf.DUMMYFUNCTION("""COMPUTED_VALUE"""),40061)</f>
        <v>40061</v>
      </c>
      <c r="L1134" s="8">
        <f ca="1">IFERROR(__xludf.DUMMYFUNCTION("""COMPUTED_VALUE"""),458.783783783783)</f>
        <v>458.78378378378301</v>
      </c>
      <c r="M1134" s="96">
        <f ca="1">IFERROR(__xludf.DUMMYFUNCTION("""COMPUTED_VALUE"""),44753)</f>
        <v>44753</v>
      </c>
      <c r="N1134" s="6" t="str">
        <f ca="1">IFERROR(__xludf.DUMMYFUNCTION("""COMPUTED_VALUE"""),"S10")</f>
        <v>S10</v>
      </c>
      <c r="O1134" s="97">
        <f ca="1">IFERROR(__xludf.DUMMYFUNCTION("""COMPUTED_VALUE"""),44753)</f>
        <v>44753</v>
      </c>
      <c r="P1134" s="6" t="str">
        <f ca="1">IFERROR(__xludf.DUMMYFUNCTION("""COMPUTED_VALUE"""),"CSTM_HKJNR1XE6LK")</f>
        <v>CSTM_HKJNR1XE6LK</v>
      </c>
      <c r="Q1134" s="6"/>
      <c r="R1134" s="6" t="str">
        <f ca="1">IFERROR(__xludf.DUMMYFUNCTION("""COMPUTED_VALUE"""),"Done. Good feedback.")</f>
        <v>Done. Good feedback.</v>
      </c>
      <c r="S1134" s="6" t="str">
        <f ca="1">IFERROR(__xludf.DUMMYFUNCTION("""COMPUTED_VALUE"""),"SAFe")</f>
        <v>SAFe</v>
      </c>
      <c r="T1134" s="6"/>
      <c r="U1134" s="6"/>
      <c r="V1134" s="6"/>
      <c r="W1134" s="6"/>
      <c r="X1134" s="6"/>
      <c r="Y1134" s="6"/>
      <c r="Z1134" s="6"/>
      <c r="AA1134" s="6"/>
      <c r="AB1134" s="6"/>
      <c r="AC1134" s="6"/>
      <c r="AD1134" s="6"/>
      <c r="AE1134" s="6"/>
      <c r="AF1134" s="6"/>
      <c r="AG1134" s="6"/>
      <c r="AH1134" s="6"/>
      <c r="AI1134" s="6"/>
      <c r="AJ1134" s="6"/>
      <c r="AK1134" s="6"/>
      <c r="AL1134" s="6"/>
    </row>
    <row r="1135" spans="1:38">
      <c r="A1135" s="96">
        <f ca="1">IFERROR(__xludf.DUMMYFUNCTION("""COMPUTED_VALUE"""),44754)</f>
        <v>44754</v>
      </c>
      <c r="B1135" s="6" t="str">
        <f ca="1">IFERROR(__xludf.DUMMYFUNCTION("""COMPUTED_VALUE"""),"Santosh Rathnalu")</f>
        <v>Santosh Rathnalu</v>
      </c>
      <c r="C1135" s="6" t="str">
        <f ca="1">IFERROR(__xludf.DUMMYFUNCTION("""COMPUTED_VALUE"""),"ratnalusantosh@gmail.com")</f>
        <v>ratnalusantosh@gmail.com</v>
      </c>
      <c r="D1135" s="6">
        <f ca="1">IFERROR(__xludf.DUMMYFUNCTION("""COMPUTED_VALUE"""),8885016919)</f>
        <v>8885016919</v>
      </c>
      <c r="E1135" s="6" t="str">
        <f ca="1">IFERROR(__xludf.DUMMYFUNCTION("""COMPUTED_VALUE"""),"Reference")</f>
        <v>Reference</v>
      </c>
      <c r="F1135" s="6" t="str">
        <f ca="1">IFERROR(__xludf.DUMMYFUNCTION("""COMPUTED_VALUE"""),"ITILv4")</f>
        <v>ITILv4</v>
      </c>
      <c r="G1135" s="80">
        <f ca="1">IFERROR(__xludf.DUMMYFUNCTION("""COMPUTED_VALUE"""),44743)</f>
        <v>44743</v>
      </c>
      <c r="H1135" s="6" t="str">
        <f ca="1">IFERROR(__xludf.DUMMYFUNCTION("""COMPUTED_VALUE"""),"Won")</f>
        <v>Won</v>
      </c>
      <c r="I1135" s="6" t="str">
        <f ca="1">IFERROR(__xludf.DUMMYFUNCTION("""COMPUTED_VALUE"""),"16 July 2022")</f>
        <v>16 July 2022</v>
      </c>
      <c r="J1135" s="6">
        <f ca="1">IFERROR(__xludf.DUMMYFUNCTION("""COMPUTED_VALUE"""),1)</f>
        <v>1</v>
      </c>
      <c r="K1135" s="8">
        <f ca="1">IFERROR(__xludf.DUMMYFUNCTION("""COMPUTED_VALUE"""),20000)</f>
        <v>20000</v>
      </c>
      <c r="L1135" s="8">
        <f ca="1">IFERROR(__xludf.DUMMYFUNCTION("""COMPUTED_VALUE"""),229.042601923957)</f>
        <v>229.04260192395699</v>
      </c>
      <c r="M1135" s="96">
        <f ca="1">IFERROR(__xludf.DUMMYFUNCTION("""COMPUTED_VALUE"""),44754)</f>
        <v>44754</v>
      </c>
      <c r="N1135" s="6" t="str">
        <f ca="1">IFERROR(__xludf.DUMMYFUNCTION("""COMPUTED_VALUE"""),"S10")</f>
        <v>S10</v>
      </c>
      <c r="O1135" s="97">
        <f ca="1">IFERROR(__xludf.DUMMYFUNCTION("""COMPUTED_VALUE"""),44756)</f>
        <v>44756</v>
      </c>
      <c r="P1135" s="6" t="str">
        <f ca="1">IFERROR(__xludf.DUMMYFUNCTION("""COMPUTED_VALUE"""),"CSTM_EAY98P1SGOL")</f>
        <v>CSTM_EAY98P1SGOL</v>
      </c>
      <c r="Q1135" s="6"/>
      <c r="R1135" s="6" t="str">
        <f ca="1">IFERROR(__xludf.DUMMYFUNCTION("""COMPUTED_VALUE"""),"Pending")</f>
        <v>Pending</v>
      </c>
      <c r="S1135" s="6" t="str">
        <f ca="1">IFERROR(__xludf.DUMMYFUNCTION("""COMPUTED_VALUE"""),"NonCategory")</f>
        <v>NonCategory</v>
      </c>
      <c r="T1135" s="6"/>
      <c r="U1135" s="6"/>
      <c r="V1135" s="6"/>
      <c r="W1135" s="6"/>
      <c r="X1135" s="6"/>
      <c r="Y1135" s="6"/>
      <c r="Z1135" s="6"/>
      <c r="AA1135" s="6"/>
      <c r="AB1135" s="6"/>
      <c r="AC1135" s="6"/>
      <c r="AD1135" s="6"/>
      <c r="AE1135" s="6"/>
      <c r="AF1135" s="6"/>
      <c r="AG1135" s="6"/>
      <c r="AH1135" s="6"/>
      <c r="AI1135" s="6"/>
      <c r="AJ1135" s="6"/>
      <c r="AK1135" s="6"/>
      <c r="AL1135" s="6"/>
    </row>
    <row r="1136" spans="1:38">
      <c r="A1136" s="96">
        <f ca="1">IFERROR(__xludf.DUMMYFUNCTION("""COMPUTED_VALUE"""),44754)</f>
        <v>44754</v>
      </c>
      <c r="B1136" s="6" t="str">
        <f ca="1">IFERROR(__xludf.DUMMYFUNCTION("""COMPUTED_VALUE"""),"Radhika N")</f>
        <v>Radhika N</v>
      </c>
      <c r="C1136" s="6" t="str">
        <f ca="1">IFERROR(__xludf.DUMMYFUNCTION("""COMPUTED_VALUE"""),"radhikan1226@gmail.com")</f>
        <v>radhikan1226@gmail.com</v>
      </c>
      <c r="D1136" s="6">
        <f ca="1">IFERROR(__xludf.DUMMYFUNCTION("""COMPUTED_VALUE"""),9948812266)</f>
        <v>9948812266</v>
      </c>
      <c r="E1136" s="6" t="str">
        <f ca="1">IFERROR(__xludf.DUMMYFUNCTION("""COMPUTED_VALUE"""),"Reference")</f>
        <v>Reference</v>
      </c>
      <c r="F1136" s="6" t="str">
        <f ca="1">IFERROR(__xludf.DUMMYFUNCTION("""COMPUTED_VALUE"""),"PSM 2")</f>
        <v>PSM 2</v>
      </c>
      <c r="G1136" s="80">
        <f ca="1">IFERROR(__xludf.DUMMYFUNCTION("""COMPUTED_VALUE"""),44743)</f>
        <v>44743</v>
      </c>
      <c r="H1136" s="6" t="str">
        <f ca="1">IFERROR(__xludf.DUMMYFUNCTION("""COMPUTED_VALUE"""),"Won")</f>
        <v>Won</v>
      </c>
      <c r="I1136" s="6" t="str">
        <f ca="1">IFERROR(__xludf.DUMMYFUNCTION("""COMPUTED_VALUE"""),"23-24 July 2022")</f>
        <v>23-24 July 2022</v>
      </c>
      <c r="J1136" s="6">
        <f ca="1">IFERROR(__xludf.DUMMYFUNCTION("""COMPUTED_VALUE"""),1)</f>
        <v>1</v>
      </c>
      <c r="K1136" s="8">
        <f ca="1">IFERROR(__xludf.DUMMYFUNCTION("""COMPUTED_VALUE"""),24000)</f>
        <v>24000</v>
      </c>
      <c r="L1136" s="8">
        <f ca="1">IFERROR(__xludf.DUMMYFUNCTION("""COMPUTED_VALUE"""),274.851122308749)</f>
        <v>274.85112230874898</v>
      </c>
      <c r="M1136" s="96">
        <f ca="1">IFERROR(__xludf.DUMMYFUNCTION("""COMPUTED_VALUE"""),44754)</f>
        <v>44754</v>
      </c>
      <c r="N1136" s="6" t="str">
        <f ca="1">IFERROR(__xludf.DUMMYFUNCTION("""COMPUTED_VALUE"""),"S10")</f>
        <v>S10</v>
      </c>
      <c r="O1136" s="97">
        <f ca="1">IFERROR(__xludf.DUMMYFUNCTION("""COMPUTED_VALUE"""),44754)</f>
        <v>44754</v>
      </c>
      <c r="P1136" s="6" t="str">
        <f ca="1">IFERROR(__xludf.DUMMYFUNCTION("""COMPUTED_VALUE"""),"CSTM_AVBRKT1M5P0")</f>
        <v>CSTM_AVBRKT1M5P0</v>
      </c>
      <c r="Q1136" s="6"/>
      <c r="R1136" s="6" t="str">
        <f ca="1">IFERROR(__xludf.DUMMYFUNCTION("""COMPUTED_VALUE"""),"Done. Good feedback.")</f>
        <v>Done. Good feedback.</v>
      </c>
      <c r="S1136" s="6" t="str">
        <f ca="1">IFERROR(__xludf.DUMMYFUNCTION("""COMPUTED_VALUE"""),"Category")</f>
        <v>Category</v>
      </c>
      <c r="T1136" s="6"/>
      <c r="U1136" s="6"/>
      <c r="V1136" s="6"/>
      <c r="W1136" s="6"/>
      <c r="X1136" s="6"/>
      <c r="Y1136" s="6"/>
      <c r="Z1136" s="6"/>
      <c r="AA1136" s="6"/>
      <c r="AB1136" s="6"/>
      <c r="AC1136" s="6"/>
      <c r="AD1136" s="6"/>
      <c r="AE1136" s="6"/>
      <c r="AF1136" s="6"/>
      <c r="AG1136" s="6"/>
      <c r="AH1136" s="6"/>
      <c r="AI1136" s="6"/>
      <c r="AJ1136" s="6"/>
      <c r="AK1136" s="6"/>
      <c r="AL1136" s="6"/>
    </row>
    <row r="1137" spans="1:38">
      <c r="A1137" s="96">
        <f ca="1">IFERROR(__xludf.DUMMYFUNCTION("""COMPUTED_VALUE"""),44754)</f>
        <v>44754</v>
      </c>
      <c r="B1137" s="6" t="str">
        <f ca="1">IFERROR(__xludf.DUMMYFUNCTION("""COMPUTED_VALUE"""),"Pragya Nagar")</f>
        <v>Pragya Nagar</v>
      </c>
      <c r="C1137" s="6" t="str">
        <f ca="1">IFERROR(__xludf.DUMMYFUNCTION("""COMPUTED_VALUE"""),"pragya.nagar@softwebsolutions.com")</f>
        <v>pragya.nagar@softwebsolutions.com</v>
      </c>
      <c r="D1137" s="6">
        <f ca="1">IFERROR(__xludf.DUMMYFUNCTION("""COMPUTED_VALUE"""),8875816080)</f>
        <v>8875816080</v>
      </c>
      <c r="E1137" s="6" t="str">
        <f ca="1">IFERROR(__xludf.DUMMYFUNCTION("""COMPUTED_VALUE"""),"Reference")</f>
        <v>Reference</v>
      </c>
      <c r="F1137" s="6" t="str">
        <f ca="1">IFERROR(__xludf.DUMMYFUNCTION("""COMPUTED_VALUE"""),"ITILv4")</f>
        <v>ITILv4</v>
      </c>
      <c r="G1137" s="80">
        <f ca="1">IFERROR(__xludf.DUMMYFUNCTION("""COMPUTED_VALUE"""),44743)</f>
        <v>44743</v>
      </c>
      <c r="H1137" s="6" t="str">
        <f ca="1">IFERROR(__xludf.DUMMYFUNCTION("""COMPUTED_VALUE"""),"Won")</f>
        <v>Won</v>
      </c>
      <c r="I1137" s="6" t="str">
        <f ca="1">IFERROR(__xludf.DUMMYFUNCTION("""COMPUTED_VALUE"""),"16 July 2022")</f>
        <v>16 July 2022</v>
      </c>
      <c r="J1137" s="6">
        <f ca="1">IFERROR(__xludf.DUMMYFUNCTION("""COMPUTED_VALUE"""),1)</f>
        <v>1</v>
      </c>
      <c r="K1137" s="8">
        <f ca="1">IFERROR(__xludf.DUMMYFUNCTION("""COMPUTED_VALUE"""),21000)</f>
        <v>21000</v>
      </c>
      <c r="L1137" s="8">
        <f ca="1">IFERROR(__xludf.DUMMYFUNCTION("""COMPUTED_VALUE"""),240.494732020155)</f>
        <v>240.494732020155</v>
      </c>
      <c r="M1137" s="96">
        <f ca="1">IFERROR(__xludf.DUMMYFUNCTION("""COMPUTED_VALUE"""),44754)</f>
        <v>44754</v>
      </c>
      <c r="N1137" s="6" t="str">
        <f ca="1">IFERROR(__xludf.DUMMYFUNCTION("""COMPUTED_VALUE"""),"S10")</f>
        <v>S10</v>
      </c>
      <c r="O1137" s="97">
        <f ca="1">IFERROR(__xludf.DUMMYFUNCTION("""COMPUTED_VALUE"""),44755)</f>
        <v>44755</v>
      </c>
      <c r="P1137" s="6" t="str">
        <f ca="1">IFERROR(__xludf.DUMMYFUNCTION("""COMPUTED_VALUE"""),"CSTM_DVG552X452O")</f>
        <v>CSTM_DVG552X452O</v>
      </c>
      <c r="Q1137" s="6"/>
      <c r="R1137" s="6" t="str">
        <f ca="1">IFERROR(__xludf.DUMMYFUNCTION("""COMPUTED_VALUE"""),"Pending")</f>
        <v>Pending</v>
      </c>
      <c r="S1137" s="6" t="str">
        <f ca="1">IFERROR(__xludf.DUMMYFUNCTION("""COMPUTED_VALUE"""),"NonCategory")</f>
        <v>NonCategory</v>
      </c>
      <c r="T1137" s="6"/>
      <c r="U1137" s="6"/>
      <c r="V1137" s="6"/>
      <c r="W1137" s="6"/>
      <c r="X1137" s="6"/>
      <c r="Y1137" s="6"/>
      <c r="Z1137" s="6"/>
      <c r="AA1137" s="6"/>
      <c r="AB1137" s="6"/>
      <c r="AC1137" s="6"/>
      <c r="AD1137" s="6"/>
      <c r="AE1137" s="6"/>
      <c r="AF1137" s="6"/>
      <c r="AG1137" s="6"/>
      <c r="AH1137" s="6"/>
      <c r="AI1137" s="6"/>
      <c r="AJ1137" s="6"/>
      <c r="AK1137" s="6"/>
      <c r="AL1137" s="6"/>
    </row>
    <row r="1138" spans="1:38">
      <c r="A1138" s="96">
        <f ca="1">IFERROR(__xludf.DUMMYFUNCTION("""COMPUTED_VALUE"""),44754)</f>
        <v>44754</v>
      </c>
      <c r="B1138" s="6" t="str">
        <f ca="1">IFERROR(__xludf.DUMMYFUNCTION("""COMPUTED_VALUE"""),"Sai Vinayak")</f>
        <v>Sai Vinayak</v>
      </c>
      <c r="C1138" s="6" t="str">
        <f ca="1">IFERROR(__xludf.DUMMYFUNCTION("""COMPUTED_VALUE"""),"saivinayak18@gmail.com")</f>
        <v>saivinayak18@gmail.com</v>
      </c>
      <c r="D1138" s="6">
        <f ca="1">IFERROR(__xludf.DUMMYFUNCTION("""COMPUTED_VALUE"""),7845024248)</f>
        <v>7845024248</v>
      </c>
      <c r="E1138" s="6" t="str">
        <f ca="1">IFERROR(__xludf.DUMMYFUNCTION("""COMPUTED_VALUE"""),"fpt")</f>
        <v>fpt</v>
      </c>
      <c r="F1138" s="6" t="str">
        <f ca="1">IFERROR(__xludf.DUMMYFUNCTION("""COMPUTED_VALUE"""),"CSM")</f>
        <v>CSM</v>
      </c>
      <c r="G1138" s="80">
        <f ca="1">IFERROR(__xludf.DUMMYFUNCTION("""COMPUTED_VALUE"""),44743)</f>
        <v>44743</v>
      </c>
      <c r="H1138" s="6" t="str">
        <f ca="1">IFERROR(__xludf.DUMMYFUNCTION("""COMPUTED_VALUE"""),"Won")</f>
        <v>Won</v>
      </c>
      <c r="I1138" s="6" t="str">
        <f ca="1">IFERROR(__xludf.DUMMYFUNCTION("""COMPUTED_VALUE"""),"18 July 2022")</f>
        <v>18 July 2022</v>
      </c>
      <c r="J1138" s="6">
        <f ca="1">IFERROR(__xludf.DUMMYFUNCTION("""COMPUTED_VALUE"""),1)</f>
        <v>1</v>
      </c>
      <c r="K1138" s="8">
        <f ca="1">IFERROR(__xludf.DUMMYFUNCTION("""COMPUTED_VALUE"""),49000)</f>
        <v>49000</v>
      </c>
      <c r="L1138" s="8">
        <f ca="1">IFERROR(__xludf.DUMMYFUNCTION("""COMPUTED_VALUE"""),561.154374713696)</f>
        <v>561.15437471369603</v>
      </c>
      <c r="M1138" s="96">
        <f ca="1">IFERROR(__xludf.DUMMYFUNCTION("""COMPUTED_VALUE"""),44754)</f>
        <v>44754</v>
      </c>
      <c r="N1138" s="6" t="str">
        <f ca="1">IFERROR(__xludf.DUMMYFUNCTION("""COMPUTED_VALUE"""),"S10")</f>
        <v>S10</v>
      </c>
      <c r="O1138" s="97">
        <f ca="1">IFERROR(__xludf.DUMMYFUNCTION("""COMPUTED_VALUE"""),44757)</f>
        <v>44757</v>
      </c>
      <c r="P1138" s="6" t="str">
        <f ca="1">IFERROR(__xludf.DUMMYFUNCTION("""COMPUTED_VALUE"""),"CSTM_448G2REEDM2")</f>
        <v>CSTM_448G2REEDM2</v>
      </c>
      <c r="Q1138" s="6"/>
      <c r="R1138" s="6" t="str">
        <f ca="1">IFERROR(__xludf.DUMMYFUNCTION("""COMPUTED_VALUE"""),"Pending")</f>
        <v>Pending</v>
      </c>
      <c r="S1138" s="6" t="str">
        <f ca="1">IFERROR(__xludf.DUMMYFUNCTION("""COMPUTED_VALUE"""),"Category")</f>
        <v>Category</v>
      </c>
      <c r="T1138" s="6"/>
      <c r="U1138" s="6"/>
      <c r="V1138" s="6"/>
      <c r="W1138" s="6"/>
      <c r="X1138" s="6"/>
      <c r="Y1138" s="6"/>
      <c r="Z1138" s="6"/>
      <c r="AA1138" s="6"/>
      <c r="AB1138" s="6"/>
      <c r="AC1138" s="6"/>
      <c r="AD1138" s="6"/>
      <c r="AE1138" s="6"/>
      <c r="AF1138" s="6"/>
      <c r="AG1138" s="6"/>
      <c r="AH1138" s="6"/>
      <c r="AI1138" s="6"/>
      <c r="AJ1138" s="6"/>
      <c r="AK1138" s="6"/>
      <c r="AL1138" s="6"/>
    </row>
    <row r="1139" spans="1:38">
      <c r="A1139" s="96">
        <f ca="1">IFERROR(__xludf.DUMMYFUNCTION("""COMPUTED_VALUE"""),44755)</f>
        <v>44755</v>
      </c>
      <c r="B1139" s="6" t="str">
        <f ca="1">IFERROR(__xludf.DUMMYFUNCTION("""COMPUTED_VALUE"""),"Sanjit Desai")</f>
        <v>Sanjit Desai</v>
      </c>
      <c r="C1139" s="6" t="str">
        <f ca="1">IFERROR(__xludf.DUMMYFUNCTION("""COMPUTED_VALUE"""),"sanjit.desai@gmail.com")</f>
        <v>sanjit.desai@gmail.com</v>
      </c>
      <c r="D1139" s="6">
        <f ca="1">IFERROR(__xludf.DUMMYFUNCTION("""COMPUTED_VALUE"""),9920145474)</f>
        <v>9920145474</v>
      </c>
      <c r="E1139" s="6" t="str">
        <f ca="1">IFERROR(__xludf.DUMMYFUNCTION("""COMPUTED_VALUE"""),"chat_initiated")</f>
        <v>chat_initiated</v>
      </c>
      <c r="F1139" s="6" t="str">
        <f ca="1">IFERROR(__xludf.DUMMYFUNCTION("""COMPUTED_VALUE"""),"PSM 2")</f>
        <v>PSM 2</v>
      </c>
      <c r="G1139" s="80">
        <f ca="1">IFERROR(__xludf.DUMMYFUNCTION("""COMPUTED_VALUE"""),44743)</f>
        <v>44743</v>
      </c>
      <c r="H1139" s="6" t="str">
        <f ca="1">IFERROR(__xludf.DUMMYFUNCTION("""COMPUTED_VALUE"""),"Won")</f>
        <v>Won</v>
      </c>
      <c r="I1139" s="6" t="str">
        <f ca="1">IFERROR(__xludf.DUMMYFUNCTION("""COMPUTED_VALUE"""),"23-24 July 2022")</f>
        <v>23-24 July 2022</v>
      </c>
      <c r="J1139" s="6">
        <f ca="1">IFERROR(__xludf.DUMMYFUNCTION("""COMPUTED_VALUE"""),1)</f>
        <v>1</v>
      </c>
      <c r="K1139" s="8">
        <f ca="1">IFERROR(__xludf.DUMMYFUNCTION("""COMPUTED_VALUE"""),24000)</f>
        <v>24000</v>
      </c>
      <c r="L1139" s="8">
        <f ca="1">IFERROR(__xludf.DUMMYFUNCTION("""COMPUTED_VALUE"""),274.851122308749)</f>
        <v>274.85112230874898</v>
      </c>
      <c r="M1139" s="96">
        <f ca="1">IFERROR(__xludf.DUMMYFUNCTION("""COMPUTED_VALUE"""),44755)</f>
        <v>44755</v>
      </c>
      <c r="N1139" s="6" t="str">
        <f ca="1">IFERROR(__xludf.DUMMYFUNCTION("""COMPUTED_VALUE"""),"S10")</f>
        <v>S10</v>
      </c>
      <c r="O1139" s="97">
        <f ca="1">IFERROR(__xludf.DUMMYFUNCTION("""COMPUTED_VALUE"""),44755)</f>
        <v>44755</v>
      </c>
      <c r="P1139" s="6" t="str">
        <f ca="1">IFERROR(__xludf.DUMMYFUNCTION("""COMPUTED_VALUE"""),"CSTM_60GM5L9HE4E")</f>
        <v>CSTM_60GM5L9HE4E</v>
      </c>
      <c r="Q1139" s="6"/>
      <c r="R1139" s="6" t="str">
        <f ca="1">IFERROR(__xludf.DUMMYFUNCTION("""COMPUTED_VALUE"""),"Done. Good feedback.")</f>
        <v>Done. Good feedback.</v>
      </c>
      <c r="S1139" s="6" t="str">
        <f ca="1">IFERROR(__xludf.DUMMYFUNCTION("""COMPUTED_VALUE"""),"Category")</f>
        <v>Category</v>
      </c>
      <c r="T1139" s="6"/>
      <c r="U1139" s="6"/>
      <c r="V1139" s="6"/>
      <c r="W1139" s="6"/>
      <c r="X1139" s="6"/>
      <c r="Y1139" s="6"/>
      <c r="Z1139" s="6"/>
      <c r="AA1139" s="6"/>
      <c r="AB1139" s="6"/>
      <c r="AC1139" s="6"/>
      <c r="AD1139" s="6"/>
      <c r="AE1139" s="6"/>
      <c r="AF1139" s="6"/>
      <c r="AG1139" s="6"/>
      <c r="AH1139" s="6"/>
      <c r="AI1139" s="6"/>
      <c r="AJ1139" s="6"/>
      <c r="AK1139" s="6"/>
      <c r="AL1139" s="6"/>
    </row>
    <row r="1140" spans="1:38">
      <c r="A1140" s="96">
        <f ca="1">IFERROR(__xludf.DUMMYFUNCTION("""COMPUTED_VALUE"""),44755)</f>
        <v>44755</v>
      </c>
      <c r="B1140" s="6" t="str">
        <f ca="1">IFERROR(__xludf.DUMMYFUNCTION("""COMPUTED_VALUE"""),"Mrunal Joshi")</f>
        <v>Mrunal Joshi</v>
      </c>
      <c r="C1140" s="6" t="str">
        <f ca="1">IFERROR(__xludf.DUMMYFUNCTION("""COMPUTED_VALUE"""),"mrunal.joshi@cognizant.com")</f>
        <v>mrunal.joshi@cognizant.com</v>
      </c>
      <c r="D1140" s="6">
        <f ca="1">IFERROR(__xludf.DUMMYFUNCTION("""COMPUTED_VALUE"""),9158986821)</f>
        <v>9158986821</v>
      </c>
      <c r="E1140" s="6" t="str">
        <f ca="1">IFERROR(__xludf.DUMMYFUNCTION("""COMPUTED_VALUE"""),"Existing Account")</f>
        <v>Existing Account</v>
      </c>
      <c r="F1140" s="6" t="str">
        <f ca="1">IFERROR(__xludf.DUMMYFUNCTION("""COMPUTED_VALUE"""),"CSPO")</f>
        <v>CSPO</v>
      </c>
      <c r="G1140" s="80">
        <f ca="1">IFERROR(__xludf.DUMMYFUNCTION("""COMPUTED_VALUE"""),44743)</f>
        <v>44743</v>
      </c>
      <c r="H1140" s="6" t="str">
        <f ca="1">IFERROR(__xludf.DUMMYFUNCTION("""COMPUTED_VALUE"""),"Opportunity")</f>
        <v>Opportunity</v>
      </c>
      <c r="I1140" s="6" t="str">
        <f ca="1">IFERROR(__xludf.DUMMYFUNCTION("""COMPUTED_VALUE"""),"18-19 July 2022")</f>
        <v>18-19 July 2022</v>
      </c>
      <c r="J1140" s="6">
        <f ca="1">IFERROR(__xludf.DUMMYFUNCTION("""COMPUTED_VALUE"""),1)</f>
        <v>1</v>
      </c>
      <c r="K1140" s="8">
        <f ca="1">IFERROR(__xludf.DUMMYFUNCTION("""COMPUTED_VALUE"""),20000)</f>
        <v>20000</v>
      </c>
      <c r="L1140" s="8">
        <f ca="1">IFERROR(__xludf.DUMMYFUNCTION("""COMPUTED_VALUE"""),229.042601923957)</f>
        <v>229.04260192395699</v>
      </c>
      <c r="M1140" s="96">
        <f ca="1">IFERROR(__xludf.DUMMYFUNCTION("""COMPUTED_VALUE"""),44755)</f>
        <v>44755</v>
      </c>
      <c r="N1140" s="6"/>
      <c r="O1140" s="97"/>
      <c r="P1140" s="6"/>
      <c r="Q1140" s="6"/>
      <c r="R1140" s="6"/>
      <c r="S1140" s="6" t="str">
        <f ca="1">IFERROR(__xludf.DUMMYFUNCTION("""COMPUTED_VALUE"""),"Category")</f>
        <v>Category</v>
      </c>
      <c r="T1140" s="6"/>
      <c r="U1140" s="6"/>
      <c r="V1140" s="6"/>
      <c r="W1140" s="6"/>
      <c r="X1140" s="6"/>
      <c r="Y1140" s="6"/>
      <c r="Z1140" s="6"/>
      <c r="AA1140" s="6"/>
      <c r="AB1140" s="6"/>
      <c r="AC1140" s="6"/>
      <c r="AD1140" s="6"/>
      <c r="AE1140" s="6"/>
      <c r="AF1140" s="6"/>
      <c r="AG1140" s="6"/>
      <c r="AH1140" s="6"/>
      <c r="AI1140" s="6"/>
      <c r="AJ1140" s="6"/>
      <c r="AK1140" s="6"/>
      <c r="AL1140" s="6"/>
    </row>
    <row r="1141" spans="1:38">
      <c r="A1141" s="96">
        <f ca="1">IFERROR(__xludf.DUMMYFUNCTION("""COMPUTED_VALUE"""),44756)</f>
        <v>44756</v>
      </c>
      <c r="B1141" s="6" t="str">
        <f ca="1">IFERROR(__xludf.DUMMYFUNCTION("""COMPUTED_VALUE"""),"Prashant Mhetar")</f>
        <v>Prashant Mhetar</v>
      </c>
      <c r="C1141" s="6" t="str">
        <f ca="1">IFERROR(__xludf.DUMMYFUNCTION("""COMPUTED_VALUE"""),"prashantmhetar@gmail.com")</f>
        <v>prashantmhetar@gmail.com</v>
      </c>
      <c r="D1141" s="6">
        <f ca="1">IFERROR(__xludf.DUMMYFUNCTION("""COMPUTED_VALUE"""),9844244715)</f>
        <v>9844244715</v>
      </c>
      <c r="E1141" s="6" t="str">
        <f ca="1">IFERROR(__xludf.DUMMYFUNCTION("""COMPUTED_VALUE"""),"Chat_triggered")</f>
        <v>Chat_triggered</v>
      </c>
      <c r="F1141" s="6" t="str">
        <f ca="1">IFERROR(__xludf.DUMMYFUNCTION("""COMPUTED_VALUE"""),"PSPO")</f>
        <v>PSPO</v>
      </c>
      <c r="G1141" s="80">
        <f ca="1">IFERROR(__xludf.DUMMYFUNCTION("""COMPUTED_VALUE"""),44743)</f>
        <v>44743</v>
      </c>
      <c r="H1141" s="6" t="str">
        <f ca="1">IFERROR(__xludf.DUMMYFUNCTION("""COMPUTED_VALUE"""),"Won")</f>
        <v>Won</v>
      </c>
      <c r="I1141" s="6" t="str">
        <f ca="1">IFERROR(__xludf.DUMMYFUNCTION("""COMPUTED_VALUE"""),"23-24 July 2022")</f>
        <v>23-24 July 2022</v>
      </c>
      <c r="J1141" s="6">
        <f ca="1">IFERROR(__xludf.DUMMYFUNCTION("""COMPUTED_VALUE"""),1)</f>
        <v>1</v>
      </c>
      <c r="K1141" s="8">
        <f ca="1">IFERROR(__xludf.DUMMYFUNCTION("""COMPUTED_VALUE"""),21000)</f>
        <v>21000</v>
      </c>
      <c r="L1141" s="8">
        <f ca="1">IFERROR(__xludf.DUMMYFUNCTION("""COMPUTED_VALUE"""),240.494732020155)</f>
        <v>240.494732020155</v>
      </c>
      <c r="M1141" s="96">
        <f ca="1">IFERROR(__xludf.DUMMYFUNCTION("""COMPUTED_VALUE"""),44756)</f>
        <v>44756</v>
      </c>
      <c r="N1141" s="6" t="str">
        <f ca="1">IFERROR(__xludf.DUMMYFUNCTION("""COMPUTED_VALUE"""),"S10")</f>
        <v>S10</v>
      </c>
      <c r="O1141" s="97">
        <f ca="1">IFERROR(__xludf.DUMMYFUNCTION("""COMPUTED_VALUE"""),44756)</f>
        <v>44756</v>
      </c>
      <c r="P1141" s="6" t="str">
        <f ca="1">IFERROR(__xludf.DUMMYFUNCTION("""COMPUTED_VALUE"""),"CSTM_41YLLXV6Q3B")</f>
        <v>CSTM_41YLLXV6Q3B</v>
      </c>
      <c r="Q1141" s="6"/>
      <c r="R1141" s="6" t="str">
        <f ca="1">IFERROR(__xludf.DUMMYFUNCTION("""COMPUTED_VALUE"""),"Done. Good feedback.")</f>
        <v>Done. Good feedback.</v>
      </c>
      <c r="S1141" s="6" t="str">
        <f ca="1">IFERROR(__xludf.DUMMYFUNCTION("""COMPUTED_VALUE"""),"Category")</f>
        <v>Category</v>
      </c>
      <c r="T1141" s="6"/>
      <c r="U1141" s="6"/>
      <c r="V1141" s="6"/>
      <c r="W1141" s="6"/>
      <c r="X1141" s="6"/>
      <c r="Y1141" s="6"/>
      <c r="Z1141" s="6"/>
      <c r="AA1141" s="6"/>
      <c r="AB1141" s="6"/>
      <c r="AC1141" s="6"/>
      <c r="AD1141" s="6"/>
      <c r="AE1141" s="6"/>
      <c r="AF1141" s="6"/>
      <c r="AG1141" s="6"/>
      <c r="AH1141" s="6"/>
      <c r="AI1141" s="6"/>
      <c r="AJ1141" s="6"/>
      <c r="AK1141" s="6"/>
      <c r="AL1141" s="6"/>
    </row>
    <row r="1142" spans="1:38">
      <c r="A1142" s="96">
        <f ca="1">IFERROR(__xludf.DUMMYFUNCTION("""COMPUTED_VALUE"""),44756)</f>
        <v>44756</v>
      </c>
      <c r="B1142" s="6" t="str">
        <f ca="1">IFERROR(__xludf.DUMMYFUNCTION("""COMPUTED_VALUE"""),"Narendra Nanna")</f>
        <v>Narendra Nanna</v>
      </c>
      <c r="C1142" s="6" t="str">
        <f ca="1">IFERROR(__xludf.DUMMYFUNCTION("""COMPUTED_VALUE"""),"nanna.narendra@gmail.com")</f>
        <v>nanna.narendra@gmail.com</v>
      </c>
      <c r="D1142" s="6">
        <f ca="1">IFERROR(__xludf.DUMMYFUNCTION("""COMPUTED_VALUE"""),9538062700)</f>
        <v>9538062700</v>
      </c>
      <c r="E1142" s="6" t="str">
        <f ca="1">IFERROR(__xludf.DUMMYFUNCTION("""COMPUTED_VALUE"""),"chat_initiated")</f>
        <v>chat_initiated</v>
      </c>
      <c r="F1142" s="6" t="str">
        <f ca="1">IFERROR(__xludf.DUMMYFUNCTION("""COMPUTED_VALUE"""),"SAFe Agile")</f>
        <v>SAFe Agile</v>
      </c>
      <c r="G1142" s="80">
        <f ca="1">IFERROR(__xludf.DUMMYFUNCTION("""COMPUTED_VALUE"""),44743)</f>
        <v>44743</v>
      </c>
      <c r="H1142" s="6" t="str">
        <f ca="1">IFERROR(__xludf.DUMMYFUNCTION("""COMPUTED_VALUE"""),"Won")</f>
        <v>Won</v>
      </c>
      <c r="I1142" s="6" t="str">
        <f ca="1">IFERROR(__xludf.DUMMYFUNCTION("""COMPUTED_VALUE"""),"6-7 Aug 2022")</f>
        <v>6-7 Aug 2022</v>
      </c>
      <c r="J1142" s="6">
        <f ca="1">IFERROR(__xludf.DUMMYFUNCTION("""COMPUTED_VALUE"""),1)</f>
        <v>1</v>
      </c>
      <c r="K1142" s="8">
        <f ca="1">IFERROR(__xludf.DUMMYFUNCTION("""COMPUTED_VALUE"""),42000)</f>
        <v>42000</v>
      </c>
      <c r="L1142" s="8">
        <f ca="1">IFERROR(__xludf.DUMMYFUNCTION("""COMPUTED_VALUE"""),480.989464040311)</f>
        <v>480.98946404031102</v>
      </c>
      <c r="M1142" s="96">
        <f ca="1">IFERROR(__xludf.DUMMYFUNCTION("""COMPUTED_VALUE"""),44756)</f>
        <v>44756</v>
      </c>
      <c r="N1142" s="6" t="str">
        <f ca="1">IFERROR(__xludf.DUMMYFUNCTION("""COMPUTED_VALUE"""),"S10")</f>
        <v>S10</v>
      </c>
      <c r="O1142" s="97">
        <f ca="1">IFERROR(__xludf.DUMMYFUNCTION("""COMPUTED_VALUE"""),44758)</f>
        <v>44758</v>
      </c>
      <c r="P1142" s="6" t="str">
        <f ca="1">IFERROR(__xludf.DUMMYFUNCTION("""COMPUTED_VALUE"""),"CSTM_64HZP3AATJA")</f>
        <v>CSTM_64HZP3AATJA</v>
      </c>
      <c r="Q1142" s="6"/>
      <c r="R1142" s="6" t="str">
        <f ca="1">IFERROR(__xludf.DUMMYFUNCTION("""COMPUTED_VALUE"""),"Done. Good feedback.")</f>
        <v>Done. Good feedback.</v>
      </c>
      <c r="S1142" s="6" t="str">
        <f ca="1">IFERROR(__xludf.DUMMYFUNCTION("""COMPUTED_VALUE"""),"SAFe")</f>
        <v>SAFe</v>
      </c>
      <c r="T1142" s="6"/>
      <c r="U1142" s="6"/>
      <c r="V1142" s="6"/>
      <c r="W1142" s="6"/>
      <c r="X1142" s="6"/>
      <c r="Y1142" s="6"/>
      <c r="Z1142" s="6"/>
      <c r="AA1142" s="6"/>
      <c r="AB1142" s="6"/>
      <c r="AC1142" s="6"/>
      <c r="AD1142" s="6"/>
      <c r="AE1142" s="6"/>
      <c r="AF1142" s="6"/>
      <c r="AG1142" s="6"/>
      <c r="AH1142" s="6"/>
      <c r="AI1142" s="6"/>
      <c r="AJ1142" s="6"/>
      <c r="AK1142" s="6"/>
      <c r="AL1142" s="6"/>
    </row>
    <row r="1143" spans="1:38">
      <c r="A1143" s="96">
        <f ca="1">IFERROR(__xludf.DUMMYFUNCTION("""COMPUTED_VALUE"""),44756)</f>
        <v>44756</v>
      </c>
      <c r="B1143" s="6" t="str">
        <f ca="1">IFERROR(__xludf.DUMMYFUNCTION("""COMPUTED_VALUE"""),"Pranshu Khare")</f>
        <v>Pranshu Khare</v>
      </c>
      <c r="C1143" s="6" t="str">
        <f ca="1">IFERROR(__xludf.DUMMYFUNCTION("""COMPUTED_VALUE"""),"pranshukhare@yahoo.com")</f>
        <v>pranshukhare@yahoo.com</v>
      </c>
      <c r="D1143" s="6">
        <f ca="1">IFERROR(__xludf.DUMMYFUNCTION("""COMPUTED_VALUE"""),7406052525)</f>
        <v>7406052525</v>
      </c>
      <c r="E1143" s="6" t="str">
        <f ca="1">IFERROR(__xludf.DUMMYFUNCTION("""COMPUTED_VALUE"""),"chat_initiated")</f>
        <v>chat_initiated</v>
      </c>
      <c r="F1143" s="6" t="str">
        <f ca="1">IFERROR(__xludf.DUMMYFUNCTION("""COMPUTED_VALUE"""),"SAFe Agile")</f>
        <v>SAFe Agile</v>
      </c>
      <c r="G1143" s="80">
        <f ca="1">IFERROR(__xludf.DUMMYFUNCTION("""COMPUTED_VALUE"""),44743)</f>
        <v>44743</v>
      </c>
      <c r="H1143" s="6" t="str">
        <f ca="1">IFERROR(__xludf.DUMMYFUNCTION("""COMPUTED_VALUE"""),"Won")</f>
        <v>Won</v>
      </c>
      <c r="I1143" s="6" t="str">
        <f ca="1">IFERROR(__xludf.DUMMYFUNCTION("""COMPUTED_VALUE"""),"16-17 July 2022")</f>
        <v>16-17 July 2022</v>
      </c>
      <c r="J1143" s="6">
        <f ca="1">IFERROR(__xludf.DUMMYFUNCTION("""COMPUTED_VALUE"""),1)</f>
        <v>1</v>
      </c>
      <c r="K1143" s="8">
        <f ca="1">IFERROR(__xludf.DUMMYFUNCTION("""COMPUTED_VALUE"""),42000)</f>
        <v>42000</v>
      </c>
      <c r="L1143" s="8">
        <f ca="1">IFERROR(__xludf.DUMMYFUNCTION("""COMPUTED_VALUE"""),480.989464040311)</f>
        <v>480.98946404031102</v>
      </c>
      <c r="M1143" s="96">
        <f ca="1">IFERROR(__xludf.DUMMYFUNCTION("""COMPUTED_VALUE"""),44756)</f>
        <v>44756</v>
      </c>
      <c r="N1143" s="6" t="str">
        <f ca="1">IFERROR(__xludf.DUMMYFUNCTION("""COMPUTED_VALUE"""),"S10")</f>
        <v>S10</v>
      </c>
      <c r="O1143" s="97">
        <f ca="1">IFERROR(__xludf.DUMMYFUNCTION("""COMPUTED_VALUE"""),44756)</f>
        <v>44756</v>
      </c>
      <c r="P1143" s="6" t="str">
        <f ca="1">IFERROR(__xludf.DUMMYFUNCTION("""COMPUTED_VALUE"""),"CSTM_5O4P2TFRVYC")</f>
        <v>CSTM_5O4P2TFRVYC</v>
      </c>
      <c r="Q1143" s="6"/>
      <c r="R1143" s="6" t="str">
        <f ca="1">IFERROR(__xludf.DUMMYFUNCTION("""COMPUTED_VALUE"""),"Pending")</f>
        <v>Pending</v>
      </c>
      <c r="S1143" s="6" t="str">
        <f ca="1">IFERROR(__xludf.DUMMYFUNCTION("""COMPUTED_VALUE"""),"SAFe")</f>
        <v>SAFe</v>
      </c>
      <c r="T1143" s="6"/>
      <c r="U1143" s="6"/>
      <c r="V1143" s="6"/>
      <c r="W1143" s="6"/>
      <c r="X1143" s="6"/>
      <c r="Y1143" s="6"/>
      <c r="Z1143" s="6"/>
      <c r="AA1143" s="6"/>
      <c r="AB1143" s="6"/>
      <c r="AC1143" s="6"/>
      <c r="AD1143" s="6"/>
      <c r="AE1143" s="6"/>
      <c r="AF1143" s="6"/>
      <c r="AG1143" s="6"/>
      <c r="AH1143" s="6"/>
      <c r="AI1143" s="6"/>
      <c r="AJ1143" s="6"/>
      <c r="AK1143" s="6"/>
      <c r="AL1143" s="6"/>
    </row>
    <row r="1144" spans="1:38">
      <c r="A1144" s="96">
        <f ca="1">IFERROR(__xludf.DUMMYFUNCTION("""COMPUTED_VALUE"""),44757)</f>
        <v>44757</v>
      </c>
      <c r="B1144" s="6" t="str">
        <f ca="1">IFERROR(__xludf.DUMMYFUNCTION("""COMPUTED_VALUE"""),"Omesh Jadia")</f>
        <v>Omesh Jadia</v>
      </c>
      <c r="C1144" s="6" t="str">
        <f ca="1">IFERROR(__xludf.DUMMYFUNCTION("""COMPUTED_VALUE"""),"omeshjadia@gmail.com")</f>
        <v>omeshjadia@gmail.com</v>
      </c>
      <c r="D1144" s="6">
        <f ca="1">IFERROR(__xludf.DUMMYFUNCTION("""COMPUTED_VALUE"""),9850967977)</f>
        <v>9850967977</v>
      </c>
      <c r="E1144" s="6" t="str">
        <f ca="1">IFERROR(__xludf.DUMMYFUNCTION("""COMPUTED_VALUE"""),"Query box")</f>
        <v>Query box</v>
      </c>
      <c r="F1144" s="6" t="str">
        <f ca="1">IFERROR(__xludf.DUMMYFUNCTION("""COMPUTED_VALUE"""),"SAFe Agile")</f>
        <v>SAFe Agile</v>
      </c>
      <c r="G1144" s="80">
        <f ca="1">IFERROR(__xludf.DUMMYFUNCTION("""COMPUTED_VALUE"""),44743)</f>
        <v>44743</v>
      </c>
      <c r="H1144" s="6" t="str">
        <f ca="1">IFERROR(__xludf.DUMMYFUNCTION("""COMPUTED_VALUE"""),"Won")</f>
        <v>Won</v>
      </c>
      <c r="I1144" s="6" t="str">
        <f ca="1">IFERROR(__xludf.DUMMYFUNCTION("""COMPUTED_VALUE"""),"16-17 July 2022")</f>
        <v>16-17 July 2022</v>
      </c>
      <c r="J1144" s="6">
        <f ca="1">IFERROR(__xludf.DUMMYFUNCTION("""COMPUTED_VALUE"""),1)</f>
        <v>1</v>
      </c>
      <c r="K1144" s="8">
        <f ca="1">IFERROR(__xludf.DUMMYFUNCTION("""COMPUTED_VALUE"""),40061)</f>
        <v>40061</v>
      </c>
      <c r="L1144" s="8">
        <f ca="1">IFERROR(__xludf.DUMMYFUNCTION("""COMPUTED_VALUE"""),458.783783783783)</f>
        <v>458.78378378378301</v>
      </c>
      <c r="M1144" s="96">
        <f ca="1">IFERROR(__xludf.DUMMYFUNCTION("""COMPUTED_VALUE"""),44757)</f>
        <v>44757</v>
      </c>
      <c r="N1144" s="6" t="str">
        <f ca="1">IFERROR(__xludf.DUMMYFUNCTION("""COMPUTED_VALUE"""),"S10")</f>
        <v>S10</v>
      </c>
      <c r="O1144" s="97">
        <f ca="1">IFERROR(__xludf.DUMMYFUNCTION("""COMPUTED_VALUE"""),44757)</f>
        <v>44757</v>
      </c>
      <c r="P1144" s="6" t="str">
        <f ca="1">IFERROR(__xludf.DUMMYFUNCTION("""COMPUTED_VALUE"""),"CSTM_GLANJ721PCU")</f>
        <v>CSTM_GLANJ721PCU</v>
      </c>
      <c r="Q1144" s="6"/>
      <c r="R1144" s="6" t="str">
        <f ca="1">IFERROR(__xludf.DUMMYFUNCTION("""COMPUTED_VALUE"""),"Done. Good feedback.")</f>
        <v>Done. Good feedback.</v>
      </c>
      <c r="S1144" s="6" t="str">
        <f ca="1">IFERROR(__xludf.DUMMYFUNCTION("""COMPUTED_VALUE"""),"SAFe")</f>
        <v>SAFe</v>
      </c>
      <c r="T1144" s="6"/>
      <c r="U1144" s="6"/>
      <c r="V1144" s="6"/>
      <c r="W1144" s="6"/>
      <c r="X1144" s="6"/>
      <c r="Y1144" s="6"/>
      <c r="Z1144" s="6"/>
      <c r="AA1144" s="6"/>
      <c r="AB1144" s="6"/>
      <c r="AC1144" s="6"/>
      <c r="AD1144" s="6"/>
      <c r="AE1144" s="6"/>
      <c r="AF1144" s="6"/>
      <c r="AG1144" s="6"/>
      <c r="AH1144" s="6"/>
      <c r="AI1144" s="6"/>
      <c r="AJ1144" s="6"/>
      <c r="AK1144" s="6"/>
      <c r="AL1144" s="6"/>
    </row>
    <row r="1145" spans="1:38">
      <c r="A1145" s="96">
        <f ca="1">IFERROR(__xludf.DUMMYFUNCTION("""COMPUTED_VALUE"""),44757)</f>
        <v>44757</v>
      </c>
      <c r="B1145" s="6" t="str">
        <f ca="1">IFERROR(__xludf.DUMMYFUNCTION("""COMPUTED_VALUE"""),"Anju TR")</f>
        <v>Anju TR</v>
      </c>
      <c r="C1145" s="6" t="str">
        <f ca="1">IFERROR(__xludf.DUMMYFUNCTION("""COMPUTED_VALUE"""),"anju_tr@yahoo.com")</f>
        <v>anju_tr@yahoo.com</v>
      </c>
      <c r="D1145" s="6">
        <f ca="1">IFERROR(__xludf.DUMMYFUNCTION("""COMPUTED_VALUE"""),9833245343)</f>
        <v>9833245343</v>
      </c>
      <c r="E1145" s="6" t="str">
        <f ca="1">IFERROR(__xludf.DUMMYFUNCTION("""COMPUTED_VALUE"""),"Chat_triggered")</f>
        <v>Chat_triggered</v>
      </c>
      <c r="F1145" s="6" t="str">
        <f ca="1">IFERROR(__xludf.DUMMYFUNCTION("""COMPUTED_VALUE"""),"PSPO")</f>
        <v>PSPO</v>
      </c>
      <c r="G1145" s="80">
        <f ca="1">IFERROR(__xludf.DUMMYFUNCTION("""COMPUTED_VALUE"""),44743)</f>
        <v>44743</v>
      </c>
      <c r="H1145" s="6" t="str">
        <f ca="1">IFERROR(__xludf.DUMMYFUNCTION("""COMPUTED_VALUE"""),"Won")</f>
        <v>Won</v>
      </c>
      <c r="I1145" s="6" t="str">
        <f ca="1">IFERROR(__xludf.DUMMYFUNCTION("""COMPUTED_VALUE"""),"16-17 July 2022")</f>
        <v>16-17 July 2022</v>
      </c>
      <c r="J1145" s="6">
        <f ca="1">IFERROR(__xludf.DUMMYFUNCTION("""COMPUTED_VALUE"""),1)</f>
        <v>1</v>
      </c>
      <c r="K1145" s="8">
        <f ca="1">IFERROR(__xludf.DUMMYFUNCTION("""COMPUTED_VALUE"""),21000)</f>
        <v>21000</v>
      </c>
      <c r="L1145" s="8">
        <f ca="1">IFERROR(__xludf.DUMMYFUNCTION("""COMPUTED_VALUE"""),240.494732020155)</f>
        <v>240.494732020155</v>
      </c>
      <c r="M1145" s="96">
        <f ca="1">IFERROR(__xludf.DUMMYFUNCTION("""COMPUTED_VALUE"""),44757)</f>
        <v>44757</v>
      </c>
      <c r="N1145" s="6" t="str">
        <f ca="1">IFERROR(__xludf.DUMMYFUNCTION("""COMPUTED_VALUE"""),"S10")</f>
        <v>S10</v>
      </c>
      <c r="O1145" s="97">
        <f ca="1">IFERROR(__xludf.DUMMYFUNCTION("""COMPUTED_VALUE"""),44757)</f>
        <v>44757</v>
      </c>
      <c r="P1145" s="6" t="str">
        <f ca="1">IFERROR(__xludf.DUMMYFUNCTION("""COMPUTED_VALUE"""),"CSTM_FMEI9YG2977")</f>
        <v>CSTM_FMEI9YG2977</v>
      </c>
      <c r="Q1145" s="6"/>
      <c r="R1145" s="6" t="str">
        <f ca="1">IFERROR(__xludf.DUMMYFUNCTION("""COMPUTED_VALUE"""),"Pending")</f>
        <v>Pending</v>
      </c>
      <c r="S1145" s="6" t="str">
        <f ca="1">IFERROR(__xludf.DUMMYFUNCTION("""COMPUTED_VALUE"""),"Category")</f>
        <v>Category</v>
      </c>
      <c r="T1145" s="6"/>
      <c r="U1145" s="6"/>
      <c r="V1145" s="6"/>
      <c r="W1145" s="6"/>
      <c r="X1145" s="6"/>
      <c r="Y1145" s="6"/>
      <c r="Z1145" s="6"/>
      <c r="AA1145" s="6"/>
      <c r="AB1145" s="6"/>
      <c r="AC1145" s="6"/>
      <c r="AD1145" s="6"/>
      <c r="AE1145" s="6"/>
      <c r="AF1145" s="6"/>
      <c r="AG1145" s="6"/>
      <c r="AH1145" s="6"/>
      <c r="AI1145" s="6"/>
      <c r="AJ1145" s="6"/>
      <c r="AK1145" s="6"/>
      <c r="AL1145" s="6"/>
    </row>
    <row r="1146" spans="1:38">
      <c r="A1146" s="96">
        <f ca="1">IFERROR(__xludf.DUMMYFUNCTION("""COMPUTED_VALUE"""),44757)</f>
        <v>44757</v>
      </c>
      <c r="B1146" s="6" t="str">
        <f ca="1">IFERROR(__xludf.DUMMYFUNCTION("""COMPUTED_VALUE"""),"Avinash Rangari")</f>
        <v>Avinash Rangari</v>
      </c>
      <c r="C1146" s="6" t="str">
        <f ca="1">IFERROR(__xludf.DUMMYFUNCTION("""COMPUTED_VALUE"""),"avirangari@yahoo.com")</f>
        <v>avirangari@yahoo.com</v>
      </c>
      <c r="D1146" s="6">
        <f ca="1">IFERROR(__xludf.DUMMYFUNCTION("""COMPUTED_VALUE"""),9049006222)</f>
        <v>9049006222</v>
      </c>
      <c r="E1146" s="6" t="str">
        <f ca="1">IFERROR(__xludf.DUMMYFUNCTION("""COMPUTED_VALUE"""),"chat_initiated")</f>
        <v>chat_initiated</v>
      </c>
      <c r="F1146" s="6" t="str">
        <f ca="1">IFERROR(__xludf.DUMMYFUNCTION("""COMPUTED_VALUE"""),"SAFe Agile")</f>
        <v>SAFe Agile</v>
      </c>
      <c r="G1146" s="80">
        <f ca="1">IFERROR(__xludf.DUMMYFUNCTION("""COMPUTED_VALUE"""),44743)</f>
        <v>44743</v>
      </c>
      <c r="H1146" s="6" t="str">
        <f ca="1">IFERROR(__xludf.DUMMYFUNCTION("""COMPUTED_VALUE"""),"Opportunity")</f>
        <v>Opportunity</v>
      </c>
      <c r="I1146" s="6" t="str">
        <f ca="1">IFERROR(__xludf.DUMMYFUNCTION("""COMPUTED_VALUE"""),"16-17 July 2022")</f>
        <v>16-17 July 2022</v>
      </c>
      <c r="J1146" s="6">
        <f ca="1">IFERROR(__xludf.DUMMYFUNCTION("""COMPUTED_VALUE"""),1)</f>
        <v>1</v>
      </c>
      <c r="K1146" s="8">
        <f ca="1">IFERROR(__xludf.DUMMYFUNCTION("""COMPUTED_VALUE"""),40061)</f>
        <v>40061</v>
      </c>
      <c r="L1146" s="8">
        <f ca="1">IFERROR(__xludf.DUMMYFUNCTION("""COMPUTED_VALUE"""),458.783783783783)</f>
        <v>458.78378378378301</v>
      </c>
      <c r="M1146" s="96">
        <f ca="1">IFERROR(__xludf.DUMMYFUNCTION("""COMPUTED_VALUE"""),44757)</f>
        <v>44757</v>
      </c>
      <c r="N1146" s="6"/>
      <c r="O1146" s="97"/>
      <c r="P1146" s="6"/>
      <c r="Q1146" s="6"/>
      <c r="R1146" s="6"/>
      <c r="S1146" s="6" t="str">
        <f ca="1">IFERROR(__xludf.DUMMYFUNCTION("""COMPUTED_VALUE"""),"SAFe")</f>
        <v>SAFe</v>
      </c>
      <c r="T1146" s="6"/>
      <c r="U1146" s="6"/>
      <c r="V1146" s="6"/>
      <c r="W1146" s="6"/>
      <c r="X1146" s="6"/>
      <c r="Y1146" s="6"/>
      <c r="Z1146" s="6"/>
      <c r="AA1146" s="6"/>
      <c r="AB1146" s="6"/>
      <c r="AC1146" s="6"/>
      <c r="AD1146" s="6"/>
      <c r="AE1146" s="6"/>
      <c r="AF1146" s="6"/>
      <c r="AG1146" s="6"/>
      <c r="AH1146" s="6"/>
      <c r="AI1146" s="6"/>
      <c r="AJ1146" s="6"/>
      <c r="AK1146" s="6"/>
      <c r="AL1146" s="6"/>
    </row>
    <row r="1147" spans="1:38">
      <c r="A1147" s="96">
        <f ca="1">IFERROR(__xludf.DUMMYFUNCTION("""COMPUTED_VALUE"""),44760)</f>
        <v>44760</v>
      </c>
      <c r="B1147" s="6" t="str">
        <f ca="1">IFERROR(__xludf.DUMMYFUNCTION("""COMPUTED_VALUE"""),"Kaustubh Varadkar")</f>
        <v>Kaustubh Varadkar</v>
      </c>
      <c r="C1147" s="6" t="str">
        <f ca="1">IFERROR(__xludf.DUMMYFUNCTION("""COMPUTED_VALUE"""),"kaustubh.varadkar@gmail.com")</f>
        <v>kaustubh.varadkar@gmail.com</v>
      </c>
      <c r="D1147" s="6">
        <f ca="1">IFERROR(__xludf.DUMMYFUNCTION("""COMPUTED_VALUE"""),9833615663)</f>
        <v>9833615663</v>
      </c>
      <c r="E1147" s="6" t="str">
        <f ca="1">IFERROR(__xludf.DUMMYFUNCTION("""COMPUTED_VALUE"""),"Chat_triggered")</f>
        <v>Chat_triggered</v>
      </c>
      <c r="F1147" s="6" t="str">
        <f ca="1">IFERROR(__xludf.DUMMYFUNCTION("""COMPUTED_VALUE"""),"CSM")</f>
        <v>CSM</v>
      </c>
      <c r="G1147" s="80">
        <f ca="1">IFERROR(__xludf.DUMMYFUNCTION("""COMPUTED_VALUE"""),44743)</f>
        <v>44743</v>
      </c>
      <c r="H1147" s="6" t="str">
        <f ca="1">IFERROR(__xludf.DUMMYFUNCTION("""COMPUTED_VALUE"""),"Won")</f>
        <v>Won</v>
      </c>
      <c r="I1147" s="6" t="str">
        <f ca="1">IFERROR(__xludf.DUMMYFUNCTION("""COMPUTED_VALUE"""),"20-22 July 2022")</f>
        <v>20-22 July 2022</v>
      </c>
      <c r="J1147" s="6">
        <f ca="1">IFERROR(__xludf.DUMMYFUNCTION("""COMPUTED_VALUE"""),1)</f>
        <v>1</v>
      </c>
      <c r="K1147" s="8">
        <f ca="1">IFERROR(__xludf.DUMMYFUNCTION("""COMPUTED_VALUE"""),20000)</f>
        <v>20000</v>
      </c>
      <c r="L1147" s="8">
        <f ca="1">IFERROR(__xludf.DUMMYFUNCTION("""COMPUTED_VALUE"""),229.042601923957)</f>
        <v>229.04260192395699</v>
      </c>
      <c r="M1147" s="96">
        <f ca="1">IFERROR(__xludf.DUMMYFUNCTION("""COMPUTED_VALUE"""),44760)</f>
        <v>44760</v>
      </c>
      <c r="N1147" s="6" t="str">
        <f ca="1">IFERROR(__xludf.DUMMYFUNCTION("""COMPUTED_VALUE"""),"S10")</f>
        <v>S10</v>
      </c>
      <c r="O1147" s="97">
        <f ca="1">IFERROR(__xludf.DUMMYFUNCTION("""COMPUTED_VALUE"""),44760)</f>
        <v>44760</v>
      </c>
      <c r="P1147" s="6" t="str">
        <f ca="1">IFERROR(__xludf.DUMMYFUNCTION("""COMPUTED_VALUE"""),"CSTM_33IFO4HU4OW")</f>
        <v>CSTM_33IFO4HU4OW</v>
      </c>
      <c r="Q1147" s="6"/>
      <c r="R1147" s="6" t="str">
        <f ca="1">IFERROR(__xludf.DUMMYFUNCTION("""COMPUTED_VALUE"""),"Pending")</f>
        <v>Pending</v>
      </c>
      <c r="S1147" s="6" t="str">
        <f ca="1">IFERROR(__xludf.DUMMYFUNCTION("""COMPUTED_VALUE"""),"Category")</f>
        <v>Category</v>
      </c>
      <c r="T1147" s="6"/>
      <c r="U1147" s="6"/>
      <c r="V1147" s="6"/>
      <c r="W1147" s="6"/>
      <c r="X1147" s="6"/>
      <c r="Y1147" s="6"/>
      <c r="Z1147" s="6"/>
      <c r="AA1147" s="6"/>
      <c r="AB1147" s="6"/>
      <c r="AC1147" s="6"/>
      <c r="AD1147" s="6"/>
      <c r="AE1147" s="6"/>
      <c r="AF1147" s="6"/>
      <c r="AG1147" s="6"/>
      <c r="AH1147" s="6"/>
      <c r="AI1147" s="6"/>
      <c r="AJ1147" s="6"/>
      <c r="AK1147" s="6"/>
      <c r="AL1147" s="6"/>
    </row>
    <row r="1148" spans="1:38">
      <c r="A1148" s="96">
        <f ca="1">IFERROR(__xludf.DUMMYFUNCTION("""COMPUTED_VALUE"""),44760)</f>
        <v>44760</v>
      </c>
      <c r="B1148" s="6" t="str">
        <f ca="1">IFERROR(__xludf.DUMMYFUNCTION("""COMPUTED_VALUE"""),"Asha Devi H")</f>
        <v>Asha Devi H</v>
      </c>
      <c r="C1148" s="6" t="str">
        <f ca="1">IFERROR(__xludf.DUMMYFUNCTION("""COMPUTED_VALUE"""),"ashadevi.h@gmail.com")</f>
        <v>ashadevi.h@gmail.com</v>
      </c>
      <c r="D1148" s="6">
        <f ca="1">IFERROR(__xludf.DUMMYFUNCTION("""COMPUTED_VALUE"""),7338991107)</f>
        <v>7338991107</v>
      </c>
      <c r="E1148" s="6" t="str">
        <f ca="1">IFERROR(__xludf.DUMMYFUNCTION("""COMPUTED_VALUE"""),"refer&amp;earn")</f>
        <v>refer&amp;earn</v>
      </c>
      <c r="F1148" s="6" t="str">
        <f ca="1">IFERROR(__xludf.DUMMYFUNCTION("""COMPUTED_VALUE"""),"PSM")</f>
        <v>PSM</v>
      </c>
      <c r="G1148" s="80">
        <f ca="1">IFERROR(__xludf.DUMMYFUNCTION("""COMPUTED_VALUE"""),44743)</f>
        <v>44743</v>
      </c>
      <c r="H1148" s="6" t="str">
        <f ca="1">IFERROR(__xludf.DUMMYFUNCTION("""COMPUTED_VALUE"""),"Won")</f>
        <v>Won</v>
      </c>
      <c r="I1148" s="6" t="str">
        <f ca="1">IFERROR(__xludf.DUMMYFUNCTION("""COMPUTED_VALUE"""),"13-14 Aug 2022")</f>
        <v>13-14 Aug 2022</v>
      </c>
      <c r="J1148" s="6">
        <f ca="1">IFERROR(__xludf.DUMMYFUNCTION("""COMPUTED_VALUE"""),1)</f>
        <v>1</v>
      </c>
      <c r="K1148" s="8">
        <f ca="1">IFERROR(__xludf.DUMMYFUNCTION("""COMPUTED_VALUE"""),21000)</f>
        <v>21000</v>
      </c>
      <c r="L1148" s="8">
        <f ca="1">IFERROR(__xludf.DUMMYFUNCTION("""COMPUTED_VALUE"""),240.494732020155)</f>
        <v>240.494732020155</v>
      </c>
      <c r="M1148" s="96">
        <f ca="1">IFERROR(__xludf.DUMMYFUNCTION("""COMPUTED_VALUE"""),44760)</f>
        <v>44760</v>
      </c>
      <c r="N1148" s="6" t="str">
        <f ca="1">IFERROR(__xludf.DUMMYFUNCTION("""COMPUTED_VALUE"""),"S10")</f>
        <v>S10</v>
      </c>
      <c r="O1148" s="97">
        <f ca="1">IFERROR(__xludf.DUMMYFUNCTION("""COMPUTED_VALUE"""),44762)</f>
        <v>44762</v>
      </c>
      <c r="P1148" s="6" t="str">
        <f ca="1">IFERROR(__xludf.DUMMYFUNCTION("""COMPUTED_VALUE"""),"CSTM_6NJ5U4T4T1W")</f>
        <v>CSTM_6NJ5U4T4T1W</v>
      </c>
      <c r="Q1148" s="6"/>
      <c r="R1148" s="6" t="str">
        <f ca="1">IFERROR(__xludf.DUMMYFUNCTION("""COMPUTED_VALUE"""),"Done. Good feedback.")</f>
        <v>Done. Good feedback.</v>
      </c>
      <c r="S1148" s="6" t="str">
        <f ca="1">IFERROR(__xludf.DUMMYFUNCTION("""COMPUTED_VALUE"""),"Category")</f>
        <v>Category</v>
      </c>
      <c r="T1148" s="6"/>
      <c r="U1148" s="6"/>
      <c r="V1148" s="6"/>
      <c r="W1148" s="6"/>
      <c r="X1148" s="6"/>
      <c r="Y1148" s="6"/>
      <c r="Z1148" s="6"/>
      <c r="AA1148" s="6"/>
      <c r="AB1148" s="6"/>
      <c r="AC1148" s="6"/>
      <c r="AD1148" s="6"/>
      <c r="AE1148" s="6"/>
      <c r="AF1148" s="6"/>
      <c r="AG1148" s="6"/>
      <c r="AH1148" s="6"/>
      <c r="AI1148" s="6"/>
      <c r="AJ1148" s="6"/>
      <c r="AK1148" s="6"/>
      <c r="AL1148" s="6"/>
    </row>
    <row r="1149" spans="1:38">
      <c r="A1149" s="96">
        <f ca="1">IFERROR(__xludf.DUMMYFUNCTION("""COMPUTED_VALUE"""),44761)</f>
        <v>44761</v>
      </c>
      <c r="B1149" s="6" t="str">
        <f ca="1">IFERROR(__xludf.DUMMYFUNCTION("""COMPUTED_VALUE"""),"Arup Mohanty")</f>
        <v>Arup Mohanty</v>
      </c>
      <c r="C1149" s="6" t="str">
        <f ca="1">IFERROR(__xludf.DUMMYFUNCTION("""COMPUTED_VALUE"""),"arup.mohanty29j@gmail.com")</f>
        <v>arup.mohanty29j@gmail.com</v>
      </c>
      <c r="D1149" s="6">
        <f ca="1">IFERROR(__xludf.DUMMYFUNCTION("""COMPUTED_VALUE"""),6363196925)</f>
        <v>6363196925</v>
      </c>
      <c r="E1149" s="6" t="str">
        <f ca="1">IFERROR(__xludf.DUMMYFUNCTION("""COMPUTED_VALUE"""),"chat_initiated")</f>
        <v>chat_initiated</v>
      </c>
      <c r="F1149" s="6" t="str">
        <f ca="1">IFERROR(__xludf.DUMMYFUNCTION("""COMPUTED_VALUE"""),"CSPO")</f>
        <v>CSPO</v>
      </c>
      <c r="G1149" s="80">
        <f ca="1">IFERROR(__xludf.DUMMYFUNCTION("""COMPUTED_VALUE"""),44743)</f>
        <v>44743</v>
      </c>
      <c r="H1149" s="6" t="str">
        <f ca="1">IFERROR(__xludf.DUMMYFUNCTION("""COMPUTED_VALUE"""),"Won")</f>
        <v>Won</v>
      </c>
      <c r="I1149" s="6" t="str">
        <f ca="1">IFERROR(__xludf.DUMMYFUNCTION("""COMPUTED_VALUE"""),"13-14 Aug 2022")</f>
        <v>13-14 Aug 2022</v>
      </c>
      <c r="J1149" s="6">
        <f ca="1">IFERROR(__xludf.DUMMYFUNCTION("""COMPUTED_VALUE"""),1)</f>
        <v>1</v>
      </c>
      <c r="K1149" s="8">
        <f ca="1">IFERROR(__xludf.DUMMYFUNCTION("""COMPUTED_VALUE"""),20000)</f>
        <v>20000</v>
      </c>
      <c r="L1149" s="8">
        <f ca="1">IFERROR(__xludf.DUMMYFUNCTION("""COMPUTED_VALUE"""),229.042601923957)</f>
        <v>229.04260192395699</v>
      </c>
      <c r="M1149" s="96">
        <f ca="1">IFERROR(__xludf.DUMMYFUNCTION("""COMPUTED_VALUE"""),44761)</f>
        <v>44761</v>
      </c>
      <c r="N1149" s="6" t="str">
        <f ca="1">IFERROR(__xludf.DUMMYFUNCTION("""COMPUTED_VALUE"""),"S10")</f>
        <v>S10</v>
      </c>
      <c r="O1149" s="97">
        <f ca="1">IFERROR(__xludf.DUMMYFUNCTION("""COMPUTED_VALUE"""),44761)</f>
        <v>44761</v>
      </c>
      <c r="P1149" s="6" t="str">
        <f ca="1">IFERROR(__xludf.DUMMYFUNCTION("""COMPUTED_VALUE"""),"CSTM_2E8DRDTSVQE")</f>
        <v>CSTM_2E8DRDTSVQE</v>
      </c>
      <c r="Q1149" s="6"/>
      <c r="R1149" s="6" t="str">
        <f ca="1">IFERROR(__xludf.DUMMYFUNCTION("""COMPUTED_VALUE"""),"Done. Good feedback.")</f>
        <v>Done. Good feedback.</v>
      </c>
      <c r="S1149" s="6" t="str">
        <f ca="1">IFERROR(__xludf.DUMMYFUNCTION("""COMPUTED_VALUE"""),"Category")</f>
        <v>Category</v>
      </c>
      <c r="T1149" s="6"/>
      <c r="U1149" s="6"/>
      <c r="V1149" s="6"/>
      <c r="W1149" s="6"/>
      <c r="X1149" s="6"/>
      <c r="Y1149" s="6"/>
      <c r="Z1149" s="6"/>
      <c r="AA1149" s="6"/>
      <c r="AB1149" s="6"/>
      <c r="AC1149" s="6"/>
      <c r="AD1149" s="6"/>
      <c r="AE1149" s="6"/>
      <c r="AF1149" s="6"/>
      <c r="AG1149" s="6"/>
      <c r="AH1149" s="6"/>
      <c r="AI1149" s="6"/>
      <c r="AJ1149" s="6"/>
      <c r="AK1149" s="6"/>
      <c r="AL1149" s="6"/>
    </row>
    <row r="1150" spans="1:38">
      <c r="A1150" s="96">
        <f ca="1">IFERROR(__xludf.DUMMYFUNCTION("""COMPUTED_VALUE"""),44761)</f>
        <v>44761</v>
      </c>
      <c r="B1150" s="6" t="str">
        <f ca="1">IFERROR(__xludf.DUMMYFUNCTION("""COMPUTED_VALUE"""),"Sneha Guzraty")</f>
        <v>Sneha Guzraty</v>
      </c>
      <c r="C1150" s="6" t="str">
        <f ca="1">IFERROR(__xludf.DUMMYFUNCTION("""COMPUTED_VALUE"""),"snehaguzraty@gmail.com")</f>
        <v>snehaguzraty@gmail.com</v>
      </c>
      <c r="D1150" s="6">
        <f ca="1">IFERROR(__xludf.DUMMYFUNCTION("""COMPUTED_VALUE"""),9960883597)</f>
        <v>9960883597</v>
      </c>
      <c r="E1150" s="6" t="str">
        <f ca="1">IFERROR(__xludf.DUMMYFUNCTION("""COMPUTED_VALUE"""),"Query box")</f>
        <v>Query box</v>
      </c>
      <c r="F1150" s="6" t="str">
        <f ca="1">IFERROR(__xludf.DUMMYFUNCTION("""COMPUTED_VALUE"""),"PSPO")</f>
        <v>PSPO</v>
      </c>
      <c r="G1150" s="80">
        <f ca="1">IFERROR(__xludf.DUMMYFUNCTION("""COMPUTED_VALUE"""),44743)</f>
        <v>44743</v>
      </c>
      <c r="H1150" s="6" t="str">
        <f ca="1">IFERROR(__xludf.DUMMYFUNCTION("""COMPUTED_VALUE"""),"Won")</f>
        <v>Won</v>
      </c>
      <c r="I1150" s="6" t="str">
        <f ca="1">IFERROR(__xludf.DUMMYFUNCTION("""COMPUTED_VALUE"""),"23-24 July 2022")</f>
        <v>23-24 July 2022</v>
      </c>
      <c r="J1150" s="6">
        <f ca="1">IFERROR(__xludf.DUMMYFUNCTION("""COMPUTED_VALUE"""),1)</f>
        <v>1</v>
      </c>
      <c r="K1150" s="8">
        <f ca="1">IFERROR(__xludf.DUMMYFUNCTION("""COMPUTED_VALUE"""),21000)</f>
        <v>21000</v>
      </c>
      <c r="L1150" s="8">
        <f ca="1">IFERROR(__xludf.DUMMYFUNCTION("""COMPUTED_VALUE"""),240.494732020155)</f>
        <v>240.494732020155</v>
      </c>
      <c r="M1150" s="96">
        <f ca="1">IFERROR(__xludf.DUMMYFUNCTION("""COMPUTED_VALUE"""),44761)</f>
        <v>44761</v>
      </c>
      <c r="N1150" s="6" t="str">
        <f ca="1">IFERROR(__xludf.DUMMYFUNCTION("""COMPUTED_VALUE"""),"S10")</f>
        <v>S10</v>
      </c>
      <c r="O1150" s="97">
        <f ca="1">IFERROR(__xludf.DUMMYFUNCTION("""COMPUTED_VALUE"""),44761)</f>
        <v>44761</v>
      </c>
      <c r="P1150" s="6" t="str">
        <f ca="1">IFERROR(__xludf.DUMMYFUNCTION("""COMPUTED_VALUE"""),"CSTM_F4DZ14ULHTA")</f>
        <v>CSTM_F4DZ14ULHTA</v>
      </c>
      <c r="Q1150" s="6"/>
      <c r="R1150" s="6" t="str">
        <f ca="1">IFERROR(__xludf.DUMMYFUNCTION("""COMPUTED_VALUE"""),"Done. Good feedback.")</f>
        <v>Done. Good feedback.</v>
      </c>
      <c r="S1150" s="6" t="str">
        <f ca="1">IFERROR(__xludf.DUMMYFUNCTION("""COMPUTED_VALUE"""),"Category")</f>
        <v>Category</v>
      </c>
      <c r="T1150" s="6"/>
      <c r="U1150" s="6"/>
      <c r="V1150" s="6"/>
      <c r="W1150" s="6"/>
      <c r="X1150" s="6"/>
      <c r="Y1150" s="6"/>
      <c r="Z1150" s="6"/>
      <c r="AA1150" s="6"/>
      <c r="AB1150" s="6"/>
      <c r="AC1150" s="6"/>
      <c r="AD1150" s="6"/>
      <c r="AE1150" s="6"/>
      <c r="AF1150" s="6"/>
      <c r="AG1150" s="6"/>
      <c r="AH1150" s="6"/>
      <c r="AI1150" s="6"/>
      <c r="AJ1150" s="6"/>
      <c r="AK1150" s="6"/>
      <c r="AL1150" s="6"/>
    </row>
    <row r="1151" spans="1:38">
      <c r="A1151" s="96">
        <f ca="1">IFERROR(__xludf.DUMMYFUNCTION("""COMPUTED_VALUE"""),44762)</f>
        <v>44762</v>
      </c>
      <c r="B1151" s="6" t="str">
        <f ca="1">IFERROR(__xludf.DUMMYFUNCTION("""COMPUTED_VALUE"""),"Arun GK")</f>
        <v>Arun GK</v>
      </c>
      <c r="C1151" s="6" t="str">
        <f ca="1">IFERROR(__xludf.DUMMYFUNCTION("""COMPUTED_VALUE"""),"contactarungk@gmail.com")</f>
        <v>contactarungk@gmail.com</v>
      </c>
      <c r="D1151" s="6">
        <f ca="1">IFERROR(__xludf.DUMMYFUNCTION("""COMPUTED_VALUE"""),8428487846)</f>
        <v>8428487846</v>
      </c>
      <c r="E1151" s="6" t="str">
        <f ca="1">IFERROR(__xludf.DUMMYFUNCTION("""COMPUTED_VALUE"""),"course agenda")</f>
        <v>course agenda</v>
      </c>
      <c r="F1151" s="6" t="str">
        <f ca="1">IFERROR(__xludf.DUMMYFUNCTION("""COMPUTED_VALUE"""),"PSM")</f>
        <v>PSM</v>
      </c>
      <c r="G1151" s="80">
        <f ca="1">IFERROR(__xludf.DUMMYFUNCTION("""COMPUTED_VALUE"""),44743)</f>
        <v>44743</v>
      </c>
      <c r="H1151" s="6" t="str">
        <f ca="1">IFERROR(__xludf.DUMMYFUNCTION("""COMPUTED_VALUE"""),"Won")</f>
        <v>Won</v>
      </c>
      <c r="I1151" s="6" t="str">
        <f ca="1">IFERROR(__xludf.DUMMYFUNCTION("""COMPUTED_VALUE"""),"23-24 July 2022")</f>
        <v>23-24 July 2022</v>
      </c>
      <c r="J1151" s="6">
        <f ca="1">IFERROR(__xludf.DUMMYFUNCTION("""COMPUTED_VALUE"""),1)</f>
        <v>1</v>
      </c>
      <c r="K1151" s="8">
        <f ca="1">IFERROR(__xludf.DUMMYFUNCTION("""COMPUTED_VALUE"""),21000)</f>
        <v>21000</v>
      </c>
      <c r="L1151" s="8">
        <f ca="1">IFERROR(__xludf.DUMMYFUNCTION("""COMPUTED_VALUE"""),240.494732020155)</f>
        <v>240.494732020155</v>
      </c>
      <c r="M1151" s="96">
        <f ca="1">IFERROR(__xludf.DUMMYFUNCTION("""COMPUTED_VALUE"""),44762)</f>
        <v>44762</v>
      </c>
      <c r="N1151" s="6" t="str">
        <f ca="1">IFERROR(__xludf.DUMMYFUNCTION("""COMPUTED_VALUE"""),"S10")</f>
        <v>S10</v>
      </c>
      <c r="O1151" s="97">
        <f ca="1">IFERROR(__xludf.DUMMYFUNCTION("""COMPUTED_VALUE"""),44762)</f>
        <v>44762</v>
      </c>
      <c r="P1151" s="6" t="str">
        <f ca="1">IFERROR(__xludf.DUMMYFUNCTION("""COMPUTED_VALUE"""),"CSTM_JLUMBTIUDN3")</f>
        <v>CSTM_JLUMBTIUDN3</v>
      </c>
      <c r="Q1151" s="6"/>
      <c r="R1151" s="6" t="str">
        <f ca="1">IFERROR(__xludf.DUMMYFUNCTION("""COMPUTED_VALUE"""),"Done. Good feedback.")</f>
        <v>Done. Good feedback.</v>
      </c>
      <c r="S1151" s="6" t="str">
        <f ca="1">IFERROR(__xludf.DUMMYFUNCTION("""COMPUTED_VALUE"""),"Category")</f>
        <v>Category</v>
      </c>
      <c r="T1151" s="6"/>
      <c r="U1151" s="6"/>
      <c r="V1151" s="6"/>
      <c r="W1151" s="6"/>
      <c r="X1151" s="6"/>
      <c r="Y1151" s="6"/>
      <c r="Z1151" s="6"/>
      <c r="AA1151" s="6"/>
      <c r="AB1151" s="6"/>
      <c r="AC1151" s="6"/>
      <c r="AD1151" s="6"/>
      <c r="AE1151" s="6"/>
      <c r="AF1151" s="6"/>
      <c r="AG1151" s="6"/>
      <c r="AH1151" s="6"/>
      <c r="AI1151" s="6"/>
      <c r="AJ1151" s="6"/>
      <c r="AK1151" s="6"/>
      <c r="AL1151" s="6"/>
    </row>
    <row r="1152" spans="1:38">
      <c r="A1152" s="96">
        <f ca="1">IFERROR(__xludf.DUMMYFUNCTION("""COMPUTED_VALUE"""),44762)</f>
        <v>44762</v>
      </c>
      <c r="B1152" s="6" t="str">
        <f ca="1">IFERROR(__xludf.DUMMYFUNCTION("""COMPUTED_VALUE"""),"Aakash Bhadoria")</f>
        <v>Aakash Bhadoria</v>
      </c>
      <c r="C1152" s="6" t="str">
        <f ca="1">IFERROR(__xludf.DUMMYFUNCTION("""COMPUTED_VALUE"""),"aakash.bhadoria@gmail.com")</f>
        <v>aakash.bhadoria@gmail.com</v>
      </c>
      <c r="D1152" s="6">
        <f ca="1">IFERROR(__xludf.DUMMYFUNCTION("""COMPUTED_VALUE"""),9891236334)</f>
        <v>9891236334</v>
      </c>
      <c r="E1152" s="6" t="str">
        <f ca="1">IFERROR(__xludf.DUMMYFUNCTION("""COMPUTED_VALUE"""),"course agenda")</f>
        <v>course agenda</v>
      </c>
      <c r="F1152" s="6" t="str">
        <f ca="1">IFERROR(__xludf.DUMMYFUNCTION("""COMPUTED_VALUE"""),"PSM")</f>
        <v>PSM</v>
      </c>
      <c r="G1152" s="80">
        <f ca="1">IFERROR(__xludf.DUMMYFUNCTION("""COMPUTED_VALUE"""),44743)</f>
        <v>44743</v>
      </c>
      <c r="H1152" s="6" t="str">
        <f ca="1">IFERROR(__xludf.DUMMYFUNCTION("""COMPUTED_VALUE"""),"Won")</f>
        <v>Won</v>
      </c>
      <c r="I1152" s="6" t="str">
        <f ca="1">IFERROR(__xludf.DUMMYFUNCTION("""COMPUTED_VALUE"""),"30-31 July 2022")</f>
        <v>30-31 July 2022</v>
      </c>
      <c r="J1152" s="6">
        <f ca="1">IFERROR(__xludf.DUMMYFUNCTION("""COMPUTED_VALUE"""),1)</f>
        <v>1</v>
      </c>
      <c r="K1152" s="8">
        <f ca="1">IFERROR(__xludf.DUMMYFUNCTION("""COMPUTED_VALUE"""),20500)</f>
        <v>20500</v>
      </c>
      <c r="L1152" s="8">
        <f ca="1">IFERROR(__xludf.DUMMYFUNCTION("""COMPUTED_VALUE"""),234.768666972056)</f>
        <v>234.768666972056</v>
      </c>
      <c r="M1152" s="96">
        <f ca="1">IFERROR(__xludf.DUMMYFUNCTION("""COMPUTED_VALUE"""),44762)</f>
        <v>44762</v>
      </c>
      <c r="N1152" s="6" t="str">
        <f ca="1">IFERROR(__xludf.DUMMYFUNCTION("""COMPUTED_VALUE"""),"S10")</f>
        <v>S10</v>
      </c>
      <c r="O1152" s="97">
        <f ca="1">IFERROR(__xludf.DUMMYFUNCTION("""COMPUTED_VALUE"""),44762)</f>
        <v>44762</v>
      </c>
      <c r="P1152" s="6" t="str">
        <f ca="1">IFERROR(__xludf.DUMMYFUNCTION("""COMPUTED_VALUE"""),"CSTM_C24TEGBMQ6F")</f>
        <v>CSTM_C24TEGBMQ6F</v>
      </c>
      <c r="Q1152" s="6"/>
      <c r="R1152" s="6" t="str">
        <f ca="1">IFERROR(__xludf.DUMMYFUNCTION("""COMPUTED_VALUE"""),"Pending")</f>
        <v>Pending</v>
      </c>
      <c r="S1152" s="6" t="str">
        <f ca="1">IFERROR(__xludf.DUMMYFUNCTION("""COMPUTED_VALUE"""),"Category")</f>
        <v>Category</v>
      </c>
      <c r="T1152" s="6"/>
      <c r="U1152" s="6"/>
      <c r="V1152" s="6"/>
      <c r="W1152" s="6"/>
      <c r="X1152" s="6"/>
      <c r="Y1152" s="6"/>
      <c r="Z1152" s="6"/>
      <c r="AA1152" s="6"/>
      <c r="AB1152" s="6"/>
      <c r="AC1152" s="6"/>
      <c r="AD1152" s="6"/>
      <c r="AE1152" s="6"/>
      <c r="AF1152" s="6"/>
      <c r="AG1152" s="6"/>
      <c r="AH1152" s="6"/>
      <c r="AI1152" s="6"/>
      <c r="AJ1152" s="6"/>
      <c r="AK1152" s="6"/>
      <c r="AL1152" s="6"/>
    </row>
    <row r="1153" spans="1:38">
      <c r="A1153" s="96">
        <f ca="1">IFERROR(__xludf.DUMMYFUNCTION("""COMPUTED_VALUE"""),44762)</f>
        <v>44762</v>
      </c>
      <c r="B1153" s="6" t="str">
        <f ca="1">IFERROR(__xludf.DUMMYFUNCTION("""COMPUTED_VALUE"""),"Heena Rahurikar")</f>
        <v>Heena Rahurikar</v>
      </c>
      <c r="C1153" s="6" t="str">
        <f ca="1">IFERROR(__xludf.DUMMYFUNCTION("""COMPUTED_VALUE"""),"heena.rahurikar@gmail.com")</f>
        <v>heena.rahurikar@gmail.com</v>
      </c>
      <c r="D1153" s="6">
        <f ca="1">IFERROR(__xludf.DUMMYFUNCTION("""COMPUTED_VALUE"""),9891236334)</f>
        <v>9891236334</v>
      </c>
      <c r="E1153" s="6" t="str">
        <f ca="1">IFERROR(__xludf.DUMMYFUNCTION("""COMPUTED_VALUE"""),"Reference")</f>
        <v>Reference</v>
      </c>
      <c r="F1153" s="6" t="str">
        <f ca="1">IFERROR(__xludf.DUMMYFUNCTION("""COMPUTED_VALUE"""),"PSM")</f>
        <v>PSM</v>
      </c>
      <c r="G1153" s="80">
        <f ca="1">IFERROR(__xludf.DUMMYFUNCTION("""COMPUTED_VALUE"""),44743)</f>
        <v>44743</v>
      </c>
      <c r="H1153" s="6" t="str">
        <f ca="1">IFERROR(__xludf.DUMMYFUNCTION("""COMPUTED_VALUE"""),"Won")</f>
        <v>Won</v>
      </c>
      <c r="I1153" s="6" t="str">
        <f ca="1">IFERROR(__xludf.DUMMYFUNCTION("""COMPUTED_VALUE"""),"30-31 July 2022")</f>
        <v>30-31 July 2022</v>
      </c>
      <c r="J1153" s="6">
        <f ca="1">IFERROR(__xludf.DUMMYFUNCTION("""COMPUTED_VALUE"""),1)</f>
        <v>1</v>
      </c>
      <c r="K1153" s="8">
        <f ca="1">IFERROR(__xludf.DUMMYFUNCTION("""COMPUTED_VALUE"""),20500)</f>
        <v>20500</v>
      </c>
      <c r="L1153" s="8">
        <f ca="1">IFERROR(__xludf.DUMMYFUNCTION("""COMPUTED_VALUE"""),234.768666972056)</f>
        <v>234.768666972056</v>
      </c>
      <c r="M1153" s="96">
        <f ca="1">IFERROR(__xludf.DUMMYFUNCTION("""COMPUTED_VALUE"""),44762)</f>
        <v>44762</v>
      </c>
      <c r="N1153" s="6" t="str">
        <f ca="1">IFERROR(__xludf.DUMMYFUNCTION("""COMPUTED_VALUE"""),"S10")</f>
        <v>S10</v>
      </c>
      <c r="O1153" s="97">
        <f ca="1">IFERROR(__xludf.DUMMYFUNCTION("""COMPUTED_VALUE"""),44762)</f>
        <v>44762</v>
      </c>
      <c r="P1153" s="6" t="str">
        <f ca="1">IFERROR(__xludf.DUMMYFUNCTION("""COMPUTED_VALUE"""),"CSTM_E5FHL8SGMOX")</f>
        <v>CSTM_E5FHL8SGMOX</v>
      </c>
      <c r="Q1153" s="6" t="str">
        <f ca="1">IFERROR(__xludf.DUMMYFUNCTION("""COMPUTED_VALUE"""),"Reference by Akash Bhadoria")</f>
        <v>Reference by Akash Bhadoria</v>
      </c>
      <c r="R1153" s="6" t="str">
        <f ca="1">IFERROR(__xludf.DUMMYFUNCTION("""COMPUTED_VALUE"""),"Pending")</f>
        <v>Pending</v>
      </c>
      <c r="S1153" s="6" t="str">
        <f ca="1">IFERROR(__xludf.DUMMYFUNCTION("""COMPUTED_VALUE"""),"Category")</f>
        <v>Category</v>
      </c>
      <c r="T1153" s="6"/>
      <c r="U1153" s="6"/>
      <c r="V1153" s="6"/>
      <c r="W1153" s="6"/>
      <c r="X1153" s="6"/>
      <c r="Y1153" s="6"/>
      <c r="Z1153" s="6"/>
      <c r="AA1153" s="6"/>
      <c r="AB1153" s="6"/>
      <c r="AC1153" s="6"/>
      <c r="AD1153" s="6"/>
      <c r="AE1153" s="6"/>
      <c r="AF1153" s="6"/>
      <c r="AG1153" s="6"/>
      <c r="AH1153" s="6"/>
      <c r="AI1153" s="6"/>
      <c r="AJ1153" s="6"/>
      <c r="AK1153" s="6"/>
      <c r="AL1153" s="6"/>
    </row>
    <row r="1154" spans="1:38">
      <c r="A1154" s="96">
        <f ca="1">IFERROR(__xludf.DUMMYFUNCTION("""COMPUTED_VALUE"""),44763)</f>
        <v>44763</v>
      </c>
      <c r="B1154" s="6" t="str">
        <f ca="1">IFERROR(__xludf.DUMMYFUNCTION("""COMPUTED_VALUE"""),"Avinash Hingmire")</f>
        <v>Avinash Hingmire</v>
      </c>
      <c r="C1154" s="6" t="str">
        <f ca="1">IFERROR(__xludf.DUMMYFUNCTION("""COMPUTED_VALUE"""),"avinash.hingmire@gmail.com")</f>
        <v>avinash.hingmire@gmail.com</v>
      </c>
      <c r="D1154" s="6">
        <f ca="1">IFERROR(__xludf.DUMMYFUNCTION("""COMPUTED_VALUE"""),9850198882)</f>
        <v>9850198882</v>
      </c>
      <c r="E1154" s="6" t="str">
        <f ca="1">IFERROR(__xludf.DUMMYFUNCTION("""COMPUTED_VALUE"""),"na-payment")</f>
        <v>na-payment</v>
      </c>
      <c r="F1154" s="6" t="str">
        <f ca="1">IFERROR(__xludf.DUMMYFUNCTION("""COMPUTED_VALUE"""),"PSPO")</f>
        <v>PSPO</v>
      </c>
      <c r="G1154" s="80">
        <f ca="1">IFERROR(__xludf.DUMMYFUNCTION("""COMPUTED_VALUE"""),44743)</f>
        <v>44743</v>
      </c>
      <c r="H1154" s="6" t="str">
        <f ca="1">IFERROR(__xludf.DUMMYFUNCTION("""COMPUTED_VALUE"""),"Won")</f>
        <v>Won</v>
      </c>
      <c r="I1154" s="6" t="str">
        <f ca="1">IFERROR(__xludf.DUMMYFUNCTION("""COMPUTED_VALUE"""),"23-24 July 2022")</f>
        <v>23-24 July 2022</v>
      </c>
      <c r="J1154" s="6">
        <f ca="1">IFERROR(__xludf.DUMMYFUNCTION("""COMPUTED_VALUE"""),1)</f>
        <v>1</v>
      </c>
      <c r="K1154" s="8">
        <f ca="1">IFERROR(__xludf.DUMMYFUNCTION("""COMPUTED_VALUE"""),21000)</f>
        <v>21000</v>
      </c>
      <c r="L1154" s="8">
        <f ca="1">IFERROR(__xludf.DUMMYFUNCTION("""COMPUTED_VALUE"""),240.494732020155)</f>
        <v>240.494732020155</v>
      </c>
      <c r="M1154" s="96">
        <f ca="1">IFERROR(__xludf.DUMMYFUNCTION("""COMPUTED_VALUE"""),44763)</f>
        <v>44763</v>
      </c>
      <c r="N1154" s="6" t="str">
        <f ca="1">IFERROR(__xludf.DUMMYFUNCTION("""COMPUTED_VALUE"""),"T10")</f>
        <v>T10</v>
      </c>
      <c r="O1154" s="97">
        <f ca="1">IFERROR(__xludf.DUMMYFUNCTION("""COMPUTED_VALUE"""),44763)</f>
        <v>44763</v>
      </c>
      <c r="P1154" s="6" t="str">
        <f ca="1">IFERROR(__xludf.DUMMYFUNCTION("""COMPUTED_VALUE"""),"CSTM_EZCCOHVBQDQ")</f>
        <v>CSTM_EZCCOHVBQDQ</v>
      </c>
      <c r="Q1154" s="6"/>
      <c r="R1154" s="6" t="str">
        <f ca="1">IFERROR(__xludf.DUMMYFUNCTION("""COMPUTED_VALUE"""),"Pending")</f>
        <v>Pending</v>
      </c>
      <c r="S1154" s="6" t="str">
        <f ca="1">IFERROR(__xludf.DUMMYFUNCTION("""COMPUTED_VALUE"""),"Category")</f>
        <v>Category</v>
      </c>
      <c r="T1154" s="6"/>
      <c r="U1154" s="6"/>
      <c r="V1154" s="6"/>
      <c r="W1154" s="6"/>
      <c r="X1154" s="6"/>
      <c r="Y1154" s="6"/>
      <c r="Z1154" s="6"/>
      <c r="AA1154" s="6"/>
      <c r="AB1154" s="6"/>
      <c r="AC1154" s="6"/>
      <c r="AD1154" s="6"/>
      <c r="AE1154" s="6"/>
      <c r="AF1154" s="6"/>
      <c r="AG1154" s="6"/>
      <c r="AH1154" s="6"/>
      <c r="AI1154" s="6"/>
      <c r="AJ1154" s="6"/>
      <c r="AK1154" s="6"/>
      <c r="AL1154" s="6"/>
    </row>
    <row r="1155" spans="1:38">
      <c r="A1155" s="96">
        <f ca="1">IFERROR(__xludf.DUMMYFUNCTION("""COMPUTED_VALUE"""),44763)</f>
        <v>44763</v>
      </c>
      <c r="B1155" s="6" t="str">
        <f ca="1">IFERROR(__xludf.DUMMYFUNCTION("""COMPUTED_VALUE"""),"Sai Prasad")</f>
        <v>Sai Prasad</v>
      </c>
      <c r="C1155" s="6" t="str">
        <f ca="1">IFERROR(__xludf.DUMMYFUNCTION("""COMPUTED_VALUE"""),"glsaiprasad2018@gmail.com")</f>
        <v>glsaiprasad2018@gmail.com</v>
      </c>
      <c r="D1155" s="6">
        <f ca="1">IFERROR(__xludf.DUMMYFUNCTION("""COMPUTED_VALUE"""),8277206609)</f>
        <v>8277206609</v>
      </c>
      <c r="E1155" s="6" t="str">
        <f ca="1">IFERROR(__xludf.DUMMYFUNCTION("""COMPUTED_VALUE"""),"chat_initiated")</f>
        <v>chat_initiated</v>
      </c>
      <c r="F1155" s="6" t="str">
        <f ca="1">IFERROR(__xludf.DUMMYFUNCTION("""COMPUTED_VALUE"""),"PSM 2")</f>
        <v>PSM 2</v>
      </c>
      <c r="G1155" s="80">
        <f ca="1">IFERROR(__xludf.DUMMYFUNCTION("""COMPUTED_VALUE"""),44743)</f>
        <v>44743</v>
      </c>
      <c r="H1155" s="6" t="str">
        <f ca="1">IFERROR(__xludf.DUMMYFUNCTION("""COMPUTED_VALUE"""),"Won")</f>
        <v>Won</v>
      </c>
      <c r="I1155" s="6" t="str">
        <f ca="1">IFERROR(__xludf.DUMMYFUNCTION("""COMPUTED_VALUE"""),"23-24 July 2022")</f>
        <v>23-24 July 2022</v>
      </c>
      <c r="J1155" s="6">
        <f ca="1">IFERROR(__xludf.DUMMYFUNCTION("""COMPUTED_VALUE"""),1)</f>
        <v>1</v>
      </c>
      <c r="K1155" s="8">
        <f ca="1">IFERROR(__xludf.DUMMYFUNCTION("""COMPUTED_VALUE"""),24000)</f>
        <v>24000</v>
      </c>
      <c r="L1155" s="8">
        <f ca="1">IFERROR(__xludf.DUMMYFUNCTION("""COMPUTED_VALUE"""),274.851122308749)</f>
        <v>274.85112230874898</v>
      </c>
      <c r="M1155" s="96">
        <f ca="1">IFERROR(__xludf.DUMMYFUNCTION("""COMPUTED_VALUE"""),44763)</f>
        <v>44763</v>
      </c>
      <c r="N1155" s="6" t="str">
        <f ca="1">IFERROR(__xludf.DUMMYFUNCTION("""COMPUTED_VALUE"""),"T10")</f>
        <v>T10</v>
      </c>
      <c r="O1155" s="97">
        <f ca="1">IFERROR(__xludf.DUMMYFUNCTION("""COMPUTED_VALUE"""),44763)</f>
        <v>44763</v>
      </c>
      <c r="P1155" s="6" t="str">
        <f ca="1">IFERROR(__xludf.DUMMYFUNCTION("""COMPUTED_VALUE"""),"CSTM_285CGBAER78")</f>
        <v>CSTM_285CGBAER78</v>
      </c>
      <c r="Q1155" s="6"/>
      <c r="R1155" s="6" t="str">
        <f ca="1">IFERROR(__xludf.DUMMYFUNCTION("""COMPUTED_VALUE"""),"Pending")</f>
        <v>Pending</v>
      </c>
      <c r="S1155" s="6" t="str">
        <f ca="1">IFERROR(__xludf.DUMMYFUNCTION("""COMPUTED_VALUE"""),"Category")</f>
        <v>Category</v>
      </c>
      <c r="T1155" s="6"/>
      <c r="U1155" s="6"/>
      <c r="V1155" s="6"/>
      <c r="W1155" s="6"/>
      <c r="X1155" s="6"/>
      <c r="Y1155" s="6"/>
      <c r="Z1155" s="6"/>
      <c r="AA1155" s="6"/>
      <c r="AB1155" s="6"/>
      <c r="AC1155" s="6"/>
      <c r="AD1155" s="6"/>
      <c r="AE1155" s="6"/>
      <c r="AF1155" s="6"/>
      <c r="AG1155" s="6"/>
      <c r="AH1155" s="6"/>
      <c r="AI1155" s="6"/>
      <c r="AJ1155" s="6"/>
      <c r="AK1155" s="6"/>
      <c r="AL1155" s="6"/>
    </row>
    <row r="1156" spans="1:38">
      <c r="A1156" s="96">
        <f ca="1">IFERROR(__xludf.DUMMYFUNCTION("""COMPUTED_VALUE"""),44765)</f>
        <v>44765</v>
      </c>
      <c r="B1156" s="6" t="str">
        <f ca="1">IFERROR(__xludf.DUMMYFUNCTION("""COMPUTED_VALUE"""),"Lankesh Shekhar")</f>
        <v>Lankesh Shekhar</v>
      </c>
      <c r="C1156" s="6" t="str">
        <f ca="1">IFERROR(__xludf.DUMMYFUNCTION("""COMPUTED_VALUE"""),"lan.myth@gmail.com")</f>
        <v>lan.myth@gmail.com</v>
      </c>
      <c r="D1156" s="6">
        <f ca="1">IFERROR(__xludf.DUMMYFUNCTION("""COMPUTED_VALUE"""),9787159767)</f>
        <v>9787159767</v>
      </c>
      <c r="E1156" s="6" t="str">
        <f ca="1">IFERROR(__xludf.DUMMYFUNCTION("""COMPUTED_VALUE"""),"Tollfree")</f>
        <v>Tollfree</v>
      </c>
      <c r="F1156" s="6" t="str">
        <f ca="1">IFERROR(__xludf.DUMMYFUNCTION("""COMPUTED_VALUE"""),"PSM 2")</f>
        <v>PSM 2</v>
      </c>
      <c r="G1156" s="80">
        <f ca="1">IFERROR(__xludf.DUMMYFUNCTION("""COMPUTED_VALUE"""),44743)</f>
        <v>44743</v>
      </c>
      <c r="H1156" s="6" t="str">
        <f ca="1">IFERROR(__xludf.DUMMYFUNCTION("""COMPUTED_VALUE"""),"Won")</f>
        <v>Won</v>
      </c>
      <c r="I1156" s="6" t="str">
        <f ca="1">IFERROR(__xludf.DUMMYFUNCTION("""COMPUTED_VALUE"""),"13-14 Aug 2022")</f>
        <v>13-14 Aug 2022</v>
      </c>
      <c r="J1156" s="6">
        <f ca="1">IFERROR(__xludf.DUMMYFUNCTION("""COMPUTED_VALUE"""),1)</f>
        <v>1</v>
      </c>
      <c r="K1156" s="8">
        <f ca="1">IFERROR(__xludf.DUMMYFUNCTION("""COMPUTED_VALUE"""),24000)</f>
        <v>24000</v>
      </c>
      <c r="L1156" s="8">
        <f ca="1">IFERROR(__xludf.DUMMYFUNCTION("""COMPUTED_VALUE"""),274.851122308749)</f>
        <v>274.85112230874898</v>
      </c>
      <c r="M1156" s="96">
        <f ca="1">IFERROR(__xludf.DUMMYFUNCTION("""COMPUTED_VALUE"""),44765)</f>
        <v>44765</v>
      </c>
      <c r="N1156" s="6" t="str">
        <f ca="1">IFERROR(__xludf.DUMMYFUNCTION("""COMPUTED_VALUE"""),"T10")</f>
        <v>T10</v>
      </c>
      <c r="O1156" s="97">
        <f ca="1">IFERROR(__xludf.DUMMYFUNCTION("""COMPUTED_VALUE"""),44765)</f>
        <v>44765</v>
      </c>
      <c r="P1156" s="6" t="str">
        <f ca="1">IFERROR(__xludf.DUMMYFUNCTION("""COMPUTED_VALUE"""),"CSTM_BRK1BAACPF1")</f>
        <v>CSTM_BRK1BAACPF1</v>
      </c>
      <c r="Q1156" s="6"/>
      <c r="R1156" s="6" t="str">
        <f ca="1">IFERROR(__xludf.DUMMYFUNCTION("""COMPUTED_VALUE"""),"Done. Good feedback.")</f>
        <v>Done. Good feedback.</v>
      </c>
      <c r="S1156" s="6" t="str">
        <f ca="1">IFERROR(__xludf.DUMMYFUNCTION("""COMPUTED_VALUE"""),"Category")</f>
        <v>Category</v>
      </c>
      <c r="T1156" s="6"/>
      <c r="U1156" s="6"/>
      <c r="V1156" s="6"/>
      <c r="W1156" s="6"/>
      <c r="X1156" s="6"/>
      <c r="Y1156" s="6"/>
      <c r="Z1156" s="6"/>
      <c r="AA1156" s="6"/>
      <c r="AB1156" s="6"/>
      <c r="AC1156" s="6"/>
      <c r="AD1156" s="6"/>
      <c r="AE1156" s="6"/>
      <c r="AF1156" s="6"/>
      <c r="AG1156" s="6"/>
      <c r="AH1156" s="6"/>
      <c r="AI1156" s="6"/>
      <c r="AJ1156" s="6"/>
      <c r="AK1156" s="6"/>
      <c r="AL1156" s="6"/>
    </row>
    <row r="1157" spans="1:38">
      <c r="A1157" s="96">
        <f ca="1">IFERROR(__xludf.DUMMYFUNCTION("""COMPUTED_VALUE"""),44767)</f>
        <v>44767</v>
      </c>
      <c r="B1157" s="6" t="str">
        <f ca="1">IFERROR(__xludf.DUMMYFUNCTION("""COMPUTED_VALUE"""),"Abhishek Jain")</f>
        <v>Abhishek Jain</v>
      </c>
      <c r="C1157" s="6" t="str">
        <f ca="1">IFERROR(__xludf.DUMMYFUNCTION("""COMPUTED_VALUE"""),"abhishekjain181087@gmail.com")</f>
        <v>abhishekjain181087@gmail.com</v>
      </c>
      <c r="D1157" s="6">
        <f ca="1">IFERROR(__xludf.DUMMYFUNCTION("""COMPUTED_VALUE"""),9986456833)</f>
        <v>9986456833</v>
      </c>
      <c r="E1157" s="6" t="str">
        <f ca="1">IFERROR(__xludf.DUMMYFUNCTION("""COMPUTED_VALUE"""),"Chat_triggered")</f>
        <v>Chat_triggered</v>
      </c>
      <c r="F1157" s="6" t="str">
        <f ca="1">IFERROR(__xludf.DUMMYFUNCTION("""COMPUTED_VALUE"""),"ITIL v4")</f>
        <v>ITIL v4</v>
      </c>
      <c r="G1157" s="80">
        <f ca="1">IFERROR(__xludf.DUMMYFUNCTION("""COMPUTED_VALUE"""),44743)</f>
        <v>44743</v>
      </c>
      <c r="H1157" s="6" t="str">
        <f ca="1">IFERROR(__xludf.DUMMYFUNCTION("""COMPUTED_VALUE"""),"Won")</f>
        <v>Won</v>
      </c>
      <c r="I1157" s="6" t="str">
        <f ca="1">IFERROR(__xludf.DUMMYFUNCTION("""COMPUTED_VALUE"""),"28 July 2022")</f>
        <v>28 July 2022</v>
      </c>
      <c r="J1157" s="6">
        <f ca="1">IFERROR(__xludf.DUMMYFUNCTION("""COMPUTED_VALUE"""),1)</f>
        <v>1</v>
      </c>
      <c r="K1157" s="8">
        <f ca="1">IFERROR(__xludf.DUMMYFUNCTION("""COMPUTED_VALUE"""),21000)</f>
        <v>21000</v>
      </c>
      <c r="L1157" s="8">
        <f ca="1">IFERROR(__xludf.DUMMYFUNCTION("""COMPUTED_VALUE"""),240.494732020155)</f>
        <v>240.494732020155</v>
      </c>
      <c r="M1157" s="96">
        <f ca="1">IFERROR(__xludf.DUMMYFUNCTION("""COMPUTED_VALUE"""),44767)</f>
        <v>44767</v>
      </c>
      <c r="N1157" s="6" t="str">
        <f ca="1">IFERROR(__xludf.DUMMYFUNCTION("""COMPUTED_VALUE"""),"T10")</f>
        <v>T10</v>
      </c>
      <c r="O1157" s="97">
        <f ca="1">IFERROR(__xludf.DUMMYFUNCTION("""COMPUTED_VALUE"""),44767)</f>
        <v>44767</v>
      </c>
      <c r="P1157" s="6" t="str">
        <f ca="1">IFERROR(__xludf.DUMMYFUNCTION("""COMPUTED_VALUE"""),"CSTM_9Z3VZDRHVH2")</f>
        <v>CSTM_9Z3VZDRHVH2</v>
      </c>
      <c r="Q1157" s="6"/>
      <c r="R1157" s="6" t="str">
        <f ca="1">IFERROR(__xludf.DUMMYFUNCTION("""COMPUTED_VALUE"""),"Pending")</f>
        <v>Pending</v>
      </c>
      <c r="S1157" s="6" t="str">
        <f ca="1">IFERROR(__xludf.DUMMYFUNCTION("""COMPUTED_VALUE"""),"NonCategory")</f>
        <v>NonCategory</v>
      </c>
      <c r="T1157" s="6"/>
      <c r="U1157" s="6"/>
      <c r="V1157" s="6"/>
      <c r="W1157" s="6"/>
      <c r="X1157" s="6"/>
      <c r="Y1157" s="6"/>
      <c r="Z1157" s="6"/>
      <c r="AA1157" s="6"/>
      <c r="AB1157" s="6"/>
      <c r="AC1157" s="6"/>
      <c r="AD1157" s="6"/>
      <c r="AE1157" s="6"/>
      <c r="AF1157" s="6"/>
      <c r="AG1157" s="6"/>
      <c r="AH1157" s="6"/>
      <c r="AI1157" s="6"/>
      <c r="AJ1157" s="6"/>
      <c r="AK1157" s="6"/>
      <c r="AL1157" s="6"/>
    </row>
    <row r="1158" spans="1:38">
      <c r="A1158" s="96">
        <f ca="1">IFERROR(__xludf.DUMMYFUNCTION("""COMPUTED_VALUE"""),44767)</f>
        <v>44767</v>
      </c>
      <c r="B1158" s="6" t="str">
        <f ca="1">IFERROR(__xludf.DUMMYFUNCTION("""COMPUTED_VALUE"""),"Alok Tripathi")</f>
        <v>Alok Tripathi</v>
      </c>
      <c r="C1158" s="6" t="str">
        <f ca="1">IFERROR(__xludf.DUMMYFUNCTION("""COMPUTED_VALUE"""),"tripathialok3@gmail.com")</f>
        <v>tripathialok3@gmail.com</v>
      </c>
      <c r="D1158" s="6">
        <f ca="1">IFERROR(__xludf.DUMMYFUNCTION("""COMPUTED_VALUE"""),7525036322)</f>
        <v>7525036322</v>
      </c>
      <c r="E1158" s="6" t="str">
        <f ca="1">IFERROR(__xludf.DUMMYFUNCTION("""COMPUTED_VALUE"""),"Reference")</f>
        <v>Reference</v>
      </c>
      <c r="F1158" s="6" t="str">
        <f ca="1">IFERROR(__xludf.DUMMYFUNCTION("""COMPUTED_VALUE"""),"PSM")</f>
        <v>PSM</v>
      </c>
      <c r="G1158" s="80">
        <f ca="1">IFERROR(__xludf.DUMMYFUNCTION("""COMPUTED_VALUE"""),44743)</f>
        <v>44743</v>
      </c>
      <c r="H1158" s="6" t="str">
        <f ca="1">IFERROR(__xludf.DUMMYFUNCTION("""COMPUTED_VALUE"""),"Won")</f>
        <v>Won</v>
      </c>
      <c r="I1158" s="6" t="str">
        <f ca="1">IFERROR(__xludf.DUMMYFUNCTION("""COMPUTED_VALUE"""),"13-14 Aug 2022")</f>
        <v>13-14 Aug 2022</v>
      </c>
      <c r="J1158" s="6">
        <f ca="1">IFERROR(__xludf.DUMMYFUNCTION("""COMPUTED_VALUE"""),1)</f>
        <v>1</v>
      </c>
      <c r="K1158" s="8">
        <f ca="1">IFERROR(__xludf.DUMMYFUNCTION("""COMPUTED_VALUE"""),20500)</f>
        <v>20500</v>
      </c>
      <c r="L1158" s="8">
        <f ca="1">IFERROR(__xludf.DUMMYFUNCTION("""COMPUTED_VALUE"""),234.768666972056)</f>
        <v>234.768666972056</v>
      </c>
      <c r="M1158" s="96">
        <f ca="1">IFERROR(__xludf.DUMMYFUNCTION("""COMPUTED_VALUE"""),44767)</f>
        <v>44767</v>
      </c>
      <c r="N1158" s="6" t="str">
        <f ca="1">IFERROR(__xludf.DUMMYFUNCTION("""COMPUTED_VALUE"""),"T10")</f>
        <v>T10</v>
      </c>
      <c r="O1158" s="97">
        <f ca="1">IFERROR(__xludf.DUMMYFUNCTION("""COMPUTED_VALUE"""),44767)</f>
        <v>44767</v>
      </c>
      <c r="P1158" s="6" t="str">
        <f ca="1">IFERROR(__xludf.DUMMYFUNCTION("""COMPUTED_VALUE"""),"CSTM_C7R3DUSTLYK")</f>
        <v>CSTM_C7R3DUSTLYK</v>
      </c>
      <c r="Q1158" s="6" t="str">
        <f ca="1">IFERROR(__xludf.DUMMYFUNCTION("""COMPUTED_VALUE"""),"Reference by tripathialok3@gmail.com")</f>
        <v>Reference by tripathialok3@gmail.com</v>
      </c>
      <c r="R1158" s="6" t="str">
        <f ca="1">IFERROR(__xludf.DUMMYFUNCTION("""COMPUTED_VALUE"""),"Pending")</f>
        <v>Pending</v>
      </c>
      <c r="S1158" s="6" t="str">
        <f ca="1">IFERROR(__xludf.DUMMYFUNCTION("""COMPUTED_VALUE"""),"Category")</f>
        <v>Category</v>
      </c>
      <c r="T1158" s="6"/>
      <c r="U1158" s="6"/>
      <c r="V1158" s="6"/>
      <c r="W1158" s="6"/>
      <c r="X1158" s="6"/>
      <c r="Y1158" s="6"/>
      <c r="Z1158" s="6"/>
      <c r="AA1158" s="6"/>
      <c r="AB1158" s="6"/>
      <c r="AC1158" s="6"/>
      <c r="AD1158" s="6"/>
      <c r="AE1158" s="6"/>
      <c r="AF1158" s="6"/>
      <c r="AG1158" s="6"/>
      <c r="AH1158" s="6"/>
      <c r="AI1158" s="6"/>
      <c r="AJ1158" s="6"/>
      <c r="AK1158" s="6"/>
      <c r="AL1158" s="6"/>
    </row>
    <row r="1159" spans="1:38">
      <c r="A1159" s="96">
        <f ca="1">IFERROR(__xludf.DUMMYFUNCTION("""COMPUTED_VALUE"""),44767)</f>
        <v>44767</v>
      </c>
      <c r="B1159" s="6" t="str">
        <f ca="1">IFERROR(__xludf.DUMMYFUNCTION("""COMPUTED_VALUE"""),"Pratyush Shukla")</f>
        <v>Pratyush Shukla</v>
      </c>
      <c r="C1159" s="6" t="str">
        <f ca="1">IFERROR(__xludf.DUMMYFUNCTION("""COMPUTED_VALUE"""),"shukla.pratyush220@gmail.com")</f>
        <v>shukla.pratyush220@gmail.com</v>
      </c>
      <c r="D1159" s="6">
        <f ca="1">IFERROR(__xludf.DUMMYFUNCTION("""COMPUTED_VALUE"""),9956623878)</f>
        <v>9956623878</v>
      </c>
      <c r="E1159" s="6" t="str">
        <f ca="1">IFERROR(__xludf.DUMMYFUNCTION("""COMPUTED_VALUE"""),"Reference")</f>
        <v>Reference</v>
      </c>
      <c r="F1159" s="6" t="str">
        <f ca="1">IFERROR(__xludf.DUMMYFUNCTION("""COMPUTED_VALUE"""),"PSM")</f>
        <v>PSM</v>
      </c>
      <c r="G1159" s="80">
        <f ca="1">IFERROR(__xludf.DUMMYFUNCTION("""COMPUTED_VALUE"""),44743)</f>
        <v>44743</v>
      </c>
      <c r="H1159" s="6" t="str">
        <f ca="1">IFERROR(__xludf.DUMMYFUNCTION("""COMPUTED_VALUE"""),"Won")</f>
        <v>Won</v>
      </c>
      <c r="I1159" s="6" t="str">
        <f ca="1">IFERROR(__xludf.DUMMYFUNCTION("""COMPUTED_VALUE"""),"13-14 Aug 2022")</f>
        <v>13-14 Aug 2022</v>
      </c>
      <c r="J1159" s="6">
        <f ca="1">IFERROR(__xludf.DUMMYFUNCTION("""COMPUTED_VALUE"""),1)</f>
        <v>1</v>
      </c>
      <c r="K1159" s="8">
        <f ca="1">IFERROR(__xludf.DUMMYFUNCTION("""COMPUTED_VALUE"""),20500)</f>
        <v>20500</v>
      </c>
      <c r="L1159" s="8">
        <f ca="1">IFERROR(__xludf.DUMMYFUNCTION("""COMPUTED_VALUE"""),234.768666972056)</f>
        <v>234.768666972056</v>
      </c>
      <c r="M1159" s="96">
        <f ca="1">IFERROR(__xludf.DUMMYFUNCTION("""COMPUTED_VALUE"""),44767)</f>
        <v>44767</v>
      </c>
      <c r="N1159" s="6" t="str">
        <f ca="1">IFERROR(__xludf.DUMMYFUNCTION("""COMPUTED_VALUE"""),"T10")</f>
        <v>T10</v>
      </c>
      <c r="O1159" s="97">
        <f ca="1">IFERROR(__xludf.DUMMYFUNCTION("""COMPUTED_VALUE"""),44767)</f>
        <v>44767</v>
      </c>
      <c r="P1159" s="6" t="str">
        <f ca="1">IFERROR(__xludf.DUMMYFUNCTION("""COMPUTED_VALUE"""),"CSTM_GLTD0F2E6XU")</f>
        <v>CSTM_GLTD0F2E6XU</v>
      </c>
      <c r="Q1159" s="6" t="str">
        <f ca="1">IFERROR(__xludf.DUMMYFUNCTION("""COMPUTED_VALUE"""),"Reference by tripathialok3@gmail.com")</f>
        <v>Reference by tripathialok3@gmail.com</v>
      </c>
      <c r="R1159" s="6" t="str">
        <f ca="1">IFERROR(__xludf.DUMMYFUNCTION("""COMPUTED_VALUE"""),"Done. Good feedback.")</f>
        <v>Done. Good feedback.</v>
      </c>
      <c r="S1159" s="6" t="str">
        <f ca="1">IFERROR(__xludf.DUMMYFUNCTION("""COMPUTED_VALUE"""),"Category")</f>
        <v>Category</v>
      </c>
      <c r="T1159" s="6"/>
      <c r="U1159" s="6"/>
      <c r="V1159" s="6"/>
      <c r="W1159" s="6"/>
      <c r="X1159" s="6"/>
      <c r="Y1159" s="6"/>
      <c r="Z1159" s="6"/>
      <c r="AA1159" s="6"/>
      <c r="AB1159" s="6"/>
      <c r="AC1159" s="6"/>
      <c r="AD1159" s="6"/>
      <c r="AE1159" s="6"/>
      <c r="AF1159" s="6"/>
      <c r="AG1159" s="6"/>
      <c r="AH1159" s="6"/>
      <c r="AI1159" s="6"/>
      <c r="AJ1159" s="6"/>
      <c r="AK1159" s="6"/>
      <c r="AL1159" s="6"/>
    </row>
    <row r="1160" spans="1:38">
      <c r="A1160" s="96">
        <f ca="1">IFERROR(__xludf.DUMMYFUNCTION("""COMPUTED_VALUE"""),44768)</f>
        <v>44768</v>
      </c>
      <c r="B1160" s="6" t="str">
        <f ca="1">IFERROR(__xludf.DUMMYFUNCTION("""COMPUTED_VALUE"""),"Ranjitha Malatkar")</f>
        <v>Ranjitha Malatkar</v>
      </c>
      <c r="C1160" s="6" t="str">
        <f ca="1">IFERROR(__xludf.DUMMYFUNCTION("""COMPUTED_VALUE"""),"ranjithamalatkar@gmail.com")</f>
        <v>ranjithamalatkar@gmail.com</v>
      </c>
      <c r="D1160" s="6">
        <f ca="1">IFERROR(__xludf.DUMMYFUNCTION("""COMPUTED_VALUE"""),9535660528)</f>
        <v>9535660528</v>
      </c>
      <c r="E1160" s="6" t="str">
        <f ca="1">IFERROR(__xludf.DUMMYFUNCTION("""COMPUTED_VALUE"""),"Reference")</f>
        <v>Reference</v>
      </c>
      <c r="F1160" s="6" t="str">
        <f ca="1">IFERROR(__xludf.DUMMYFUNCTION("""COMPUTED_VALUE"""),"CSM")</f>
        <v>CSM</v>
      </c>
      <c r="G1160" s="80">
        <f ca="1">IFERROR(__xludf.DUMMYFUNCTION("""COMPUTED_VALUE"""),44743)</f>
        <v>44743</v>
      </c>
      <c r="H1160" s="6" t="str">
        <f ca="1">IFERROR(__xludf.DUMMYFUNCTION("""COMPUTED_VALUE"""),"Won")</f>
        <v>Won</v>
      </c>
      <c r="I1160" s="6" t="str">
        <f ca="1">IFERROR(__xludf.DUMMYFUNCTION("""COMPUTED_VALUE"""),"30-31 July 2022")</f>
        <v>30-31 July 2022</v>
      </c>
      <c r="J1160" s="6">
        <f ca="1">IFERROR(__xludf.DUMMYFUNCTION("""COMPUTED_VALUE"""),1)</f>
        <v>1</v>
      </c>
      <c r="K1160" s="8">
        <f ca="1">IFERROR(__xludf.DUMMYFUNCTION("""COMPUTED_VALUE"""),20000)</f>
        <v>20000</v>
      </c>
      <c r="L1160" s="8">
        <f ca="1">IFERROR(__xludf.DUMMYFUNCTION("""COMPUTED_VALUE"""),229.042601923957)</f>
        <v>229.04260192395699</v>
      </c>
      <c r="M1160" s="96">
        <f ca="1">IFERROR(__xludf.DUMMYFUNCTION("""COMPUTED_VALUE"""),44768)</f>
        <v>44768</v>
      </c>
      <c r="N1160" s="6" t="str">
        <f ca="1">IFERROR(__xludf.DUMMYFUNCTION("""COMPUTED_VALUE"""),"T10")</f>
        <v>T10</v>
      </c>
      <c r="O1160" s="97">
        <f ca="1">IFERROR(__xludf.DUMMYFUNCTION("""COMPUTED_VALUE"""),44768)</f>
        <v>44768</v>
      </c>
      <c r="P1160" s="6" t="str">
        <f ca="1">IFERROR(__xludf.DUMMYFUNCTION("""COMPUTED_VALUE"""),"CSTM_7G6FBOAFBFS")</f>
        <v>CSTM_7G6FBOAFBFS</v>
      </c>
      <c r="Q1160" s="6" t="str">
        <f ca="1">IFERROR(__xludf.DUMMYFUNCTION("""COMPUTED_VALUE"""),"Keerti - Pending")</f>
        <v>Keerti - Pending</v>
      </c>
      <c r="R1160" s="6" t="str">
        <f ca="1">IFERROR(__xludf.DUMMYFUNCTION("""COMPUTED_VALUE"""),"Done. Good feedback.")</f>
        <v>Done. Good feedback.</v>
      </c>
      <c r="S1160" s="6" t="str">
        <f ca="1">IFERROR(__xludf.DUMMYFUNCTION("""COMPUTED_VALUE"""),"Category")</f>
        <v>Category</v>
      </c>
      <c r="T1160" s="6" t="str">
        <f ca="1">IFERROR(__xludf.DUMMYFUNCTION("""COMPUTED_VALUE"""),"Keerti - Pending")</f>
        <v>Keerti - Pending</v>
      </c>
      <c r="U1160" s="6"/>
      <c r="V1160" s="6"/>
      <c r="W1160" s="6"/>
      <c r="X1160" s="6"/>
      <c r="Y1160" s="6"/>
      <c r="Z1160" s="6"/>
      <c r="AA1160" s="6"/>
      <c r="AB1160" s="6"/>
      <c r="AC1160" s="6"/>
      <c r="AD1160" s="6"/>
      <c r="AE1160" s="6"/>
      <c r="AF1160" s="6"/>
      <c r="AG1160" s="6"/>
      <c r="AH1160" s="6"/>
      <c r="AI1160" s="6"/>
      <c r="AJ1160" s="6"/>
      <c r="AK1160" s="6"/>
      <c r="AL1160" s="6"/>
    </row>
    <row r="1161" spans="1:38">
      <c r="A1161" s="96">
        <f ca="1">IFERROR(__xludf.DUMMYFUNCTION("""COMPUTED_VALUE"""),44769)</f>
        <v>44769</v>
      </c>
      <c r="B1161" s="6" t="str">
        <f ca="1">IFERROR(__xludf.DUMMYFUNCTION("""COMPUTED_VALUE"""),"Darshana Juvekar")</f>
        <v>Darshana Juvekar</v>
      </c>
      <c r="C1161" s="6" t="str">
        <f ca="1">IFERROR(__xludf.DUMMYFUNCTION("""COMPUTED_VALUE"""),"darshanajuvekar19@gmail.com")</f>
        <v>darshanajuvekar19@gmail.com</v>
      </c>
      <c r="D1161" s="6">
        <f ca="1">IFERROR(__xludf.DUMMYFUNCTION("""COMPUTED_VALUE"""),8082085448)</f>
        <v>8082085448</v>
      </c>
      <c r="E1161" s="6" t="str">
        <f ca="1">IFERROR(__xludf.DUMMYFUNCTION("""COMPUTED_VALUE"""),"Reference")</f>
        <v>Reference</v>
      </c>
      <c r="F1161" s="6" t="str">
        <f ca="1">IFERROR(__xludf.DUMMYFUNCTION("""COMPUTED_VALUE"""),"PGP BA")</f>
        <v>PGP BA</v>
      </c>
      <c r="G1161" s="80">
        <f ca="1">IFERROR(__xludf.DUMMYFUNCTION("""COMPUTED_VALUE"""),44743)</f>
        <v>44743</v>
      </c>
      <c r="H1161" s="6" t="str">
        <f ca="1">IFERROR(__xludf.DUMMYFUNCTION("""COMPUTED_VALUE"""),"Won")</f>
        <v>Won</v>
      </c>
      <c r="I1161" s="6" t="str">
        <f ca="1">IFERROR(__xludf.DUMMYFUNCTION("""COMPUTED_VALUE"""),"30 August 2022")</f>
        <v>30 August 2022</v>
      </c>
      <c r="J1161" s="6">
        <f ca="1">IFERROR(__xludf.DUMMYFUNCTION("""COMPUTED_VALUE"""),1)</f>
        <v>1</v>
      </c>
      <c r="K1161" s="8">
        <f ca="1">IFERROR(__xludf.DUMMYFUNCTION("""COMPUTED_VALUE"""),15000)</f>
        <v>15000</v>
      </c>
      <c r="L1161" s="8">
        <f ca="1">IFERROR(__xludf.DUMMYFUNCTION("""COMPUTED_VALUE"""),171.781951442968)</f>
        <v>171.78195144296799</v>
      </c>
      <c r="M1161" s="96">
        <f ca="1">IFERROR(__xludf.DUMMYFUNCTION("""COMPUTED_VALUE"""),44769)</f>
        <v>44769</v>
      </c>
      <c r="N1161" s="6" t="str">
        <f ca="1">IFERROR(__xludf.DUMMYFUNCTION("""COMPUTED_VALUE"""),"T10")</f>
        <v>T10</v>
      </c>
      <c r="O1161" s="97">
        <f ca="1">IFERROR(__xludf.DUMMYFUNCTION("""COMPUTED_VALUE"""),44770)</f>
        <v>44770</v>
      </c>
      <c r="P1161" s="6" t="str">
        <f ca="1">IFERROR(__xludf.DUMMYFUNCTION("""COMPUTED_VALUE"""),"CSTM_PARTIAL_FIRST_BYA2HQJYERR")</f>
        <v>CSTM_PARTIAL_FIRST_BYA2HQJYERR</v>
      </c>
      <c r="Q1161" s="6" t="str">
        <f ca="1">IFERROR(__xludf.DUMMYFUNCTION("""COMPUTED_VALUE"""),"Reference by Mayura - ZS")</f>
        <v>Reference by Mayura - ZS</v>
      </c>
      <c r="R1161" s="6" t="str">
        <f ca="1">IFERROR(__xludf.DUMMYFUNCTION("""COMPUTED_VALUE"""),"Pending")</f>
        <v>Pending</v>
      </c>
      <c r="S1161" s="6" t="str">
        <f ca="1">IFERROR(__xludf.DUMMYFUNCTION("""COMPUTED_VALUE"""),"NonCategory")</f>
        <v>NonCategory</v>
      </c>
      <c r="T1161" s="6" t="str">
        <f ca="1">IFERROR(__xludf.DUMMYFUNCTION("""COMPUTED_VALUE"""),"Filled the form")</f>
        <v>Filled the form</v>
      </c>
      <c r="U1161" s="6"/>
      <c r="V1161" s="6"/>
      <c r="W1161" s="6"/>
      <c r="X1161" s="6"/>
      <c r="Y1161" s="6"/>
      <c r="Z1161" s="6"/>
      <c r="AA1161" s="6"/>
      <c r="AB1161" s="6"/>
      <c r="AC1161" s="6"/>
      <c r="AD1161" s="6"/>
      <c r="AE1161" s="6"/>
      <c r="AF1161" s="6"/>
      <c r="AG1161" s="6"/>
      <c r="AH1161" s="6"/>
      <c r="AI1161" s="6"/>
      <c r="AJ1161" s="6"/>
      <c r="AK1161" s="6"/>
      <c r="AL1161" s="6"/>
    </row>
    <row r="1162" spans="1:38">
      <c r="A1162" s="96">
        <f ca="1">IFERROR(__xludf.DUMMYFUNCTION("""COMPUTED_VALUE"""),44769)</f>
        <v>44769</v>
      </c>
      <c r="B1162" s="6" t="str">
        <f ca="1">IFERROR(__xludf.DUMMYFUNCTION("""COMPUTED_VALUE"""),"Darshana Juvekar")</f>
        <v>Darshana Juvekar</v>
      </c>
      <c r="C1162" s="6" t="str">
        <f ca="1">IFERROR(__xludf.DUMMYFUNCTION("""COMPUTED_VALUE"""),"darshanajuvekar19@gmail.com")</f>
        <v>darshanajuvekar19@gmail.com</v>
      </c>
      <c r="D1162" s="6">
        <f ca="1">IFERROR(__xludf.DUMMYFUNCTION("""COMPUTED_VALUE"""),8082085448)</f>
        <v>8082085448</v>
      </c>
      <c r="E1162" s="6" t="str">
        <f ca="1">IFERROR(__xludf.DUMMYFUNCTION("""COMPUTED_VALUE"""),"Reference")</f>
        <v>Reference</v>
      </c>
      <c r="F1162" s="6" t="str">
        <f ca="1">IFERROR(__xludf.DUMMYFUNCTION("""COMPUTED_VALUE"""),"PGP BA")</f>
        <v>PGP BA</v>
      </c>
      <c r="G1162" s="80">
        <f ca="1">IFERROR(__xludf.DUMMYFUNCTION("""COMPUTED_VALUE"""),44743)</f>
        <v>44743</v>
      </c>
      <c r="H1162" s="6" t="str">
        <f ca="1">IFERROR(__xludf.DUMMYFUNCTION("""COMPUTED_VALUE"""),"Won")</f>
        <v>Won</v>
      </c>
      <c r="I1162" s="6" t="str">
        <f ca="1">IFERROR(__xludf.DUMMYFUNCTION("""COMPUTED_VALUE"""),"30 August 2022")</f>
        <v>30 August 2022</v>
      </c>
      <c r="J1162" s="6">
        <f ca="1">IFERROR(__xludf.DUMMYFUNCTION("""COMPUTED_VALUE"""),1)</f>
        <v>1</v>
      </c>
      <c r="K1162" s="8">
        <f ca="1">IFERROR(__xludf.DUMMYFUNCTION("""COMPUTED_VALUE"""),85000)</f>
        <v>85000</v>
      </c>
      <c r="L1162" s="8">
        <f ca="1">IFERROR(__xludf.DUMMYFUNCTION("""COMPUTED_VALUE"""),973.43105817682)</f>
        <v>973.43105817681999</v>
      </c>
      <c r="M1162" s="96">
        <f ca="1">IFERROR(__xludf.DUMMYFUNCTION("""COMPUTED_VALUE"""),44769)</f>
        <v>44769</v>
      </c>
      <c r="N1162" s="6" t="str">
        <f ca="1">IFERROR(__xludf.DUMMYFUNCTION("""COMPUTED_VALUE"""),"T10")</f>
        <v>T10</v>
      </c>
      <c r="O1162" s="97">
        <f ca="1">IFERROR(__xludf.DUMMYFUNCTION("""COMPUTED_VALUE"""),44771)</f>
        <v>44771</v>
      </c>
      <c r="P1162" s="6" t="str">
        <f ca="1">IFERROR(__xludf.DUMMYFUNCTION("""COMPUTED_VALUE"""),"CSTM_PARTIAL_SUBS_1HMV35J7C25")</f>
        <v>CSTM_PARTIAL_SUBS_1HMV35J7C25</v>
      </c>
      <c r="Q1162" s="6" t="str">
        <f ca="1">IFERROR(__xludf.DUMMYFUNCTION("""COMPUTED_VALUE"""),"Reference by Mayura - ZS")</f>
        <v>Reference by Mayura - ZS</v>
      </c>
      <c r="R1162" s="6" t="str">
        <f ca="1">IFERROR(__xludf.DUMMYFUNCTION("""COMPUTED_VALUE"""),"Pending")</f>
        <v>Pending</v>
      </c>
      <c r="S1162" s="6" t="str">
        <f ca="1">IFERROR(__xludf.DUMMYFUNCTION("""COMPUTED_VALUE"""),"NonCategory")</f>
        <v>NonCategory</v>
      </c>
      <c r="T1162" s="6" t="str">
        <f ca="1">IFERROR(__xludf.DUMMYFUNCTION("""COMPUTED_VALUE"""),"Filled the form")</f>
        <v>Filled the form</v>
      </c>
      <c r="U1162" s="6"/>
      <c r="V1162" s="6"/>
      <c r="W1162" s="6"/>
      <c r="X1162" s="6"/>
      <c r="Y1162" s="6"/>
      <c r="Z1162" s="6"/>
      <c r="AA1162" s="6"/>
      <c r="AB1162" s="6"/>
      <c r="AC1162" s="6"/>
      <c r="AD1162" s="6"/>
      <c r="AE1162" s="6"/>
      <c r="AF1162" s="6"/>
      <c r="AG1162" s="6"/>
      <c r="AH1162" s="6"/>
      <c r="AI1162" s="6"/>
      <c r="AJ1162" s="6"/>
      <c r="AK1162" s="6"/>
      <c r="AL1162" s="6"/>
    </row>
    <row r="1163" spans="1:38">
      <c r="A1163" s="96">
        <f ca="1">IFERROR(__xludf.DUMMYFUNCTION("""COMPUTED_VALUE"""),44769)</f>
        <v>44769</v>
      </c>
      <c r="B1163" s="6" t="str">
        <f ca="1">IFERROR(__xludf.DUMMYFUNCTION("""COMPUTED_VALUE"""),"Rajiv Adepu")</f>
        <v>Rajiv Adepu</v>
      </c>
      <c r="C1163" s="6" t="str">
        <f ca="1">IFERROR(__xludf.DUMMYFUNCTION("""COMPUTED_VALUE"""),"rajiv.adepu@gmail.com")</f>
        <v>rajiv.adepu@gmail.com</v>
      </c>
      <c r="D1163" s="6">
        <f ca="1">IFERROR(__xludf.DUMMYFUNCTION("""COMPUTED_VALUE"""),9867319130)</f>
        <v>9867319130</v>
      </c>
      <c r="E1163" s="6" t="str">
        <f ca="1">IFERROR(__xludf.DUMMYFUNCTION("""COMPUTED_VALUE"""),"Reference")</f>
        <v>Reference</v>
      </c>
      <c r="F1163" s="6" t="str">
        <f ca="1">IFERROR(__xludf.DUMMYFUNCTION("""COMPUTED_VALUE"""),"PSM")</f>
        <v>PSM</v>
      </c>
      <c r="G1163" s="80">
        <f ca="1">IFERROR(__xludf.DUMMYFUNCTION("""COMPUTED_VALUE"""),44743)</f>
        <v>44743</v>
      </c>
      <c r="H1163" s="6" t="str">
        <f ca="1">IFERROR(__xludf.DUMMYFUNCTION("""COMPUTED_VALUE"""),"Won")</f>
        <v>Won</v>
      </c>
      <c r="I1163" s="6" t="str">
        <f ca="1">IFERROR(__xludf.DUMMYFUNCTION("""COMPUTED_VALUE"""),"6-7 Aug 2022")</f>
        <v>6-7 Aug 2022</v>
      </c>
      <c r="J1163" s="6">
        <f ca="1">IFERROR(__xludf.DUMMYFUNCTION("""COMPUTED_VALUE"""),1)</f>
        <v>1</v>
      </c>
      <c r="K1163" s="8">
        <f ca="1">IFERROR(__xludf.DUMMYFUNCTION("""COMPUTED_VALUE"""),20500)</f>
        <v>20500</v>
      </c>
      <c r="L1163" s="8">
        <f ca="1">IFERROR(__xludf.DUMMYFUNCTION("""COMPUTED_VALUE"""),234.768666972056)</f>
        <v>234.768666972056</v>
      </c>
      <c r="M1163" s="96">
        <f ca="1">IFERROR(__xludf.DUMMYFUNCTION("""COMPUTED_VALUE"""),44769)</f>
        <v>44769</v>
      </c>
      <c r="N1163" s="6" t="str">
        <f ca="1">IFERROR(__xludf.DUMMYFUNCTION("""COMPUTED_VALUE"""),"T10")</f>
        <v>T10</v>
      </c>
      <c r="O1163" s="97">
        <f ca="1">IFERROR(__xludf.DUMMYFUNCTION("""COMPUTED_VALUE"""),44769)</f>
        <v>44769</v>
      </c>
      <c r="P1163" s="6" t="str">
        <f ca="1">IFERROR(__xludf.DUMMYFUNCTION("""COMPUTED_VALUE"""),"CSTM_ZVAJTT1Z0H")</f>
        <v>CSTM_ZVAJTT1Z0H</v>
      </c>
      <c r="Q1163" s="6" t="str">
        <f ca="1">IFERROR(__xludf.DUMMYFUNCTION("""COMPUTED_VALUE"""),"Reference by Shashank")</f>
        <v>Reference by Shashank</v>
      </c>
      <c r="R1163" s="6" t="str">
        <f ca="1">IFERROR(__xludf.DUMMYFUNCTION("""COMPUTED_VALUE"""),"Done. Good feedback.")</f>
        <v>Done. Good feedback.</v>
      </c>
      <c r="S1163" s="6" t="str">
        <f ca="1">IFERROR(__xludf.DUMMYFUNCTION("""COMPUTED_VALUE"""),"Category")</f>
        <v>Category</v>
      </c>
      <c r="T1163" s="6"/>
      <c r="U1163" s="6"/>
      <c r="V1163" s="6"/>
      <c r="W1163" s="6"/>
      <c r="X1163" s="6"/>
      <c r="Y1163" s="6"/>
      <c r="Z1163" s="6"/>
      <c r="AA1163" s="6"/>
      <c r="AB1163" s="6"/>
      <c r="AC1163" s="6"/>
      <c r="AD1163" s="6"/>
      <c r="AE1163" s="6"/>
      <c r="AF1163" s="6"/>
      <c r="AG1163" s="6"/>
      <c r="AH1163" s="6"/>
      <c r="AI1163" s="6"/>
      <c r="AJ1163" s="6"/>
      <c r="AK1163" s="6"/>
      <c r="AL1163" s="6"/>
    </row>
    <row r="1164" spans="1:38">
      <c r="A1164" s="96">
        <f ca="1">IFERROR(__xludf.DUMMYFUNCTION("""COMPUTED_VALUE"""),44770)</f>
        <v>44770</v>
      </c>
      <c r="B1164" s="6" t="str">
        <f ca="1">IFERROR(__xludf.DUMMYFUNCTION("""COMPUTED_VALUE"""),"Gaurav Sinha")</f>
        <v>Gaurav Sinha</v>
      </c>
      <c r="C1164" s="6" t="str">
        <f ca="1">IFERROR(__xludf.DUMMYFUNCTION("""COMPUTED_VALUE"""),"sinhagaurav2021@gmail.com")</f>
        <v>sinhagaurav2021@gmail.com</v>
      </c>
      <c r="D1164" s="6">
        <f ca="1">IFERROR(__xludf.DUMMYFUNCTION("""COMPUTED_VALUE"""),7768056444)</f>
        <v>7768056444</v>
      </c>
      <c r="E1164" s="6" t="str">
        <f ca="1">IFERROR(__xludf.DUMMYFUNCTION("""COMPUTED_VALUE"""),"Query box")</f>
        <v>Query box</v>
      </c>
      <c r="F1164" s="6" t="str">
        <f ca="1">IFERROR(__xludf.DUMMYFUNCTION("""COMPUTED_VALUE"""),"PSM")</f>
        <v>PSM</v>
      </c>
      <c r="G1164" s="80">
        <f ca="1">IFERROR(__xludf.DUMMYFUNCTION("""COMPUTED_VALUE"""),44743)</f>
        <v>44743</v>
      </c>
      <c r="H1164" s="6" t="str">
        <f ca="1">IFERROR(__xludf.DUMMYFUNCTION("""COMPUTED_VALUE"""),"Won")</f>
        <v>Won</v>
      </c>
      <c r="I1164" s="6" t="str">
        <f ca="1">IFERROR(__xludf.DUMMYFUNCTION("""COMPUTED_VALUE"""),"6-7 Aug 2022")</f>
        <v>6-7 Aug 2022</v>
      </c>
      <c r="J1164" s="6">
        <f ca="1">IFERROR(__xludf.DUMMYFUNCTION("""COMPUTED_VALUE"""),1)</f>
        <v>1</v>
      </c>
      <c r="K1164" s="8">
        <f ca="1">IFERROR(__xludf.DUMMYFUNCTION("""COMPUTED_VALUE"""),21000)</f>
        <v>21000</v>
      </c>
      <c r="L1164" s="8">
        <f ca="1">IFERROR(__xludf.DUMMYFUNCTION("""COMPUTED_VALUE"""),240.494732020155)</f>
        <v>240.494732020155</v>
      </c>
      <c r="M1164" s="96">
        <f ca="1">IFERROR(__xludf.DUMMYFUNCTION("""COMPUTED_VALUE"""),44770)</f>
        <v>44770</v>
      </c>
      <c r="N1164" s="6" t="str">
        <f ca="1">IFERROR(__xludf.DUMMYFUNCTION("""COMPUTED_VALUE"""),"T10")</f>
        <v>T10</v>
      </c>
      <c r="O1164" s="97">
        <f ca="1">IFERROR(__xludf.DUMMYFUNCTION("""COMPUTED_VALUE"""),44770)</f>
        <v>44770</v>
      </c>
      <c r="P1164" s="6" t="str">
        <f ca="1">IFERROR(__xludf.DUMMYFUNCTION("""COMPUTED_VALUE"""),"CSTM_JD7LT2MLX8S")</f>
        <v>CSTM_JD7LT2MLX8S</v>
      </c>
      <c r="Q1164" s="6"/>
      <c r="R1164" s="6" t="str">
        <f ca="1">IFERROR(__xludf.DUMMYFUNCTION("""COMPUTED_VALUE"""),"Done. Good feedback.")</f>
        <v>Done. Good feedback.</v>
      </c>
      <c r="S1164" s="6" t="str">
        <f ca="1">IFERROR(__xludf.DUMMYFUNCTION("""COMPUTED_VALUE"""),"Category")</f>
        <v>Category</v>
      </c>
      <c r="T1164" s="6"/>
      <c r="U1164" s="6"/>
      <c r="V1164" s="6"/>
      <c r="W1164" s="6"/>
      <c r="X1164" s="6"/>
      <c r="Y1164" s="6"/>
      <c r="Z1164" s="6"/>
      <c r="AA1164" s="6"/>
      <c r="AB1164" s="6"/>
      <c r="AC1164" s="6"/>
      <c r="AD1164" s="6"/>
      <c r="AE1164" s="6"/>
      <c r="AF1164" s="6"/>
      <c r="AG1164" s="6"/>
      <c r="AH1164" s="6"/>
      <c r="AI1164" s="6"/>
      <c r="AJ1164" s="6"/>
      <c r="AK1164" s="6"/>
      <c r="AL1164" s="6"/>
    </row>
    <row r="1165" spans="1:38">
      <c r="A1165" s="96">
        <f ca="1">IFERROR(__xludf.DUMMYFUNCTION("""COMPUTED_VALUE"""),44770)</f>
        <v>44770</v>
      </c>
      <c r="B1165" s="6" t="str">
        <f ca="1">IFERROR(__xludf.DUMMYFUNCTION("""COMPUTED_VALUE"""),"Anurag")</f>
        <v>Anurag</v>
      </c>
      <c r="C1165" s="6" t="str">
        <f ca="1">IFERROR(__xludf.DUMMYFUNCTION("""COMPUTED_VALUE"""),"anuragch02@gmail.com")</f>
        <v>anuragch02@gmail.com</v>
      </c>
      <c r="D1165" s="6">
        <f ca="1">IFERROR(__xludf.DUMMYFUNCTION("""COMPUTED_VALUE"""),8299186403)</f>
        <v>8299186403</v>
      </c>
      <c r="E1165" s="6" t="str">
        <f ca="1">IFERROR(__xludf.DUMMYFUNCTION("""COMPUTED_VALUE"""),"Existing Account")</f>
        <v>Existing Account</v>
      </c>
      <c r="F1165" s="6" t="str">
        <f ca="1">IFERROR(__xludf.DUMMYFUNCTION("""COMPUTED_VALUE"""),"CSM")</f>
        <v>CSM</v>
      </c>
      <c r="G1165" s="80">
        <f ca="1">IFERROR(__xludf.DUMMYFUNCTION("""COMPUTED_VALUE"""),44743)</f>
        <v>44743</v>
      </c>
      <c r="H1165" s="6" t="str">
        <f ca="1">IFERROR(__xludf.DUMMYFUNCTION("""COMPUTED_VALUE"""),"Won")</f>
        <v>Won</v>
      </c>
      <c r="I1165" s="6" t="str">
        <f ca="1">IFERROR(__xludf.DUMMYFUNCTION("""COMPUTED_VALUE"""),"30-31 Aug 2022")</f>
        <v>30-31 Aug 2022</v>
      </c>
      <c r="J1165" s="6">
        <f ca="1">IFERROR(__xludf.DUMMYFUNCTION("""COMPUTED_VALUE"""),1)</f>
        <v>1</v>
      </c>
      <c r="K1165" s="8">
        <f ca="1">IFERROR(__xludf.DUMMYFUNCTION("""COMPUTED_VALUE"""),20000)</f>
        <v>20000</v>
      </c>
      <c r="L1165" s="8">
        <f ca="1">IFERROR(__xludf.DUMMYFUNCTION("""COMPUTED_VALUE"""),229.042601923957)</f>
        <v>229.04260192395699</v>
      </c>
      <c r="M1165" s="96">
        <f ca="1">IFERROR(__xludf.DUMMYFUNCTION("""COMPUTED_VALUE"""),44770)</f>
        <v>44770</v>
      </c>
      <c r="N1165" s="6" t="str">
        <f ca="1">IFERROR(__xludf.DUMMYFUNCTION("""COMPUTED_VALUE"""),"T10")</f>
        <v>T10</v>
      </c>
      <c r="O1165" s="97">
        <f ca="1">IFERROR(__xludf.DUMMYFUNCTION("""COMPUTED_VALUE"""),44770)</f>
        <v>44770</v>
      </c>
      <c r="P1165" s="6" t="str">
        <f ca="1">IFERROR(__xludf.DUMMYFUNCTION("""COMPUTED_VALUE"""),"CSTM_19K4434PJ4Y")</f>
        <v>CSTM_19K4434PJ4Y</v>
      </c>
      <c r="Q1165" s="6"/>
      <c r="R1165" s="6" t="str">
        <f ca="1">IFERROR(__xludf.DUMMYFUNCTION("""COMPUTED_VALUE"""),"Done. Good feedback.")</f>
        <v>Done. Good feedback.</v>
      </c>
      <c r="S1165" s="6" t="str">
        <f ca="1">IFERROR(__xludf.DUMMYFUNCTION("""COMPUTED_VALUE"""),"Category")</f>
        <v>Category</v>
      </c>
      <c r="T1165" s="6"/>
      <c r="U1165" s="6"/>
      <c r="V1165" s="6"/>
      <c r="W1165" s="6"/>
      <c r="X1165" s="6"/>
      <c r="Y1165" s="6"/>
      <c r="Z1165" s="6"/>
      <c r="AA1165" s="6"/>
      <c r="AB1165" s="6"/>
      <c r="AC1165" s="6"/>
      <c r="AD1165" s="6"/>
      <c r="AE1165" s="6"/>
      <c r="AF1165" s="6"/>
      <c r="AG1165" s="6"/>
      <c r="AH1165" s="6"/>
      <c r="AI1165" s="6"/>
      <c r="AJ1165" s="6"/>
      <c r="AK1165" s="6"/>
      <c r="AL1165" s="6"/>
    </row>
    <row r="1166" spans="1:38">
      <c r="A1166" s="96">
        <f ca="1">IFERROR(__xludf.DUMMYFUNCTION("""COMPUTED_VALUE"""),44771)</f>
        <v>44771</v>
      </c>
      <c r="B1166" s="6" t="str">
        <f ca="1">IFERROR(__xludf.DUMMYFUNCTION("""COMPUTED_VALUE"""),"Ryan Pinto")</f>
        <v>Ryan Pinto</v>
      </c>
      <c r="C1166" s="6" t="str">
        <f ca="1">IFERROR(__xludf.DUMMYFUNCTION("""COMPUTED_VALUE"""),"ryanpinto1806@gmail.com")</f>
        <v>ryanpinto1806@gmail.com</v>
      </c>
      <c r="D1166" s="6">
        <f ca="1">IFERROR(__xludf.DUMMYFUNCTION("""COMPUTED_VALUE"""),8976096491)</f>
        <v>8976096491</v>
      </c>
      <c r="E1166" s="6" t="str">
        <f ca="1">IFERROR(__xludf.DUMMYFUNCTION("""COMPUTED_VALUE"""),"Existing Account")</f>
        <v>Existing Account</v>
      </c>
      <c r="F1166" s="6" t="str">
        <f ca="1">IFERROR(__xludf.DUMMYFUNCTION("""COMPUTED_VALUE"""),"CSPO")</f>
        <v>CSPO</v>
      </c>
      <c r="G1166" s="80">
        <f ca="1">IFERROR(__xludf.DUMMYFUNCTION("""COMPUTED_VALUE"""),44743)</f>
        <v>44743</v>
      </c>
      <c r="H1166" s="6" t="str">
        <f ca="1">IFERROR(__xludf.DUMMYFUNCTION("""COMPUTED_VALUE"""),"Won")</f>
        <v>Won</v>
      </c>
      <c r="I1166" s="6" t="str">
        <f ca="1">IFERROR(__xludf.DUMMYFUNCTION("""COMPUTED_VALUE"""),"13-14 Aug 2022")</f>
        <v>13-14 Aug 2022</v>
      </c>
      <c r="J1166" s="6">
        <f ca="1">IFERROR(__xludf.DUMMYFUNCTION("""COMPUTED_VALUE"""),1)</f>
        <v>1</v>
      </c>
      <c r="K1166" s="8">
        <f ca="1">IFERROR(__xludf.DUMMYFUNCTION("""COMPUTED_VALUE"""),20000)</f>
        <v>20000</v>
      </c>
      <c r="L1166" s="8">
        <f ca="1">IFERROR(__xludf.DUMMYFUNCTION("""COMPUTED_VALUE"""),229.042601923957)</f>
        <v>229.04260192395699</v>
      </c>
      <c r="M1166" s="96">
        <f ca="1">IFERROR(__xludf.DUMMYFUNCTION("""COMPUTED_VALUE"""),44771)</f>
        <v>44771</v>
      </c>
      <c r="N1166" s="6" t="str">
        <f ca="1">IFERROR(__xludf.DUMMYFUNCTION("""COMPUTED_VALUE"""),"T10")</f>
        <v>T10</v>
      </c>
      <c r="O1166" s="97">
        <f ca="1">IFERROR(__xludf.DUMMYFUNCTION("""COMPUTED_VALUE"""),44772)</f>
        <v>44772</v>
      </c>
      <c r="P1166" s="6" t="str">
        <f ca="1">IFERROR(__xludf.DUMMYFUNCTION("""COMPUTED_VALUE"""),"CSTM_33MQ2AK4NZ3")</f>
        <v>CSTM_33MQ2AK4NZ3</v>
      </c>
      <c r="Q1166" s="6"/>
      <c r="R1166" s="6" t="str">
        <f ca="1">IFERROR(__xludf.DUMMYFUNCTION("""COMPUTED_VALUE"""),"Done. Good feedback.")</f>
        <v>Done. Good feedback.</v>
      </c>
      <c r="S1166" s="6" t="str">
        <f ca="1">IFERROR(__xludf.DUMMYFUNCTION("""COMPUTED_VALUE"""),"Category")</f>
        <v>Category</v>
      </c>
      <c r="T1166" s="6"/>
      <c r="U1166" s="6"/>
      <c r="V1166" s="6"/>
      <c r="W1166" s="6"/>
      <c r="X1166" s="6"/>
      <c r="Y1166" s="6"/>
      <c r="Z1166" s="6"/>
      <c r="AA1166" s="6"/>
      <c r="AB1166" s="6"/>
      <c r="AC1166" s="6"/>
      <c r="AD1166" s="6"/>
      <c r="AE1166" s="6"/>
      <c r="AF1166" s="6"/>
      <c r="AG1166" s="6"/>
      <c r="AH1166" s="6"/>
      <c r="AI1166" s="6"/>
      <c r="AJ1166" s="6"/>
      <c r="AK1166" s="6"/>
      <c r="AL1166" s="6"/>
    </row>
    <row r="1167" spans="1:38">
      <c r="A1167" s="96">
        <f ca="1">IFERROR(__xludf.DUMMYFUNCTION("""COMPUTED_VALUE"""),44771)</f>
        <v>44771</v>
      </c>
      <c r="B1167" s="6" t="str">
        <f ca="1">IFERROR(__xludf.DUMMYFUNCTION("""COMPUTED_VALUE"""),"Anirban Sarkar")</f>
        <v>Anirban Sarkar</v>
      </c>
      <c r="C1167" s="6" t="str">
        <f ca="1">IFERROR(__xludf.DUMMYFUNCTION("""COMPUTED_VALUE"""),"anirban2.s@tcs.com")</f>
        <v>anirban2.s@tcs.com</v>
      </c>
      <c r="D1167" s="6">
        <f ca="1">IFERROR(__xludf.DUMMYFUNCTION("""COMPUTED_VALUE"""),9874747435)</f>
        <v>9874747435</v>
      </c>
      <c r="E1167" s="6" t="str">
        <f ca="1">IFERROR(__xludf.DUMMYFUNCTION("""COMPUTED_VALUE"""),"Reference")</f>
        <v>Reference</v>
      </c>
      <c r="F1167" s="6" t="str">
        <f ca="1">IFERROR(__xludf.DUMMYFUNCTION("""COMPUTED_VALUE"""),"PSM 2")</f>
        <v>PSM 2</v>
      </c>
      <c r="G1167" s="80">
        <f ca="1">IFERROR(__xludf.DUMMYFUNCTION("""COMPUTED_VALUE"""),44743)</f>
        <v>44743</v>
      </c>
      <c r="H1167" s="6" t="str">
        <f ca="1">IFERROR(__xludf.DUMMYFUNCTION("""COMPUTED_VALUE"""),"Won")</f>
        <v>Won</v>
      </c>
      <c r="I1167" s="6" t="str">
        <f ca="1">IFERROR(__xludf.DUMMYFUNCTION("""COMPUTED_VALUE"""),"27-28 Aug 2022")</f>
        <v>27-28 Aug 2022</v>
      </c>
      <c r="J1167" s="6">
        <f ca="1">IFERROR(__xludf.DUMMYFUNCTION("""COMPUTED_VALUE"""),1)</f>
        <v>1</v>
      </c>
      <c r="K1167" s="8">
        <f ca="1">IFERROR(__xludf.DUMMYFUNCTION("""COMPUTED_VALUE"""),24000)</f>
        <v>24000</v>
      </c>
      <c r="L1167" s="8">
        <f ca="1">IFERROR(__xludf.DUMMYFUNCTION("""COMPUTED_VALUE"""),274.851122308749)</f>
        <v>274.85112230874898</v>
      </c>
      <c r="M1167" s="96">
        <f ca="1">IFERROR(__xludf.DUMMYFUNCTION("""COMPUTED_VALUE"""),44771)</f>
        <v>44771</v>
      </c>
      <c r="N1167" s="6" t="str">
        <f ca="1">IFERROR(__xludf.DUMMYFUNCTION("""COMPUTED_VALUE"""),"T10")</f>
        <v>T10</v>
      </c>
      <c r="O1167" s="97">
        <f ca="1">IFERROR(__xludf.DUMMYFUNCTION("""COMPUTED_VALUE"""),44771)</f>
        <v>44771</v>
      </c>
      <c r="P1167" s="6" t="str">
        <f ca="1">IFERROR(__xludf.DUMMYFUNCTION("""COMPUTED_VALUE"""),"CSTM_95AJ82RIQIC")</f>
        <v>CSTM_95AJ82RIQIC</v>
      </c>
      <c r="Q1167" s="6" t="str">
        <f ca="1">IFERROR(__xludf.DUMMYFUNCTION("""COMPUTED_VALUE"""),"Reference by ani.cbs@gmail.com")</f>
        <v>Reference by ani.cbs@gmail.com</v>
      </c>
      <c r="R1167" s="6" t="str">
        <f ca="1">IFERROR(__xludf.DUMMYFUNCTION("""COMPUTED_VALUE"""),"Done. Good feedback.")</f>
        <v>Done. Good feedback.</v>
      </c>
      <c r="S1167" s="6" t="str">
        <f ca="1">IFERROR(__xludf.DUMMYFUNCTION("""COMPUTED_VALUE"""),"Category")</f>
        <v>Category</v>
      </c>
      <c r="T1167" s="6"/>
      <c r="U1167" s="6"/>
      <c r="V1167" s="6"/>
      <c r="W1167" s="6"/>
      <c r="X1167" s="6"/>
      <c r="Y1167" s="6"/>
      <c r="Z1167" s="6"/>
      <c r="AA1167" s="6"/>
      <c r="AB1167" s="6"/>
      <c r="AC1167" s="6"/>
      <c r="AD1167" s="6"/>
      <c r="AE1167" s="6"/>
      <c r="AF1167" s="6"/>
      <c r="AG1167" s="6"/>
      <c r="AH1167" s="6"/>
      <c r="AI1167" s="6"/>
      <c r="AJ1167" s="6"/>
      <c r="AK1167" s="6"/>
      <c r="AL1167" s="6"/>
    </row>
    <row r="1168" spans="1:38">
      <c r="A1168" s="96">
        <f ca="1">IFERROR(__xludf.DUMMYFUNCTION("""COMPUTED_VALUE"""),44771)</f>
        <v>44771</v>
      </c>
      <c r="B1168" s="6" t="str">
        <f ca="1">IFERROR(__xludf.DUMMYFUNCTION("""COMPUTED_VALUE"""),"Rabi Saha")</f>
        <v>Rabi Saha</v>
      </c>
      <c r="C1168" s="6" t="str">
        <f ca="1">IFERROR(__xludf.DUMMYFUNCTION("""COMPUTED_VALUE"""),"rabi.saha@tcs.com")</f>
        <v>rabi.saha@tcs.com</v>
      </c>
      <c r="D1168" s="6">
        <f ca="1">IFERROR(__xludf.DUMMYFUNCTION("""COMPUTED_VALUE"""),9831196509)</f>
        <v>9831196509</v>
      </c>
      <c r="E1168" s="6" t="str">
        <f ca="1">IFERROR(__xludf.DUMMYFUNCTION("""COMPUTED_VALUE"""),"Reference")</f>
        <v>Reference</v>
      </c>
      <c r="F1168" s="6" t="str">
        <f ca="1">IFERROR(__xludf.DUMMYFUNCTION("""COMPUTED_VALUE"""),"PSM 2")</f>
        <v>PSM 2</v>
      </c>
      <c r="G1168" s="80">
        <f ca="1">IFERROR(__xludf.DUMMYFUNCTION("""COMPUTED_VALUE"""),44743)</f>
        <v>44743</v>
      </c>
      <c r="H1168" s="6" t="str">
        <f ca="1">IFERROR(__xludf.DUMMYFUNCTION("""COMPUTED_VALUE"""),"Won")</f>
        <v>Won</v>
      </c>
      <c r="I1168" s="6" t="str">
        <f ca="1">IFERROR(__xludf.DUMMYFUNCTION("""COMPUTED_VALUE"""),"27-28 Aug 2022")</f>
        <v>27-28 Aug 2022</v>
      </c>
      <c r="J1168" s="6">
        <f ca="1">IFERROR(__xludf.DUMMYFUNCTION("""COMPUTED_VALUE"""),1)</f>
        <v>1</v>
      </c>
      <c r="K1168" s="8">
        <f ca="1">IFERROR(__xludf.DUMMYFUNCTION("""COMPUTED_VALUE"""),24000)</f>
        <v>24000</v>
      </c>
      <c r="L1168" s="8">
        <f ca="1">IFERROR(__xludf.DUMMYFUNCTION("""COMPUTED_VALUE"""),274.851122308749)</f>
        <v>274.85112230874898</v>
      </c>
      <c r="M1168" s="96">
        <f ca="1">IFERROR(__xludf.DUMMYFUNCTION("""COMPUTED_VALUE"""),44771)</f>
        <v>44771</v>
      </c>
      <c r="N1168" s="6" t="str">
        <f ca="1">IFERROR(__xludf.DUMMYFUNCTION("""COMPUTED_VALUE"""),"T10")</f>
        <v>T10</v>
      </c>
      <c r="O1168" s="97">
        <f ca="1">IFERROR(__xludf.DUMMYFUNCTION("""COMPUTED_VALUE"""),44771)</f>
        <v>44771</v>
      </c>
      <c r="P1168" s="6" t="str">
        <f ca="1">IFERROR(__xludf.DUMMYFUNCTION("""COMPUTED_VALUE"""),"CSTM_DTDBC5P4VSG")</f>
        <v>CSTM_DTDBC5P4VSG</v>
      </c>
      <c r="Q1168" s="6" t="str">
        <f ca="1">IFERROR(__xludf.DUMMYFUNCTION("""COMPUTED_VALUE"""),"Reference by ani.cbs@gmail.com")</f>
        <v>Reference by ani.cbs@gmail.com</v>
      </c>
      <c r="R1168" s="6" t="str">
        <f ca="1">IFERROR(__xludf.DUMMYFUNCTION("""COMPUTED_VALUE"""),"Done. Good feedback.")</f>
        <v>Done. Good feedback.</v>
      </c>
      <c r="S1168" s="6" t="str">
        <f ca="1">IFERROR(__xludf.DUMMYFUNCTION("""COMPUTED_VALUE"""),"Category")</f>
        <v>Category</v>
      </c>
      <c r="T1168" s="6"/>
      <c r="U1168" s="6"/>
      <c r="V1168" s="6"/>
      <c r="W1168" s="6"/>
      <c r="X1168" s="6"/>
      <c r="Y1168" s="6"/>
      <c r="Z1168" s="6"/>
      <c r="AA1168" s="6"/>
      <c r="AB1168" s="6"/>
      <c r="AC1168" s="6"/>
      <c r="AD1168" s="6"/>
      <c r="AE1168" s="6"/>
      <c r="AF1168" s="6"/>
      <c r="AG1168" s="6"/>
      <c r="AH1168" s="6"/>
      <c r="AI1168" s="6"/>
      <c r="AJ1168" s="6"/>
      <c r="AK1168" s="6"/>
      <c r="AL1168" s="6"/>
    </row>
    <row r="1169" spans="1:38">
      <c r="A1169" s="96">
        <f ca="1">IFERROR(__xludf.DUMMYFUNCTION("""COMPUTED_VALUE"""),44771)</f>
        <v>44771</v>
      </c>
      <c r="B1169" s="6" t="str">
        <f ca="1">IFERROR(__xludf.DUMMYFUNCTION("""COMPUTED_VALUE"""),"Kaushik Ray")</f>
        <v>Kaushik Ray</v>
      </c>
      <c r="C1169" s="6" t="str">
        <f ca="1">IFERROR(__xludf.DUMMYFUNCTION("""COMPUTED_VALUE"""),"kaushik.ray@tcs.com")</f>
        <v>kaushik.ray@tcs.com</v>
      </c>
      <c r="D1169" s="6">
        <f ca="1">IFERROR(__xludf.DUMMYFUNCTION("""COMPUTED_VALUE"""),9830230124)</f>
        <v>9830230124</v>
      </c>
      <c r="E1169" s="6" t="str">
        <f ca="1">IFERROR(__xludf.DUMMYFUNCTION("""COMPUTED_VALUE"""),"Reference")</f>
        <v>Reference</v>
      </c>
      <c r="F1169" s="6" t="str">
        <f ca="1">IFERROR(__xludf.DUMMYFUNCTION("""COMPUTED_VALUE"""),"PSM 2")</f>
        <v>PSM 2</v>
      </c>
      <c r="G1169" s="80">
        <f ca="1">IFERROR(__xludf.DUMMYFUNCTION("""COMPUTED_VALUE"""),44743)</f>
        <v>44743</v>
      </c>
      <c r="H1169" s="6" t="str">
        <f ca="1">IFERROR(__xludf.DUMMYFUNCTION("""COMPUTED_VALUE"""),"Won")</f>
        <v>Won</v>
      </c>
      <c r="I1169" s="6" t="str">
        <f ca="1">IFERROR(__xludf.DUMMYFUNCTION("""COMPUTED_VALUE"""),"27-28 Aug 2022")</f>
        <v>27-28 Aug 2022</v>
      </c>
      <c r="J1169" s="6">
        <f ca="1">IFERROR(__xludf.DUMMYFUNCTION("""COMPUTED_VALUE"""),1)</f>
        <v>1</v>
      </c>
      <c r="K1169" s="8">
        <f ca="1">IFERROR(__xludf.DUMMYFUNCTION("""COMPUTED_VALUE"""),24000)</f>
        <v>24000</v>
      </c>
      <c r="L1169" s="8">
        <f ca="1">IFERROR(__xludf.DUMMYFUNCTION("""COMPUTED_VALUE"""),274.851122308749)</f>
        <v>274.85112230874898</v>
      </c>
      <c r="M1169" s="96">
        <f ca="1">IFERROR(__xludf.DUMMYFUNCTION("""COMPUTED_VALUE"""),44771)</f>
        <v>44771</v>
      </c>
      <c r="N1169" s="6" t="str">
        <f ca="1">IFERROR(__xludf.DUMMYFUNCTION("""COMPUTED_VALUE"""),"T10")</f>
        <v>T10</v>
      </c>
      <c r="O1169" s="97">
        <f ca="1">IFERROR(__xludf.DUMMYFUNCTION("""COMPUTED_VALUE"""),44772)</f>
        <v>44772</v>
      </c>
      <c r="P1169" s="6" t="str">
        <f ca="1">IFERROR(__xludf.DUMMYFUNCTION("""COMPUTED_VALUE"""),"CSTM_2T9CK6RQDDK")</f>
        <v>CSTM_2T9CK6RQDDK</v>
      </c>
      <c r="Q1169" s="6" t="str">
        <f ca="1">IFERROR(__xludf.DUMMYFUNCTION("""COMPUTED_VALUE"""),"Reference by ani.cbs@gmail.com")</f>
        <v>Reference by ani.cbs@gmail.com</v>
      </c>
      <c r="R1169" s="6" t="str">
        <f ca="1">IFERROR(__xludf.DUMMYFUNCTION("""COMPUTED_VALUE"""),"Done. Good feedback.")</f>
        <v>Done. Good feedback.</v>
      </c>
      <c r="S1169" s="6" t="str">
        <f ca="1">IFERROR(__xludf.DUMMYFUNCTION("""COMPUTED_VALUE"""),"Category")</f>
        <v>Category</v>
      </c>
      <c r="T1169" s="6"/>
      <c r="U1169" s="6"/>
      <c r="V1169" s="6"/>
      <c r="W1169" s="6"/>
      <c r="X1169" s="6"/>
      <c r="Y1169" s="6"/>
      <c r="Z1169" s="6"/>
      <c r="AA1169" s="6"/>
      <c r="AB1169" s="6"/>
      <c r="AC1169" s="6"/>
      <c r="AD1169" s="6"/>
      <c r="AE1169" s="6"/>
      <c r="AF1169" s="6"/>
      <c r="AG1169" s="6"/>
      <c r="AH1169" s="6"/>
      <c r="AI1169" s="6"/>
      <c r="AJ1169" s="6"/>
      <c r="AK1169" s="6"/>
      <c r="AL1169" s="6"/>
    </row>
    <row r="1170" spans="1:38">
      <c r="A1170" s="96">
        <f ca="1">IFERROR(__xludf.DUMMYFUNCTION("""COMPUTED_VALUE"""),44771)</f>
        <v>44771</v>
      </c>
      <c r="B1170" s="6" t="str">
        <f ca="1">IFERROR(__xludf.DUMMYFUNCTION("""COMPUTED_VALUE"""),"Aritra Sinha")</f>
        <v>Aritra Sinha</v>
      </c>
      <c r="C1170" s="6" t="str">
        <f ca="1">IFERROR(__xludf.DUMMYFUNCTION("""COMPUTED_VALUE"""),"aritrasinha.2410@gmail.com")</f>
        <v>aritrasinha.2410@gmail.com</v>
      </c>
      <c r="D1170" s="6">
        <f ca="1">IFERROR(__xludf.DUMMYFUNCTION("""COMPUTED_VALUE"""),9836965671)</f>
        <v>9836965671</v>
      </c>
      <c r="E1170" s="6" t="str">
        <f ca="1">IFERROR(__xludf.DUMMYFUNCTION("""COMPUTED_VALUE"""),"Reference")</f>
        <v>Reference</v>
      </c>
      <c r="F1170" s="6" t="str">
        <f ca="1">IFERROR(__xludf.DUMMYFUNCTION("""COMPUTED_VALUE"""),"PSM 2")</f>
        <v>PSM 2</v>
      </c>
      <c r="G1170" s="80">
        <f ca="1">IFERROR(__xludf.DUMMYFUNCTION("""COMPUTED_VALUE"""),44743)</f>
        <v>44743</v>
      </c>
      <c r="H1170" s="6" t="str">
        <f ca="1">IFERROR(__xludf.DUMMYFUNCTION("""COMPUTED_VALUE"""),"Won")</f>
        <v>Won</v>
      </c>
      <c r="I1170" s="6" t="str">
        <f ca="1">IFERROR(__xludf.DUMMYFUNCTION("""COMPUTED_VALUE"""),"27-28 Aug 2022")</f>
        <v>27-28 Aug 2022</v>
      </c>
      <c r="J1170" s="6">
        <f ca="1">IFERROR(__xludf.DUMMYFUNCTION("""COMPUTED_VALUE"""),1)</f>
        <v>1</v>
      </c>
      <c r="K1170" s="8">
        <f ca="1">IFERROR(__xludf.DUMMYFUNCTION("""COMPUTED_VALUE"""),24000)</f>
        <v>24000</v>
      </c>
      <c r="L1170" s="8">
        <f ca="1">IFERROR(__xludf.DUMMYFUNCTION("""COMPUTED_VALUE"""),274.851122308749)</f>
        <v>274.85112230874898</v>
      </c>
      <c r="M1170" s="96">
        <f ca="1">IFERROR(__xludf.DUMMYFUNCTION("""COMPUTED_VALUE"""),44771)</f>
        <v>44771</v>
      </c>
      <c r="N1170" s="6" t="str">
        <f ca="1">IFERROR(__xludf.DUMMYFUNCTION("""COMPUTED_VALUE"""),"T10")</f>
        <v>T10</v>
      </c>
      <c r="O1170" s="97">
        <f ca="1">IFERROR(__xludf.DUMMYFUNCTION("""COMPUTED_VALUE"""),44771)</f>
        <v>44771</v>
      </c>
      <c r="P1170" s="6" t="str">
        <f ca="1">IFERROR(__xludf.DUMMYFUNCTION("""COMPUTED_VALUE"""),"CSTM_GR01TFSL81Z")</f>
        <v>CSTM_GR01TFSL81Z</v>
      </c>
      <c r="Q1170" s="6" t="str">
        <f ca="1">IFERROR(__xludf.DUMMYFUNCTION("""COMPUTED_VALUE"""),"Reference by ani.cbs@gmail.com")</f>
        <v>Reference by ani.cbs@gmail.com</v>
      </c>
      <c r="R1170" s="6" t="str">
        <f ca="1">IFERROR(__xludf.DUMMYFUNCTION("""COMPUTED_VALUE"""),"Done. Good feedback.")</f>
        <v>Done. Good feedback.</v>
      </c>
      <c r="S1170" s="6" t="str">
        <f ca="1">IFERROR(__xludf.DUMMYFUNCTION("""COMPUTED_VALUE"""),"Category")</f>
        <v>Category</v>
      </c>
      <c r="T1170" s="6"/>
      <c r="U1170" s="6"/>
      <c r="V1170" s="6"/>
      <c r="W1170" s="6"/>
      <c r="X1170" s="6"/>
      <c r="Y1170" s="6"/>
      <c r="Z1170" s="6"/>
      <c r="AA1170" s="6"/>
      <c r="AB1170" s="6"/>
      <c r="AC1170" s="6"/>
      <c r="AD1170" s="6"/>
      <c r="AE1170" s="6"/>
      <c r="AF1170" s="6"/>
      <c r="AG1170" s="6"/>
      <c r="AH1170" s="6"/>
      <c r="AI1170" s="6"/>
      <c r="AJ1170" s="6"/>
      <c r="AK1170" s="6"/>
      <c r="AL1170" s="6"/>
    </row>
    <row r="1171" spans="1:38">
      <c r="A1171" s="96">
        <f ca="1">IFERROR(__xludf.DUMMYFUNCTION("""COMPUTED_VALUE"""),44771)</f>
        <v>44771</v>
      </c>
      <c r="B1171" s="6" t="str">
        <f ca="1">IFERROR(__xludf.DUMMYFUNCTION("""COMPUTED_VALUE"""),"Rajdip Garai")</f>
        <v>Rajdip Garai</v>
      </c>
      <c r="C1171" s="6" t="str">
        <f ca="1">IFERROR(__xludf.DUMMYFUNCTION("""COMPUTED_VALUE"""),"rajdip.garai@tcs.com")</f>
        <v>rajdip.garai@tcs.com</v>
      </c>
      <c r="D1171" s="6">
        <f ca="1">IFERROR(__xludf.DUMMYFUNCTION("""COMPUTED_VALUE"""),8335841500)</f>
        <v>8335841500</v>
      </c>
      <c r="E1171" s="6" t="str">
        <f ca="1">IFERROR(__xludf.DUMMYFUNCTION("""COMPUTED_VALUE"""),"Reference")</f>
        <v>Reference</v>
      </c>
      <c r="F1171" s="6" t="str">
        <f ca="1">IFERROR(__xludf.DUMMYFUNCTION("""COMPUTED_VALUE"""),"PSM 2")</f>
        <v>PSM 2</v>
      </c>
      <c r="G1171" s="80">
        <f ca="1">IFERROR(__xludf.DUMMYFUNCTION("""COMPUTED_VALUE"""),44774)</f>
        <v>44774</v>
      </c>
      <c r="H1171" s="6" t="str">
        <f ca="1">IFERROR(__xludf.DUMMYFUNCTION("""COMPUTED_VALUE"""),"Won")</f>
        <v>Won</v>
      </c>
      <c r="I1171" s="6" t="str">
        <f ca="1">IFERROR(__xludf.DUMMYFUNCTION("""COMPUTED_VALUE"""),"27-28 Aug 2022")</f>
        <v>27-28 Aug 2022</v>
      </c>
      <c r="J1171" s="6">
        <f ca="1">IFERROR(__xludf.DUMMYFUNCTION("""COMPUTED_VALUE"""),1)</f>
        <v>1</v>
      </c>
      <c r="K1171" s="8">
        <f ca="1">IFERROR(__xludf.DUMMYFUNCTION("""COMPUTED_VALUE"""),24000)</f>
        <v>24000</v>
      </c>
      <c r="L1171" s="8">
        <f ca="1">IFERROR(__xludf.DUMMYFUNCTION("""COMPUTED_VALUE"""),274.851122308749)</f>
        <v>274.85112230874898</v>
      </c>
      <c r="M1171" s="96">
        <f ca="1">IFERROR(__xludf.DUMMYFUNCTION("""COMPUTED_VALUE"""),44771)</f>
        <v>44771</v>
      </c>
      <c r="N1171" s="6" t="str">
        <f ca="1">IFERROR(__xludf.DUMMYFUNCTION("""COMPUTED_VALUE"""),"F10")</f>
        <v>F10</v>
      </c>
      <c r="O1171" s="97">
        <f ca="1">IFERROR(__xludf.DUMMYFUNCTION("""COMPUTED_VALUE"""),44778)</f>
        <v>44778</v>
      </c>
      <c r="P1171" s="6" t="str">
        <f ca="1">IFERROR(__xludf.DUMMYFUNCTION("""COMPUTED_VALUE"""),"CSTM_6JN8U3HJ1QN")</f>
        <v>CSTM_6JN8U3HJ1QN</v>
      </c>
      <c r="Q1171" s="6" t="str">
        <f ca="1">IFERROR(__xludf.DUMMYFUNCTION("""COMPUTED_VALUE"""),"Reference by ani.cbs@gmail.com")</f>
        <v>Reference by ani.cbs@gmail.com</v>
      </c>
      <c r="R1171" s="6" t="str">
        <f ca="1">IFERROR(__xludf.DUMMYFUNCTION("""COMPUTED_VALUE"""),"Done. Good feedback.")</f>
        <v>Done. Good feedback.</v>
      </c>
      <c r="S1171" s="6" t="str">
        <f ca="1">IFERROR(__xludf.DUMMYFUNCTION("""COMPUTED_VALUE"""),"Category")</f>
        <v>Category</v>
      </c>
      <c r="T1171" s="6" t="str">
        <f ca="1">IFERROR(__xludf.DUMMYFUNCTION("""COMPUTED_VALUE"""),"Filled the form")</f>
        <v>Filled the form</v>
      </c>
      <c r="U1171" s="6"/>
      <c r="V1171" s="6"/>
      <c r="W1171" s="6"/>
      <c r="X1171" s="6"/>
      <c r="Y1171" s="6"/>
      <c r="Z1171" s="6"/>
      <c r="AA1171" s="6"/>
      <c r="AB1171" s="6"/>
      <c r="AC1171" s="6"/>
      <c r="AD1171" s="6"/>
      <c r="AE1171" s="6"/>
      <c r="AF1171" s="6"/>
      <c r="AG1171" s="6"/>
      <c r="AH1171" s="6"/>
      <c r="AI1171" s="6"/>
      <c r="AJ1171" s="6"/>
      <c r="AK1171" s="6"/>
      <c r="AL1171" s="6"/>
    </row>
    <row r="1172" spans="1:38">
      <c r="A1172" s="96">
        <f ca="1">IFERROR(__xludf.DUMMYFUNCTION("""COMPUTED_VALUE"""),44771)</f>
        <v>44771</v>
      </c>
      <c r="B1172" s="6" t="str">
        <f ca="1">IFERROR(__xludf.DUMMYFUNCTION("""COMPUTED_VALUE"""),"Soumyadip C")</f>
        <v>Soumyadip C</v>
      </c>
      <c r="C1172" s="6" t="str">
        <f ca="1">IFERROR(__xludf.DUMMYFUNCTION("""COMPUTED_VALUE"""),"soumyadip.c@tcs.com")</f>
        <v>soumyadip.c@tcs.com</v>
      </c>
      <c r="D1172" s="6">
        <f ca="1">IFERROR(__xludf.DUMMYFUNCTION("""COMPUTED_VALUE"""),8017392847)</f>
        <v>8017392847</v>
      </c>
      <c r="E1172" s="6" t="str">
        <f ca="1">IFERROR(__xludf.DUMMYFUNCTION("""COMPUTED_VALUE"""),"Reference")</f>
        <v>Reference</v>
      </c>
      <c r="F1172" s="6" t="str">
        <f ca="1">IFERROR(__xludf.DUMMYFUNCTION("""COMPUTED_VALUE"""),"PSM 2")</f>
        <v>PSM 2</v>
      </c>
      <c r="G1172" s="80">
        <f ca="1">IFERROR(__xludf.DUMMYFUNCTION("""COMPUTED_VALUE"""),44774)</f>
        <v>44774</v>
      </c>
      <c r="H1172" s="6" t="str">
        <f ca="1">IFERROR(__xludf.DUMMYFUNCTION("""COMPUTED_VALUE"""),"Won")</f>
        <v>Won</v>
      </c>
      <c r="I1172" s="6" t="str">
        <f ca="1">IFERROR(__xludf.DUMMYFUNCTION("""COMPUTED_VALUE"""),"27-28 Aug 2022")</f>
        <v>27-28 Aug 2022</v>
      </c>
      <c r="J1172" s="6">
        <f ca="1">IFERROR(__xludf.DUMMYFUNCTION("""COMPUTED_VALUE"""),1)</f>
        <v>1</v>
      </c>
      <c r="K1172" s="8">
        <f ca="1">IFERROR(__xludf.DUMMYFUNCTION("""COMPUTED_VALUE"""),24000)</f>
        <v>24000</v>
      </c>
      <c r="L1172" s="8">
        <f ca="1">IFERROR(__xludf.DUMMYFUNCTION("""COMPUTED_VALUE"""),274.851122308749)</f>
        <v>274.85112230874898</v>
      </c>
      <c r="M1172" s="96">
        <f ca="1">IFERROR(__xludf.DUMMYFUNCTION("""COMPUTED_VALUE"""),44771)</f>
        <v>44771</v>
      </c>
      <c r="N1172" s="6" t="str">
        <f ca="1">IFERROR(__xludf.DUMMYFUNCTION("""COMPUTED_VALUE"""),"F10")</f>
        <v>F10</v>
      </c>
      <c r="O1172" s="97">
        <f ca="1">IFERROR(__xludf.DUMMYFUNCTION("""COMPUTED_VALUE"""),44774)</f>
        <v>44774</v>
      </c>
      <c r="P1172" s="6" t="str">
        <f ca="1">IFERROR(__xludf.DUMMYFUNCTION("""COMPUTED_VALUE"""),"CSTM_5P8GBUDZ4JN")</f>
        <v>CSTM_5P8GBUDZ4JN</v>
      </c>
      <c r="Q1172" s="6" t="str">
        <f ca="1">IFERROR(__xludf.DUMMYFUNCTION("""COMPUTED_VALUE"""),"Reference by ani.cbs@gmail.com")</f>
        <v>Reference by ani.cbs@gmail.com</v>
      </c>
      <c r="R1172" s="6" t="str">
        <f ca="1">IFERROR(__xludf.DUMMYFUNCTION("""COMPUTED_VALUE"""),"Done. Good feedback.")</f>
        <v>Done. Good feedback.</v>
      </c>
      <c r="S1172" s="6" t="str">
        <f ca="1">IFERROR(__xludf.DUMMYFUNCTION("""COMPUTED_VALUE"""),"Category")</f>
        <v>Category</v>
      </c>
      <c r="T1172" s="6"/>
      <c r="U1172" s="6"/>
      <c r="V1172" s="6"/>
      <c r="W1172" s="6"/>
      <c r="X1172" s="6"/>
      <c r="Y1172" s="6"/>
      <c r="Z1172" s="6"/>
      <c r="AA1172" s="6"/>
      <c r="AB1172" s="6"/>
      <c r="AC1172" s="6"/>
      <c r="AD1172" s="6"/>
      <c r="AE1172" s="6"/>
      <c r="AF1172" s="6"/>
      <c r="AG1172" s="6"/>
      <c r="AH1172" s="6"/>
      <c r="AI1172" s="6"/>
      <c r="AJ1172" s="6"/>
      <c r="AK1172" s="6"/>
      <c r="AL1172" s="6"/>
    </row>
    <row r="1173" spans="1:38">
      <c r="A1173" s="96">
        <f ca="1">IFERROR(__xludf.DUMMYFUNCTION("""COMPUTED_VALUE"""),44771)</f>
        <v>44771</v>
      </c>
      <c r="B1173" s="6" t="str">
        <f ca="1">IFERROR(__xludf.DUMMYFUNCTION("""COMPUTED_VALUE"""),"Anjana K")</f>
        <v>Anjana K</v>
      </c>
      <c r="C1173" s="6" t="str">
        <f ca="1">IFERROR(__xludf.DUMMYFUNCTION("""COMPUTED_VALUE"""),"anjanak2000@gmail.com")</f>
        <v>anjanak2000@gmail.com</v>
      </c>
      <c r="D1173" s="6">
        <f ca="1">IFERROR(__xludf.DUMMYFUNCTION("""COMPUTED_VALUE"""),8848836628)</f>
        <v>8848836628</v>
      </c>
      <c r="E1173" s="6" t="str">
        <f ca="1">IFERROR(__xludf.DUMMYFUNCTION("""COMPUTED_VALUE"""),"Tollfree")</f>
        <v>Tollfree</v>
      </c>
      <c r="F1173" s="6" t="str">
        <f ca="1">IFERROR(__xludf.DUMMYFUNCTION("""COMPUTED_VALUE"""),"SAFe SSM")</f>
        <v>SAFe SSM</v>
      </c>
      <c r="G1173" s="80">
        <f ca="1">IFERROR(__xludf.DUMMYFUNCTION("""COMPUTED_VALUE"""),44743)</f>
        <v>44743</v>
      </c>
      <c r="H1173" s="6" t="str">
        <f ca="1">IFERROR(__xludf.DUMMYFUNCTION("""COMPUTED_VALUE"""),"Won")</f>
        <v>Won</v>
      </c>
      <c r="I1173" s="6" t="str">
        <f ca="1">IFERROR(__xludf.DUMMYFUNCTION("""COMPUTED_VALUE"""),"13-14 Aug 2022")</f>
        <v>13-14 Aug 2022</v>
      </c>
      <c r="J1173" s="6">
        <f ca="1">IFERROR(__xludf.DUMMYFUNCTION("""COMPUTED_VALUE"""),1)</f>
        <v>1</v>
      </c>
      <c r="K1173" s="8">
        <f ca="1">IFERROR(__xludf.DUMMYFUNCTION("""COMPUTED_VALUE"""),42000)</f>
        <v>42000</v>
      </c>
      <c r="L1173" s="8">
        <f ca="1">IFERROR(__xludf.DUMMYFUNCTION("""COMPUTED_VALUE"""),480.989464040311)</f>
        <v>480.98946404031102</v>
      </c>
      <c r="M1173" s="96">
        <f ca="1">IFERROR(__xludf.DUMMYFUNCTION("""COMPUTED_VALUE"""),44771)</f>
        <v>44771</v>
      </c>
      <c r="N1173" s="6" t="str">
        <f ca="1">IFERROR(__xludf.DUMMYFUNCTION("""COMPUTED_VALUE"""),"T10")</f>
        <v>T10</v>
      </c>
      <c r="O1173" s="97">
        <f ca="1">IFERROR(__xludf.DUMMYFUNCTION("""COMPUTED_VALUE"""),44771)</f>
        <v>44771</v>
      </c>
      <c r="P1173" s="6" t="str">
        <f ca="1">IFERROR(__xludf.DUMMYFUNCTION("""COMPUTED_VALUE"""),"CSTM_DLSHS38XLTK")</f>
        <v>CSTM_DLSHS38XLTK</v>
      </c>
      <c r="Q1173" s="6"/>
      <c r="R1173" s="6" t="str">
        <f ca="1">IFERROR(__xludf.DUMMYFUNCTION("""COMPUTED_VALUE"""),"Pending")</f>
        <v>Pending</v>
      </c>
      <c r="S1173" s="6" t="str">
        <f ca="1">IFERROR(__xludf.DUMMYFUNCTION("""COMPUTED_VALUE"""),"SAFe")</f>
        <v>SAFe</v>
      </c>
      <c r="T1173" s="6"/>
      <c r="U1173" s="6"/>
      <c r="V1173" s="6"/>
      <c r="W1173" s="6"/>
      <c r="X1173" s="6"/>
      <c r="Y1173" s="6"/>
      <c r="Z1173" s="6"/>
      <c r="AA1173" s="6"/>
      <c r="AB1173" s="6"/>
      <c r="AC1173" s="6"/>
      <c r="AD1173" s="6"/>
      <c r="AE1173" s="6"/>
      <c r="AF1173" s="6"/>
      <c r="AG1173" s="6"/>
      <c r="AH1173" s="6"/>
      <c r="AI1173" s="6"/>
      <c r="AJ1173" s="6"/>
      <c r="AK1173" s="6"/>
      <c r="AL1173" s="6"/>
    </row>
    <row r="1174" spans="1:38">
      <c r="A1174" s="96">
        <f ca="1">IFERROR(__xludf.DUMMYFUNCTION("""COMPUTED_VALUE"""),44772)</f>
        <v>44772</v>
      </c>
      <c r="B1174" s="6" t="str">
        <f ca="1">IFERROR(__xludf.DUMMYFUNCTION("""COMPUTED_VALUE"""),"Indu Shukla")</f>
        <v>Indu Shukla</v>
      </c>
      <c r="C1174" s="6" t="str">
        <f ca="1">IFERROR(__xludf.DUMMYFUNCTION("""COMPUTED_VALUE"""),"isindushukla2490@gmail.com")</f>
        <v>isindushukla2490@gmail.com</v>
      </c>
      <c r="D1174" s="6">
        <f ca="1">IFERROR(__xludf.DUMMYFUNCTION("""COMPUTED_VALUE"""),8851092683)</f>
        <v>8851092683</v>
      </c>
      <c r="E1174" s="6" t="str">
        <f ca="1">IFERROR(__xludf.DUMMYFUNCTION("""COMPUTED_VALUE"""),"Reference")</f>
        <v>Reference</v>
      </c>
      <c r="F1174" s="6" t="str">
        <f ca="1">IFERROR(__xludf.DUMMYFUNCTION("""COMPUTED_VALUE"""),"CSPO")</f>
        <v>CSPO</v>
      </c>
      <c r="G1174" s="80">
        <f ca="1">IFERROR(__xludf.DUMMYFUNCTION("""COMPUTED_VALUE"""),44743)</f>
        <v>44743</v>
      </c>
      <c r="H1174" s="6" t="str">
        <f ca="1">IFERROR(__xludf.DUMMYFUNCTION("""COMPUTED_VALUE"""),"Won")</f>
        <v>Won</v>
      </c>
      <c r="I1174" s="6" t="str">
        <f ca="1">IFERROR(__xludf.DUMMYFUNCTION("""COMPUTED_VALUE"""),"13-14 Aug 2022")</f>
        <v>13-14 Aug 2022</v>
      </c>
      <c r="J1174" s="6">
        <f ca="1">IFERROR(__xludf.DUMMYFUNCTION("""COMPUTED_VALUE"""),1)</f>
        <v>1</v>
      </c>
      <c r="K1174" s="8">
        <f ca="1">IFERROR(__xludf.DUMMYFUNCTION("""COMPUTED_VALUE"""),20000)</f>
        <v>20000</v>
      </c>
      <c r="L1174" s="8">
        <f ca="1">IFERROR(__xludf.DUMMYFUNCTION("""COMPUTED_VALUE"""),229.042601923957)</f>
        <v>229.04260192395699</v>
      </c>
      <c r="M1174" s="96">
        <f ca="1">IFERROR(__xludf.DUMMYFUNCTION("""COMPUTED_VALUE"""),44772)</f>
        <v>44772</v>
      </c>
      <c r="N1174" s="6" t="str">
        <f ca="1">IFERROR(__xludf.DUMMYFUNCTION("""COMPUTED_VALUE"""),"T10")</f>
        <v>T10</v>
      </c>
      <c r="O1174" s="97">
        <f ca="1">IFERROR(__xludf.DUMMYFUNCTION("""COMPUTED_VALUE"""),44772)</f>
        <v>44772</v>
      </c>
      <c r="P1174" s="6" t="str">
        <f ca="1">IFERROR(__xludf.DUMMYFUNCTION("""COMPUTED_VALUE"""),"CSTM_FYSDK8YCS8Y")</f>
        <v>CSTM_FYSDK8YCS8Y</v>
      </c>
      <c r="Q1174" s="6" t="str">
        <f ca="1">IFERROR(__xludf.DUMMYFUNCTION("""COMPUTED_VALUE"""),"Reference by er.mayankmishra@outlook.com")</f>
        <v>Reference by er.mayankmishra@outlook.com</v>
      </c>
      <c r="R1174" s="6" t="str">
        <f ca="1">IFERROR(__xludf.DUMMYFUNCTION("""COMPUTED_VALUE"""),"Done. Good feedback.")</f>
        <v>Done. Good feedback.</v>
      </c>
      <c r="S1174" s="6" t="str">
        <f ca="1">IFERROR(__xludf.DUMMYFUNCTION("""COMPUTED_VALUE"""),"Category")</f>
        <v>Category</v>
      </c>
      <c r="T1174" s="6"/>
      <c r="U1174" s="6"/>
      <c r="V1174" s="6"/>
      <c r="W1174" s="6"/>
      <c r="X1174" s="6"/>
      <c r="Y1174" s="6"/>
      <c r="Z1174" s="6"/>
      <c r="AA1174" s="6"/>
      <c r="AB1174" s="6"/>
      <c r="AC1174" s="6"/>
      <c r="AD1174" s="6"/>
      <c r="AE1174" s="6"/>
      <c r="AF1174" s="6"/>
      <c r="AG1174" s="6"/>
      <c r="AH1174" s="6"/>
      <c r="AI1174" s="6"/>
      <c r="AJ1174" s="6"/>
      <c r="AK1174" s="6"/>
      <c r="AL1174" s="6"/>
    </row>
    <row r="1175" spans="1:38">
      <c r="A1175" s="96">
        <f ca="1">IFERROR(__xludf.DUMMYFUNCTION("""COMPUTED_VALUE"""),44774)</f>
        <v>44774</v>
      </c>
      <c r="B1175" s="6" t="str">
        <f ca="1">IFERROR(__xludf.DUMMYFUNCTION("""COMPUTED_VALUE"""),"Arpit B Agarwal")</f>
        <v>Arpit B Agarwal</v>
      </c>
      <c r="C1175" s="6" t="str">
        <f ca="1">IFERROR(__xludf.DUMMYFUNCTION("""COMPUTED_VALUE"""),"arpit.b.agarwal@gmail.com")</f>
        <v>arpit.b.agarwal@gmail.com</v>
      </c>
      <c r="D1175" s="6">
        <f ca="1">IFERROR(__xludf.DUMMYFUNCTION("""COMPUTED_VALUE"""),8510041230)</f>
        <v>8510041230</v>
      </c>
      <c r="E1175" s="6" t="str">
        <f ca="1">IFERROR(__xludf.DUMMYFUNCTION("""COMPUTED_VALUE"""),"course agenda")</f>
        <v>course agenda</v>
      </c>
      <c r="F1175" s="6" t="str">
        <f ca="1">IFERROR(__xludf.DUMMYFUNCTION("""COMPUTED_VALUE"""),"PSM")</f>
        <v>PSM</v>
      </c>
      <c r="G1175" s="80">
        <f ca="1">IFERROR(__xludf.DUMMYFUNCTION("""COMPUTED_VALUE"""),44774)</f>
        <v>44774</v>
      </c>
      <c r="H1175" s="6" t="str">
        <f ca="1">IFERROR(__xludf.DUMMYFUNCTION("""COMPUTED_VALUE"""),"Won")</f>
        <v>Won</v>
      </c>
      <c r="I1175" s="6" t="str">
        <f ca="1">IFERROR(__xludf.DUMMYFUNCTION("""COMPUTED_VALUE"""),"6-7 Aug 2022")</f>
        <v>6-7 Aug 2022</v>
      </c>
      <c r="J1175" s="6">
        <f ca="1">IFERROR(__xludf.DUMMYFUNCTION("""COMPUTED_VALUE"""),1)</f>
        <v>1</v>
      </c>
      <c r="K1175" s="8">
        <f ca="1">IFERROR(__xludf.DUMMYFUNCTION("""COMPUTED_VALUE"""),21000)</f>
        <v>21000</v>
      </c>
      <c r="L1175" s="8">
        <f ca="1">IFERROR(__xludf.DUMMYFUNCTION("""COMPUTED_VALUE"""),240.494732020155)</f>
        <v>240.494732020155</v>
      </c>
      <c r="M1175" s="96">
        <f ca="1">IFERROR(__xludf.DUMMYFUNCTION("""COMPUTED_VALUE"""),44774)</f>
        <v>44774</v>
      </c>
      <c r="N1175" s="6" t="str">
        <f ca="1">IFERROR(__xludf.DUMMYFUNCTION("""COMPUTED_VALUE"""),"F10")</f>
        <v>F10</v>
      </c>
      <c r="O1175" s="97">
        <f ca="1">IFERROR(__xludf.DUMMYFUNCTION("""COMPUTED_VALUE"""),44774)</f>
        <v>44774</v>
      </c>
      <c r="P1175" s="6" t="str">
        <f ca="1">IFERROR(__xludf.DUMMYFUNCTION("""COMPUTED_VALUE"""),"CSTM_B28TD6TUG7F")</f>
        <v>CSTM_B28TD6TUG7F</v>
      </c>
      <c r="Q1175" s="6"/>
      <c r="R1175" s="6" t="str">
        <f ca="1">IFERROR(__xludf.DUMMYFUNCTION("""COMPUTED_VALUE"""),"Done. Good feedback.")</f>
        <v>Done. Good feedback.</v>
      </c>
      <c r="S1175" s="6" t="str">
        <f ca="1">IFERROR(__xludf.DUMMYFUNCTION("""COMPUTED_VALUE"""),"Category")</f>
        <v>Category</v>
      </c>
      <c r="T1175" s="6"/>
      <c r="U1175" s="6"/>
      <c r="V1175" s="6"/>
      <c r="W1175" s="6"/>
      <c r="X1175" s="6"/>
      <c r="Y1175" s="6"/>
      <c r="Z1175" s="6"/>
      <c r="AA1175" s="6"/>
      <c r="AB1175" s="6"/>
      <c r="AC1175" s="6"/>
      <c r="AD1175" s="6"/>
      <c r="AE1175" s="6"/>
      <c r="AF1175" s="6"/>
      <c r="AG1175" s="6"/>
      <c r="AH1175" s="6"/>
      <c r="AI1175" s="6"/>
      <c r="AJ1175" s="6"/>
      <c r="AK1175" s="6"/>
      <c r="AL1175" s="6"/>
    </row>
    <row r="1176" spans="1:38">
      <c r="A1176" s="96">
        <f ca="1">IFERROR(__xludf.DUMMYFUNCTION("""COMPUTED_VALUE"""),44774)</f>
        <v>44774</v>
      </c>
      <c r="B1176" s="6" t="str">
        <f ca="1">IFERROR(__xludf.DUMMYFUNCTION("""COMPUTED_VALUE"""),"Sejal Muralidhar")</f>
        <v>Sejal Muralidhar</v>
      </c>
      <c r="C1176" s="6" t="str">
        <f ca="1">IFERROR(__xludf.DUMMYFUNCTION("""COMPUTED_VALUE"""),"sejal.muralidhar@ellucian.com")</f>
        <v>sejal.muralidhar@ellucian.com</v>
      </c>
      <c r="D1176" s="6">
        <f ca="1">IFERROR(__xludf.DUMMYFUNCTION("""COMPUTED_VALUE"""),8884508196)</f>
        <v>8884508196</v>
      </c>
      <c r="E1176" s="6" t="str">
        <f ca="1">IFERROR(__xludf.DUMMYFUNCTION("""COMPUTED_VALUE"""),"Query box")</f>
        <v>Query box</v>
      </c>
      <c r="F1176" s="6" t="str">
        <f ca="1">IFERROR(__xludf.DUMMYFUNCTION("""COMPUTED_VALUE"""),"SAFe POPM")</f>
        <v>SAFe POPM</v>
      </c>
      <c r="G1176" s="80">
        <f ca="1">IFERROR(__xludf.DUMMYFUNCTION("""COMPUTED_VALUE"""),44774)</f>
        <v>44774</v>
      </c>
      <c r="H1176" s="6" t="str">
        <f ca="1">IFERROR(__xludf.DUMMYFUNCTION("""COMPUTED_VALUE"""),"Won")</f>
        <v>Won</v>
      </c>
      <c r="I1176" s="6" t="str">
        <f ca="1">IFERROR(__xludf.DUMMYFUNCTION("""COMPUTED_VALUE"""),"6-7 Aug 2022")</f>
        <v>6-7 Aug 2022</v>
      </c>
      <c r="J1176" s="6">
        <f ca="1">IFERROR(__xludf.DUMMYFUNCTION("""COMPUTED_VALUE"""),1)</f>
        <v>1</v>
      </c>
      <c r="K1176" s="8">
        <f ca="1">IFERROR(__xludf.DUMMYFUNCTION("""COMPUTED_VALUE"""),42000)</f>
        <v>42000</v>
      </c>
      <c r="L1176" s="8">
        <f ca="1">IFERROR(__xludf.DUMMYFUNCTION("""COMPUTED_VALUE"""),480.989464040311)</f>
        <v>480.98946404031102</v>
      </c>
      <c r="M1176" s="96">
        <f ca="1">IFERROR(__xludf.DUMMYFUNCTION("""COMPUTED_VALUE"""),44774)</f>
        <v>44774</v>
      </c>
      <c r="N1176" s="6" t="str">
        <f ca="1">IFERROR(__xludf.DUMMYFUNCTION("""COMPUTED_VALUE"""),"F10")</f>
        <v>F10</v>
      </c>
      <c r="O1176" s="97">
        <f ca="1">IFERROR(__xludf.DUMMYFUNCTION("""COMPUTED_VALUE"""),44774)</f>
        <v>44774</v>
      </c>
      <c r="P1176" s="6" t="str">
        <f ca="1">IFERROR(__xludf.DUMMYFUNCTION("""COMPUTED_VALUE"""),"CSTM_6O4LL307M1N")</f>
        <v>CSTM_6O4LL307M1N</v>
      </c>
      <c r="Q1176" s="6"/>
      <c r="R1176" s="6" t="str">
        <f ca="1">IFERROR(__xludf.DUMMYFUNCTION("""COMPUTED_VALUE"""),"Done. Good feedback.")</f>
        <v>Done. Good feedback.</v>
      </c>
      <c r="S1176" s="6" t="str">
        <f ca="1">IFERROR(__xludf.DUMMYFUNCTION("""COMPUTED_VALUE"""),"SAFe")</f>
        <v>SAFe</v>
      </c>
      <c r="T1176" s="6"/>
      <c r="U1176" s="6"/>
      <c r="V1176" s="6"/>
      <c r="W1176" s="6"/>
      <c r="X1176" s="6"/>
      <c r="Y1176" s="6"/>
      <c r="Z1176" s="6"/>
      <c r="AA1176" s="6"/>
      <c r="AB1176" s="6"/>
      <c r="AC1176" s="6"/>
      <c r="AD1176" s="6"/>
      <c r="AE1176" s="6"/>
      <c r="AF1176" s="6"/>
      <c r="AG1176" s="6"/>
      <c r="AH1176" s="6"/>
      <c r="AI1176" s="6"/>
      <c r="AJ1176" s="6"/>
      <c r="AK1176" s="6"/>
      <c r="AL1176" s="6"/>
    </row>
    <row r="1177" spans="1:38">
      <c r="A1177" s="96">
        <f ca="1">IFERROR(__xludf.DUMMYFUNCTION("""COMPUTED_VALUE"""),44775)</f>
        <v>44775</v>
      </c>
      <c r="B1177" s="6" t="str">
        <f ca="1">IFERROR(__xludf.DUMMYFUNCTION("""COMPUTED_VALUE"""),"Viswanathan")</f>
        <v>Viswanathan</v>
      </c>
      <c r="C1177" s="6" t="str">
        <f ca="1">IFERROR(__xludf.DUMMYFUNCTION("""COMPUTED_VALUE"""),"viswanathan.sampath@gmail.com")</f>
        <v>viswanathan.sampath@gmail.com</v>
      </c>
      <c r="D1177" s="6">
        <f ca="1">IFERROR(__xludf.DUMMYFUNCTION("""COMPUTED_VALUE"""),9952018761)</f>
        <v>9952018761</v>
      </c>
      <c r="E1177" s="6" t="str">
        <f ca="1">IFERROR(__xludf.DUMMYFUNCTION("""COMPUTED_VALUE"""),"Existing Account")</f>
        <v>Existing Account</v>
      </c>
      <c r="F1177" s="6" t="str">
        <f ca="1">IFERROR(__xludf.DUMMYFUNCTION("""COMPUTED_VALUE"""),"SAFe Agile")</f>
        <v>SAFe Agile</v>
      </c>
      <c r="G1177" s="80">
        <f ca="1">IFERROR(__xludf.DUMMYFUNCTION("""COMPUTED_VALUE"""),44774)</f>
        <v>44774</v>
      </c>
      <c r="H1177" s="6" t="str">
        <f ca="1">IFERROR(__xludf.DUMMYFUNCTION("""COMPUTED_VALUE"""),"Won")</f>
        <v>Won</v>
      </c>
      <c r="I1177" s="6" t="str">
        <f ca="1">IFERROR(__xludf.DUMMYFUNCTION("""COMPUTED_VALUE"""),"6-7 Aug 2022")</f>
        <v>6-7 Aug 2022</v>
      </c>
      <c r="J1177" s="6">
        <f ca="1">IFERROR(__xludf.DUMMYFUNCTION("""COMPUTED_VALUE"""),1)</f>
        <v>1</v>
      </c>
      <c r="K1177" s="8">
        <f ca="1">IFERROR(__xludf.DUMMYFUNCTION("""COMPUTED_VALUE"""),40000)</f>
        <v>40000</v>
      </c>
      <c r="L1177" s="8">
        <f ca="1">IFERROR(__xludf.DUMMYFUNCTION("""COMPUTED_VALUE"""),458.085203847915)</f>
        <v>458.08520384791501</v>
      </c>
      <c r="M1177" s="96">
        <f ca="1">IFERROR(__xludf.DUMMYFUNCTION("""COMPUTED_VALUE"""),44775)</f>
        <v>44775</v>
      </c>
      <c r="N1177" s="6" t="str">
        <f ca="1">IFERROR(__xludf.DUMMYFUNCTION("""COMPUTED_VALUE"""),"F10")</f>
        <v>F10</v>
      </c>
      <c r="O1177" s="97">
        <f ca="1">IFERROR(__xludf.DUMMYFUNCTION("""COMPUTED_VALUE"""),44775)</f>
        <v>44775</v>
      </c>
      <c r="P1177" s="6" t="str">
        <f ca="1">IFERROR(__xludf.DUMMYFUNCTION("""COMPUTED_VALUE"""),"CSTM_EBWK2794E1X")</f>
        <v>CSTM_EBWK2794E1X</v>
      </c>
      <c r="Q1177" s="6"/>
      <c r="R1177" s="6" t="str">
        <f ca="1">IFERROR(__xludf.DUMMYFUNCTION("""COMPUTED_VALUE"""),"Pending")</f>
        <v>Pending</v>
      </c>
      <c r="S1177" s="6" t="str">
        <f ca="1">IFERROR(__xludf.DUMMYFUNCTION("""COMPUTED_VALUE"""),"SAFe")</f>
        <v>SAFe</v>
      </c>
      <c r="T1177" s="6"/>
      <c r="U1177" s="6"/>
      <c r="V1177" s="6"/>
      <c r="W1177" s="6"/>
      <c r="X1177" s="6"/>
      <c r="Y1177" s="6"/>
      <c r="Z1177" s="6"/>
      <c r="AA1177" s="6"/>
      <c r="AB1177" s="6"/>
      <c r="AC1177" s="6"/>
      <c r="AD1177" s="6"/>
      <c r="AE1177" s="6"/>
      <c r="AF1177" s="6"/>
      <c r="AG1177" s="6"/>
      <c r="AH1177" s="6"/>
      <c r="AI1177" s="6"/>
      <c r="AJ1177" s="6"/>
      <c r="AK1177" s="6"/>
      <c r="AL1177" s="6"/>
    </row>
    <row r="1178" spans="1:38">
      <c r="A1178" s="96">
        <f ca="1">IFERROR(__xludf.DUMMYFUNCTION("""COMPUTED_VALUE"""),44776)</f>
        <v>44776</v>
      </c>
      <c r="B1178" s="6" t="str">
        <f ca="1">IFERROR(__xludf.DUMMYFUNCTION("""COMPUTED_VALUE"""),"Balaji Venkataraju")</f>
        <v>Balaji Venkataraju</v>
      </c>
      <c r="C1178" s="6" t="str">
        <f ca="1">IFERROR(__xludf.DUMMYFUNCTION("""COMPUTED_VALUE"""),"balaji.venkataraju@gmail.com")</f>
        <v>balaji.venkataraju@gmail.com</v>
      </c>
      <c r="D1178" s="6">
        <f ca="1">IFERROR(__xludf.DUMMYFUNCTION("""COMPUTED_VALUE"""),9916534203)</f>
        <v>9916534203</v>
      </c>
      <c r="E1178" s="6" t="str">
        <f ca="1">IFERROR(__xludf.DUMMYFUNCTION("""COMPUTED_VALUE"""),"Chat_triggered")</f>
        <v>Chat_triggered</v>
      </c>
      <c r="F1178" s="6" t="str">
        <f ca="1">IFERROR(__xludf.DUMMYFUNCTION("""COMPUTED_VALUE"""),"SAFe RTE")</f>
        <v>SAFe RTE</v>
      </c>
      <c r="G1178" s="80">
        <f ca="1">IFERROR(__xludf.DUMMYFUNCTION("""COMPUTED_VALUE"""),44774)</f>
        <v>44774</v>
      </c>
      <c r="H1178" s="6" t="str">
        <f ca="1">IFERROR(__xludf.DUMMYFUNCTION("""COMPUTED_VALUE"""),"Won")</f>
        <v>Won</v>
      </c>
      <c r="I1178" s="6" t="str">
        <f ca="1">IFERROR(__xludf.DUMMYFUNCTION("""COMPUTED_VALUE"""),"5-7 Aug 2022")</f>
        <v>5-7 Aug 2022</v>
      </c>
      <c r="J1178" s="6">
        <f ca="1">IFERROR(__xludf.DUMMYFUNCTION("""COMPUTED_VALUE"""),1)</f>
        <v>1</v>
      </c>
      <c r="K1178" s="8">
        <f ca="1">IFERROR(__xludf.DUMMYFUNCTION("""COMPUTED_VALUE"""),57230)</f>
        <v>57230</v>
      </c>
      <c r="L1178" s="8">
        <f ca="1">IFERROR(__xludf.DUMMYFUNCTION("""COMPUTED_VALUE"""),655.405405405405)</f>
        <v>655.40540540540496</v>
      </c>
      <c r="M1178" s="96">
        <f ca="1">IFERROR(__xludf.DUMMYFUNCTION("""COMPUTED_VALUE"""),44776)</f>
        <v>44776</v>
      </c>
      <c r="N1178" s="6" t="str">
        <f ca="1">IFERROR(__xludf.DUMMYFUNCTION("""COMPUTED_VALUE"""),"F10")</f>
        <v>F10</v>
      </c>
      <c r="O1178" s="97">
        <f ca="1">IFERROR(__xludf.DUMMYFUNCTION("""COMPUTED_VALUE"""),44777)</f>
        <v>44777</v>
      </c>
      <c r="P1178" s="6" t="str">
        <f ca="1">IFERROR(__xludf.DUMMYFUNCTION("""COMPUTED_VALUE"""),"CSTM_JH9DBPWJ6LA")</f>
        <v>CSTM_JH9DBPWJ6LA</v>
      </c>
      <c r="Q1178" s="6"/>
      <c r="R1178" s="6" t="str">
        <f ca="1">IFERROR(__xludf.DUMMYFUNCTION("""COMPUTED_VALUE"""),"Pending")</f>
        <v>Pending</v>
      </c>
      <c r="S1178" s="6" t="str">
        <f ca="1">IFERROR(__xludf.DUMMYFUNCTION("""COMPUTED_VALUE"""),"SAFe")</f>
        <v>SAFe</v>
      </c>
      <c r="T1178" s="6"/>
      <c r="U1178" s="6"/>
      <c r="V1178" s="6"/>
      <c r="W1178" s="6"/>
      <c r="X1178" s="6"/>
      <c r="Y1178" s="6"/>
      <c r="Z1178" s="6"/>
      <c r="AA1178" s="6"/>
      <c r="AB1178" s="6"/>
      <c r="AC1178" s="6"/>
      <c r="AD1178" s="6"/>
      <c r="AE1178" s="6"/>
      <c r="AF1178" s="6"/>
      <c r="AG1178" s="6"/>
      <c r="AH1178" s="6"/>
      <c r="AI1178" s="6"/>
      <c r="AJ1178" s="6"/>
      <c r="AK1178" s="6"/>
      <c r="AL1178" s="6"/>
    </row>
    <row r="1179" spans="1:38">
      <c r="A1179" s="96">
        <f ca="1">IFERROR(__xludf.DUMMYFUNCTION("""COMPUTED_VALUE"""),44776)</f>
        <v>44776</v>
      </c>
      <c r="B1179" s="6" t="str">
        <f ca="1">IFERROR(__xludf.DUMMYFUNCTION("""COMPUTED_VALUE"""),"Balaji Venkataraju")</f>
        <v>Balaji Venkataraju</v>
      </c>
      <c r="C1179" s="6" t="str">
        <f ca="1">IFERROR(__xludf.DUMMYFUNCTION("""COMPUTED_VALUE"""),"balaji.venkataraju@gmail.com")</f>
        <v>balaji.venkataraju@gmail.com</v>
      </c>
      <c r="D1179" s="6">
        <f ca="1">IFERROR(__xludf.DUMMYFUNCTION("""COMPUTED_VALUE"""),9916534203)</f>
        <v>9916534203</v>
      </c>
      <c r="E1179" s="6" t="str">
        <f ca="1">IFERROR(__xludf.DUMMYFUNCTION("""COMPUTED_VALUE"""),"Chat_triggered")</f>
        <v>Chat_triggered</v>
      </c>
      <c r="F1179" s="6" t="str">
        <f ca="1">IFERROR(__xludf.DUMMYFUNCTION("""COMPUTED_VALUE"""),"SAFe RTE")</f>
        <v>SAFe RTE</v>
      </c>
      <c r="G1179" s="80">
        <f ca="1">IFERROR(__xludf.DUMMYFUNCTION("""COMPUTED_VALUE"""),44774)</f>
        <v>44774</v>
      </c>
      <c r="H1179" s="6" t="str">
        <f ca="1">IFERROR(__xludf.DUMMYFUNCTION("""COMPUTED_VALUE"""),"Won")</f>
        <v>Won</v>
      </c>
      <c r="I1179" s="6" t="str">
        <f ca="1">IFERROR(__xludf.DUMMYFUNCTION("""COMPUTED_VALUE"""),"5-7 Aug 2022")</f>
        <v>5-7 Aug 2022</v>
      </c>
      <c r="J1179" s="6">
        <f ca="1">IFERROR(__xludf.DUMMYFUNCTION("""COMPUTED_VALUE"""),1)</f>
        <v>1</v>
      </c>
      <c r="K1179" s="8">
        <f ca="1">IFERROR(__xludf.DUMMYFUNCTION("""COMPUTED_VALUE"""),67770)</f>
        <v>67770</v>
      </c>
      <c r="L1179" s="8">
        <f ca="1">IFERROR(__xludf.DUMMYFUNCTION("""COMPUTED_VALUE"""),776.110856619331)</f>
        <v>776.110856619331</v>
      </c>
      <c r="M1179" s="96">
        <f ca="1">IFERROR(__xludf.DUMMYFUNCTION("""COMPUTED_VALUE"""),44776)</f>
        <v>44776</v>
      </c>
      <c r="N1179" s="6" t="str">
        <f ca="1">IFERROR(__xludf.DUMMYFUNCTION("""COMPUTED_VALUE"""),"F10")</f>
        <v>F10</v>
      </c>
      <c r="O1179" s="97">
        <f ca="1">IFERROR(__xludf.DUMMYFUNCTION("""COMPUTED_VALUE"""),44777)</f>
        <v>44777</v>
      </c>
      <c r="P1179" s="6" t="str">
        <f ca="1">IFERROR(__xludf.DUMMYFUNCTION("""COMPUTED_VALUE"""),"CSTM_1P3EB143HH2")</f>
        <v>CSTM_1P3EB143HH2</v>
      </c>
      <c r="Q1179" s="6"/>
      <c r="R1179" s="6" t="str">
        <f ca="1">IFERROR(__xludf.DUMMYFUNCTION("""COMPUTED_VALUE"""),"Pending")</f>
        <v>Pending</v>
      </c>
      <c r="S1179" s="6" t="str">
        <f ca="1">IFERROR(__xludf.DUMMYFUNCTION("""COMPUTED_VALUE"""),"SAFe")</f>
        <v>SAFe</v>
      </c>
      <c r="T1179" s="6"/>
      <c r="U1179" s="6"/>
      <c r="V1179" s="6"/>
      <c r="W1179" s="6"/>
      <c r="X1179" s="6"/>
      <c r="Y1179" s="6"/>
      <c r="Z1179" s="6"/>
      <c r="AA1179" s="6"/>
      <c r="AB1179" s="6"/>
      <c r="AC1179" s="6"/>
      <c r="AD1179" s="6"/>
      <c r="AE1179" s="6"/>
      <c r="AF1179" s="6"/>
      <c r="AG1179" s="6"/>
      <c r="AH1179" s="6"/>
      <c r="AI1179" s="6"/>
      <c r="AJ1179" s="6"/>
      <c r="AK1179" s="6"/>
      <c r="AL1179" s="6"/>
    </row>
    <row r="1180" spans="1:38">
      <c r="A1180" s="96">
        <f ca="1">IFERROR(__xludf.DUMMYFUNCTION("""COMPUTED_VALUE"""),44776)</f>
        <v>44776</v>
      </c>
      <c r="B1180" s="6" t="str">
        <f ca="1">IFERROR(__xludf.DUMMYFUNCTION("""COMPUTED_VALUE"""),"Shruthi Nov")</f>
        <v>Shruthi Nov</v>
      </c>
      <c r="C1180" s="6" t="str">
        <f ca="1">IFERROR(__xludf.DUMMYFUNCTION("""COMPUTED_VALUE"""),"shruthinov017@gmail.com")</f>
        <v>shruthinov017@gmail.com</v>
      </c>
      <c r="D1180" s="6">
        <f ca="1">IFERROR(__xludf.DUMMYFUNCTION("""COMPUTED_VALUE"""),9844243352)</f>
        <v>9844243352</v>
      </c>
      <c r="E1180" s="6" t="str">
        <f ca="1">IFERROR(__xludf.DUMMYFUNCTION("""COMPUTED_VALUE"""),"Query box")</f>
        <v>Query box</v>
      </c>
      <c r="F1180" s="6" t="str">
        <f ca="1">IFERROR(__xludf.DUMMYFUNCTION("""COMPUTED_VALUE"""),"PSM")</f>
        <v>PSM</v>
      </c>
      <c r="G1180" s="80">
        <f ca="1">IFERROR(__xludf.DUMMYFUNCTION("""COMPUTED_VALUE"""),44774)</f>
        <v>44774</v>
      </c>
      <c r="H1180" s="6" t="str">
        <f ca="1">IFERROR(__xludf.DUMMYFUNCTION("""COMPUTED_VALUE"""),"Opportunity")</f>
        <v>Opportunity</v>
      </c>
      <c r="I1180" s="6" t="str">
        <f ca="1">IFERROR(__xludf.DUMMYFUNCTION("""COMPUTED_VALUE"""),"6-7 Aug 2022")</f>
        <v>6-7 Aug 2022</v>
      </c>
      <c r="J1180" s="6">
        <f ca="1">IFERROR(__xludf.DUMMYFUNCTION("""COMPUTED_VALUE"""),1)</f>
        <v>1</v>
      </c>
      <c r="K1180" s="8">
        <f ca="1">IFERROR(__xludf.DUMMYFUNCTION("""COMPUTED_VALUE"""),21000)</f>
        <v>21000</v>
      </c>
      <c r="L1180" s="8">
        <f ca="1">IFERROR(__xludf.DUMMYFUNCTION("""COMPUTED_VALUE"""),240.494732020155)</f>
        <v>240.494732020155</v>
      </c>
      <c r="M1180" s="96">
        <f ca="1">IFERROR(__xludf.DUMMYFUNCTION("""COMPUTED_VALUE"""),44776)</f>
        <v>44776</v>
      </c>
      <c r="N1180" s="6"/>
      <c r="O1180" s="97"/>
      <c r="P1180" s="6"/>
      <c r="Q1180" s="6"/>
      <c r="R1180" s="6"/>
      <c r="S1180" s="6" t="str">
        <f ca="1">IFERROR(__xludf.DUMMYFUNCTION("""COMPUTED_VALUE"""),"Category")</f>
        <v>Category</v>
      </c>
      <c r="T1180" s="6"/>
      <c r="U1180" s="6"/>
      <c r="V1180" s="6"/>
      <c r="W1180" s="6"/>
      <c r="X1180" s="6"/>
      <c r="Y1180" s="6"/>
      <c r="Z1180" s="6"/>
      <c r="AA1180" s="6"/>
      <c r="AB1180" s="6"/>
      <c r="AC1180" s="6"/>
      <c r="AD1180" s="6"/>
      <c r="AE1180" s="6"/>
      <c r="AF1180" s="6"/>
      <c r="AG1180" s="6"/>
      <c r="AH1180" s="6"/>
      <c r="AI1180" s="6"/>
      <c r="AJ1180" s="6"/>
      <c r="AK1180" s="6"/>
      <c r="AL1180" s="6"/>
    </row>
    <row r="1181" spans="1:38">
      <c r="A1181" s="96">
        <f ca="1">IFERROR(__xludf.DUMMYFUNCTION("""COMPUTED_VALUE"""),44776)</f>
        <v>44776</v>
      </c>
      <c r="B1181" s="6" t="str">
        <f ca="1">IFERROR(__xludf.DUMMYFUNCTION("""COMPUTED_VALUE"""),"Rajat Doshi")</f>
        <v>Rajat Doshi</v>
      </c>
      <c r="C1181" s="6" t="str">
        <f ca="1">IFERROR(__xludf.DUMMYFUNCTION("""COMPUTED_VALUE"""),"rajatdjoshi@gmail.com")</f>
        <v>rajatdjoshi@gmail.com</v>
      </c>
      <c r="D1181" s="6">
        <f ca="1">IFERROR(__xludf.DUMMYFUNCTION("""COMPUTED_VALUE"""),7507896937)</f>
        <v>7507896937</v>
      </c>
      <c r="E1181" s="6" t="str">
        <f ca="1">IFERROR(__xludf.DUMMYFUNCTION("""COMPUTED_VALUE"""),"Existing Account")</f>
        <v>Existing Account</v>
      </c>
      <c r="F1181" s="6" t="str">
        <f ca="1">IFERROR(__xludf.DUMMYFUNCTION("""COMPUTED_VALUE"""),"SAFe Agile")</f>
        <v>SAFe Agile</v>
      </c>
      <c r="G1181" s="80">
        <f ca="1">IFERROR(__xludf.DUMMYFUNCTION("""COMPUTED_VALUE"""),44774)</f>
        <v>44774</v>
      </c>
      <c r="H1181" s="6" t="str">
        <f ca="1">IFERROR(__xludf.DUMMYFUNCTION("""COMPUTED_VALUE"""),"Won")</f>
        <v>Won</v>
      </c>
      <c r="I1181" s="6" t="str">
        <f ca="1">IFERROR(__xludf.DUMMYFUNCTION("""COMPUTED_VALUE"""),"13-14 Aug 2022")</f>
        <v>13-14 Aug 2022</v>
      </c>
      <c r="J1181" s="6">
        <f ca="1">IFERROR(__xludf.DUMMYFUNCTION("""COMPUTED_VALUE"""),1)</f>
        <v>1</v>
      </c>
      <c r="K1181" s="8">
        <f ca="1">IFERROR(__xludf.DUMMYFUNCTION("""COMPUTED_VALUE"""),40000)</f>
        <v>40000</v>
      </c>
      <c r="L1181" s="8">
        <f ca="1">IFERROR(__xludf.DUMMYFUNCTION("""COMPUTED_VALUE"""),458.085203847915)</f>
        <v>458.08520384791501</v>
      </c>
      <c r="M1181" s="96">
        <f ca="1">IFERROR(__xludf.DUMMYFUNCTION("""COMPUTED_VALUE"""),44776)</f>
        <v>44776</v>
      </c>
      <c r="N1181" s="6" t="str">
        <f ca="1">IFERROR(__xludf.DUMMYFUNCTION("""COMPUTED_VALUE"""),"F10")</f>
        <v>F10</v>
      </c>
      <c r="O1181" s="97">
        <f ca="1">IFERROR(__xludf.DUMMYFUNCTION("""COMPUTED_VALUE"""),44776)</f>
        <v>44776</v>
      </c>
      <c r="P1181" s="6" t="str">
        <f ca="1">IFERROR(__xludf.DUMMYFUNCTION("""COMPUTED_VALUE"""),"CSTM_6GLQ6K5HV7B")</f>
        <v>CSTM_6GLQ6K5HV7B</v>
      </c>
      <c r="Q1181" s="6"/>
      <c r="R1181" s="6" t="str">
        <f ca="1">IFERROR(__xludf.DUMMYFUNCTION("""COMPUTED_VALUE"""),"Done. Good feedback.")</f>
        <v>Done. Good feedback.</v>
      </c>
      <c r="S1181" s="6" t="str">
        <f ca="1">IFERROR(__xludf.DUMMYFUNCTION("""COMPUTED_VALUE"""),"SAFe")</f>
        <v>SAFe</v>
      </c>
      <c r="T1181" s="6"/>
      <c r="U1181" s="6"/>
      <c r="V1181" s="6"/>
      <c r="W1181" s="6"/>
      <c r="X1181" s="6"/>
      <c r="Y1181" s="6"/>
      <c r="Z1181" s="6"/>
      <c r="AA1181" s="6"/>
      <c r="AB1181" s="6"/>
      <c r="AC1181" s="6"/>
      <c r="AD1181" s="6"/>
      <c r="AE1181" s="6"/>
      <c r="AF1181" s="6"/>
      <c r="AG1181" s="6"/>
      <c r="AH1181" s="6"/>
      <c r="AI1181" s="6"/>
      <c r="AJ1181" s="6"/>
      <c r="AK1181" s="6"/>
      <c r="AL1181" s="6"/>
    </row>
    <row r="1182" spans="1:38">
      <c r="A1182" s="96">
        <f ca="1">IFERROR(__xludf.DUMMYFUNCTION("""COMPUTED_VALUE"""),44777)</f>
        <v>44777</v>
      </c>
      <c r="B1182" s="6" t="str">
        <f ca="1">IFERROR(__xludf.DUMMYFUNCTION("""COMPUTED_VALUE"""),"Vaishnavi")</f>
        <v>Vaishnavi</v>
      </c>
      <c r="C1182" s="6" t="str">
        <f ca="1">IFERROR(__xludf.DUMMYFUNCTION("""COMPUTED_VALUE"""),"adhusush@gmail.com")</f>
        <v>adhusush@gmail.com</v>
      </c>
      <c r="D1182" s="6">
        <f ca="1">IFERROR(__xludf.DUMMYFUNCTION("""COMPUTED_VALUE"""),9345498661)</f>
        <v>9345498661</v>
      </c>
      <c r="E1182" s="6" t="str">
        <f ca="1">IFERROR(__xludf.DUMMYFUNCTION("""COMPUTED_VALUE"""),"Chat_triggered")</f>
        <v>Chat_triggered</v>
      </c>
      <c r="F1182" s="6" t="str">
        <f ca="1">IFERROR(__xludf.DUMMYFUNCTION("""COMPUTED_VALUE"""),"CSM")</f>
        <v>CSM</v>
      </c>
      <c r="G1182" s="80">
        <f ca="1">IFERROR(__xludf.DUMMYFUNCTION("""COMPUTED_VALUE"""),44774)</f>
        <v>44774</v>
      </c>
      <c r="H1182" s="6" t="str">
        <f ca="1">IFERROR(__xludf.DUMMYFUNCTION("""COMPUTED_VALUE"""),"Won")</f>
        <v>Won</v>
      </c>
      <c r="I1182" s="6" t="str">
        <f ca="1">IFERROR(__xludf.DUMMYFUNCTION("""COMPUTED_VALUE"""),"11-12 Aug 2022")</f>
        <v>11-12 Aug 2022</v>
      </c>
      <c r="J1182" s="6">
        <f ca="1">IFERROR(__xludf.DUMMYFUNCTION("""COMPUTED_VALUE"""),1)</f>
        <v>1</v>
      </c>
      <c r="K1182" s="8">
        <f ca="1">IFERROR(__xludf.DUMMYFUNCTION("""COMPUTED_VALUE"""),20000)</f>
        <v>20000</v>
      </c>
      <c r="L1182" s="8">
        <f ca="1">IFERROR(__xludf.DUMMYFUNCTION("""COMPUTED_VALUE"""),229.042601923957)</f>
        <v>229.04260192395699</v>
      </c>
      <c r="M1182" s="96">
        <f ca="1">IFERROR(__xludf.DUMMYFUNCTION("""COMPUTED_VALUE"""),44777)</f>
        <v>44777</v>
      </c>
      <c r="N1182" s="6" t="str">
        <f ca="1">IFERROR(__xludf.DUMMYFUNCTION("""COMPUTED_VALUE"""),"F10")</f>
        <v>F10</v>
      </c>
      <c r="O1182" s="97">
        <f ca="1">IFERROR(__xludf.DUMMYFUNCTION("""COMPUTED_VALUE"""),44777)</f>
        <v>44777</v>
      </c>
      <c r="P1182" s="6" t="str">
        <f ca="1">IFERROR(__xludf.DUMMYFUNCTION("""COMPUTED_VALUE"""),"CSTM_IC4QBVXQ8TT")</f>
        <v>CSTM_IC4QBVXQ8TT</v>
      </c>
      <c r="Q1182" s="6"/>
      <c r="R1182" s="6" t="str">
        <f ca="1">IFERROR(__xludf.DUMMYFUNCTION("""COMPUTED_VALUE"""),"Pending")</f>
        <v>Pending</v>
      </c>
      <c r="S1182" s="6" t="str">
        <f ca="1">IFERROR(__xludf.DUMMYFUNCTION("""COMPUTED_VALUE"""),"Category")</f>
        <v>Category</v>
      </c>
      <c r="T1182" s="6"/>
      <c r="U1182" s="6"/>
      <c r="V1182" s="6"/>
      <c r="W1182" s="6"/>
      <c r="X1182" s="6"/>
      <c r="Y1182" s="6"/>
      <c r="Z1182" s="6"/>
      <c r="AA1182" s="6"/>
      <c r="AB1182" s="6"/>
      <c r="AC1182" s="6"/>
      <c r="AD1182" s="6"/>
      <c r="AE1182" s="6"/>
      <c r="AF1182" s="6"/>
      <c r="AG1182" s="6"/>
      <c r="AH1182" s="6"/>
      <c r="AI1182" s="6"/>
      <c r="AJ1182" s="6"/>
      <c r="AK1182" s="6"/>
      <c r="AL1182" s="6"/>
    </row>
    <row r="1183" spans="1:38">
      <c r="A1183" s="96">
        <f ca="1">IFERROR(__xludf.DUMMYFUNCTION("""COMPUTED_VALUE"""),44777)</f>
        <v>44777</v>
      </c>
      <c r="B1183" s="6" t="str">
        <f ca="1">IFERROR(__xludf.DUMMYFUNCTION("""COMPUTED_VALUE"""),"Ramanai Venkata")</f>
        <v>Ramanai Venkata</v>
      </c>
      <c r="C1183" s="6" t="str">
        <f ca="1">IFERROR(__xludf.DUMMYFUNCTION("""COMPUTED_VALUE"""),"vr.nagaruru@gmail.com")</f>
        <v>vr.nagaruru@gmail.com</v>
      </c>
      <c r="D1183" s="6">
        <f ca="1">IFERROR(__xludf.DUMMYFUNCTION("""COMPUTED_VALUE"""),9980133115)</f>
        <v>9980133115</v>
      </c>
      <c r="E1183" s="6" t="str">
        <f ca="1">IFERROR(__xludf.DUMMYFUNCTION("""COMPUTED_VALUE"""),"chat_initiated")</f>
        <v>chat_initiated</v>
      </c>
      <c r="F1183" s="6" t="str">
        <f ca="1">IFERROR(__xludf.DUMMYFUNCTION("""COMPUTED_VALUE"""),"CSM")</f>
        <v>CSM</v>
      </c>
      <c r="G1183" s="80">
        <f ca="1">IFERROR(__xludf.DUMMYFUNCTION("""COMPUTED_VALUE"""),44774)</f>
        <v>44774</v>
      </c>
      <c r="H1183" s="6" t="str">
        <f ca="1">IFERROR(__xludf.DUMMYFUNCTION("""COMPUTED_VALUE"""),"Won")</f>
        <v>Won</v>
      </c>
      <c r="I1183" s="6" t="str">
        <f ca="1">IFERROR(__xludf.DUMMYFUNCTION("""COMPUTED_VALUE"""),"20-21 Aug 2022")</f>
        <v>20-21 Aug 2022</v>
      </c>
      <c r="J1183" s="6">
        <f ca="1">IFERROR(__xludf.DUMMYFUNCTION("""COMPUTED_VALUE"""),1)</f>
        <v>1</v>
      </c>
      <c r="K1183" s="8">
        <f ca="1">IFERROR(__xludf.DUMMYFUNCTION("""COMPUTED_VALUE"""),21000)</f>
        <v>21000</v>
      </c>
      <c r="L1183" s="8">
        <f ca="1">IFERROR(__xludf.DUMMYFUNCTION("""COMPUTED_VALUE"""),240.494732020155)</f>
        <v>240.494732020155</v>
      </c>
      <c r="M1183" s="96">
        <f ca="1">IFERROR(__xludf.DUMMYFUNCTION("""COMPUTED_VALUE"""),44777)</f>
        <v>44777</v>
      </c>
      <c r="N1183" s="6" t="str">
        <f ca="1">IFERROR(__xludf.DUMMYFUNCTION("""COMPUTED_VALUE"""),"F10")</f>
        <v>F10</v>
      </c>
      <c r="O1183" s="97">
        <f ca="1">IFERROR(__xludf.DUMMYFUNCTION("""COMPUTED_VALUE"""),44777)</f>
        <v>44777</v>
      </c>
      <c r="P1183" s="6" t="str">
        <f ca="1">IFERROR(__xludf.DUMMYFUNCTION("""COMPUTED_VALUE"""),"CSTM_D8671DZUGMD")</f>
        <v>CSTM_D8671DZUGMD</v>
      </c>
      <c r="Q1183" s="6"/>
      <c r="R1183" s="6" t="str">
        <f ca="1">IFERROR(__xludf.DUMMYFUNCTION("""COMPUTED_VALUE"""),"Done. Good feedback.")</f>
        <v>Done. Good feedback.</v>
      </c>
      <c r="S1183" s="6" t="str">
        <f ca="1">IFERROR(__xludf.DUMMYFUNCTION("""COMPUTED_VALUE"""),"Category")</f>
        <v>Category</v>
      </c>
      <c r="T1183" s="6"/>
      <c r="U1183" s="6"/>
      <c r="V1183" s="6"/>
      <c r="W1183" s="6"/>
      <c r="X1183" s="6"/>
      <c r="Y1183" s="6"/>
      <c r="Z1183" s="6"/>
      <c r="AA1183" s="6"/>
      <c r="AB1183" s="6"/>
      <c r="AC1183" s="6"/>
      <c r="AD1183" s="6"/>
      <c r="AE1183" s="6"/>
      <c r="AF1183" s="6"/>
      <c r="AG1183" s="6"/>
      <c r="AH1183" s="6"/>
      <c r="AI1183" s="6"/>
      <c r="AJ1183" s="6"/>
      <c r="AK1183" s="6"/>
      <c r="AL1183" s="6"/>
    </row>
    <row r="1184" spans="1:38">
      <c r="A1184" s="96">
        <f ca="1">IFERROR(__xludf.DUMMYFUNCTION("""COMPUTED_VALUE"""),44778)</f>
        <v>44778</v>
      </c>
      <c r="B1184" s="6" t="str">
        <f ca="1">IFERROR(__xludf.DUMMYFUNCTION("""COMPUTED_VALUE"""),"Deepti Malukani")</f>
        <v>Deepti Malukani</v>
      </c>
      <c r="C1184" s="6" t="str">
        <f ca="1">IFERROR(__xludf.DUMMYFUNCTION("""COMPUTED_VALUE"""),"malukanideepti@gmail.com")</f>
        <v>malukanideepti@gmail.com</v>
      </c>
      <c r="D1184" s="6">
        <f ca="1">IFERROR(__xludf.DUMMYFUNCTION("""COMPUTED_VALUE"""),9886667411)</f>
        <v>9886667411</v>
      </c>
      <c r="E1184" s="6" t="str">
        <f ca="1">IFERROR(__xludf.DUMMYFUNCTION("""COMPUTED_VALUE"""),"Chat_triggered")</f>
        <v>Chat_triggered</v>
      </c>
      <c r="F1184" s="6" t="str">
        <f ca="1">IFERROR(__xludf.DUMMYFUNCTION("""COMPUTED_VALUE"""),"SAFe POPM")</f>
        <v>SAFe POPM</v>
      </c>
      <c r="G1184" s="80">
        <f ca="1">IFERROR(__xludf.DUMMYFUNCTION("""COMPUTED_VALUE"""),44774)</f>
        <v>44774</v>
      </c>
      <c r="H1184" s="6" t="str">
        <f ca="1">IFERROR(__xludf.DUMMYFUNCTION("""COMPUTED_VALUE"""),"Won")</f>
        <v>Won</v>
      </c>
      <c r="I1184" s="6" t="str">
        <f ca="1">IFERROR(__xludf.DUMMYFUNCTION("""COMPUTED_VALUE"""),"6-7 Aug 2022")</f>
        <v>6-7 Aug 2022</v>
      </c>
      <c r="J1184" s="6">
        <f ca="1">IFERROR(__xludf.DUMMYFUNCTION("""COMPUTED_VALUE"""),1)</f>
        <v>1</v>
      </c>
      <c r="K1184" s="8">
        <f ca="1">IFERROR(__xludf.DUMMYFUNCTION("""COMPUTED_VALUE"""),40061)</f>
        <v>40061</v>
      </c>
      <c r="L1184" s="8">
        <f ca="1">IFERROR(__xludf.DUMMYFUNCTION("""COMPUTED_VALUE"""),458.783783783783)</f>
        <v>458.78378378378301</v>
      </c>
      <c r="M1184" s="96">
        <f ca="1">IFERROR(__xludf.DUMMYFUNCTION("""COMPUTED_VALUE"""),44778)</f>
        <v>44778</v>
      </c>
      <c r="N1184" s="6" t="str">
        <f ca="1">IFERROR(__xludf.DUMMYFUNCTION("""COMPUTED_VALUE"""),"F10")</f>
        <v>F10</v>
      </c>
      <c r="O1184" s="97">
        <f ca="1">IFERROR(__xludf.DUMMYFUNCTION("""COMPUTED_VALUE"""),44778)</f>
        <v>44778</v>
      </c>
      <c r="P1184" s="6" t="str">
        <f ca="1">IFERROR(__xludf.DUMMYFUNCTION("""COMPUTED_VALUE"""),"CSTM_8GN33N4MPXD")</f>
        <v>CSTM_8GN33N4MPXD</v>
      </c>
      <c r="Q1184" s="6"/>
      <c r="R1184" s="6" t="str">
        <f ca="1">IFERROR(__xludf.DUMMYFUNCTION("""COMPUTED_VALUE"""),"Pending")</f>
        <v>Pending</v>
      </c>
      <c r="S1184" s="6" t="str">
        <f ca="1">IFERROR(__xludf.DUMMYFUNCTION("""COMPUTED_VALUE"""),"SAFe")</f>
        <v>SAFe</v>
      </c>
      <c r="T1184" s="6"/>
      <c r="U1184" s="6"/>
      <c r="V1184" s="6"/>
      <c r="W1184" s="6"/>
      <c r="X1184" s="6"/>
      <c r="Y1184" s="6"/>
      <c r="Z1184" s="6"/>
      <c r="AA1184" s="6"/>
      <c r="AB1184" s="6"/>
      <c r="AC1184" s="6"/>
      <c r="AD1184" s="6"/>
      <c r="AE1184" s="6"/>
      <c r="AF1184" s="6"/>
      <c r="AG1184" s="6"/>
      <c r="AH1184" s="6"/>
      <c r="AI1184" s="6"/>
      <c r="AJ1184" s="6"/>
      <c r="AK1184" s="6"/>
      <c r="AL1184" s="6"/>
    </row>
    <row r="1185" spans="1:38">
      <c r="A1185" s="96">
        <f ca="1">IFERROR(__xludf.DUMMYFUNCTION("""COMPUTED_VALUE"""),44778)</f>
        <v>44778</v>
      </c>
      <c r="B1185" s="6" t="str">
        <f ca="1">IFERROR(__xludf.DUMMYFUNCTION("""COMPUTED_VALUE"""),"Priya Khatavkar")</f>
        <v>Priya Khatavkar</v>
      </c>
      <c r="C1185" s="6" t="str">
        <f ca="1">IFERROR(__xludf.DUMMYFUNCTION("""COMPUTED_VALUE"""),"khatavkarpriya@tataelxsi.co.in")</f>
        <v>khatavkarpriya@tataelxsi.co.in</v>
      </c>
      <c r="D1185" s="6">
        <f ca="1">IFERROR(__xludf.DUMMYFUNCTION("""COMPUTED_VALUE"""),9008499477)</f>
        <v>9008499477</v>
      </c>
      <c r="E1185" s="6" t="str">
        <f ca="1">IFERROR(__xludf.DUMMYFUNCTION("""COMPUTED_VALUE"""),"Reference")</f>
        <v>Reference</v>
      </c>
      <c r="F1185" s="6" t="str">
        <f ca="1">IFERROR(__xludf.DUMMYFUNCTION("""COMPUTED_VALUE"""),"CSM")</f>
        <v>CSM</v>
      </c>
      <c r="G1185" s="80">
        <f ca="1">IFERROR(__xludf.DUMMYFUNCTION("""COMPUTED_VALUE"""),44774)</f>
        <v>44774</v>
      </c>
      <c r="H1185" s="6" t="str">
        <f ca="1">IFERROR(__xludf.DUMMYFUNCTION("""COMPUTED_VALUE"""),"Opportunity")</f>
        <v>Opportunity</v>
      </c>
      <c r="I1185" s="6" t="str">
        <f ca="1">IFERROR(__xludf.DUMMYFUNCTION("""COMPUTED_VALUE"""),"13-14 Aug 2022")</f>
        <v>13-14 Aug 2022</v>
      </c>
      <c r="J1185" s="6">
        <f ca="1">IFERROR(__xludf.DUMMYFUNCTION("""COMPUTED_VALUE"""),1)</f>
        <v>1</v>
      </c>
      <c r="K1185" s="8">
        <f ca="1">IFERROR(__xludf.DUMMYFUNCTION("""COMPUTED_VALUE"""),21000)</f>
        <v>21000</v>
      </c>
      <c r="L1185" s="8">
        <f ca="1">IFERROR(__xludf.DUMMYFUNCTION("""COMPUTED_VALUE"""),240.494732020155)</f>
        <v>240.494732020155</v>
      </c>
      <c r="M1185" s="96">
        <f ca="1">IFERROR(__xludf.DUMMYFUNCTION("""COMPUTED_VALUE"""),44778)</f>
        <v>44778</v>
      </c>
      <c r="N1185" s="6"/>
      <c r="O1185" s="97"/>
      <c r="P1185" s="6"/>
      <c r="Q1185" s="6"/>
      <c r="R1185" s="6"/>
      <c r="S1185" s="6" t="str">
        <f ca="1">IFERROR(__xludf.DUMMYFUNCTION("""COMPUTED_VALUE"""),"Category")</f>
        <v>Category</v>
      </c>
      <c r="T1185" s="6"/>
      <c r="U1185" s="6"/>
      <c r="V1185" s="6"/>
      <c r="W1185" s="6"/>
      <c r="X1185" s="6"/>
      <c r="Y1185" s="6"/>
      <c r="Z1185" s="6"/>
      <c r="AA1185" s="6"/>
      <c r="AB1185" s="6"/>
      <c r="AC1185" s="6"/>
      <c r="AD1185" s="6"/>
      <c r="AE1185" s="6"/>
      <c r="AF1185" s="6"/>
      <c r="AG1185" s="6"/>
      <c r="AH1185" s="6"/>
      <c r="AI1185" s="6"/>
      <c r="AJ1185" s="6"/>
      <c r="AK1185" s="6"/>
      <c r="AL1185" s="6"/>
    </row>
    <row r="1186" spans="1:38">
      <c r="A1186" s="96">
        <f ca="1">IFERROR(__xludf.DUMMYFUNCTION("""COMPUTED_VALUE"""),44781)</f>
        <v>44781</v>
      </c>
      <c r="B1186" s="6" t="str">
        <f ca="1">IFERROR(__xludf.DUMMYFUNCTION("""COMPUTED_VALUE"""),"Anil Khetmalis")</f>
        <v>Anil Khetmalis</v>
      </c>
      <c r="C1186" s="6" t="str">
        <f ca="1">IFERROR(__xludf.DUMMYFUNCTION("""COMPUTED_VALUE"""),"a.khetmalis@tcs.com")</f>
        <v>a.khetmalis@tcs.com</v>
      </c>
      <c r="D1186" s="6">
        <f ca="1">IFERROR(__xludf.DUMMYFUNCTION("""COMPUTED_VALUE"""),8380090386)</f>
        <v>8380090386</v>
      </c>
      <c r="E1186" s="6" t="str">
        <f ca="1">IFERROR(__xludf.DUMMYFUNCTION("""COMPUTED_VALUE"""),"Reference")</f>
        <v>Reference</v>
      </c>
      <c r="F1186" s="6" t="str">
        <f ca="1">IFERROR(__xludf.DUMMYFUNCTION("""COMPUTED_VALUE"""),"PSM 2")</f>
        <v>PSM 2</v>
      </c>
      <c r="G1186" s="80">
        <f ca="1">IFERROR(__xludf.DUMMYFUNCTION("""COMPUTED_VALUE"""),44774)</f>
        <v>44774</v>
      </c>
      <c r="H1186" s="6" t="str">
        <f ca="1">IFERROR(__xludf.DUMMYFUNCTION("""COMPUTED_VALUE"""),"Won")</f>
        <v>Won</v>
      </c>
      <c r="I1186" s="6" t="str">
        <f ca="1">IFERROR(__xludf.DUMMYFUNCTION("""COMPUTED_VALUE"""),"10-11 Sep 2022")</f>
        <v>10-11 Sep 2022</v>
      </c>
      <c r="J1186" s="6">
        <f ca="1">IFERROR(__xludf.DUMMYFUNCTION("""COMPUTED_VALUE"""),1)</f>
        <v>1</v>
      </c>
      <c r="K1186" s="8">
        <f ca="1">IFERROR(__xludf.DUMMYFUNCTION("""COMPUTED_VALUE"""),24000)</f>
        <v>24000</v>
      </c>
      <c r="L1186" s="8">
        <f ca="1">IFERROR(__xludf.DUMMYFUNCTION("""COMPUTED_VALUE"""),274.851122308749)</f>
        <v>274.85112230874898</v>
      </c>
      <c r="M1186" s="96">
        <f ca="1">IFERROR(__xludf.DUMMYFUNCTION("""COMPUTED_VALUE"""),44781)</f>
        <v>44781</v>
      </c>
      <c r="N1186" s="6" t="str">
        <f ca="1">IFERROR(__xludf.DUMMYFUNCTION("""COMPUTED_VALUE"""),"S10")</f>
        <v>S10</v>
      </c>
      <c r="O1186" s="97">
        <f ca="1">IFERROR(__xludf.DUMMYFUNCTION("""COMPUTED_VALUE"""),44791)</f>
        <v>44791</v>
      </c>
      <c r="P1186" s="6" t="str">
        <f ca="1">IFERROR(__xludf.DUMMYFUNCTION("""COMPUTED_VALUE"""),"CSTM_RLJ2S8JJ7H")</f>
        <v>CSTM_RLJ2S8JJ7H</v>
      </c>
      <c r="Q1186" s="6" t="str">
        <f ca="1">IFERROR(__xludf.DUMMYFUNCTION("""COMPUTED_VALUE"""),"Reference by Chetan")</f>
        <v>Reference by Chetan</v>
      </c>
      <c r="R1186" s="6" t="str">
        <f ca="1">IFERROR(__xludf.DUMMYFUNCTION("""COMPUTED_VALUE"""),"Done. Good feedback.")</f>
        <v>Done. Good feedback.</v>
      </c>
      <c r="S1186" s="6" t="str">
        <f ca="1">IFERROR(__xludf.DUMMYFUNCTION("""COMPUTED_VALUE"""),"Category")</f>
        <v>Category</v>
      </c>
      <c r="T1186" s="6" t="str">
        <f ca="1">IFERROR(__xludf.DUMMYFUNCTION("""COMPUTED_VALUE"""),"Filled the form")</f>
        <v>Filled the form</v>
      </c>
      <c r="U1186" s="6"/>
      <c r="V1186" s="6"/>
      <c r="W1186" s="6"/>
      <c r="X1186" s="6"/>
      <c r="Y1186" s="6"/>
      <c r="Z1186" s="6"/>
      <c r="AA1186" s="6"/>
      <c r="AB1186" s="6"/>
      <c r="AC1186" s="6"/>
      <c r="AD1186" s="6"/>
      <c r="AE1186" s="6"/>
      <c r="AF1186" s="6"/>
      <c r="AG1186" s="6"/>
      <c r="AH1186" s="6"/>
      <c r="AI1186" s="6"/>
      <c r="AJ1186" s="6"/>
      <c r="AK1186" s="6"/>
      <c r="AL1186" s="6"/>
    </row>
    <row r="1187" spans="1:38">
      <c r="A1187" s="96">
        <f ca="1">IFERROR(__xludf.DUMMYFUNCTION("""COMPUTED_VALUE"""),44781)</f>
        <v>44781</v>
      </c>
      <c r="B1187" s="6" t="str">
        <f ca="1">IFERROR(__xludf.DUMMYFUNCTION("""COMPUTED_VALUE"""),"Aditya Soti")</f>
        <v>Aditya Soti</v>
      </c>
      <c r="C1187" s="6" t="str">
        <f ca="1">IFERROR(__xludf.DUMMYFUNCTION("""COMPUTED_VALUE"""),"sotiaditya@gmail.com")</f>
        <v>sotiaditya@gmail.com</v>
      </c>
      <c r="D1187" s="6">
        <f ca="1">IFERROR(__xludf.DUMMYFUNCTION("""COMPUTED_VALUE"""),8218626059)</f>
        <v>8218626059</v>
      </c>
      <c r="E1187" s="6" t="str">
        <f ca="1">IFERROR(__xludf.DUMMYFUNCTION("""COMPUTED_VALUE"""),"Tollfree")</f>
        <v>Tollfree</v>
      </c>
      <c r="F1187" s="6" t="str">
        <f ca="1">IFERROR(__xludf.DUMMYFUNCTION("""COMPUTED_VALUE"""),"PSPO")</f>
        <v>PSPO</v>
      </c>
      <c r="G1187" s="80">
        <f ca="1">IFERROR(__xludf.DUMMYFUNCTION("""COMPUTED_VALUE"""),44774)</f>
        <v>44774</v>
      </c>
      <c r="H1187" s="6" t="str">
        <f ca="1">IFERROR(__xludf.DUMMYFUNCTION("""COMPUTED_VALUE"""),"Won")</f>
        <v>Won</v>
      </c>
      <c r="I1187" s="6" t="str">
        <f ca="1">IFERROR(__xludf.DUMMYFUNCTION("""COMPUTED_VALUE"""),"27-28 Aug 2022")</f>
        <v>27-28 Aug 2022</v>
      </c>
      <c r="J1187" s="6">
        <f ca="1">IFERROR(__xludf.DUMMYFUNCTION("""COMPUTED_VALUE"""),1)</f>
        <v>1</v>
      </c>
      <c r="K1187" s="8">
        <f ca="1">IFERROR(__xludf.DUMMYFUNCTION("""COMPUTED_VALUE"""),21000)</f>
        <v>21000</v>
      </c>
      <c r="L1187" s="8">
        <f ca="1">IFERROR(__xludf.DUMMYFUNCTION("""COMPUTED_VALUE"""),240.494732020155)</f>
        <v>240.494732020155</v>
      </c>
      <c r="M1187" s="96">
        <f ca="1">IFERROR(__xludf.DUMMYFUNCTION("""COMPUTED_VALUE"""),44781)</f>
        <v>44781</v>
      </c>
      <c r="N1187" s="6" t="str">
        <f ca="1">IFERROR(__xludf.DUMMYFUNCTION("""COMPUTED_VALUE"""),"F10")</f>
        <v>F10</v>
      </c>
      <c r="O1187" s="97">
        <f ca="1">IFERROR(__xludf.DUMMYFUNCTION("""COMPUTED_VALUE"""),44782)</f>
        <v>44782</v>
      </c>
      <c r="P1187" s="6" t="str">
        <f ca="1">IFERROR(__xludf.DUMMYFUNCTION("""COMPUTED_VALUE"""),"CSTM_HRK7VDVA4Q2")</f>
        <v>CSTM_HRK7VDVA4Q2</v>
      </c>
      <c r="Q1187" s="6"/>
      <c r="R1187" s="6" t="str">
        <f ca="1">IFERROR(__xludf.DUMMYFUNCTION("""COMPUTED_VALUE"""),"Done. Good feedback.")</f>
        <v>Done. Good feedback.</v>
      </c>
      <c r="S1187" s="6" t="str">
        <f ca="1">IFERROR(__xludf.DUMMYFUNCTION("""COMPUTED_VALUE"""),"Category")</f>
        <v>Category</v>
      </c>
      <c r="T1187" s="6"/>
      <c r="U1187" s="6"/>
      <c r="V1187" s="6"/>
      <c r="W1187" s="6"/>
      <c r="X1187" s="6"/>
      <c r="Y1187" s="6"/>
      <c r="Z1187" s="6"/>
      <c r="AA1187" s="6"/>
      <c r="AB1187" s="6"/>
      <c r="AC1187" s="6"/>
      <c r="AD1187" s="6"/>
      <c r="AE1187" s="6"/>
      <c r="AF1187" s="6"/>
      <c r="AG1187" s="6"/>
      <c r="AH1187" s="6"/>
      <c r="AI1187" s="6"/>
      <c r="AJ1187" s="6"/>
      <c r="AK1187" s="6"/>
      <c r="AL1187" s="6"/>
    </row>
    <row r="1188" spans="1:38">
      <c r="A1188" s="96">
        <f ca="1">IFERROR(__xludf.DUMMYFUNCTION("""COMPUTED_VALUE"""),44781)</f>
        <v>44781</v>
      </c>
      <c r="B1188" s="6" t="str">
        <f ca="1">IFERROR(__xludf.DUMMYFUNCTION("""COMPUTED_VALUE"""),"Sophia Reena")</f>
        <v>Sophia Reena</v>
      </c>
      <c r="C1188" s="6" t="str">
        <f ca="1">IFERROR(__xludf.DUMMYFUNCTION("""COMPUTED_VALUE"""),"sophia.reena@gmail.com")</f>
        <v>sophia.reena@gmail.com</v>
      </c>
      <c r="D1188" s="6">
        <f ca="1">IFERROR(__xludf.DUMMYFUNCTION("""COMPUTED_VALUE"""),9916960033)</f>
        <v>9916960033</v>
      </c>
      <c r="E1188" s="6" t="str">
        <f ca="1">IFERROR(__xludf.DUMMYFUNCTION("""COMPUTED_VALUE"""),"chat_initiated")</f>
        <v>chat_initiated</v>
      </c>
      <c r="F1188" s="6" t="str">
        <f ca="1">IFERROR(__xludf.DUMMYFUNCTION("""COMPUTED_VALUE"""),"PSM 2")</f>
        <v>PSM 2</v>
      </c>
      <c r="G1188" s="80">
        <f ca="1">IFERROR(__xludf.DUMMYFUNCTION("""COMPUTED_VALUE"""),44774)</f>
        <v>44774</v>
      </c>
      <c r="H1188" s="6" t="str">
        <f ca="1">IFERROR(__xludf.DUMMYFUNCTION("""COMPUTED_VALUE"""),"Won")</f>
        <v>Won</v>
      </c>
      <c r="I1188" s="6" t="str">
        <f ca="1">IFERROR(__xludf.DUMMYFUNCTION("""COMPUTED_VALUE"""),"26-27 Nov 2022")</f>
        <v>26-27 Nov 2022</v>
      </c>
      <c r="J1188" s="6">
        <f ca="1">IFERROR(__xludf.DUMMYFUNCTION("""COMPUTED_VALUE"""),1)</f>
        <v>1</v>
      </c>
      <c r="K1188" s="8">
        <f ca="1">IFERROR(__xludf.DUMMYFUNCTION("""COMPUTED_VALUE"""),24000)</f>
        <v>24000</v>
      </c>
      <c r="L1188" s="8">
        <f ca="1">IFERROR(__xludf.DUMMYFUNCTION("""COMPUTED_VALUE"""),274.851122308749)</f>
        <v>274.85112230874898</v>
      </c>
      <c r="M1188" s="96">
        <f ca="1">IFERROR(__xludf.DUMMYFUNCTION("""COMPUTED_VALUE"""),44781)</f>
        <v>44781</v>
      </c>
      <c r="N1188" s="6" t="str">
        <f ca="1">IFERROR(__xludf.DUMMYFUNCTION("""COMPUTED_VALUE"""),"F10")</f>
        <v>F10</v>
      </c>
      <c r="O1188" s="97">
        <f ca="1">IFERROR(__xludf.DUMMYFUNCTION("""COMPUTED_VALUE"""),44782)</f>
        <v>44782</v>
      </c>
      <c r="P1188" s="6" t="str">
        <f ca="1">IFERROR(__xludf.DUMMYFUNCTION("""COMPUTED_VALUE"""),"CSTM_FJEXVWSI1XB")</f>
        <v>CSTM_FJEXVWSI1XB</v>
      </c>
      <c r="Q1188" s="6"/>
      <c r="R1188" s="6" t="str">
        <f ca="1">IFERROR(__xludf.DUMMYFUNCTION("""COMPUTED_VALUE"""),"Pending")</f>
        <v>Pending</v>
      </c>
      <c r="S1188" s="6" t="str">
        <f ca="1">IFERROR(__xludf.DUMMYFUNCTION("""COMPUTED_VALUE"""),"Category")</f>
        <v>Category</v>
      </c>
      <c r="T1188" s="6"/>
      <c r="U1188" s="6"/>
      <c r="V1188" s="6"/>
      <c r="W1188" s="6"/>
      <c r="X1188" s="6"/>
      <c r="Y1188" s="6"/>
      <c r="Z1188" s="6"/>
      <c r="AA1188" s="6"/>
      <c r="AB1188" s="6"/>
      <c r="AC1188" s="6"/>
      <c r="AD1188" s="6"/>
      <c r="AE1188" s="6"/>
      <c r="AF1188" s="6"/>
      <c r="AG1188" s="6"/>
      <c r="AH1188" s="6"/>
      <c r="AI1188" s="6"/>
      <c r="AJ1188" s="6"/>
      <c r="AK1188" s="6"/>
      <c r="AL1188" s="6"/>
    </row>
    <row r="1189" spans="1:38">
      <c r="A1189" s="96">
        <f ca="1">IFERROR(__xludf.DUMMYFUNCTION("""COMPUTED_VALUE"""),44781)</f>
        <v>44781</v>
      </c>
      <c r="B1189" s="6" t="str">
        <f ca="1">IFERROR(__xludf.DUMMYFUNCTION("""COMPUTED_VALUE"""),"Anamika Sharma")</f>
        <v>Anamika Sharma</v>
      </c>
      <c r="C1189" s="6" t="str">
        <f ca="1">IFERROR(__xludf.DUMMYFUNCTION("""COMPUTED_VALUE"""),"anamika.sharma07@gmail.com")</f>
        <v>anamika.sharma07@gmail.com</v>
      </c>
      <c r="D1189" s="6">
        <f ca="1">IFERROR(__xludf.DUMMYFUNCTION("""COMPUTED_VALUE"""),9845024036)</f>
        <v>9845024036</v>
      </c>
      <c r="E1189" s="6" t="str">
        <f ca="1">IFERROR(__xludf.DUMMYFUNCTION("""COMPUTED_VALUE"""),"Existing Account")</f>
        <v>Existing Account</v>
      </c>
      <c r="F1189" s="6" t="str">
        <f ca="1">IFERROR(__xludf.DUMMYFUNCTION("""COMPUTED_VALUE"""),"PSM 2")</f>
        <v>PSM 2</v>
      </c>
      <c r="G1189" s="80">
        <f ca="1">IFERROR(__xludf.DUMMYFUNCTION("""COMPUTED_VALUE"""),44774)</f>
        <v>44774</v>
      </c>
      <c r="H1189" s="6" t="str">
        <f ca="1">IFERROR(__xludf.DUMMYFUNCTION("""COMPUTED_VALUE"""),"Opportunity")</f>
        <v>Opportunity</v>
      </c>
      <c r="I1189" s="6" t="str">
        <f ca="1">IFERROR(__xludf.DUMMYFUNCTION("""COMPUTED_VALUE"""),"10-11 Sep 2022")</f>
        <v>10-11 Sep 2022</v>
      </c>
      <c r="J1189" s="6">
        <f ca="1">IFERROR(__xludf.DUMMYFUNCTION("""COMPUTED_VALUE"""),1)</f>
        <v>1</v>
      </c>
      <c r="K1189" s="8">
        <f ca="1">IFERROR(__xludf.DUMMYFUNCTION("""COMPUTED_VALUE"""),24000)</f>
        <v>24000</v>
      </c>
      <c r="L1189" s="8">
        <f ca="1">IFERROR(__xludf.DUMMYFUNCTION("""COMPUTED_VALUE"""),274.851122308749)</f>
        <v>274.85112230874898</v>
      </c>
      <c r="M1189" s="96">
        <f ca="1">IFERROR(__xludf.DUMMYFUNCTION("""COMPUTED_VALUE"""),44781)</f>
        <v>44781</v>
      </c>
      <c r="N1189" s="6"/>
      <c r="O1189" s="97"/>
      <c r="P1189" s="6"/>
      <c r="Q1189" s="6"/>
      <c r="R1189" s="6"/>
      <c r="S1189" s="6" t="str">
        <f ca="1">IFERROR(__xludf.DUMMYFUNCTION("""COMPUTED_VALUE"""),"Category")</f>
        <v>Category</v>
      </c>
      <c r="T1189" s="6"/>
      <c r="U1189" s="6"/>
      <c r="V1189" s="6"/>
      <c r="W1189" s="6"/>
      <c r="X1189" s="6"/>
      <c r="Y1189" s="6"/>
      <c r="Z1189" s="6"/>
      <c r="AA1189" s="6"/>
      <c r="AB1189" s="6"/>
      <c r="AC1189" s="6"/>
      <c r="AD1189" s="6"/>
      <c r="AE1189" s="6"/>
      <c r="AF1189" s="6"/>
      <c r="AG1189" s="6"/>
      <c r="AH1189" s="6"/>
      <c r="AI1189" s="6"/>
      <c r="AJ1189" s="6"/>
      <c r="AK1189" s="6"/>
      <c r="AL1189" s="6"/>
    </row>
    <row r="1190" spans="1:38">
      <c r="A1190" s="96">
        <f ca="1">IFERROR(__xludf.DUMMYFUNCTION("""COMPUTED_VALUE"""),44781)</f>
        <v>44781</v>
      </c>
      <c r="B1190" s="6" t="str">
        <f ca="1">IFERROR(__xludf.DUMMYFUNCTION("""COMPUTED_VALUE"""),"Devanand Parathikkadu")</f>
        <v>Devanand Parathikkadu</v>
      </c>
      <c r="C1190" s="6" t="str">
        <f ca="1">IFERROR(__xludf.DUMMYFUNCTION("""COMPUTED_VALUE"""),"devanand.parathikkadu@kyndryl.com")</f>
        <v>devanand.parathikkadu@kyndryl.com</v>
      </c>
      <c r="D1190" s="6">
        <f ca="1">IFERROR(__xludf.DUMMYFUNCTION("""COMPUTED_VALUE"""),8861884000)</f>
        <v>8861884000</v>
      </c>
      <c r="E1190" s="6" t="str">
        <f ca="1">IFERROR(__xludf.DUMMYFUNCTION("""COMPUTED_VALUE"""),"Query box")</f>
        <v>Query box</v>
      </c>
      <c r="F1190" s="6" t="str">
        <f ca="1">IFERROR(__xludf.DUMMYFUNCTION("""COMPUTED_VALUE"""),"SAFe Agile")</f>
        <v>SAFe Agile</v>
      </c>
      <c r="G1190" s="80">
        <f ca="1">IFERROR(__xludf.DUMMYFUNCTION("""COMPUTED_VALUE"""),44774)</f>
        <v>44774</v>
      </c>
      <c r="H1190" s="6" t="str">
        <f ca="1">IFERROR(__xludf.DUMMYFUNCTION("""COMPUTED_VALUE"""),"Won")</f>
        <v>Won</v>
      </c>
      <c r="I1190" s="6" t="str">
        <f ca="1">IFERROR(__xludf.DUMMYFUNCTION("""COMPUTED_VALUE"""),"13-14 Aug 2022")</f>
        <v>13-14 Aug 2022</v>
      </c>
      <c r="J1190" s="6">
        <f ca="1">IFERROR(__xludf.DUMMYFUNCTION("""COMPUTED_VALUE"""),1)</f>
        <v>1</v>
      </c>
      <c r="K1190" s="8">
        <f ca="1">IFERROR(__xludf.DUMMYFUNCTION("""COMPUTED_VALUE"""),42000)</f>
        <v>42000</v>
      </c>
      <c r="L1190" s="8">
        <f ca="1">IFERROR(__xludf.DUMMYFUNCTION("""COMPUTED_VALUE"""),480.989464040311)</f>
        <v>480.98946404031102</v>
      </c>
      <c r="M1190" s="96">
        <f ca="1">IFERROR(__xludf.DUMMYFUNCTION("""COMPUTED_VALUE"""),44781)</f>
        <v>44781</v>
      </c>
      <c r="N1190" s="6" t="str">
        <f ca="1">IFERROR(__xludf.DUMMYFUNCTION("""COMPUTED_VALUE"""),"F10")</f>
        <v>F10</v>
      </c>
      <c r="O1190" s="97">
        <f ca="1">IFERROR(__xludf.DUMMYFUNCTION("""COMPUTED_VALUE"""),44781)</f>
        <v>44781</v>
      </c>
      <c r="P1190" s="6" t="str">
        <f ca="1">IFERROR(__xludf.DUMMYFUNCTION("""COMPUTED_VALUE"""),"CSTM_2IYBAPGLB0I")</f>
        <v>CSTM_2IYBAPGLB0I</v>
      </c>
      <c r="Q1190" s="6"/>
      <c r="R1190" s="6" t="str">
        <f ca="1">IFERROR(__xludf.DUMMYFUNCTION("""COMPUTED_VALUE"""),"Done. Good feedback.")</f>
        <v>Done. Good feedback.</v>
      </c>
      <c r="S1190" s="6" t="str">
        <f ca="1">IFERROR(__xludf.DUMMYFUNCTION("""COMPUTED_VALUE"""),"SAFe")</f>
        <v>SAFe</v>
      </c>
      <c r="T1190" s="6"/>
      <c r="U1190" s="6"/>
      <c r="V1190" s="6"/>
      <c r="W1190" s="6"/>
      <c r="X1190" s="6"/>
      <c r="Y1190" s="6"/>
      <c r="Z1190" s="6"/>
      <c r="AA1190" s="6"/>
      <c r="AB1190" s="6"/>
      <c r="AC1190" s="6"/>
      <c r="AD1190" s="6"/>
      <c r="AE1190" s="6"/>
      <c r="AF1190" s="6"/>
      <c r="AG1190" s="6"/>
      <c r="AH1190" s="6"/>
      <c r="AI1190" s="6"/>
      <c r="AJ1190" s="6"/>
      <c r="AK1190" s="6"/>
      <c r="AL1190" s="6"/>
    </row>
    <row r="1191" spans="1:38">
      <c r="A1191" s="96">
        <f ca="1">IFERROR(__xludf.DUMMYFUNCTION("""COMPUTED_VALUE"""),44782)</f>
        <v>44782</v>
      </c>
      <c r="B1191" s="6" t="str">
        <f ca="1">IFERROR(__xludf.DUMMYFUNCTION("""COMPUTED_VALUE"""),"Sharika S")</f>
        <v>Sharika S</v>
      </c>
      <c r="C1191" s="6" t="str">
        <f ca="1">IFERROR(__xludf.DUMMYFUNCTION("""COMPUTED_VALUE"""),"sharikas2004@yahoo.co.in")</f>
        <v>sharikas2004@yahoo.co.in</v>
      </c>
      <c r="D1191" s="6">
        <f ca="1">IFERROR(__xludf.DUMMYFUNCTION("""COMPUTED_VALUE"""),9960918641)</f>
        <v>9960918641</v>
      </c>
      <c r="E1191" s="6" t="str">
        <f ca="1">IFERROR(__xludf.DUMMYFUNCTION("""COMPUTED_VALUE"""),"Reference")</f>
        <v>Reference</v>
      </c>
      <c r="F1191" s="6" t="str">
        <f ca="1">IFERROR(__xludf.DUMMYFUNCTION("""COMPUTED_VALUE"""),"PSM")</f>
        <v>PSM</v>
      </c>
      <c r="G1191" s="80">
        <f ca="1">IFERROR(__xludf.DUMMYFUNCTION("""COMPUTED_VALUE"""),44774)</f>
        <v>44774</v>
      </c>
      <c r="H1191" s="6" t="str">
        <f ca="1">IFERROR(__xludf.DUMMYFUNCTION("""COMPUTED_VALUE"""),"Won")</f>
        <v>Won</v>
      </c>
      <c r="I1191" s="6" t="str">
        <f ca="1">IFERROR(__xludf.DUMMYFUNCTION("""COMPUTED_VALUE"""),"13-14 Aug 2022")</f>
        <v>13-14 Aug 2022</v>
      </c>
      <c r="J1191" s="6">
        <f ca="1">IFERROR(__xludf.DUMMYFUNCTION("""COMPUTED_VALUE"""),1)</f>
        <v>1</v>
      </c>
      <c r="K1191" s="8">
        <f ca="1">IFERROR(__xludf.DUMMYFUNCTION("""COMPUTED_VALUE"""),21000)</f>
        <v>21000</v>
      </c>
      <c r="L1191" s="8">
        <f ca="1">IFERROR(__xludf.DUMMYFUNCTION("""COMPUTED_VALUE"""),240.494732020155)</f>
        <v>240.494732020155</v>
      </c>
      <c r="M1191" s="96">
        <f ca="1">IFERROR(__xludf.DUMMYFUNCTION("""COMPUTED_VALUE"""),44782)</f>
        <v>44782</v>
      </c>
      <c r="N1191" s="6" t="str">
        <f ca="1">IFERROR(__xludf.DUMMYFUNCTION("""COMPUTED_VALUE"""),"F10")</f>
        <v>F10</v>
      </c>
      <c r="O1191" s="97">
        <f ca="1">IFERROR(__xludf.DUMMYFUNCTION("""COMPUTED_VALUE"""),44782)</f>
        <v>44782</v>
      </c>
      <c r="P1191" s="6" t="str">
        <f ca="1">IFERROR(__xludf.DUMMYFUNCTION("""COMPUTED_VALUE"""),"CSTM_IFX55W133XJ")</f>
        <v>CSTM_IFX55W133XJ</v>
      </c>
      <c r="Q1191" s="6" t="str">
        <f ca="1">IFERROR(__xludf.DUMMYFUNCTION("""COMPUTED_VALUE"""),"Reference by Vivek")</f>
        <v>Reference by Vivek</v>
      </c>
      <c r="R1191" s="6" t="str">
        <f ca="1">IFERROR(__xludf.DUMMYFUNCTION("""COMPUTED_VALUE"""),"Done. Good feedback.")</f>
        <v>Done. Good feedback.</v>
      </c>
      <c r="S1191" s="6" t="str">
        <f ca="1">IFERROR(__xludf.DUMMYFUNCTION("""COMPUTED_VALUE"""),"Category")</f>
        <v>Category</v>
      </c>
      <c r="T1191" s="6"/>
      <c r="U1191" s="6"/>
      <c r="V1191" s="6"/>
      <c r="W1191" s="6"/>
      <c r="X1191" s="6"/>
      <c r="Y1191" s="6"/>
      <c r="Z1191" s="6"/>
      <c r="AA1191" s="6"/>
      <c r="AB1191" s="6"/>
      <c r="AC1191" s="6"/>
      <c r="AD1191" s="6"/>
      <c r="AE1191" s="6"/>
      <c r="AF1191" s="6"/>
      <c r="AG1191" s="6"/>
      <c r="AH1191" s="6"/>
      <c r="AI1191" s="6"/>
      <c r="AJ1191" s="6"/>
      <c r="AK1191" s="6"/>
      <c r="AL1191" s="6"/>
    </row>
    <row r="1192" spans="1:38">
      <c r="A1192" s="96">
        <f ca="1">IFERROR(__xludf.DUMMYFUNCTION("""COMPUTED_VALUE"""),44782)</f>
        <v>44782</v>
      </c>
      <c r="B1192" s="6" t="str">
        <f ca="1">IFERROR(__xludf.DUMMYFUNCTION("""COMPUTED_VALUE"""),"Shaiwal Mahajan")</f>
        <v>Shaiwal Mahajan</v>
      </c>
      <c r="C1192" s="6" t="str">
        <f ca="1">IFERROR(__xludf.DUMMYFUNCTION("""COMPUTED_VALUE"""),"shaiwal.mahajan@eclerx.com")</f>
        <v>shaiwal.mahajan@eclerx.com</v>
      </c>
      <c r="D1192" s="6">
        <f ca="1">IFERROR(__xludf.DUMMYFUNCTION("""COMPUTED_VALUE"""),9011001868)</f>
        <v>9011001868</v>
      </c>
      <c r="E1192" s="6" t="str">
        <f ca="1">IFERROR(__xludf.DUMMYFUNCTION("""COMPUTED_VALUE"""),"Reference")</f>
        <v>Reference</v>
      </c>
      <c r="F1192" s="6" t="str">
        <f ca="1">IFERROR(__xludf.DUMMYFUNCTION("""COMPUTED_VALUE"""),"SAFe Agile")</f>
        <v>SAFe Agile</v>
      </c>
      <c r="G1192" s="80">
        <f ca="1">IFERROR(__xludf.DUMMYFUNCTION("""COMPUTED_VALUE"""),44774)</f>
        <v>44774</v>
      </c>
      <c r="H1192" s="6" t="str">
        <f ca="1">IFERROR(__xludf.DUMMYFUNCTION("""COMPUTED_VALUE"""),"Won")</f>
        <v>Won</v>
      </c>
      <c r="I1192" s="6" t="str">
        <f ca="1">IFERROR(__xludf.DUMMYFUNCTION("""COMPUTED_VALUE"""),"13-14 Aug 2022")</f>
        <v>13-14 Aug 2022</v>
      </c>
      <c r="J1192" s="6">
        <f ca="1">IFERROR(__xludf.DUMMYFUNCTION("""COMPUTED_VALUE"""),1)</f>
        <v>1</v>
      </c>
      <c r="K1192" s="8">
        <f ca="1">IFERROR(__xludf.DUMMYFUNCTION("""COMPUTED_VALUE"""),40061)</f>
        <v>40061</v>
      </c>
      <c r="L1192" s="8">
        <f ca="1">IFERROR(__xludf.DUMMYFUNCTION("""COMPUTED_VALUE"""),458.783783783783)</f>
        <v>458.78378378378301</v>
      </c>
      <c r="M1192" s="96">
        <f ca="1">IFERROR(__xludf.DUMMYFUNCTION("""COMPUTED_VALUE"""),44782)</f>
        <v>44782</v>
      </c>
      <c r="N1192" s="6" t="str">
        <f ca="1">IFERROR(__xludf.DUMMYFUNCTION("""COMPUTED_VALUE"""),"F10")</f>
        <v>F10</v>
      </c>
      <c r="O1192" s="97">
        <f ca="1">IFERROR(__xludf.DUMMYFUNCTION("""COMPUTED_VALUE"""),44782)</f>
        <v>44782</v>
      </c>
      <c r="P1192" s="6" t="str">
        <f ca="1">IFERROR(__xludf.DUMMYFUNCTION("""COMPUTED_VALUE"""),"CSTM_5IUA7B6JCI")</f>
        <v>CSTM_5IUA7B6JCI</v>
      </c>
      <c r="Q1192" s="6" t="str">
        <f ca="1">IFERROR(__xludf.DUMMYFUNCTION("""COMPUTED_VALUE"""),"Reference by Amit Purohit")</f>
        <v>Reference by Amit Purohit</v>
      </c>
      <c r="R1192" s="6" t="str">
        <f ca="1">IFERROR(__xludf.DUMMYFUNCTION("""COMPUTED_VALUE"""),"Done. Good feedback.")</f>
        <v>Done. Good feedback.</v>
      </c>
      <c r="S1192" s="6" t="str">
        <f ca="1">IFERROR(__xludf.DUMMYFUNCTION("""COMPUTED_VALUE"""),"SAFe")</f>
        <v>SAFe</v>
      </c>
      <c r="T1192" s="6" t="str">
        <f ca="1">IFERROR(__xludf.DUMMYFUNCTION("""COMPUTED_VALUE"""),"Filled the form")</f>
        <v>Filled the form</v>
      </c>
      <c r="U1192" s="6"/>
      <c r="V1192" s="6"/>
      <c r="W1192" s="6"/>
      <c r="X1192" s="6"/>
      <c r="Y1192" s="6"/>
      <c r="Z1192" s="6"/>
      <c r="AA1192" s="6"/>
      <c r="AB1192" s="6"/>
      <c r="AC1192" s="6"/>
      <c r="AD1192" s="6"/>
      <c r="AE1192" s="6"/>
      <c r="AF1192" s="6"/>
      <c r="AG1192" s="6"/>
      <c r="AH1192" s="6"/>
      <c r="AI1192" s="6"/>
      <c r="AJ1192" s="6"/>
      <c r="AK1192" s="6"/>
      <c r="AL1192" s="6"/>
    </row>
    <row r="1193" spans="1:38">
      <c r="A1193" s="96">
        <f ca="1">IFERROR(__xludf.DUMMYFUNCTION("""COMPUTED_VALUE"""),44782)</f>
        <v>44782</v>
      </c>
      <c r="B1193" s="6" t="str">
        <f ca="1">IFERROR(__xludf.DUMMYFUNCTION("""COMPUTED_VALUE"""),"Arun Kadalayil")</f>
        <v>Arun Kadalayil</v>
      </c>
      <c r="C1193" s="6" t="str">
        <f ca="1">IFERROR(__xludf.DUMMYFUNCTION("""COMPUTED_VALUE"""),"arunkadalayil@gmail.com")</f>
        <v>arunkadalayil@gmail.com</v>
      </c>
      <c r="D1193" s="6">
        <f ca="1">IFERROR(__xludf.DUMMYFUNCTION("""COMPUTED_VALUE"""),9011061300)</f>
        <v>9011061300</v>
      </c>
      <c r="E1193" s="6" t="str">
        <f ca="1">IFERROR(__xludf.DUMMYFUNCTION("""COMPUTED_VALUE"""),"Chat_triggered")</f>
        <v>Chat_triggered</v>
      </c>
      <c r="F1193" s="6" t="str">
        <f ca="1">IFERROR(__xludf.DUMMYFUNCTION("""COMPUTED_VALUE"""),"SAFe Agile")</f>
        <v>SAFe Agile</v>
      </c>
      <c r="G1193" s="80">
        <f ca="1">IFERROR(__xludf.DUMMYFUNCTION("""COMPUTED_VALUE"""),44774)</f>
        <v>44774</v>
      </c>
      <c r="H1193" s="6" t="str">
        <f ca="1">IFERROR(__xludf.DUMMYFUNCTION("""COMPUTED_VALUE"""),"Won")</f>
        <v>Won</v>
      </c>
      <c r="I1193" s="6" t="str">
        <f ca="1">IFERROR(__xludf.DUMMYFUNCTION("""COMPUTED_VALUE"""),"27-28 Aug 2022")</f>
        <v>27-28 Aug 2022</v>
      </c>
      <c r="J1193" s="6">
        <f ca="1">IFERROR(__xludf.DUMMYFUNCTION("""COMPUTED_VALUE"""),1)</f>
        <v>1</v>
      </c>
      <c r="K1193" s="8">
        <f ca="1">IFERROR(__xludf.DUMMYFUNCTION("""COMPUTED_VALUE"""),42000)</f>
        <v>42000</v>
      </c>
      <c r="L1193" s="8">
        <f ca="1">IFERROR(__xludf.DUMMYFUNCTION("""COMPUTED_VALUE"""),480.989464040311)</f>
        <v>480.98946404031102</v>
      </c>
      <c r="M1193" s="96">
        <f ca="1">IFERROR(__xludf.DUMMYFUNCTION("""COMPUTED_VALUE"""),44782)</f>
        <v>44782</v>
      </c>
      <c r="N1193" s="6" t="str">
        <f ca="1">IFERROR(__xludf.DUMMYFUNCTION("""COMPUTED_VALUE"""),"F10")</f>
        <v>F10</v>
      </c>
      <c r="O1193" s="97">
        <f ca="1">IFERROR(__xludf.DUMMYFUNCTION("""COMPUTED_VALUE"""),44782)</f>
        <v>44782</v>
      </c>
      <c r="P1193" s="6" t="str">
        <f ca="1">IFERROR(__xludf.DUMMYFUNCTION("""COMPUTED_VALUE"""),"CSTM_B916QAMR5L9")</f>
        <v>CSTM_B916QAMR5L9</v>
      </c>
      <c r="Q1193" s="6"/>
      <c r="R1193" s="6" t="str">
        <f ca="1">IFERROR(__xludf.DUMMYFUNCTION("""COMPUTED_VALUE"""),"Done. Good feedback.")</f>
        <v>Done. Good feedback.</v>
      </c>
      <c r="S1193" s="6" t="str">
        <f ca="1">IFERROR(__xludf.DUMMYFUNCTION("""COMPUTED_VALUE"""),"SAFe")</f>
        <v>SAFe</v>
      </c>
      <c r="T1193" s="6"/>
      <c r="U1193" s="6"/>
      <c r="V1193" s="6"/>
      <c r="W1193" s="6"/>
      <c r="X1193" s="6"/>
      <c r="Y1193" s="6"/>
      <c r="Z1193" s="6"/>
      <c r="AA1193" s="6"/>
      <c r="AB1193" s="6"/>
      <c r="AC1193" s="6"/>
      <c r="AD1193" s="6"/>
      <c r="AE1193" s="6"/>
      <c r="AF1193" s="6"/>
      <c r="AG1193" s="6"/>
      <c r="AH1193" s="6"/>
      <c r="AI1193" s="6"/>
      <c r="AJ1193" s="6"/>
      <c r="AK1193" s="6"/>
      <c r="AL1193" s="6"/>
    </row>
    <row r="1194" spans="1:38">
      <c r="A1194" s="96">
        <f ca="1">IFERROR(__xludf.DUMMYFUNCTION("""COMPUTED_VALUE"""),44783)</f>
        <v>44783</v>
      </c>
      <c r="B1194" s="6" t="str">
        <f ca="1">IFERROR(__xludf.DUMMYFUNCTION("""COMPUTED_VALUE"""),"Chinna Gupta")</f>
        <v>Chinna Gupta</v>
      </c>
      <c r="C1194" s="6" t="str">
        <f ca="1">IFERROR(__xludf.DUMMYFUNCTION("""COMPUTED_VALUE"""),"chinna.gupta28@gmail.com")</f>
        <v>chinna.gupta28@gmail.com</v>
      </c>
      <c r="D1194" s="6">
        <f ca="1">IFERROR(__xludf.DUMMYFUNCTION("""COMPUTED_VALUE"""),7834818383)</f>
        <v>7834818383</v>
      </c>
      <c r="E1194" s="6" t="str">
        <f ca="1">IFERROR(__xludf.DUMMYFUNCTION("""COMPUTED_VALUE"""),"Reference")</f>
        <v>Reference</v>
      </c>
      <c r="F1194" s="6" t="str">
        <f ca="1">IFERROR(__xludf.DUMMYFUNCTION("""COMPUTED_VALUE"""),"CSM")</f>
        <v>CSM</v>
      </c>
      <c r="G1194" s="80">
        <f ca="1">IFERROR(__xludf.DUMMYFUNCTION("""COMPUTED_VALUE"""),44774)</f>
        <v>44774</v>
      </c>
      <c r="H1194" s="6" t="str">
        <f ca="1">IFERROR(__xludf.DUMMYFUNCTION("""COMPUTED_VALUE"""),"Won")</f>
        <v>Won</v>
      </c>
      <c r="I1194" s="6" t="str">
        <f ca="1">IFERROR(__xludf.DUMMYFUNCTION("""COMPUTED_VALUE"""),"27-28 Aug 2022")</f>
        <v>27-28 Aug 2022</v>
      </c>
      <c r="J1194" s="6">
        <f ca="1">IFERROR(__xludf.DUMMYFUNCTION("""COMPUTED_VALUE"""),1)</f>
        <v>1</v>
      </c>
      <c r="K1194" s="8">
        <f ca="1">IFERROR(__xludf.DUMMYFUNCTION("""COMPUTED_VALUE"""),20000)</f>
        <v>20000</v>
      </c>
      <c r="L1194" s="8">
        <f ca="1">IFERROR(__xludf.DUMMYFUNCTION("""COMPUTED_VALUE"""),229.042601923957)</f>
        <v>229.04260192395699</v>
      </c>
      <c r="M1194" s="96">
        <f ca="1">IFERROR(__xludf.DUMMYFUNCTION("""COMPUTED_VALUE"""),44783)</f>
        <v>44783</v>
      </c>
      <c r="N1194" s="6" t="str">
        <f ca="1">IFERROR(__xludf.DUMMYFUNCTION("""COMPUTED_VALUE"""),"F10")</f>
        <v>F10</v>
      </c>
      <c r="O1194" s="97">
        <f ca="1">IFERROR(__xludf.DUMMYFUNCTION("""COMPUTED_VALUE"""),44783)</f>
        <v>44783</v>
      </c>
      <c r="P1194" s="6" t="str">
        <f ca="1">IFERROR(__xludf.DUMMYFUNCTION("""COMPUTED_VALUE"""),"CSTM_FYGANUOJY1S")</f>
        <v>CSTM_FYGANUOJY1S</v>
      </c>
      <c r="Q1194" s="6" t="str">
        <f ca="1">IFERROR(__xludf.DUMMYFUNCTION("""COMPUTED_VALUE"""),"Reference by Garima Gupta")</f>
        <v>Reference by Garima Gupta</v>
      </c>
      <c r="R1194" s="6" t="str">
        <f ca="1">IFERROR(__xludf.DUMMYFUNCTION("""COMPUTED_VALUE"""),"Done. Good feedback.")</f>
        <v>Done. Good feedback.</v>
      </c>
      <c r="S1194" s="6" t="str">
        <f ca="1">IFERROR(__xludf.DUMMYFUNCTION("""COMPUTED_VALUE"""),"Category")</f>
        <v>Category</v>
      </c>
      <c r="T1194" s="6"/>
      <c r="U1194" s="6"/>
      <c r="V1194" s="6"/>
      <c r="W1194" s="6"/>
      <c r="X1194" s="6"/>
      <c r="Y1194" s="6"/>
      <c r="Z1194" s="6"/>
      <c r="AA1194" s="6"/>
      <c r="AB1194" s="6"/>
      <c r="AC1194" s="6"/>
      <c r="AD1194" s="6"/>
      <c r="AE1194" s="6"/>
      <c r="AF1194" s="6"/>
      <c r="AG1194" s="6"/>
      <c r="AH1194" s="6"/>
      <c r="AI1194" s="6"/>
      <c r="AJ1194" s="6"/>
      <c r="AK1194" s="6"/>
      <c r="AL1194" s="6"/>
    </row>
    <row r="1195" spans="1:38">
      <c r="A1195" s="96">
        <f ca="1">IFERROR(__xludf.DUMMYFUNCTION("""COMPUTED_VALUE"""),44784)</f>
        <v>44784</v>
      </c>
      <c r="B1195" s="6" t="str">
        <f ca="1">IFERROR(__xludf.DUMMYFUNCTION("""COMPUTED_VALUE"""),"Eleeta Rodrigues")</f>
        <v>Eleeta Rodrigues</v>
      </c>
      <c r="C1195" s="6" t="str">
        <f ca="1">IFERROR(__xludf.DUMMYFUNCTION("""COMPUTED_VALUE"""),"eleetarodrigues@gmail.com")</f>
        <v>eleetarodrigues@gmail.com</v>
      </c>
      <c r="D1195" s="6">
        <f ca="1">IFERROR(__xludf.DUMMYFUNCTION("""COMPUTED_VALUE"""),9664896110)</f>
        <v>9664896110</v>
      </c>
      <c r="E1195" s="6" t="str">
        <f ca="1">IFERROR(__xludf.DUMMYFUNCTION("""COMPUTED_VALUE"""),"Reference")</f>
        <v>Reference</v>
      </c>
      <c r="F1195" s="6" t="str">
        <f ca="1">IFERROR(__xludf.DUMMYFUNCTION("""COMPUTED_VALUE"""),"PSM")</f>
        <v>PSM</v>
      </c>
      <c r="G1195" s="80">
        <f ca="1">IFERROR(__xludf.DUMMYFUNCTION("""COMPUTED_VALUE"""),44774)</f>
        <v>44774</v>
      </c>
      <c r="H1195" s="6" t="str">
        <f ca="1">IFERROR(__xludf.DUMMYFUNCTION("""COMPUTED_VALUE"""),"Won")</f>
        <v>Won</v>
      </c>
      <c r="I1195" s="6" t="str">
        <f ca="1">IFERROR(__xludf.DUMMYFUNCTION("""COMPUTED_VALUE"""),"13-14 Aug 2022")</f>
        <v>13-14 Aug 2022</v>
      </c>
      <c r="J1195" s="6">
        <f ca="1">IFERROR(__xludf.DUMMYFUNCTION("""COMPUTED_VALUE"""),1)</f>
        <v>1</v>
      </c>
      <c r="K1195" s="8">
        <f ca="1">IFERROR(__xludf.DUMMYFUNCTION("""COMPUTED_VALUE"""),21000)</f>
        <v>21000</v>
      </c>
      <c r="L1195" s="8">
        <f ca="1">IFERROR(__xludf.DUMMYFUNCTION("""COMPUTED_VALUE"""),240.494732020155)</f>
        <v>240.494732020155</v>
      </c>
      <c r="M1195" s="96">
        <f ca="1">IFERROR(__xludf.DUMMYFUNCTION("""COMPUTED_VALUE"""),44784)</f>
        <v>44784</v>
      </c>
      <c r="N1195" s="6" t="str">
        <f ca="1">IFERROR(__xludf.DUMMYFUNCTION("""COMPUTED_VALUE"""),"S10")</f>
        <v>S10</v>
      </c>
      <c r="O1195" s="97">
        <f ca="1">IFERROR(__xludf.DUMMYFUNCTION("""COMPUTED_VALUE"""),44784)</f>
        <v>44784</v>
      </c>
      <c r="P1195" s="6" t="str">
        <f ca="1">IFERROR(__xludf.DUMMYFUNCTION("""COMPUTED_VALUE"""),"CSTM_1VTTILC67LT")</f>
        <v>CSTM_1VTTILC67LT</v>
      </c>
      <c r="Q1195" s="6" t="str">
        <f ca="1">IFERROR(__xludf.DUMMYFUNCTION("""COMPUTED_VALUE"""),"Reference by Priti Kotian")</f>
        <v>Reference by Priti Kotian</v>
      </c>
      <c r="R1195" s="6" t="str">
        <f ca="1">IFERROR(__xludf.DUMMYFUNCTION("""COMPUTED_VALUE"""),"Done. Good feedback.")</f>
        <v>Done. Good feedback.</v>
      </c>
      <c r="S1195" s="6" t="str">
        <f ca="1">IFERROR(__xludf.DUMMYFUNCTION("""COMPUTED_VALUE"""),"Category")</f>
        <v>Category</v>
      </c>
      <c r="T1195" s="6"/>
      <c r="U1195" s="6"/>
      <c r="V1195" s="6"/>
      <c r="W1195" s="6"/>
      <c r="X1195" s="6"/>
      <c r="Y1195" s="6"/>
      <c r="Z1195" s="6"/>
      <c r="AA1195" s="6"/>
      <c r="AB1195" s="6"/>
      <c r="AC1195" s="6"/>
      <c r="AD1195" s="6"/>
      <c r="AE1195" s="6"/>
      <c r="AF1195" s="6"/>
      <c r="AG1195" s="6"/>
      <c r="AH1195" s="6"/>
      <c r="AI1195" s="6"/>
      <c r="AJ1195" s="6"/>
      <c r="AK1195" s="6"/>
      <c r="AL1195" s="6"/>
    </row>
    <row r="1196" spans="1:38">
      <c r="A1196" s="96">
        <f ca="1">IFERROR(__xludf.DUMMYFUNCTION("""COMPUTED_VALUE"""),44784)</f>
        <v>44784</v>
      </c>
      <c r="B1196" s="6" t="str">
        <f ca="1">IFERROR(__xludf.DUMMYFUNCTION("""COMPUTED_VALUE"""),"Akshata TL")</f>
        <v>Akshata TL</v>
      </c>
      <c r="C1196" s="6" t="str">
        <f ca="1">IFERROR(__xludf.DUMMYFUNCTION("""COMPUTED_VALUE"""),"akshta.t.l@gmail.com")</f>
        <v>akshta.t.l@gmail.com</v>
      </c>
      <c r="D1196" s="6">
        <f ca="1">IFERROR(__xludf.DUMMYFUNCTION("""COMPUTED_VALUE"""),9986249504)</f>
        <v>9986249504</v>
      </c>
      <c r="E1196" s="6" t="str">
        <f ca="1">IFERROR(__xludf.DUMMYFUNCTION("""COMPUTED_VALUE"""),"Chat_triggered")</f>
        <v>Chat_triggered</v>
      </c>
      <c r="F1196" s="6" t="str">
        <f ca="1">IFERROR(__xludf.DUMMYFUNCTION("""COMPUTED_VALUE"""),"SAFe Agile")</f>
        <v>SAFe Agile</v>
      </c>
      <c r="G1196" s="80">
        <f ca="1">IFERROR(__xludf.DUMMYFUNCTION("""COMPUTED_VALUE"""),44774)</f>
        <v>44774</v>
      </c>
      <c r="H1196" s="6" t="str">
        <f ca="1">IFERROR(__xludf.DUMMYFUNCTION("""COMPUTED_VALUE"""),"Won")</f>
        <v>Won</v>
      </c>
      <c r="I1196" s="6" t="str">
        <f ca="1">IFERROR(__xludf.DUMMYFUNCTION("""COMPUTED_VALUE"""),"13-14 Aug 2022")</f>
        <v>13-14 Aug 2022</v>
      </c>
      <c r="J1196" s="6">
        <f ca="1">IFERROR(__xludf.DUMMYFUNCTION("""COMPUTED_VALUE"""),1)</f>
        <v>1</v>
      </c>
      <c r="K1196" s="8">
        <f ca="1">IFERROR(__xludf.DUMMYFUNCTION("""COMPUTED_VALUE"""),42000)</f>
        <v>42000</v>
      </c>
      <c r="L1196" s="8">
        <f ca="1">IFERROR(__xludf.DUMMYFUNCTION("""COMPUTED_VALUE"""),480.989464040311)</f>
        <v>480.98946404031102</v>
      </c>
      <c r="M1196" s="96">
        <f ca="1">IFERROR(__xludf.DUMMYFUNCTION("""COMPUTED_VALUE"""),44784)</f>
        <v>44784</v>
      </c>
      <c r="N1196" s="6" t="str">
        <f ca="1">IFERROR(__xludf.DUMMYFUNCTION("""COMPUTED_VALUE"""),"S10")</f>
        <v>S10</v>
      </c>
      <c r="O1196" s="97">
        <f ca="1">IFERROR(__xludf.DUMMYFUNCTION("""COMPUTED_VALUE"""),44784)</f>
        <v>44784</v>
      </c>
      <c r="P1196" s="6" t="str">
        <f ca="1">IFERROR(__xludf.DUMMYFUNCTION("""COMPUTED_VALUE"""),"CSTM_5PJR9YTMBNQ")</f>
        <v>CSTM_5PJR9YTMBNQ</v>
      </c>
      <c r="Q1196" s="6"/>
      <c r="R1196" s="6" t="str">
        <f ca="1">IFERROR(__xludf.DUMMYFUNCTION("""COMPUTED_VALUE"""),"Done. Good feedback.")</f>
        <v>Done. Good feedback.</v>
      </c>
      <c r="S1196" s="6" t="str">
        <f ca="1">IFERROR(__xludf.DUMMYFUNCTION("""COMPUTED_VALUE"""),"SAFe")</f>
        <v>SAFe</v>
      </c>
      <c r="T1196" s="6"/>
      <c r="U1196" s="6"/>
      <c r="V1196" s="6"/>
      <c r="W1196" s="6"/>
      <c r="X1196" s="6"/>
      <c r="Y1196" s="6"/>
      <c r="Z1196" s="6"/>
      <c r="AA1196" s="6"/>
      <c r="AB1196" s="6"/>
      <c r="AC1196" s="6"/>
      <c r="AD1196" s="6"/>
      <c r="AE1196" s="6"/>
      <c r="AF1196" s="6"/>
      <c r="AG1196" s="6"/>
      <c r="AH1196" s="6"/>
      <c r="AI1196" s="6"/>
      <c r="AJ1196" s="6"/>
      <c r="AK1196" s="6"/>
      <c r="AL1196" s="6"/>
    </row>
    <row r="1197" spans="1:38">
      <c r="A1197" s="96">
        <f ca="1">IFERROR(__xludf.DUMMYFUNCTION("""COMPUTED_VALUE"""),44786)</f>
        <v>44786</v>
      </c>
      <c r="B1197" s="6" t="str">
        <f ca="1">IFERROR(__xludf.DUMMYFUNCTION("""COMPUTED_VALUE"""),"Akhtar Waseem")</f>
        <v>Akhtar Waseem</v>
      </c>
      <c r="C1197" s="6" t="str">
        <f ca="1">IFERROR(__xludf.DUMMYFUNCTION("""COMPUTED_VALUE"""),"akhtar.waseem4@gmail.com")</f>
        <v>akhtar.waseem4@gmail.com</v>
      </c>
      <c r="D1197" s="6">
        <f ca="1">IFERROR(__xludf.DUMMYFUNCTION("""COMPUTED_VALUE"""),9958002904)</f>
        <v>9958002904</v>
      </c>
      <c r="E1197" s="6" t="str">
        <f ca="1">IFERROR(__xludf.DUMMYFUNCTION("""COMPUTED_VALUE"""),"Query box")</f>
        <v>Query box</v>
      </c>
      <c r="F1197" s="6" t="str">
        <f ca="1">IFERROR(__xludf.DUMMYFUNCTION("""COMPUTED_VALUE"""),"PSPO")</f>
        <v>PSPO</v>
      </c>
      <c r="G1197" s="80">
        <f ca="1">IFERROR(__xludf.DUMMYFUNCTION("""COMPUTED_VALUE"""),44774)</f>
        <v>44774</v>
      </c>
      <c r="H1197" s="6" t="str">
        <f ca="1">IFERROR(__xludf.DUMMYFUNCTION("""COMPUTED_VALUE"""),"Opportunity")</f>
        <v>Opportunity</v>
      </c>
      <c r="I1197" s="6" t="str">
        <f ca="1">IFERROR(__xludf.DUMMYFUNCTION("""COMPUTED_VALUE"""),"27-28 Aug 2022")</f>
        <v>27-28 Aug 2022</v>
      </c>
      <c r="J1197" s="6">
        <f ca="1">IFERROR(__xludf.DUMMYFUNCTION("""COMPUTED_VALUE"""),1)</f>
        <v>1</v>
      </c>
      <c r="K1197" s="8">
        <f ca="1">IFERROR(__xludf.DUMMYFUNCTION("""COMPUTED_VALUE"""),21000)</f>
        <v>21000</v>
      </c>
      <c r="L1197" s="8">
        <f ca="1">IFERROR(__xludf.DUMMYFUNCTION("""COMPUTED_VALUE"""),240.494732020155)</f>
        <v>240.494732020155</v>
      </c>
      <c r="M1197" s="96">
        <f ca="1">IFERROR(__xludf.DUMMYFUNCTION("""COMPUTED_VALUE"""),44786)</f>
        <v>44786</v>
      </c>
      <c r="N1197" s="6"/>
      <c r="O1197" s="97"/>
      <c r="P1197" s="6"/>
      <c r="Q1197" s="6"/>
      <c r="R1197" s="6"/>
      <c r="S1197" s="6" t="str">
        <f ca="1">IFERROR(__xludf.DUMMYFUNCTION("""COMPUTED_VALUE"""),"Category")</f>
        <v>Category</v>
      </c>
      <c r="T1197" s="6"/>
      <c r="U1197" s="6"/>
      <c r="V1197" s="6"/>
      <c r="W1197" s="6"/>
      <c r="X1197" s="6"/>
      <c r="Y1197" s="6"/>
      <c r="Z1197" s="6"/>
      <c r="AA1197" s="6"/>
      <c r="AB1197" s="6"/>
      <c r="AC1197" s="6"/>
      <c r="AD1197" s="6"/>
      <c r="AE1197" s="6"/>
      <c r="AF1197" s="6"/>
      <c r="AG1197" s="6"/>
      <c r="AH1197" s="6"/>
      <c r="AI1197" s="6"/>
      <c r="AJ1197" s="6"/>
      <c r="AK1197" s="6"/>
      <c r="AL1197" s="6"/>
    </row>
    <row r="1198" spans="1:38">
      <c r="A1198" s="96">
        <f ca="1">IFERROR(__xludf.DUMMYFUNCTION("""COMPUTED_VALUE"""),44789)</f>
        <v>44789</v>
      </c>
      <c r="B1198" s="6" t="str">
        <f ca="1">IFERROR(__xludf.DUMMYFUNCTION("""COMPUTED_VALUE"""),"Parul")</f>
        <v>Parul</v>
      </c>
      <c r="C1198" s="6" t="str">
        <f ca="1">IFERROR(__xludf.DUMMYFUNCTION("""COMPUTED_VALUE"""),"parul85@gmail.com")</f>
        <v>parul85@gmail.com</v>
      </c>
      <c r="D1198" s="6">
        <f ca="1">IFERROR(__xludf.DUMMYFUNCTION("""COMPUTED_VALUE"""),7044084523)</f>
        <v>7044084523</v>
      </c>
      <c r="E1198" s="6" t="str">
        <f ca="1">IFERROR(__xludf.DUMMYFUNCTION("""COMPUTED_VALUE"""),"chat_initiated")</f>
        <v>chat_initiated</v>
      </c>
      <c r="F1198" s="6" t="str">
        <f ca="1">IFERROR(__xludf.DUMMYFUNCTION("""COMPUTED_VALUE"""),"PSM 2")</f>
        <v>PSM 2</v>
      </c>
      <c r="G1198" s="80">
        <f ca="1">IFERROR(__xludf.DUMMYFUNCTION("""COMPUTED_VALUE"""),44774)</f>
        <v>44774</v>
      </c>
      <c r="H1198" s="6" t="str">
        <f ca="1">IFERROR(__xludf.DUMMYFUNCTION("""COMPUTED_VALUE"""),"Won")</f>
        <v>Won</v>
      </c>
      <c r="I1198" s="6" t="str">
        <f ca="1">IFERROR(__xludf.DUMMYFUNCTION("""COMPUTED_VALUE"""),"27-28 Aug 2022")</f>
        <v>27-28 Aug 2022</v>
      </c>
      <c r="J1198" s="6">
        <f ca="1">IFERROR(__xludf.DUMMYFUNCTION("""COMPUTED_VALUE"""),1)</f>
        <v>1</v>
      </c>
      <c r="K1198" s="8">
        <f ca="1">IFERROR(__xludf.DUMMYFUNCTION("""COMPUTED_VALUE"""),24000)</f>
        <v>24000</v>
      </c>
      <c r="L1198" s="8">
        <f ca="1">IFERROR(__xludf.DUMMYFUNCTION("""COMPUTED_VALUE"""),274.851122308749)</f>
        <v>274.85112230874898</v>
      </c>
      <c r="M1198" s="96">
        <f ca="1">IFERROR(__xludf.DUMMYFUNCTION("""COMPUTED_VALUE"""),44789)</f>
        <v>44789</v>
      </c>
      <c r="N1198" s="6" t="str">
        <f ca="1">IFERROR(__xludf.DUMMYFUNCTION("""COMPUTED_VALUE"""),"S10")</f>
        <v>S10</v>
      </c>
      <c r="O1198" s="97">
        <f ca="1">IFERROR(__xludf.DUMMYFUNCTION("""COMPUTED_VALUE"""),44789)</f>
        <v>44789</v>
      </c>
      <c r="P1198" s="6" t="str">
        <f ca="1">IFERROR(__xludf.DUMMYFUNCTION("""COMPUTED_VALUE"""),"CSTM_3VFZ8FT80VQ")</f>
        <v>CSTM_3VFZ8FT80VQ</v>
      </c>
      <c r="Q1198" s="6"/>
      <c r="R1198" s="6" t="str">
        <f ca="1">IFERROR(__xludf.DUMMYFUNCTION("""COMPUTED_VALUE"""),"Done. Good feedback.")</f>
        <v>Done. Good feedback.</v>
      </c>
      <c r="S1198" s="6" t="str">
        <f ca="1">IFERROR(__xludf.DUMMYFUNCTION("""COMPUTED_VALUE"""),"Category")</f>
        <v>Category</v>
      </c>
      <c r="T1198" s="6"/>
      <c r="U1198" s="6"/>
      <c r="V1198" s="6"/>
      <c r="W1198" s="6"/>
      <c r="X1198" s="6"/>
      <c r="Y1198" s="6"/>
      <c r="Z1198" s="6"/>
      <c r="AA1198" s="6"/>
      <c r="AB1198" s="6"/>
      <c r="AC1198" s="6"/>
      <c r="AD1198" s="6"/>
      <c r="AE1198" s="6"/>
      <c r="AF1198" s="6"/>
      <c r="AG1198" s="6"/>
      <c r="AH1198" s="6"/>
      <c r="AI1198" s="6"/>
      <c r="AJ1198" s="6"/>
      <c r="AK1198" s="6"/>
      <c r="AL1198" s="6"/>
    </row>
    <row r="1199" spans="1:38">
      <c r="A1199" s="96">
        <f ca="1">IFERROR(__xludf.DUMMYFUNCTION("""COMPUTED_VALUE"""),44789)</f>
        <v>44789</v>
      </c>
      <c r="B1199" s="6" t="str">
        <f ca="1">IFERROR(__xludf.DUMMYFUNCTION("""COMPUTED_VALUE"""),"Gaurav")</f>
        <v>Gaurav</v>
      </c>
      <c r="C1199" s="6" t="str">
        <f ca="1">IFERROR(__xludf.DUMMYFUNCTION("""COMPUTED_VALUE"""),"sa_gaurav@live.in")</f>
        <v>sa_gaurav@live.in</v>
      </c>
      <c r="D1199" s="6">
        <f ca="1">IFERROR(__xludf.DUMMYFUNCTION("""COMPUTED_VALUE"""),9818322288)</f>
        <v>9818322288</v>
      </c>
      <c r="E1199" s="6" t="str">
        <f ca="1">IFERROR(__xludf.DUMMYFUNCTION("""COMPUTED_VALUE"""),"Reference")</f>
        <v>Reference</v>
      </c>
      <c r="F1199" s="6" t="str">
        <f ca="1">IFERROR(__xludf.DUMMYFUNCTION("""COMPUTED_VALUE"""),"PSM")</f>
        <v>PSM</v>
      </c>
      <c r="G1199" s="80">
        <f ca="1">IFERROR(__xludf.DUMMYFUNCTION("""COMPUTED_VALUE"""),44774)</f>
        <v>44774</v>
      </c>
      <c r="H1199" s="6" t="str">
        <f ca="1">IFERROR(__xludf.DUMMYFUNCTION("""COMPUTED_VALUE"""),"Won")</f>
        <v>Won</v>
      </c>
      <c r="I1199" s="6" t="str">
        <f ca="1">IFERROR(__xludf.DUMMYFUNCTION("""COMPUTED_VALUE"""),"20-21 Aug 2022")</f>
        <v>20-21 Aug 2022</v>
      </c>
      <c r="J1199" s="6">
        <f ca="1">IFERROR(__xludf.DUMMYFUNCTION("""COMPUTED_VALUE"""),1)</f>
        <v>1</v>
      </c>
      <c r="K1199" s="8">
        <f ca="1">IFERROR(__xludf.DUMMYFUNCTION("""COMPUTED_VALUE"""),21000)</f>
        <v>21000</v>
      </c>
      <c r="L1199" s="8">
        <f ca="1">IFERROR(__xludf.DUMMYFUNCTION("""COMPUTED_VALUE"""),240.494732020155)</f>
        <v>240.494732020155</v>
      </c>
      <c r="M1199" s="96">
        <f ca="1">IFERROR(__xludf.DUMMYFUNCTION("""COMPUTED_VALUE"""),44789)</f>
        <v>44789</v>
      </c>
      <c r="N1199" s="6" t="str">
        <f ca="1">IFERROR(__xludf.DUMMYFUNCTION("""COMPUTED_VALUE"""),"S10")</f>
        <v>S10</v>
      </c>
      <c r="O1199" s="97">
        <f ca="1">IFERROR(__xludf.DUMMYFUNCTION("""COMPUTED_VALUE"""),44789)</f>
        <v>44789</v>
      </c>
      <c r="P1199" s="6" t="str">
        <f ca="1">IFERROR(__xludf.DUMMYFUNCTION("""COMPUTED_VALUE"""),"CSTM_88OMIQRIMMM")</f>
        <v>CSTM_88OMIQRIMMM</v>
      </c>
      <c r="Q1199" s="6"/>
      <c r="R1199" s="6" t="str">
        <f ca="1">IFERROR(__xludf.DUMMYFUNCTION("""COMPUTED_VALUE"""),"Pending")</f>
        <v>Pending</v>
      </c>
      <c r="S1199" s="6" t="str">
        <f ca="1">IFERROR(__xludf.DUMMYFUNCTION("""COMPUTED_VALUE"""),"Category")</f>
        <v>Category</v>
      </c>
      <c r="T1199" s="6"/>
      <c r="U1199" s="6"/>
      <c r="V1199" s="6"/>
      <c r="W1199" s="6"/>
      <c r="X1199" s="6"/>
      <c r="Y1199" s="6"/>
      <c r="Z1199" s="6"/>
      <c r="AA1199" s="6"/>
      <c r="AB1199" s="6"/>
      <c r="AC1199" s="6"/>
      <c r="AD1199" s="6"/>
      <c r="AE1199" s="6"/>
      <c r="AF1199" s="6"/>
      <c r="AG1199" s="6"/>
      <c r="AH1199" s="6"/>
      <c r="AI1199" s="6"/>
      <c r="AJ1199" s="6"/>
      <c r="AK1199" s="6"/>
      <c r="AL1199" s="6"/>
    </row>
    <row r="1200" spans="1:38">
      <c r="A1200" s="96">
        <f ca="1">IFERROR(__xludf.DUMMYFUNCTION("""COMPUTED_VALUE"""),44789)</f>
        <v>44789</v>
      </c>
      <c r="B1200" s="6" t="str">
        <f ca="1">IFERROR(__xludf.DUMMYFUNCTION("""COMPUTED_VALUE"""),"Ankita Mohanty")</f>
        <v>Ankita Mohanty</v>
      </c>
      <c r="C1200" s="6" t="str">
        <f ca="1">IFERROR(__xludf.DUMMYFUNCTION("""COMPUTED_VALUE"""),"ankitamohanty205@gmail.com")</f>
        <v>ankitamohanty205@gmail.com</v>
      </c>
      <c r="D1200" s="6">
        <f ca="1">IFERROR(__xludf.DUMMYFUNCTION("""COMPUTED_VALUE"""),7873847434)</f>
        <v>7873847434</v>
      </c>
      <c r="E1200" s="6" t="str">
        <f ca="1">IFERROR(__xludf.DUMMYFUNCTION("""COMPUTED_VALUE"""),"refer&amp;earn")</f>
        <v>refer&amp;earn</v>
      </c>
      <c r="F1200" s="6" t="str">
        <f ca="1">IFERROR(__xludf.DUMMYFUNCTION("""COMPUTED_VALUE"""),"CSM")</f>
        <v>CSM</v>
      </c>
      <c r="G1200" s="80">
        <f ca="1">IFERROR(__xludf.DUMMYFUNCTION("""COMPUTED_VALUE"""),44774)</f>
        <v>44774</v>
      </c>
      <c r="H1200" s="6" t="str">
        <f ca="1">IFERROR(__xludf.DUMMYFUNCTION("""COMPUTED_VALUE"""),"Won")</f>
        <v>Won</v>
      </c>
      <c r="I1200" s="6" t="str">
        <f ca="1">IFERROR(__xludf.DUMMYFUNCTION("""COMPUTED_VALUE"""),"3-4 Sep 2022")</f>
        <v>3-4 Sep 2022</v>
      </c>
      <c r="J1200" s="6">
        <f ca="1">IFERROR(__xludf.DUMMYFUNCTION("""COMPUTED_VALUE"""),1)</f>
        <v>1</v>
      </c>
      <c r="K1200" s="8">
        <f ca="1">IFERROR(__xludf.DUMMYFUNCTION("""COMPUTED_VALUE"""),20000)</f>
        <v>20000</v>
      </c>
      <c r="L1200" s="8">
        <f ca="1">IFERROR(__xludf.DUMMYFUNCTION("""COMPUTED_VALUE"""),229.042601923957)</f>
        <v>229.04260192395699</v>
      </c>
      <c r="M1200" s="96">
        <f ca="1">IFERROR(__xludf.DUMMYFUNCTION("""COMPUTED_VALUE"""),44789)</f>
        <v>44789</v>
      </c>
      <c r="N1200" s="6" t="str">
        <f ca="1">IFERROR(__xludf.DUMMYFUNCTION("""COMPUTED_VALUE"""),"S10")</f>
        <v>S10</v>
      </c>
      <c r="O1200" s="97">
        <f ca="1">IFERROR(__xludf.DUMMYFUNCTION("""COMPUTED_VALUE"""),44789)</f>
        <v>44789</v>
      </c>
      <c r="P1200" s="6" t="str">
        <f ca="1">IFERROR(__xludf.DUMMYFUNCTION("""COMPUTED_VALUE"""),"CSTM_365XBP4JMXJ")</f>
        <v>CSTM_365XBP4JMXJ</v>
      </c>
      <c r="Q1200" s="6"/>
      <c r="R1200" s="6" t="str">
        <f ca="1">IFERROR(__xludf.DUMMYFUNCTION("""COMPUTED_VALUE"""),"Pending")</f>
        <v>Pending</v>
      </c>
      <c r="S1200" s="6" t="str">
        <f ca="1">IFERROR(__xludf.DUMMYFUNCTION("""COMPUTED_VALUE"""),"Category")</f>
        <v>Category</v>
      </c>
      <c r="T1200" s="6"/>
      <c r="U1200" s="6"/>
      <c r="V1200" s="6"/>
      <c r="W1200" s="6"/>
      <c r="X1200" s="6"/>
      <c r="Y1200" s="6"/>
      <c r="Z1200" s="6"/>
      <c r="AA1200" s="6"/>
      <c r="AB1200" s="6"/>
      <c r="AC1200" s="6"/>
      <c r="AD1200" s="6"/>
      <c r="AE1200" s="6"/>
      <c r="AF1200" s="6"/>
      <c r="AG1200" s="6"/>
      <c r="AH1200" s="6"/>
      <c r="AI1200" s="6"/>
      <c r="AJ1200" s="6"/>
      <c r="AK1200" s="6"/>
      <c r="AL1200" s="6"/>
    </row>
    <row r="1201" spans="1:38">
      <c r="A1201" s="96">
        <f ca="1">IFERROR(__xludf.DUMMYFUNCTION("""COMPUTED_VALUE"""),44790)</f>
        <v>44790</v>
      </c>
      <c r="B1201" s="6" t="str">
        <f ca="1">IFERROR(__xludf.DUMMYFUNCTION("""COMPUTED_VALUE"""),"Sreedhar Babu")</f>
        <v>Sreedhar Babu</v>
      </c>
      <c r="C1201" s="6" t="str">
        <f ca="1">IFERROR(__xludf.DUMMYFUNCTION("""COMPUTED_VALUE"""),"karimisreedharbabu@gmail.com")</f>
        <v>karimisreedharbabu@gmail.com</v>
      </c>
      <c r="D1201" s="6">
        <f ca="1">IFERROR(__xludf.DUMMYFUNCTION("""COMPUTED_VALUE"""),9618977733)</f>
        <v>9618977733</v>
      </c>
      <c r="E1201" s="6" t="str">
        <f ca="1">IFERROR(__xludf.DUMMYFUNCTION("""COMPUTED_VALUE"""),"Chat_triggered")</f>
        <v>Chat_triggered</v>
      </c>
      <c r="F1201" s="6" t="str">
        <f ca="1">IFERROR(__xludf.DUMMYFUNCTION("""COMPUTED_VALUE"""),"SAFe POPM")</f>
        <v>SAFe POPM</v>
      </c>
      <c r="G1201" s="80">
        <f ca="1">IFERROR(__xludf.DUMMYFUNCTION("""COMPUTED_VALUE"""),44774)</f>
        <v>44774</v>
      </c>
      <c r="H1201" s="6" t="str">
        <f ca="1">IFERROR(__xludf.DUMMYFUNCTION("""COMPUTED_VALUE"""),"Won")</f>
        <v>Won</v>
      </c>
      <c r="I1201" s="6" t="str">
        <f ca="1">IFERROR(__xludf.DUMMYFUNCTION("""COMPUTED_VALUE"""),"3-4 Sep 2022")</f>
        <v>3-4 Sep 2022</v>
      </c>
      <c r="J1201" s="6">
        <f ca="1">IFERROR(__xludf.DUMMYFUNCTION("""COMPUTED_VALUE"""),1)</f>
        <v>1</v>
      </c>
      <c r="K1201" s="8">
        <f ca="1">IFERROR(__xludf.DUMMYFUNCTION("""COMPUTED_VALUE"""),42000)</f>
        <v>42000</v>
      </c>
      <c r="L1201" s="8">
        <f ca="1">IFERROR(__xludf.DUMMYFUNCTION("""COMPUTED_VALUE"""),480.989464040311)</f>
        <v>480.98946404031102</v>
      </c>
      <c r="M1201" s="96">
        <f ca="1">IFERROR(__xludf.DUMMYFUNCTION("""COMPUTED_VALUE"""),44790)</f>
        <v>44790</v>
      </c>
      <c r="N1201" s="6" t="str">
        <f ca="1">IFERROR(__xludf.DUMMYFUNCTION("""COMPUTED_VALUE"""),"S10")</f>
        <v>S10</v>
      </c>
      <c r="O1201" s="97">
        <f ca="1">IFERROR(__xludf.DUMMYFUNCTION("""COMPUTED_VALUE"""),44790)</f>
        <v>44790</v>
      </c>
      <c r="P1201" s="6" t="str">
        <f ca="1">IFERROR(__xludf.DUMMYFUNCTION("""COMPUTED_VALUE"""),"CSTM_7WJPZXCOHEO")</f>
        <v>CSTM_7WJPZXCOHEO</v>
      </c>
      <c r="Q1201" s="6"/>
      <c r="R1201" s="6" t="str">
        <f ca="1">IFERROR(__xludf.DUMMYFUNCTION("""COMPUTED_VALUE"""),"Done. Good feedback.")</f>
        <v>Done. Good feedback.</v>
      </c>
      <c r="S1201" s="6" t="str">
        <f ca="1">IFERROR(__xludf.DUMMYFUNCTION("""COMPUTED_VALUE"""),"SAFe")</f>
        <v>SAFe</v>
      </c>
      <c r="T1201" s="6"/>
      <c r="U1201" s="6"/>
      <c r="V1201" s="6"/>
      <c r="W1201" s="6"/>
      <c r="X1201" s="6"/>
      <c r="Y1201" s="6"/>
      <c r="Z1201" s="6"/>
      <c r="AA1201" s="6"/>
      <c r="AB1201" s="6"/>
      <c r="AC1201" s="6"/>
      <c r="AD1201" s="6"/>
      <c r="AE1201" s="6"/>
      <c r="AF1201" s="6"/>
      <c r="AG1201" s="6"/>
      <c r="AH1201" s="6"/>
      <c r="AI1201" s="6"/>
      <c r="AJ1201" s="6"/>
      <c r="AK1201" s="6"/>
      <c r="AL1201" s="6"/>
    </row>
    <row r="1202" spans="1:38">
      <c r="A1202" s="96">
        <f ca="1">IFERROR(__xludf.DUMMYFUNCTION("""COMPUTED_VALUE"""),44791)</f>
        <v>44791</v>
      </c>
      <c r="B1202" s="6" t="str">
        <f ca="1">IFERROR(__xludf.DUMMYFUNCTION("""COMPUTED_VALUE"""),"Seemoni")</f>
        <v>Seemoni</v>
      </c>
      <c r="C1202" s="6" t="str">
        <f ca="1">IFERROR(__xludf.DUMMYFUNCTION("""COMPUTED_VALUE"""),"seemonisinha@gmail.com")</f>
        <v>seemonisinha@gmail.com</v>
      </c>
      <c r="D1202" s="6">
        <f ca="1">IFERROR(__xludf.DUMMYFUNCTION("""COMPUTED_VALUE"""),8984265398)</f>
        <v>8984265398</v>
      </c>
      <c r="E1202" s="6" t="str">
        <f ca="1">IFERROR(__xludf.DUMMYFUNCTION("""COMPUTED_VALUE"""),"Existing Account")</f>
        <v>Existing Account</v>
      </c>
      <c r="F1202" s="6" t="str">
        <f ca="1">IFERROR(__xludf.DUMMYFUNCTION("""COMPUTED_VALUE"""),"SAFe Agile")</f>
        <v>SAFe Agile</v>
      </c>
      <c r="G1202" s="80">
        <f ca="1">IFERROR(__xludf.DUMMYFUNCTION("""COMPUTED_VALUE"""),44774)</f>
        <v>44774</v>
      </c>
      <c r="H1202" s="6" t="str">
        <f ca="1">IFERROR(__xludf.DUMMYFUNCTION("""COMPUTED_VALUE"""),"Won")</f>
        <v>Won</v>
      </c>
      <c r="I1202" s="6" t="str">
        <f ca="1">IFERROR(__xludf.DUMMYFUNCTION("""COMPUTED_VALUE"""),"17-18 Sep 2022")</f>
        <v>17-18 Sep 2022</v>
      </c>
      <c r="J1202" s="6">
        <f ca="1">IFERROR(__xludf.DUMMYFUNCTION("""COMPUTED_VALUE"""),1)</f>
        <v>1</v>
      </c>
      <c r="K1202" s="8">
        <f ca="1">IFERROR(__xludf.DUMMYFUNCTION("""COMPUTED_VALUE"""),42000)</f>
        <v>42000</v>
      </c>
      <c r="L1202" s="8">
        <f ca="1">IFERROR(__xludf.DUMMYFUNCTION("""COMPUTED_VALUE"""),480.989464040311)</f>
        <v>480.98946404031102</v>
      </c>
      <c r="M1202" s="96">
        <f ca="1">IFERROR(__xludf.DUMMYFUNCTION("""COMPUTED_VALUE"""),44797)</f>
        <v>44797</v>
      </c>
      <c r="N1202" s="6" t="str">
        <f ca="1">IFERROR(__xludf.DUMMYFUNCTION("""COMPUTED_VALUE"""),"T10")</f>
        <v>T10</v>
      </c>
      <c r="O1202" s="97">
        <f ca="1">IFERROR(__xludf.DUMMYFUNCTION("""COMPUTED_VALUE"""),44798)</f>
        <v>44798</v>
      </c>
      <c r="P1202" s="6" t="str">
        <f ca="1">IFERROR(__xludf.DUMMYFUNCTION("""COMPUTED_VALUE"""),"CSTM_GN8F5LLL1N0")</f>
        <v>CSTM_GN8F5LLL1N0</v>
      </c>
      <c r="Q1202" s="6"/>
      <c r="R1202" s="6" t="str">
        <f ca="1">IFERROR(__xludf.DUMMYFUNCTION("""COMPUTED_VALUE"""),"Done. Good feedback.")</f>
        <v>Done. Good feedback.</v>
      </c>
      <c r="S1202" s="6" t="str">
        <f ca="1">IFERROR(__xludf.DUMMYFUNCTION("""COMPUTED_VALUE"""),"SAFe")</f>
        <v>SAFe</v>
      </c>
      <c r="T1202" s="6"/>
      <c r="U1202" s="6"/>
      <c r="V1202" s="6"/>
      <c r="W1202" s="6"/>
      <c r="X1202" s="6"/>
      <c r="Y1202" s="6"/>
      <c r="Z1202" s="6"/>
      <c r="AA1202" s="6"/>
      <c r="AB1202" s="6"/>
      <c r="AC1202" s="6"/>
      <c r="AD1202" s="6"/>
      <c r="AE1202" s="6"/>
      <c r="AF1202" s="6"/>
      <c r="AG1202" s="6"/>
      <c r="AH1202" s="6"/>
      <c r="AI1202" s="6"/>
      <c r="AJ1202" s="6"/>
      <c r="AK1202" s="6"/>
      <c r="AL1202" s="6"/>
    </row>
    <row r="1203" spans="1:38">
      <c r="A1203" s="96">
        <f ca="1">IFERROR(__xludf.DUMMYFUNCTION("""COMPUTED_VALUE"""),44792)</f>
        <v>44792</v>
      </c>
      <c r="B1203" s="6" t="str">
        <f ca="1">IFERROR(__xludf.DUMMYFUNCTION("""COMPUTED_VALUE"""),"Vivek Mouli")</f>
        <v>Vivek Mouli</v>
      </c>
      <c r="C1203" s="6" t="str">
        <f ca="1">IFERROR(__xludf.DUMMYFUNCTION("""COMPUTED_VALUE"""),"mouli.p919@gmail.com")</f>
        <v>mouli.p919@gmail.com</v>
      </c>
      <c r="D1203" s="6">
        <f ca="1">IFERROR(__xludf.DUMMYFUNCTION("""COMPUTED_VALUE"""),8095625429)</f>
        <v>8095625429</v>
      </c>
      <c r="E1203" s="6" t="str">
        <f ca="1">IFERROR(__xludf.DUMMYFUNCTION("""COMPUTED_VALUE"""),"Query box")</f>
        <v>Query box</v>
      </c>
      <c r="F1203" s="6" t="str">
        <f ca="1">IFERROR(__xludf.DUMMYFUNCTION("""COMPUTED_VALUE"""),"CSPO")</f>
        <v>CSPO</v>
      </c>
      <c r="G1203" s="80">
        <f ca="1">IFERROR(__xludf.DUMMYFUNCTION("""COMPUTED_VALUE"""),44774)</f>
        <v>44774</v>
      </c>
      <c r="H1203" s="6" t="str">
        <f ca="1">IFERROR(__xludf.DUMMYFUNCTION("""COMPUTED_VALUE"""),"Won")</f>
        <v>Won</v>
      </c>
      <c r="I1203" s="6" t="str">
        <f ca="1">IFERROR(__xludf.DUMMYFUNCTION("""COMPUTED_VALUE"""),"1-2 Oct 2022")</f>
        <v>1-2 Oct 2022</v>
      </c>
      <c r="J1203" s="6">
        <f ca="1">IFERROR(__xludf.DUMMYFUNCTION("""COMPUTED_VALUE"""),1)</f>
        <v>1</v>
      </c>
      <c r="K1203" s="8">
        <f ca="1">IFERROR(__xludf.DUMMYFUNCTION("""COMPUTED_VALUE"""),20000)</f>
        <v>20000</v>
      </c>
      <c r="L1203" s="8">
        <f ca="1">IFERROR(__xludf.DUMMYFUNCTION("""COMPUTED_VALUE"""),229.042601923957)</f>
        <v>229.04260192395699</v>
      </c>
      <c r="M1203" s="96">
        <f ca="1">IFERROR(__xludf.DUMMYFUNCTION("""COMPUTED_VALUE"""),44792)</f>
        <v>44792</v>
      </c>
      <c r="N1203" s="6" t="str">
        <f ca="1">IFERROR(__xludf.DUMMYFUNCTION("""COMPUTED_VALUE"""),"S10")</f>
        <v>S10</v>
      </c>
      <c r="O1203" s="97">
        <f ca="1">IFERROR(__xludf.DUMMYFUNCTION("""COMPUTED_VALUE"""),44792)</f>
        <v>44792</v>
      </c>
      <c r="P1203" s="6" t="str">
        <f ca="1">IFERROR(__xludf.DUMMYFUNCTION("""COMPUTED_VALUE"""),"CSTM_3Q84E29FF77")</f>
        <v>CSTM_3Q84E29FF77</v>
      </c>
      <c r="Q1203" s="6"/>
      <c r="R1203" s="6" t="str">
        <f ca="1">IFERROR(__xludf.DUMMYFUNCTION("""COMPUTED_VALUE"""),"Pending")</f>
        <v>Pending</v>
      </c>
      <c r="S1203" s="6" t="str">
        <f ca="1">IFERROR(__xludf.DUMMYFUNCTION("""COMPUTED_VALUE"""),"Category")</f>
        <v>Category</v>
      </c>
      <c r="T1203" s="6"/>
      <c r="U1203" s="6"/>
      <c r="V1203" s="6"/>
      <c r="W1203" s="6"/>
      <c r="X1203" s="6"/>
      <c r="Y1203" s="6"/>
      <c r="Z1203" s="6"/>
      <c r="AA1203" s="6"/>
      <c r="AB1203" s="6"/>
      <c r="AC1203" s="6"/>
      <c r="AD1203" s="6"/>
      <c r="AE1203" s="6"/>
      <c r="AF1203" s="6"/>
      <c r="AG1203" s="6"/>
      <c r="AH1203" s="6"/>
      <c r="AI1203" s="6"/>
      <c r="AJ1203" s="6"/>
      <c r="AK1203" s="6"/>
      <c r="AL1203" s="6"/>
    </row>
    <row r="1204" spans="1:38">
      <c r="A1204" s="96">
        <f ca="1">IFERROR(__xludf.DUMMYFUNCTION("""COMPUTED_VALUE"""),44793)</f>
        <v>44793</v>
      </c>
      <c r="B1204" s="6" t="str">
        <f ca="1">IFERROR(__xludf.DUMMYFUNCTION("""COMPUTED_VALUE"""),"Sathesh TK")</f>
        <v>Sathesh TK</v>
      </c>
      <c r="C1204" s="6" t="str">
        <f ca="1">IFERROR(__xludf.DUMMYFUNCTION("""COMPUTED_VALUE"""),"satheshtk@gmail.com")</f>
        <v>satheshtk@gmail.com</v>
      </c>
      <c r="D1204" s="6">
        <f ca="1">IFERROR(__xludf.DUMMYFUNCTION("""COMPUTED_VALUE"""),9620212892)</f>
        <v>9620212892</v>
      </c>
      <c r="E1204" s="6" t="str">
        <f ca="1">IFERROR(__xludf.DUMMYFUNCTION("""COMPUTED_VALUE"""),"course agenda")</f>
        <v>course agenda</v>
      </c>
      <c r="F1204" s="6" t="str">
        <f ca="1">IFERROR(__xludf.DUMMYFUNCTION("""COMPUTED_VALUE"""),"PSM")</f>
        <v>PSM</v>
      </c>
      <c r="G1204" s="80">
        <f ca="1">IFERROR(__xludf.DUMMYFUNCTION("""COMPUTED_VALUE"""),44774)</f>
        <v>44774</v>
      </c>
      <c r="H1204" s="6" t="str">
        <f ca="1">IFERROR(__xludf.DUMMYFUNCTION("""COMPUTED_VALUE"""),"Won")</f>
        <v>Won</v>
      </c>
      <c r="I1204" s="6" t="str">
        <f ca="1">IFERROR(__xludf.DUMMYFUNCTION("""COMPUTED_VALUE"""),"27-28 Aug 2022")</f>
        <v>27-28 Aug 2022</v>
      </c>
      <c r="J1204" s="6">
        <f ca="1">IFERROR(__xludf.DUMMYFUNCTION("""COMPUTED_VALUE"""),1)</f>
        <v>1</v>
      </c>
      <c r="K1204" s="8">
        <f ca="1">IFERROR(__xludf.DUMMYFUNCTION("""COMPUTED_VALUE"""),21000)</f>
        <v>21000</v>
      </c>
      <c r="L1204" s="8">
        <f ca="1">IFERROR(__xludf.DUMMYFUNCTION("""COMPUTED_VALUE"""),240.494732020155)</f>
        <v>240.494732020155</v>
      </c>
      <c r="M1204" s="96">
        <f ca="1">IFERROR(__xludf.DUMMYFUNCTION("""COMPUTED_VALUE"""),44793)</f>
        <v>44793</v>
      </c>
      <c r="N1204" s="6" t="str">
        <f ca="1">IFERROR(__xludf.DUMMYFUNCTION("""COMPUTED_VALUE"""),"S10")</f>
        <v>S10</v>
      </c>
      <c r="O1204" s="97">
        <f ca="1">IFERROR(__xludf.DUMMYFUNCTION("""COMPUTED_VALUE"""),44793)</f>
        <v>44793</v>
      </c>
      <c r="P1204" s="6" t="str">
        <f ca="1">IFERROR(__xludf.DUMMYFUNCTION("""COMPUTED_VALUE"""),"CSTM_GEAHRT11K2S")</f>
        <v>CSTM_GEAHRT11K2S</v>
      </c>
      <c r="Q1204" s="6"/>
      <c r="R1204" s="6" t="str">
        <f ca="1">IFERROR(__xludf.DUMMYFUNCTION("""COMPUTED_VALUE"""),"Done. Good feedback.")</f>
        <v>Done. Good feedback.</v>
      </c>
      <c r="S1204" s="6" t="str">
        <f ca="1">IFERROR(__xludf.DUMMYFUNCTION("""COMPUTED_VALUE"""),"Category")</f>
        <v>Category</v>
      </c>
      <c r="T1204" s="6"/>
      <c r="U1204" s="6"/>
      <c r="V1204" s="6"/>
      <c r="W1204" s="6"/>
      <c r="X1204" s="6"/>
      <c r="Y1204" s="6"/>
      <c r="Z1204" s="6"/>
      <c r="AA1204" s="6"/>
      <c r="AB1204" s="6"/>
      <c r="AC1204" s="6"/>
      <c r="AD1204" s="6"/>
      <c r="AE1204" s="6"/>
      <c r="AF1204" s="6"/>
      <c r="AG1204" s="6"/>
      <c r="AH1204" s="6"/>
      <c r="AI1204" s="6"/>
      <c r="AJ1204" s="6"/>
      <c r="AK1204" s="6"/>
      <c r="AL1204" s="6"/>
    </row>
    <row r="1205" spans="1:38">
      <c r="A1205" s="96">
        <f ca="1">IFERROR(__xludf.DUMMYFUNCTION("""COMPUTED_VALUE"""),44795)</f>
        <v>44795</v>
      </c>
      <c r="B1205" s="6" t="str">
        <f ca="1">IFERROR(__xludf.DUMMYFUNCTION("""COMPUTED_VALUE"""),"Vaishnavi Shantaram")</f>
        <v>Vaishnavi Shantaram</v>
      </c>
      <c r="C1205" s="6" t="str">
        <f ca="1">IFERROR(__xludf.DUMMYFUNCTION("""COMPUTED_VALUE"""),"vaishnavi.shantaram@gmail.com")</f>
        <v>vaishnavi.shantaram@gmail.com</v>
      </c>
      <c r="D1205" s="6">
        <f ca="1">IFERROR(__xludf.DUMMYFUNCTION("""COMPUTED_VALUE"""),9345498661)</f>
        <v>9345498661</v>
      </c>
      <c r="E1205" s="6" t="str">
        <f ca="1">IFERROR(__xludf.DUMMYFUNCTION("""COMPUTED_VALUE"""),"Existing Account")</f>
        <v>Existing Account</v>
      </c>
      <c r="F1205" s="6" t="str">
        <f ca="1">IFERROR(__xludf.DUMMYFUNCTION("""COMPUTED_VALUE"""),"CBAP")</f>
        <v>CBAP</v>
      </c>
      <c r="G1205" s="80">
        <f ca="1">IFERROR(__xludf.DUMMYFUNCTION("""COMPUTED_VALUE"""),44774)</f>
        <v>44774</v>
      </c>
      <c r="H1205" s="6" t="str">
        <f ca="1">IFERROR(__xludf.DUMMYFUNCTION("""COMPUTED_VALUE"""),"Won")</f>
        <v>Won</v>
      </c>
      <c r="I1205" s="6" t="str">
        <f ca="1">IFERROR(__xludf.DUMMYFUNCTION("""COMPUTED_VALUE"""),"27 Aug 2022")</f>
        <v>27 Aug 2022</v>
      </c>
      <c r="J1205" s="6">
        <f ca="1">IFERROR(__xludf.DUMMYFUNCTION("""COMPUTED_VALUE"""),1)</f>
        <v>1</v>
      </c>
      <c r="K1205" s="8">
        <f ca="1">IFERROR(__xludf.DUMMYFUNCTION("""COMPUTED_VALUE"""),14000)</f>
        <v>14000</v>
      </c>
      <c r="L1205" s="8">
        <f ca="1">IFERROR(__xludf.DUMMYFUNCTION("""COMPUTED_VALUE"""),160.32982134677)</f>
        <v>160.32982134676999</v>
      </c>
      <c r="M1205" s="96">
        <f ca="1">IFERROR(__xludf.DUMMYFUNCTION("""COMPUTED_VALUE"""),44795)</f>
        <v>44795</v>
      </c>
      <c r="N1205" s="6" t="str">
        <f ca="1">IFERROR(__xludf.DUMMYFUNCTION("""COMPUTED_VALUE"""),"T10")</f>
        <v>T10</v>
      </c>
      <c r="O1205" s="97">
        <f ca="1">IFERROR(__xludf.DUMMYFUNCTION("""COMPUTED_VALUE"""),44795)</f>
        <v>44795</v>
      </c>
      <c r="P1205" s="6" t="str">
        <f ca="1">IFERROR(__xludf.DUMMYFUNCTION("""COMPUTED_VALUE"""),"CSTM_6M6U6KQ57O7")</f>
        <v>CSTM_6M6U6KQ57O7</v>
      </c>
      <c r="Q1205" s="6"/>
      <c r="R1205" s="6" t="str">
        <f ca="1">IFERROR(__xludf.DUMMYFUNCTION("""COMPUTED_VALUE"""),"Pending")</f>
        <v>Pending</v>
      </c>
      <c r="S1205" s="6" t="str">
        <f ca="1">IFERROR(__xludf.DUMMYFUNCTION("""COMPUTED_VALUE"""),"NonCategory")</f>
        <v>NonCategory</v>
      </c>
      <c r="T1205" s="6"/>
      <c r="U1205" s="6"/>
      <c r="V1205" s="6"/>
      <c r="W1205" s="6"/>
      <c r="X1205" s="6"/>
      <c r="Y1205" s="6"/>
      <c r="Z1205" s="6"/>
      <c r="AA1205" s="6"/>
      <c r="AB1205" s="6"/>
      <c r="AC1205" s="6"/>
      <c r="AD1205" s="6"/>
      <c r="AE1205" s="6"/>
      <c r="AF1205" s="6"/>
      <c r="AG1205" s="6"/>
      <c r="AH1205" s="6"/>
      <c r="AI1205" s="6"/>
      <c r="AJ1205" s="6"/>
      <c r="AK1205" s="6"/>
      <c r="AL1205" s="6"/>
    </row>
    <row r="1206" spans="1:38">
      <c r="A1206" s="96">
        <f ca="1">IFERROR(__xludf.DUMMYFUNCTION("""COMPUTED_VALUE"""),44795)</f>
        <v>44795</v>
      </c>
      <c r="B1206" s="6" t="str">
        <f ca="1">IFERROR(__xludf.DUMMYFUNCTION("""COMPUTED_VALUE"""),"Snehal Mahajan")</f>
        <v>Snehal Mahajan</v>
      </c>
      <c r="C1206" s="6" t="str">
        <f ca="1">IFERROR(__xludf.DUMMYFUNCTION("""COMPUTED_VALUE"""),"snehal.d.mahajan@gmail.com")</f>
        <v>snehal.d.mahajan@gmail.com</v>
      </c>
      <c r="D1206" s="6">
        <f ca="1">IFERROR(__xludf.DUMMYFUNCTION("""COMPUTED_VALUE"""),9552521078)</f>
        <v>9552521078</v>
      </c>
      <c r="E1206" s="6" t="str">
        <f ca="1">IFERROR(__xludf.DUMMYFUNCTION("""COMPUTED_VALUE"""),"Reference")</f>
        <v>Reference</v>
      </c>
      <c r="F1206" s="6" t="str">
        <f ca="1">IFERROR(__xludf.DUMMYFUNCTION("""COMPUTED_VALUE"""),"PSM")</f>
        <v>PSM</v>
      </c>
      <c r="G1206" s="80">
        <f ca="1">IFERROR(__xludf.DUMMYFUNCTION("""COMPUTED_VALUE"""),44774)</f>
        <v>44774</v>
      </c>
      <c r="H1206" s="6" t="str">
        <f ca="1">IFERROR(__xludf.DUMMYFUNCTION("""COMPUTED_VALUE"""),"Won")</f>
        <v>Won</v>
      </c>
      <c r="I1206" s="6" t="str">
        <f ca="1">IFERROR(__xludf.DUMMYFUNCTION("""COMPUTED_VALUE"""),"10-11 Sep 2022")</f>
        <v>10-11 Sep 2022</v>
      </c>
      <c r="J1206" s="6">
        <f ca="1">IFERROR(__xludf.DUMMYFUNCTION("""COMPUTED_VALUE"""),1)</f>
        <v>1</v>
      </c>
      <c r="K1206" s="8">
        <f ca="1">IFERROR(__xludf.DUMMYFUNCTION("""COMPUTED_VALUE"""),20500)</f>
        <v>20500</v>
      </c>
      <c r="L1206" s="8">
        <f ca="1">IFERROR(__xludf.DUMMYFUNCTION("""COMPUTED_VALUE"""),234.768666972056)</f>
        <v>234.768666972056</v>
      </c>
      <c r="M1206" s="96">
        <f ca="1">IFERROR(__xludf.DUMMYFUNCTION("""COMPUTED_VALUE"""),44795)</f>
        <v>44795</v>
      </c>
      <c r="N1206" s="6" t="str">
        <f ca="1">IFERROR(__xludf.DUMMYFUNCTION("""COMPUTED_VALUE"""),"T10")</f>
        <v>T10</v>
      </c>
      <c r="O1206" s="97">
        <f ca="1">IFERROR(__xludf.DUMMYFUNCTION("""COMPUTED_VALUE"""),44795)</f>
        <v>44795</v>
      </c>
      <c r="P1206" s="6" t="str">
        <f ca="1">IFERROR(__xludf.DUMMYFUNCTION("""COMPUTED_VALUE"""),"CSTM_1GC3I261T7N")</f>
        <v>CSTM_1GC3I261T7N</v>
      </c>
      <c r="Q1206" s="6" t="str">
        <f ca="1">IFERROR(__xludf.DUMMYFUNCTION("""COMPUTED_VALUE"""),"Reference by aakash.bhadoria@gmail.com")</f>
        <v>Reference by aakash.bhadoria@gmail.com</v>
      </c>
      <c r="R1206" s="6" t="str">
        <f ca="1">IFERROR(__xludf.DUMMYFUNCTION("""COMPUTED_VALUE"""),"Done. Good feedback.")</f>
        <v>Done. Good feedback.</v>
      </c>
      <c r="S1206" s="6" t="str">
        <f ca="1">IFERROR(__xludf.DUMMYFUNCTION("""COMPUTED_VALUE"""),"Category")</f>
        <v>Category</v>
      </c>
      <c r="T1206" s="6"/>
      <c r="U1206" s="6"/>
      <c r="V1206" s="6"/>
      <c r="W1206" s="6"/>
      <c r="X1206" s="6"/>
      <c r="Y1206" s="6"/>
      <c r="Z1206" s="6"/>
      <c r="AA1206" s="6"/>
      <c r="AB1206" s="6"/>
      <c r="AC1206" s="6"/>
      <c r="AD1206" s="6"/>
      <c r="AE1206" s="6"/>
      <c r="AF1206" s="6"/>
      <c r="AG1206" s="6"/>
      <c r="AH1206" s="6"/>
      <c r="AI1206" s="6"/>
      <c r="AJ1206" s="6"/>
      <c r="AK1206" s="6"/>
      <c r="AL1206" s="6"/>
    </row>
    <row r="1207" spans="1:38">
      <c r="A1207" s="96">
        <f ca="1">IFERROR(__xludf.DUMMYFUNCTION("""COMPUTED_VALUE"""),44796)</f>
        <v>44796</v>
      </c>
      <c r="B1207" s="6" t="str">
        <f ca="1">IFERROR(__xludf.DUMMYFUNCTION("""COMPUTED_VALUE"""),"Ajit Patwardhan")</f>
        <v>Ajit Patwardhan</v>
      </c>
      <c r="C1207" s="6" t="str">
        <f ca="1">IFERROR(__xludf.DUMMYFUNCTION("""COMPUTED_VALUE"""),"ajit.patwardhan@digitate.com")</f>
        <v>ajit.patwardhan@digitate.com</v>
      </c>
      <c r="D1207" s="6">
        <f ca="1">IFERROR(__xludf.DUMMYFUNCTION("""COMPUTED_VALUE"""),9819624882)</f>
        <v>9819624882</v>
      </c>
      <c r="E1207" s="6" t="str">
        <f ca="1">IFERROR(__xludf.DUMMYFUNCTION("""COMPUTED_VALUE"""),"Reference")</f>
        <v>Reference</v>
      </c>
      <c r="F1207" s="6" t="str">
        <f ca="1">IFERROR(__xludf.DUMMYFUNCTION("""COMPUTED_VALUE"""),"PSM 2")</f>
        <v>PSM 2</v>
      </c>
      <c r="G1207" s="80">
        <f ca="1">IFERROR(__xludf.DUMMYFUNCTION("""COMPUTED_VALUE"""),44774)</f>
        <v>44774</v>
      </c>
      <c r="H1207" s="6" t="str">
        <f ca="1">IFERROR(__xludf.DUMMYFUNCTION("""COMPUTED_VALUE"""),"Won")</f>
        <v>Won</v>
      </c>
      <c r="I1207" s="6" t="str">
        <f ca="1">IFERROR(__xludf.DUMMYFUNCTION("""COMPUTED_VALUE"""),"10-11 Sep 2022")</f>
        <v>10-11 Sep 2022</v>
      </c>
      <c r="J1207" s="6">
        <f ca="1">IFERROR(__xludf.DUMMYFUNCTION("""COMPUTED_VALUE"""),1)</f>
        <v>1</v>
      </c>
      <c r="K1207" s="8">
        <f ca="1">IFERROR(__xludf.DUMMYFUNCTION("""COMPUTED_VALUE"""),24000)</f>
        <v>24000</v>
      </c>
      <c r="L1207" s="8">
        <f ca="1">IFERROR(__xludf.DUMMYFUNCTION("""COMPUTED_VALUE"""),274.851122308749)</f>
        <v>274.85112230874898</v>
      </c>
      <c r="M1207" s="96">
        <f ca="1">IFERROR(__xludf.DUMMYFUNCTION("""COMPUTED_VALUE"""),44796)</f>
        <v>44796</v>
      </c>
      <c r="N1207" s="6" t="str">
        <f ca="1">IFERROR(__xludf.DUMMYFUNCTION("""COMPUTED_VALUE"""),"T10")</f>
        <v>T10</v>
      </c>
      <c r="O1207" s="97">
        <f ca="1">IFERROR(__xludf.DUMMYFUNCTION("""COMPUTED_VALUE"""),44797)</f>
        <v>44797</v>
      </c>
      <c r="P1207" s="6" t="str">
        <f ca="1">IFERROR(__xludf.DUMMYFUNCTION("""COMPUTED_VALUE"""),"CSTM_BLCBSTR0864")</f>
        <v>CSTM_BLCBSTR0864</v>
      </c>
      <c r="Q1207" s="6" t="str">
        <f ca="1">IFERROR(__xludf.DUMMYFUNCTION("""COMPUTED_VALUE"""),"Reference by Chetan")</f>
        <v>Reference by Chetan</v>
      </c>
      <c r="R1207" s="6" t="str">
        <f ca="1">IFERROR(__xludf.DUMMYFUNCTION("""COMPUTED_VALUE"""),"Done. Good feedback.")</f>
        <v>Done. Good feedback.</v>
      </c>
      <c r="S1207" s="6" t="str">
        <f ca="1">IFERROR(__xludf.DUMMYFUNCTION("""COMPUTED_VALUE"""),"Category")</f>
        <v>Category</v>
      </c>
      <c r="T1207" s="6" t="str">
        <f ca="1">IFERROR(__xludf.DUMMYFUNCTION("""COMPUTED_VALUE"""),"Filled the form")</f>
        <v>Filled the form</v>
      </c>
      <c r="U1207" s="6"/>
      <c r="V1207" s="6"/>
      <c r="W1207" s="6"/>
      <c r="X1207" s="6"/>
      <c r="Y1207" s="6"/>
      <c r="Z1207" s="6"/>
      <c r="AA1207" s="6"/>
      <c r="AB1207" s="6"/>
      <c r="AC1207" s="6"/>
      <c r="AD1207" s="6"/>
      <c r="AE1207" s="6"/>
      <c r="AF1207" s="6"/>
      <c r="AG1207" s="6"/>
      <c r="AH1207" s="6"/>
      <c r="AI1207" s="6"/>
      <c r="AJ1207" s="6"/>
      <c r="AK1207" s="6"/>
      <c r="AL1207" s="6"/>
    </row>
    <row r="1208" spans="1:38">
      <c r="A1208" s="96">
        <f ca="1">IFERROR(__xludf.DUMMYFUNCTION("""COMPUTED_VALUE"""),44796)</f>
        <v>44796</v>
      </c>
      <c r="B1208" s="6" t="str">
        <f ca="1">IFERROR(__xludf.DUMMYFUNCTION("""COMPUTED_VALUE"""),"Chandana Poojari")</f>
        <v>Chandana Poojari</v>
      </c>
      <c r="C1208" s="6" t="str">
        <f ca="1">IFERROR(__xludf.DUMMYFUNCTION("""COMPUTED_VALUE"""),"chandanapoojari@gmail.com")</f>
        <v>chandanapoojari@gmail.com</v>
      </c>
      <c r="D1208" s="6">
        <f ca="1">IFERROR(__xludf.DUMMYFUNCTION("""COMPUTED_VALUE"""),9820736227)</f>
        <v>9820736227</v>
      </c>
      <c r="E1208" s="6" t="str">
        <f ca="1">IFERROR(__xludf.DUMMYFUNCTION("""COMPUTED_VALUE"""),"Query box")</f>
        <v>Query box</v>
      </c>
      <c r="F1208" s="6" t="str">
        <f ca="1">IFERROR(__xludf.DUMMYFUNCTION("""COMPUTED_VALUE"""),"CSM")</f>
        <v>CSM</v>
      </c>
      <c r="G1208" s="80">
        <f ca="1">IFERROR(__xludf.DUMMYFUNCTION("""COMPUTED_VALUE"""),44774)</f>
        <v>44774</v>
      </c>
      <c r="H1208" s="6" t="str">
        <f ca="1">IFERROR(__xludf.DUMMYFUNCTION("""COMPUTED_VALUE"""),"Won")</f>
        <v>Won</v>
      </c>
      <c r="I1208" s="6" t="str">
        <f ca="1">IFERROR(__xludf.DUMMYFUNCTION("""COMPUTED_VALUE"""),"10-11 Aug 2022")</f>
        <v>10-11 Aug 2022</v>
      </c>
      <c r="J1208" s="6">
        <f ca="1">IFERROR(__xludf.DUMMYFUNCTION("""COMPUTED_VALUE"""),1)</f>
        <v>1</v>
      </c>
      <c r="K1208" s="8">
        <f ca="1">IFERROR(__xludf.DUMMYFUNCTION("""COMPUTED_VALUE"""),18000)</f>
        <v>18000</v>
      </c>
      <c r="L1208" s="8">
        <f ca="1">IFERROR(__xludf.DUMMYFUNCTION("""COMPUTED_VALUE"""),206.138341731562)</f>
        <v>206.13834173156201</v>
      </c>
      <c r="M1208" s="96">
        <f ca="1">IFERROR(__xludf.DUMMYFUNCTION("""COMPUTED_VALUE"""),44796)</f>
        <v>44796</v>
      </c>
      <c r="N1208" s="6" t="str">
        <f ca="1">IFERROR(__xludf.DUMMYFUNCTION("""COMPUTED_VALUE"""),"T10")</f>
        <v>T10</v>
      </c>
      <c r="O1208" s="97">
        <f ca="1">IFERROR(__xludf.DUMMYFUNCTION("""COMPUTED_VALUE"""),44797)</f>
        <v>44797</v>
      </c>
      <c r="P1208" s="6" t="str">
        <f ca="1">IFERROR(__xludf.DUMMYFUNCTION("""COMPUTED_VALUE"""),"CSTM_GEIADZD2LWN")</f>
        <v>CSTM_GEIADZD2LWN</v>
      </c>
      <c r="Q1208" s="6"/>
      <c r="R1208" s="6" t="str">
        <f ca="1">IFERROR(__xludf.DUMMYFUNCTION("""COMPUTED_VALUE"""),"Done. Good feedback.")</f>
        <v>Done. Good feedback.</v>
      </c>
      <c r="S1208" s="6" t="str">
        <f ca="1">IFERROR(__xludf.DUMMYFUNCTION("""COMPUTED_VALUE"""),"Category")</f>
        <v>Category</v>
      </c>
      <c r="T1208" s="6"/>
      <c r="U1208" s="6"/>
      <c r="V1208" s="6"/>
      <c r="W1208" s="6"/>
      <c r="X1208" s="6"/>
      <c r="Y1208" s="6"/>
      <c r="Z1208" s="6"/>
      <c r="AA1208" s="6"/>
      <c r="AB1208" s="6"/>
      <c r="AC1208" s="6"/>
      <c r="AD1208" s="6"/>
      <c r="AE1208" s="6"/>
      <c r="AF1208" s="6"/>
      <c r="AG1208" s="6"/>
      <c r="AH1208" s="6"/>
      <c r="AI1208" s="6"/>
      <c r="AJ1208" s="6"/>
      <c r="AK1208" s="6"/>
      <c r="AL1208" s="6"/>
    </row>
    <row r="1209" spans="1:38">
      <c r="A1209" s="96">
        <f ca="1">IFERROR(__xludf.DUMMYFUNCTION("""COMPUTED_VALUE"""),44796)</f>
        <v>44796</v>
      </c>
      <c r="B1209" s="6" t="str">
        <f ca="1">IFERROR(__xludf.DUMMYFUNCTION("""COMPUTED_VALUE"""),"Tushar VP")</f>
        <v>Tushar VP</v>
      </c>
      <c r="C1209" s="6" t="str">
        <f ca="1">IFERROR(__xludf.DUMMYFUNCTION("""COMPUTED_VALUE"""),"tusharvp1@gmail.com")</f>
        <v>tusharvp1@gmail.com</v>
      </c>
      <c r="D1209" s="6">
        <f ca="1">IFERROR(__xludf.DUMMYFUNCTION("""COMPUTED_VALUE"""),7506175701)</f>
        <v>7506175701</v>
      </c>
      <c r="E1209" s="6" t="str">
        <f ca="1">IFERROR(__xludf.DUMMYFUNCTION("""COMPUTED_VALUE"""),"Reference")</f>
        <v>Reference</v>
      </c>
      <c r="F1209" s="6" t="str">
        <f ca="1">IFERROR(__xludf.DUMMYFUNCTION("""COMPUTED_VALUE"""),"CSM")</f>
        <v>CSM</v>
      </c>
      <c r="G1209" s="80">
        <f ca="1">IFERROR(__xludf.DUMMYFUNCTION("""COMPUTED_VALUE"""),44774)</f>
        <v>44774</v>
      </c>
      <c r="H1209" s="6" t="str">
        <f ca="1">IFERROR(__xludf.DUMMYFUNCTION("""COMPUTED_VALUE"""),"Won")</f>
        <v>Won</v>
      </c>
      <c r="I1209" s="6" t="str">
        <f ca="1">IFERROR(__xludf.DUMMYFUNCTION("""COMPUTED_VALUE"""),"10-11 Aug 2022")</f>
        <v>10-11 Aug 2022</v>
      </c>
      <c r="J1209" s="6">
        <f ca="1">IFERROR(__xludf.DUMMYFUNCTION("""COMPUTED_VALUE"""),1)</f>
        <v>1</v>
      </c>
      <c r="K1209" s="8">
        <f ca="1">IFERROR(__xludf.DUMMYFUNCTION("""COMPUTED_VALUE"""),18000)</f>
        <v>18000</v>
      </c>
      <c r="L1209" s="8">
        <f ca="1">IFERROR(__xludf.DUMMYFUNCTION("""COMPUTED_VALUE"""),206.138341731562)</f>
        <v>206.13834173156201</v>
      </c>
      <c r="M1209" s="96">
        <f ca="1">IFERROR(__xludf.DUMMYFUNCTION("""COMPUTED_VALUE"""),44796)</f>
        <v>44796</v>
      </c>
      <c r="N1209" s="6" t="str">
        <f ca="1">IFERROR(__xludf.DUMMYFUNCTION("""COMPUTED_VALUE"""),"T10")</f>
        <v>T10</v>
      </c>
      <c r="O1209" s="97">
        <f ca="1">IFERROR(__xludf.DUMMYFUNCTION("""COMPUTED_VALUE"""),44797)</f>
        <v>44797</v>
      </c>
      <c r="P1209" s="6" t="str">
        <f ca="1">IFERROR(__xludf.DUMMYFUNCTION("""COMPUTED_VALUE"""),"CSTM_JBZKFQOTZVB")</f>
        <v>CSTM_JBZKFQOTZVB</v>
      </c>
      <c r="Q1209" s="6" t="str">
        <f ca="1">IFERROR(__xludf.DUMMYFUNCTION("""COMPUTED_VALUE"""),"Reference by Chandana")</f>
        <v>Reference by Chandana</v>
      </c>
      <c r="R1209" s="6" t="str">
        <f ca="1">IFERROR(__xludf.DUMMYFUNCTION("""COMPUTED_VALUE"""),"Done. Good feedback.")</f>
        <v>Done. Good feedback.</v>
      </c>
      <c r="S1209" s="6" t="str">
        <f ca="1">IFERROR(__xludf.DUMMYFUNCTION("""COMPUTED_VALUE"""),"Category")</f>
        <v>Category</v>
      </c>
      <c r="T1209" s="6"/>
      <c r="U1209" s="6"/>
      <c r="V1209" s="6"/>
      <c r="W1209" s="6"/>
      <c r="X1209" s="6"/>
      <c r="Y1209" s="6"/>
      <c r="Z1209" s="6"/>
      <c r="AA1209" s="6"/>
      <c r="AB1209" s="6"/>
      <c r="AC1209" s="6"/>
      <c r="AD1209" s="6"/>
      <c r="AE1209" s="6"/>
      <c r="AF1209" s="6"/>
      <c r="AG1209" s="6"/>
      <c r="AH1209" s="6"/>
      <c r="AI1209" s="6"/>
      <c r="AJ1209" s="6"/>
      <c r="AK1209" s="6"/>
      <c r="AL1209" s="6"/>
    </row>
    <row r="1210" spans="1:38">
      <c r="A1210" s="96">
        <f ca="1">IFERROR(__xludf.DUMMYFUNCTION("""COMPUTED_VALUE"""),44796)</f>
        <v>44796</v>
      </c>
      <c r="B1210" s="6" t="str">
        <f ca="1">IFERROR(__xludf.DUMMYFUNCTION("""COMPUTED_VALUE"""),"Abhishek Nagpal")</f>
        <v>Abhishek Nagpal</v>
      </c>
      <c r="C1210" s="6" t="str">
        <f ca="1">IFERROR(__xludf.DUMMYFUNCTION("""COMPUTED_VALUE"""),"nagpalabhishek7@gmail.com")</f>
        <v>nagpalabhishek7@gmail.com</v>
      </c>
      <c r="D1210" s="6">
        <f ca="1">IFERROR(__xludf.DUMMYFUNCTION("""COMPUTED_VALUE"""),7208642902)</f>
        <v>7208642902</v>
      </c>
      <c r="E1210" s="6" t="str">
        <f ca="1">IFERROR(__xludf.DUMMYFUNCTION("""COMPUTED_VALUE"""),"Reference")</f>
        <v>Reference</v>
      </c>
      <c r="F1210" s="6" t="str">
        <f ca="1">IFERROR(__xludf.DUMMYFUNCTION("""COMPUTED_VALUE"""),"CSM")</f>
        <v>CSM</v>
      </c>
      <c r="G1210" s="80">
        <f ca="1">IFERROR(__xludf.DUMMYFUNCTION("""COMPUTED_VALUE"""),44774)</f>
        <v>44774</v>
      </c>
      <c r="H1210" s="6" t="str">
        <f ca="1">IFERROR(__xludf.DUMMYFUNCTION("""COMPUTED_VALUE"""),"Opportunity")</f>
        <v>Opportunity</v>
      </c>
      <c r="I1210" s="6" t="str">
        <f ca="1">IFERROR(__xludf.DUMMYFUNCTION("""COMPUTED_VALUE"""),"10-11 Aug 2022")</f>
        <v>10-11 Aug 2022</v>
      </c>
      <c r="J1210" s="6">
        <f ca="1">IFERROR(__xludf.DUMMYFUNCTION("""COMPUTED_VALUE"""),1)</f>
        <v>1</v>
      </c>
      <c r="K1210" s="8">
        <f ca="1">IFERROR(__xludf.DUMMYFUNCTION("""COMPUTED_VALUE"""),18000)</f>
        <v>18000</v>
      </c>
      <c r="L1210" s="8">
        <f ca="1">IFERROR(__xludf.DUMMYFUNCTION("""COMPUTED_VALUE"""),206.138341731562)</f>
        <v>206.13834173156201</v>
      </c>
      <c r="M1210" s="96">
        <f ca="1">IFERROR(__xludf.DUMMYFUNCTION("""COMPUTED_VALUE"""),44796)</f>
        <v>44796</v>
      </c>
      <c r="N1210" s="6"/>
      <c r="O1210" s="97"/>
      <c r="P1210" s="6"/>
      <c r="Q1210" s="6" t="str">
        <f ca="1">IFERROR(__xludf.DUMMYFUNCTION("""COMPUTED_VALUE"""),"Reference by Chandana")</f>
        <v>Reference by Chandana</v>
      </c>
      <c r="R1210" s="6"/>
      <c r="S1210" s="6" t="str">
        <f ca="1">IFERROR(__xludf.DUMMYFUNCTION("""COMPUTED_VALUE"""),"Category")</f>
        <v>Category</v>
      </c>
      <c r="T1210" s="6"/>
      <c r="U1210" s="6"/>
      <c r="V1210" s="6"/>
      <c r="W1210" s="6"/>
      <c r="X1210" s="6"/>
      <c r="Y1210" s="6"/>
      <c r="Z1210" s="6"/>
      <c r="AA1210" s="6"/>
      <c r="AB1210" s="6"/>
      <c r="AC1210" s="6"/>
      <c r="AD1210" s="6"/>
      <c r="AE1210" s="6"/>
      <c r="AF1210" s="6"/>
      <c r="AG1210" s="6"/>
      <c r="AH1210" s="6"/>
      <c r="AI1210" s="6"/>
      <c r="AJ1210" s="6"/>
      <c r="AK1210" s="6"/>
      <c r="AL1210" s="6"/>
    </row>
    <row r="1211" spans="1:38">
      <c r="A1211" s="96">
        <f ca="1">IFERROR(__xludf.DUMMYFUNCTION("""COMPUTED_VALUE"""),44799)</f>
        <v>44799</v>
      </c>
      <c r="B1211" s="6" t="str">
        <f ca="1">IFERROR(__xludf.DUMMYFUNCTION("""COMPUTED_VALUE"""),"Sanjiv")</f>
        <v>Sanjiv</v>
      </c>
      <c r="C1211" s="6" t="str">
        <f ca="1">IFERROR(__xludf.DUMMYFUNCTION("""COMPUTED_VALUE"""),"sdash3110@gmail.com")</f>
        <v>sdash3110@gmail.com</v>
      </c>
      <c r="D1211" s="6">
        <f ca="1">IFERROR(__xludf.DUMMYFUNCTION("""COMPUTED_VALUE"""),9999479115)</f>
        <v>9999479115</v>
      </c>
      <c r="E1211" s="6" t="str">
        <f ca="1">IFERROR(__xludf.DUMMYFUNCTION("""COMPUTED_VALUE"""),"Existing Account")</f>
        <v>Existing Account</v>
      </c>
      <c r="F1211" s="6" t="str">
        <f ca="1">IFERROR(__xludf.DUMMYFUNCTION("""COMPUTED_VALUE"""),"Tech MoM")</f>
        <v>Tech MoM</v>
      </c>
      <c r="G1211" s="80">
        <f ca="1">IFERROR(__xludf.DUMMYFUNCTION("""COMPUTED_VALUE"""),44774)</f>
        <v>44774</v>
      </c>
      <c r="H1211" s="6" t="str">
        <f ca="1">IFERROR(__xludf.DUMMYFUNCTION("""COMPUTED_VALUE"""),"Won")</f>
        <v>Won</v>
      </c>
      <c r="I1211" s="6" t="str">
        <f ca="1">IFERROR(__xludf.DUMMYFUNCTION("""COMPUTED_VALUE"""),"27 Aug 2022")</f>
        <v>27 Aug 2022</v>
      </c>
      <c r="J1211" s="6">
        <f ca="1">IFERROR(__xludf.DUMMYFUNCTION("""COMPUTED_VALUE"""),1)</f>
        <v>1</v>
      </c>
      <c r="K1211" s="8">
        <f ca="1">IFERROR(__xludf.DUMMYFUNCTION("""COMPUTED_VALUE"""),50000)</f>
        <v>50000</v>
      </c>
      <c r="L1211" s="8">
        <f ca="1">IFERROR(__xludf.DUMMYFUNCTION("""COMPUTED_VALUE"""),572.606504809894)</f>
        <v>572.60650480989398</v>
      </c>
      <c r="M1211" s="96">
        <f ca="1">IFERROR(__xludf.DUMMYFUNCTION("""COMPUTED_VALUE"""),44799)</f>
        <v>44799</v>
      </c>
      <c r="N1211" s="6" t="str">
        <f ca="1">IFERROR(__xludf.DUMMYFUNCTION("""COMPUTED_VALUE"""),"T10")</f>
        <v>T10</v>
      </c>
      <c r="O1211" s="97">
        <f ca="1">IFERROR(__xludf.DUMMYFUNCTION("""COMPUTED_VALUE"""),44799)</f>
        <v>44799</v>
      </c>
      <c r="P1211" s="6" t="str">
        <f ca="1">IFERROR(__xludf.DUMMYFUNCTION("""COMPUTED_VALUE"""),"CSTM_JG589GYTST5")</f>
        <v>CSTM_JG589GYTST5</v>
      </c>
      <c r="Q1211" s="6"/>
      <c r="R1211" s="6" t="str">
        <f ca="1">IFERROR(__xludf.DUMMYFUNCTION("""COMPUTED_VALUE"""),"Pending")</f>
        <v>Pending</v>
      </c>
      <c r="S1211" s="6" t="str">
        <f ca="1">IFERROR(__xludf.DUMMYFUNCTION("""COMPUTED_VALUE"""),"NonCategory")</f>
        <v>NonCategory</v>
      </c>
      <c r="T1211" s="6"/>
      <c r="U1211" s="6"/>
      <c r="V1211" s="6"/>
      <c r="W1211" s="6"/>
      <c r="X1211" s="6"/>
      <c r="Y1211" s="6"/>
      <c r="Z1211" s="6"/>
      <c r="AA1211" s="6"/>
      <c r="AB1211" s="6"/>
      <c r="AC1211" s="6"/>
      <c r="AD1211" s="6"/>
      <c r="AE1211" s="6"/>
      <c r="AF1211" s="6"/>
      <c r="AG1211" s="6"/>
      <c r="AH1211" s="6"/>
      <c r="AI1211" s="6"/>
      <c r="AJ1211" s="6"/>
      <c r="AK1211" s="6"/>
      <c r="AL1211" s="6"/>
    </row>
    <row r="1212" spans="1:38">
      <c r="A1212" s="96">
        <f ca="1">IFERROR(__xludf.DUMMYFUNCTION("""COMPUTED_VALUE"""),44799)</f>
        <v>44799</v>
      </c>
      <c r="B1212" s="6" t="str">
        <f ca="1">IFERROR(__xludf.DUMMYFUNCTION("""COMPUTED_VALUE"""),"Anuradha Krishna")</f>
        <v>Anuradha Krishna</v>
      </c>
      <c r="C1212" s="6" t="str">
        <f ca="1">IFERROR(__xludf.DUMMYFUNCTION("""COMPUTED_VALUE"""),"anuradhakrishna2016@gmail.com")</f>
        <v>anuradhakrishna2016@gmail.com</v>
      </c>
      <c r="D1212" s="6">
        <f ca="1">IFERROR(__xludf.DUMMYFUNCTION("""COMPUTED_VALUE"""),9582238923)</f>
        <v>9582238923</v>
      </c>
      <c r="E1212" s="6" t="str">
        <f ca="1">IFERROR(__xludf.DUMMYFUNCTION("""COMPUTED_VALUE"""),"Existing Account")</f>
        <v>Existing Account</v>
      </c>
      <c r="F1212" s="6" t="str">
        <f ca="1">IFERROR(__xludf.DUMMYFUNCTION("""COMPUTED_VALUE"""),"SAFe Agile")</f>
        <v>SAFe Agile</v>
      </c>
      <c r="G1212" s="80">
        <f ca="1">IFERROR(__xludf.DUMMYFUNCTION("""COMPUTED_VALUE"""),44805)</f>
        <v>44805</v>
      </c>
      <c r="H1212" s="6" t="str">
        <f ca="1">IFERROR(__xludf.DUMMYFUNCTION("""COMPUTED_VALUE"""),"Won")</f>
        <v>Won</v>
      </c>
      <c r="I1212" s="6" t="str">
        <f ca="1">IFERROR(__xludf.DUMMYFUNCTION("""COMPUTED_VALUE"""),"10-11 Sep 2022")</f>
        <v>10-11 Sep 2022</v>
      </c>
      <c r="J1212" s="6">
        <f ca="1">IFERROR(__xludf.DUMMYFUNCTION("""COMPUTED_VALUE"""),1)</f>
        <v>1</v>
      </c>
      <c r="K1212" s="8">
        <f ca="1">IFERROR(__xludf.DUMMYFUNCTION("""COMPUTED_VALUE"""),42000)</f>
        <v>42000</v>
      </c>
      <c r="L1212" s="8">
        <f ca="1">IFERROR(__xludf.DUMMYFUNCTION("""COMPUTED_VALUE"""),480.989464040311)</f>
        <v>480.98946404031102</v>
      </c>
      <c r="M1212" s="96">
        <f ca="1">IFERROR(__xludf.DUMMYFUNCTION("""COMPUTED_VALUE"""),44799)</f>
        <v>44799</v>
      </c>
      <c r="N1212" s="6" t="str">
        <f ca="1">IFERROR(__xludf.DUMMYFUNCTION("""COMPUTED_VALUE"""),"F10")</f>
        <v>F10</v>
      </c>
      <c r="O1212" s="97">
        <f ca="1">IFERROR(__xludf.DUMMYFUNCTION("""COMPUTED_VALUE"""),44809)</f>
        <v>44809</v>
      </c>
      <c r="P1212" s="6" t="str">
        <f ca="1">IFERROR(__xludf.DUMMYFUNCTION("""COMPUTED_VALUE"""),"CSTM_8IRH8W059AR")</f>
        <v>CSTM_8IRH8W059AR</v>
      </c>
      <c r="Q1212" s="6"/>
      <c r="R1212" s="6" t="str">
        <f ca="1">IFERROR(__xludf.DUMMYFUNCTION("""COMPUTED_VALUE"""),"Done. Good feedback.")</f>
        <v>Done. Good feedback.</v>
      </c>
      <c r="S1212" s="6" t="str">
        <f ca="1">IFERROR(__xludf.DUMMYFUNCTION("""COMPUTED_VALUE"""),"SAFe")</f>
        <v>SAFe</v>
      </c>
      <c r="T1212" s="6"/>
      <c r="U1212" s="6"/>
      <c r="V1212" s="6"/>
      <c r="W1212" s="6"/>
      <c r="X1212" s="6"/>
      <c r="Y1212" s="6"/>
      <c r="Z1212" s="6"/>
      <c r="AA1212" s="6"/>
      <c r="AB1212" s="6"/>
      <c r="AC1212" s="6"/>
      <c r="AD1212" s="6"/>
      <c r="AE1212" s="6"/>
      <c r="AF1212" s="6"/>
      <c r="AG1212" s="6"/>
      <c r="AH1212" s="6"/>
      <c r="AI1212" s="6"/>
      <c r="AJ1212" s="6"/>
      <c r="AK1212" s="6"/>
      <c r="AL1212" s="6"/>
    </row>
    <row r="1213" spans="1:38">
      <c r="A1213" s="96">
        <f ca="1">IFERROR(__xludf.DUMMYFUNCTION("""COMPUTED_VALUE"""),44801)</f>
        <v>44801</v>
      </c>
      <c r="B1213" s="6" t="str">
        <f ca="1">IFERROR(__xludf.DUMMYFUNCTION("""COMPUTED_VALUE"""),"Akshay Kumar")</f>
        <v>Akshay Kumar</v>
      </c>
      <c r="C1213" s="6" t="str">
        <f ca="1">IFERROR(__xludf.DUMMYFUNCTION("""COMPUTED_VALUE"""),"akshaykumar.ak@outlook.com")</f>
        <v>akshaykumar.ak@outlook.com</v>
      </c>
      <c r="D1213" s="6">
        <f ca="1">IFERROR(__xludf.DUMMYFUNCTION("""COMPUTED_VALUE"""),9555224422)</f>
        <v>9555224422</v>
      </c>
      <c r="E1213" s="6" t="str">
        <f ca="1">IFERROR(__xludf.DUMMYFUNCTION("""COMPUTED_VALUE"""),"Query box")</f>
        <v>Query box</v>
      </c>
      <c r="F1213" s="6" t="str">
        <f ca="1">IFERROR(__xludf.DUMMYFUNCTION("""COMPUTED_VALUE"""),"PSM")</f>
        <v>PSM</v>
      </c>
      <c r="G1213" s="80">
        <f ca="1">IFERROR(__xludf.DUMMYFUNCTION("""COMPUTED_VALUE"""),44774)</f>
        <v>44774</v>
      </c>
      <c r="H1213" s="6" t="str">
        <f ca="1">IFERROR(__xludf.DUMMYFUNCTION("""COMPUTED_VALUE"""),"Won")</f>
        <v>Won</v>
      </c>
      <c r="I1213" s="6" t="str">
        <f ca="1">IFERROR(__xludf.DUMMYFUNCTION("""COMPUTED_VALUE"""),"3-4 Sep 2022")</f>
        <v>3-4 Sep 2022</v>
      </c>
      <c r="J1213" s="6">
        <f ca="1">IFERROR(__xludf.DUMMYFUNCTION("""COMPUTED_VALUE"""),1)</f>
        <v>1</v>
      </c>
      <c r="K1213" s="8">
        <f ca="1">IFERROR(__xludf.DUMMYFUNCTION("""COMPUTED_VALUE"""),21000)</f>
        <v>21000</v>
      </c>
      <c r="L1213" s="8">
        <f ca="1">IFERROR(__xludf.DUMMYFUNCTION("""COMPUTED_VALUE"""),240.494732020155)</f>
        <v>240.494732020155</v>
      </c>
      <c r="M1213" s="96">
        <f ca="1">IFERROR(__xludf.DUMMYFUNCTION("""COMPUTED_VALUE"""),44801)</f>
        <v>44801</v>
      </c>
      <c r="N1213" s="6" t="str">
        <f ca="1">IFERROR(__xludf.DUMMYFUNCTION("""COMPUTED_VALUE"""),"T10")</f>
        <v>T10</v>
      </c>
      <c r="O1213" s="97">
        <f ca="1">IFERROR(__xludf.DUMMYFUNCTION("""COMPUTED_VALUE"""),44801)</f>
        <v>44801</v>
      </c>
      <c r="P1213" s="6" t="str">
        <f ca="1">IFERROR(__xludf.DUMMYFUNCTION("""COMPUTED_VALUE"""),"CSTM_BM37XBS70VJ")</f>
        <v>CSTM_BM37XBS70VJ</v>
      </c>
      <c r="Q1213" s="6"/>
      <c r="R1213" s="6" t="str">
        <f ca="1">IFERROR(__xludf.DUMMYFUNCTION("""COMPUTED_VALUE"""),"Done. Good feedback.")</f>
        <v>Done. Good feedback.</v>
      </c>
      <c r="S1213" s="6" t="str">
        <f ca="1">IFERROR(__xludf.DUMMYFUNCTION("""COMPUTED_VALUE"""),"Category")</f>
        <v>Category</v>
      </c>
      <c r="T1213" s="6"/>
      <c r="U1213" s="6"/>
      <c r="V1213" s="6"/>
      <c r="W1213" s="6"/>
      <c r="X1213" s="6"/>
      <c r="Y1213" s="6"/>
      <c r="Z1213" s="6"/>
      <c r="AA1213" s="6"/>
      <c r="AB1213" s="6"/>
      <c r="AC1213" s="6"/>
      <c r="AD1213" s="6"/>
      <c r="AE1213" s="6"/>
      <c r="AF1213" s="6"/>
      <c r="AG1213" s="6"/>
      <c r="AH1213" s="6"/>
      <c r="AI1213" s="6"/>
      <c r="AJ1213" s="6"/>
      <c r="AK1213" s="6"/>
      <c r="AL1213" s="6"/>
    </row>
    <row r="1214" spans="1:38">
      <c r="A1214" s="96">
        <f ca="1">IFERROR(__xludf.DUMMYFUNCTION("""COMPUTED_VALUE"""),44803)</f>
        <v>44803</v>
      </c>
      <c r="B1214" s="6" t="str">
        <f ca="1">IFERROR(__xludf.DUMMYFUNCTION("""COMPUTED_VALUE"""),"Dhivya Arunachalarajan")</f>
        <v>Dhivya Arunachalarajan</v>
      </c>
      <c r="C1214" s="6" t="str">
        <f ca="1">IFERROR(__xludf.DUMMYFUNCTION("""COMPUTED_VALUE"""),"dhivya.arunachalarajan12@gmail.com")</f>
        <v>dhivya.arunachalarajan12@gmail.com</v>
      </c>
      <c r="D1214" s="6">
        <f ca="1">IFERROR(__xludf.DUMMYFUNCTION("""COMPUTED_VALUE"""),9865379134)</f>
        <v>9865379134</v>
      </c>
      <c r="E1214" s="6" t="str">
        <f ca="1">IFERROR(__xludf.DUMMYFUNCTION("""COMPUTED_VALUE"""),"Tollfree")</f>
        <v>Tollfree</v>
      </c>
      <c r="F1214" s="6" t="str">
        <f ca="1">IFERROR(__xludf.DUMMYFUNCTION("""COMPUTED_VALUE"""),"CSM")</f>
        <v>CSM</v>
      </c>
      <c r="G1214" s="80">
        <f ca="1">IFERROR(__xludf.DUMMYFUNCTION("""COMPUTED_VALUE"""),44774)</f>
        <v>44774</v>
      </c>
      <c r="H1214" s="6" t="str">
        <f ca="1">IFERROR(__xludf.DUMMYFUNCTION("""COMPUTED_VALUE"""),"Won")</f>
        <v>Won</v>
      </c>
      <c r="I1214" s="6" t="str">
        <f ca="1">IFERROR(__xludf.DUMMYFUNCTION("""COMPUTED_VALUE"""),"10-11 Sep 2022")</f>
        <v>10-11 Sep 2022</v>
      </c>
      <c r="J1214" s="6">
        <f ca="1">IFERROR(__xludf.DUMMYFUNCTION("""COMPUTED_VALUE"""),1)</f>
        <v>1</v>
      </c>
      <c r="K1214" s="8">
        <f ca="1">IFERROR(__xludf.DUMMYFUNCTION("""COMPUTED_VALUE"""),20000)</f>
        <v>20000</v>
      </c>
      <c r="L1214" s="8">
        <f ca="1">IFERROR(__xludf.DUMMYFUNCTION("""COMPUTED_VALUE"""),229.042601923957)</f>
        <v>229.04260192395699</v>
      </c>
      <c r="M1214" s="96">
        <f ca="1">IFERROR(__xludf.DUMMYFUNCTION("""COMPUTED_VALUE"""),44803)</f>
        <v>44803</v>
      </c>
      <c r="N1214" s="6" t="str">
        <f ca="1">IFERROR(__xludf.DUMMYFUNCTION("""COMPUTED_VALUE"""),"T10")</f>
        <v>T10</v>
      </c>
      <c r="O1214" s="97">
        <f ca="1">IFERROR(__xludf.DUMMYFUNCTION("""COMPUTED_VALUE"""),44803)</f>
        <v>44803</v>
      </c>
      <c r="P1214" s="6" t="str">
        <f ca="1">IFERROR(__xludf.DUMMYFUNCTION("""COMPUTED_VALUE"""),"CSTM_2ZOGXKV271T")</f>
        <v>CSTM_2ZOGXKV271T</v>
      </c>
      <c r="Q1214" s="6"/>
      <c r="R1214" s="6" t="str">
        <f ca="1">IFERROR(__xludf.DUMMYFUNCTION("""COMPUTED_VALUE"""),"Pending")</f>
        <v>Pending</v>
      </c>
      <c r="S1214" s="6" t="str">
        <f ca="1">IFERROR(__xludf.DUMMYFUNCTION("""COMPUTED_VALUE"""),"Category")</f>
        <v>Category</v>
      </c>
      <c r="T1214" s="6"/>
      <c r="U1214" s="6"/>
      <c r="V1214" s="6"/>
      <c r="W1214" s="6"/>
      <c r="X1214" s="6"/>
      <c r="Y1214" s="6"/>
      <c r="Z1214" s="6"/>
      <c r="AA1214" s="6"/>
      <c r="AB1214" s="6"/>
      <c r="AC1214" s="6"/>
      <c r="AD1214" s="6"/>
      <c r="AE1214" s="6"/>
      <c r="AF1214" s="6"/>
      <c r="AG1214" s="6"/>
      <c r="AH1214" s="6"/>
      <c r="AI1214" s="6"/>
      <c r="AJ1214" s="6"/>
      <c r="AK1214" s="6"/>
      <c r="AL1214" s="6"/>
    </row>
    <row r="1215" spans="1:38">
      <c r="A1215" s="96">
        <f ca="1">IFERROR(__xludf.DUMMYFUNCTION("""COMPUTED_VALUE"""),44803)</f>
        <v>44803</v>
      </c>
      <c r="B1215" s="6" t="str">
        <f ca="1">IFERROR(__xludf.DUMMYFUNCTION("""COMPUTED_VALUE"""),"Apurva Gawande")</f>
        <v>Apurva Gawande</v>
      </c>
      <c r="C1215" s="6" t="str">
        <f ca="1">IFERROR(__xludf.DUMMYFUNCTION("""COMPUTED_VALUE"""),"apurvagawande1997@gmail.com")</f>
        <v>apurvagawande1997@gmail.com</v>
      </c>
      <c r="D1215" s="6">
        <f ca="1">IFERROR(__xludf.DUMMYFUNCTION("""COMPUTED_VALUE"""),7066109332)</f>
        <v>7066109332</v>
      </c>
      <c r="E1215" s="6" t="str">
        <f ca="1">IFERROR(__xludf.DUMMYFUNCTION("""COMPUTED_VALUE"""),"course agenda")</f>
        <v>course agenda</v>
      </c>
      <c r="F1215" s="6" t="str">
        <f ca="1">IFERROR(__xludf.DUMMYFUNCTION("""COMPUTED_VALUE"""),"PSM")</f>
        <v>PSM</v>
      </c>
      <c r="G1215" s="80">
        <f ca="1">IFERROR(__xludf.DUMMYFUNCTION("""COMPUTED_VALUE"""),44774)</f>
        <v>44774</v>
      </c>
      <c r="H1215" s="6" t="str">
        <f ca="1">IFERROR(__xludf.DUMMYFUNCTION("""COMPUTED_VALUE"""),"Won")</f>
        <v>Won</v>
      </c>
      <c r="I1215" s="6" t="str">
        <f ca="1">IFERROR(__xludf.DUMMYFUNCTION("""COMPUTED_VALUE"""),"3-4 Sep 2022")</f>
        <v>3-4 Sep 2022</v>
      </c>
      <c r="J1215" s="6">
        <f ca="1">IFERROR(__xludf.DUMMYFUNCTION("""COMPUTED_VALUE"""),1)</f>
        <v>1</v>
      </c>
      <c r="K1215" s="8">
        <f ca="1">IFERROR(__xludf.DUMMYFUNCTION("""COMPUTED_VALUE"""),21000)</f>
        <v>21000</v>
      </c>
      <c r="L1215" s="8">
        <f ca="1">IFERROR(__xludf.DUMMYFUNCTION("""COMPUTED_VALUE"""),240.494732020155)</f>
        <v>240.494732020155</v>
      </c>
      <c r="M1215" s="96">
        <f ca="1">IFERROR(__xludf.DUMMYFUNCTION("""COMPUTED_VALUE"""),44803)</f>
        <v>44803</v>
      </c>
      <c r="N1215" s="6" t="str">
        <f ca="1">IFERROR(__xludf.DUMMYFUNCTION("""COMPUTED_VALUE"""),"T10")</f>
        <v>T10</v>
      </c>
      <c r="O1215" s="97">
        <f ca="1">IFERROR(__xludf.DUMMYFUNCTION("""COMPUTED_VALUE"""),44803)</f>
        <v>44803</v>
      </c>
      <c r="P1215" s="6" t="str">
        <f ca="1">IFERROR(__xludf.DUMMYFUNCTION("""COMPUTED_VALUE"""),"CSTM_GU1YM18IVNL")</f>
        <v>CSTM_GU1YM18IVNL</v>
      </c>
      <c r="Q1215" s="6"/>
      <c r="R1215" s="6" t="str">
        <f ca="1">IFERROR(__xludf.DUMMYFUNCTION("""COMPUTED_VALUE"""),"Done. Good feedback.")</f>
        <v>Done. Good feedback.</v>
      </c>
      <c r="S1215" s="6" t="str">
        <f ca="1">IFERROR(__xludf.DUMMYFUNCTION("""COMPUTED_VALUE"""),"Category")</f>
        <v>Category</v>
      </c>
      <c r="T1215" s="6"/>
      <c r="U1215" s="6"/>
      <c r="V1215" s="6"/>
      <c r="W1215" s="6"/>
      <c r="X1215" s="6"/>
      <c r="Y1215" s="6"/>
      <c r="Z1215" s="6"/>
      <c r="AA1215" s="6"/>
      <c r="AB1215" s="6"/>
      <c r="AC1215" s="6"/>
      <c r="AD1215" s="6"/>
      <c r="AE1215" s="6"/>
      <c r="AF1215" s="6"/>
      <c r="AG1215" s="6"/>
      <c r="AH1215" s="6"/>
      <c r="AI1215" s="6"/>
      <c r="AJ1215" s="6"/>
      <c r="AK1215" s="6"/>
      <c r="AL1215" s="6"/>
    </row>
    <row r="1216" spans="1:38">
      <c r="A1216" s="96">
        <f ca="1">IFERROR(__xludf.DUMMYFUNCTION("""COMPUTED_VALUE"""),44803)</f>
        <v>44803</v>
      </c>
      <c r="B1216" s="6" t="str">
        <f ca="1">IFERROR(__xludf.DUMMYFUNCTION("""COMPUTED_VALUE"""),"Adnan Dabir")</f>
        <v>Adnan Dabir</v>
      </c>
      <c r="C1216" s="6" t="str">
        <f ca="1">IFERROR(__xludf.DUMMYFUNCTION("""COMPUTED_VALUE"""),"adnan.dabir.ad@gmail.com")</f>
        <v>adnan.dabir.ad@gmail.com</v>
      </c>
      <c r="D1216" s="6">
        <f ca="1">IFERROR(__xludf.DUMMYFUNCTION("""COMPUTED_VALUE"""),7977165373)</f>
        <v>7977165373</v>
      </c>
      <c r="E1216" s="6" t="str">
        <f ca="1">IFERROR(__xludf.DUMMYFUNCTION("""COMPUTED_VALUE"""),"Query box")</f>
        <v>Query box</v>
      </c>
      <c r="F1216" s="6" t="str">
        <f ca="1">IFERROR(__xludf.DUMMYFUNCTION("""COMPUTED_VALUE"""),"PSM")</f>
        <v>PSM</v>
      </c>
      <c r="G1216" s="80">
        <f ca="1">IFERROR(__xludf.DUMMYFUNCTION("""COMPUTED_VALUE"""),44774)</f>
        <v>44774</v>
      </c>
      <c r="H1216" s="6" t="str">
        <f ca="1">IFERROR(__xludf.DUMMYFUNCTION("""COMPUTED_VALUE"""),"Won")</f>
        <v>Won</v>
      </c>
      <c r="I1216" s="6" t="str">
        <f ca="1">IFERROR(__xludf.DUMMYFUNCTION("""COMPUTED_VALUE"""),"3-4 Sep 2022")</f>
        <v>3-4 Sep 2022</v>
      </c>
      <c r="J1216" s="6">
        <f ca="1">IFERROR(__xludf.DUMMYFUNCTION("""COMPUTED_VALUE"""),1)</f>
        <v>1</v>
      </c>
      <c r="K1216" s="8">
        <f ca="1">IFERROR(__xludf.DUMMYFUNCTION("""COMPUTED_VALUE"""),21000)</f>
        <v>21000</v>
      </c>
      <c r="L1216" s="8">
        <f ca="1">IFERROR(__xludf.DUMMYFUNCTION("""COMPUTED_VALUE"""),240.494732020155)</f>
        <v>240.494732020155</v>
      </c>
      <c r="M1216" s="96">
        <f ca="1">IFERROR(__xludf.DUMMYFUNCTION("""COMPUTED_VALUE"""),44803)</f>
        <v>44803</v>
      </c>
      <c r="N1216" s="6" t="str">
        <f ca="1">IFERROR(__xludf.DUMMYFUNCTION("""COMPUTED_VALUE"""),"T10")</f>
        <v>T10</v>
      </c>
      <c r="O1216" s="97">
        <f ca="1">IFERROR(__xludf.DUMMYFUNCTION("""COMPUTED_VALUE"""),44803)</f>
        <v>44803</v>
      </c>
      <c r="P1216" s="6" t="str">
        <f ca="1">IFERROR(__xludf.DUMMYFUNCTION("""COMPUTED_VALUE"""),"CSTM_37LRH4I5YZM")</f>
        <v>CSTM_37LRH4I5YZM</v>
      </c>
      <c r="Q1216" s="6"/>
      <c r="R1216" s="6" t="str">
        <f ca="1">IFERROR(__xludf.DUMMYFUNCTION("""COMPUTED_VALUE"""),"Done. Good feedback.")</f>
        <v>Done. Good feedback.</v>
      </c>
      <c r="S1216" s="6" t="str">
        <f ca="1">IFERROR(__xludf.DUMMYFUNCTION("""COMPUTED_VALUE"""),"Category")</f>
        <v>Category</v>
      </c>
      <c r="T1216" s="6"/>
      <c r="U1216" s="6"/>
      <c r="V1216" s="6"/>
      <c r="W1216" s="6"/>
      <c r="X1216" s="6"/>
      <c r="Y1216" s="6"/>
      <c r="Z1216" s="6"/>
      <c r="AA1216" s="6"/>
      <c r="AB1216" s="6"/>
      <c r="AC1216" s="6"/>
      <c r="AD1216" s="6"/>
      <c r="AE1216" s="6"/>
      <c r="AF1216" s="6"/>
      <c r="AG1216" s="6"/>
      <c r="AH1216" s="6"/>
      <c r="AI1216" s="6"/>
      <c r="AJ1216" s="6"/>
      <c r="AK1216" s="6"/>
      <c r="AL1216" s="6"/>
    </row>
    <row r="1217" spans="1:38">
      <c r="A1217" s="96">
        <f ca="1">IFERROR(__xludf.DUMMYFUNCTION("""COMPUTED_VALUE"""),44804)</f>
        <v>44804</v>
      </c>
      <c r="B1217" s="6" t="str">
        <f ca="1">IFERROR(__xludf.DUMMYFUNCTION("""COMPUTED_VALUE"""),"Rashee Rana")</f>
        <v>Rashee Rana</v>
      </c>
      <c r="C1217" s="6" t="str">
        <f ca="1">IFERROR(__xludf.DUMMYFUNCTION("""COMPUTED_VALUE"""),"imrasheerana@gmail.com")</f>
        <v>imrasheerana@gmail.com</v>
      </c>
      <c r="D1217" s="6">
        <f ca="1">IFERROR(__xludf.DUMMYFUNCTION("""COMPUTED_VALUE"""),9914052052)</f>
        <v>9914052052</v>
      </c>
      <c r="E1217" s="6" t="str">
        <f ca="1">IFERROR(__xludf.DUMMYFUNCTION("""COMPUTED_VALUE"""),"Query box")</f>
        <v>Query box</v>
      </c>
      <c r="F1217" s="6" t="str">
        <f ca="1">IFERROR(__xludf.DUMMYFUNCTION("""COMPUTED_VALUE"""),"PSM")</f>
        <v>PSM</v>
      </c>
      <c r="G1217" s="80">
        <f ca="1">IFERROR(__xludf.DUMMYFUNCTION("""COMPUTED_VALUE"""),44774)</f>
        <v>44774</v>
      </c>
      <c r="H1217" s="6" t="str">
        <f ca="1">IFERROR(__xludf.DUMMYFUNCTION("""COMPUTED_VALUE"""),"Won")</f>
        <v>Won</v>
      </c>
      <c r="I1217" s="6" t="str">
        <f ca="1">IFERROR(__xludf.DUMMYFUNCTION("""COMPUTED_VALUE"""),"17-18 Sep 2022")</f>
        <v>17-18 Sep 2022</v>
      </c>
      <c r="J1217" s="6">
        <f ca="1">IFERROR(__xludf.DUMMYFUNCTION("""COMPUTED_VALUE"""),1)</f>
        <v>1</v>
      </c>
      <c r="K1217" s="8">
        <f ca="1">IFERROR(__xludf.DUMMYFUNCTION("""COMPUTED_VALUE"""),21000)</f>
        <v>21000</v>
      </c>
      <c r="L1217" s="8">
        <f ca="1">IFERROR(__xludf.DUMMYFUNCTION("""COMPUTED_VALUE"""),240.494732020155)</f>
        <v>240.494732020155</v>
      </c>
      <c r="M1217" s="96">
        <f ca="1">IFERROR(__xludf.DUMMYFUNCTION("""COMPUTED_VALUE"""),44804)</f>
        <v>44804</v>
      </c>
      <c r="N1217" s="6" t="str">
        <f ca="1">IFERROR(__xludf.DUMMYFUNCTION("""COMPUTED_VALUE"""),"T10")</f>
        <v>T10</v>
      </c>
      <c r="O1217" s="97">
        <f ca="1">IFERROR(__xludf.DUMMYFUNCTION("""COMPUTED_VALUE"""),44804)</f>
        <v>44804</v>
      </c>
      <c r="P1217" s="6" t="str">
        <f ca="1">IFERROR(__xludf.DUMMYFUNCTION("""COMPUTED_VALUE"""),"CSTM_YV1SOA8TRD")</f>
        <v>CSTM_YV1SOA8TRD</v>
      </c>
      <c r="Q1217" s="6"/>
      <c r="R1217" s="6" t="str">
        <f ca="1">IFERROR(__xludf.DUMMYFUNCTION("""COMPUTED_VALUE"""),"Pending")</f>
        <v>Pending</v>
      </c>
      <c r="S1217" s="6" t="str">
        <f ca="1">IFERROR(__xludf.DUMMYFUNCTION("""COMPUTED_VALUE"""),"Category")</f>
        <v>Category</v>
      </c>
      <c r="T1217" s="6"/>
      <c r="U1217" s="6"/>
      <c r="V1217" s="6"/>
      <c r="W1217" s="6"/>
      <c r="X1217" s="6"/>
      <c r="Y1217" s="6"/>
      <c r="Z1217" s="6"/>
      <c r="AA1217" s="6"/>
      <c r="AB1217" s="6"/>
      <c r="AC1217" s="6"/>
      <c r="AD1217" s="6"/>
      <c r="AE1217" s="6"/>
      <c r="AF1217" s="6"/>
      <c r="AG1217" s="6"/>
      <c r="AH1217" s="6"/>
      <c r="AI1217" s="6"/>
      <c r="AJ1217" s="6"/>
      <c r="AK1217" s="6"/>
      <c r="AL1217" s="6"/>
    </row>
    <row r="1218" spans="1:38">
      <c r="A1218" s="96">
        <f ca="1">IFERROR(__xludf.DUMMYFUNCTION("""COMPUTED_VALUE"""),44806)</f>
        <v>44806</v>
      </c>
      <c r="B1218" s="6" t="str">
        <f ca="1">IFERROR(__xludf.DUMMYFUNCTION("""COMPUTED_VALUE"""),"Ashrut Awasthi")</f>
        <v>Ashrut Awasthi</v>
      </c>
      <c r="C1218" s="6" t="str">
        <f ca="1">IFERROR(__xludf.DUMMYFUNCTION("""COMPUTED_VALUE"""),"ashawasthi525@gmail.com")</f>
        <v>ashawasthi525@gmail.com</v>
      </c>
      <c r="D1218" s="6">
        <f ca="1">IFERROR(__xludf.DUMMYFUNCTION("""COMPUTED_VALUE"""),8745051182)</f>
        <v>8745051182</v>
      </c>
      <c r="E1218" s="6" t="str">
        <f ca="1">IFERROR(__xludf.DUMMYFUNCTION("""COMPUTED_VALUE"""),"Query box")</f>
        <v>Query box</v>
      </c>
      <c r="F1218" s="6" t="str">
        <f ca="1">IFERROR(__xludf.DUMMYFUNCTION("""COMPUTED_VALUE"""),"PSPO")</f>
        <v>PSPO</v>
      </c>
      <c r="G1218" s="80">
        <f ca="1">IFERROR(__xludf.DUMMYFUNCTION("""COMPUTED_VALUE"""),44805)</f>
        <v>44805</v>
      </c>
      <c r="H1218" s="6" t="str">
        <f ca="1">IFERROR(__xludf.DUMMYFUNCTION("""COMPUTED_VALUE"""),"Won")</f>
        <v>Won</v>
      </c>
      <c r="I1218" s="6" t="str">
        <f ca="1">IFERROR(__xludf.DUMMYFUNCTION("""COMPUTED_VALUE"""),"3-4 Sep 2022")</f>
        <v>3-4 Sep 2022</v>
      </c>
      <c r="J1218" s="6">
        <f ca="1">IFERROR(__xludf.DUMMYFUNCTION("""COMPUTED_VALUE"""),1)</f>
        <v>1</v>
      </c>
      <c r="K1218" s="8">
        <f ca="1">IFERROR(__xludf.DUMMYFUNCTION("""COMPUTED_VALUE"""),21000)</f>
        <v>21000</v>
      </c>
      <c r="L1218" s="8">
        <f ca="1">IFERROR(__xludf.DUMMYFUNCTION("""COMPUTED_VALUE"""),240.494732020155)</f>
        <v>240.494732020155</v>
      </c>
      <c r="M1218" s="96">
        <f ca="1">IFERROR(__xludf.DUMMYFUNCTION("""COMPUTED_VALUE"""),44806)</f>
        <v>44806</v>
      </c>
      <c r="N1218" s="6" t="str">
        <f ca="1">IFERROR(__xludf.DUMMYFUNCTION("""COMPUTED_VALUE"""),"F10")</f>
        <v>F10</v>
      </c>
      <c r="O1218" s="97">
        <f ca="1">IFERROR(__xludf.DUMMYFUNCTION("""COMPUTED_VALUE"""),44806)</f>
        <v>44806</v>
      </c>
      <c r="P1218" s="6" t="str">
        <f ca="1">IFERROR(__xludf.DUMMYFUNCTION("""COMPUTED_VALUE"""),"CSTM_1SSP03YSRMD")</f>
        <v>CSTM_1SSP03YSRMD</v>
      </c>
      <c r="Q1218" s="6"/>
      <c r="R1218" s="6" t="str">
        <f ca="1">IFERROR(__xludf.DUMMYFUNCTION("""COMPUTED_VALUE"""),"Done. Good feedback.")</f>
        <v>Done. Good feedback.</v>
      </c>
      <c r="S1218" s="6" t="str">
        <f ca="1">IFERROR(__xludf.DUMMYFUNCTION("""COMPUTED_VALUE"""),"Category")</f>
        <v>Category</v>
      </c>
      <c r="T1218" s="6"/>
      <c r="U1218" s="6"/>
      <c r="V1218" s="6"/>
      <c r="W1218" s="6"/>
      <c r="X1218" s="6"/>
      <c r="Y1218" s="6"/>
      <c r="Z1218" s="6"/>
      <c r="AA1218" s="6"/>
      <c r="AB1218" s="6"/>
      <c r="AC1218" s="6"/>
      <c r="AD1218" s="6"/>
      <c r="AE1218" s="6"/>
      <c r="AF1218" s="6"/>
      <c r="AG1218" s="6"/>
      <c r="AH1218" s="6"/>
      <c r="AI1218" s="6"/>
      <c r="AJ1218" s="6"/>
      <c r="AK1218" s="6"/>
      <c r="AL1218" s="6"/>
    </row>
    <row r="1219" spans="1:38">
      <c r="A1219" s="96">
        <f ca="1">IFERROR(__xludf.DUMMYFUNCTION("""COMPUTED_VALUE"""),44806)</f>
        <v>44806</v>
      </c>
      <c r="B1219" s="6" t="str">
        <f ca="1">IFERROR(__xludf.DUMMYFUNCTION("""COMPUTED_VALUE"""),"Prashant Saduwale")</f>
        <v>Prashant Saduwale</v>
      </c>
      <c r="C1219" s="6" t="str">
        <f ca="1">IFERROR(__xludf.DUMMYFUNCTION("""COMPUTED_VALUE"""),"psaduwale@gmail.com")</f>
        <v>psaduwale@gmail.com</v>
      </c>
      <c r="D1219" s="6">
        <f ca="1">IFERROR(__xludf.DUMMYFUNCTION("""COMPUTED_VALUE"""),9975622681)</f>
        <v>9975622681</v>
      </c>
      <c r="E1219" s="6" t="str">
        <f ca="1">IFERROR(__xludf.DUMMYFUNCTION("""COMPUTED_VALUE"""),"Chat_triggered")</f>
        <v>Chat_triggered</v>
      </c>
      <c r="F1219" s="6" t="str">
        <f ca="1">IFERROR(__xludf.DUMMYFUNCTION("""COMPUTED_VALUE"""),"PSM")</f>
        <v>PSM</v>
      </c>
      <c r="G1219" s="80">
        <f ca="1">IFERROR(__xludf.DUMMYFUNCTION("""COMPUTED_VALUE"""),44805)</f>
        <v>44805</v>
      </c>
      <c r="H1219" s="6" t="str">
        <f ca="1">IFERROR(__xludf.DUMMYFUNCTION("""COMPUTED_VALUE"""),"Won")</f>
        <v>Won</v>
      </c>
      <c r="I1219" s="6" t="str">
        <f ca="1">IFERROR(__xludf.DUMMYFUNCTION("""COMPUTED_VALUE"""),"10-11 Sep 2022")</f>
        <v>10-11 Sep 2022</v>
      </c>
      <c r="J1219" s="6">
        <f ca="1">IFERROR(__xludf.DUMMYFUNCTION("""COMPUTED_VALUE"""),1)</f>
        <v>1</v>
      </c>
      <c r="K1219" s="8">
        <f ca="1">IFERROR(__xludf.DUMMYFUNCTION("""COMPUTED_VALUE"""),21000)</f>
        <v>21000</v>
      </c>
      <c r="L1219" s="8">
        <f ca="1">IFERROR(__xludf.DUMMYFUNCTION("""COMPUTED_VALUE"""),240.494732020155)</f>
        <v>240.494732020155</v>
      </c>
      <c r="M1219" s="96">
        <f ca="1">IFERROR(__xludf.DUMMYFUNCTION("""COMPUTED_VALUE"""),44806)</f>
        <v>44806</v>
      </c>
      <c r="N1219" s="6" t="str">
        <f ca="1">IFERROR(__xludf.DUMMYFUNCTION("""COMPUTED_VALUE"""),"F10")</f>
        <v>F10</v>
      </c>
      <c r="O1219" s="97">
        <f ca="1">IFERROR(__xludf.DUMMYFUNCTION("""COMPUTED_VALUE"""),44806)</f>
        <v>44806</v>
      </c>
      <c r="P1219" s="6" t="str">
        <f ca="1">IFERROR(__xludf.DUMMYFUNCTION("""COMPUTED_VALUE"""),"CSTM_88738SMCXI2")</f>
        <v>CSTM_88738SMCXI2</v>
      </c>
      <c r="Q1219" s="6"/>
      <c r="R1219" s="6" t="str">
        <f ca="1">IFERROR(__xludf.DUMMYFUNCTION("""COMPUTED_VALUE"""),"Done. Good feedback.")</f>
        <v>Done. Good feedback.</v>
      </c>
      <c r="S1219" s="6" t="str">
        <f ca="1">IFERROR(__xludf.DUMMYFUNCTION("""COMPUTED_VALUE"""),"Category")</f>
        <v>Category</v>
      </c>
      <c r="T1219" s="6"/>
      <c r="U1219" s="6"/>
      <c r="V1219" s="6"/>
      <c r="W1219" s="6"/>
      <c r="X1219" s="6"/>
      <c r="Y1219" s="6"/>
      <c r="Z1219" s="6"/>
      <c r="AA1219" s="6"/>
      <c r="AB1219" s="6"/>
      <c r="AC1219" s="6"/>
      <c r="AD1219" s="6"/>
      <c r="AE1219" s="6"/>
      <c r="AF1219" s="6"/>
      <c r="AG1219" s="6"/>
      <c r="AH1219" s="6"/>
      <c r="AI1219" s="6"/>
      <c r="AJ1219" s="6"/>
      <c r="AK1219" s="6"/>
      <c r="AL1219" s="6"/>
    </row>
    <row r="1220" spans="1:38">
      <c r="A1220" s="96">
        <f ca="1">IFERROR(__xludf.DUMMYFUNCTION("""COMPUTED_VALUE"""),44807)</f>
        <v>44807</v>
      </c>
      <c r="B1220" s="6" t="str">
        <f ca="1">IFERROR(__xludf.DUMMYFUNCTION("""COMPUTED_VALUE"""),"Imay Bhishma")</f>
        <v>Imay Bhishma</v>
      </c>
      <c r="C1220" s="6" t="str">
        <f ca="1">IFERROR(__xludf.DUMMYFUNCTION("""COMPUTED_VALUE"""),"imay.bhishma@gmail.com")</f>
        <v>imay.bhishma@gmail.com</v>
      </c>
      <c r="D1220" s="6">
        <f ca="1">IFERROR(__xludf.DUMMYFUNCTION("""COMPUTED_VALUE"""),9884323389)</f>
        <v>9884323389</v>
      </c>
      <c r="E1220" s="6" t="str">
        <f ca="1">IFERROR(__xludf.DUMMYFUNCTION("""COMPUTED_VALUE"""),"Reference")</f>
        <v>Reference</v>
      </c>
      <c r="F1220" s="6" t="str">
        <f ca="1">IFERROR(__xludf.DUMMYFUNCTION("""COMPUTED_VALUE"""),"PSM 2")</f>
        <v>PSM 2</v>
      </c>
      <c r="G1220" s="80">
        <f ca="1">IFERROR(__xludf.DUMMYFUNCTION("""COMPUTED_VALUE"""),44805)</f>
        <v>44805</v>
      </c>
      <c r="H1220" s="6" t="str">
        <f ca="1">IFERROR(__xludf.DUMMYFUNCTION("""COMPUTED_VALUE"""),"Won")</f>
        <v>Won</v>
      </c>
      <c r="I1220" s="6" t="str">
        <f ca="1">IFERROR(__xludf.DUMMYFUNCTION("""COMPUTED_VALUE"""),"24-25 Sep 2022")</f>
        <v>24-25 Sep 2022</v>
      </c>
      <c r="J1220" s="6">
        <f ca="1">IFERROR(__xludf.DUMMYFUNCTION("""COMPUTED_VALUE"""),1)</f>
        <v>1</v>
      </c>
      <c r="K1220" s="8">
        <f ca="1">IFERROR(__xludf.DUMMYFUNCTION("""COMPUTED_VALUE"""),24000)</f>
        <v>24000</v>
      </c>
      <c r="L1220" s="8">
        <f ca="1">IFERROR(__xludf.DUMMYFUNCTION("""COMPUTED_VALUE"""),274.851122308749)</f>
        <v>274.85112230874898</v>
      </c>
      <c r="M1220" s="96">
        <f ca="1">IFERROR(__xludf.DUMMYFUNCTION("""COMPUTED_VALUE"""),44807)</f>
        <v>44807</v>
      </c>
      <c r="N1220" s="6" t="str">
        <f ca="1">IFERROR(__xludf.DUMMYFUNCTION("""COMPUTED_VALUE"""),"F10")</f>
        <v>F10</v>
      </c>
      <c r="O1220" s="97">
        <f ca="1">IFERROR(__xludf.DUMMYFUNCTION("""COMPUTED_VALUE"""),44807)</f>
        <v>44807</v>
      </c>
      <c r="P1220" s="6" t="str">
        <f ca="1">IFERROR(__xludf.DUMMYFUNCTION("""COMPUTED_VALUE"""),"CSTM_80W0GFZR2RX")</f>
        <v>CSTM_80W0GFZR2RX</v>
      </c>
      <c r="Q1220" s="6" t="str">
        <f ca="1">IFERROR(__xludf.DUMMYFUNCTION("""COMPUTED_VALUE"""),"Reference by lan.myth@gmail.com")</f>
        <v>Reference by lan.myth@gmail.com</v>
      </c>
      <c r="R1220" s="6" t="str">
        <f ca="1">IFERROR(__xludf.DUMMYFUNCTION("""COMPUTED_VALUE"""),"Done. Good feedback.")</f>
        <v>Done. Good feedback.</v>
      </c>
      <c r="S1220" s="6" t="str">
        <f ca="1">IFERROR(__xludf.DUMMYFUNCTION("""COMPUTED_VALUE"""),"Category")</f>
        <v>Category</v>
      </c>
      <c r="T1220" s="6"/>
      <c r="U1220" s="6"/>
      <c r="V1220" s="6"/>
      <c r="W1220" s="6"/>
      <c r="X1220" s="6"/>
      <c r="Y1220" s="6"/>
      <c r="Z1220" s="6"/>
      <c r="AA1220" s="6"/>
      <c r="AB1220" s="6"/>
      <c r="AC1220" s="6"/>
      <c r="AD1220" s="6"/>
      <c r="AE1220" s="6"/>
      <c r="AF1220" s="6"/>
      <c r="AG1220" s="6"/>
      <c r="AH1220" s="6"/>
      <c r="AI1220" s="6"/>
      <c r="AJ1220" s="6"/>
      <c r="AK1220" s="6"/>
      <c r="AL1220" s="6"/>
    </row>
    <row r="1221" spans="1:38">
      <c r="A1221" s="96">
        <f ca="1">IFERROR(__xludf.DUMMYFUNCTION("""COMPUTED_VALUE"""),44809)</f>
        <v>44809</v>
      </c>
      <c r="B1221" s="6" t="str">
        <f ca="1">IFERROR(__xludf.DUMMYFUNCTION("""COMPUTED_VALUE"""),"Varun Dudani")</f>
        <v>Varun Dudani</v>
      </c>
      <c r="C1221" s="6" t="str">
        <f ca="1">IFERROR(__xludf.DUMMYFUNCTION("""COMPUTED_VALUE"""),"dudanivarun@gmail.com")</f>
        <v>dudanivarun@gmail.com</v>
      </c>
      <c r="D1221" s="6">
        <f ca="1">IFERROR(__xludf.DUMMYFUNCTION("""COMPUTED_VALUE"""),8860522799)</f>
        <v>8860522799</v>
      </c>
      <c r="E1221" s="6" t="str">
        <f ca="1">IFERROR(__xludf.DUMMYFUNCTION("""COMPUTED_VALUE"""),"Chat_triggered")</f>
        <v>Chat_triggered</v>
      </c>
      <c r="F1221" s="6" t="str">
        <f ca="1">IFERROR(__xludf.DUMMYFUNCTION("""COMPUTED_VALUE"""),"PSPO")</f>
        <v>PSPO</v>
      </c>
      <c r="G1221" s="80">
        <f ca="1">IFERROR(__xludf.DUMMYFUNCTION("""COMPUTED_VALUE"""),44805)</f>
        <v>44805</v>
      </c>
      <c r="H1221" s="6" t="str">
        <f ca="1">IFERROR(__xludf.DUMMYFUNCTION("""COMPUTED_VALUE"""),"Won")</f>
        <v>Won</v>
      </c>
      <c r="I1221" s="6" t="str">
        <f ca="1">IFERROR(__xludf.DUMMYFUNCTION("""COMPUTED_VALUE"""),"10-11 Sep 2022")</f>
        <v>10-11 Sep 2022</v>
      </c>
      <c r="J1221" s="6">
        <f ca="1">IFERROR(__xludf.DUMMYFUNCTION("""COMPUTED_VALUE"""),1)</f>
        <v>1</v>
      </c>
      <c r="K1221" s="8">
        <f ca="1">IFERROR(__xludf.DUMMYFUNCTION("""COMPUTED_VALUE"""),21000)</f>
        <v>21000</v>
      </c>
      <c r="L1221" s="8">
        <f ca="1">IFERROR(__xludf.DUMMYFUNCTION("""COMPUTED_VALUE"""),240.494732020155)</f>
        <v>240.494732020155</v>
      </c>
      <c r="M1221" s="96">
        <f ca="1">IFERROR(__xludf.DUMMYFUNCTION("""COMPUTED_VALUE"""),44809)</f>
        <v>44809</v>
      </c>
      <c r="N1221" s="6" t="str">
        <f ca="1">IFERROR(__xludf.DUMMYFUNCTION("""COMPUTED_VALUE"""),"F10")</f>
        <v>F10</v>
      </c>
      <c r="O1221" s="97">
        <f ca="1">IFERROR(__xludf.DUMMYFUNCTION("""COMPUTED_VALUE"""),44809)</f>
        <v>44809</v>
      </c>
      <c r="P1221" s="6" t="str">
        <f ca="1">IFERROR(__xludf.DUMMYFUNCTION("""COMPUTED_VALUE"""),"CSTM_AEELPTI5XVI")</f>
        <v>CSTM_AEELPTI5XVI</v>
      </c>
      <c r="Q1221" s="6"/>
      <c r="R1221" s="6" t="str">
        <f ca="1">IFERROR(__xludf.DUMMYFUNCTION("""COMPUTED_VALUE"""),"Done. Good feedback.")</f>
        <v>Done. Good feedback.</v>
      </c>
      <c r="S1221" s="6" t="str">
        <f ca="1">IFERROR(__xludf.DUMMYFUNCTION("""COMPUTED_VALUE"""),"Category")</f>
        <v>Category</v>
      </c>
      <c r="T1221" s="6"/>
      <c r="U1221" s="6"/>
      <c r="V1221" s="6"/>
      <c r="W1221" s="6"/>
      <c r="X1221" s="6"/>
      <c r="Y1221" s="6"/>
      <c r="Z1221" s="6"/>
      <c r="AA1221" s="6"/>
      <c r="AB1221" s="6"/>
      <c r="AC1221" s="6"/>
      <c r="AD1221" s="6"/>
      <c r="AE1221" s="6"/>
      <c r="AF1221" s="6"/>
      <c r="AG1221" s="6"/>
      <c r="AH1221" s="6"/>
      <c r="AI1221" s="6"/>
      <c r="AJ1221" s="6"/>
      <c r="AK1221" s="6"/>
      <c r="AL1221" s="6"/>
    </row>
    <row r="1222" spans="1:38">
      <c r="A1222" s="96">
        <f ca="1">IFERROR(__xludf.DUMMYFUNCTION("""COMPUTED_VALUE"""),44809)</f>
        <v>44809</v>
      </c>
      <c r="B1222" s="6" t="str">
        <f ca="1">IFERROR(__xludf.DUMMYFUNCTION("""COMPUTED_VALUE"""),"Preeti Smita")</f>
        <v>Preeti Smita</v>
      </c>
      <c r="C1222" s="6" t="str">
        <f ca="1">IFERROR(__xludf.DUMMYFUNCTION("""COMPUTED_VALUE"""),"preetismita076@gmail.com")</f>
        <v>preetismita076@gmail.com</v>
      </c>
      <c r="D1222" s="6">
        <f ca="1">IFERROR(__xludf.DUMMYFUNCTION("""COMPUTED_VALUE"""),8605601014)</f>
        <v>8605601014</v>
      </c>
      <c r="E1222" s="6" t="str">
        <f ca="1">IFERROR(__xludf.DUMMYFUNCTION("""COMPUTED_VALUE"""),"Reference")</f>
        <v>Reference</v>
      </c>
      <c r="F1222" s="6" t="str">
        <f ca="1">IFERROR(__xludf.DUMMYFUNCTION("""COMPUTED_VALUE"""),"SAFe POPM")</f>
        <v>SAFe POPM</v>
      </c>
      <c r="G1222" s="80">
        <f ca="1">IFERROR(__xludf.DUMMYFUNCTION("""COMPUTED_VALUE"""),44805)</f>
        <v>44805</v>
      </c>
      <c r="H1222" s="6" t="str">
        <f ca="1">IFERROR(__xludf.DUMMYFUNCTION("""COMPUTED_VALUE"""),"Won")</f>
        <v>Won</v>
      </c>
      <c r="I1222" s="6" t="str">
        <f ca="1">IFERROR(__xludf.DUMMYFUNCTION("""COMPUTED_VALUE"""),"17-18 Sep 2022")</f>
        <v>17-18 Sep 2022</v>
      </c>
      <c r="J1222" s="6">
        <f ca="1">IFERROR(__xludf.DUMMYFUNCTION("""COMPUTED_VALUE"""),1)</f>
        <v>1</v>
      </c>
      <c r="K1222" s="8">
        <f ca="1">IFERROR(__xludf.DUMMYFUNCTION("""COMPUTED_VALUE"""),40061)</f>
        <v>40061</v>
      </c>
      <c r="L1222" s="8">
        <f ca="1">IFERROR(__xludf.DUMMYFUNCTION("""COMPUTED_VALUE"""),458.783783783783)</f>
        <v>458.78378378378301</v>
      </c>
      <c r="M1222" s="96">
        <f ca="1">IFERROR(__xludf.DUMMYFUNCTION("""COMPUTED_VALUE"""),44809)</f>
        <v>44809</v>
      </c>
      <c r="N1222" s="6" t="str">
        <f ca="1">IFERROR(__xludf.DUMMYFUNCTION("""COMPUTED_VALUE"""),"F10")</f>
        <v>F10</v>
      </c>
      <c r="O1222" s="97">
        <f ca="1">IFERROR(__xludf.DUMMYFUNCTION("""COMPUTED_VALUE"""),44809)</f>
        <v>44809</v>
      </c>
      <c r="P1222" s="6" t="str">
        <f ca="1">IFERROR(__xludf.DUMMYFUNCTION("""COMPUTED_VALUE"""),"CSTM_8BSVHZEQJEN")</f>
        <v>CSTM_8BSVHZEQJEN</v>
      </c>
      <c r="Q1222" s="6" t="str">
        <f ca="1">IFERROR(__xludf.DUMMYFUNCTION("""COMPUTED_VALUE"""),"Reference by Pragya")</f>
        <v>Reference by Pragya</v>
      </c>
      <c r="R1222" s="6" t="str">
        <f ca="1">IFERROR(__xludf.DUMMYFUNCTION("""COMPUTED_VALUE"""),"Done. Good feedback.")</f>
        <v>Done. Good feedback.</v>
      </c>
      <c r="S1222" s="6" t="str">
        <f ca="1">IFERROR(__xludf.DUMMYFUNCTION("""COMPUTED_VALUE"""),"SAFe")</f>
        <v>SAFe</v>
      </c>
      <c r="T1222" s="6"/>
      <c r="U1222" s="6"/>
      <c r="V1222" s="6"/>
      <c r="W1222" s="6"/>
      <c r="X1222" s="6"/>
      <c r="Y1222" s="6"/>
      <c r="Z1222" s="6"/>
      <c r="AA1222" s="6"/>
      <c r="AB1222" s="6"/>
      <c r="AC1222" s="6"/>
      <c r="AD1222" s="6"/>
      <c r="AE1222" s="6"/>
      <c r="AF1222" s="6"/>
      <c r="AG1222" s="6"/>
      <c r="AH1222" s="6"/>
      <c r="AI1222" s="6"/>
      <c r="AJ1222" s="6"/>
      <c r="AK1222" s="6"/>
      <c r="AL1222" s="6"/>
    </row>
    <row r="1223" spans="1:38">
      <c r="A1223" s="96">
        <f ca="1">IFERROR(__xludf.DUMMYFUNCTION("""COMPUTED_VALUE"""),44809)</f>
        <v>44809</v>
      </c>
      <c r="B1223" s="6" t="str">
        <f ca="1">IFERROR(__xludf.DUMMYFUNCTION("""COMPUTED_VALUE"""),"Subodh Chandran")</f>
        <v>Subodh Chandran</v>
      </c>
      <c r="C1223" s="6" t="str">
        <f ca="1">IFERROR(__xludf.DUMMYFUNCTION("""COMPUTED_VALUE"""),"subodhchandran@gmail.com")</f>
        <v>subodhchandran@gmail.com</v>
      </c>
      <c r="D1223" s="6">
        <f ca="1">IFERROR(__xludf.DUMMYFUNCTION("""COMPUTED_VALUE"""),8447927044)</f>
        <v>8447927044</v>
      </c>
      <c r="E1223" s="6" t="str">
        <f ca="1">IFERROR(__xludf.DUMMYFUNCTION("""COMPUTED_VALUE"""),"Query box_LP")</f>
        <v>Query box_LP</v>
      </c>
      <c r="F1223" s="6" t="str">
        <f ca="1">IFERROR(__xludf.DUMMYFUNCTION("""COMPUTED_VALUE"""),"PMP")</f>
        <v>PMP</v>
      </c>
      <c r="G1223" s="80">
        <f ca="1">IFERROR(__xludf.DUMMYFUNCTION("""COMPUTED_VALUE"""),44805)</f>
        <v>44805</v>
      </c>
      <c r="H1223" s="6" t="str">
        <f ca="1">IFERROR(__xludf.DUMMYFUNCTION("""COMPUTED_VALUE"""),"Won")</f>
        <v>Won</v>
      </c>
      <c r="I1223" s="6" t="str">
        <f ca="1">IFERROR(__xludf.DUMMYFUNCTION("""COMPUTED_VALUE"""),"17 Sep 2022")</f>
        <v>17 Sep 2022</v>
      </c>
      <c r="J1223" s="6">
        <f ca="1">IFERROR(__xludf.DUMMYFUNCTION("""COMPUTED_VALUE"""),1)</f>
        <v>1</v>
      </c>
      <c r="K1223" s="8">
        <f ca="1">IFERROR(__xludf.DUMMYFUNCTION("""COMPUTED_VALUE"""),10000)</f>
        <v>10000</v>
      </c>
      <c r="L1223" s="8">
        <f ca="1">IFERROR(__xludf.DUMMYFUNCTION("""COMPUTED_VALUE"""),114.521300961978)</f>
        <v>114.521300961978</v>
      </c>
      <c r="M1223" s="96">
        <f ca="1">IFERROR(__xludf.DUMMYFUNCTION("""COMPUTED_VALUE"""),44810)</f>
        <v>44810</v>
      </c>
      <c r="N1223" s="6" t="str">
        <f ca="1">IFERROR(__xludf.DUMMYFUNCTION("""COMPUTED_VALUE"""),"F10")</f>
        <v>F10</v>
      </c>
      <c r="O1223" s="97">
        <f ca="1">IFERROR(__xludf.DUMMYFUNCTION("""COMPUTED_VALUE"""),44810)</f>
        <v>44810</v>
      </c>
      <c r="P1223" s="6" t="str">
        <f ca="1">IFERROR(__xludf.DUMMYFUNCTION("""COMPUTED_VALUE"""),"CSTM_C6UR1Q3KE9O")</f>
        <v>CSTM_C6UR1Q3KE9O</v>
      </c>
      <c r="Q1223" s="6"/>
      <c r="R1223" s="6" t="str">
        <f ca="1">IFERROR(__xludf.DUMMYFUNCTION("""COMPUTED_VALUE"""),"Pending")</f>
        <v>Pending</v>
      </c>
      <c r="S1223" s="6" t="str">
        <f ca="1">IFERROR(__xludf.DUMMYFUNCTION("""COMPUTED_VALUE"""),"NonCategory")</f>
        <v>NonCategory</v>
      </c>
      <c r="T1223" s="6"/>
      <c r="U1223" s="6"/>
      <c r="V1223" s="6"/>
      <c r="W1223" s="6"/>
      <c r="X1223" s="6"/>
      <c r="Y1223" s="6"/>
      <c r="Z1223" s="6"/>
      <c r="AA1223" s="6"/>
      <c r="AB1223" s="6"/>
      <c r="AC1223" s="6"/>
      <c r="AD1223" s="6"/>
      <c r="AE1223" s="6"/>
      <c r="AF1223" s="6"/>
      <c r="AG1223" s="6"/>
      <c r="AH1223" s="6"/>
      <c r="AI1223" s="6"/>
      <c r="AJ1223" s="6"/>
      <c r="AK1223" s="6"/>
      <c r="AL1223" s="6"/>
    </row>
    <row r="1224" spans="1:38">
      <c r="A1224" s="96">
        <f ca="1">IFERROR(__xludf.DUMMYFUNCTION("""COMPUTED_VALUE"""),44810)</f>
        <v>44810</v>
      </c>
      <c r="B1224" s="6" t="str">
        <f ca="1">IFERROR(__xludf.DUMMYFUNCTION("""COMPUTED_VALUE"""),"Subodh Chandran")</f>
        <v>Subodh Chandran</v>
      </c>
      <c r="C1224" s="6" t="str">
        <f ca="1">IFERROR(__xludf.DUMMYFUNCTION("""COMPUTED_VALUE"""),"subodhchandran@gmail.com")</f>
        <v>subodhchandran@gmail.com</v>
      </c>
      <c r="D1224" s="6">
        <f ca="1">IFERROR(__xludf.DUMMYFUNCTION("""COMPUTED_VALUE"""),505801834)</f>
        <v>505801834</v>
      </c>
      <c r="E1224" s="6" t="str">
        <f ca="1">IFERROR(__xludf.DUMMYFUNCTION("""COMPUTED_VALUE"""),"Query box_LP")</f>
        <v>Query box_LP</v>
      </c>
      <c r="F1224" s="6" t="str">
        <f ca="1">IFERROR(__xludf.DUMMYFUNCTION("""COMPUTED_VALUE"""),"PMP Exam")</f>
        <v>PMP Exam</v>
      </c>
      <c r="G1224" s="80">
        <f ca="1">IFERROR(__xludf.DUMMYFUNCTION("""COMPUTED_VALUE"""),44805)</f>
        <v>44805</v>
      </c>
      <c r="H1224" s="6" t="str">
        <f ca="1">IFERROR(__xludf.DUMMYFUNCTION("""COMPUTED_VALUE"""),"Won")</f>
        <v>Won</v>
      </c>
      <c r="I1224" s="6" t="str">
        <f ca="1">IFERROR(__xludf.DUMMYFUNCTION("""COMPUTED_VALUE"""),"17 Sep 2022")</f>
        <v>17 Sep 2022</v>
      </c>
      <c r="J1224" s="6">
        <f ca="1">IFERROR(__xludf.DUMMYFUNCTION("""COMPUTED_VALUE"""),1)</f>
        <v>1</v>
      </c>
      <c r="K1224" s="8">
        <f ca="1">IFERROR(__xludf.DUMMYFUNCTION("""COMPUTED_VALUE"""),47125)</f>
        <v>47125</v>
      </c>
      <c r="L1224" s="8">
        <f ca="1">IFERROR(__xludf.DUMMYFUNCTION("""COMPUTED_VALUE"""),539.681630783325)</f>
        <v>539.68163078332498</v>
      </c>
      <c r="M1224" s="96">
        <f ca="1">IFERROR(__xludf.DUMMYFUNCTION("""COMPUTED_VALUE"""),44811)</f>
        <v>44811</v>
      </c>
      <c r="N1224" s="6" t="str">
        <f ca="1">IFERROR(__xludf.DUMMYFUNCTION("""COMPUTED_VALUE"""),"F10")</f>
        <v>F10</v>
      </c>
      <c r="O1224" s="97">
        <f ca="1">IFERROR(__xludf.DUMMYFUNCTION("""COMPUTED_VALUE"""),44811)</f>
        <v>44811</v>
      </c>
      <c r="P1224" s="6" t="str">
        <f ca="1">IFERROR(__xludf.DUMMYFUNCTION("""COMPUTED_VALUE"""),"CSTM_C6UR1Q3KE9O")</f>
        <v>CSTM_C6UR1Q3KE9O</v>
      </c>
      <c r="Q1224" s="6"/>
      <c r="R1224" s="6" t="str">
        <f ca="1">IFERROR(__xludf.DUMMYFUNCTION("""COMPUTED_VALUE"""),"Pending")</f>
        <v>Pending</v>
      </c>
      <c r="S1224" s="6" t="str">
        <f ca="1">IFERROR(__xludf.DUMMYFUNCTION("""COMPUTED_VALUE"""),"NonCategory")</f>
        <v>NonCategory</v>
      </c>
      <c r="T1224" s="6"/>
      <c r="U1224" s="6"/>
      <c r="V1224" s="6"/>
      <c r="W1224" s="6"/>
      <c r="X1224" s="6"/>
      <c r="Y1224" s="6"/>
      <c r="Z1224" s="6"/>
      <c r="AA1224" s="6"/>
      <c r="AB1224" s="6"/>
      <c r="AC1224" s="6"/>
      <c r="AD1224" s="6"/>
      <c r="AE1224" s="6"/>
      <c r="AF1224" s="6"/>
      <c r="AG1224" s="6"/>
      <c r="AH1224" s="6"/>
      <c r="AI1224" s="6"/>
      <c r="AJ1224" s="6"/>
      <c r="AK1224" s="6"/>
      <c r="AL1224" s="6"/>
    </row>
    <row r="1225" spans="1:38">
      <c r="A1225" s="96">
        <f ca="1">IFERROR(__xludf.DUMMYFUNCTION("""COMPUTED_VALUE"""),44812)</f>
        <v>44812</v>
      </c>
      <c r="B1225" s="6" t="str">
        <f ca="1">IFERROR(__xludf.DUMMYFUNCTION("""COMPUTED_VALUE"""),"Divya S")</f>
        <v>Divya S</v>
      </c>
      <c r="C1225" s="6" t="str">
        <f ca="1">IFERROR(__xludf.DUMMYFUNCTION("""COMPUTED_VALUE"""),"divyas04@gmail.com")</f>
        <v>divyas04@gmail.com</v>
      </c>
      <c r="D1225" s="6">
        <f ca="1">IFERROR(__xludf.DUMMYFUNCTION("""COMPUTED_VALUE"""),9886449760)</f>
        <v>9886449760</v>
      </c>
      <c r="E1225" s="6" t="str">
        <f ca="1">IFERROR(__xludf.DUMMYFUNCTION("""COMPUTED_VALUE"""),"Chat_triggered")</f>
        <v>Chat_triggered</v>
      </c>
      <c r="F1225" s="6" t="str">
        <f ca="1">IFERROR(__xludf.DUMMYFUNCTION("""COMPUTED_VALUE"""),"SAFe SSM")</f>
        <v>SAFe SSM</v>
      </c>
      <c r="G1225" s="80">
        <f ca="1">IFERROR(__xludf.DUMMYFUNCTION("""COMPUTED_VALUE"""),44805)</f>
        <v>44805</v>
      </c>
      <c r="H1225" s="6" t="str">
        <f ca="1">IFERROR(__xludf.DUMMYFUNCTION("""COMPUTED_VALUE"""),"Won")</f>
        <v>Won</v>
      </c>
      <c r="I1225" s="6" t="str">
        <f ca="1">IFERROR(__xludf.DUMMYFUNCTION("""COMPUTED_VALUE"""),"10-11 Sep 2022")</f>
        <v>10-11 Sep 2022</v>
      </c>
      <c r="J1225" s="6">
        <f ca="1">IFERROR(__xludf.DUMMYFUNCTION("""COMPUTED_VALUE"""),1)</f>
        <v>1</v>
      </c>
      <c r="K1225" s="8">
        <f ca="1">IFERROR(__xludf.DUMMYFUNCTION("""COMPUTED_VALUE"""),40061)</f>
        <v>40061</v>
      </c>
      <c r="L1225" s="8">
        <f ca="1">IFERROR(__xludf.DUMMYFUNCTION("""COMPUTED_VALUE"""),458.783783783783)</f>
        <v>458.78378378378301</v>
      </c>
      <c r="M1225" s="96">
        <f ca="1">IFERROR(__xludf.DUMMYFUNCTION("""COMPUTED_VALUE"""),44812)</f>
        <v>44812</v>
      </c>
      <c r="N1225" s="6" t="str">
        <f ca="1">IFERROR(__xludf.DUMMYFUNCTION("""COMPUTED_VALUE"""),"F10")</f>
        <v>F10</v>
      </c>
      <c r="O1225" s="97">
        <f ca="1">IFERROR(__xludf.DUMMYFUNCTION("""COMPUTED_VALUE"""),44813)</f>
        <v>44813</v>
      </c>
      <c r="P1225" s="6" t="str">
        <f ca="1">IFERROR(__xludf.DUMMYFUNCTION("""COMPUTED_VALUE"""),"CSTM_BREL3NLV17A")</f>
        <v>CSTM_BREL3NLV17A</v>
      </c>
      <c r="Q1225" s="6"/>
      <c r="R1225" s="6" t="str">
        <f ca="1">IFERROR(__xludf.DUMMYFUNCTION("""COMPUTED_VALUE"""),"Pending")</f>
        <v>Pending</v>
      </c>
      <c r="S1225" s="6" t="str">
        <f ca="1">IFERROR(__xludf.DUMMYFUNCTION("""COMPUTED_VALUE"""),"SAFe")</f>
        <v>SAFe</v>
      </c>
      <c r="T1225" s="6"/>
      <c r="U1225" s="6"/>
      <c r="V1225" s="6"/>
      <c r="W1225" s="6"/>
      <c r="X1225" s="6"/>
      <c r="Y1225" s="6"/>
      <c r="Z1225" s="6"/>
      <c r="AA1225" s="6"/>
      <c r="AB1225" s="6"/>
      <c r="AC1225" s="6"/>
      <c r="AD1225" s="6"/>
      <c r="AE1225" s="6"/>
      <c r="AF1225" s="6"/>
      <c r="AG1225" s="6"/>
      <c r="AH1225" s="6"/>
      <c r="AI1225" s="6"/>
      <c r="AJ1225" s="6"/>
      <c r="AK1225" s="6"/>
      <c r="AL1225" s="6"/>
    </row>
    <row r="1226" spans="1:38">
      <c r="A1226" s="96">
        <f ca="1">IFERROR(__xludf.DUMMYFUNCTION("""COMPUTED_VALUE"""),44812)</f>
        <v>44812</v>
      </c>
      <c r="B1226" s="6" t="str">
        <f ca="1">IFERROR(__xludf.DUMMYFUNCTION("""COMPUTED_VALUE"""),"Padma Mesa")</f>
        <v>Padma Mesa</v>
      </c>
      <c r="C1226" s="6" t="str">
        <f ca="1">IFERROR(__xludf.DUMMYFUNCTION("""COMPUTED_VALUE"""),"padma.mesa@gmail.com")</f>
        <v>padma.mesa@gmail.com</v>
      </c>
      <c r="D1226" s="6">
        <f ca="1">IFERROR(__xludf.DUMMYFUNCTION("""COMPUTED_VALUE"""),9901977148)</f>
        <v>9901977148</v>
      </c>
      <c r="E1226" s="6" t="str">
        <f ca="1">IFERROR(__xludf.DUMMYFUNCTION("""COMPUTED_VALUE"""),"Reference")</f>
        <v>Reference</v>
      </c>
      <c r="F1226" s="6" t="str">
        <f ca="1">IFERROR(__xludf.DUMMYFUNCTION("""COMPUTED_VALUE"""),"PSPO")</f>
        <v>PSPO</v>
      </c>
      <c r="G1226" s="80">
        <f ca="1">IFERROR(__xludf.DUMMYFUNCTION("""COMPUTED_VALUE"""),44805)</f>
        <v>44805</v>
      </c>
      <c r="H1226" s="6" t="str">
        <f ca="1">IFERROR(__xludf.DUMMYFUNCTION("""COMPUTED_VALUE"""),"Opportunity")</f>
        <v>Opportunity</v>
      </c>
      <c r="I1226" s="6" t="str">
        <f ca="1">IFERROR(__xludf.DUMMYFUNCTION("""COMPUTED_VALUE"""),"17-18 Sep 2022")</f>
        <v>17-18 Sep 2022</v>
      </c>
      <c r="J1226" s="6">
        <f ca="1">IFERROR(__xludf.DUMMYFUNCTION("""COMPUTED_VALUE"""),1)</f>
        <v>1</v>
      </c>
      <c r="K1226" s="8">
        <f ca="1">IFERROR(__xludf.DUMMYFUNCTION("""COMPUTED_VALUE"""),21000)</f>
        <v>21000</v>
      </c>
      <c r="L1226" s="8">
        <f ca="1">IFERROR(__xludf.DUMMYFUNCTION("""COMPUTED_VALUE"""),240.494732020155)</f>
        <v>240.494732020155</v>
      </c>
      <c r="M1226" s="96">
        <f ca="1">IFERROR(__xludf.DUMMYFUNCTION("""COMPUTED_VALUE"""),44812)</f>
        <v>44812</v>
      </c>
      <c r="N1226" s="6"/>
      <c r="O1226" s="97"/>
      <c r="P1226" s="6"/>
      <c r="Q1226" s="6"/>
      <c r="R1226" s="6"/>
      <c r="S1226" s="6" t="str">
        <f ca="1">IFERROR(__xludf.DUMMYFUNCTION("""COMPUTED_VALUE"""),"Category")</f>
        <v>Category</v>
      </c>
      <c r="T1226" s="6"/>
      <c r="U1226" s="6"/>
      <c r="V1226" s="6"/>
      <c r="W1226" s="6"/>
      <c r="X1226" s="6"/>
      <c r="Y1226" s="6"/>
      <c r="Z1226" s="6"/>
      <c r="AA1226" s="6"/>
      <c r="AB1226" s="6"/>
      <c r="AC1226" s="6"/>
      <c r="AD1226" s="6"/>
      <c r="AE1226" s="6"/>
      <c r="AF1226" s="6"/>
      <c r="AG1226" s="6"/>
      <c r="AH1226" s="6"/>
      <c r="AI1226" s="6"/>
      <c r="AJ1226" s="6"/>
      <c r="AK1226" s="6"/>
      <c r="AL1226" s="6"/>
    </row>
    <row r="1227" spans="1:38">
      <c r="A1227" s="96">
        <f ca="1">IFERROR(__xludf.DUMMYFUNCTION("""COMPUTED_VALUE"""),44812)</f>
        <v>44812</v>
      </c>
      <c r="B1227" s="6" t="str">
        <f ca="1">IFERROR(__xludf.DUMMYFUNCTION("""COMPUTED_VALUE"""),"Kishor Italiya")</f>
        <v>Kishor Italiya</v>
      </c>
      <c r="C1227" s="6" t="str">
        <f ca="1">IFERROR(__xludf.DUMMYFUNCTION("""COMPUTED_VALUE"""),"kishor_italiya@yahoo.com")</f>
        <v>kishor_italiya@yahoo.com</v>
      </c>
      <c r="D1227" s="6">
        <f ca="1">IFERROR(__xludf.DUMMYFUNCTION("""COMPUTED_VALUE"""),9624023020)</f>
        <v>9624023020</v>
      </c>
      <c r="E1227" s="6" t="str">
        <f ca="1">IFERROR(__xludf.DUMMYFUNCTION("""COMPUTED_VALUE"""),"Chat_triggered")</f>
        <v>Chat_triggered</v>
      </c>
      <c r="F1227" s="6" t="str">
        <f ca="1">IFERROR(__xludf.DUMMYFUNCTION("""COMPUTED_VALUE"""),"CSM")</f>
        <v>CSM</v>
      </c>
      <c r="G1227" s="80">
        <f ca="1">IFERROR(__xludf.DUMMYFUNCTION("""COMPUTED_VALUE"""),44805)</f>
        <v>44805</v>
      </c>
      <c r="H1227" s="6" t="str">
        <f ca="1">IFERROR(__xludf.DUMMYFUNCTION("""COMPUTED_VALUE"""),"Won")</f>
        <v>Won</v>
      </c>
      <c r="I1227" s="6" t="str">
        <f ca="1">IFERROR(__xludf.DUMMYFUNCTION("""COMPUTED_VALUE"""),"10-11 Sep 2022")</f>
        <v>10-11 Sep 2022</v>
      </c>
      <c r="J1227" s="6">
        <f ca="1">IFERROR(__xludf.DUMMYFUNCTION("""COMPUTED_VALUE"""),1)</f>
        <v>1</v>
      </c>
      <c r="K1227" s="8">
        <f ca="1">IFERROR(__xludf.DUMMYFUNCTION("""COMPUTED_VALUE"""),20000)</f>
        <v>20000</v>
      </c>
      <c r="L1227" s="8">
        <f ca="1">IFERROR(__xludf.DUMMYFUNCTION("""COMPUTED_VALUE"""),229.042601923957)</f>
        <v>229.04260192395699</v>
      </c>
      <c r="M1227" s="96">
        <f ca="1">IFERROR(__xludf.DUMMYFUNCTION("""COMPUTED_VALUE"""),44812)</f>
        <v>44812</v>
      </c>
      <c r="N1227" s="6" t="str">
        <f ca="1">IFERROR(__xludf.DUMMYFUNCTION("""COMPUTED_VALUE"""),"F10")</f>
        <v>F10</v>
      </c>
      <c r="O1227" s="97">
        <f ca="1">IFERROR(__xludf.DUMMYFUNCTION("""COMPUTED_VALUE"""),44812)</f>
        <v>44812</v>
      </c>
      <c r="P1227" s="6" t="str">
        <f ca="1">IFERROR(__xludf.DUMMYFUNCTION("""COMPUTED_VALUE"""),"CSTM_4J8904OBHS9")</f>
        <v>CSTM_4J8904OBHS9</v>
      </c>
      <c r="Q1227" s="6"/>
      <c r="R1227" s="6" t="str">
        <f ca="1">IFERROR(__xludf.DUMMYFUNCTION("""COMPUTED_VALUE"""),"Done. Good feedback.")</f>
        <v>Done. Good feedback.</v>
      </c>
      <c r="S1227" s="6" t="str">
        <f ca="1">IFERROR(__xludf.DUMMYFUNCTION("""COMPUTED_VALUE"""),"Category")</f>
        <v>Category</v>
      </c>
      <c r="T1227" s="6"/>
      <c r="U1227" s="6"/>
      <c r="V1227" s="6"/>
      <c r="W1227" s="6"/>
      <c r="X1227" s="6"/>
      <c r="Y1227" s="6"/>
      <c r="Z1227" s="6"/>
      <c r="AA1227" s="6"/>
      <c r="AB1227" s="6"/>
      <c r="AC1227" s="6"/>
      <c r="AD1227" s="6"/>
      <c r="AE1227" s="6"/>
      <c r="AF1227" s="6"/>
      <c r="AG1227" s="6"/>
      <c r="AH1227" s="6"/>
      <c r="AI1227" s="6"/>
      <c r="AJ1227" s="6"/>
      <c r="AK1227" s="6"/>
      <c r="AL1227" s="6"/>
    </row>
    <row r="1228" spans="1:38">
      <c r="A1228" s="96">
        <f ca="1">IFERROR(__xludf.DUMMYFUNCTION("""COMPUTED_VALUE"""),44812)</f>
        <v>44812</v>
      </c>
      <c r="B1228" s="6" t="str">
        <f ca="1">IFERROR(__xludf.DUMMYFUNCTION("""COMPUTED_VALUE"""),"Kavitha Purushotham")</f>
        <v>Kavitha Purushotham</v>
      </c>
      <c r="C1228" s="6" t="str">
        <f ca="1">IFERROR(__xludf.DUMMYFUNCTION("""COMPUTED_VALUE"""),"kavi.purushoth@gmail.com")</f>
        <v>kavi.purushoth@gmail.com</v>
      </c>
      <c r="D1228" s="6">
        <f ca="1">IFERROR(__xludf.DUMMYFUNCTION("""COMPUTED_VALUE"""),9500540610)</f>
        <v>9500540610</v>
      </c>
      <c r="E1228" s="6" t="str">
        <f ca="1">IFERROR(__xludf.DUMMYFUNCTION("""COMPUTED_VALUE"""),"course agenda")</f>
        <v>course agenda</v>
      </c>
      <c r="F1228" s="6" t="str">
        <f ca="1">IFERROR(__xludf.DUMMYFUNCTION("""COMPUTED_VALUE"""),"CSM")</f>
        <v>CSM</v>
      </c>
      <c r="G1228" s="80">
        <f ca="1">IFERROR(__xludf.DUMMYFUNCTION("""COMPUTED_VALUE"""),44805)</f>
        <v>44805</v>
      </c>
      <c r="H1228" s="6" t="str">
        <f ca="1">IFERROR(__xludf.DUMMYFUNCTION("""COMPUTED_VALUE"""),"Won")</f>
        <v>Won</v>
      </c>
      <c r="I1228" s="6" t="str">
        <f ca="1">IFERROR(__xludf.DUMMYFUNCTION("""COMPUTED_VALUE"""),"10-11 Sep 2022")</f>
        <v>10-11 Sep 2022</v>
      </c>
      <c r="J1228" s="6">
        <f ca="1">IFERROR(__xludf.DUMMYFUNCTION("""COMPUTED_VALUE"""),1)</f>
        <v>1</v>
      </c>
      <c r="K1228" s="8">
        <f ca="1">IFERROR(__xludf.DUMMYFUNCTION("""COMPUTED_VALUE"""),20000)</f>
        <v>20000</v>
      </c>
      <c r="L1228" s="8">
        <f ca="1">IFERROR(__xludf.DUMMYFUNCTION("""COMPUTED_VALUE"""),229.042601923957)</f>
        <v>229.04260192395699</v>
      </c>
      <c r="M1228" s="96">
        <f ca="1">IFERROR(__xludf.DUMMYFUNCTION("""COMPUTED_VALUE"""),44812)</f>
        <v>44812</v>
      </c>
      <c r="N1228" s="6" t="str">
        <f ca="1">IFERROR(__xludf.DUMMYFUNCTION("""COMPUTED_VALUE"""),"F10")</f>
        <v>F10</v>
      </c>
      <c r="O1228" s="97">
        <f ca="1">IFERROR(__xludf.DUMMYFUNCTION("""COMPUTED_VALUE"""),44812)</f>
        <v>44812</v>
      </c>
      <c r="P1228" s="6" t="str">
        <f ca="1">IFERROR(__xludf.DUMMYFUNCTION("""COMPUTED_VALUE"""),"CSTM_CXFYOM70LG8")</f>
        <v>CSTM_CXFYOM70LG8</v>
      </c>
      <c r="Q1228" s="6"/>
      <c r="R1228" s="6" t="str">
        <f ca="1">IFERROR(__xludf.DUMMYFUNCTION("""COMPUTED_VALUE"""),"Done. Good feedback.")</f>
        <v>Done. Good feedback.</v>
      </c>
      <c r="S1228" s="6" t="str">
        <f ca="1">IFERROR(__xludf.DUMMYFUNCTION("""COMPUTED_VALUE"""),"Category")</f>
        <v>Category</v>
      </c>
      <c r="T1228" s="6"/>
      <c r="U1228" s="6"/>
      <c r="V1228" s="6"/>
      <c r="W1228" s="6"/>
      <c r="X1228" s="6"/>
      <c r="Y1228" s="6"/>
      <c r="Z1228" s="6"/>
      <c r="AA1228" s="6"/>
      <c r="AB1228" s="6"/>
      <c r="AC1228" s="6"/>
      <c r="AD1228" s="6"/>
      <c r="AE1228" s="6"/>
      <c r="AF1228" s="6"/>
      <c r="AG1228" s="6"/>
      <c r="AH1228" s="6"/>
      <c r="AI1228" s="6"/>
      <c r="AJ1228" s="6"/>
      <c r="AK1228" s="6"/>
      <c r="AL1228" s="6"/>
    </row>
    <row r="1229" spans="1:38">
      <c r="A1229" s="96">
        <f ca="1">IFERROR(__xludf.DUMMYFUNCTION("""COMPUTED_VALUE"""),44813)</f>
        <v>44813</v>
      </c>
      <c r="B1229" s="6" t="str">
        <f ca="1">IFERROR(__xludf.DUMMYFUNCTION("""COMPUTED_VALUE"""),"Seemoni")</f>
        <v>Seemoni</v>
      </c>
      <c r="C1229" s="6" t="str">
        <f ca="1">IFERROR(__xludf.DUMMYFUNCTION("""COMPUTED_VALUE"""),"seemonisinha@gmail.com")</f>
        <v>seemonisinha@gmail.com</v>
      </c>
      <c r="D1229" s="6">
        <f ca="1">IFERROR(__xludf.DUMMYFUNCTION("""COMPUTED_VALUE"""),8984265398)</f>
        <v>8984265398</v>
      </c>
      <c r="E1229" s="6" t="str">
        <f ca="1">IFERROR(__xludf.DUMMYFUNCTION("""COMPUTED_VALUE"""),"Existing Account")</f>
        <v>Existing Account</v>
      </c>
      <c r="F1229" s="6" t="str">
        <f ca="1">IFERROR(__xludf.DUMMYFUNCTION("""COMPUTED_VALUE"""),"PSM 2")</f>
        <v>PSM 2</v>
      </c>
      <c r="G1229" s="80">
        <f ca="1">IFERROR(__xludf.DUMMYFUNCTION("""COMPUTED_VALUE"""),44805)</f>
        <v>44805</v>
      </c>
      <c r="H1229" s="6" t="str">
        <f ca="1">IFERROR(__xludf.DUMMYFUNCTION("""COMPUTED_VALUE"""),"Opportunity")</f>
        <v>Opportunity</v>
      </c>
      <c r="I1229" s="6" t="str">
        <f ca="1">IFERROR(__xludf.DUMMYFUNCTION("""COMPUTED_VALUE"""),"15-16 Oct 2022")</f>
        <v>15-16 Oct 2022</v>
      </c>
      <c r="J1229" s="6">
        <f ca="1">IFERROR(__xludf.DUMMYFUNCTION("""COMPUTED_VALUE"""),1)</f>
        <v>1</v>
      </c>
      <c r="K1229" s="8">
        <f ca="1">IFERROR(__xludf.DUMMYFUNCTION("""COMPUTED_VALUE"""),24000)</f>
        <v>24000</v>
      </c>
      <c r="L1229" s="8">
        <f ca="1">IFERROR(__xludf.DUMMYFUNCTION("""COMPUTED_VALUE"""),274.851122308749)</f>
        <v>274.85112230874898</v>
      </c>
      <c r="M1229" s="96">
        <f ca="1">IFERROR(__xludf.DUMMYFUNCTION("""COMPUTED_VALUE"""),44813)</f>
        <v>44813</v>
      </c>
      <c r="N1229" s="6"/>
      <c r="O1229" s="97"/>
      <c r="P1229" s="6"/>
      <c r="Q1229" s="6"/>
      <c r="R1229" s="6"/>
      <c r="S1229" s="6" t="str">
        <f ca="1">IFERROR(__xludf.DUMMYFUNCTION("""COMPUTED_VALUE"""),"Category")</f>
        <v>Category</v>
      </c>
      <c r="T1229" s="6"/>
      <c r="U1229" s="6"/>
      <c r="V1229" s="6"/>
      <c r="W1229" s="6"/>
      <c r="X1229" s="6"/>
      <c r="Y1229" s="6"/>
      <c r="Z1229" s="6"/>
      <c r="AA1229" s="6"/>
      <c r="AB1229" s="6"/>
      <c r="AC1229" s="6"/>
      <c r="AD1229" s="6"/>
      <c r="AE1229" s="6"/>
      <c r="AF1229" s="6"/>
      <c r="AG1229" s="6"/>
      <c r="AH1229" s="6"/>
      <c r="AI1229" s="6"/>
      <c r="AJ1229" s="6"/>
      <c r="AK1229" s="6"/>
      <c r="AL1229" s="6"/>
    </row>
    <row r="1230" spans="1:38">
      <c r="A1230" s="96">
        <f ca="1">IFERROR(__xludf.DUMMYFUNCTION("""COMPUTED_VALUE"""),44815)</f>
        <v>44815</v>
      </c>
      <c r="B1230" s="6" t="str">
        <f ca="1">IFERROR(__xludf.DUMMYFUNCTION("""COMPUTED_VALUE"""),"Shweta Sengar")</f>
        <v>Shweta Sengar</v>
      </c>
      <c r="C1230" s="6" t="str">
        <f ca="1">IFERROR(__xludf.DUMMYFUNCTION("""COMPUTED_VALUE"""),"shwetasengar.ss273@gmail.com")</f>
        <v>shwetasengar.ss273@gmail.com</v>
      </c>
      <c r="D1230" s="6">
        <f ca="1">IFERROR(__xludf.DUMMYFUNCTION("""COMPUTED_VALUE"""),9910406629)</f>
        <v>9910406629</v>
      </c>
      <c r="E1230" s="6" t="str">
        <f ca="1">IFERROR(__xludf.DUMMYFUNCTION("""COMPUTED_VALUE"""),"Chat_triggered")</f>
        <v>Chat_triggered</v>
      </c>
      <c r="F1230" s="6" t="str">
        <f ca="1">IFERROR(__xludf.DUMMYFUNCTION("""COMPUTED_VALUE"""),"SAFe Agile")</f>
        <v>SAFe Agile</v>
      </c>
      <c r="G1230" s="80">
        <f ca="1">IFERROR(__xludf.DUMMYFUNCTION("""COMPUTED_VALUE"""),44805)</f>
        <v>44805</v>
      </c>
      <c r="H1230" s="6" t="str">
        <f ca="1">IFERROR(__xludf.DUMMYFUNCTION("""COMPUTED_VALUE"""),"Won")</f>
        <v>Won</v>
      </c>
      <c r="I1230" s="6" t="str">
        <f ca="1">IFERROR(__xludf.DUMMYFUNCTION("""COMPUTED_VALUE"""),"1-2 Oct 2022")</f>
        <v>1-2 Oct 2022</v>
      </c>
      <c r="J1230" s="6">
        <f ca="1">IFERROR(__xludf.DUMMYFUNCTION("""COMPUTED_VALUE"""),1)</f>
        <v>1</v>
      </c>
      <c r="K1230" s="8">
        <f ca="1">IFERROR(__xludf.DUMMYFUNCTION("""COMPUTED_VALUE"""),42000)</f>
        <v>42000</v>
      </c>
      <c r="L1230" s="8">
        <f ca="1">IFERROR(__xludf.DUMMYFUNCTION("""COMPUTED_VALUE"""),480.989464040311)</f>
        <v>480.98946404031102</v>
      </c>
      <c r="M1230" s="96">
        <f ca="1">IFERROR(__xludf.DUMMYFUNCTION("""COMPUTED_VALUE"""),44815)</f>
        <v>44815</v>
      </c>
      <c r="N1230" s="6" t="str">
        <f ca="1">IFERROR(__xludf.DUMMYFUNCTION("""COMPUTED_VALUE"""),"S10")</f>
        <v>S10</v>
      </c>
      <c r="O1230" s="97">
        <f ca="1">IFERROR(__xludf.DUMMYFUNCTION("""COMPUTED_VALUE"""),44815)</f>
        <v>44815</v>
      </c>
      <c r="P1230" s="6" t="str">
        <f ca="1">IFERROR(__xludf.DUMMYFUNCTION("""COMPUTED_VALUE"""),"CSTM_2DNCBETR8GG")</f>
        <v>CSTM_2DNCBETR8GG</v>
      </c>
      <c r="Q1230" s="6"/>
      <c r="R1230" s="6" t="str">
        <f ca="1">IFERROR(__xludf.DUMMYFUNCTION("""COMPUTED_VALUE"""),"Pending")</f>
        <v>Pending</v>
      </c>
      <c r="S1230" s="6" t="str">
        <f ca="1">IFERROR(__xludf.DUMMYFUNCTION("""COMPUTED_VALUE"""),"SAFe")</f>
        <v>SAFe</v>
      </c>
      <c r="T1230" s="6"/>
      <c r="U1230" s="6"/>
      <c r="V1230" s="6"/>
      <c r="W1230" s="6"/>
      <c r="X1230" s="6"/>
      <c r="Y1230" s="6"/>
      <c r="Z1230" s="6"/>
      <c r="AA1230" s="6"/>
      <c r="AB1230" s="6"/>
      <c r="AC1230" s="6"/>
      <c r="AD1230" s="6"/>
      <c r="AE1230" s="6"/>
      <c r="AF1230" s="6"/>
      <c r="AG1230" s="6"/>
      <c r="AH1230" s="6"/>
      <c r="AI1230" s="6"/>
      <c r="AJ1230" s="6"/>
      <c r="AK1230" s="6"/>
      <c r="AL1230" s="6"/>
    </row>
    <row r="1231" spans="1:38">
      <c r="A1231" s="96">
        <f ca="1">IFERROR(__xludf.DUMMYFUNCTION("""COMPUTED_VALUE"""),44815)</f>
        <v>44815</v>
      </c>
      <c r="B1231" s="6" t="str">
        <f ca="1">IFERROR(__xludf.DUMMYFUNCTION("""COMPUTED_VALUE"""),"Ratika Sharma")</f>
        <v>Ratika Sharma</v>
      </c>
      <c r="C1231" s="6" t="str">
        <f ca="1">IFERROR(__xludf.DUMMYFUNCTION("""COMPUTED_VALUE"""),"ratika.sharma14@gmail.com")</f>
        <v>ratika.sharma14@gmail.com</v>
      </c>
      <c r="D1231" s="6">
        <f ca="1">IFERROR(__xludf.DUMMYFUNCTION("""COMPUTED_VALUE"""),9810402726)</f>
        <v>9810402726</v>
      </c>
      <c r="E1231" s="6" t="str">
        <f ca="1">IFERROR(__xludf.DUMMYFUNCTION("""COMPUTED_VALUE"""),"Reference")</f>
        <v>Reference</v>
      </c>
      <c r="F1231" s="6" t="str">
        <f ca="1">IFERROR(__xludf.DUMMYFUNCTION("""COMPUTED_VALUE"""),"SAFe Agile")</f>
        <v>SAFe Agile</v>
      </c>
      <c r="G1231" s="80">
        <f ca="1">IFERROR(__xludf.DUMMYFUNCTION("""COMPUTED_VALUE"""),44805)</f>
        <v>44805</v>
      </c>
      <c r="H1231" s="6" t="str">
        <f ca="1">IFERROR(__xludf.DUMMYFUNCTION("""COMPUTED_VALUE"""),"Won")</f>
        <v>Won</v>
      </c>
      <c r="I1231" s="6" t="str">
        <f ca="1">IFERROR(__xludf.DUMMYFUNCTION("""COMPUTED_VALUE"""),"1-2 Oct 2022")</f>
        <v>1-2 Oct 2022</v>
      </c>
      <c r="J1231" s="6">
        <f ca="1">IFERROR(__xludf.DUMMYFUNCTION("""COMPUTED_VALUE"""),1)</f>
        <v>1</v>
      </c>
      <c r="K1231" s="8">
        <f ca="1">IFERROR(__xludf.DUMMYFUNCTION("""COMPUTED_VALUE"""),42000)</f>
        <v>42000</v>
      </c>
      <c r="L1231" s="8">
        <f ca="1">IFERROR(__xludf.DUMMYFUNCTION("""COMPUTED_VALUE"""),480.989464040311)</f>
        <v>480.98946404031102</v>
      </c>
      <c r="M1231" s="96">
        <f ca="1">IFERROR(__xludf.DUMMYFUNCTION("""COMPUTED_VALUE"""),44815)</f>
        <v>44815</v>
      </c>
      <c r="N1231" s="6" t="str">
        <f ca="1">IFERROR(__xludf.DUMMYFUNCTION("""COMPUTED_VALUE"""),"S10")</f>
        <v>S10</v>
      </c>
      <c r="O1231" s="97">
        <f ca="1">IFERROR(__xludf.DUMMYFUNCTION("""COMPUTED_VALUE"""),44815)</f>
        <v>44815</v>
      </c>
      <c r="P1231" s="6" t="str">
        <f ca="1">IFERROR(__xludf.DUMMYFUNCTION("""COMPUTED_VALUE"""),"CSTM_AZSCJFZCMWU")</f>
        <v>CSTM_AZSCJFZCMWU</v>
      </c>
      <c r="Q1231" s="6" t="str">
        <f ca="1">IFERROR(__xludf.DUMMYFUNCTION("""COMPUTED_VALUE"""),"Pragya K")</f>
        <v>Pragya K</v>
      </c>
      <c r="R1231" s="6" t="str">
        <f ca="1">IFERROR(__xludf.DUMMYFUNCTION("""COMPUTED_VALUE"""),"Pending")</f>
        <v>Pending</v>
      </c>
      <c r="S1231" s="6" t="str">
        <f ca="1">IFERROR(__xludf.DUMMYFUNCTION("""COMPUTED_VALUE"""),"SAFe")</f>
        <v>SAFe</v>
      </c>
      <c r="T1231" s="6" t="str">
        <f ca="1">IFERROR(__xludf.DUMMYFUNCTION("""COMPUTED_VALUE"""),"Done")</f>
        <v>Done</v>
      </c>
      <c r="U1231" s="6"/>
      <c r="V1231" s="6"/>
      <c r="W1231" s="6"/>
      <c r="X1231" s="6"/>
      <c r="Y1231" s="6"/>
      <c r="Z1231" s="6"/>
      <c r="AA1231" s="6"/>
      <c r="AB1231" s="6"/>
      <c r="AC1231" s="6"/>
      <c r="AD1231" s="6"/>
      <c r="AE1231" s="6"/>
      <c r="AF1231" s="6"/>
      <c r="AG1231" s="6"/>
      <c r="AH1231" s="6"/>
      <c r="AI1231" s="6"/>
      <c r="AJ1231" s="6"/>
      <c r="AK1231" s="6"/>
      <c r="AL1231" s="6"/>
    </row>
    <row r="1232" spans="1:38">
      <c r="A1232" s="96">
        <f ca="1">IFERROR(__xludf.DUMMYFUNCTION("""COMPUTED_VALUE"""),44816)</f>
        <v>44816</v>
      </c>
      <c r="B1232" s="6" t="str">
        <f ca="1">IFERROR(__xludf.DUMMYFUNCTION("""COMPUTED_VALUE"""),"Darshani Tripathy")</f>
        <v>Darshani Tripathy</v>
      </c>
      <c r="C1232" s="6" t="str">
        <f ca="1">IFERROR(__xludf.DUMMYFUNCTION("""COMPUTED_VALUE"""),"prakdarshani.tripathy@gmail.com")</f>
        <v>prakdarshani.tripathy@gmail.com</v>
      </c>
      <c r="D1232" s="6">
        <f ca="1">IFERROR(__xludf.DUMMYFUNCTION("""COMPUTED_VALUE"""),7892980909)</f>
        <v>7892980909</v>
      </c>
      <c r="E1232" s="6" t="str">
        <f ca="1">IFERROR(__xludf.DUMMYFUNCTION("""COMPUTED_VALUE"""),"Tollfree")</f>
        <v>Tollfree</v>
      </c>
      <c r="F1232" s="6" t="str">
        <f ca="1">IFERROR(__xludf.DUMMYFUNCTION("""COMPUTED_VALUE"""),"PMP")</f>
        <v>PMP</v>
      </c>
      <c r="G1232" s="80">
        <f ca="1">IFERROR(__xludf.DUMMYFUNCTION("""COMPUTED_VALUE"""),44805)</f>
        <v>44805</v>
      </c>
      <c r="H1232" s="6" t="str">
        <f ca="1">IFERROR(__xludf.DUMMYFUNCTION("""COMPUTED_VALUE"""),"Won")</f>
        <v>Won</v>
      </c>
      <c r="I1232" s="6" t="str">
        <f ca="1">IFERROR(__xludf.DUMMYFUNCTION("""COMPUTED_VALUE"""),"17 Sep 2022")</f>
        <v>17 Sep 2022</v>
      </c>
      <c r="J1232" s="6">
        <f ca="1">IFERROR(__xludf.DUMMYFUNCTION("""COMPUTED_VALUE"""),1)</f>
        <v>1</v>
      </c>
      <c r="K1232" s="8">
        <f ca="1">IFERROR(__xludf.DUMMYFUNCTION("""COMPUTED_VALUE"""),10000)</f>
        <v>10000</v>
      </c>
      <c r="L1232" s="8">
        <f ca="1">IFERROR(__xludf.DUMMYFUNCTION("""COMPUTED_VALUE"""),114.521300961978)</f>
        <v>114.521300961978</v>
      </c>
      <c r="M1232" s="96">
        <f ca="1">IFERROR(__xludf.DUMMYFUNCTION("""COMPUTED_VALUE"""),44816)</f>
        <v>44816</v>
      </c>
      <c r="N1232" s="6" t="str">
        <f ca="1">IFERROR(__xludf.DUMMYFUNCTION("""COMPUTED_VALUE"""),"S10")</f>
        <v>S10</v>
      </c>
      <c r="O1232" s="97">
        <f ca="1">IFERROR(__xludf.DUMMYFUNCTION("""COMPUTED_VALUE"""),44816)</f>
        <v>44816</v>
      </c>
      <c r="P1232" s="6" t="str">
        <f ca="1">IFERROR(__xludf.DUMMYFUNCTION("""COMPUTED_VALUE"""),"CSTM_93M4M5OEJMM")</f>
        <v>CSTM_93M4M5OEJMM</v>
      </c>
      <c r="Q1232" s="6"/>
      <c r="R1232" s="6" t="str">
        <f ca="1">IFERROR(__xludf.DUMMYFUNCTION("""COMPUTED_VALUE"""),"Pending")</f>
        <v>Pending</v>
      </c>
      <c r="S1232" s="6" t="str">
        <f ca="1">IFERROR(__xludf.DUMMYFUNCTION("""COMPUTED_VALUE"""),"NonCategory")</f>
        <v>NonCategory</v>
      </c>
      <c r="T1232" s="6"/>
      <c r="U1232" s="6"/>
      <c r="V1232" s="6"/>
      <c r="W1232" s="6"/>
      <c r="X1232" s="6"/>
      <c r="Y1232" s="6"/>
      <c r="Z1232" s="6"/>
      <c r="AA1232" s="6"/>
      <c r="AB1232" s="6"/>
      <c r="AC1232" s="6"/>
      <c r="AD1232" s="6"/>
      <c r="AE1232" s="6"/>
      <c r="AF1232" s="6"/>
      <c r="AG1232" s="6"/>
      <c r="AH1232" s="6"/>
      <c r="AI1232" s="6"/>
      <c r="AJ1232" s="6"/>
      <c r="AK1232" s="6"/>
      <c r="AL1232" s="6"/>
    </row>
    <row r="1233" spans="1:38">
      <c r="A1233" s="96">
        <f ca="1">IFERROR(__xludf.DUMMYFUNCTION("""COMPUTED_VALUE"""),44816)</f>
        <v>44816</v>
      </c>
      <c r="B1233" s="6" t="str">
        <f ca="1">IFERROR(__xludf.DUMMYFUNCTION("""COMPUTED_VALUE"""),"Vinay Aggarwal")</f>
        <v>Vinay Aggarwal</v>
      </c>
      <c r="C1233" s="6" t="str">
        <f ca="1">IFERROR(__xludf.DUMMYFUNCTION("""COMPUTED_VALUE"""),"vinay.aggarwal84@hotmail.com")</f>
        <v>vinay.aggarwal84@hotmail.com</v>
      </c>
      <c r="D1233" s="6">
        <f ca="1">IFERROR(__xludf.DUMMYFUNCTION("""COMPUTED_VALUE"""),9899262535)</f>
        <v>9899262535</v>
      </c>
      <c r="E1233" s="6" t="str">
        <f ca="1">IFERROR(__xludf.DUMMYFUNCTION("""COMPUTED_VALUE"""),"bundle agenda")</f>
        <v>bundle agenda</v>
      </c>
      <c r="F1233" s="6" t="str">
        <f ca="1">IFERROR(__xludf.DUMMYFUNCTION("""COMPUTED_VALUE"""),"SAFe POPM")</f>
        <v>SAFe POPM</v>
      </c>
      <c r="G1233" s="80">
        <f ca="1">IFERROR(__xludf.DUMMYFUNCTION("""COMPUTED_VALUE"""),44805)</f>
        <v>44805</v>
      </c>
      <c r="H1233" s="6" t="str">
        <f ca="1">IFERROR(__xludf.DUMMYFUNCTION("""COMPUTED_VALUE"""),"Won")</f>
        <v>Won</v>
      </c>
      <c r="I1233" s="6" t="str">
        <f ca="1">IFERROR(__xludf.DUMMYFUNCTION("""COMPUTED_VALUE"""),"1-2 Oct 2022")</f>
        <v>1-2 Oct 2022</v>
      </c>
      <c r="J1233" s="6">
        <f ca="1">IFERROR(__xludf.DUMMYFUNCTION("""COMPUTED_VALUE"""),1)</f>
        <v>1</v>
      </c>
      <c r="K1233" s="8">
        <f ca="1">IFERROR(__xludf.DUMMYFUNCTION("""COMPUTED_VALUE"""),40061)</f>
        <v>40061</v>
      </c>
      <c r="L1233" s="8">
        <f ca="1">IFERROR(__xludf.DUMMYFUNCTION("""COMPUTED_VALUE"""),458.783783783783)</f>
        <v>458.78378378378301</v>
      </c>
      <c r="M1233" s="96">
        <f ca="1">IFERROR(__xludf.DUMMYFUNCTION("""COMPUTED_VALUE"""),44816)</f>
        <v>44816</v>
      </c>
      <c r="N1233" s="6" t="str">
        <f ca="1">IFERROR(__xludf.DUMMYFUNCTION("""COMPUTED_VALUE"""),"S10")</f>
        <v>S10</v>
      </c>
      <c r="O1233" s="97">
        <f ca="1">IFERROR(__xludf.DUMMYFUNCTION("""COMPUTED_VALUE"""),44817)</f>
        <v>44817</v>
      </c>
      <c r="P1233" s="6" t="str">
        <f ca="1">IFERROR(__xludf.DUMMYFUNCTION("""COMPUTED_VALUE"""),"CSTM_8N2LM2T2K7G")</f>
        <v>CSTM_8N2LM2T2K7G</v>
      </c>
      <c r="Q1233" s="6"/>
      <c r="R1233" s="6" t="str">
        <f ca="1">IFERROR(__xludf.DUMMYFUNCTION("""COMPUTED_VALUE"""),"Pending")</f>
        <v>Pending</v>
      </c>
      <c r="S1233" s="6" t="str">
        <f ca="1">IFERROR(__xludf.DUMMYFUNCTION("""COMPUTED_VALUE"""),"SAFe")</f>
        <v>SAFe</v>
      </c>
      <c r="T1233" s="6"/>
      <c r="U1233" s="6"/>
      <c r="V1233" s="6"/>
      <c r="W1233" s="6"/>
      <c r="X1233" s="6"/>
      <c r="Y1233" s="6"/>
      <c r="Z1233" s="6"/>
      <c r="AA1233" s="6"/>
      <c r="AB1233" s="6"/>
      <c r="AC1233" s="6"/>
      <c r="AD1233" s="6"/>
      <c r="AE1233" s="6"/>
      <c r="AF1233" s="6"/>
      <c r="AG1233" s="6"/>
      <c r="AH1233" s="6"/>
      <c r="AI1233" s="6"/>
      <c r="AJ1233" s="6"/>
      <c r="AK1233" s="6"/>
      <c r="AL1233" s="6"/>
    </row>
    <row r="1234" spans="1:38">
      <c r="A1234" s="96">
        <f ca="1">IFERROR(__xludf.DUMMYFUNCTION("""COMPUTED_VALUE"""),44817)</f>
        <v>44817</v>
      </c>
      <c r="B1234" s="6" t="str">
        <f ca="1">IFERROR(__xludf.DUMMYFUNCTION("""COMPUTED_VALUE"""),"Anoop")</f>
        <v>Anoop</v>
      </c>
      <c r="C1234" s="6" t="str">
        <f ca="1">IFERROR(__xludf.DUMMYFUNCTION("""COMPUTED_VALUE"""),"anuanooptv@gmail.com")</f>
        <v>anuanooptv@gmail.com</v>
      </c>
      <c r="D1234" s="6">
        <f ca="1">IFERROR(__xludf.DUMMYFUNCTION("""COMPUTED_VALUE"""),9840133698)</f>
        <v>9840133698</v>
      </c>
      <c r="E1234" s="6" t="str">
        <f ca="1">IFERROR(__xludf.DUMMYFUNCTION("""COMPUTED_VALUE"""),"Reference")</f>
        <v>Reference</v>
      </c>
      <c r="F1234" s="6" t="str">
        <f ca="1">IFERROR(__xludf.DUMMYFUNCTION("""COMPUTED_VALUE"""),"PSM")</f>
        <v>PSM</v>
      </c>
      <c r="G1234" s="80">
        <f ca="1">IFERROR(__xludf.DUMMYFUNCTION("""COMPUTED_VALUE"""),44805)</f>
        <v>44805</v>
      </c>
      <c r="H1234" s="6" t="str">
        <f ca="1">IFERROR(__xludf.DUMMYFUNCTION("""COMPUTED_VALUE"""),"Won")</f>
        <v>Won</v>
      </c>
      <c r="I1234" s="6" t="str">
        <f ca="1">IFERROR(__xludf.DUMMYFUNCTION("""COMPUTED_VALUE"""),"24-25 Sep 2022")</f>
        <v>24-25 Sep 2022</v>
      </c>
      <c r="J1234" s="6">
        <f ca="1">IFERROR(__xludf.DUMMYFUNCTION("""COMPUTED_VALUE"""),1)</f>
        <v>1</v>
      </c>
      <c r="K1234" s="8">
        <f ca="1">IFERROR(__xludf.DUMMYFUNCTION("""COMPUTED_VALUE"""),21000)</f>
        <v>21000</v>
      </c>
      <c r="L1234" s="8">
        <f ca="1">IFERROR(__xludf.DUMMYFUNCTION("""COMPUTED_VALUE"""),240.494732020155)</f>
        <v>240.494732020155</v>
      </c>
      <c r="M1234" s="96">
        <f ca="1">IFERROR(__xludf.DUMMYFUNCTION("""COMPUTED_VALUE"""),44817)</f>
        <v>44817</v>
      </c>
      <c r="N1234" s="6" t="str">
        <f ca="1">IFERROR(__xludf.DUMMYFUNCTION("""COMPUTED_VALUE"""),"S10")</f>
        <v>S10</v>
      </c>
      <c r="O1234" s="97">
        <f ca="1">IFERROR(__xludf.DUMMYFUNCTION("""COMPUTED_VALUE"""),44816)</f>
        <v>44816</v>
      </c>
      <c r="P1234" s="6" t="str">
        <f ca="1">IFERROR(__xludf.DUMMYFUNCTION("""COMPUTED_VALUE"""),"CSTM_4I1DO57JZGH")</f>
        <v>CSTM_4I1DO57JZGH</v>
      </c>
      <c r="Q1234" s="6" t="str">
        <f ca="1">IFERROR(__xludf.DUMMYFUNCTION("""COMPUTED_VALUE"""),"Pragya K")</f>
        <v>Pragya K</v>
      </c>
      <c r="R1234" s="6" t="str">
        <f ca="1">IFERROR(__xludf.DUMMYFUNCTION("""COMPUTED_VALUE"""),"Done. Good feedback.")</f>
        <v>Done. Good feedback.</v>
      </c>
      <c r="S1234" s="6" t="str">
        <f ca="1">IFERROR(__xludf.DUMMYFUNCTION("""COMPUTED_VALUE"""),"Category")</f>
        <v>Category</v>
      </c>
      <c r="T1234" s="6" t="str">
        <f ca="1">IFERROR(__xludf.DUMMYFUNCTION("""COMPUTED_VALUE"""),"Pragya K - Pending")</f>
        <v>Pragya K - Pending</v>
      </c>
      <c r="U1234" s="6"/>
      <c r="V1234" s="6"/>
      <c r="W1234" s="6"/>
      <c r="X1234" s="6"/>
      <c r="Y1234" s="6"/>
      <c r="Z1234" s="6"/>
      <c r="AA1234" s="6"/>
      <c r="AB1234" s="6"/>
      <c r="AC1234" s="6"/>
      <c r="AD1234" s="6"/>
      <c r="AE1234" s="6"/>
      <c r="AF1234" s="6"/>
      <c r="AG1234" s="6"/>
      <c r="AH1234" s="6"/>
      <c r="AI1234" s="6"/>
      <c r="AJ1234" s="6"/>
      <c r="AK1234" s="6"/>
      <c r="AL1234" s="6"/>
    </row>
    <row r="1235" spans="1:38">
      <c r="A1235" s="96">
        <f ca="1">IFERROR(__xludf.DUMMYFUNCTION("""COMPUTED_VALUE"""),44817)</f>
        <v>44817</v>
      </c>
      <c r="B1235" s="6" t="str">
        <f ca="1">IFERROR(__xludf.DUMMYFUNCTION("""COMPUTED_VALUE"""),"Namitha")</f>
        <v>Namitha</v>
      </c>
      <c r="C1235" s="6" t="str">
        <f ca="1">IFERROR(__xludf.DUMMYFUNCTION("""COMPUTED_VALUE"""),"alishnami@gmail.com")</f>
        <v>alishnami@gmail.com</v>
      </c>
      <c r="D1235" s="6">
        <f ca="1">IFERROR(__xludf.DUMMYFUNCTION("""COMPUTED_VALUE"""),9789850623)</f>
        <v>9789850623</v>
      </c>
      <c r="E1235" s="6" t="str">
        <f ca="1">IFERROR(__xludf.DUMMYFUNCTION("""COMPUTED_VALUE"""),"Reference")</f>
        <v>Reference</v>
      </c>
      <c r="F1235" s="6" t="str">
        <f ca="1">IFERROR(__xludf.DUMMYFUNCTION("""COMPUTED_VALUE"""),"PSM")</f>
        <v>PSM</v>
      </c>
      <c r="G1235" s="80">
        <f ca="1">IFERROR(__xludf.DUMMYFUNCTION("""COMPUTED_VALUE"""),44805)</f>
        <v>44805</v>
      </c>
      <c r="H1235" s="6" t="str">
        <f ca="1">IFERROR(__xludf.DUMMYFUNCTION("""COMPUTED_VALUE"""),"Won")</f>
        <v>Won</v>
      </c>
      <c r="I1235" s="6" t="str">
        <f ca="1">IFERROR(__xludf.DUMMYFUNCTION("""COMPUTED_VALUE"""),"24-25 Sep 2022")</f>
        <v>24-25 Sep 2022</v>
      </c>
      <c r="J1235" s="6">
        <f ca="1">IFERROR(__xludf.DUMMYFUNCTION("""COMPUTED_VALUE"""),1)</f>
        <v>1</v>
      </c>
      <c r="K1235" s="8">
        <f ca="1">IFERROR(__xludf.DUMMYFUNCTION("""COMPUTED_VALUE"""),21000)</f>
        <v>21000</v>
      </c>
      <c r="L1235" s="8">
        <f ca="1">IFERROR(__xludf.DUMMYFUNCTION("""COMPUTED_VALUE"""),240.494732020155)</f>
        <v>240.494732020155</v>
      </c>
      <c r="M1235" s="96">
        <f ca="1">IFERROR(__xludf.DUMMYFUNCTION("""COMPUTED_VALUE"""),44817)</f>
        <v>44817</v>
      </c>
      <c r="N1235" s="6" t="str">
        <f ca="1">IFERROR(__xludf.DUMMYFUNCTION("""COMPUTED_VALUE"""),"S10")</f>
        <v>S10</v>
      </c>
      <c r="O1235" s="97">
        <f ca="1">IFERROR(__xludf.DUMMYFUNCTION("""COMPUTED_VALUE"""),44816)</f>
        <v>44816</v>
      </c>
      <c r="P1235" s="6" t="str">
        <f ca="1">IFERROR(__xludf.DUMMYFUNCTION("""COMPUTED_VALUE"""),"CSTM_EQQIGYRNVMF")</f>
        <v>CSTM_EQQIGYRNVMF</v>
      </c>
      <c r="Q1235" s="6" t="str">
        <f ca="1">IFERROR(__xludf.DUMMYFUNCTION("""COMPUTED_VALUE"""),"Reference by anuanooptv@gmail.com")</f>
        <v>Reference by anuanooptv@gmail.com</v>
      </c>
      <c r="R1235" s="6" t="str">
        <f ca="1">IFERROR(__xludf.DUMMYFUNCTION("""COMPUTED_VALUE"""),"Done. Good feedback.")</f>
        <v>Done. Good feedback.</v>
      </c>
      <c r="S1235" s="6" t="str">
        <f ca="1">IFERROR(__xludf.DUMMYFUNCTION("""COMPUTED_VALUE"""),"Category")</f>
        <v>Category</v>
      </c>
      <c r="T1235" s="6"/>
      <c r="U1235" s="6"/>
      <c r="V1235" s="6"/>
      <c r="W1235" s="6"/>
      <c r="X1235" s="6"/>
      <c r="Y1235" s="6"/>
      <c r="Z1235" s="6"/>
      <c r="AA1235" s="6"/>
      <c r="AB1235" s="6"/>
      <c r="AC1235" s="6"/>
      <c r="AD1235" s="6"/>
      <c r="AE1235" s="6"/>
      <c r="AF1235" s="6"/>
      <c r="AG1235" s="6"/>
      <c r="AH1235" s="6"/>
      <c r="AI1235" s="6"/>
      <c r="AJ1235" s="6"/>
      <c r="AK1235" s="6"/>
      <c r="AL1235" s="6"/>
    </row>
    <row r="1236" spans="1:38">
      <c r="A1236" s="96">
        <f ca="1">IFERROR(__xludf.DUMMYFUNCTION("""COMPUTED_VALUE"""),44818)</f>
        <v>44818</v>
      </c>
      <c r="B1236" s="6" t="str">
        <f ca="1">IFERROR(__xludf.DUMMYFUNCTION("""COMPUTED_VALUE"""),"Sanaul Haq")</f>
        <v>Sanaul Haq</v>
      </c>
      <c r="C1236" s="6" t="str">
        <f ca="1">IFERROR(__xludf.DUMMYFUNCTION("""COMPUTED_VALUE"""),"sanaulhaq2010@gmail.com")</f>
        <v>sanaulhaq2010@gmail.com</v>
      </c>
      <c r="D1236" s="6">
        <f ca="1">IFERROR(__xludf.DUMMYFUNCTION("""COMPUTED_VALUE"""),7838885854)</f>
        <v>7838885854</v>
      </c>
      <c r="E1236" s="6" t="str">
        <f ca="1">IFERROR(__xludf.DUMMYFUNCTION("""COMPUTED_VALUE"""),"Chat_triggered")</f>
        <v>Chat_triggered</v>
      </c>
      <c r="F1236" s="6" t="str">
        <f ca="1">IFERROR(__xludf.DUMMYFUNCTION("""COMPUTED_VALUE"""),"PSM 2")</f>
        <v>PSM 2</v>
      </c>
      <c r="G1236" s="80">
        <f ca="1">IFERROR(__xludf.DUMMYFUNCTION("""COMPUTED_VALUE"""),44805)</f>
        <v>44805</v>
      </c>
      <c r="H1236" s="6" t="str">
        <f ca="1">IFERROR(__xludf.DUMMYFUNCTION("""COMPUTED_VALUE"""),"Won")</f>
        <v>Won</v>
      </c>
      <c r="I1236" s="6" t="str">
        <f ca="1">IFERROR(__xludf.DUMMYFUNCTION("""COMPUTED_VALUE"""),"24-25 Sep 2022")</f>
        <v>24-25 Sep 2022</v>
      </c>
      <c r="J1236" s="6">
        <f ca="1">IFERROR(__xludf.DUMMYFUNCTION("""COMPUTED_VALUE"""),1)</f>
        <v>1</v>
      </c>
      <c r="K1236" s="8">
        <f ca="1">IFERROR(__xludf.DUMMYFUNCTION("""COMPUTED_VALUE"""),24000)</f>
        <v>24000</v>
      </c>
      <c r="L1236" s="8">
        <f ca="1">IFERROR(__xludf.DUMMYFUNCTION("""COMPUTED_VALUE"""),274.851122308749)</f>
        <v>274.85112230874898</v>
      </c>
      <c r="M1236" s="96">
        <f ca="1">IFERROR(__xludf.DUMMYFUNCTION("""COMPUTED_VALUE"""),44818)</f>
        <v>44818</v>
      </c>
      <c r="N1236" s="6" t="str">
        <f ca="1">IFERROR(__xludf.DUMMYFUNCTION("""COMPUTED_VALUE"""),"S10")</f>
        <v>S10</v>
      </c>
      <c r="O1236" s="97">
        <f ca="1">IFERROR(__xludf.DUMMYFUNCTION("""COMPUTED_VALUE"""),44818)</f>
        <v>44818</v>
      </c>
      <c r="P1236" s="6" t="str">
        <f ca="1">IFERROR(__xludf.DUMMYFUNCTION("""COMPUTED_VALUE"""),"CSTM_8X343LHVQEK")</f>
        <v>CSTM_8X343LHVQEK</v>
      </c>
      <c r="Q1236" s="6"/>
      <c r="R1236" s="6" t="str">
        <f ca="1">IFERROR(__xludf.DUMMYFUNCTION("""COMPUTED_VALUE"""),"Done. Good feedback.")</f>
        <v>Done. Good feedback.</v>
      </c>
      <c r="S1236" s="6" t="str">
        <f ca="1">IFERROR(__xludf.DUMMYFUNCTION("""COMPUTED_VALUE"""),"Category")</f>
        <v>Category</v>
      </c>
      <c r="T1236" s="6"/>
      <c r="U1236" s="6"/>
      <c r="V1236" s="6"/>
      <c r="W1236" s="6"/>
      <c r="X1236" s="6"/>
      <c r="Y1236" s="6"/>
      <c r="Z1236" s="6"/>
      <c r="AA1236" s="6"/>
      <c r="AB1236" s="6"/>
      <c r="AC1236" s="6"/>
      <c r="AD1236" s="6"/>
      <c r="AE1236" s="6"/>
      <c r="AF1236" s="6"/>
      <c r="AG1236" s="6"/>
      <c r="AH1236" s="6"/>
      <c r="AI1236" s="6"/>
      <c r="AJ1236" s="6"/>
      <c r="AK1236" s="6"/>
      <c r="AL1236" s="6"/>
    </row>
    <row r="1237" spans="1:38">
      <c r="A1237" s="96">
        <f ca="1">IFERROR(__xludf.DUMMYFUNCTION("""COMPUTED_VALUE"""),44818)</f>
        <v>44818</v>
      </c>
      <c r="B1237" s="6" t="str">
        <f ca="1">IFERROR(__xludf.DUMMYFUNCTION("""COMPUTED_VALUE"""),"Veena Avula")</f>
        <v>Veena Avula</v>
      </c>
      <c r="C1237" s="6" t="str">
        <f ca="1">IFERROR(__xludf.DUMMYFUNCTION("""COMPUTED_VALUE"""),"k.premkishore@gmail.com")</f>
        <v>k.premkishore@gmail.com</v>
      </c>
      <c r="D1237" s="6">
        <f ca="1">IFERROR(__xludf.DUMMYFUNCTION("""COMPUTED_VALUE"""),9632348545)</f>
        <v>9632348545</v>
      </c>
      <c r="E1237" s="6" t="str">
        <f ca="1">IFERROR(__xludf.DUMMYFUNCTION("""COMPUTED_VALUE"""),"Reference")</f>
        <v>Reference</v>
      </c>
      <c r="F1237" s="6" t="str">
        <f ca="1">IFERROR(__xludf.DUMMYFUNCTION("""COMPUTED_VALUE"""),"PSM")</f>
        <v>PSM</v>
      </c>
      <c r="G1237" s="80">
        <f ca="1">IFERROR(__xludf.DUMMYFUNCTION("""COMPUTED_VALUE"""),44805)</f>
        <v>44805</v>
      </c>
      <c r="H1237" s="6" t="str">
        <f ca="1">IFERROR(__xludf.DUMMYFUNCTION("""COMPUTED_VALUE"""),"Won")</f>
        <v>Won</v>
      </c>
      <c r="I1237" s="6" t="str">
        <f ca="1">IFERROR(__xludf.DUMMYFUNCTION("""COMPUTED_VALUE"""),"17-18 Sep 2022")</f>
        <v>17-18 Sep 2022</v>
      </c>
      <c r="J1237" s="6">
        <f ca="1">IFERROR(__xludf.DUMMYFUNCTION("""COMPUTED_VALUE"""),1)</f>
        <v>1</v>
      </c>
      <c r="K1237" s="8">
        <f ca="1">IFERROR(__xludf.DUMMYFUNCTION("""COMPUTED_VALUE"""),20500)</f>
        <v>20500</v>
      </c>
      <c r="L1237" s="8">
        <f ca="1">IFERROR(__xludf.DUMMYFUNCTION("""COMPUTED_VALUE"""),234.768666972056)</f>
        <v>234.768666972056</v>
      </c>
      <c r="M1237" s="96">
        <f ca="1">IFERROR(__xludf.DUMMYFUNCTION("""COMPUTED_VALUE"""),44818)</f>
        <v>44818</v>
      </c>
      <c r="N1237" s="6" t="str">
        <f ca="1">IFERROR(__xludf.DUMMYFUNCTION("""COMPUTED_VALUE"""),"S10")</f>
        <v>S10</v>
      </c>
      <c r="O1237" s="97">
        <f ca="1">IFERROR(__xludf.DUMMYFUNCTION("""COMPUTED_VALUE"""),44818)</f>
        <v>44818</v>
      </c>
      <c r="P1237" s="6" t="str">
        <f ca="1">IFERROR(__xludf.DUMMYFUNCTION("""COMPUTED_VALUE"""),"CSTM_IELLKJUBOV7")</f>
        <v>CSTM_IELLKJUBOV7</v>
      </c>
      <c r="Q1237" s="6" t="str">
        <f ca="1">IFERROR(__xludf.DUMMYFUNCTION("""COMPUTED_VALUE"""),"Reference by vavula10@gmail.com")</f>
        <v>Reference by vavula10@gmail.com</v>
      </c>
      <c r="R1237" s="6" t="str">
        <f ca="1">IFERROR(__xludf.DUMMYFUNCTION("""COMPUTED_VALUE"""),"Done. Good feedback.")</f>
        <v>Done. Good feedback.</v>
      </c>
      <c r="S1237" s="6" t="str">
        <f ca="1">IFERROR(__xludf.DUMMYFUNCTION("""COMPUTED_VALUE"""),"Category")</f>
        <v>Category</v>
      </c>
      <c r="T1237" s="6"/>
      <c r="U1237" s="6"/>
      <c r="V1237" s="6"/>
      <c r="W1237" s="6"/>
      <c r="X1237" s="6"/>
      <c r="Y1237" s="6"/>
      <c r="Z1237" s="6"/>
      <c r="AA1237" s="6"/>
      <c r="AB1237" s="6"/>
      <c r="AC1237" s="6"/>
      <c r="AD1237" s="6"/>
      <c r="AE1237" s="6"/>
      <c r="AF1237" s="6"/>
      <c r="AG1237" s="6"/>
      <c r="AH1237" s="6"/>
      <c r="AI1237" s="6"/>
      <c r="AJ1237" s="6"/>
      <c r="AK1237" s="6"/>
      <c r="AL1237" s="6"/>
    </row>
    <row r="1238" spans="1:38">
      <c r="A1238" s="96">
        <f ca="1">IFERROR(__xludf.DUMMYFUNCTION("""COMPUTED_VALUE"""),44818)</f>
        <v>44818</v>
      </c>
      <c r="B1238" s="6" t="str">
        <f ca="1">IFERROR(__xludf.DUMMYFUNCTION("""COMPUTED_VALUE"""),"Anant Gupta")</f>
        <v>Anant Gupta</v>
      </c>
      <c r="C1238" s="6" t="str">
        <f ca="1">IFERROR(__xludf.DUMMYFUNCTION("""COMPUTED_VALUE"""),"anantgupta.anant@gmail.com")</f>
        <v>anantgupta.anant@gmail.com</v>
      </c>
      <c r="D1238" s="6">
        <f ca="1">IFERROR(__xludf.DUMMYFUNCTION("""COMPUTED_VALUE"""),9045876560)</f>
        <v>9045876560</v>
      </c>
      <c r="E1238" s="6" t="str">
        <f ca="1">IFERROR(__xludf.DUMMYFUNCTION("""COMPUTED_VALUE"""),"course preview")</f>
        <v>course preview</v>
      </c>
      <c r="F1238" s="6" t="str">
        <f ca="1">IFERROR(__xludf.DUMMYFUNCTION("""COMPUTED_VALUE"""),"PMP")</f>
        <v>PMP</v>
      </c>
      <c r="G1238" s="80">
        <f ca="1">IFERROR(__xludf.DUMMYFUNCTION("""COMPUTED_VALUE"""),44805)</f>
        <v>44805</v>
      </c>
      <c r="H1238" s="6" t="str">
        <f ca="1">IFERROR(__xludf.DUMMYFUNCTION("""COMPUTED_VALUE"""),"Opportunity")</f>
        <v>Opportunity</v>
      </c>
      <c r="I1238" s="6" t="str">
        <f ca="1">IFERROR(__xludf.DUMMYFUNCTION("""COMPUTED_VALUE"""),"17 Sep 2022")</f>
        <v>17 Sep 2022</v>
      </c>
      <c r="J1238" s="6">
        <f ca="1">IFERROR(__xludf.DUMMYFUNCTION("""COMPUTED_VALUE"""),1)</f>
        <v>1</v>
      </c>
      <c r="K1238" s="8">
        <f ca="1">IFERROR(__xludf.DUMMYFUNCTION("""COMPUTED_VALUE"""),49000)</f>
        <v>49000</v>
      </c>
      <c r="L1238" s="8">
        <f ca="1">IFERROR(__xludf.DUMMYFUNCTION("""COMPUTED_VALUE"""),561.154374713696)</f>
        <v>561.15437471369603</v>
      </c>
      <c r="M1238" s="96">
        <f ca="1">IFERROR(__xludf.DUMMYFUNCTION("""COMPUTED_VALUE"""),44818)</f>
        <v>44818</v>
      </c>
      <c r="N1238" s="6"/>
      <c r="O1238" s="97"/>
      <c r="P1238" s="6"/>
      <c r="Q1238" s="6"/>
      <c r="R1238" s="6"/>
      <c r="S1238" s="6" t="str">
        <f ca="1">IFERROR(__xludf.DUMMYFUNCTION("""COMPUTED_VALUE"""),"NonCategory")</f>
        <v>NonCategory</v>
      </c>
      <c r="T1238" s="6"/>
      <c r="U1238" s="6"/>
      <c r="V1238" s="6"/>
      <c r="W1238" s="6"/>
      <c r="X1238" s="6"/>
      <c r="Y1238" s="6"/>
      <c r="Z1238" s="6"/>
      <c r="AA1238" s="6"/>
      <c r="AB1238" s="6"/>
      <c r="AC1238" s="6"/>
      <c r="AD1238" s="6"/>
      <c r="AE1238" s="6"/>
      <c r="AF1238" s="6"/>
      <c r="AG1238" s="6"/>
      <c r="AH1238" s="6"/>
      <c r="AI1238" s="6"/>
      <c r="AJ1238" s="6"/>
      <c r="AK1238" s="6"/>
      <c r="AL1238" s="6"/>
    </row>
    <row r="1239" spans="1:38">
      <c r="A1239" s="96">
        <f ca="1">IFERROR(__xludf.DUMMYFUNCTION("""COMPUTED_VALUE"""),44819)</f>
        <v>44819</v>
      </c>
      <c r="B1239" s="6" t="str">
        <f ca="1">IFERROR(__xludf.DUMMYFUNCTION("""COMPUTED_VALUE"""),"Deepak Sharma")</f>
        <v>Deepak Sharma</v>
      </c>
      <c r="C1239" s="6" t="str">
        <f ca="1">IFERROR(__xludf.DUMMYFUNCTION("""COMPUTED_VALUE"""),"sharmadeepak14@gmail.com")</f>
        <v>sharmadeepak14@gmail.com</v>
      </c>
      <c r="D1239" s="6">
        <f ca="1">IFERROR(__xludf.DUMMYFUNCTION("""COMPUTED_VALUE"""),8971166110)</f>
        <v>8971166110</v>
      </c>
      <c r="E1239" s="6" t="str">
        <f ca="1">IFERROR(__xludf.DUMMYFUNCTION("""COMPUTED_VALUE"""),"Query box")</f>
        <v>Query box</v>
      </c>
      <c r="F1239" s="6" t="str">
        <f ca="1">IFERROR(__xludf.DUMMYFUNCTION("""COMPUTED_VALUE"""),"PSM")</f>
        <v>PSM</v>
      </c>
      <c r="G1239" s="80">
        <f ca="1">IFERROR(__xludf.DUMMYFUNCTION("""COMPUTED_VALUE"""),44805)</f>
        <v>44805</v>
      </c>
      <c r="H1239" s="6" t="str">
        <f ca="1">IFERROR(__xludf.DUMMYFUNCTION("""COMPUTED_VALUE"""),"Won")</f>
        <v>Won</v>
      </c>
      <c r="I1239" s="6" t="str">
        <f ca="1">IFERROR(__xludf.DUMMYFUNCTION("""COMPUTED_VALUE"""),"17-18 Sep 2022")</f>
        <v>17-18 Sep 2022</v>
      </c>
      <c r="J1239" s="6">
        <f ca="1">IFERROR(__xludf.DUMMYFUNCTION("""COMPUTED_VALUE"""),1)</f>
        <v>1</v>
      </c>
      <c r="K1239" s="8">
        <f ca="1">IFERROR(__xludf.DUMMYFUNCTION("""COMPUTED_VALUE"""),21000)</f>
        <v>21000</v>
      </c>
      <c r="L1239" s="8">
        <f ca="1">IFERROR(__xludf.DUMMYFUNCTION("""COMPUTED_VALUE"""),240.494732020155)</f>
        <v>240.494732020155</v>
      </c>
      <c r="M1239" s="96">
        <f ca="1">IFERROR(__xludf.DUMMYFUNCTION("""COMPUTED_VALUE"""),44819)</f>
        <v>44819</v>
      </c>
      <c r="N1239" s="6" t="str">
        <f ca="1">IFERROR(__xludf.DUMMYFUNCTION("""COMPUTED_VALUE"""),"S10")</f>
        <v>S10</v>
      </c>
      <c r="O1239" s="97">
        <f ca="1">IFERROR(__xludf.DUMMYFUNCTION("""COMPUTED_VALUE"""),44819)</f>
        <v>44819</v>
      </c>
      <c r="P1239" s="6" t="str">
        <f ca="1">IFERROR(__xludf.DUMMYFUNCTION("""COMPUTED_VALUE"""),"CSTM_9MTJAWINX7T")</f>
        <v>CSTM_9MTJAWINX7T</v>
      </c>
      <c r="Q1239" s="6"/>
      <c r="R1239" s="6" t="str">
        <f ca="1">IFERROR(__xludf.DUMMYFUNCTION("""COMPUTED_VALUE"""),"Pending")</f>
        <v>Pending</v>
      </c>
      <c r="S1239" s="6" t="str">
        <f ca="1">IFERROR(__xludf.DUMMYFUNCTION("""COMPUTED_VALUE"""),"Category")</f>
        <v>Category</v>
      </c>
      <c r="T1239" s="6"/>
      <c r="U1239" s="6"/>
      <c r="V1239" s="6"/>
      <c r="W1239" s="6"/>
      <c r="X1239" s="6"/>
      <c r="Y1239" s="6"/>
      <c r="Z1239" s="6"/>
      <c r="AA1239" s="6"/>
      <c r="AB1239" s="6"/>
      <c r="AC1239" s="6"/>
      <c r="AD1239" s="6"/>
      <c r="AE1239" s="6"/>
      <c r="AF1239" s="6"/>
      <c r="AG1239" s="6"/>
      <c r="AH1239" s="6"/>
      <c r="AI1239" s="6"/>
      <c r="AJ1239" s="6"/>
      <c r="AK1239" s="6"/>
      <c r="AL1239" s="6"/>
    </row>
    <row r="1240" spans="1:38">
      <c r="A1240" s="96">
        <f ca="1">IFERROR(__xludf.DUMMYFUNCTION("""COMPUTED_VALUE"""),44819)</f>
        <v>44819</v>
      </c>
      <c r="B1240" s="6" t="str">
        <f ca="1">IFERROR(__xludf.DUMMYFUNCTION("""COMPUTED_VALUE"""),"Latika")</f>
        <v>Latika</v>
      </c>
      <c r="C1240" s="6" t="str">
        <f ca="1">IFERROR(__xludf.DUMMYFUNCTION("""COMPUTED_VALUE"""),"latika08@gmail.com")</f>
        <v>latika08@gmail.com</v>
      </c>
      <c r="D1240" s="6">
        <f ca="1">IFERROR(__xludf.DUMMYFUNCTION("""COMPUTED_VALUE"""),9910366020)</f>
        <v>9910366020</v>
      </c>
      <c r="E1240" s="6" t="str">
        <f ca="1">IFERROR(__xludf.DUMMYFUNCTION("""COMPUTED_VALUE"""),"Reference")</f>
        <v>Reference</v>
      </c>
      <c r="F1240" s="6" t="str">
        <f ca="1">IFERROR(__xludf.DUMMYFUNCTION("""COMPUTED_VALUE"""),"CSPO")</f>
        <v>CSPO</v>
      </c>
      <c r="G1240" s="80">
        <f ca="1">IFERROR(__xludf.DUMMYFUNCTION("""COMPUTED_VALUE"""),44805)</f>
        <v>44805</v>
      </c>
      <c r="H1240" s="6" t="str">
        <f ca="1">IFERROR(__xludf.DUMMYFUNCTION("""COMPUTED_VALUE"""),"Won")</f>
        <v>Won</v>
      </c>
      <c r="I1240" s="6" t="str">
        <f ca="1">IFERROR(__xludf.DUMMYFUNCTION("""COMPUTED_VALUE"""),"1-2 Oct 2022")</f>
        <v>1-2 Oct 2022</v>
      </c>
      <c r="J1240" s="6">
        <f ca="1">IFERROR(__xludf.DUMMYFUNCTION("""COMPUTED_VALUE"""),1)</f>
        <v>1</v>
      </c>
      <c r="K1240" s="8">
        <f ca="1">IFERROR(__xludf.DUMMYFUNCTION("""COMPUTED_VALUE"""),20000)</f>
        <v>20000</v>
      </c>
      <c r="L1240" s="8">
        <f ca="1">IFERROR(__xludf.DUMMYFUNCTION("""COMPUTED_VALUE"""),229.042601923957)</f>
        <v>229.04260192395699</v>
      </c>
      <c r="M1240" s="96">
        <f ca="1">IFERROR(__xludf.DUMMYFUNCTION("""COMPUTED_VALUE"""),44819)</f>
        <v>44819</v>
      </c>
      <c r="N1240" s="6" t="str">
        <f ca="1">IFERROR(__xludf.DUMMYFUNCTION("""COMPUTED_VALUE"""),"S10")</f>
        <v>S10</v>
      </c>
      <c r="O1240" s="97">
        <f ca="1">IFERROR(__xludf.DUMMYFUNCTION("""COMPUTED_VALUE"""),44819)</f>
        <v>44819</v>
      </c>
      <c r="P1240" s="6" t="str">
        <f ca="1">IFERROR(__xludf.DUMMYFUNCTION("""COMPUTED_VALUE"""),"CSTM_EDKL0TQOZB3")</f>
        <v>CSTM_EDKL0TQOZB3</v>
      </c>
      <c r="Q1240" s="6" t="str">
        <f ca="1">IFERROR(__xludf.DUMMYFUNCTION("""COMPUTED_VALUE"""),"Reference by itsmerathanraj@gmail.com")</f>
        <v>Reference by itsmerathanraj@gmail.com</v>
      </c>
      <c r="R1240" s="6" t="str">
        <f ca="1">IFERROR(__xludf.DUMMYFUNCTION("""COMPUTED_VALUE"""),"Pending")</f>
        <v>Pending</v>
      </c>
      <c r="S1240" s="6" t="str">
        <f ca="1">IFERROR(__xludf.DUMMYFUNCTION("""COMPUTED_VALUE"""),"Category")</f>
        <v>Category</v>
      </c>
      <c r="T1240" s="6"/>
      <c r="U1240" s="6"/>
      <c r="V1240" s="6"/>
      <c r="W1240" s="6"/>
      <c r="X1240" s="6"/>
      <c r="Y1240" s="6"/>
      <c r="Z1240" s="6"/>
      <c r="AA1240" s="6"/>
      <c r="AB1240" s="6"/>
      <c r="AC1240" s="6"/>
      <c r="AD1240" s="6"/>
      <c r="AE1240" s="6"/>
      <c r="AF1240" s="6"/>
      <c r="AG1240" s="6"/>
      <c r="AH1240" s="6"/>
      <c r="AI1240" s="6"/>
      <c r="AJ1240" s="6"/>
      <c r="AK1240" s="6"/>
      <c r="AL1240" s="6"/>
    </row>
    <row r="1241" spans="1:38">
      <c r="A1241" s="96">
        <f ca="1">IFERROR(__xludf.DUMMYFUNCTION("""COMPUTED_VALUE"""),44820)</f>
        <v>44820</v>
      </c>
      <c r="B1241" s="6" t="str">
        <f ca="1">IFERROR(__xludf.DUMMYFUNCTION("""COMPUTED_VALUE"""),"Abhijit Patil")</f>
        <v>Abhijit Patil</v>
      </c>
      <c r="C1241" s="6" t="str">
        <f ca="1">IFERROR(__xludf.DUMMYFUNCTION("""COMPUTED_VALUE"""),"abhikpatil@gmail.com")</f>
        <v>abhikpatil@gmail.com</v>
      </c>
      <c r="D1241" s="6">
        <f ca="1">IFERROR(__xludf.DUMMYFUNCTION("""COMPUTED_VALUE"""),9175810641)</f>
        <v>9175810641</v>
      </c>
      <c r="E1241" s="6" t="str">
        <f ca="1">IFERROR(__xludf.DUMMYFUNCTION("""COMPUTED_VALUE"""),"Existing Account")</f>
        <v>Existing Account</v>
      </c>
      <c r="F1241" s="6" t="str">
        <f ca="1">IFERROR(__xludf.DUMMYFUNCTION("""COMPUTED_VALUE"""),"PSM")</f>
        <v>PSM</v>
      </c>
      <c r="G1241" s="80">
        <f ca="1">IFERROR(__xludf.DUMMYFUNCTION("""COMPUTED_VALUE"""),44805)</f>
        <v>44805</v>
      </c>
      <c r="H1241" s="6" t="str">
        <f ca="1">IFERROR(__xludf.DUMMYFUNCTION("""COMPUTED_VALUE"""),"Won")</f>
        <v>Won</v>
      </c>
      <c r="I1241" s="6" t="str">
        <f ca="1">IFERROR(__xludf.DUMMYFUNCTION("""COMPUTED_VALUE"""),"17-18 Sep 2022")</f>
        <v>17-18 Sep 2022</v>
      </c>
      <c r="J1241" s="6">
        <f ca="1">IFERROR(__xludf.DUMMYFUNCTION("""COMPUTED_VALUE"""),1)</f>
        <v>1</v>
      </c>
      <c r="K1241" s="8">
        <f ca="1">IFERROR(__xludf.DUMMYFUNCTION("""COMPUTED_VALUE"""),20500)</f>
        <v>20500</v>
      </c>
      <c r="L1241" s="8">
        <f ca="1">IFERROR(__xludf.DUMMYFUNCTION("""COMPUTED_VALUE"""),234.768666972056)</f>
        <v>234.768666972056</v>
      </c>
      <c r="M1241" s="96">
        <f ca="1">IFERROR(__xludf.DUMMYFUNCTION("""COMPUTED_VALUE"""),44820)</f>
        <v>44820</v>
      </c>
      <c r="N1241" s="6" t="str">
        <f ca="1">IFERROR(__xludf.DUMMYFUNCTION("""COMPUTED_VALUE"""),"S10")</f>
        <v>S10</v>
      </c>
      <c r="O1241" s="97">
        <f ca="1">IFERROR(__xludf.DUMMYFUNCTION("""COMPUTED_VALUE"""),44820)</f>
        <v>44820</v>
      </c>
      <c r="P1241" s="6" t="str">
        <f ca="1">IFERROR(__xludf.DUMMYFUNCTION("""COMPUTED_VALUE"""),"CSTM_CFM20LXXQL4")</f>
        <v>CSTM_CFM20LXXQL4</v>
      </c>
      <c r="Q1241" s="6"/>
      <c r="R1241" s="6" t="str">
        <f ca="1">IFERROR(__xludf.DUMMYFUNCTION("""COMPUTED_VALUE"""),"Done. Good feedback.")</f>
        <v>Done. Good feedback.</v>
      </c>
      <c r="S1241" s="6" t="str">
        <f ca="1">IFERROR(__xludf.DUMMYFUNCTION("""COMPUTED_VALUE"""),"Category")</f>
        <v>Category</v>
      </c>
      <c r="T1241" s="6"/>
      <c r="U1241" s="6"/>
      <c r="V1241" s="6"/>
      <c r="W1241" s="6"/>
      <c r="X1241" s="6"/>
      <c r="Y1241" s="6"/>
      <c r="Z1241" s="6"/>
      <c r="AA1241" s="6"/>
      <c r="AB1241" s="6"/>
      <c r="AC1241" s="6"/>
      <c r="AD1241" s="6"/>
      <c r="AE1241" s="6"/>
      <c r="AF1241" s="6"/>
      <c r="AG1241" s="6"/>
      <c r="AH1241" s="6"/>
      <c r="AI1241" s="6"/>
      <c r="AJ1241" s="6"/>
      <c r="AK1241" s="6"/>
      <c r="AL1241" s="6"/>
    </row>
    <row r="1242" spans="1:38">
      <c r="A1242" s="96">
        <f ca="1">IFERROR(__xludf.DUMMYFUNCTION("""COMPUTED_VALUE"""),44821)</f>
        <v>44821</v>
      </c>
      <c r="B1242" s="6" t="str">
        <f ca="1">IFERROR(__xludf.DUMMYFUNCTION("""COMPUTED_VALUE"""),"Arun Kumar")</f>
        <v>Arun Kumar</v>
      </c>
      <c r="C1242" s="6" t="str">
        <f ca="1">IFERROR(__xludf.DUMMYFUNCTION("""COMPUTED_VALUE"""),"ak.arunkumar2450@gmail.com")</f>
        <v>ak.arunkumar2450@gmail.com</v>
      </c>
      <c r="D1242" s="6">
        <f ca="1">IFERROR(__xludf.DUMMYFUNCTION("""COMPUTED_VALUE"""),9791113976)</f>
        <v>9791113976</v>
      </c>
      <c r="E1242" s="6" t="str">
        <f ca="1">IFERROR(__xludf.DUMMYFUNCTION("""COMPUTED_VALUE"""),"Existing Account")</f>
        <v>Existing Account</v>
      </c>
      <c r="F1242" s="6" t="str">
        <f ca="1">IFERROR(__xludf.DUMMYFUNCTION("""COMPUTED_VALUE"""),"PMP")</f>
        <v>PMP</v>
      </c>
      <c r="G1242" s="80">
        <f ca="1">IFERROR(__xludf.DUMMYFUNCTION("""COMPUTED_VALUE"""),44805)</f>
        <v>44805</v>
      </c>
      <c r="H1242" s="6" t="str">
        <f ca="1">IFERROR(__xludf.DUMMYFUNCTION("""COMPUTED_VALUE"""),"Won")</f>
        <v>Won</v>
      </c>
      <c r="I1242" s="6" t="str">
        <f ca="1">IFERROR(__xludf.DUMMYFUNCTION("""COMPUTED_VALUE"""),"17 Sep 2022")</f>
        <v>17 Sep 2022</v>
      </c>
      <c r="J1242" s="6">
        <f ca="1">IFERROR(__xludf.DUMMYFUNCTION("""COMPUTED_VALUE"""),1)</f>
        <v>1</v>
      </c>
      <c r="K1242" s="8">
        <f ca="1">IFERROR(__xludf.DUMMYFUNCTION("""COMPUTED_VALUE"""),49000)</f>
        <v>49000</v>
      </c>
      <c r="L1242" s="8">
        <f ca="1">IFERROR(__xludf.DUMMYFUNCTION("""COMPUTED_VALUE"""),561.154374713696)</f>
        <v>561.15437471369603</v>
      </c>
      <c r="M1242" s="96">
        <f ca="1">IFERROR(__xludf.DUMMYFUNCTION("""COMPUTED_VALUE"""),44821)</f>
        <v>44821</v>
      </c>
      <c r="N1242" s="6" t="str">
        <f ca="1">IFERROR(__xludf.DUMMYFUNCTION("""COMPUTED_VALUE"""),"S10")</f>
        <v>S10</v>
      </c>
      <c r="O1242" s="97">
        <f ca="1">IFERROR(__xludf.DUMMYFUNCTION("""COMPUTED_VALUE"""),44821)</f>
        <v>44821</v>
      </c>
      <c r="P1242" s="6" t="str">
        <f ca="1">IFERROR(__xludf.DUMMYFUNCTION("""COMPUTED_VALUE"""),"CSTM_H7L57T8RB3K")</f>
        <v>CSTM_H7L57T8RB3K</v>
      </c>
      <c r="Q1242" s="6"/>
      <c r="R1242" s="6" t="str">
        <f ca="1">IFERROR(__xludf.DUMMYFUNCTION("""COMPUTED_VALUE"""),"Pending")</f>
        <v>Pending</v>
      </c>
      <c r="S1242" s="6" t="str">
        <f ca="1">IFERROR(__xludf.DUMMYFUNCTION("""COMPUTED_VALUE"""),"NonCategory")</f>
        <v>NonCategory</v>
      </c>
      <c r="T1242" s="6"/>
      <c r="U1242" s="6"/>
      <c r="V1242" s="6"/>
      <c r="W1242" s="6"/>
      <c r="X1242" s="6"/>
      <c r="Y1242" s="6"/>
      <c r="Z1242" s="6"/>
      <c r="AA1242" s="6"/>
      <c r="AB1242" s="6"/>
      <c r="AC1242" s="6"/>
      <c r="AD1242" s="6"/>
      <c r="AE1242" s="6"/>
      <c r="AF1242" s="6"/>
      <c r="AG1242" s="6"/>
      <c r="AH1242" s="6"/>
      <c r="AI1242" s="6"/>
      <c r="AJ1242" s="6"/>
      <c r="AK1242" s="6"/>
      <c r="AL1242" s="6"/>
    </row>
    <row r="1243" spans="1:38">
      <c r="A1243" s="96">
        <f ca="1">IFERROR(__xludf.DUMMYFUNCTION("""COMPUTED_VALUE"""),44821)</f>
        <v>44821</v>
      </c>
      <c r="B1243" s="6" t="str">
        <f ca="1">IFERROR(__xludf.DUMMYFUNCTION("""COMPUTED_VALUE"""),"Vetri Kumar")</f>
        <v>Vetri Kumar</v>
      </c>
      <c r="C1243" s="6" t="str">
        <f ca="1">IFERROR(__xludf.DUMMYFUNCTION("""COMPUTED_VALUE"""),"vetrikumar2409@gmail.com")</f>
        <v>vetrikumar2409@gmail.com</v>
      </c>
      <c r="D1243" s="6">
        <f ca="1">IFERROR(__xludf.DUMMYFUNCTION("""COMPUTED_VALUE"""),7010814119)</f>
        <v>7010814119</v>
      </c>
      <c r="E1243" s="6" t="str">
        <f ca="1">IFERROR(__xludf.DUMMYFUNCTION("""COMPUTED_VALUE"""),"Tollfree")</f>
        <v>Tollfree</v>
      </c>
      <c r="F1243" s="6" t="str">
        <f ca="1">IFERROR(__xludf.DUMMYFUNCTION("""COMPUTED_VALUE"""),"PSPO")</f>
        <v>PSPO</v>
      </c>
      <c r="G1243" s="80">
        <f ca="1">IFERROR(__xludf.DUMMYFUNCTION("""COMPUTED_VALUE"""),44805)</f>
        <v>44805</v>
      </c>
      <c r="H1243" s="6" t="str">
        <f ca="1">IFERROR(__xludf.DUMMYFUNCTION("""COMPUTED_VALUE"""),"Won")</f>
        <v>Won</v>
      </c>
      <c r="I1243" s="6" t="str">
        <f ca="1">IFERROR(__xludf.DUMMYFUNCTION("""COMPUTED_VALUE"""),"15-16 Oct 2022")</f>
        <v>15-16 Oct 2022</v>
      </c>
      <c r="J1243" s="6">
        <f ca="1">IFERROR(__xludf.DUMMYFUNCTION("""COMPUTED_VALUE"""),1)</f>
        <v>1</v>
      </c>
      <c r="K1243" s="8">
        <f ca="1">IFERROR(__xludf.DUMMYFUNCTION("""COMPUTED_VALUE"""),21000)</f>
        <v>21000</v>
      </c>
      <c r="L1243" s="8">
        <f ca="1">IFERROR(__xludf.DUMMYFUNCTION("""COMPUTED_VALUE"""),240.494732020155)</f>
        <v>240.494732020155</v>
      </c>
      <c r="M1243" s="96">
        <f ca="1">IFERROR(__xludf.DUMMYFUNCTION("""COMPUTED_VALUE"""),44821)</f>
        <v>44821</v>
      </c>
      <c r="N1243" s="6" t="str">
        <f ca="1">IFERROR(__xludf.DUMMYFUNCTION("""COMPUTED_VALUE"""),"S10")</f>
        <v>S10</v>
      </c>
      <c r="O1243" s="97">
        <f ca="1">IFERROR(__xludf.DUMMYFUNCTION("""COMPUTED_VALUE"""),44821)</f>
        <v>44821</v>
      </c>
      <c r="P1243" s="6" t="str">
        <f ca="1">IFERROR(__xludf.DUMMYFUNCTION("""COMPUTED_VALUE"""),"CSTM_AN6APTB04GA")</f>
        <v>CSTM_AN6APTB04GA</v>
      </c>
      <c r="Q1243" s="6"/>
      <c r="R1243" s="6" t="str">
        <f ca="1">IFERROR(__xludf.DUMMYFUNCTION("""COMPUTED_VALUE"""),"Pending")</f>
        <v>Pending</v>
      </c>
      <c r="S1243" s="6" t="str">
        <f ca="1">IFERROR(__xludf.DUMMYFUNCTION("""COMPUTED_VALUE"""),"Category")</f>
        <v>Category</v>
      </c>
      <c r="T1243" s="6"/>
      <c r="U1243" s="6"/>
      <c r="V1243" s="6"/>
      <c r="W1243" s="6"/>
      <c r="X1243" s="6"/>
      <c r="Y1243" s="6"/>
      <c r="Z1243" s="6"/>
      <c r="AA1243" s="6"/>
      <c r="AB1243" s="6"/>
      <c r="AC1243" s="6"/>
      <c r="AD1243" s="6"/>
      <c r="AE1243" s="6"/>
      <c r="AF1243" s="6"/>
      <c r="AG1243" s="6"/>
      <c r="AH1243" s="6"/>
      <c r="AI1243" s="6"/>
      <c r="AJ1243" s="6"/>
      <c r="AK1243" s="6"/>
      <c r="AL1243" s="6"/>
    </row>
    <row r="1244" spans="1:38">
      <c r="A1244" s="96">
        <f ca="1">IFERROR(__xludf.DUMMYFUNCTION("""COMPUTED_VALUE"""),44821)</f>
        <v>44821</v>
      </c>
      <c r="B1244" s="6" t="str">
        <f ca="1">IFERROR(__xludf.DUMMYFUNCTION("""COMPUTED_VALUE"""),"Krishnananda Bhatt")</f>
        <v>Krishnananda Bhatt</v>
      </c>
      <c r="C1244" s="6" t="str">
        <f ca="1">IFERROR(__xludf.DUMMYFUNCTION("""COMPUTED_VALUE"""),"krishnabhat009@gmail.com")</f>
        <v>krishnabhat009@gmail.com</v>
      </c>
      <c r="D1244" s="6">
        <f ca="1">IFERROR(__xludf.DUMMYFUNCTION("""COMPUTED_VALUE"""),9742406427)</f>
        <v>9742406427</v>
      </c>
      <c r="E1244" s="6" t="str">
        <f ca="1">IFERROR(__xludf.DUMMYFUNCTION("""COMPUTED_VALUE"""),"Reference")</f>
        <v>Reference</v>
      </c>
      <c r="F1244" s="6" t="str">
        <f ca="1">IFERROR(__xludf.DUMMYFUNCTION("""COMPUTED_VALUE"""),"CSM")</f>
        <v>CSM</v>
      </c>
      <c r="G1244" s="80">
        <f ca="1">IFERROR(__xludf.DUMMYFUNCTION("""COMPUTED_VALUE"""),44805)</f>
        <v>44805</v>
      </c>
      <c r="H1244" s="6" t="str">
        <f ca="1">IFERROR(__xludf.DUMMYFUNCTION("""COMPUTED_VALUE"""),"Won")</f>
        <v>Won</v>
      </c>
      <c r="I1244" s="6" t="str">
        <f ca="1">IFERROR(__xludf.DUMMYFUNCTION("""COMPUTED_VALUE"""),"24-25 Sep 2022")</f>
        <v>24-25 Sep 2022</v>
      </c>
      <c r="J1244" s="6">
        <f ca="1">IFERROR(__xludf.DUMMYFUNCTION("""COMPUTED_VALUE"""),1)</f>
        <v>1</v>
      </c>
      <c r="K1244" s="8">
        <f ca="1">IFERROR(__xludf.DUMMYFUNCTION("""COMPUTED_VALUE"""),20500)</f>
        <v>20500</v>
      </c>
      <c r="L1244" s="8">
        <f ca="1">IFERROR(__xludf.DUMMYFUNCTION("""COMPUTED_VALUE"""),234.768666972056)</f>
        <v>234.768666972056</v>
      </c>
      <c r="M1244" s="96">
        <f ca="1">IFERROR(__xludf.DUMMYFUNCTION("""COMPUTED_VALUE"""),44821)</f>
        <v>44821</v>
      </c>
      <c r="N1244" s="6" t="str">
        <f ca="1">IFERROR(__xludf.DUMMYFUNCTION("""COMPUTED_VALUE"""),"S10")</f>
        <v>S10</v>
      </c>
      <c r="O1244" s="97">
        <f ca="1">IFERROR(__xludf.DUMMYFUNCTION("""COMPUTED_VALUE"""),44821)</f>
        <v>44821</v>
      </c>
      <c r="P1244" s="6" t="str">
        <f ca="1">IFERROR(__xludf.DUMMYFUNCTION("""COMPUTED_VALUE"""),"CSTM_1O7U1496MTR")</f>
        <v>CSTM_1O7U1496MTR</v>
      </c>
      <c r="Q1244" s="6" t="str">
        <f ca="1">IFERROR(__xludf.DUMMYFUNCTION("""COMPUTED_VALUE"""),"Referred by Amar")</f>
        <v>Referred by Amar</v>
      </c>
      <c r="R1244" s="6" t="str">
        <f ca="1">IFERROR(__xludf.DUMMYFUNCTION("""COMPUTED_VALUE"""),"Done. Good feedback.")</f>
        <v>Done. Good feedback.</v>
      </c>
      <c r="S1244" s="6" t="str">
        <f ca="1">IFERROR(__xludf.DUMMYFUNCTION("""COMPUTED_VALUE"""),"Category")</f>
        <v>Category</v>
      </c>
      <c r="T1244" s="6"/>
      <c r="U1244" s="6"/>
      <c r="V1244" s="6"/>
      <c r="W1244" s="6"/>
      <c r="X1244" s="6"/>
      <c r="Y1244" s="6"/>
      <c r="Z1244" s="6"/>
      <c r="AA1244" s="6"/>
      <c r="AB1244" s="6"/>
      <c r="AC1244" s="6"/>
      <c r="AD1244" s="6"/>
      <c r="AE1244" s="6"/>
      <c r="AF1244" s="6"/>
      <c r="AG1244" s="6"/>
      <c r="AH1244" s="6"/>
      <c r="AI1244" s="6"/>
      <c r="AJ1244" s="6"/>
      <c r="AK1244" s="6"/>
      <c r="AL1244" s="6"/>
    </row>
    <row r="1245" spans="1:38">
      <c r="A1245" s="96">
        <f ca="1">IFERROR(__xludf.DUMMYFUNCTION("""COMPUTED_VALUE"""),44821)</f>
        <v>44821</v>
      </c>
      <c r="B1245" s="6" t="str">
        <f ca="1">IFERROR(__xludf.DUMMYFUNCTION("""COMPUTED_VALUE"""),"Anubhav Bhatnagar")</f>
        <v>Anubhav Bhatnagar</v>
      </c>
      <c r="C1245" s="6" t="str">
        <f ca="1">IFERROR(__xludf.DUMMYFUNCTION("""COMPUTED_VALUE"""),"anubhav.bhatnagar.it@gmail.com")</f>
        <v>anubhav.bhatnagar.it@gmail.com</v>
      </c>
      <c r="D1245" s="6">
        <f ca="1">IFERROR(__xludf.DUMMYFUNCTION("""COMPUTED_VALUE"""),9872642159)</f>
        <v>9872642159</v>
      </c>
      <c r="E1245" s="6" t="str">
        <f ca="1">IFERROR(__xludf.DUMMYFUNCTION("""COMPUTED_VALUE"""),"Reference")</f>
        <v>Reference</v>
      </c>
      <c r="F1245" s="6" t="str">
        <f ca="1">IFERROR(__xludf.DUMMYFUNCTION("""COMPUTED_VALUE"""),"CSM")</f>
        <v>CSM</v>
      </c>
      <c r="G1245" s="80">
        <f ca="1">IFERROR(__xludf.DUMMYFUNCTION("""COMPUTED_VALUE"""),44805)</f>
        <v>44805</v>
      </c>
      <c r="H1245" s="6" t="str">
        <f ca="1">IFERROR(__xludf.DUMMYFUNCTION("""COMPUTED_VALUE"""),"Won")</f>
        <v>Won</v>
      </c>
      <c r="I1245" s="6" t="str">
        <f ca="1">IFERROR(__xludf.DUMMYFUNCTION("""COMPUTED_VALUE"""),"24-25 Sep 2022")</f>
        <v>24-25 Sep 2022</v>
      </c>
      <c r="J1245" s="6">
        <f ca="1">IFERROR(__xludf.DUMMYFUNCTION("""COMPUTED_VALUE"""),1)</f>
        <v>1</v>
      </c>
      <c r="K1245" s="8">
        <f ca="1">IFERROR(__xludf.DUMMYFUNCTION("""COMPUTED_VALUE"""),20000)</f>
        <v>20000</v>
      </c>
      <c r="L1245" s="8">
        <f ca="1">IFERROR(__xludf.DUMMYFUNCTION("""COMPUTED_VALUE"""),229.042601923957)</f>
        <v>229.04260192395699</v>
      </c>
      <c r="M1245" s="96">
        <f ca="1">IFERROR(__xludf.DUMMYFUNCTION("""COMPUTED_VALUE"""),44821)</f>
        <v>44821</v>
      </c>
      <c r="N1245" s="6" t="str">
        <f ca="1">IFERROR(__xludf.DUMMYFUNCTION("""COMPUTED_VALUE"""),"S10")</f>
        <v>S10</v>
      </c>
      <c r="O1245" s="97">
        <f ca="1">IFERROR(__xludf.DUMMYFUNCTION("""COMPUTED_VALUE"""),44821)</f>
        <v>44821</v>
      </c>
      <c r="P1245" s="6" t="str">
        <f ca="1">IFERROR(__xludf.DUMMYFUNCTION("""COMPUTED_VALUE"""),"CSTM_FGME3SMPSQO")</f>
        <v>CSTM_FGME3SMPSQO</v>
      </c>
      <c r="Q1245" s="6" t="str">
        <f ca="1">IFERROR(__xludf.DUMMYFUNCTION("""COMPUTED_VALUE"""),"Referred by Mandeep")</f>
        <v>Referred by Mandeep</v>
      </c>
      <c r="R1245" s="6" t="str">
        <f ca="1">IFERROR(__xludf.DUMMYFUNCTION("""COMPUTED_VALUE"""),"Done. Good feedback.")</f>
        <v>Done. Good feedback.</v>
      </c>
      <c r="S1245" s="6" t="str">
        <f ca="1">IFERROR(__xludf.DUMMYFUNCTION("""COMPUTED_VALUE"""),"Category")</f>
        <v>Category</v>
      </c>
      <c r="T1245" s="6"/>
      <c r="U1245" s="6"/>
      <c r="V1245" s="6"/>
      <c r="W1245" s="6"/>
      <c r="X1245" s="6"/>
      <c r="Y1245" s="6"/>
      <c r="Z1245" s="6"/>
      <c r="AA1245" s="6"/>
      <c r="AB1245" s="6"/>
      <c r="AC1245" s="6"/>
      <c r="AD1245" s="6"/>
      <c r="AE1245" s="6"/>
      <c r="AF1245" s="6"/>
      <c r="AG1245" s="6"/>
      <c r="AH1245" s="6"/>
      <c r="AI1245" s="6"/>
      <c r="AJ1245" s="6"/>
      <c r="AK1245" s="6"/>
      <c r="AL1245" s="6"/>
    </row>
    <row r="1246" spans="1:38">
      <c r="A1246" s="96">
        <f ca="1">IFERROR(__xludf.DUMMYFUNCTION("""COMPUTED_VALUE"""),44822)</f>
        <v>44822</v>
      </c>
      <c r="B1246" s="6" t="str">
        <f ca="1">IFERROR(__xludf.DUMMYFUNCTION("""COMPUTED_VALUE"""),"Minal Golatkar")</f>
        <v>Minal Golatkar</v>
      </c>
      <c r="C1246" s="6" t="str">
        <f ca="1">IFERROR(__xludf.DUMMYFUNCTION("""COMPUTED_VALUE"""),"minal.golatkar@gmail.com")</f>
        <v>minal.golatkar@gmail.com</v>
      </c>
      <c r="D1246" s="6">
        <f ca="1">IFERROR(__xludf.DUMMYFUNCTION("""COMPUTED_VALUE"""),8369064563)</f>
        <v>8369064563</v>
      </c>
      <c r="E1246" s="6" t="str">
        <f ca="1">IFERROR(__xludf.DUMMYFUNCTION("""COMPUTED_VALUE"""),"Reference")</f>
        <v>Reference</v>
      </c>
      <c r="F1246" s="6" t="str">
        <f ca="1">IFERROR(__xludf.DUMMYFUNCTION("""COMPUTED_VALUE"""),"SAFe Agile")</f>
        <v>SAFe Agile</v>
      </c>
      <c r="G1246" s="80">
        <f ca="1">IFERROR(__xludf.DUMMYFUNCTION("""COMPUTED_VALUE"""),44805)</f>
        <v>44805</v>
      </c>
      <c r="H1246" s="6" t="str">
        <f ca="1">IFERROR(__xludf.DUMMYFUNCTION("""COMPUTED_VALUE"""),"Won")</f>
        <v>Won</v>
      </c>
      <c r="I1246" s="6" t="str">
        <f ca="1">IFERROR(__xludf.DUMMYFUNCTION("""COMPUTED_VALUE"""),"24-25 Sep 2022")</f>
        <v>24-25 Sep 2022</v>
      </c>
      <c r="J1246" s="6">
        <f ca="1">IFERROR(__xludf.DUMMYFUNCTION("""COMPUTED_VALUE"""),1)</f>
        <v>1</v>
      </c>
      <c r="K1246" s="8">
        <f ca="1">IFERROR(__xludf.DUMMYFUNCTION("""COMPUTED_VALUE"""),40061)</f>
        <v>40061</v>
      </c>
      <c r="L1246" s="8">
        <f ca="1">IFERROR(__xludf.DUMMYFUNCTION("""COMPUTED_VALUE"""),458.783783783783)</f>
        <v>458.78378378378301</v>
      </c>
      <c r="M1246" s="96">
        <f ca="1">IFERROR(__xludf.DUMMYFUNCTION("""COMPUTED_VALUE"""),44822)</f>
        <v>44822</v>
      </c>
      <c r="N1246" s="6" t="str">
        <f ca="1">IFERROR(__xludf.DUMMYFUNCTION("""COMPUTED_VALUE"""),"S10")</f>
        <v>S10</v>
      </c>
      <c r="O1246" s="97">
        <f ca="1">IFERROR(__xludf.DUMMYFUNCTION("""COMPUTED_VALUE"""),44822)</f>
        <v>44822</v>
      </c>
      <c r="P1246" s="6" t="str">
        <f ca="1">IFERROR(__xludf.DUMMYFUNCTION("""COMPUTED_VALUE"""),"CSTM_CT2IAOP0ICG")</f>
        <v>CSTM_CT2IAOP0ICG</v>
      </c>
      <c r="Q1246" s="6" t="str">
        <f ca="1">IFERROR(__xludf.DUMMYFUNCTION("""COMPUTED_VALUE"""),"Keerti")</f>
        <v>Keerti</v>
      </c>
      <c r="R1246" s="6" t="str">
        <f ca="1">IFERROR(__xludf.DUMMYFUNCTION("""COMPUTED_VALUE"""),"Done. Good feedback.")</f>
        <v>Done. Good feedback.</v>
      </c>
      <c r="S1246" s="6" t="str">
        <f ca="1">IFERROR(__xludf.DUMMYFUNCTION("""COMPUTED_VALUE"""),"SAFe")</f>
        <v>SAFe</v>
      </c>
      <c r="T1246" s="6" t="str">
        <f ca="1">IFERROR(__xludf.DUMMYFUNCTION("""COMPUTED_VALUE"""),"Keerti - Pending")</f>
        <v>Keerti - Pending</v>
      </c>
      <c r="U1246" s="6"/>
      <c r="V1246" s="6"/>
      <c r="W1246" s="6"/>
      <c r="X1246" s="6"/>
      <c r="Y1246" s="6"/>
      <c r="Z1246" s="6"/>
      <c r="AA1246" s="6"/>
      <c r="AB1246" s="6"/>
      <c r="AC1246" s="6"/>
      <c r="AD1246" s="6"/>
      <c r="AE1246" s="6"/>
      <c r="AF1246" s="6"/>
      <c r="AG1246" s="6"/>
      <c r="AH1246" s="6"/>
      <c r="AI1246" s="6"/>
      <c r="AJ1246" s="6"/>
      <c r="AK1246" s="6"/>
      <c r="AL1246" s="6"/>
    </row>
    <row r="1247" spans="1:38">
      <c r="A1247" s="96">
        <f ca="1">IFERROR(__xludf.DUMMYFUNCTION("""COMPUTED_VALUE"""),44822)</f>
        <v>44822</v>
      </c>
      <c r="B1247" s="6" t="str">
        <f ca="1">IFERROR(__xludf.DUMMYFUNCTION("""COMPUTED_VALUE"""),"Kishore Battineni")</f>
        <v>Kishore Battineni</v>
      </c>
      <c r="C1247" s="6" t="str">
        <f ca="1">IFERROR(__xludf.DUMMYFUNCTION("""COMPUTED_VALUE"""),"kishore.battineni@gmail.com")</f>
        <v>kishore.battineni@gmail.com</v>
      </c>
      <c r="D1247" s="6">
        <f ca="1">IFERROR(__xludf.DUMMYFUNCTION("""COMPUTED_VALUE"""),9886003366)</f>
        <v>9886003366</v>
      </c>
      <c r="E1247" s="6" t="str">
        <f ca="1">IFERROR(__xludf.DUMMYFUNCTION("""COMPUTED_VALUE"""),"Reference")</f>
        <v>Reference</v>
      </c>
      <c r="F1247" s="6" t="str">
        <f ca="1">IFERROR(__xludf.DUMMYFUNCTION("""COMPUTED_VALUE"""),"CSM")</f>
        <v>CSM</v>
      </c>
      <c r="G1247" s="80">
        <f ca="1">IFERROR(__xludf.DUMMYFUNCTION("""COMPUTED_VALUE"""),44805)</f>
        <v>44805</v>
      </c>
      <c r="H1247" s="6" t="str">
        <f ca="1">IFERROR(__xludf.DUMMYFUNCTION("""COMPUTED_VALUE"""),"Won")</f>
        <v>Won</v>
      </c>
      <c r="I1247" s="6" t="str">
        <f ca="1">IFERROR(__xludf.DUMMYFUNCTION("""COMPUTED_VALUE"""),"24-25 Sep 2022")</f>
        <v>24-25 Sep 2022</v>
      </c>
      <c r="J1247" s="6">
        <f ca="1">IFERROR(__xludf.DUMMYFUNCTION("""COMPUTED_VALUE"""),1)</f>
        <v>1</v>
      </c>
      <c r="K1247" s="8">
        <f ca="1">IFERROR(__xludf.DUMMYFUNCTION("""COMPUTED_VALUE"""),20000)</f>
        <v>20000</v>
      </c>
      <c r="L1247" s="8">
        <f ca="1">IFERROR(__xludf.DUMMYFUNCTION("""COMPUTED_VALUE"""),229.042601923957)</f>
        <v>229.04260192395699</v>
      </c>
      <c r="M1247" s="96">
        <f ca="1">IFERROR(__xludf.DUMMYFUNCTION("""COMPUTED_VALUE"""),44822)</f>
        <v>44822</v>
      </c>
      <c r="N1247" s="6" t="str">
        <f ca="1">IFERROR(__xludf.DUMMYFUNCTION("""COMPUTED_VALUE"""),"S10")</f>
        <v>S10</v>
      </c>
      <c r="O1247" s="97">
        <f ca="1">IFERROR(__xludf.DUMMYFUNCTION("""COMPUTED_VALUE"""),44822)</f>
        <v>44822</v>
      </c>
      <c r="P1247" s="6" t="str">
        <f ca="1">IFERROR(__xludf.DUMMYFUNCTION("""COMPUTED_VALUE"""),"CSTM_7A123T8D5V1")</f>
        <v>CSTM_7A123T8D5V1</v>
      </c>
      <c r="Q1247" s="6" t="str">
        <f ca="1">IFERROR(__xludf.DUMMYFUNCTION("""COMPUTED_VALUE"""),"Ravi Krishnan")</f>
        <v>Ravi Krishnan</v>
      </c>
      <c r="R1247" s="6" t="str">
        <f ca="1">IFERROR(__xludf.DUMMYFUNCTION("""COMPUTED_VALUE"""),"Done. Good feedback.")</f>
        <v>Done. Good feedback.</v>
      </c>
      <c r="S1247" s="6" t="str">
        <f ca="1">IFERROR(__xludf.DUMMYFUNCTION("""COMPUTED_VALUE"""),"Category")</f>
        <v>Category</v>
      </c>
      <c r="T1247" s="6" t="str">
        <f ca="1">IFERROR(__xludf.DUMMYFUNCTION("""COMPUTED_VALUE"""),"Ravi Krishnan - Pending")</f>
        <v>Ravi Krishnan - Pending</v>
      </c>
      <c r="U1247" s="6"/>
      <c r="V1247" s="6"/>
      <c r="W1247" s="6"/>
      <c r="X1247" s="6"/>
      <c r="Y1247" s="6"/>
      <c r="Z1247" s="6"/>
      <c r="AA1247" s="6"/>
      <c r="AB1247" s="6"/>
      <c r="AC1247" s="6"/>
      <c r="AD1247" s="6"/>
      <c r="AE1247" s="6"/>
      <c r="AF1247" s="6"/>
      <c r="AG1247" s="6"/>
      <c r="AH1247" s="6"/>
      <c r="AI1247" s="6"/>
      <c r="AJ1247" s="6"/>
      <c r="AK1247" s="6"/>
      <c r="AL1247" s="6"/>
    </row>
    <row r="1248" spans="1:38">
      <c r="A1248" s="96">
        <f ca="1">IFERROR(__xludf.DUMMYFUNCTION("""COMPUTED_VALUE"""),44824)</f>
        <v>44824</v>
      </c>
      <c r="B1248" s="6" t="str">
        <f ca="1">IFERROR(__xludf.DUMMYFUNCTION("""COMPUTED_VALUE"""),"Richi Sancheti")</f>
        <v>Richi Sancheti</v>
      </c>
      <c r="C1248" s="6" t="str">
        <f ca="1">IFERROR(__xludf.DUMMYFUNCTION("""COMPUTED_VALUE"""),"richi.sancheti242@gmail.com")</f>
        <v>richi.sancheti242@gmail.com</v>
      </c>
      <c r="D1248" s="6">
        <f ca="1">IFERROR(__xludf.DUMMYFUNCTION("""COMPUTED_VALUE"""),7972775165)</f>
        <v>7972775165</v>
      </c>
      <c r="E1248" s="6" t="str">
        <f ca="1">IFERROR(__xludf.DUMMYFUNCTION("""COMPUTED_VALUE"""),"course agenda")</f>
        <v>course agenda</v>
      </c>
      <c r="F1248" s="6" t="str">
        <f ca="1">IFERROR(__xludf.DUMMYFUNCTION("""COMPUTED_VALUE"""),"PSPO")</f>
        <v>PSPO</v>
      </c>
      <c r="G1248" s="80">
        <f ca="1">IFERROR(__xludf.DUMMYFUNCTION("""COMPUTED_VALUE"""),44805)</f>
        <v>44805</v>
      </c>
      <c r="H1248" s="6" t="str">
        <f ca="1">IFERROR(__xludf.DUMMYFUNCTION("""COMPUTED_VALUE"""),"Won")</f>
        <v>Won</v>
      </c>
      <c r="I1248" s="6" t="str">
        <f ca="1">IFERROR(__xludf.DUMMYFUNCTION("""COMPUTED_VALUE"""),"24-25 Sep 2022")</f>
        <v>24-25 Sep 2022</v>
      </c>
      <c r="J1248" s="6">
        <f ca="1">IFERROR(__xludf.DUMMYFUNCTION("""COMPUTED_VALUE"""),1)</f>
        <v>1</v>
      </c>
      <c r="K1248" s="8">
        <f ca="1">IFERROR(__xludf.DUMMYFUNCTION("""COMPUTED_VALUE"""),21000)</f>
        <v>21000</v>
      </c>
      <c r="L1248" s="8">
        <f ca="1">IFERROR(__xludf.DUMMYFUNCTION("""COMPUTED_VALUE"""),240.494732020155)</f>
        <v>240.494732020155</v>
      </c>
      <c r="M1248" s="96">
        <f ca="1">IFERROR(__xludf.DUMMYFUNCTION("""COMPUTED_VALUE"""),44824)</f>
        <v>44824</v>
      </c>
      <c r="N1248" s="6" t="str">
        <f ca="1">IFERROR(__xludf.DUMMYFUNCTION("""COMPUTED_VALUE"""),"S10")</f>
        <v>S10</v>
      </c>
      <c r="O1248" s="97">
        <f ca="1">IFERROR(__xludf.DUMMYFUNCTION("""COMPUTED_VALUE"""),44824)</f>
        <v>44824</v>
      </c>
      <c r="P1248" s="6" t="str">
        <f ca="1">IFERROR(__xludf.DUMMYFUNCTION("""COMPUTED_VALUE"""),"CSTM_CZ89TIPFUC1")</f>
        <v>CSTM_CZ89TIPFUC1</v>
      </c>
      <c r="Q1248" s="6"/>
      <c r="R1248" s="6" t="str">
        <f ca="1">IFERROR(__xludf.DUMMYFUNCTION("""COMPUTED_VALUE"""),"Pending")</f>
        <v>Pending</v>
      </c>
      <c r="S1248" s="6" t="str">
        <f ca="1">IFERROR(__xludf.DUMMYFUNCTION("""COMPUTED_VALUE"""),"Category")</f>
        <v>Category</v>
      </c>
      <c r="T1248" s="6"/>
      <c r="U1248" s="6"/>
      <c r="V1248" s="6"/>
      <c r="W1248" s="6"/>
      <c r="X1248" s="6"/>
      <c r="Y1248" s="6"/>
      <c r="Z1248" s="6"/>
      <c r="AA1248" s="6"/>
      <c r="AB1248" s="6"/>
      <c r="AC1248" s="6"/>
      <c r="AD1248" s="6"/>
      <c r="AE1248" s="6"/>
      <c r="AF1248" s="6"/>
      <c r="AG1248" s="6"/>
      <c r="AH1248" s="6"/>
      <c r="AI1248" s="6"/>
      <c r="AJ1248" s="6"/>
      <c r="AK1248" s="6"/>
      <c r="AL1248" s="6"/>
    </row>
    <row r="1249" spans="1:38">
      <c r="A1249" s="96">
        <f ca="1">IFERROR(__xludf.DUMMYFUNCTION("""COMPUTED_VALUE"""),44824)</f>
        <v>44824</v>
      </c>
      <c r="B1249" s="6" t="str">
        <f ca="1">IFERROR(__xludf.DUMMYFUNCTION("""COMPUTED_VALUE"""),"Sripunya Mishra")</f>
        <v>Sripunya Mishra</v>
      </c>
      <c r="C1249" s="6" t="str">
        <f ca="1">IFERROR(__xludf.DUMMYFUNCTION("""COMPUTED_VALUE"""),"sripunya.mishra@gmail.com")</f>
        <v>sripunya.mishra@gmail.com</v>
      </c>
      <c r="D1249" s="6">
        <f ca="1">IFERROR(__xludf.DUMMYFUNCTION("""COMPUTED_VALUE"""),8886197315)</f>
        <v>8886197315</v>
      </c>
      <c r="E1249" s="6" t="str">
        <f ca="1">IFERROR(__xludf.DUMMYFUNCTION("""COMPUTED_VALUE"""),"Reference")</f>
        <v>Reference</v>
      </c>
      <c r="F1249" s="6" t="str">
        <f ca="1">IFERROR(__xludf.DUMMYFUNCTION("""COMPUTED_VALUE"""),"SAFe SSM")</f>
        <v>SAFe SSM</v>
      </c>
      <c r="G1249" s="80">
        <f ca="1">IFERROR(__xludf.DUMMYFUNCTION("""COMPUTED_VALUE"""),44805)</f>
        <v>44805</v>
      </c>
      <c r="H1249" s="6" t="str">
        <f ca="1">IFERROR(__xludf.DUMMYFUNCTION("""COMPUTED_VALUE"""),"Opportunity")</f>
        <v>Opportunity</v>
      </c>
      <c r="I1249" s="6" t="str">
        <f ca="1">IFERROR(__xludf.DUMMYFUNCTION("""COMPUTED_VALUE"""),"24-25 Sep 2022")</f>
        <v>24-25 Sep 2022</v>
      </c>
      <c r="J1249" s="6">
        <f ca="1">IFERROR(__xludf.DUMMYFUNCTION("""COMPUTED_VALUE"""),1)</f>
        <v>1</v>
      </c>
      <c r="K1249" s="8">
        <f ca="1">IFERROR(__xludf.DUMMYFUNCTION("""COMPUTED_VALUE"""),40061)</f>
        <v>40061</v>
      </c>
      <c r="L1249" s="8">
        <f ca="1">IFERROR(__xludf.DUMMYFUNCTION("""COMPUTED_VALUE"""),458.783783783783)</f>
        <v>458.78378378378301</v>
      </c>
      <c r="M1249" s="96">
        <f ca="1">IFERROR(__xludf.DUMMYFUNCTION("""COMPUTED_VALUE"""),44824)</f>
        <v>44824</v>
      </c>
      <c r="N1249" s="6"/>
      <c r="O1249" s="97"/>
      <c r="P1249" s="6"/>
      <c r="Q1249" s="6"/>
      <c r="R1249" s="6"/>
      <c r="S1249" s="6" t="str">
        <f ca="1">IFERROR(__xludf.DUMMYFUNCTION("""COMPUTED_VALUE"""),"SAFe")</f>
        <v>SAFe</v>
      </c>
      <c r="T1249" s="6"/>
      <c r="U1249" s="6"/>
      <c r="V1249" s="6"/>
      <c r="W1249" s="6"/>
      <c r="X1249" s="6"/>
      <c r="Y1249" s="6"/>
      <c r="Z1249" s="6"/>
      <c r="AA1249" s="6"/>
      <c r="AB1249" s="6"/>
      <c r="AC1249" s="6"/>
      <c r="AD1249" s="6"/>
      <c r="AE1249" s="6"/>
      <c r="AF1249" s="6"/>
      <c r="AG1249" s="6"/>
      <c r="AH1249" s="6"/>
      <c r="AI1249" s="6"/>
      <c r="AJ1249" s="6"/>
      <c r="AK1249" s="6"/>
      <c r="AL1249" s="6"/>
    </row>
    <row r="1250" spans="1:38">
      <c r="A1250" s="96">
        <f ca="1">IFERROR(__xludf.DUMMYFUNCTION("""COMPUTED_VALUE"""),44824)</f>
        <v>44824</v>
      </c>
      <c r="B1250" s="6" t="str">
        <f ca="1">IFERROR(__xludf.DUMMYFUNCTION("""COMPUTED_VALUE"""),"Aditi Bistwork")</f>
        <v>Aditi Bistwork</v>
      </c>
      <c r="C1250" s="6" t="str">
        <f ca="1">IFERROR(__xludf.DUMMYFUNCTION("""COMPUTED_VALUE"""),"aditibistwork@gmail.com")</f>
        <v>aditibistwork@gmail.com</v>
      </c>
      <c r="D1250" s="6">
        <f ca="1">IFERROR(__xludf.DUMMYFUNCTION("""COMPUTED_VALUE"""),9953762721)</f>
        <v>9953762721</v>
      </c>
      <c r="E1250" s="6" t="str">
        <f ca="1">IFERROR(__xludf.DUMMYFUNCTION("""COMPUTED_VALUE"""),"Reference")</f>
        <v>Reference</v>
      </c>
      <c r="F1250" s="6" t="str">
        <f ca="1">IFERROR(__xludf.DUMMYFUNCTION("""COMPUTED_VALUE"""),"CSPO")</f>
        <v>CSPO</v>
      </c>
      <c r="G1250" s="80">
        <f ca="1">IFERROR(__xludf.DUMMYFUNCTION("""COMPUTED_VALUE"""),44805)</f>
        <v>44805</v>
      </c>
      <c r="H1250" s="6" t="str">
        <f ca="1">IFERROR(__xludf.DUMMYFUNCTION("""COMPUTED_VALUE"""),"Won")</f>
        <v>Won</v>
      </c>
      <c r="I1250" s="6" t="str">
        <f ca="1">IFERROR(__xludf.DUMMYFUNCTION("""COMPUTED_VALUE"""),"24-25 Sep 2022")</f>
        <v>24-25 Sep 2022</v>
      </c>
      <c r="J1250" s="6">
        <f ca="1">IFERROR(__xludf.DUMMYFUNCTION("""COMPUTED_VALUE"""),1)</f>
        <v>1</v>
      </c>
      <c r="K1250" s="8">
        <f ca="1">IFERROR(__xludf.DUMMYFUNCTION("""COMPUTED_VALUE"""),20000)</f>
        <v>20000</v>
      </c>
      <c r="L1250" s="8">
        <f ca="1">IFERROR(__xludf.DUMMYFUNCTION("""COMPUTED_VALUE"""),229.042601923957)</f>
        <v>229.04260192395699</v>
      </c>
      <c r="M1250" s="96">
        <f ca="1">IFERROR(__xludf.DUMMYFUNCTION("""COMPUTED_VALUE"""),44824)</f>
        <v>44824</v>
      </c>
      <c r="N1250" s="6" t="str">
        <f ca="1">IFERROR(__xludf.DUMMYFUNCTION("""COMPUTED_VALUE"""),"S10")</f>
        <v>S10</v>
      </c>
      <c r="O1250" s="97">
        <f ca="1">IFERROR(__xludf.DUMMYFUNCTION("""COMPUTED_VALUE"""),44824)</f>
        <v>44824</v>
      </c>
      <c r="P1250" s="6" t="str">
        <f ca="1">IFERROR(__xludf.DUMMYFUNCTION("""COMPUTED_VALUE"""),"CSTM_9WWDZ2RTVUO")</f>
        <v>CSTM_9WWDZ2RTVUO</v>
      </c>
      <c r="Q1250" s="6" t="str">
        <f ca="1">IFERROR(__xludf.DUMMYFUNCTION("""COMPUTED_VALUE"""),"Keerti")</f>
        <v>Keerti</v>
      </c>
      <c r="R1250" s="6" t="str">
        <f ca="1">IFERROR(__xludf.DUMMYFUNCTION("""COMPUTED_VALUE"""),"Done. Good feedback.")</f>
        <v>Done. Good feedback.</v>
      </c>
      <c r="S1250" s="6" t="str">
        <f ca="1">IFERROR(__xludf.DUMMYFUNCTION("""COMPUTED_VALUE"""),"Category")</f>
        <v>Category</v>
      </c>
      <c r="T1250" s="6" t="str">
        <f ca="1">IFERROR(__xludf.DUMMYFUNCTION("""COMPUTED_VALUE"""),"Keerti - Pending")</f>
        <v>Keerti - Pending</v>
      </c>
      <c r="U1250" s="6"/>
      <c r="V1250" s="6"/>
      <c r="W1250" s="6"/>
      <c r="X1250" s="6"/>
      <c r="Y1250" s="6"/>
      <c r="Z1250" s="6"/>
      <c r="AA1250" s="6"/>
      <c r="AB1250" s="6"/>
      <c r="AC1250" s="6"/>
      <c r="AD1250" s="6"/>
      <c r="AE1250" s="6"/>
      <c r="AF1250" s="6"/>
      <c r="AG1250" s="6"/>
      <c r="AH1250" s="6"/>
      <c r="AI1250" s="6"/>
      <c r="AJ1250" s="6"/>
      <c r="AK1250" s="6"/>
      <c r="AL1250" s="6"/>
    </row>
    <row r="1251" spans="1:38">
      <c r="A1251" s="96">
        <f ca="1">IFERROR(__xludf.DUMMYFUNCTION("""COMPUTED_VALUE"""),44824)</f>
        <v>44824</v>
      </c>
      <c r="B1251" s="6" t="str">
        <f ca="1">IFERROR(__xludf.DUMMYFUNCTION("""COMPUTED_VALUE"""),"Asra Khan")</f>
        <v>Asra Khan</v>
      </c>
      <c r="C1251" s="6" t="str">
        <f ca="1">IFERROR(__xludf.DUMMYFUNCTION("""COMPUTED_VALUE"""),"asranwarkhan@gmail.com")</f>
        <v>asranwarkhan@gmail.com</v>
      </c>
      <c r="D1251" s="6">
        <f ca="1">IFERROR(__xludf.DUMMYFUNCTION("""COMPUTED_VALUE"""),9566131344)</f>
        <v>9566131344</v>
      </c>
      <c r="E1251" s="6" t="str">
        <f ca="1">IFERROR(__xludf.DUMMYFUNCTION("""COMPUTED_VALUE"""),"Tollfree")</f>
        <v>Tollfree</v>
      </c>
      <c r="F1251" s="6" t="str">
        <f ca="1">IFERROR(__xludf.DUMMYFUNCTION("""COMPUTED_VALUE"""),"PSM")</f>
        <v>PSM</v>
      </c>
      <c r="G1251" s="80">
        <f ca="1">IFERROR(__xludf.DUMMYFUNCTION("""COMPUTED_VALUE"""),44805)</f>
        <v>44805</v>
      </c>
      <c r="H1251" s="6" t="str">
        <f ca="1">IFERROR(__xludf.DUMMYFUNCTION("""COMPUTED_VALUE"""),"Won")</f>
        <v>Won</v>
      </c>
      <c r="I1251" s="6" t="str">
        <f ca="1">IFERROR(__xludf.DUMMYFUNCTION("""COMPUTED_VALUE"""),"24-25 Sep 2022")</f>
        <v>24-25 Sep 2022</v>
      </c>
      <c r="J1251" s="6">
        <f ca="1">IFERROR(__xludf.DUMMYFUNCTION("""COMPUTED_VALUE"""),1)</f>
        <v>1</v>
      </c>
      <c r="K1251" s="8">
        <f ca="1">IFERROR(__xludf.DUMMYFUNCTION("""COMPUTED_VALUE"""),20500)</f>
        <v>20500</v>
      </c>
      <c r="L1251" s="8">
        <f ca="1">IFERROR(__xludf.DUMMYFUNCTION("""COMPUTED_VALUE"""),234.768666972056)</f>
        <v>234.768666972056</v>
      </c>
      <c r="M1251" s="96">
        <f ca="1">IFERROR(__xludf.DUMMYFUNCTION("""COMPUTED_VALUE"""),44824)</f>
        <v>44824</v>
      </c>
      <c r="N1251" s="6" t="str">
        <f ca="1">IFERROR(__xludf.DUMMYFUNCTION("""COMPUTED_VALUE"""),"S10")</f>
        <v>S10</v>
      </c>
      <c r="O1251" s="97">
        <f ca="1">IFERROR(__xludf.DUMMYFUNCTION("""COMPUTED_VALUE"""),44824)</f>
        <v>44824</v>
      </c>
      <c r="P1251" s="6" t="str">
        <f ca="1">IFERROR(__xludf.DUMMYFUNCTION("""COMPUTED_VALUE"""),"CSTM_BONZD4VVY9M")</f>
        <v>CSTM_BONZD4VVY9M</v>
      </c>
      <c r="Q1251" s="6"/>
      <c r="R1251" s="6" t="str">
        <f ca="1">IFERROR(__xludf.DUMMYFUNCTION("""COMPUTED_VALUE"""),"Done. Good feedback.")</f>
        <v>Done. Good feedback.</v>
      </c>
      <c r="S1251" s="6" t="str">
        <f ca="1">IFERROR(__xludf.DUMMYFUNCTION("""COMPUTED_VALUE"""),"Category")</f>
        <v>Category</v>
      </c>
      <c r="T1251" s="6"/>
      <c r="U1251" s="6"/>
      <c r="V1251" s="6"/>
      <c r="W1251" s="6"/>
      <c r="X1251" s="6"/>
      <c r="Y1251" s="6"/>
      <c r="Z1251" s="6"/>
      <c r="AA1251" s="6"/>
      <c r="AB1251" s="6"/>
      <c r="AC1251" s="6"/>
      <c r="AD1251" s="6"/>
      <c r="AE1251" s="6"/>
      <c r="AF1251" s="6"/>
      <c r="AG1251" s="6"/>
      <c r="AH1251" s="6"/>
      <c r="AI1251" s="6"/>
      <c r="AJ1251" s="6"/>
      <c r="AK1251" s="6"/>
      <c r="AL1251" s="6"/>
    </row>
    <row r="1252" spans="1:38">
      <c r="A1252" s="96">
        <f ca="1">IFERROR(__xludf.DUMMYFUNCTION("""COMPUTED_VALUE"""),44824)</f>
        <v>44824</v>
      </c>
      <c r="B1252" s="6" t="str">
        <f ca="1">IFERROR(__xludf.DUMMYFUNCTION("""COMPUTED_VALUE"""),"Kaushal Kishor")</f>
        <v>Kaushal Kishor</v>
      </c>
      <c r="C1252" s="6" t="str">
        <f ca="1">IFERROR(__xludf.DUMMYFUNCTION("""COMPUTED_VALUE"""),"kaushal.kishor@gmail.com")</f>
        <v>kaushal.kishor@gmail.com</v>
      </c>
      <c r="D1252" s="6">
        <f ca="1">IFERROR(__xludf.DUMMYFUNCTION("""COMPUTED_VALUE"""),9654377745)</f>
        <v>9654377745</v>
      </c>
      <c r="E1252" s="6" t="str">
        <f ca="1">IFERROR(__xludf.DUMMYFUNCTION("""COMPUTED_VALUE"""),"Reference")</f>
        <v>Reference</v>
      </c>
      <c r="F1252" s="6" t="str">
        <f ca="1">IFERROR(__xludf.DUMMYFUNCTION("""COMPUTED_VALUE"""),"PSM")</f>
        <v>PSM</v>
      </c>
      <c r="G1252" s="80">
        <f ca="1">IFERROR(__xludf.DUMMYFUNCTION("""COMPUTED_VALUE"""),44805)</f>
        <v>44805</v>
      </c>
      <c r="H1252" s="6" t="str">
        <f ca="1">IFERROR(__xludf.DUMMYFUNCTION("""COMPUTED_VALUE"""),"Won")</f>
        <v>Won</v>
      </c>
      <c r="I1252" s="6" t="str">
        <f ca="1">IFERROR(__xludf.DUMMYFUNCTION("""COMPUTED_VALUE"""),"24-25 Sep 2022")</f>
        <v>24-25 Sep 2022</v>
      </c>
      <c r="J1252" s="6">
        <f ca="1">IFERROR(__xludf.DUMMYFUNCTION("""COMPUTED_VALUE"""),1)</f>
        <v>1</v>
      </c>
      <c r="K1252" s="8">
        <f ca="1">IFERROR(__xludf.DUMMYFUNCTION("""COMPUTED_VALUE"""),21000)</f>
        <v>21000</v>
      </c>
      <c r="L1252" s="8">
        <f ca="1">IFERROR(__xludf.DUMMYFUNCTION("""COMPUTED_VALUE"""),240.494732020155)</f>
        <v>240.494732020155</v>
      </c>
      <c r="M1252" s="96">
        <f ca="1">IFERROR(__xludf.DUMMYFUNCTION("""COMPUTED_VALUE"""),44824)</f>
        <v>44824</v>
      </c>
      <c r="N1252" s="6" t="str">
        <f ca="1">IFERROR(__xludf.DUMMYFUNCTION("""COMPUTED_VALUE"""),"S10")</f>
        <v>S10</v>
      </c>
      <c r="O1252" s="97">
        <f ca="1">IFERROR(__xludf.DUMMYFUNCTION("""COMPUTED_VALUE"""),44824)</f>
        <v>44824</v>
      </c>
      <c r="P1252" s="6" t="str">
        <f ca="1">IFERROR(__xludf.DUMMYFUNCTION("""COMPUTED_VALUE"""),"CSTM_6ZHU52TYTVG")</f>
        <v>CSTM_6ZHU52TYTVG</v>
      </c>
      <c r="Q1252" s="6" t="str">
        <f ca="1">IFERROR(__xludf.DUMMYFUNCTION("""COMPUTED_VALUE"""),"Reference by arpit.b.agarwal@gmail.com")</f>
        <v>Reference by arpit.b.agarwal@gmail.com</v>
      </c>
      <c r="R1252" s="6" t="str">
        <f ca="1">IFERROR(__xludf.DUMMYFUNCTION("""COMPUTED_VALUE"""),"Done. Good feedback.")</f>
        <v>Done. Good feedback.</v>
      </c>
      <c r="S1252" s="6" t="str">
        <f ca="1">IFERROR(__xludf.DUMMYFUNCTION("""COMPUTED_VALUE"""),"Category")</f>
        <v>Category</v>
      </c>
      <c r="T1252" s="6"/>
      <c r="U1252" s="6"/>
      <c r="V1252" s="6"/>
      <c r="W1252" s="6"/>
      <c r="X1252" s="6"/>
      <c r="Y1252" s="6"/>
      <c r="Z1252" s="6"/>
      <c r="AA1252" s="6"/>
      <c r="AB1252" s="6"/>
      <c r="AC1252" s="6"/>
      <c r="AD1252" s="6"/>
      <c r="AE1252" s="6"/>
      <c r="AF1252" s="6"/>
      <c r="AG1252" s="6"/>
      <c r="AH1252" s="6"/>
      <c r="AI1252" s="6"/>
      <c r="AJ1252" s="6"/>
      <c r="AK1252" s="6"/>
      <c r="AL1252" s="6"/>
    </row>
    <row r="1253" spans="1:38">
      <c r="A1253" s="96">
        <f ca="1">IFERROR(__xludf.DUMMYFUNCTION("""COMPUTED_VALUE"""),44824)</f>
        <v>44824</v>
      </c>
      <c r="B1253" s="6" t="str">
        <f ca="1">IFERROR(__xludf.DUMMYFUNCTION("""COMPUTED_VALUE"""),"Pratibha Ruth Berister")</f>
        <v>Pratibha Ruth Berister</v>
      </c>
      <c r="C1253" s="6" t="str">
        <f ca="1">IFERROR(__xludf.DUMMYFUNCTION("""COMPUTED_VALUE"""),"pratibharuthberister@gmail.com")</f>
        <v>pratibharuthberister@gmail.com</v>
      </c>
      <c r="D1253" s="6">
        <f ca="1">IFERROR(__xludf.DUMMYFUNCTION("""COMPUTED_VALUE"""),7428705507)</f>
        <v>7428705507</v>
      </c>
      <c r="E1253" s="6" t="str">
        <f ca="1">IFERROR(__xludf.DUMMYFUNCTION("""COMPUTED_VALUE"""),"course agenda")</f>
        <v>course agenda</v>
      </c>
      <c r="F1253" s="6" t="str">
        <f ca="1">IFERROR(__xludf.DUMMYFUNCTION("""COMPUTED_VALUE"""),"CSM")</f>
        <v>CSM</v>
      </c>
      <c r="G1253" s="80">
        <f ca="1">IFERROR(__xludf.DUMMYFUNCTION("""COMPUTED_VALUE"""),44805)</f>
        <v>44805</v>
      </c>
      <c r="H1253" s="6" t="str">
        <f ca="1">IFERROR(__xludf.DUMMYFUNCTION("""COMPUTED_VALUE"""),"Won")</f>
        <v>Won</v>
      </c>
      <c r="I1253" s="6" t="str">
        <f ca="1">IFERROR(__xludf.DUMMYFUNCTION("""COMPUTED_VALUE"""),"24-25 Sep 2022")</f>
        <v>24-25 Sep 2022</v>
      </c>
      <c r="J1253" s="6">
        <f ca="1">IFERROR(__xludf.DUMMYFUNCTION("""COMPUTED_VALUE"""),1)</f>
        <v>1</v>
      </c>
      <c r="K1253" s="8">
        <f ca="1">IFERROR(__xludf.DUMMYFUNCTION("""COMPUTED_VALUE"""),20000)</f>
        <v>20000</v>
      </c>
      <c r="L1253" s="8">
        <f ca="1">IFERROR(__xludf.DUMMYFUNCTION("""COMPUTED_VALUE"""),229.042601923957)</f>
        <v>229.04260192395699</v>
      </c>
      <c r="M1253" s="96">
        <f ca="1">IFERROR(__xludf.DUMMYFUNCTION("""COMPUTED_VALUE"""),44824)</f>
        <v>44824</v>
      </c>
      <c r="N1253" s="6" t="str">
        <f ca="1">IFERROR(__xludf.DUMMYFUNCTION("""COMPUTED_VALUE"""),"S10")</f>
        <v>S10</v>
      </c>
      <c r="O1253" s="97">
        <f ca="1">IFERROR(__xludf.DUMMYFUNCTION("""COMPUTED_VALUE"""),44824)</f>
        <v>44824</v>
      </c>
      <c r="P1253" s="6" t="str">
        <f ca="1">IFERROR(__xludf.DUMMYFUNCTION("""COMPUTED_VALUE"""),"CSTM_2Q885NMBRDL")</f>
        <v>CSTM_2Q885NMBRDL</v>
      </c>
      <c r="Q1253" s="6"/>
      <c r="R1253" s="6" t="str">
        <f ca="1">IFERROR(__xludf.DUMMYFUNCTION("""COMPUTED_VALUE"""),"Pending")</f>
        <v>Pending</v>
      </c>
      <c r="S1253" s="6" t="str">
        <f ca="1">IFERROR(__xludf.DUMMYFUNCTION("""COMPUTED_VALUE"""),"Category")</f>
        <v>Category</v>
      </c>
      <c r="T1253" s="6"/>
      <c r="U1253" s="6"/>
      <c r="V1253" s="6"/>
      <c r="W1253" s="6"/>
      <c r="X1253" s="6"/>
      <c r="Y1253" s="6"/>
      <c r="Z1253" s="6"/>
      <c r="AA1253" s="6"/>
      <c r="AB1253" s="6"/>
      <c r="AC1253" s="6"/>
      <c r="AD1253" s="6"/>
      <c r="AE1253" s="6"/>
      <c r="AF1253" s="6"/>
      <c r="AG1253" s="6"/>
      <c r="AH1253" s="6"/>
      <c r="AI1253" s="6"/>
      <c r="AJ1253" s="6"/>
      <c r="AK1253" s="6"/>
      <c r="AL1253" s="6"/>
    </row>
    <row r="1254" spans="1:38">
      <c r="A1254" s="96">
        <f ca="1">IFERROR(__xludf.DUMMYFUNCTION("""COMPUTED_VALUE"""),44825)</f>
        <v>44825</v>
      </c>
      <c r="B1254" s="6" t="str">
        <f ca="1">IFERROR(__xludf.DUMMYFUNCTION("""COMPUTED_VALUE"""),"Pragya Shri")</f>
        <v>Pragya Shri</v>
      </c>
      <c r="C1254" s="6" t="str">
        <f ca="1">IFERROR(__xludf.DUMMYFUNCTION("""COMPUTED_VALUE"""),"pragyashri94@gmail.com")</f>
        <v>pragyashri94@gmail.com</v>
      </c>
      <c r="D1254" s="6">
        <f ca="1">IFERROR(__xludf.DUMMYFUNCTION("""COMPUTED_VALUE"""),9977662486)</f>
        <v>9977662486</v>
      </c>
      <c r="E1254" s="6" t="str">
        <f ca="1">IFERROR(__xludf.DUMMYFUNCTION("""COMPUTED_VALUE"""),"Reference")</f>
        <v>Reference</v>
      </c>
      <c r="F1254" s="6" t="str">
        <f ca="1">IFERROR(__xludf.DUMMYFUNCTION("""COMPUTED_VALUE"""),"CSPO")</f>
        <v>CSPO</v>
      </c>
      <c r="G1254" s="80">
        <f ca="1">IFERROR(__xludf.DUMMYFUNCTION("""COMPUTED_VALUE"""),44805)</f>
        <v>44805</v>
      </c>
      <c r="H1254" s="6" t="str">
        <f ca="1">IFERROR(__xludf.DUMMYFUNCTION("""COMPUTED_VALUE"""),"Won")</f>
        <v>Won</v>
      </c>
      <c r="I1254" s="6" t="str">
        <f ca="1">IFERROR(__xludf.DUMMYFUNCTION("""COMPUTED_VALUE"""),"1-2 Oct 2022")</f>
        <v>1-2 Oct 2022</v>
      </c>
      <c r="J1254" s="6">
        <f ca="1">IFERROR(__xludf.DUMMYFUNCTION("""COMPUTED_VALUE"""),1)</f>
        <v>1</v>
      </c>
      <c r="K1254" s="8">
        <f ca="1">IFERROR(__xludf.DUMMYFUNCTION("""COMPUTED_VALUE"""),20000)</f>
        <v>20000</v>
      </c>
      <c r="L1254" s="8">
        <f ca="1">IFERROR(__xludf.DUMMYFUNCTION("""COMPUTED_VALUE"""),229.042601923957)</f>
        <v>229.04260192395699</v>
      </c>
      <c r="M1254" s="96">
        <f ca="1">IFERROR(__xludf.DUMMYFUNCTION("""COMPUTED_VALUE"""),44825)</f>
        <v>44825</v>
      </c>
      <c r="N1254" s="6" t="str">
        <f ca="1">IFERROR(__xludf.DUMMYFUNCTION("""COMPUTED_VALUE"""),"T10")</f>
        <v>T10</v>
      </c>
      <c r="O1254" s="97">
        <f ca="1">IFERROR(__xludf.DUMMYFUNCTION("""COMPUTED_VALUE"""),44825)</f>
        <v>44825</v>
      </c>
      <c r="P1254" s="6" t="str">
        <f ca="1">IFERROR(__xludf.DUMMYFUNCTION("""COMPUTED_VALUE"""),"CSTM_H7DQMR07TQE")</f>
        <v>CSTM_H7DQMR07TQE</v>
      </c>
      <c r="Q1254" s="6" t="str">
        <f ca="1">IFERROR(__xludf.DUMMYFUNCTION("""COMPUTED_VALUE"""),"Aurko")</f>
        <v>Aurko</v>
      </c>
      <c r="R1254" s="6" t="str">
        <f ca="1">IFERROR(__xludf.DUMMYFUNCTION("""COMPUTED_VALUE"""),"Pending")</f>
        <v>Pending</v>
      </c>
      <c r="S1254" s="6" t="str">
        <f ca="1">IFERROR(__xludf.DUMMYFUNCTION("""COMPUTED_VALUE"""),"Category")</f>
        <v>Category</v>
      </c>
      <c r="T1254" s="6" t="str">
        <f ca="1">IFERROR(__xludf.DUMMYFUNCTION("""COMPUTED_VALUE"""),"Aurko - Pending")</f>
        <v>Aurko - Pending</v>
      </c>
      <c r="U1254" s="6"/>
      <c r="V1254" s="6"/>
      <c r="W1254" s="6"/>
      <c r="X1254" s="6"/>
      <c r="Y1254" s="6"/>
      <c r="Z1254" s="6"/>
      <c r="AA1254" s="6"/>
      <c r="AB1254" s="6"/>
      <c r="AC1254" s="6"/>
      <c r="AD1254" s="6"/>
      <c r="AE1254" s="6"/>
      <c r="AF1254" s="6"/>
      <c r="AG1254" s="6"/>
      <c r="AH1254" s="6"/>
      <c r="AI1254" s="6"/>
      <c r="AJ1254" s="6"/>
      <c r="AK1254" s="6"/>
      <c r="AL1254" s="6"/>
    </row>
    <row r="1255" spans="1:38">
      <c r="A1255" s="96">
        <f ca="1">IFERROR(__xludf.DUMMYFUNCTION("""COMPUTED_VALUE"""),44825)</f>
        <v>44825</v>
      </c>
      <c r="B1255" s="6" t="str">
        <f ca="1">IFERROR(__xludf.DUMMYFUNCTION("""COMPUTED_VALUE"""),"Shashi Purohit")</f>
        <v>Shashi Purohit</v>
      </c>
      <c r="C1255" s="6" t="str">
        <f ca="1">IFERROR(__xludf.DUMMYFUNCTION("""COMPUTED_VALUE"""),"shashipurohit9@gmail.com")</f>
        <v>shashipurohit9@gmail.com</v>
      </c>
      <c r="D1255" s="6">
        <f ca="1">IFERROR(__xludf.DUMMYFUNCTION("""COMPUTED_VALUE"""),7799265576)</f>
        <v>7799265576</v>
      </c>
      <c r="E1255" s="6" t="str">
        <f ca="1">IFERROR(__xludf.DUMMYFUNCTION("""COMPUTED_VALUE"""),"Query box_LP")</f>
        <v>Query box_LP</v>
      </c>
      <c r="F1255" s="6" t="str">
        <f ca="1">IFERROR(__xludf.DUMMYFUNCTION("""COMPUTED_VALUE"""),"PSM")</f>
        <v>PSM</v>
      </c>
      <c r="G1255" s="80">
        <f ca="1">IFERROR(__xludf.DUMMYFUNCTION("""COMPUTED_VALUE"""),44805)</f>
        <v>44805</v>
      </c>
      <c r="H1255" s="6" t="str">
        <f ca="1">IFERROR(__xludf.DUMMYFUNCTION("""COMPUTED_VALUE"""),"Won")</f>
        <v>Won</v>
      </c>
      <c r="I1255" s="6" t="str">
        <f ca="1">IFERROR(__xludf.DUMMYFUNCTION("""COMPUTED_VALUE"""),"24-25 Sep 2022")</f>
        <v>24-25 Sep 2022</v>
      </c>
      <c r="J1255" s="6">
        <f ca="1">IFERROR(__xludf.DUMMYFUNCTION("""COMPUTED_VALUE"""),1)</f>
        <v>1</v>
      </c>
      <c r="K1255" s="8">
        <f ca="1">IFERROR(__xludf.DUMMYFUNCTION("""COMPUTED_VALUE"""),21000)</f>
        <v>21000</v>
      </c>
      <c r="L1255" s="8">
        <f ca="1">IFERROR(__xludf.DUMMYFUNCTION("""COMPUTED_VALUE"""),240.494732020155)</f>
        <v>240.494732020155</v>
      </c>
      <c r="M1255" s="96">
        <f ca="1">IFERROR(__xludf.DUMMYFUNCTION("""COMPUTED_VALUE"""),44825)</f>
        <v>44825</v>
      </c>
      <c r="N1255" s="6" t="str">
        <f ca="1">IFERROR(__xludf.DUMMYFUNCTION("""COMPUTED_VALUE"""),"T10")</f>
        <v>T10</v>
      </c>
      <c r="O1255" s="97">
        <f ca="1">IFERROR(__xludf.DUMMYFUNCTION("""COMPUTED_VALUE"""),44825)</f>
        <v>44825</v>
      </c>
      <c r="P1255" s="6" t="str">
        <f ca="1">IFERROR(__xludf.DUMMYFUNCTION("""COMPUTED_VALUE"""),"CSTM_GWREF59OHXD")</f>
        <v>CSTM_GWREF59OHXD</v>
      </c>
      <c r="Q1255" s="6"/>
      <c r="R1255" s="6" t="str">
        <f ca="1">IFERROR(__xludf.DUMMYFUNCTION("""COMPUTED_VALUE"""),"Done. Good feedback.")</f>
        <v>Done. Good feedback.</v>
      </c>
      <c r="S1255" s="6" t="str">
        <f ca="1">IFERROR(__xludf.DUMMYFUNCTION("""COMPUTED_VALUE"""),"Category")</f>
        <v>Category</v>
      </c>
      <c r="T1255" s="6"/>
      <c r="U1255" s="6"/>
      <c r="V1255" s="6"/>
      <c r="W1255" s="6"/>
      <c r="X1255" s="6"/>
      <c r="Y1255" s="6"/>
      <c r="Z1255" s="6"/>
      <c r="AA1255" s="6"/>
      <c r="AB1255" s="6"/>
      <c r="AC1255" s="6"/>
      <c r="AD1255" s="6"/>
      <c r="AE1255" s="6"/>
      <c r="AF1255" s="6"/>
      <c r="AG1255" s="6"/>
      <c r="AH1255" s="6"/>
      <c r="AI1255" s="6"/>
      <c r="AJ1255" s="6"/>
      <c r="AK1255" s="6"/>
      <c r="AL1255" s="6"/>
    </row>
    <row r="1256" spans="1:38">
      <c r="A1256" s="96">
        <f ca="1">IFERROR(__xludf.DUMMYFUNCTION("""COMPUTED_VALUE"""),44826)</f>
        <v>44826</v>
      </c>
      <c r="B1256" s="6" t="str">
        <f ca="1">IFERROR(__xludf.DUMMYFUNCTION("""COMPUTED_VALUE"""),"Veerasingam")</f>
        <v>Veerasingam</v>
      </c>
      <c r="C1256" s="6" t="str">
        <f ca="1">IFERROR(__xludf.DUMMYFUNCTION("""COMPUTED_VALUE"""),"veeraav0502@gmail.com")</f>
        <v>veeraav0502@gmail.com</v>
      </c>
      <c r="D1256" s="6">
        <f ca="1">IFERROR(__xludf.DUMMYFUNCTION("""COMPUTED_VALUE"""),9841918918)</f>
        <v>9841918918</v>
      </c>
      <c r="E1256" s="6" t="str">
        <f ca="1">IFERROR(__xludf.DUMMYFUNCTION("""COMPUTED_VALUE"""),"Existing Account")</f>
        <v>Existing Account</v>
      </c>
      <c r="F1256" s="6" t="str">
        <f ca="1">IFERROR(__xludf.DUMMYFUNCTION("""COMPUTED_VALUE"""),"PSM")</f>
        <v>PSM</v>
      </c>
      <c r="G1256" s="80">
        <f ca="1">IFERROR(__xludf.DUMMYFUNCTION("""COMPUTED_VALUE"""),44805)</f>
        <v>44805</v>
      </c>
      <c r="H1256" s="6" t="str">
        <f ca="1">IFERROR(__xludf.DUMMYFUNCTION("""COMPUTED_VALUE"""),"Won")</f>
        <v>Won</v>
      </c>
      <c r="I1256" s="6" t="str">
        <f ca="1">IFERROR(__xludf.DUMMYFUNCTION("""COMPUTED_VALUE"""),"1-2 Oct 2022")</f>
        <v>1-2 Oct 2022</v>
      </c>
      <c r="J1256" s="6">
        <f ca="1">IFERROR(__xludf.DUMMYFUNCTION("""COMPUTED_VALUE"""),1)</f>
        <v>1</v>
      </c>
      <c r="K1256" s="8">
        <f ca="1">IFERROR(__xludf.DUMMYFUNCTION("""COMPUTED_VALUE"""),20500)</f>
        <v>20500</v>
      </c>
      <c r="L1256" s="8">
        <f ca="1">IFERROR(__xludf.DUMMYFUNCTION("""COMPUTED_VALUE"""),234.768666972056)</f>
        <v>234.768666972056</v>
      </c>
      <c r="M1256" s="96">
        <f ca="1">IFERROR(__xludf.DUMMYFUNCTION("""COMPUTED_VALUE"""),44826)</f>
        <v>44826</v>
      </c>
      <c r="N1256" s="6" t="str">
        <f ca="1">IFERROR(__xludf.DUMMYFUNCTION("""COMPUTED_VALUE"""),"T10")</f>
        <v>T10</v>
      </c>
      <c r="O1256" s="97">
        <f ca="1">IFERROR(__xludf.DUMMYFUNCTION("""COMPUTED_VALUE"""),44826)</f>
        <v>44826</v>
      </c>
      <c r="P1256" s="6" t="str">
        <f ca="1">IFERROR(__xludf.DUMMYFUNCTION("""COMPUTED_VALUE"""),"CSTM_9CKU63UUN0U")</f>
        <v>CSTM_9CKU63UUN0U</v>
      </c>
      <c r="Q1256" s="6"/>
      <c r="R1256" s="6" t="str">
        <f ca="1">IFERROR(__xludf.DUMMYFUNCTION("""COMPUTED_VALUE"""),"Pending")</f>
        <v>Pending</v>
      </c>
      <c r="S1256" s="6" t="str">
        <f ca="1">IFERROR(__xludf.DUMMYFUNCTION("""COMPUTED_VALUE"""),"Category")</f>
        <v>Category</v>
      </c>
      <c r="T1256" s="6"/>
      <c r="U1256" s="6"/>
      <c r="V1256" s="6"/>
      <c r="W1256" s="6"/>
      <c r="X1256" s="6"/>
      <c r="Y1256" s="6"/>
      <c r="Z1256" s="6"/>
      <c r="AA1256" s="6"/>
      <c r="AB1256" s="6"/>
      <c r="AC1256" s="6"/>
      <c r="AD1256" s="6"/>
      <c r="AE1256" s="6"/>
      <c r="AF1256" s="6"/>
      <c r="AG1256" s="6"/>
      <c r="AH1256" s="6"/>
      <c r="AI1256" s="6"/>
      <c r="AJ1256" s="6"/>
      <c r="AK1256" s="6"/>
      <c r="AL1256" s="6"/>
    </row>
    <row r="1257" spans="1:38">
      <c r="A1257" s="96">
        <f ca="1">IFERROR(__xludf.DUMMYFUNCTION("""COMPUTED_VALUE"""),44826)</f>
        <v>44826</v>
      </c>
      <c r="B1257" s="6" t="str">
        <f ca="1">IFERROR(__xludf.DUMMYFUNCTION("""COMPUTED_VALUE"""),"Srikanth")</f>
        <v>Srikanth</v>
      </c>
      <c r="C1257" s="6" t="str">
        <f ca="1">IFERROR(__xludf.DUMMYFUNCTION("""COMPUTED_VALUE"""),"sribala_deva@yahoo.co.in")</f>
        <v>sribala_deva@yahoo.co.in</v>
      </c>
      <c r="D1257" s="6">
        <f ca="1">IFERROR(__xludf.DUMMYFUNCTION("""COMPUTED_VALUE"""),7824001990)</f>
        <v>7824001990</v>
      </c>
      <c r="E1257" s="6" t="str">
        <f ca="1">IFERROR(__xludf.DUMMYFUNCTION("""COMPUTED_VALUE"""),"Chat_triggered")</f>
        <v>Chat_triggered</v>
      </c>
      <c r="F1257" s="6" t="str">
        <f ca="1">IFERROR(__xludf.DUMMYFUNCTION("""COMPUTED_VALUE"""),"PSPO")</f>
        <v>PSPO</v>
      </c>
      <c r="G1257" s="80">
        <f ca="1">IFERROR(__xludf.DUMMYFUNCTION("""COMPUTED_VALUE"""),44805)</f>
        <v>44805</v>
      </c>
      <c r="H1257" s="6" t="str">
        <f ca="1">IFERROR(__xludf.DUMMYFUNCTION("""COMPUTED_VALUE"""),"Won")</f>
        <v>Won</v>
      </c>
      <c r="I1257" s="6" t="str">
        <f ca="1">IFERROR(__xludf.DUMMYFUNCTION("""COMPUTED_VALUE"""),"24-25 Sep 2022")</f>
        <v>24-25 Sep 2022</v>
      </c>
      <c r="J1257" s="6">
        <f ca="1">IFERROR(__xludf.DUMMYFUNCTION("""COMPUTED_VALUE"""),1)</f>
        <v>1</v>
      </c>
      <c r="K1257" s="8">
        <f ca="1">IFERROR(__xludf.DUMMYFUNCTION("""COMPUTED_VALUE"""),21000)</f>
        <v>21000</v>
      </c>
      <c r="L1257" s="8">
        <f ca="1">IFERROR(__xludf.DUMMYFUNCTION("""COMPUTED_VALUE"""),240.494732020155)</f>
        <v>240.494732020155</v>
      </c>
      <c r="M1257" s="96">
        <f ca="1">IFERROR(__xludf.DUMMYFUNCTION("""COMPUTED_VALUE"""),44826)</f>
        <v>44826</v>
      </c>
      <c r="N1257" s="6" t="str">
        <f ca="1">IFERROR(__xludf.DUMMYFUNCTION("""COMPUTED_VALUE"""),"T10")</f>
        <v>T10</v>
      </c>
      <c r="O1257" s="97">
        <f ca="1">IFERROR(__xludf.DUMMYFUNCTION("""COMPUTED_VALUE"""),44826)</f>
        <v>44826</v>
      </c>
      <c r="P1257" s="6" t="str">
        <f ca="1">IFERROR(__xludf.DUMMYFUNCTION("""COMPUTED_VALUE"""),"CSTM_884R44CQOQS")</f>
        <v>CSTM_884R44CQOQS</v>
      </c>
      <c r="Q1257" s="6"/>
      <c r="R1257" s="6" t="str">
        <f ca="1">IFERROR(__xludf.DUMMYFUNCTION("""COMPUTED_VALUE"""),"Done. Good feedback.")</f>
        <v>Done. Good feedback.</v>
      </c>
      <c r="S1257" s="6" t="str">
        <f ca="1">IFERROR(__xludf.DUMMYFUNCTION("""COMPUTED_VALUE"""),"Category")</f>
        <v>Category</v>
      </c>
      <c r="T1257" s="6"/>
      <c r="U1257" s="6"/>
      <c r="V1257" s="6"/>
      <c r="W1257" s="6"/>
      <c r="X1257" s="6"/>
      <c r="Y1257" s="6"/>
      <c r="Z1257" s="6"/>
      <c r="AA1257" s="6"/>
      <c r="AB1257" s="6"/>
      <c r="AC1257" s="6"/>
      <c r="AD1257" s="6"/>
      <c r="AE1257" s="6"/>
      <c r="AF1257" s="6"/>
      <c r="AG1257" s="6"/>
      <c r="AH1257" s="6"/>
      <c r="AI1257" s="6"/>
      <c r="AJ1257" s="6"/>
      <c r="AK1257" s="6"/>
      <c r="AL1257" s="6"/>
    </row>
    <row r="1258" spans="1:38">
      <c r="A1258" s="96">
        <f ca="1">IFERROR(__xludf.DUMMYFUNCTION("""COMPUTED_VALUE"""),44827)</f>
        <v>44827</v>
      </c>
      <c r="B1258" s="6" t="str">
        <f ca="1">IFERROR(__xludf.DUMMYFUNCTION("""COMPUTED_VALUE"""),"Sheetal Salunke")</f>
        <v>Sheetal Salunke</v>
      </c>
      <c r="C1258" s="6" t="str">
        <f ca="1">IFERROR(__xludf.DUMMYFUNCTION("""COMPUTED_VALUE"""),"sheetalsalunke.cmpica@gmail.com")</f>
        <v>sheetalsalunke.cmpica@gmail.com</v>
      </c>
      <c r="D1258" s="6">
        <f ca="1">IFERROR(__xludf.DUMMYFUNCTION("""COMPUTED_VALUE"""),9028552944)</f>
        <v>9028552944</v>
      </c>
      <c r="E1258" s="6" t="str">
        <f ca="1">IFERROR(__xludf.DUMMYFUNCTION("""COMPUTED_VALUE"""),"course preview")</f>
        <v>course preview</v>
      </c>
      <c r="F1258" s="6" t="str">
        <f ca="1">IFERROR(__xludf.DUMMYFUNCTION("""COMPUTED_VALUE"""),"PSM")</f>
        <v>PSM</v>
      </c>
      <c r="G1258" s="80">
        <f ca="1">IFERROR(__xludf.DUMMYFUNCTION("""COMPUTED_VALUE"""),44805)</f>
        <v>44805</v>
      </c>
      <c r="H1258" s="6" t="str">
        <f ca="1">IFERROR(__xludf.DUMMYFUNCTION("""COMPUTED_VALUE"""),"Won")</f>
        <v>Won</v>
      </c>
      <c r="I1258" s="6" t="str">
        <f ca="1">IFERROR(__xludf.DUMMYFUNCTION("""COMPUTED_VALUE"""),"24-25 Sep 2022")</f>
        <v>24-25 Sep 2022</v>
      </c>
      <c r="J1258" s="6">
        <f ca="1">IFERROR(__xludf.DUMMYFUNCTION("""COMPUTED_VALUE"""),1)</f>
        <v>1</v>
      </c>
      <c r="K1258" s="8">
        <f ca="1">IFERROR(__xludf.DUMMYFUNCTION("""COMPUTED_VALUE"""),21000)</f>
        <v>21000</v>
      </c>
      <c r="L1258" s="8">
        <f ca="1">IFERROR(__xludf.DUMMYFUNCTION("""COMPUTED_VALUE"""),240.494732020155)</f>
        <v>240.494732020155</v>
      </c>
      <c r="M1258" s="96">
        <f ca="1">IFERROR(__xludf.DUMMYFUNCTION("""COMPUTED_VALUE"""),44827)</f>
        <v>44827</v>
      </c>
      <c r="N1258" s="6" t="str">
        <f ca="1">IFERROR(__xludf.DUMMYFUNCTION("""COMPUTED_VALUE"""),"T10")</f>
        <v>T10</v>
      </c>
      <c r="O1258" s="97">
        <f ca="1">IFERROR(__xludf.DUMMYFUNCTION("""COMPUTED_VALUE"""),44827)</f>
        <v>44827</v>
      </c>
      <c r="P1258" s="6" t="str">
        <f ca="1">IFERROR(__xludf.DUMMYFUNCTION("""COMPUTED_VALUE"""),"CSTM_ELTKHMX1ZOM")</f>
        <v>CSTM_ELTKHMX1ZOM</v>
      </c>
      <c r="Q1258" s="6"/>
      <c r="R1258" s="6" t="str">
        <f ca="1">IFERROR(__xludf.DUMMYFUNCTION("""COMPUTED_VALUE"""),"Pending")</f>
        <v>Pending</v>
      </c>
      <c r="S1258" s="6" t="str">
        <f ca="1">IFERROR(__xludf.DUMMYFUNCTION("""COMPUTED_VALUE"""),"Category")</f>
        <v>Category</v>
      </c>
      <c r="T1258" s="6"/>
      <c r="U1258" s="6"/>
      <c r="V1258" s="6"/>
      <c r="W1258" s="6"/>
      <c r="X1258" s="6"/>
      <c r="Y1258" s="6"/>
      <c r="Z1258" s="6"/>
      <c r="AA1258" s="6"/>
      <c r="AB1258" s="6"/>
      <c r="AC1258" s="6"/>
      <c r="AD1258" s="6"/>
      <c r="AE1258" s="6"/>
      <c r="AF1258" s="6"/>
      <c r="AG1258" s="6"/>
      <c r="AH1258" s="6"/>
      <c r="AI1258" s="6"/>
      <c r="AJ1258" s="6"/>
      <c r="AK1258" s="6"/>
      <c r="AL1258" s="6"/>
    </row>
    <row r="1259" spans="1:38">
      <c r="A1259" s="96">
        <f ca="1">IFERROR(__xludf.DUMMYFUNCTION("""COMPUTED_VALUE"""),44827)</f>
        <v>44827</v>
      </c>
      <c r="B1259" s="6" t="str">
        <f ca="1">IFERROR(__xludf.DUMMYFUNCTION("""COMPUTED_VALUE"""),"Ashwini")</f>
        <v>Ashwini</v>
      </c>
      <c r="C1259" s="6" t="str">
        <f ca="1">IFERROR(__xludf.DUMMYFUNCTION("""COMPUTED_VALUE"""),"coolash01@gmail.com")</f>
        <v>coolash01@gmail.com</v>
      </c>
      <c r="D1259" s="6">
        <f ca="1">IFERROR(__xludf.DUMMYFUNCTION("""COMPUTED_VALUE"""),9880410931)</f>
        <v>9880410931</v>
      </c>
      <c r="E1259" s="6" t="str">
        <f ca="1">IFERROR(__xludf.DUMMYFUNCTION("""COMPUTED_VALUE"""),"chat_initiated")</f>
        <v>chat_initiated</v>
      </c>
      <c r="F1259" s="6" t="str">
        <f ca="1">IFERROR(__xludf.DUMMYFUNCTION("""COMPUTED_VALUE"""),"PSM")</f>
        <v>PSM</v>
      </c>
      <c r="G1259" s="80">
        <f ca="1">IFERROR(__xludf.DUMMYFUNCTION("""COMPUTED_VALUE"""),44805)</f>
        <v>44805</v>
      </c>
      <c r="H1259" s="6" t="str">
        <f ca="1">IFERROR(__xludf.DUMMYFUNCTION("""COMPUTED_VALUE"""),"Won")</f>
        <v>Won</v>
      </c>
      <c r="I1259" s="6" t="str">
        <f ca="1">IFERROR(__xludf.DUMMYFUNCTION("""COMPUTED_VALUE"""),"1-2 Oct 2022")</f>
        <v>1-2 Oct 2022</v>
      </c>
      <c r="J1259" s="6">
        <f ca="1">IFERROR(__xludf.DUMMYFUNCTION("""COMPUTED_VALUE"""),1)</f>
        <v>1</v>
      </c>
      <c r="K1259" s="8">
        <f ca="1">IFERROR(__xludf.DUMMYFUNCTION("""COMPUTED_VALUE"""),20500)</f>
        <v>20500</v>
      </c>
      <c r="L1259" s="8">
        <f ca="1">IFERROR(__xludf.DUMMYFUNCTION("""COMPUTED_VALUE"""),234.768666972056)</f>
        <v>234.768666972056</v>
      </c>
      <c r="M1259" s="96">
        <f ca="1">IFERROR(__xludf.DUMMYFUNCTION("""COMPUTED_VALUE"""),44827)</f>
        <v>44827</v>
      </c>
      <c r="N1259" s="6" t="str">
        <f ca="1">IFERROR(__xludf.DUMMYFUNCTION("""COMPUTED_VALUE"""),"T10")</f>
        <v>T10</v>
      </c>
      <c r="O1259" s="97">
        <f ca="1">IFERROR(__xludf.DUMMYFUNCTION("""COMPUTED_VALUE"""),44827)</f>
        <v>44827</v>
      </c>
      <c r="P1259" s="6" t="str">
        <f ca="1">IFERROR(__xludf.DUMMYFUNCTION("""COMPUTED_VALUE"""),"CSTM_9M83LXJKGAK")</f>
        <v>CSTM_9M83LXJKGAK</v>
      </c>
      <c r="Q1259" s="6"/>
      <c r="R1259" s="6" t="str">
        <f ca="1">IFERROR(__xludf.DUMMYFUNCTION("""COMPUTED_VALUE"""),"Pending")</f>
        <v>Pending</v>
      </c>
      <c r="S1259" s="6" t="str">
        <f ca="1">IFERROR(__xludf.DUMMYFUNCTION("""COMPUTED_VALUE"""),"Category")</f>
        <v>Category</v>
      </c>
      <c r="T1259" s="6"/>
      <c r="U1259" s="6"/>
      <c r="V1259" s="6"/>
      <c r="W1259" s="6"/>
      <c r="X1259" s="6"/>
      <c r="Y1259" s="6"/>
      <c r="Z1259" s="6"/>
      <c r="AA1259" s="6"/>
      <c r="AB1259" s="6"/>
      <c r="AC1259" s="6"/>
      <c r="AD1259" s="6"/>
      <c r="AE1259" s="6"/>
      <c r="AF1259" s="6"/>
      <c r="AG1259" s="6"/>
      <c r="AH1259" s="6"/>
      <c r="AI1259" s="6"/>
      <c r="AJ1259" s="6"/>
      <c r="AK1259" s="6"/>
      <c r="AL1259" s="6"/>
    </row>
    <row r="1260" spans="1:38">
      <c r="A1260" s="96">
        <f ca="1">IFERROR(__xludf.DUMMYFUNCTION("""COMPUTED_VALUE"""),44827)</f>
        <v>44827</v>
      </c>
      <c r="B1260" s="6" t="str">
        <f ca="1">IFERROR(__xludf.DUMMYFUNCTION("""COMPUTED_VALUE"""),"Bharathi Bandi")</f>
        <v>Bharathi Bandi</v>
      </c>
      <c r="C1260" s="6" t="str">
        <f ca="1">IFERROR(__xludf.DUMMYFUNCTION("""COMPUTED_VALUE"""),"bharathib2021@gmail.com")</f>
        <v>bharathib2021@gmail.com</v>
      </c>
      <c r="D1260" s="6">
        <f ca="1">IFERROR(__xludf.DUMMYFUNCTION("""COMPUTED_VALUE"""),9964040007)</f>
        <v>9964040007</v>
      </c>
      <c r="E1260" s="6" t="str">
        <f ca="1">IFERROR(__xludf.DUMMYFUNCTION("""COMPUTED_VALUE"""),"Reference")</f>
        <v>Reference</v>
      </c>
      <c r="F1260" s="6" t="str">
        <f ca="1">IFERROR(__xludf.DUMMYFUNCTION("""COMPUTED_VALUE"""),"PSM 2")</f>
        <v>PSM 2</v>
      </c>
      <c r="G1260" s="80">
        <f ca="1">IFERROR(__xludf.DUMMYFUNCTION("""COMPUTED_VALUE"""),44805)</f>
        <v>44805</v>
      </c>
      <c r="H1260" s="6" t="str">
        <f ca="1">IFERROR(__xludf.DUMMYFUNCTION("""COMPUTED_VALUE"""),"Won")</f>
        <v>Won</v>
      </c>
      <c r="I1260" s="6" t="str">
        <f ca="1">IFERROR(__xludf.DUMMYFUNCTION("""COMPUTED_VALUE"""),"24-25 Sep 2022")</f>
        <v>24-25 Sep 2022</v>
      </c>
      <c r="J1260" s="6">
        <f ca="1">IFERROR(__xludf.DUMMYFUNCTION("""COMPUTED_VALUE"""),1)</f>
        <v>1</v>
      </c>
      <c r="K1260" s="8">
        <f ca="1">IFERROR(__xludf.DUMMYFUNCTION("""COMPUTED_VALUE"""),24000)</f>
        <v>24000</v>
      </c>
      <c r="L1260" s="8">
        <f ca="1">IFERROR(__xludf.DUMMYFUNCTION("""COMPUTED_VALUE"""),274.851122308749)</f>
        <v>274.85112230874898</v>
      </c>
      <c r="M1260" s="96">
        <f ca="1">IFERROR(__xludf.DUMMYFUNCTION("""COMPUTED_VALUE"""),44827)</f>
        <v>44827</v>
      </c>
      <c r="N1260" s="6" t="str">
        <f ca="1">IFERROR(__xludf.DUMMYFUNCTION("""COMPUTED_VALUE"""),"T10")</f>
        <v>T10</v>
      </c>
      <c r="O1260" s="97">
        <f ca="1">IFERROR(__xludf.DUMMYFUNCTION("""COMPUTED_VALUE"""),44827)</f>
        <v>44827</v>
      </c>
      <c r="P1260" s="6" t="str">
        <f ca="1">IFERROR(__xludf.DUMMYFUNCTION("""COMPUTED_VALUE"""),"CSTM_HIDPX5Q6QTY")</f>
        <v>CSTM_HIDPX5Q6QTY</v>
      </c>
      <c r="Q1260" s="6" t="str">
        <f ca="1">IFERROR(__xludf.DUMMYFUNCTION("""COMPUTED_VALUE"""),"Reference by glsaiprasad2018@gmail.com")</f>
        <v>Reference by glsaiprasad2018@gmail.com</v>
      </c>
      <c r="R1260" s="6" t="str">
        <f ca="1">IFERROR(__xludf.DUMMYFUNCTION("""COMPUTED_VALUE"""),"Pending")</f>
        <v>Pending</v>
      </c>
      <c r="S1260" s="6" t="str">
        <f ca="1">IFERROR(__xludf.DUMMYFUNCTION("""COMPUTED_VALUE"""),"Category")</f>
        <v>Category</v>
      </c>
      <c r="T1260" s="6"/>
      <c r="U1260" s="6"/>
      <c r="V1260" s="6"/>
      <c r="W1260" s="6"/>
      <c r="X1260" s="6"/>
      <c r="Y1260" s="6"/>
      <c r="Z1260" s="6"/>
      <c r="AA1260" s="6"/>
      <c r="AB1260" s="6"/>
      <c r="AC1260" s="6"/>
      <c r="AD1260" s="6"/>
      <c r="AE1260" s="6"/>
      <c r="AF1260" s="6"/>
      <c r="AG1260" s="6"/>
      <c r="AH1260" s="6"/>
      <c r="AI1260" s="6"/>
      <c r="AJ1260" s="6"/>
      <c r="AK1260" s="6"/>
      <c r="AL1260" s="6"/>
    </row>
    <row r="1261" spans="1:38">
      <c r="A1261" s="96">
        <f ca="1">IFERROR(__xludf.DUMMYFUNCTION("""COMPUTED_VALUE"""),44828)</f>
        <v>44828</v>
      </c>
      <c r="B1261" s="6" t="str">
        <f ca="1">IFERROR(__xludf.DUMMYFUNCTION("""COMPUTED_VALUE"""),"Pallavi Agrawal")</f>
        <v>Pallavi Agrawal</v>
      </c>
      <c r="C1261" s="6" t="str">
        <f ca="1">IFERROR(__xludf.DUMMYFUNCTION("""COMPUTED_VALUE"""),"pallavi.agrawal@outlook.com")</f>
        <v>pallavi.agrawal@outlook.com</v>
      </c>
      <c r="D1261" s="6">
        <f ca="1">IFERROR(__xludf.DUMMYFUNCTION("""COMPUTED_VALUE"""),9725052702)</f>
        <v>9725052702</v>
      </c>
      <c r="E1261" s="6" t="str">
        <f ca="1">IFERROR(__xludf.DUMMYFUNCTION("""COMPUTED_VALUE"""),"Tollfree")</f>
        <v>Tollfree</v>
      </c>
      <c r="F1261" s="6" t="str">
        <f ca="1">IFERROR(__xludf.DUMMYFUNCTION("""COMPUTED_VALUE"""),"CSM")</f>
        <v>CSM</v>
      </c>
      <c r="G1261" s="80">
        <f ca="1">IFERROR(__xludf.DUMMYFUNCTION("""COMPUTED_VALUE"""),44805)</f>
        <v>44805</v>
      </c>
      <c r="H1261" s="6" t="str">
        <f ca="1">IFERROR(__xludf.DUMMYFUNCTION("""COMPUTED_VALUE"""),"Won")</f>
        <v>Won</v>
      </c>
      <c r="I1261" s="6" t="str">
        <f ca="1">IFERROR(__xludf.DUMMYFUNCTION("""COMPUTED_VALUE"""),"8-9 Oct 2022")</f>
        <v>8-9 Oct 2022</v>
      </c>
      <c r="J1261" s="6">
        <f ca="1">IFERROR(__xludf.DUMMYFUNCTION("""COMPUTED_VALUE"""),1)</f>
        <v>1</v>
      </c>
      <c r="K1261" s="8">
        <f ca="1">IFERROR(__xludf.DUMMYFUNCTION("""COMPUTED_VALUE"""),20000)</f>
        <v>20000</v>
      </c>
      <c r="L1261" s="8">
        <f ca="1">IFERROR(__xludf.DUMMYFUNCTION("""COMPUTED_VALUE"""),229.042601923957)</f>
        <v>229.04260192395699</v>
      </c>
      <c r="M1261" s="96">
        <f ca="1">IFERROR(__xludf.DUMMYFUNCTION("""COMPUTED_VALUE"""),44828)</f>
        <v>44828</v>
      </c>
      <c r="N1261" s="6" t="str">
        <f ca="1">IFERROR(__xludf.DUMMYFUNCTION("""COMPUTED_VALUE"""),"T10")</f>
        <v>T10</v>
      </c>
      <c r="O1261" s="97">
        <f ca="1">IFERROR(__xludf.DUMMYFUNCTION("""COMPUTED_VALUE"""),44828)</f>
        <v>44828</v>
      </c>
      <c r="P1261" s="6" t="str">
        <f ca="1">IFERROR(__xludf.DUMMYFUNCTION("""COMPUTED_VALUE"""),"CSTM_GFFF463N0I5")</f>
        <v>CSTM_GFFF463N0I5</v>
      </c>
      <c r="Q1261" s="6"/>
      <c r="R1261" s="6" t="str">
        <f ca="1">IFERROR(__xludf.DUMMYFUNCTION("""COMPUTED_VALUE"""),"Pending")</f>
        <v>Pending</v>
      </c>
      <c r="S1261" s="6" t="str">
        <f ca="1">IFERROR(__xludf.DUMMYFUNCTION("""COMPUTED_VALUE"""),"Category")</f>
        <v>Category</v>
      </c>
      <c r="T1261" s="6"/>
      <c r="U1261" s="6"/>
      <c r="V1261" s="6"/>
      <c r="W1261" s="6"/>
      <c r="X1261" s="6"/>
      <c r="Y1261" s="6"/>
      <c r="Z1261" s="6"/>
      <c r="AA1261" s="6"/>
      <c r="AB1261" s="6"/>
      <c r="AC1261" s="6"/>
      <c r="AD1261" s="6"/>
      <c r="AE1261" s="6"/>
      <c r="AF1261" s="6"/>
      <c r="AG1261" s="6"/>
      <c r="AH1261" s="6"/>
      <c r="AI1261" s="6"/>
      <c r="AJ1261" s="6"/>
      <c r="AK1261" s="6"/>
      <c r="AL1261" s="6"/>
    </row>
    <row r="1262" spans="1:38">
      <c r="A1262" s="96">
        <f ca="1">IFERROR(__xludf.DUMMYFUNCTION("""COMPUTED_VALUE"""),44828)</f>
        <v>44828</v>
      </c>
      <c r="B1262" s="6" t="str">
        <f ca="1">IFERROR(__xludf.DUMMYFUNCTION("""COMPUTED_VALUE"""),"Vignesh")</f>
        <v>Vignesh</v>
      </c>
      <c r="C1262" s="6" t="str">
        <f ca="1">IFERROR(__xludf.DUMMYFUNCTION("""COMPUTED_VALUE"""),"pnvignesh@gmail.com")</f>
        <v>pnvignesh@gmail.com</v>
      </c>
      <c r="D1262" s="6">
        <f ca="1">IFERROR(__xludf.DUMMYFUNCTION("""COMPUTED_VALUE"""),9789889357)</f>
        <v>9789889357</v>
      </c>
      <c r="E1262" s="6" t="str">
        <f ca="1">IFERROR(__xludf.DUMMYFUNCTION("""COMPUTED_VALUE"""),"Query box")</f>
        <v>Query box</v>
      </c>
      <c r="F1262" s="6" t="str">
        <f ca="1">IFERROR(__xludf.DUMMYFUNCTION("""COMPUTED_VALUE"""),"PSPO")</f>
        <v>PSPO</v>
      </c>
      <c r="G1262" s="80">
        <f ca="1">IFERROR(__xludf.DUMMYFUNCTION("""COMPUTED_VALUE"""),44805)</f>
        <v>44805</v>
      </c>
      <c r="H1262" s="6" t="str">
        <f ca="1">IFERROR(__xludf.DUMMYFUNCTION("""COMPUTED_VALUE"""),"Won")</f>
        <v>Won</v>
      </c>
      <c r="I1262" s="6" t="str">
        <f ca="1">IFERROR(__xludf.DUMMYFUNCTION("""COMPUTED_VALUE"""),"8-9 Oct 2022")</f>
        <v>8-9 Oct 2022</v>
      </c>
      <c r="J1262" s="6">
        <f ca="1">IFERROR(__xludf.DUMMYFUNCTION("""COMPUTED_VALUE"""),1)</f>
        <v>1</v>
      </c>
      <c r="K1262" s="8">
        <f ca="1">IFERROR(__xludf.DUMMYFUNCTION("""COMPUTED_VALUE"""),21000)</f>
        <v>21000</v>
      </c>
      <c r="L1262" s="8">
        <f ca="1">IFERROR(__xludf.DUMMYFUNCTION("""COMPUTED_VALUE"""),240.494732020155)</f>
        <v>240.494732020155</v>
      </c>
      <c r="M1262" s="96">
        <f ca="1">IFERROR(__xludf.DUMMYFUNCTION("""COMPUTED_VALUE"""),44828)</f>
        <v>44828</v>
      </c>
      <c r="N1262" s="6" t="str">
        <f ca="1">IFERROR(__xludf.DUMMYFUNCTION("""COMPUTED_VALUE"""),"T10")</f>
        <v>T10</v>
      </c>
      <c r="O1262" s="97">
        <f ca="1">IFERROR(__xludf.DUMMYFUNCTION("""COMPUTED_VALUE"""),44829)</f>
        <v>44829</v>
      </c>
      <c r="P1262" s="6" t="str">
        <f ca="1">IFERROR(__xludf.DUMMYFUNCTION("""COMPUTED_VALUE"""),"CSTM_6G9NG32TTWX")</f>
        <v>CSTM_6G9NG32TTWX</v>
      </c>
      <c r="Q1262" s="6"/>
      <c r="R1262" s="6" t="str">
        <f ca="1">IFERROR(__xludf.DUMMYFUNCTION("""COMPUTED_VALUE"""),"Pending")</f>
        <v>Pending</v>
      </c>
      <c r="S1262" s="6" t="str">
        <f ca="1">IFERROR(__xludf.DUMMYFUNCTION("""COMPUTED_VALUE"""),"Category")</f>
        <v>Category</v>
      </c>
      <c r="T1262" s="6"/>
      <c r="U1262" s="6"/>
      <c r="V1262" s="6"/>
      <c r="W1262" s="6"/>
      <c r="X1262" s="6"/>
      <c r="Y1262" s="6"/>
      <c r="Z1262" s="6"/>
      <c r="AA1262" s="6"/>
      <c r="AB1262" s="6"/>
      <c r="AC1262" s="6"/>
      <c r="AD1262" s="6"/>
      <c r="AE1262" s="6"/>
      <c r="AF1262" s="6"/>
      <c r="AG1262" s="6"/>
      <c r="AH1262" s="6"/>
      <c r="AI1262" s="6"/>
      <c r="AJ1262" s="6"/>
      <c r="AK1262" s="6"/>
      <c r="AL1262" s="6"/>
    </row>
    <row r="1263" spans="1:38">
      <c r="A1263" s="96">
        <f ca="1">IFERROR(__xludf.DUMMYFUNCTION("""COMPUTED_VALUE"""),44830)</f>
        <v>44830</v>
      </c>
      <c r="B1263" s="6" t="str">
        <f ca="1">IFERROR(__xludf.DUMMYFUNCTION("""COMPUTED_VALUE"""),"Ajin R K")</f>
        <v>Ajin R K</v>
      </c>
      <c r="C1263" s="6" t="str">
        <f ca="1">IFERROR(__xludf.DUMMYFUNCTION("""COMPUTED_VALUE"""),"ajinrk004@gmail.com")</f>
        <v>ajinrk004@gmail.com</v>
      </c>
      <c r="D1263" s="6">
        <f ca="1">IFERROR(__xludf.DUMMYFUNCTION("""COMPUTED_VALUE"""),9987711425)</f>
        <v>9987711425</v>
      </c>
      <c r="E1263" s="6" t="str">
        <f ca="1">IFERROR(__xludf.DUMMYFUNCTION("""COMPUTED_VALUE"""),"Chat_triggered")</f>
        <v>Chat_triggered</v>
      </c>
      <c r="F1263" s="6" t="str">
        <f ca="1">IFERROR(__xludf.DUMMYFUNCTION("""COMPUTED_VALUE"""),"CSM")</f>
        <v>CSM</v>
      </c>
      <c r="G1263" s="80">
        <f ca="1">IFERROR(__xludf.DUMMYFUNCTION("""COMPUTED_VALUE"""),44805)</f>
        <v>44805</v>
      </c>
      <c r="H1263" s="6" t="str">
        <f ca="1">IFERROR(__xludf.DUMMYFUNCTION("""COMPUTED_VALUE"""),"Won")</f>
        <v>Won</v>
      </c>
      <c r="I1263" s="6" t="str">
        <f ca="1">IFERROR(__xludf.DUMMYFUNCTION("""COMPUTED_VALUE"""),"17-18 Oct 2022")</f>
        <v>17-18 Oct 2022</v>
      </c>
      <c r="J1263" s="6">
        <f ca="1">IFERROR(__xludf.DUMMYFUNCTION("""COMPUTED_VALUE"""),1)</f>
        <v>1</v>
      </c>
      <c r="K1263" s="8">
        <f ca="1">IFERROR(__xludf.DUMMYFUNCTION("""COMPUTED_VALUE"""),20000)</f>
        <v>20000</v>
      </c>
      <c r="L1263" s="8">
        <f ca="1">IFERROR(__xludf.DUMMYFUNCTION("""COMPUTED_VALUE"""),229.042601923957)</f>
        <v>229.04260192395699</v>
      </c>
      <c r="M1263" s="96">
        <f ca="1">IFERROR(__xludf.DUMMYFUNCTION("""COMPUTED_VALUE"""),44830)</f>
        <v>44830</v>
      </c>
      <c r="N1263" s="6" t="str">
        <f ca="1">IFERROR(__xludf.DUMMYFUNCTION("""COMPUTED_VALUE"""),"T10")</f>
        <v>T10</v>
      </c>
      <c r="O1263" s="97">
        <f ca="1">IFERROR(__xludf.DUMMYFUNCTION("""COMPUTED_VALUE"""),44830)</f>
        <v>44830</v>
      </c>
      <c r="P1263" s="6" t="str">
        <f ca="1">IFERROR(__xludf.DUMMYFUNCTION("""COMPUTED_VALUE"""),"CSTM_K502SPW77U")</f>
        <v>CSTM_K502SPW77U</v>
      </c>
      <c r="Q1263" s="6"/>
      <c r="R1263" s="6" t="str">
        <f ca="1">IFERROR(__xludf.DUMMYFUNCTION("""COMPUTED_VALUE"""),"Pending")</f>
        <v>Pending</v>
      </c>
      <c r="S1263" s="6" t="str">
        <f ca="1">IFERROR(__xludf.DUMMYFUNCTION("""COMPUTED_VALUE"""),"Category")</f>
        <v>Category</v>
      </c>
      <c r="T1263" s="6"/>
      <c r="U1263" s="6"/>
      <c r="V1263" s="6"/>
      <c r="W1263" s="6"/>
      <c r="X1263" s="6"/>
      <c r="Y1263" s="6"/>
      <c r="Z1263" s="6"/>
      <c r="AA1263" s="6"/>
      <c r="AB1263" s="6"/>
      <c r="AC1263" s="6"/>
      <c r="AD1263" s="6"/>
      <c r="AE1263" s="6"/>
      <c r="AF1263" s="6"/>
      <c r="AG1263" s="6"/>
      <c r="AH1263" s="6"/>
      <c r="AI1263" s="6"/>
      <c r="AJ1263" s="6"/>
      <c r="AK1263" s="6"/>
      <c r="AL1263" s="6"/>
    </row>
    <row r="1264" spans="1:38">
      <c r="A1264" s="96">
        <f ca="1">IFERROR(__xludf.DUMMYFUNCTION("""COMPUTED_VALUE"""),44830)</f>
        <v>44830</v>
      </c>
      <c r="B1264" s="6" t="str">
        <f ca="1">IFERROR(__xludf.DUMMYFUNCTION("""COMPUTED_VALUE"""),"Renuka Shinde")</f>
        <v>Renuka Shinde</v>
      </c>
      <c r="C1264" s="6" t="str">
        <f ca="1">IFERROR(__xludf.DUMMYFUNCTION("""COMPUTED_VALUE"""),"renuka_d_shinde@yahoo.com")</f>
        <v>renuka_d_shinde@yahoo.com</v>
      </c>
      <c r="D1264" s="6">
        <f ca="1">IFERROR(__xludf.DUMMYFUNCTION("""COMPUTED_VALUE"""),9986639864)</f>
        <v>9986639864</v>
      </c>
      <c r="E1264" s="6" t="str">
        <f ca="1">IFERROR(__xludf.DUMMYFUNCTION("""COMPUTED_VALUE"""),"Chat_triggered")</f>
        <v>Chat_triggered</v>
      </c>
      <c r="F1264" s="6" t="str">
        <f ca="1">IFERROR(__xludf.DUMMYFUNCTION("""COMPUTED_VALUE"""),"SAFe POPM")</f>
        <v>SAFe POPM</v>
      </c>
      <c r="G1264" s="80">
        <f ca="1">IFERROR(__xludf.DUMMYFUNCTION("""COMPUTED_VALUE"""),44805)</f>
        <v>44805</v>
      </c>
      <c r="H1264" s="6" t="str">
        <f ca="1">IFERROR(__xludf.DUMMYFUNCTION("""COMPUTED_VALUE"""),"Won")</f>
        <v>Won</v>
      </c>
      <c r="I1264" s="6" t="str">
        <f ca="1">IFERROR(__xludf.DUMMYFUNCTION("""COMPUTED_VALUE"""),"12-13 Nov 2022")</f>
        <v>12-13 Nov 2022</v>
      </c>
      <c r="J1264" s="6">
        <f ca="1">IFERROR(__xludf.DUMMYFUNCTION("""COMPUTED_VALUE"""),1)</f>
        <v>1</v>
      </c>
      <c r="K1264" s="8">
        <f ca="1">IFERROR(__xludf.DUMMYFUNCTION("""COMPUTED_VALUE"""),42000)</f>
        <v>42000</v>
      </c>
      <c r="L1264" s="8">
        <f ca="1">IFERROR(__xludf.DUMMYFUNCTION("""COMPUTED_VALUE"""),480.989464040311)</f>
        <v>480.98946404031102</v>
      </c>
      <c r="M1264" s="96">
        <f ca="1">IFERROR(__xludf.DUMMYFUNCTION("""COMPUTED_VALUE"""),44830)</f>
        <v>44830</v>
      </c>
      <c r="N1264" s="6" t="str">
        <f ca="1">IFERROR(__xludf.DUMMYFUNCTION("""COMPUTED_VALUE"""),"T10")</f>
        <v>T10</v>
      </c>
      <c r="O1264" s="97">
        <f ca="1">IFERROR(__xludf.DUMMYFUNCTION("""COMPUTED_VALUE"""),44834)</f>
        <v>44834</v>
      </c>
      <c r="P1264" s="6" t="str">
        <f ca="1">IFERROR(__xludf.DUMMYFUNCTION("""COMPUTED_VALUE"""),"CSTM_GUNSI1AB0HA")</f>
        <v>CSTM_GUNSI1AB0HA</v>
      </c>
      <c r="Q1264" s="6"/>
      <c r="R1264" s="6" t="str">
        <f ca="1">IFERROR(__xludf.DUMMYFUNCTION("""COMPUTED_VALUE"""),"Pending")</f>
        <v>Pending</v>
      </c>
      <c r="S1264" s="6" t="str">
        <f ca="1">IFERROR(__xludf.DUMMYFUNCTION("""COMPUTED_VALUE"""),"SAFe")</f>
        <v>SAFe</v>
      </c>
      <c r="T1264" s="6"/>
      <c r="U1264" s="6"/>
      <c r="V1264" s="6"/>
      <c r="W1264" s="6"/>
      <c r="X1264" s="6"/>
      <c r="Y1264" s="6"/>
      <c r="Z1264" s="6"/>
      <c r="AA1264" s="6"/>
      <c r="AB1264" s="6"/>
      <c r="AC1264" s="6"/>
      <c r="AD1264" s="6"/>
      <c r="AE1264" s="6"/>
      <c r="AF1264" s="6"/>
      <c r="AG1264" s="6"/>
      <c r="AH1264" s="6"/>
      <c r="AI1264" s="6"/>
      <c r="AJ1264" s="6"/>
      <c r="AK1264" s="6"/>
      <c r="AL1264" s="6"/>
    </row>
    <row r="1265" spans="1:38">
      <c r="A1265" s="96">
        <f ca="1">IFERROR(__xludf.DUMMYFUNCTION("""COMPUTED_VALUE"""),44831)</f>
        <v>44831</v>
      </c>
      <c r="B1265" s="6" t="str">
        <f ca="1">IFERROR(__xludf.DUMMYFUNCTION("""COMPUTED_VALUE"""),"Neha Rampal")</f>
        <v>Neha Rampal</v>
      </c>
      <c r="C1265" s="6" t="str">
        <f ca="1">IFERROR(__xludf.DUMMYFUNCTION("""COMPUTED_VALUE"""),"neharampal284@gmail.com")</f>
        <v>neharampal284@gmail.com</v>
      </c>
      <c r="D1265" s="6">
        <f ca="1">IFERROR(__xludf.DUMMYFUNCTION("""COMPUTED_VALUE"""),9821964446)</f>
        <v>9821964446</v>
      </c>
      <c r="E1265" s="6" t="str">
        <f ca="1">IFERROR(__xludf.DUMMYFUNCTION("""COMPUTED_VALUE"""),"Existing Account")</f>
        <v>Existing Account</v>
      </c>
      <c r="F1265" s="6" t="str">
        <f ca="1">IFERROR(__xludf.DUMMYFUNCTION("""COMPUTED_VALUE"""),"PSM 2")</f>
        <v>PSM 2</v>
      </c>
      <c r="G1265" s="80">
        <f ca="1">IFERROR(__xludf.DUMMYFUNCTION("""COMPUTED_VALUE"""),44805)</f>
        <v>44805</v>
      </c>
      <c r="H1265" s="6" t="str">
        <f ca="1">IFERROR(__xludf.DUMMYFUNCTION("""COMPUTED_VALUE"""),"Won")</f>
        <v>Won</v>
      </c>
      <c r="I1265" s="6" t="str">
        <f ca="1">IFERROR(__xludf.DUMMYFUNCTION("""COMPUTED_VALUE"""),"5-6 Nov 2022")</f>
        <v>5-6 Nov 2022</v>
      </c>
      <c r="J1265" s="6">
        <f ca="1">IFERROR(__xludf.DUMMYFUNCTION("""COMPUTED_VALUE"""),1)</f>
        <v>1</v>
      </c>
      <c r="K1265" s="8">
        <f ca="1">IFERROR(__xludf.DUMMYFUNCTION("""COMPUTED_VALUE"""),24000)</f>
        <v>24000</v>
      </c>
      <c r="L1265" s="8">
        <f ca="1">IFERROR(__xludf.DUMMYFUNCTION("""COMPUTED_VALUE"""),274.851122308749)</f>
        <v>274.85112230874898</v>
      </c>
      <c r="M1265" s="96">
        <f ca="1">IFERROR(__xludf.DUMMYFUNCTION("""COMPUTED_VALUE"""),44831)</f>
        <v>44831</v>
      </c>
      <c r="N1265" s="6" t="str">
        <f ca="1">IFERROR(__xludf.DUMMYFUNCTION("""COMPUTED_VALUE"""),"T10")</f>
        <v>T10</v>
      </c>
      <c r="O1265" s="97">
        <f ca="1">IFERROR(__xludf.DUMMYFUNCTION("""COMPUTED_VALUE"""),44831)</f>
        <v>44831</v>
      </c>
      <c r="P1265" s="6" t="str">
        <f ca="1">IFERROR(__xludf.DUMMYFUNCTION("""COMPUTED_VALUE"""),"CSTM_13VI7WGDUQO")</f>
        <v>CSTM_13VI7WGDUQO</v>
      </c>
      <c r="Q1265" s="6"/>
      <c r="R1265" s="6" t="str">
        <f ca="1">IFERROR(__xludf.DUMMYFUNCTION("""COMPUTED_VALUE"""),"Pending")</f>
        <v>Pending</v>
      </c>
      <c r="S1265" s="6" t="str">
        <f ca="1">IFERROR(__xludf.DUMMYFUNCTION("""COMPUTED_VALUE"""),"Category")</f>
        <v>Category</v>
      </c>
      <c r="T1265" s="6"/>
      <c r="U1265" s="6"/>
      <c r="V1265" s="6"/>
      <c r="W1265" s="6"/>
      <c r="X1265" s="6"/>
      <c r="Y1265" s="6"/>
      <c r="Z1265" s="6"/>
      <c r="AA1265" s="6"/>
      <c r="AB1265" s="6"/>
      <c r="AC1265" s="6"/>
      <c r="AD1265" s="6"/>
      <c r="AE1265" s="6"/>
      <c r="AF1265" s="6"/>
      <c r="AG1265" s="6"/>
      <c r="AH1265" s="6"/>
      <c r="AI1265" s="6"/>
      <c r="AJ1265" s="6"/>
      <c r="AK1265" s="6"/>
      <c r="AL1265" s="6"/>
    </row>
    <row r="1266" spans="1:38">
      <c r="A1266" s="96">
        <f ca="1">IFERROR(__xludf.DUMMYFUNCTION("""COMPUTED_VALUE"""),44831)</f>
        <v>44831</v>
      </c>
      <c r="B1266" s="6" t="str">
        <f ca="1">IFERROR(__xludf.DUMMYFUNCTION("""COMPUTED_VALUE"""),"Kunal S")</f>
        <v>Kunal S</v>
      </c>
      <c r="C1266" s="6" t="str">
        <f ca="1">IFERROR(__xludf.DUMMYFUNCTION("""COMPUTED_VALUE"""),"kunals82@gmail.com")</f>
        <v>kunals82@gmail.com</v>
      </c>
      <c r="D1266" s="6">
        <f ca="1">IFERROR(__xludf.DUMMYFUNCTION("""COMPUTED_VALUE"""),9881722701)</f>
        <v>9881722701</v>
      </c>
      <c r="E1266" s="6" t="str">
        <f ca="1">IFERROR(__xludf.DUMMYFUNCTION("""COMPUTED_VALUE"""),"Reference")</f>
        <v>Reference</v>
      </c>
      <c r="F1266" s="6" t="str">
        <f ca="1">IFERROR(__xludf.DUMMYFUNCTION("""COMPUTED_VALUE"""),"PSM")</f>
        <v>PSM</v>
      </c>
      <c r="G1266" s="80">
        <f ca="1">IFERROR(__xludf.DUMMYFUNCTION("""COMPUTED_VALUE"""),44805)</f>
        <v>44805</v>
      </c>
      <c r="H1266" s="6" t="str">
        <f ca="1">IFERROR(__xludf.DUMMYFUNCTION("""COMPUTED_VALUE"""),"Won")</f>
        <v>Won</v>
      </c>
      <c r="I1266" s="6" t="str">
        <f ca="1">IFERROR(__xludf.DUMMYFUNCTION("""COMPUTED_VALUE"""),"1-2 Oct 2022")</f>
        <v>1-2 Oct 2022</v>
      </c>
      <c r="J1266" s="6">
        <f ca="1">IFERROR(__xludf.DUMMYFUNCTION("""COMPUTED_VALUE"""),1)</f>
        <v>1</v>
      </c>
      <c r="K1266" s="8">
        <f ca="1">IFERROR(__xludf.DUMMYFUNCTION("""COMPUTED_VALUE"""),21000)</f>
        <v>21000</v>
      </c>
      <c r="L1266" s="8">
        <f ca="1">IFERROR(__xludf.DUMMYFUNCTION("""COMPUTED_VALUE"""),240.494732020155)</f>
        <v>240.494732020155</v>
      </c>
      <c r="M1266" s="96">
        <f ca="1">IFERROR(__xludf.DUMMYFUNCTION("""COMPUTED_VALUE"""),44831)</f>
        <v>44831</v>
      </c>
      <c r="N1266" s="6" t="str">
        <f ca="1">IFERROR(__xludf.DUMMYFUNCTION("""COMPUTED_VALUE"""),"T10")</f>
        <v>T10</v>
      </c>
      <c r="O1266" s="97">
        <f ca="1">IFERROR(__xludf.DUMMYFUNCTION("""COMPUTED_VALUE"""),44831)</f>
        <v>44831</v>
      </c>
      <c r="P1266" s="6" t="str">
        <f ca="1">IFERROR(__xludf.DUMMYFUNCTION("""COMPUTED_VALUE"""),"CSTM_3X0HX31JB2C")</f>
        <v>CSTM_3X0HX31JB2C</v>
      </c>
      <c r="Q1266" s="6" t="str">
        <f ca="1">IFERROR(__xludf.DUMMYFUNCTION("""COMPUTED_VALUE"""),"Reference by psaduwale@gmail.com")</f>
        <v>Reference by psaduwale@gmail.com</v>
      </c>
      <c r="R1266" s="6" t="str">
        <f ca="1">IFERROR(__xludf.DUMMYFUNCTION("""COMPUTED_VALUE"""),"Pending")</f>
        <v>Pending</v>
      </c>
      <c r="S1266" s="6" t="str">
        <f ca="1">IFERROR(__xludf.DUMMYFUNCTION("""COMPUTED_VALUE"""),"Category")</f>
        <v>Category</v>
      </c>
      <c r="T1266" s="6"/>
      <c r="U1266" s="6"/>
      <c r="V1266" s="6"/>
      <c r="W1266" s="6"/>
      <c r="X1266" s="6"/>
      <c r="Y1266" s="6"/>
      <c r="Z1266" s="6"/>
      <c r="AA1266" s="6"/>
      <c r="AB1266" s="6"/>
      <c r="AC1266" s="6"/>
      <c r="AD1266" s="6"/>
      <c r="AE1266" s="6"/>
      <c r="AF1266" s="6"/>
      <c r="AG1266" s="6"/>
      <c r="AH1266" s="6"/>
      <c r="AI1266" s="6"/>
      <c r="AJ1266" s="6"/>
      <c r="AK1266" s="6"/>
      <c r="AL1266" s="6"/>
    </row>
    <row r="1267" spans="1:38">
      <c r="A1267" s="96">
        <f ca="1">IFERROR(__xludf.DUMMYFUNCTION("""COMPUTED_VALUE"""),44832)</f>
        <v>44832</v>
      </c>
      <c r="B1267" s="6" t="str">
        <f ca="1">IFERROR(__xludf.DUMMYFUNCTION("""COMPUTED_VALUE"""),"Sasidhar")</f>
        <v>Sasidhar</v>
      </c>
      <c r="C1267" s="6" t="str">
        <f ca="1">IFERROR(__xludf.DUMMYFUNCTION("""COMPUTED_VALUE"""),"sasi.dharala@gmail.com")</f>
        <v>sasi.dharala@gmail.com</v>
      </c>
      <c r="D1267" s="6">
        <f ca="1">IFERROR(__xludf.DUMMYFUNCTION("""COMPUTED_VALUE"""),9000239078)</f>
        <v>9000239078</v>
      </c>
      <c r="E1267" s="6" t="str">
        <f ca="1">IFERROR(__xludf.DUMMYFUNCTION("""COMPUTED_VALUE"""),"Existing Account")</f>
        <v>Existing Account</v>
      </c>
      <c r="F1267" s="6" t="str">
        <f ca="1">IFERROR(__xludf.DUMMYFUNCTION("""COMPUTED_VALUE"""),"SAFe Agile")</f>
        <v>SAFe Agile</v>
      </c>
      <c r="G1267" s="80">
        <f ca="1">IFERROR(__xludf.DUMMYFUNCTION("""COMPUTED_VALUE"""),44805)</f>
        <v>44805</v>
      </c>
      <c r="H1267" s="6" t="str">
        <f ca="1">IFERROR(__xludf.DUMMYFUNCTION("""COMPUTED_VALUE"""),"Won")</f>
        <v>Won</v>
      </c>
      <c r="I1267" s="6" t="str">
        <f ca="1">IFERROR(__xludf.DUMMYFUNCTION("""COMPUTED_VALUE"""),"1-2 Oct 2022")</f>
        <v>1-2 Oct 2022</v>
      </c>
      <c r="J1267" s="6">
        <f ca="1">IFERROR(__xludf.DUMMYFUNCTION("""COMPUTED_VALUE"""),1)</f>
        <v>1</v>
      </c>
      <c r="K1267" s="8">
        <f ca="1">IFERROR(__xludf.DUMMYFUNCTION("""COMPUTED_VALUE"""),40061)</f>
        <v>40061</v>
      </c>
      <c r="L1267" s="8">
        <f ca="1">IFERROR(__xludf.DUMMYFUNCTION("""COMPUTED_VALUE"""),458.783783783783)</f>
        <v>458.78378378378301</v>
      </c>
      <c r="M1267" s="96">
        <f ca="1">IFERROR(__xludf.DUMMYFUNCTION("""COMPUTED_VALUE"""),44832)</f>
        <v>44832</v>
      </c>
      <c r="N1267" s="6" t="str">
        <f ca="1">IFERROR(__xludf.DUMMYFUNCTION("""COMPUTED_VALUE"""),"T10")</f>
        <v>T10</v>
      </c>
      <c r="O1267" s="97">
        <f ca="1">IFERROR(__xludf.DUMMYFUNCTION("""COMPUTED_VALUE"""),44832)</f>
        <v>44832</v>
      </c>
      <c r="P1267" s="6" t="str">
        <f ca="1">IFERROR(__xludf.DUMMYFUNCTION("""COMPUTED_VALUE"""),"CSTM_DMUB1HVR50N")</f>
        <v>CSTM_DMUB1HVR50N</v>
      </c>
      <c r="Q1267" s="6"/>
      <c r="R1267" s="6" t="str">
        <f ca="1">IFERROR(__xludf.DUMMYFUNCTION("""COMPUTED_VALUE"""),"Pending")</f>
        <v>Pending</v>
      </c>
      <c r="S1267" s="6" t="str">
        <f ca="1">IFERROR(__xludf.DUMMYFUNCTION("""COMPUTED_VALUE"""),"SAFe")</f>
        <v>SAFe</v>
      </c>
      <c r="T1267" s="6"/>
      <c r="U1267" s="6"/>
      <c r="V1267" s="6"/>
      <c r="W1267" s="6"/>
      <c r="X1267" s="6"/>
      <c r="Y1267" s="6"/>
      <c r="Z1267" s="6"/>
      <c r="AA1267" s="6"/>
      <c r="AB1267" s="6"/>
      <c r="AC1267" s="6"/>
      <c r="AD1267" s="6"/>
      <c r="AE1267" s="6"/>
      <c r="AF1267" s="6"/>
      <c r="AG1267" s="6"/>
      <c r="AH1267" s="6"/>
      <c r="AI1267" s="6"/>
      <c r="AJ1267" s="6"/>
      <c r="AK1267" s="6"/>
      <c r="AL1267" s="6"/>
    </row>
    <row r="1268" spans="1:38">
      <c r="A1268" s="96">
        <f ca="1">IFERROR(__xludf.DUMMYFUNCTION("""COMPUTED_VALUE"""),44834)</f>
        <v>44834</v>
      </c>
      <c r="B1268" s="6" t="str">
        <f ca="1">IFERROR(__xludf.DUMMYFUNCTION("""COMPUTED_VALUE"""),"Sujoy")</f>
        <v>Sujoy</v>
      </c>
      <c r="C1268" s="6" t="str">
        <f ca="1">IFERROR(__xludf.DUMMYFUNCTION("""COMPUTED_VALUE"""),"2006.sujoy@gmail.com")</f>
        <v>2006.sujoy@gmail.com</v>
      </c>
      <c r="D1268" s="6">
        <f ca="1">IFERROR(__xludf.DUMMYFUNCTION("""COMPUTED_VALUE"""),9545146460)</f>
        <v>9545146460</v>
      </c>
      <c r="E1268" s="6" t="str">
        <f ca="1">IFERROR(__xludf.DUMMYFUNCTION("""COMPUTED_VALUE"""),"Existing Account")</f>
        <v>Existing Account</v>
      </c>
      <c r="F1268" s="6" t="str">
        <f ca="1">IFERROR(__xludf.DUMMYFUNCTION("""COMPUTED_VALUE"""),"SAFe RTE")</f>
        <v>SAFe RTE</v>
      </c>
      <c r="G1268" s="80">
        <f ca="1">IFERROR(__xludf.DUMMYFUNCTION("""COMPUTED_VALUE"""),44805)</f>
        <v>44805</v>
      </c>
      <c r="H1268" s="6" t="str">
        <f ca="1">IFERROR(__xludf.DUMMYFUNCTION("""COMPUTED_VALUE"""),"Won")</f>
        <v>Won</v>
      </c>
      <c r="I1268" s="6" t="str">
        <f ca="1">IFERROR(__xludf.DUMMYFUNCTION("""COMPUTED_VALUE"""),"7-9 Oct 2022")</f>
        <v>7-9 Oct 2022</v>
      </c>
      <c r="J1268" s="6">
        <f ca="1">IFERROR(__xludf.DUMMYFUNCTION("""COMPUTED_VALUE"""),1)</f>
        <v>1</v>
      </c>
      <c r="K1268" s="8">
        <f ca="1">IFERROR(__xludf.DUMMYFUNCTION("""COMPUTED_VALUE"""),57230)</f>
        <v>57230</v>
      </c>
      <c r="L1268" s="8">
        <f ca="1">IFERROR(__xludf.DUMMYFUNCTION("""COMPUTED_VALUE"""),655.405405405405)</f>
        <v>655.40540540540496</v>
      </c>
      <c r="M1268" s="96">
        <f ca="1">IFERROR(__xludf.DUMMYFUNCTION("""COMPUTED_VALUE"""),44834)</f>
        <v>44834</v>
      </c>
      <c r="N1268" s="6" t="str">
        <f ca="1">IFERROR(__xludf.DUMMYFUNCTION("""COMPUTED_VALUE"""),"T10")</f>
        <v>T10</v>
      </c>
      <c r="O1268" s="97">
        <f ca="1">IFERROR(__xludf.DUMMYFUNCTION("""COMPUTED_VALUE"""),44834)</f>
        <v>44834</v>
      </c>
      <c r="P1268" s="6" t="str">
        <f ca="1">IFERROR(__xludf.DUMMYFUNCTION("""COMPUTED_VALUE"""),"CSTM_23HRJF8O761")</f>
        <v>CSTM_23HRJF8O761</v>
      </c>
      <c r="Q1268" s="6"/>
      <c r="R1268" s="6" t="str">
        <f ca="1">IFERROR(__xludf.DUMMYFUNCTION("""COMPUTED_VALUE"""),"Pending")</f>
        <v>Pending</v>
      </c>
      <c r="S1268" s="6" t="str">
        <f ca="1">IFERROR(__xludf.DUMMYFUNCTION("""COMPUTED_VALUE"""),"SAFe")</f>
        <v>SAFe</v>
      </c>
      <c r="T1268" s="6"/>
      <c r="U1268" s="6"/>
      <c r="V1268" s="6"/>
      <c r="W1268" s="6"/>
      <c r="X1268" s="6"/>
      <c r="Y1268" s="6"/>
      <c r="Z1268" s="6"/>
      <c r="AA1268" s="6"/>
      <c r="AB1268" s="6"/>
      <c r="AC1268" s="6"/>
      <c r="AD1268" s="6"/>
      <c r="AE1268" s="6"/>
      <c r="AF1268" s="6"/>
      <c r="AG1268" s="6"/>
      <c r="AH1268" s="6"/>
      <c r="AI1268" s="6"/>
      <c r="AJ1268" s="6"/>
      <c r="AK1268" s="6"/>
      <c r="AL1268" s="6"/>
    </row>
    <row r="1269" spans="1:38">
      <c r="A1269" s="96">
        <f ca="1">IFERROR(__xludf.DUMMYFUNCTION("""COMPUTED_VALUE"""),44834)</f>
        <v>44834</v>
      </c>
      <c r="B1269" s="6" t="str">
        <f ca="1">IFERROR(__xludf.DUMMYFUNCTION("""COMPUTED_VALUE"""),"Sujoy")</f>
        <v>Sujoy</v>
      </c>
      <c r="C1269" s="6" t="str">
        <f ca="1">IFERROR(__xludf.DUMMYFUNCTION("""COMPUTED_VALUE"""),"2006.sujoy@gmail.com")</f>
        <v>2006.sujoy@gmail.com</v>
      </c>
      <c r="D1269" s="6">
        <f ca="1">IFERROR(__xludf.DUMMYFUNCTION("""COMPUTED_VALUE"""),9545146460)</f>
        <v>9545146460</v>
      </c>
      <c r="E1269" s="6" t="str">
        <f ca="1">IFERROR(__xludf.DUMMYFUNCTION("""COMPUTED_VALUE"""),"Existing Account")</f>
        <v>Existing Account</v>
      </c>
      <c r="F1269" s="6" t="str">
        <f ca="1">IFERROR(__xludf.DUMMYFUNCTION("""COMPUTED_VALUE"""),"SAFe RTE")</f>
        <v>SAFe RTE</v>
      </c>
      <c r="G1269" s="80">
        <f ca="1">IFERROR(__xludf.DUMMYFUNCTION("""COMPUTED_VALUE"""),44805)</f>
        <v>44805</v>
      </c>
      <c r="H1269" s="6" t="str">
        <f ca="1">IFERROR(__xludf.DUMMYFUNCTION("""COMPUTED_VALUE"""),"Won")</f>
        <v>Won</v>
      </c>
      <c r="I1269" s="6" t="str">
        <f ca="1">IFERROR(__xludf.DUMMYFUNCTION("""COMPUTED_VALUE"""),"7-9 Oct 2022")</f>
        <v>7-9 Oct 2022</v>
      </c>
      <c r="J1269" s="6">
        <f ca="1">IFERROR(__xludf.DUMMYFUNCTION("""COMPUTED_VALUE"""),1)</f>
        <v>1</v>
      </c>
      <c r="K1269" s="8">
        <f ca="1">IFERROR(__xludf.DUMMYFUNCTION("""COMPUTED_VALUE"""),67770)</f>
        <v>67770</v>
      </c>
      <c r="L1269" s="8">
        <f ca="1">IFERROR(__xludf.DUMMYFUNCTION("""COMPUTED_VALUE"""),776.110856619331)</f>
        <v>776.110856619331</v>
      </c>
      <c r="M1269" s="96">
        <f ca="1">IFERROR(__xludf.DUMMYFUNCTION("""COMPUTED_VALUE"""),44834)</f>
        <v>44834</v>
      </c>
      <c r="N1269" s="6" t="str">
        <f ca="1">IFERROR(__xludf.DUMMYFUNCTION("""COMPUTED_VALUE"""),"T10")</f>
        <v>T10</v>
      </c>
      <c r="O1269" s="97">
        <f ca="1">IFERROR(__xludf.DUMMYFUNCTION("""COMPUTED_VALUE"""),44834)</f>
        <v>44834</v>
      </c>
      <c r="P1269" s="6" t="str">
        <f ca="1">IFERROR(__xludf.DUMMYFUNCTION("""COMPUTED_VALUE"""),"CSTM_3BW3U2NHFEV")</f>
        <v>CSTM_3BW3U2NHFEV</v>
      </c>
      <c r="Q1269" s="6"/>
      <c r="R1269" s="6" t="str">
        <f ca="1">IFERROR(__xludf.DUMMYFUNCTION("""COMPUTED_VALUE"""),"Pending")</f>
        <v>Pending</v>
      </c>
      <c r="S1269" s="6" t="str">
        <f ca="1">IFERROR(__xludf.DUMMYFUNCTION("""COMPUTED_VALUE"""),"SAFe")</f>
        <v>SAFe</v>
      </c>
      <c r="T1269" s="6"/>
      <c r="U1269" s="6"/>
      <c r="V1269" s="6"/>
      <c r="W1269" s="6"/>
      <c r="X1269" s="6"/>
      <c r="Y1269" s="6"/>
      <c r="Z1269" s="6"/>
      <c r="AA1269" s="6"/>
      <c r="AB1269" s="6"/>
      <c r="AC1269" s="6"/>
      <c r="AD1269" s="6"/>
      <c r="AE1269" s="6"/>
      <c r="AF1269" s="6"/>
      <c r="AG1269" s="6"/>
      <c r="AH1269" s="6"/>
      <c r="AI1269" s="6"/>
      <c r="AJ1269" s="6"/>
      <c r="AK1269" s="6"/>
      <c r="AL1269" s="6"/>
    </row>
    <row r="1270" spans="1:38">
      <c r="A1270" s="96">
        <f ca="1">IFERROR(__xludf.DUMMYFUNCTION("""COMPUTED_VALUE"""),44834)</f>
        <v>44834</v>
      </c>
      <c r="B1270" s="6" t="str">
        <f ca="1">IFERROR(__xludf.DUMMYFUNCTION("""COMPUTED_VALUE"""),"Akanksha")</f>
        <v>Akanksha</v>
      </c>
      <c r="C1270" s="6" t="str">
        <f ca="1">IFERROR(__xludf.DUMMYFUNCTION("""COMPUTED_VALUE"""),"akanksha393@gmail.com")</f>
        <v>akanksha393@gmail.com</v>
      </c>
      <c r="D1270" s="6">
        <f ca="1">IFERROR(__xludf.DUMMYFUNCTION("""COMPUTED_VALUE"""),8506851068)</f>
        <v>8506851068</v>
      </c>
      <c r="E1270" s="6" t="str">
        <f ca="1">IFERROR(__xludf.DUMMYFUNCTION("""COMPUTED_VALUE"""),"Tollfree")</f>
        <v>Tollfree</v>
      </c>
      <c r="F1270" s="6" t="str">
        <f ca="1">IFERROR(__xludf.DUMMYFUNCTION("""COMPUTED_VALUE"""),"CSM")</f>
        <v>CSM</v>
      </c>
      <c r="G1270" s="80">
        <f ca="1">IFERROR(__xludf.DUMMYFUNCTION("""COMPUTED_VALUE"""),44805)</f>
        <v>44805</v>
      </c>
      <c r="H1270" s="6" t="str">
        <f ca="1">IFERROR(__xludf.DUMMYFUNCTION("""COMPUTED_VALUE"""),"Won")</f>
        <v>Won</v>
      </c>
      <c r="I1270" s="6" t="str">
        <f ca="1">IFERROR(__xludf.DUMMYFUNCTION("""COMPUTED_VALUE"""),"15-17 Oct 2022")</f>
        <v>15-17 Oct 2022</v>
      </c>
      <c r="J1270" s="6">
        <f ca="1">IFERROR(__xludf.DUMMYFUNCTION("""COMPUTED_VALUE"""),1)</f>
        <v>1</v>
      </c>
      <c r="K1270" s="8">
        <f ca="1">IFERROR(__xludf.DUMMYFUNCTION("""COMPUTED_VALUE"""),20000)</f>
        <v>20000</v>
      </c>
      <c r="L1270" s="8">
        <f ca="1">IFERROR(__xludf.DUMMYFUNCTION("""COMPUTED_VALUE"""),229.042601923957)</f>
        <v>229.04260192395699</v>
      </c>
      <c r="M1270" s="96">
        <f ca="1">IFERROR(__xludf.DUMMYFUNCTION("""COMPUTED_VALUE"""),44834)</f>
        <v>44834</v>
      </c>
      <c r="N1270" s="6" t="str">
        <f ca="1">IFERROR(__xludf.DUMMYFUNCTION("""COMPUTED_VALUE"""),"T10")</f>
        <v>T10</v>
      </c>
      <c r="O1270" s="97">
        <f ca="1">IFERROR(__xludf.DUMMYFUNCTION("""COMPUTED_VALUE"""),44834)</f>
        <v>44834</v>
      </c>
      <c r="P1270" s="6" t="str">
        <f ca="1">IFERROR(__xludf.DUMMYFUNCTION("""COMPUTED_VALUE"""),"CSTM_E2A2YGJD3WG")</f>
        <v>CSTM_E2A2YGJD3WG</v>
      </c>
      <c r="Q1270" s="6"/>
      <c r="R1270" s="6" t="str">
        <f ca="1">IFERROR(__xludf.DUMMYFUNCTION("""COMPUTED_VALUE"""),"Pending")</f>
        <v>Pending</v>
      </c>
      <c r="S1270" s="6" t="str">
        <f ca="1">IFERROR(__xludf.DUMMYFUNCTION("""COMPUTED_VALUE"""),"Category")</f>
        <v>Category</v>
      </c>
      <c r="T1270" s="6"/>
      <c r="U1270" s="6"/>
      <c r="V1270" s="6"/>
      <c r="W1270" s="6"/>
      <c r="X1270" s="6"/>
      <c r="Y1270" s="6"/>
      <c r="Z1270" s="6"/>
      <c r="AA1270" s="6"/>
      <c r="AB1270" s="6"/>
      <c r="AC1270" s="6"/>
      <c r="AD1270" s="6"/>
      <c r="AE1270" s="6"/>
      <c r="AF1270" s="6"/>
      <c r="AG1270" s="6"/>
      <c r="AH1270" s="6"/>
      <c r="AI1270" s="6"/>
      <c r="AJ1270" s="6"/>
      <c r="AK1270" s="6"/>
      <c r="AL1270" s="6"/>
    </row>
    <row r="1271" spans="1:38">
      <c r="A1271" s="96">
        <f ca="1">IFERROR(__xludf.DUMMYFUNCTION("""COMPUTED_VALUE"""),44834)</f>
        <v>44834</v>
      </c>
      <c r="B1271" s="6" t="str">
        <f ca="1">IFERROR(__xludf.DUMMYFUNCTION("""COMPUTED_VALUE"""),"Padma Mesa")</f>
        <v>Padma Mesa</v>
      </c>
      <c r="C1271" s="6" t="str">
        <f ca="1">IFERROR(__xludf.DUMMYFUNCTION("""COMPUTED_VALUE"""),"padma.mesa@gmail.com")</f>
        <v>padma.mesa@gmail.com</v>
      </c>
      <c r="D1271" s="6">
        <f ca="1">IFERROR(__xludf.DUMMYFUNCTION("""COMPUTED_VALUE"""),9901977148)</f>
        <v>9901977148</v>
      </c>
      <c r="E1271" s="6" t="str">
        <f ca="1">IFERROR(__xludf.DUMMYFUNCTION("""COMPUTED_VALUE"""),"Reference")</f>
        <v>Reference</v>
      </c>
      <c r="F1271" s="6" t="str">
        <f ca="1">IFERROR(__xludf.DUMMYFUNCTION("""COMPUTED_VALUE"""),"PSPO")</f>
        <v>PSPO</v>
      </c>
      <c r="G1271" s="80">
        <f ca="1">IFERROR(__xludf.DUMMYFUNCTION("""COMPUTED_VALUE"""),44805)</f>
        <v>44805</v>
      </c>
      <c r="H1271" s="6" t="str">
        <f ca="1">IFERROR(__xludf.DUMMYFUNCTION("""COMPUTED_VALUE"""),"Won")</f>
        <v>Won</v>
      </c>
      <c r="I1271" s="6" t="str">
        <f ca="1">IFERROR(__xludf.DUMMYFUNCTION("""COMPUTED_VALUE"""),"8-9 Oct 2022")</f>
        <v>8-9 Oct 2022</v>
      </c>
      <c r="J1271" s="6">
        <f ca="1">IFERROR(__xludf.DUMMYFUNCTION("""COMPUTED_VALUE"""),1)</f>
        <v>1</v>
      </c>
      <c r="K1271" s="8">
        <f ca="1">IFERROR(__xludf.DUMMYFUNCTION("""COMPUTED_VALUE"""),21000)</f>
        <v>21000</v>
      </c>
      <c r="L1271" s="8">
        <f ca="1">IFERROR(__xludf.DUMMYFUNCTION("""COMPUTED_VALUE"""),240.494732020155)</f>
        <v>240.494732020155</v>
      </c>
      <c r="M1271" s="96">
        <f ca="1">IFERROR(__xludf.DUMMYFUNCTION("""COMPUTED_VALUE"""),44834)</f>
        <v>44834</v>
      </c>
      <c r="N1271" s="6" t="str">
        <f ca="1">IFERROR(__xludf.DUMMYFUNCTION("""COMPUTED_VALUE"""),"T10")</f>
        <v>T10</v>
      </c>
      <c r="O1271" s="97">
        <f ca="1">IFERROR(__xludf.DUMMYFUNCTION("""COMPUTED_VALUE"""),44834)</f>
        <v>44834</v>
      </c>
      <c r="P1271" s="6" t="str">
        <f ca="1">IFERROR(__xludf.DUMMYFUNCTION("""COMPUTED_VALUE"""),"CSTM_H6V17I6VD72")</f>
        <v>CSTM_H6V17I6VD72</v>
      </c>
      <c r="Q1271" s="6" t="str">
        <f ca="1">IFERROR(__xludf.DUMMYFUNCTION("""COMPUTED_VALUE"""),"Aurko")</f>
        <v>Aurko</v>
      </c>
      <c r="R1271" s="6" t="str">
        <f ca="1">IFERROR(__xludf.DUMMYFUNCTION("""COMPUTED_VALUE"""),"Pending")</f>
        <v>Pending</v>
      </c>
      <c r="S1271" s="6" t="str">
        <f ca="1">IFERROR(__xludf.DUMMYFUNCTION("""COMPUTED_VALUE"""),"Category")</f>
        <v>Category</v>
      </c>
      <c r="T1271" s="6" t="str">
        <f ca="1">IFERROR(__xludf.DUMMYFUNCTION("""COMPUTED_VALUE"""),"Aurko - Pending")</f>
        <v>Aurko - Pending</v>
      </c>
      <c r="U1271" s="6"/>
      <c r="V1271" s="6"/>
      <c r="W1271" s="6"/>
      <c r="X1271" s="6"/>
      <c r="Y1271" s="6"/>
      <c r="Z1271" s="6"/>
      <c r="AA1271" s="6"/>
      <c r="AB1271" s="6"/>
      <c r="AC1271" s="6"/>
      <c r="AD1271" s="6"/>
      <c r="AE1271" s="6"/>
      <c r="AF1271" s="6"/>
      <c r="AG1271" s="6"/>
      <c r="AH1271" s="6"/>
      <c r="AI1271" s="6"/>
      <c r="AJ1271" s="6"/>
      <c r="AK1271" s="6"/>
      <c r="AL1271" s="6"/>
    </row>
    <row r="1272" spans="1:38">
      <c r="A1272" s="96">
        <f ca="1">IFERROR(__xludf.DUMMYFUNCTION("""COMPUTED_VALUE"""),44835)</f>
        <v>44835</v>
      </c>
      <c r="B1272" s="6" t="str">
        <f ca="1">IFERROR(__xludf.DUMMYFUNCTION("""COMPUTED_VALUE"""),"Shamsu")</f>
        <v>Shamsu</v>
      </c>
      <c r="C1272" s="6" t="str">
        <f ca="1">IFERROR(__xludf.DUMMYFUNCTION("""COMPUTED_VALUE"""),"shamsuvkd@gmail.com")</f>
        <v>shamsuvkd@gmail.com</v>
      </c>
      <c r="D1272" s="6">
        <f ca="1">IFERROR(__xludf.DUMMYFUNCTION("""COMPUTED_VALUE"""),9447350680)</f>
        <v>9447350680</v>
      </c>
      <c r="E1272" s="6" t="str">
        <f ca="1">IFERROR(__xludf.DUMMYFUNCTION("""COMPUTED_VALUE"""),"Chat_triggered")</f>
        <v>Chat_triggered</v>
      </c>
      <c r="F1272" s="6" t="str">
        <f ca="1">IFERROR(__xludf.DUMMYFUNCTION("""COMPUTED_VALUE"""),"PSM")</f>
        <v>PSM</v>
      </c>
      <c r="G1272" s="80">
        <f ca="1">IFERROR(__xludf.DUMMYFUNCTION("""COMPUTED_VALUE"""),44835)</f>
        <v>44835</v>
      </c>
      <c r="H1272" s="6" t="str">
        <f ca="1">IFERROR(__xludf.DUMMYFUNCTION("""COMPUTED_VALUE"""),"Won")</f>
        <v>Won</v>
      </c>
      <c r="I1272" s="6" t="str">
        <f ca="1">IFERROR(__xludf.DUMMYFUNCTION("""COMPUTED_VALUE"""),"15-16 Oct 2022")</f>
        <v>15-16 Oct 2022</v>
      </c>
      <c r="J1272" s="6">
        <f ca="1">IFERROR(__xludf.DUMMYFUNCTION("""COMPUTED_VALUE"""),1)</f>
        <v>1</v>
      </c>
      <c r="K1272" s="8">
        <f ca="1">IFERROR(__xludf.DUMMYFUNCTION("""COMPUTED_VALUE"""),20500)</f>
        <v>20500</v>
      </c>
      <c r="L1272" s="8">
        <f ca="1">IFERROR(__xludf.DUMMYFUNCTION("""COMPUTED_VALUE"""),234.768666972056)</f>
        <v>234.768666972056</v>
      </c>
      <c r="M1272" s="96">
        <f ca="1">IFERROR(__xludf.DUMMYFUNCTION("""COMPUTED_VALUE"""),44835)</f>
        <v>44835</v>
      </c>
      <c r="N1272" s="6" t="str">
        <f ca="1">IFERROR(__xludf.DUMMYFUNCTION("""COMPUTED_VALUE"""),"F10")</f>
        <v>F10</v>
      </c>
      <c r="O1272" s="97">
        <f ca="1">IFERROR(__xludf.DUMMYFUNCTION("""COMPUTED_VALUE"""),44837)</f>
        <v>44837</v>
      </c>
      <c r="P1272" s="6" t="str">
        <f ca="1">IFERROR(__xludf.DUMMYFUNCTION("""COMPUTED_VALUE"""),"CSTM_2Z0B6RCOSNQ")</f>
        <v>CSTM_2Z0B6RCOSNQ</v>
      </c>
      <c r="Q1272" s="6"/>
      <c r="R1272" s="6" t="str">
        <f ca="1">IFERROR(__xludf.DUMMYFUNCTION("""COMPUTED_VALUE"""),"Pending")</f>
        <v>Pending</v>
      </c>
      <c r="S1272" s="6" t="str">
        <f ca="1">IFERROR(__xludf.DUMMYFUNCTION("""COMPUTED_VALUE"""),"Category")</f>
        <v>Category</v>
      </c>
      <c r="T1272" s="6"/>
      <c r="U1272" s="6"/>
      <c r="V1272" s="6"/>
      <c r="W1272" s="6"/>
      <c r="X1272" s="6"/>
      <c r="Y1272" s="6"/>
      <c r="Z1272" s="6"/>
      <c r="AA1272" s="6"/>
      <c r="AB1272" s="6"/>
      <c r="AC1272" s="6"/>
      <c r="AD1272" s="6"/>
      <c r="AE1272" s="6"/>
      <c r="AF1272" s="6"/>
      <c r="AG1272" s="6"/>
      <c r="AH1272" s="6"/>
      <c r="AI1272" s="6"/>
      <c r="AJ1272" s="6"/>
      <c r="AK1272" s="6"/>
      <c r="AL1272" s="6"/>
    </row>
    <row r="1273" spans="1:38">
      <c r="A1273" s="96">
        <f ca="1">IFERROR(__xludf.DUMMYFUNCTION("""COMPUTED_VALUE"""),44835)</f>
        <v>44835</v>
      </c>
      <c r="B1273" s="6" t="str">
        <f ca="1">IFERROR(__xludf.DUMMYFUNCTION("""COMPUTED_VALUE"""),"Akhtar Waseem")</f>
        <v>Akhtar Waseem</v>
      </c>
      <c r="C1273" s="6" t="str">
        <f ca="1">IFERROR(__xludf.DUMMYFUNCTION("""COMPUTED_VALUE"""),"akhtar.waseem4@gmail.com")</f>
        <v>akhtar.waseem4@gmail.com</v>
      </c>
      <c r="D1273" s="6">
        <f ca="1">IFERROR(__xludf.DUMMYFUNCTION("""COMPUTED_VALUE"""),9958002904)</f>
        <v>9958002904</v>
      </c>
      <c r="E1273" s="6" t="str">
        <f ca="1">IFERROR(__xludf.DUMMYFUNCTION("""COMPUTED_VALUE"""),"Query box")</f>
        <v>Query box</v>
      </c>
      <c r="F1273" s="6" t="str">
        <f ca="1">IFERROR(__xludf.DUMMYFUNCTION("""COMPUTED_VALUE"""),"PSPO")</f>
        <v>PSPO</v>
      </c>
      <c r="G1273" s="80">
        <f ca="1">IFERROR(__xludf.DUMMYFUNCTION("""COMPUTED_VALUE"""),44835)</f>
        <v>44835</v>
      </c>
      <c r="H1273" s="6" t="str">
        <f ca="1">IFERROR(__xludf.DUMMYFUNCTION("""COMPUTED_VALUE"""),"Won")</f>
        <v>Won</v>
      </c>
      <c r="I1273" s="6" t="str">
        <f ca="1">IFERROR(__xludf.DUMMYFUNCTION("""COMPUTED_VALUE"""),"8-9 Oct 2022")</f>
        <v>8-9 Oct 2022</v>
      </c>
      <c r="J1273" s="6">
        <f ca="1">IFERROR(__xludf.DUMMYFUNCTION("""COMPUTED_VALUE"""),1)</f>
        <v>1</v>
      </c>
      <c r="K1273" s="8">
        <f ca="1">IFERROR(__xludf.DUMMYFUNCTION("""COMPUTED_VALUE"""),21000)</f>
        <v>21000</v>
      </c>
      <c r="L1273" s="8">
        <f ca="1">IFERROR(__xludf.DUMMYFUNCTION("""COMPUTED_VALUE"""),240.494732020155)</f>
        <v>240.494732020155</v>
      </c>
      <c r="M1273" s="96">
        <f ca="1">IFERROR(__xludf.DUMMYFUNCTION("""COMPUTED_VALUE"""),44835)</f>
        <v>44835</v>
      </c>
      <c r="N1273" s="6" t="str">
        <f ca="1">IFERROR(__xludf.DUMMYFUNCTION("""COMPUTED_VALUE"""),"F10")</f>
        <v>F10</v>
      </c>
      <c r="O1273" s="97">
        <f ca="1">IFERROR(__xludf.DUMMYFUNCTION("""COMPUTED_VALUE"""),44835)</f>
        <v>44835</v>
      </c>
      <c r="P1273" s="6" t="str">
        <f ca="1">IFERROR(__xludf.DUMMYFUNCTION("""COMPUTED_VALUE"""),"CSTM_8633CJXNTXN")</f>
        <v>CSTM_8633CJXNTXN</v>
      </c>
      <c r="Q1273" s="6"/>
      <c r="R1273" s="6" t="str">
        <f ca="1">IFERROR(__xludf.DUMMYFUNCTION("""COMPUTED_VALUE"""),"Pending")</f>
        <v>Pending</v>
      </c>
      <c r="S1273" s="6" t="str">
        <f ca="1">IFERROR(__xludf.DUMMYFUNCTION("""COMPUTED_VALUE"""),"Category")</f>
        <v>Category</v>
      </c>
      <c r="T1273" s="6"/>
      <c r="U1273" s="6"/>
      <c r="V1273" s="6"/>
      <c r="W1273" s="6"/>
      <c r="X1273" s="6"/>
      <c r="Y1273" s="6"/>
      <c r="Z1273" s="6"/>
      <c r="AA1273" s="6"/>
      <c r="AB1273" s="6"/>
      <c r="AC1273" s="6"/>
      <c r="AD1273" s="6"/>
      <c r="AE1273" s="6"/>
      <c r="AF1273" s="6"/>
      <c r="AG1273" s="6"/>
      <c r="AH1273" s="6"/>
      <c r="AI1273" s="6"/>
      <c r="AJ1273" s="6"/>
      <c r="AK1273" s="6"/>
      <c r="AL1273" s="6"/>
    </row>
    <row r="1274" spans="1:38">
      <c r="A1274" s="96">
        <f ca="1">IFERROR(__xludf.DUMMYFUNCTION("""COMPUTED_VALUE"""),44837)</f>
        <v>44837</v>
      </c>
      <c r="B1274" s="6" t="str">
        <f ca="1">IFERROR(__xludf.DUMMYFUNCTION("""COMPUTED_VALUE"""),"Hymavathy Chokanath")</f>
        <v>Hymavathy Chokanath</v>
      </c>
      <c r="C1274" s="6" t="str">
        <f ca="1">IFERROR(__xludf.DUMMYFUNCTION("""COMPUTED_VALUE"""),"chymavathy@hotmail.com")</f>
        <v>chymavathy@hotmail.com</v>
      </c>
      <c r="D1274" s="6">
        <f ca="1">IFERROR(__xludf.DUMMYFUNCTION("""COMPUTED_VALUE"""),9840679906)</f>
        <v>9840679906</v>
      </c>
      <c r="E1274" s="6" t="str">
        <f ca="1">IFERROR(__xludf.DUMMYFUNCTION("""COMPUTED_VALUE"""),"Query box")</f>
        <v>Query box</v>
      </c>
      <c r="F1274" s="6" t="str">
        <f ca="1">IFERROR(__xludf.DUMMYFUNCTION("""COMPUTED_VALUE"""),"SAFe Agile")</f>
        <v>SAFe Agile</v>
      </c>
      <c r="G1274" s="80">
        <f ca="1">IFERROR(__xludf.DUMMYFUNCTION("""COMPUTED_VALUE"""),44835)</f>
        <v>44835</v>
      </c>
      <c r="H1274" s="6" t="str">
        <f ca="1">IFERROR(__xludf.DUMMYFUNCTION("""COMPUTED_VALUE"""),"Won")</f>
        <v>Won</v>
      </c>
      <c r="I1274" s="6" t="str">
        <f ca="1">IFERROR(__xludf.DUMMYFUNCTION("""COMPUTED_VALUE"""),"8-9 Oct 2022")</f>
        <v>8-9 Oct 2022</v>
      </c>
      <c r="J1274" s="6">
        <f ca="1">IFERROR(__xludf.DUMMYFUNCTION("""COMPUTED_VALUE"""),1)</f>
        <v>1</v>
      </c>
      <c r="K1274" s="8">
        <f ca="1">IFERROR(__xludf.DUMMYFUNCTION("""COMPUTED_VALUE"""),42000)</f>
        <v>42000</v>
      </c>
      <c r="L1274" s="8">
        <f ca="1">IFERROR(__xludf.DUMMYFUNCTION("""COMPUTED_VALUE"""),480.989464040311)</f>
        <v>480.98946404031102</v>
      </c>
      <c r="M1274" s="96">
        <f ca="1">IFERROR(__xludf.DUMMYFUNCTION("""COMPUTED_VALUE"""),44837)</f>
        <v>44837</v>
      </c>
      <c r="N1274" s="6" t="str">
        <f ca="1">IFERROR(__xludf.DUMMYFUNCTION("""COMPUTED_VALUE"""),"F10")</f>
        <v>F10</v>
      </c>
      <c r="O1274" s="97">
        <f ca="1">IFERROR(__xludf.DUMMYFUNCTION("""COMPUTED_VALUE"""),44837)</f>
        <v>44837</v>
      </c>
      <c r="P1274" s="6" t="str">
        <f ca="1">IFERROR(__xludf.DUMMYFUNCTION("""COMPUTED_VALUE"""),"CSTM_C6GQ1RDP0EQ")</f>
        <v>CSTM_C6GQ1RDP0EQ</v>
      </c>
      <c r="Q1274" s="6"/>
      <c r="R1274" s="6" t="str">
        <f ca="1">IFERROR(__xludf.DUMMYFUNCTION("""COMPUTED_VALUE"""),"Pending")</f>
        <v>Pending</v>
      </c>
      <c r="S1274" s="6" t="str">
        <f ca="1">IFERROR(__xludf.DUMMYFUNCTION("""COMPUTED_VALUE"""),"SAFe")</f>
        <v>SAFe</v>
      </c>
      <c r="T1274" s="6"/>
      <c r="U1274" s="6"/>
      <c r="V1274" s="6"/>
      <c r="W1274" s="6"/>
      <c r="X1274" s="6"/>
      <c r="Y1274" s="6"/>
      <c r="Z1274" s="6"/>
      <c r="AA1274" s="6"/>
      <c r="AB1274" s="6"/>
      <c r="AC1274" s="6"/>
      <c r="AD1274" s="6"/>
      <c r="AE1274" s="6"/>
      <c r="AF1274" s="6"/>
      <c r="AG1274" s="6"/>
      <c r="AH1274" s="6"/>
      <c r="AI1274" s="6"/>
      <c r="AJ1274" s="6"/>
      <c r="AK1274" s="6"/>
      <c r="AL1274" s="6"/>
    </row>
    <row r="1275" spans="1:38">
      <c r="A1275" s="96">
        <f ca="1">IFERROR(__xludf.DUMMYFUNCTION("""COMPUTED_VALUE"""),44837)</f>
        <v>44837</v>
      </c>
      <c r="B1275" s="6" t="str">
        <f ca="1">IFERROR(__xludf.DUMMYFUNCTION("""COMPUTED_VALUE"""),"Saranya")</f>
        <v>Saranya</v>
      </c>
      <c r="C1275" s="6" t="str">
        <f ca="1">IFERROR(__xludf.DUMMYFUNCTION("""COMPUTED_VALUE"""),"dhanya990@gmail.com")</f>
        <v>dhanya990@gmail.com</v>
      </c>
      <c r="D1275" s="6">
        <f ca="1">IFERROR(__xludf.DUMMYFUNCTION("""COMPUTED_VALUE"""),9003661611)</f>
        <v>9003661611</v>
      </c>
      <c r="E1275" s="6" t="str">
        <f ca="1">IFERROR(__xludf.DUMMYFUNCTION("""COMPUTED_VALUE"""),"Existing Account")</f>
        <v>Existing Account</v>
      </c>
      <c r="F1275" s="6" t="str">
        <f ca="1">IFERROR(__xludf.DUMMYFUNCTION("""COMPUTED_VALUE"""),"ITIL v4")</f>
        <v>ITIL v4</v>
      </c>
      <c r="G1275" s="80">
        <f ca="1">IFERROR(__xludf.DUMMYFUNCTION("""COMPUTED_VALUE"""),44835)</f>
        <v>44835</v>
      </c>
      <c r="H1275" s="6" t="str">
        <f ca="1">IFERROR(__xludf.DUMMYFUNCTION("""COMPUTED_VALUE"""),"Opportunity")</f>
        <v>Opportunity</v>
      </c>
      <c r="I1275" s="6" t="str">
        <f ca="1">IFERROR(__xludf.DUMMYFUNCTION("""COMPUTED_VALUE"""),"8 Oct 2022")</f>
        <v>8 Oct 2022</v>
      </c>
      <c r="J1275" s="6">
        <f ca="1">IFERROR(__xludf.DUMMYFUNCTION("""COMPUTED_VALUE"""),1)</f>
        <v>1</v>
      </c>
      <c r="K1275" s="8">
        <f ca="1">IFERROR(__xludf.DUMMYFUNCTION("""COMPUTED_VALUE"""),19200)</f>
        <v>19200</v>
      </c>
      <c r="L1275" s="8">
        <f ca="1">IFERROR(__xludf.DUMMYFUNCTION("""COMPUTED_VALUE"""),219.880897846999)</f>
        <v>219.88089784699901</v>
      </c>
      <c r="M1275" s="96">
        <f ca="1">IFERROR(__xludf.DUMMYFUNCTION("""COMPUTED_VALUE"""),44837)</f>
        <v>44837</v>
      </c>
      <c r="N1275" s="6"/>
      <c r="O1275" s="97"/>
      <c r="P1275" s="6"/>
      <c r="Q1275" s="6"/>
      <c r="R1275" s="6"/>
      <c r="S1275" s="6" t="str">
        <f ca="1">IFERROR(__xludf.DUMMYFUNCTION("""COMPUTED_VALUE"""),"NonCategory")</f>
        <v>NonCategory</v>
      </c>
      <c r="T1275" s="6"/>
      <c r="U1275" s="6"/>
      <c r="V1275" s="6"/>
      <c r="W1275" s="6"/>
      <c r="X1275" s="6"/>
      <c r="Y1275" s="6"/>
      <c r="Z1275" s="6"/>
      <c r="AA1275" s="6"/>
      <c r="AB1275" s="6"/>
      <c r="AC1275" s="6"/>
      <c r="AD1275" s="6"/>
      <c r="AE1275" s="6"/>
      <c r="AF1275" s="6"/>
      <c r="AG1275" s="6"/>
      <c r="AH1275" s="6"/>
      <c r="AI1275" s="6"/>
      <c r="AJ1275" s="6"/>
      <c r="AK1275" s="6"/>
      <c r="AL1275" s="6"/>
    </row>
    <row r="1276" spans="1:38">
      <c r="A1276" s="96">
        <f ca="1">IFERROR(__xludf.DUMMYFUNCTION("""COMPUTED_VALUE"""),44837)</f>
        <v>44837</v>
      </c>
      <c r="B1276" s="6" t="str">
        <f ca="1">IFERROR(__xludf.DUMMYFUNCTION("""COMPUTED_VALUE"""),"Ranjitha")</f>
        <v>Ranjitha</v>
      </c>
      <c r="C1276" s="6" t="str">
        <f ca="1">IFERROR(__xludf.DUMMYFUNCTION("""COMPUTED_VALUE"""),"ranjitha.3087@gmail.com")</f>
        <v>ranjitha.3087@gmail.com</v>
      </c>
      <c r="D1276" s="6">
        <f ca="1">IFERROR(__xludf.DUMMYFUNCTION("""COMPUTED_VALUE"""),8861342000)</f>
        <v>8861342000</v>
      </c>
      <c r="E1276" s="6" t="str">
        <f ca="1">IFERROR(__xludf.DUMMYFUNCTION("""COMPUTED_VALUE"""),"course agenda")</f>
        <v>course agenda</v>
      </c>
      <c r="F1276" s="6" t="str">
        <f ca="1">IFERROR(__xludf.DUMMYFUNCTION("""COMPUTED_VALUE"""),"PSM")</f>
        <v>PSM</v>
      </c>
      <c r="G1276" s="80">
        <f ca="1">IFERROR(__xludf.DUMMYFUNCTION("""COMPUTED_VALUE"""),44835)</f>
        <v>44835</v>
      </c>
      <c r="H1276" s="6" t="str">
        <f ca="1">IFERROR(__xludf.DUMMYFUNCTION("""COMPUTED_VALUE"""),"Won")</f>
        <v>Won</v>
      </c>
      <c r="I1276" s="6" t="str">
        <f ca="1">IFERROR(__xludf.DUMMYFUNCTION("""COMPUTED_VALUE"""),"8-9 Oct 2022")</f>
        <v>8-9 Oct 2022</v>
      </c>
      <c r="J1276" s="6">
        <f ca="1">IFERROR(__xludf.DUMMYFUNCTION("""COMPUTED_VALUE"""),1)</f>
        <v>1</v>
      </c>
      <c r="K1276" s="8">
        <f ca="1">IFERROR(__xludf.DUMMYFUNCTION("""COMPUTED_VALUE"""),21000)</f>
        <v>21000</v>
      </c>
      <c r="L1276" s="8">
        <f ca="1">IFERROR(__xludf.DUMMYFUNCTION("""COMPUTED_VALUE"""),240.494732020155)</f>
        <v>240.494732020155</v>
      </c>
      <c r="M1276" s="96">
        <f ca="1">IFERROR(__xludf.DUMMYFUNCTION("""COMPUTED_VALUE"""),44837)</f>
        <v>44837</v>
      </c>
      <c r="N1276" s="6" t="str">
        <f ca="1">IFERROR(__xludf.DUMMYFUNCTION("""COMPUTED_VALUE"""),"F10")</f>
        <v>F10</v>
      </c>
      <c r="O1276" s="97">
        <f ca="1">IFERROR(__xludf.DUMMYFUNCTION("""COMPUTED_VALUE"""),44837)</f>
        <v>44837</v>
      </c>
      <c r="P1276" s="6" t="str">
        <f ca="1">IFERROR(__xludf.DUMMYFUNCTION("""COMPUTED_VALUE"""),"CSTM_AZYZ68HTY5D")</f>
        <v>CSTM_AZYZ68HTY5D</v>
      </c>
      <c r="Q1276" s="6"/>
      <c r="R1276" s="6" t="str">
        <f ca="1">IFERROR(__xludf.DUMMYFUNCTION("""COMPUTED_VALUE"""),"Pending")</f>
        <v>Pending</v>
      </c>
      <c r="S1276" s="6" t="str">
        <f ca="1">IFERROR(__xludf.DUMMYFUNCTION("""COMPUTED_VALUE"""),"Category")</f>
        <v>Category</v>
      </c>
      <c r="T1276" s="6"/>
      <c r="U1276" s="6"/>
      <c r="V1276" s="6"/>
      <c r="W1276" s="6"/>
      <c r="X1276" s="6"/>
      <c r="Y1276" s="6"/>
      <c r="Z1276" s="6"/>
      <c r="AA1276" s="6"/>
      <c r="AB1276" s="6"/>
      <c r="AC1276" s="6"/>
      <c r="AD1276" s="6"/>
      <c r="AE1276" s="6"/>
      <c r="AF1276" s="6"/>
      <c r="AG1276" s="6"/>
      <c r="AH1276" s="6"/>
      <c r="AI1276" s="6"/>
      <c r="AJ1276" s="6"/>
      <c r="AK1276" s="6"/>
      <c r="AL1276" s="6"/>
    </row>
    <row r="1277" spans="1:38">
      <c r="A1277" s="96">
        <f ca="1">IFERROR(__xludf.DUMMYFUNCTION("""COMPUTED_VALUE"""),44837)</f>
        <v>44837</v>
      </c>
      <c r="B1277" s="6" t="str">
        <f ca="1">IFERROR(__xludf.DUMMYFUNCTION("""COMPUTED_VALUE"""),"Anuja")</f>
        <v>Anuja</v>
      </c>
      <c r="C1277" s="6" t="str">
        <f ca="1">IFERROR(__xludf.DUMMYFUNCTION("""COMPUTED_VALUE"""),"shewaleanuja@ymail.com")</f>
        <v>shewaleanuja@ymail.com</v>
      </c>
      <c r="D1277" s="6">
        <f ca="1">IFERROR(__xludf.DUMMYFUNCTION("""COMPUTED_VALUE"""),7709833089)</f>
        <v>7709833089</v>
      </c>
      <c r="E1277" s="6" t="str">
        <f ca="1">IFERROR(__xludf.DUMMYFUNCTION("""COMPUTED_VALUE"""),"Existing Account")</f>
        <v>Existing Account</v>
      </c>
      <c r="F1277" s="6" t="str">
        <f ca="1">IFERROR(__xludf.DUMMYFUNCTION("""COMPUTED_VALUE"""),"PSM")</f>
        <v>PSM</v>
      </c>
      <c r="G1277" s="80">
        <f ca="1">IFERROR(__xludf.DUMMYFUNCTION("""COMPUTED_VALUE"""),44835)</f>
        <v>44835</v>
      </c>
      <c r="H1277" s="6" t="str">
        <f ca="1">IFERROR(__xludf.DUMMYFUNCTION("""COMPUTED_VALUE"""),"Won")</f>
        <v>Won</v>
      </c>
      <c r="I1277" s="6" t="str">
        <f ca="1">IFERROR(__xludf.DUMMYFUNCTION("""COMPUTED_VALUE"""),"8-9 Oct 2022")</f>
        <v>8-9 Oct 2022</v>
      </c>
      <c r="J1277" s="6">
        <f ca="1">IFERROR(__xludf.DUMMYFUNCTION("""COMPUTED_VALUE"""),1)</f>
        <v>1</v>
      </c>
      <c r="K1277" s="8">
        <f ca="1">IFERROR(__xludf.DUMMYFUNCTION("""COMPUTED_VALUE"""),21000)</f>
        <v>21000</v>
      </c>
      <c r="L1277" s="8">
        <f ca="1">IFERROR(__xludf.DUMMYFUNCTION("""COMPUTED_VALUE"""),240.494732020155)</f>
        <v>240.494732020155</v>
      </c>
      <c r="M1277" s="96">
        <f ca="1">IFERROR(__xludf.DUMMYFUNCTION("""COMPUTED_VALUE"""),44837)</f>
        <v>44837</v>
      </c>
      <c r="N1277" s="6" t="str">
        <f ca="1">IFERROR(__xludf.DUMMYFUNCTION("""COMPUTED_VALUE"""),"F10")</f>
        <v>F10</v>
      </c>
      <c r="O1277" s="97">
        <f ca="1">IFERROR(__xludf.DUMMYFUNCTION("""COMPUTED_VALUE"""),44837)</f>
        <v>44837</v>
      </c>
      <c r="P1277" s="6" t="str">
        <f ca="1">IFERROR(__xludf.DUMMYFUNCTION("""COMPUTED_VALUE"""),"CSTM_3GKH50QJNXH")</f>
        <v>CSTM_3GKH50QJNXH</v>
      </c>
      <c r="Q1277" s="6"/>
      <c r="R1277" s="6" t="str">
        <f ca="1">IFERROR(__xludf.DUMMYFUNCTION("""COMPUTED_VALUE"""),"Pending")</f>
        <v>Pending</v>
      </c>
      <c r="S1277" s="6" t="str">
        <f ca="1">IFERROR(__xludf.DUMMYFUNCTION("""COMPUTED_VALUE"""),"Category")</f>
        <v>Category</v>
      </c>
      <c r="T1277" s="6"/>
      <c r="U1277" s="6"/>
      <c r="V1277" s="6"/>
      <c r="W1277" s="6"/>
      <c r="X1277" s="6"/>
      <c r="Y1277" s="6"/>
      <c r="Z1277" s="6"/>
      <c r="AA1277" s="6"/>
      <c r="AB1277" s="6"/>
      <c r="AC1277" s="6"/>
      <c r="AD1277" s="6"/>
      <c r="AE1277" s="6"/>
      <c r="AF1277" s="6"/>
      <c r="AG1277" s="6"/>
      <c r="AH1277" s="6"/>
      <c r="AI1277" s="6"/>
      <c r="AJ1277" s="6"/>
      <c r="AK1277" s="6"/>
      <c r="AL1277" s="6"/>
    </row>
    <row r="1278" spans="1:38">
      <c r="A1278" s="96">
        <f ca="1">IFERROR(__xludf.DUMMYFUNCTION("""COMPUTED_VALUE"""),44837)</f>
        <v>44837</v>
      </c>
      <c r="B1278" s="6" t="str">
        <f ca="1">IFERROR(__xludf.DUMMYFUNCTION("""COMPUTED_VALUE"""),"Gokul Kadium")</f>
        <v>Gokul Kadium</v>
      </c>
      <c r="C1278" s="6" t="str">
        <f ca="1">IFERROR(__xludf.DUMMYFUNCTION("""COMPUTED_VALUE"""),"gokul.kadium@gmail.com")</f>
        <v>gokul.kadium@gmail.com</v>
      </c>
      <c r="D1278" s="6">
        <f ca="1">IFERROR(__xludf.DUMMYFUNCTION("""COMPUTED_VALUE"""),8552917476)</f>
        <v>8552917476</v>
      </c>
      <c r="E1278" s="6" t="str">
        <f ca="1">IFERROR(__xludf.DUMMYFUNCTION("""COMPUTED_VALUE"""),"Reference")</f>
        <v>Reference</v>
      </c>
      <c r="F1278" s="6" t="str">
        <f ca="1">IFERROR(__xludf.DUMMYFUNCTION("""COMPUTED_VALUE"""),"PSM")</f>
        <v>PSM</v>
      </c>
      <c r="G1278" s="80">
        <f ca="1">IFERROR(__xludf.DUMMYFUNCTION("""COMPUTED_VALUE"""),44835)</f>
        <v>44835</v>
      </c>
      <c r="H1278" s="6" t="str">
        <f ca="1">IFERROR(__xludf.DUMMYFUNCTION("""COMPUTED_VALUE"""),"Won")</f>
        <v>Won</v>
      </c>
      <c r="I1278" s="6" t="str">
        <f ca="1">IFERROR(__xludf.DUMMYFUNCTION("""COMPUTED_VALUE"""),"8-9 Oct 2022")</f>
        <v>8-9 Oct 2022</v>
      </c>
      <c r="J1278" s="6">
        <f ca="1">IFERROR(__xludf.DUMMYFUNCTION("""COMPUTED_VALUE"""),1)</f>
        <v>1</v>
      </c>
      <c r="K1278" s="8">
        <f ca="1">IFERROR(__xludf.DUMMYFUNCTION("""COMPUTED_VALUE"""),21000)</f>
        <v>21000</v>
      </c>
      <c r="L1278" s="8">
        <f ca="1">IFERROR(__xludf.DUMMYFUNCTION("""COMPUTED_VALUE"""),240.494732020155)</f>
        <v>240.494732020155</v>
      </c>
      <c r="M1278" s="96">
        <f ca="1">IFERROR(__xludf.DUMMYFUNCTION("""COMPUTED_VALUE"""),44837)</f>
        <v>44837</v>
      </c>
      <c r="N1278" s="6" t="str">
        <f ca="1">IFERROR(__xludf.DUMMYFUNCTION("""COMPUTED_VALUE"""),"F10")</f>
        <v>F10</v>
      </c>
      <c r="O1278" s="97">
        <f ca="1">IFERROR(__xludf.DUMMYFUNCTION("""COMPUTED_VALUE"""),44841)</f>
        <v>44841</v>
      </c>
      <c r="P1278" s="6" t="str">
        <f ca="1">IFERROR(__xludf.DUMMYFUNCTION("""COMPUTED_VALUE"""),"CSTM_BE38YRUU7V")</f>
        <v>CSTM_BE38YRUU7V</v>
      </c>
      <c r="Q1278" s="6" t="str">
        <f ca="1">IFERROR(__xludf.DUMMYFUNCTION("""COMPUTED_VALUE"""),"Reference by shewaleanuja@ymail.com")</f>
        <v>Reference by shewaleanuja@ymail.com</v>
      </c>
      <c r="R1278" s="6" t="str">
        <f ca="1">IFERROR(__xludf.DUMMYFUNCTION("""COMPUTED_VALUE"""),"Pending")</f>
        <v>Pending</v>
      </c>
      <c r="S1278" s="6" t="str">
        <f ca="1">IFERROR(__xludf.DUMMYFUNCTION("""COMPUTED_VALUE"""),"Category")</f>
        <v>Category</v>
      </c>
      <c r="T1278" s="6"/>
      <c r="U1278" s="6"/>
      <c r="V1278" s="6"/>
      <c r="W1278" s="6"/>
      <c r="X1278" s="6"/>
      <c r="Y1278" s="6"/>
      <c r="Z1278" s="6"/>
      <c r="AA1278" s="6"/>
      <c r="AB1278" s="6"/>
      <c r="AC1278" s="6"/>
      <c r="AD1278" s="6"/>
      <c r="AE1278" s="6"/>
      <c r="AF1278" s="6"/>
      <c r="AG1278" s="6"/>
      <c r="AH1278" s="6"/>
      <c r="AI1278" s="6"/>
      <c r="AJ1278" s="6"/>
      <c r="AK1278" s="6"/>
      <c r="AL1278" s="6"/>
    </row>
    <row r="1279" spans="1:38">
      <c r="A1279" s="96">
        <f ca="1">IFERROR(__xludf.DUMMYFUNCTION("""COMPUTED_VALUE"""),44837)</f>
        <v>44837</v>
      </c>
      <c r="B1279" s="6" t="str">
        <f ca="1">IFERROR(__xludf.DUMMYFUNCTION("""COMPUTED_VALUE"""),"Satyam Kalekar")</f>
        <v>Satyam Kalekar</v>
      </c>
      <c r="C1279" s="6" t="str">
        <f ca="1">IFERROR(__xludf.DUMMYFUNCTION("""COMPUTED_VALUE"""),"satya.kalekar@gmail.com")</f>
        <v>satya.kalekar@gmail.com</v>
      </c>
      <c r="D1279" s="6">
        <f ca="1">IFERROR(__xludf.DUMMYFUNCTION("""COMPUTED_VALUE"""),8975237888)</f>
        <v>8975237888</v>
      </c>
      <c r="E1279" s="6" t="str">
        <f ca="1">IFERROR(__xludf.DUMMYFUNCTION("""COMPUTED_VALUE"""),"Reference")</f>
        <v>Reference</v>
      </c>
      <c r="F1279" s="6" t="str">
        <f ca="1">IFERROR(__xludf.DUMMYFUNCTION("""COMPUTED_VALUE"""),"PSM")</f>
        <v>PSM</v>
      </c>
      <c r="G1279" s="80">
        <f ca="1">IFERROR(__xludf.DUMMYFUNCTION("""COMPUTED_VALUE"""),44835)</f>
        <v>44835</v>
      </c>
      <c r="H1279" s="6" t="str">
        <f ca="1">IFERROR(__xludf.DUMMYFUNCTION("""COMPUTED_VALUE"""),"Won")</f>
        <v>Won</v>
      </c>
      <c r="I1279" s="6" t="str">
        <f ca="1">IFERROR(__xludf.DUMMYFUNCTION("""COMPUTED_VALUE"""),"8-9 Oct 2022")</f>
        <v>8-9 Oct 2022</v>
      </c>
      <c r="J1279" s="6">
        <f ca="1">IFERROR(__xludf.DUMMYFUNCTION("""COMPUTED_VALUE"""),1)</f>
        <v>1</v>
      </c>
      <c r="K1279" s="8">
        <f ca="1">IFERROR(__xludf.DUMMYFUNCTION("""COMPUTED_VALUE"""),21000)</f>
        <v>21000</v>
      </c>
      <c r="L1279" s="8">
        <f ca="1">IFERROR(__xludf.DUMMYFUNCTION("""COMPUTED_VALUE"""),240.494732020155)</f>
        <v>240.494732020155</v>
      </c>
      <c r="M1279" s="96">
        <f ca="1">IFERROR(__xludf.DUMMYFUNCTION("""COMPUTED_VALUE"""),44837)</f>
        <v>44837</v>
      </c>
      <c r="N1279" s="6" t="str">
        <f ca="1">IFERROR(__xludf.DUMMYFUNCTION("""COMPUTED_VALUE"""),"F10")</f>
        <v>F10</v>
      </c>
      <c r="O1279" s="97">
        <f ca="1">IFERROR(__xludf.DUMMYFUNCTION("""COMPUTED_VALUE"""),44837)</f>
        <v>44837</v>
      </c>
      <c r="P1279" s="6" t="str">
        <f ca="1">IFERROR(__xludf.DUMMYFUNCTION("""COMPUTED_VALUE"""),"CSTM_54W4QIT5QQM")</f>
        <v>CSTM_54W4QIT5QQM</v>
      </c>
      <c r="Q1279" s="6" t="str">
        <f ca="1">IFERROR(__xludf.DUMMYFUNCTION("""COMPUTED_VALUE"""),"Reference by Adnan")</f>
        <v>Reference by Adnan</v>
      </c>
      <c r="R1279" s="6" t="str">
        <f ca="1">IFERROR(__xludf.DUMMYFUNCTION("""COMPUTED_VALUE"""),"Pending")</f>
        <v>Pending</v>
      </c>
      <c r="S1279" s="6" t="str">
        <f ca="1">IFERROR(__xludf.DUMMYFUNCTION("""COMPUTED_VALUE"""),"Category")</f>
        <v>Category</v>
      </c>
      <c r="T1279" s="6"/>
      <c r="U1279" s="6"/>
      <c r="V1279" s="6"/>
      <c r="W1279" s="6"/>
      <c r="X1279" s="6"/>
      <c r="Y1279" s="6"/>
      <c r="Z1279" s="6"/>
      <c r="AA1279" s="6"/>
      <c r="AB1279" s="6"/>
      <c r="AC1279" s="6"/>
      <c r="AD1279" s="6"/>
      <c r="AE1279" s="6"/>
      <c r="AF1279" s="6"/>
      <c r="AG1279" s="6"/>
      <c r="AH1279" s="6"/>
      <c r="AI1279" s="6"/>
      <c r="AJ1279" s="6"/>
      <c r="AK1279" s="6"/>
      <c r="AL1279" s="6"/>
    </row>
    <row r="1280" spans="1:38">
      <c r="A1280" s="96">
        <f ca="1">IFERROR(__xludf.DUMMYFUNCTION("""COMPUTED_VALUE"""),44838)</f>
        <v>44838</v>
      </c>
      <c r="B1280" s="6" t="str">
        <f ca="1">IFERROR(__xludf.DUMMYFUNCTION("""COMPUTED_VALUE"""),"Anamika Sharma")</f>
        <v>Anamika Sharma</v>
      </c>
      <c r="C1280" s="6" t="str">
        <f ca="1">IFERROR(__xludf.DUMMYFUNCTION("""COMPUTED_VALUE"""),"anamika.sharma07@gmail.com")</f>
        <v>anamika.sharma07@gmail.com</v>
      </c>
      <c r="D1280" s="6">
        <f ca="1">IFERROR(__xludf.DUMMYFUNCTION("""COMPUTED_VALUE"""),9845024036)</f>
        <v>9845024036</v>
      </c>
      <c r="E1280" s="6" t="str">
        <f ca="1">IFERROR(__xludf.DUMMYFUNCTION("""COMPUTED_VALUE"""),"Existing Account")</f>
        <v>Existing Account</v>
      </c>
      <c r="F1280" s="6" t="str">
        <f ca="1">IFERROR(__xludf.DUMMYFUNCTION("""COMPUTED_VALUE"""),"PSM 2")</f>
        <v>PSM 2</v>
      </c>
      <c r="G1280" s="80">
        <f ca="1">IFERROR(__xludf.DUMMYFUNCTION("""COMPUTED_VALUE"""),44835)</f>
        <v>44835</v>
      </c>
      <c r="H1280" s="6" t="str">
        <f ca="1">IFERROR(__xludf.DUMMYFUNCTION("""COMPUTED_VALUE"""),"Opportunity")</f>
        <v>Opportunity</v>
      </c>
      <c r="I1280" s="6" t="str">
        <f ca="1">IFERROR(__xludf.DUMMYFUNCTION("""COMPUTED_VALUE"""),"15-16 Oct 2022")</f>
        <v>15-16 Oct 2022</v>
      </c>
      <c r="J1280" s="6">
        <f ca="1">IFERROR(__xludf.DUMMYFUNCTION("""COMPUTED_VALUE"""),1)</f>
        <v>1</v>
      </c>
      <c r="K1280" s="8">
        <f ca="1">IFERROR(__xludf.DUMMYFUNCTION("""COMPUTED_VALUE"""),24000)</f>
        <v>24000</v>
      </c>
      <c r="L1280" s="8">
        <f ca="1">IFERROR(__xludf.DUMMYFUNCTION("""COMPUTED_VALUE"""),274.851122308749)</f>
        <v>274.85112230874898</v>
      </c>
      <c r="M1280" s="96">
        <f ca="1">IFERROR(__xludf.DUMMYFUNCTION("""COMPUTED_VALUE"""),44838)</f>
        <v>44838</v>
      </c>
      <c r="N1280" s="6"/>
      <c r="O1280" s="97"/>
      <c r="P1280" s="6"/>
      <c r="Q1280" s="6"/>
      <c r="R1280" s="6"/>
      <c r="S1280" s="6" t="str">
        <f ca="1">IFERROR(__xludf.DUMMYFUNCTION("""COMPUTED_VALUE"""),"Category")</f>
        <v>Category</v>
      </c>
      <c r="T1280" s="6"/>
      <c r="U1280" s="6"/>
      <c r="V1280" s="6"/>
      <c r="W1280" s="6"/>
      <c r="X1280" s="6"/>
      <c r="Y1280" s="6"/>
      <c r="Z1280" s="6"/>
      <c r="AA1280" s="6"/>
      <c r="AB1280" s="6"/>
      <c r="AC1280" s="6"/>
      <c r="AD1280" s="6"/>
      <c r="AE1280" s="6"/>
      <c r="AF1280" s="6"/>
      <c r="AG1280" s="6"/>
      <c r="AH1280" s="6"/>
      <c r="AI1280" s="6"/>
      <c r="AJ1280" s="6"/>
      <c r="AK1280" s="6"/>
      <c r="AL1280" s="6"/>
    </row>
    <row r="1281" spans="1:38">
      <c r="A1281" s="96">
        <f ca="1">IFERROR(__xludf.DUMMYFUNCTION("""COMPUTED_VALUE"""),44838)</f>
        <v>44838</v>
      </c>
      <c r="B1281" s="6" t="str">
        <f ca="1">IFERROR(__xludf.DUMMYFUNCTION("""COMPUTED_VALUE"""),"Anil Panama")</f>
        <v>Anil Panama</v>
      </c>
      <c r="C1281" s="6" t="str">
        <f ca="1">IFERROR(__xludf.DUMMYFUNCTION("""COMPUTED_VALUE"""),"panamagd@gmail.com")</f>
        <v>panamagd@gmail.com</v>
      </c>
      <c r="D1281" s="6">
        <f ca="1">IFERROR(__xludf.DUMMYFUNCTION("""COMPUTED_VALUE"""),7760800120)</f>
        <v>7760800120</v>
      </c>
      <c r="E1281" s="6" t="str">
        <f ca="1">IFERROR(__xludf.DUMMYFUNCTION("""COMPUTED_VALUE"""),"Reference")</f>
        <v>Reference</v>
      </c>
      <c r="F1281" s="6" t="str">
        <f ca="1">IFERROR(__xludf.DUMMYFUNCTION("""COMPUTED_VALUE"""),"PSM 2")</f>
        <v>PSM 2</v>
      </c>
      <c r="G1281" s="80">
        <f ca="1">IFERROR(__xludf.DUMMYFUNCTION("""COMPUTED_VALUE"""),44835)</f>
        <v>44835</v>
      </c>
      <c r="H1281" s="6" t="str">
        <f ca="1">IFERROR(__xludf.DUMMYFUNCTION("""COMPUTED_VALUE"""),"Won")</f>
        <v>Won</v>
      </c>
      <c r="I1281" s="6" t="str">
        <f ca="1">IFERROR(__xludf.DUMMYFUNCTION("""COMPUTED_VALUE"""),"26-27 Nov 2022")</f>
        <v>26-27 Nov 2022</v>
      </c>
      <c r="J1281" s="6">
        <f ca="1">IFERROR(__xludf.DUMMYFUNCTION("""COMPUTED_VALUE"""),1)</f>
        <v>1</v>
      </c>
      <c r="K1281" s="8">
        <f ca="1">IFERROR(__xludf.DUMMYFUNCTION("""COMPUTED_VALUE"""),24000)</f>
        <v>24000</v>
      </c>
      <c r="L1281" s="8">
        <f ca="1">IFERROR(__xludf.DUMMYFUNCTION("""COMPUTED_VALUE"""),274.851122308749)</f>
        <v>274.85112230874898</v>
      </c>
      <c r="M1281" s="96">
        <f ca="1">IFERROR(__xludf.DUMMYFUNCTION("""COMPUTED_VALUE"""),44838)</f>
        <v>44838</v>
      </c>
      <c r="N1281" s="6" t="str">
        <f ca="1">IFERROR(__xludf.DUMMYFUNCTION("""COMPUTED_VALUE"""),"F10")</f>
        <v>F10</v>
      </c>
      <c r="O1281" s="97">
        <f ca="1">IFERROR(__xludf.DUMMYFUNCTION("""COMPUTED_VALUE"""),44840)</f>
        <v>44840</v>
      </c>
      <c r="P1281" s="6" t="str">
        <f ca="1">IFERROR(__xludf.DUMMYFUNCTION("""COMPUTED_VALUE"""),"CSTM_5W6ODH7KK32")</f>
        <v>CSTM_5W6ODH7KK32</v>
      </c>
      <c r="Q1281" s="6"/>
      <c r="R1281" s="6" t="str">
        <f ca="1">IFERROR(__xludf.DUMMYFUNCTION("""COMPUTED_VALUE"""),"Pending")</f>
        <v>Pending</v>
      </c>
      <c r="S1281" s="6" t="str">
        <f ca="1">IFERROR(__xludf.DUMMYFUNCTION("""COMPUTED_VALUE"""),"Category")</f>
        <v>Category</v>
      </c>
      <c r="T1281" s="6"/>
      <c r="U1281" s="6"/>
      <c r="V1281" s="6"/>
      <c r="W1281" s="6"/>
      <c r="X1281" s="6"/>
      <c r="Y1281" s="6"/>
      <c r="Z1281" s="6"/>
      <c r="AA1281" s="6"/>
      <c r="AB1281" s="6"/>
      <c r="AC1281" s="6"/>
      <c r="AD1281" s="6"/>
      <c r="AE1281" s="6"/>
      <c r="AF1281" s="6"/>
      <c r="AG1281" s="6"/>
      <c r="AH1281" s="6"/>
      <c r="AI1281" s="6"/>
      <c r="AJ1281" s="6"/>
      <c r="AK1281" s="6"/>
      <c r="AL1281" s="6"/>
    </row>
    <row r="1282" spans="1:38">
      <c r="A1282" s="96">
        <f ca="1">IFERROR(__xludf.DUMMYFUNCTION("""COMPUTED_VALUE"""),44840)</f>
        <v>44840</v>
      </c>
      <c r="B1282" s="6" t="str">
        <f ca="1">IFERROR(__xludf.DUMMYFUNCTION("""COMPUTED_VALUE"""),"Prabhakar Jeewitesh")</f>
        <v>Prabhakar Jeewitesh</v>
      </c>
      <c r="C1282" s="6" t="str">
        <f ca="1">IFERROR(__xludf.DUMMYFUNCTION("""COMPUTED_VALUE"""),"prabhakarjkp@gmail.com")</f>
        <v>prabhakarjkp@gmail.com</v>
      </c>
      <c r="D1282" s="6">
        <f ca="1">IFERROR(__xludf.DUMMYFUNCTION("""COMPUTED_VALUE"""),8197166662)</f>
        <v>8197166662</v>
      </c>
      <c r="E1282" s="6" t="str">
        <f ca="1">IFERROR(__xludf.DUMMYFUNCTION("""COMPUTED_VALUE"""),"Chat_triggered")</f>
        <v>Chat_triggered</v>
      </c>
      <c r="F1282" s="6" t="str">
        <f ca="1">IFERROR(__xludf.DUMMYFUNCTION("""COMPUTED_VALUE"""),"CBAP")</f>
        <v>CBAP</v>
      </c>
      <c r="G1282" s="80">
        <f ca="1">IFERROR(__xludf.DUMMYFUNCTION("""COMPUTED_VALUE"""),44835)</f>
        <v>44835</v>
      </c>
      <c r="H1282" s="6" t="str">
        <f ca="1">IFERROR(__xludf.DUMMYFUNCTION("""COMPUTED_VALUE"""),"Won")</f>
        <v>Won</v>
      </c>
      <c r="I1282" s="6" t="str">
        <f ca="1">IFERROR(__xludf.DUMMYFUNCTION("""COMPUTED_VALUE"""),"6 Oct 2022")</f>
        <v>6 Oct 2022</v>
      </c>
      <c r="J1282" s="6">
        <f ca="1">IFERROR(__xludf.DUMMYFUNCTION("""COMPUTED_VALUE"""),1)</f>
        <v>1</v>
      </c>
      <c r="K1282" s="8">
        <f ca="1">IFERROR(__xludf.DUMMYFUNCTION("""COMPUTED_VALUE"""),13500)</f>
        <v>13500</v>
      </c>
      <c r="L1282" s="8">
        <f ca="1">IFERROR(__xludf.DUMMYFUNCTION("""COMPUTED_VALUE"""),154.603756298671)</f>
        <v>154.60375629867099</v>
      </c>
      <c r="M1282" s="96">
        <f ca="1">IFERROR(__xludf.DUMMYFUNCTION("""COMPUTED_VALUE"""),44840)</f>
        <v>44840</v>
      </c>
      <c r="N1282" s="6" t="str">
        <f ca="1">IFERROR(__xludf.DUMMYFUNCTION("""COMPUTED_VALUE"""),"F10")</f>
        <v>F10</v>
      </c>
      <c r="O1282" s="97">
        <f ca="1">IFERROR(__xludf.DUMMYFUNCTION("""COMPUTED_VALUE"""),44840)</f>
        <v>44840</v>
      </c>
      <c r="P1282" s="6" t="str">
        <f ca="1">IFERROR(__xludf.DUMMYFUNCTION("""COMPUTED_VALUE"""),"CSTM_32LBDQBFUXG")</f>
        <v>CSTM_32LBDQBFUXG</v>
      </c>
      <c r="Q1282" s="6"/>
      <c r="R1282" s="6" t="str">
        <f ca="1">IFERROR(__xludf.DUMMYFUNCTION("""COMPUTED_VALUE"""),"Pending")</f>
        <v>Pending</v>
      </c>
      <c r="S1282" s="6" t="str">
        <f ca="1">IFERROR(__xludf.DUMMYFUNCTION("""COMPUTED_VALUE"""),"NonCategory")</f>
        <v>NonCategory</v>
      </c>
      <c r="T1282" s="6"/>
      <c r="U1282" s="6"/>
      <c r="V1282" s="6"/>
      <c r="W1282" s="6"/>
      <c r="X1282" s="6"/>
      <c r="Y1282" s="6"/>
      <c r="Z1282" s="6"/>
      <c r="AA1282" s="6"/>
      <c r="AB1282" s="6"/>
      <c r="AC1282" s="6"/>
      <c r="AD1282" s="6"/>
      <c r="AE1282" s="6"/>
      <c r="AF1282" s="6"/>
      <c r="AG1282" s="6"/>
      <c r="AH1282" s="6"/>
      <c r="AI1282" s="6"/>
      <c r="AJ1282" s="6"/>
      <c r="AK1282" s="6"/>
      <c r="AL1282" s="6"/>
    </row>
    <row r="1283" spans="1:38">
      <c r="A1283" s="96">
        <f ca="1">IFERROR(__xludf.DUMMYFUNCTION("""COMPUTED_VALUE"""),44840)</f>
        <v>44840</v>
      </c>
      <c r="B1283" s="6" t="str">
        <f ca="1">IFERROR(__xludf.DUMMYFUNCTION("""COMPUTED_VALUE"""),"Gopal Udayak")</f>
        <v>Gopal Udayak</v>
      </c>
      <c r="C1283" s="6" t="str">
        <f ca="1">IFERROR(__xludf.DUMMYFUNCTION("""COMPUTED_VALUE"""),"gopaludayak@gmail.com")</f>
        <v>gopaludayak@gmail.com</v>
      </c>
      <c r="D1283" s="6">
        <f ca="1">IFERROR(__xludf.DUMMYFUNCTION("""COMPUTED_VALUE"""),9980076797)</f>
        <v>9980076797</v>
      </c>
      <c r="E1283" s="6" t="str">
        <f ca="1">IFERROR(__xludf.DUMMYFUNCTION("""COMPUTED_VALUE"""),"course agenda")</f>
        <v>course agenda</v>
      </c>
      <c r="F1283" s="6" t="str">
        <f ca="1">IFERROR(__xludf.DUMMYFUNCTION("""COMPUTED_VALUE"""),"PSPO 2")</f>
        <v>PSPO 2</v>
      </c>
      <c r="G1283" s="80">
        <f ca="1">IFERROR(__xludf.DUMMYFUNCTION("""COMPUTED_VALUE"""),44835)</f>
        <v>44835</v>
      </c>
      <c r="H1283" s="6" t="str">
        <f ca="1">IFERROR(__xludf.DUMMYFUNCTION("""COMPUTED_VALUE"""),"Won")</f>
        <v>Won</v>
      </c>
      <c r="I1283" s="6" t="str">
        <f ca="1">IFERROR(__xludf.DUMMYFUNCTION("""COMPUTED_VALUE"""),"21-22 Nov 2022")</f>
        <v>21-22 Nov 2022</v>
      </c>
      <c r="J1283" s="6">
        <f ca="1">IFERROR(__xludf.DUMMYFUNCTION("""COMPUTED_VALUE"""),1)</f>
        <v>1</v>
      </c>
      <c r="K1283" s="8">
        <f ca="1">IFERROR(__xludf.DUMMYFUNCTION("""COMPUTED_VALUE"""),24000)</f>
        <v>24000</v>
      </c>
      <c r="L1283" s="8">
        <f ca="1">IFERROR(__xludf.DUMMYFUNCTION("""COMPUTED_VALUE"""),274.851122308749)</f>
        <v>274.85112230874898</v>
      </c>
      <c r="M1283" s="96">
        <f ca="1">IFERROR(__xludf.DUMMYFUNCTION("""COMPUTED_VALUE"""),44840)</f>
        <v>44840</v>
      </c>
      <c r="N1283" s="6" t="str">
        <f ca="1">IFERROR(__xludf.DUMMYFUNCTION("""COMPUTED_VALUE"""),"F10")</f>
        <v>F10</v>
      </c>
      <c r="O1283" s="97">
        <f ca="1">IFERROR(__xludf.DUMMYFUNCTION("""COMPUTED_VALUE"""),44840)</f>
        <v>44840</v>
      </c>
      <c r="P1283" s="6" t="str">
        <f ca="1">IFERROR(__xludf.DUMMYFUNCTION("""COMPUTED_VALUE"""),"CSTM_4JDBIHO88L9")</f>
        <v>CSTM_4JDBIHO88L9</v>
      </c>
      <c r="Q1283" s="6"/>
      <c r="R1283" s="6" t="str">
        <f ca="1">IFERROR(__xludf.DUMMYFUNCTION("""COMPUTED_VALUE"""),"Pending")</f>
        <v>Pending</v>
      </c>
      <c r="S1283" s="6" t="str">
        <f ca="1">IFERROR(__xludf.DUMMYFUNCTION("""COMPUTED_VALUE"""),"NonCategory")</f>
        <v>NonCategory</v>
      </c>
      <c r="T1283" s="6"/>
      <c r="U1283" s="6"/>
      <c r="V1283" s="6"/>
      <c r="W1283" s="6"/>
      <c r="X1283" s="6"/>
      <c r="Y1283" s="6"/>
      <c r="Z1283" s="6"/>
      <c r="AA1283" s="6"/>
      <c r="AB1283" s="6"/>
      <c r="AC1283" s="6"/>
      <c r="AD1283" s="6"/>
      <c r="AE1283" s="6"/>
      <c r="AF1283" s="6"/>
      <c r="AG1283" s="6"/>
      <c r="AH1283" s="6"/>
      <c r="AI1283" s="6"/>
      <c r="AJ1283" s="6"/>
      <c r="AK1283" s="6"/>
      <c r="AL1283" s="6"/>
    </row>
    <row r="1284" spans="1:38">
      <c r="A1284" s="96">
        <f ca="1">IFERROR(__xludf.DUMMYFUNCTION("""COMPUTED_VALUE"""),44840)</f>
        <v>44840</v>
      </c>
      <c r="B1284" s="6" t="str">
        <f ca="1">IFERROR(__xludf.DUMMYFUNCTION("""COMPUTED_VALUE"""),"Megha Satish")</f>
        <v>Megha Satish</v>
      </c>
      <c r="C1284" s="6" t="str">
        <f ca="1">IFERROR(__xludf.DUMMYFUNCTION("""COMPUTED_VALUE"""),"meghasatish.14@gmail.com")</f>
        <v>meghasatish.14@gmail.com</v>
      </c>
      <c r="D1284" s="6">
        <f ca="1">IFERROR(__xludf.DUMMYFUNCTION("""COMPUTED_VALUE"""),9972317538)</f>
        <v>9972317538</v>
      </c>
      <c r="E1284" s="6" t="str">
        <f ca="1">IFERROR(__xludf.DUMMYFUNCTION("""COMPUTED_VALUE"""),"Tollfree")</f>
        <v>Tollfree</v>
      </c>
      <c r="F1284" s="6" t="str">
        <f ca="1">IFERROR(__xludf.DUMMYFUNCTION("""COMPUTED_VALUE"""),"PSM")</f>
        <v>PSM</v>
      </c>
      <c r="G1284" s="80">
        <f ca="1">IFERROR(__xludf.DUMMYFUNCTION("""COMPUTED_VALUE"""),44835)</f>
        <v>44835</v>
      </c>
      <c r="H1284" s="6" t="str">
        <f ca="1">IFERROR(__xludf.DUMMYFUNCTION("""COMPUTED_VALUE"""),"Opportunity")</f>
        <v>Opportunity</v>
      </c>
      <c r="I1284" s="6" t="str">
        <f ca="1">IFERROR(__xludf.DUMMYFUNCTION("""COMPUTED_VALUE"""),"15-16 Oct 2022")</f>
        <v>15-16 Oct 2022</v>
      </c>
      <c r="J1284" s="6">
        <f ca="1">IFERROR(__xludf.DUMMYFUNCTION("""COMPUTED_VALUE"""),1)</f>
        <v>1</v>
      </c>
      <c r="K1284" s="8">
        <f ca="1">IFERROR(__xludf.DUMMYFUNCTION("""COMPUTED_VALUE"""),21000)</f>
        <v>21000</v>
      </c>
      <c r="L1284" s="8">
        <f ca="1">IFERROR(__xludf.DUMMYFUNCTION("""COMPUTED_VALUE"""),240.494732020155)</f>
        <v>240.494732020155</v>
      </c>
      <c r="M1284" s="96">
        <f ca="1">IFERROR(__xludf.DUMMYFUNCTION("""COMPUTED_VALUE"""),44840)</f>
        <v>44840</v>
      </c>
      <c r="N1284" s="6"/>
      <c r="O1284" s="97"/>
      <c r="P1284" s="6"/>
      <c r="Q1284" s="6"/>
      <c r="R1284" s="6"/>
      <c r="S1284" s="6" t="str">
        <f ca="1">IFERROR(__xludf.DUMMYFUNCTION("""COMPUTED_VALUE"""),"Category")</f>
        <v>Category</v>
      </c>
      <c r="T1284" s="6"/>
      <c r="U1284" s="6"/>
      <c r="V1284" s="6"/>
      <c r="W1284" s="6"/>
      <c r="X1284" s="6"/>
      <c r="Y1284" s="6"/>
      <c r="Z1284" s="6"/>
      <c r="AA1284" s="6"/>
      <c r="AB1284" s="6"/>
      <c r="AC1284" s="6"/>
      <c r="AD1284" s="6"/>
      <c r="AE1284" s="6"/>
      <c r="AF1284" s="6"/>
      <c r="AG1284" s="6"/>
      <c r="AH1284" s="6"/>
      <c r="AI1284" s="6"/>
      <c r="AJ1284" s="6"/>
      <c r="AK1284" s="6"/>
      <c r="AL1284" s="6"/>
    </row>
    <row r="1285" spans="1:38">
      <c r="A1285" s="96">
        <f ca="1">IFERROR(__xludf.DUMMYFUNCTION("""COMPUTED_VALUE"""),44840)</f>
        <v>44840</v>
      </c>
      <c r="B1285" s="6" t="str">
        <f ca="1">IFERROR(__xludf.DUMMYFUNCTION("""COMPUTED_VALUE"""),"Livinstone Newton")</f>
        <v>Livinstone Newton</v>
      </c>
      <c r="C1285" s="6" t="str">
        <f ca="1">IFERROR(__xludf.DUMMYFUNCTION("""COMPUTED_VALUE"""),"itzmelivi@gmail.com")</f>
        <v>itzmelivi@gmail.com</v>
      </c>
      <c r="D1285" s="6">
        <f ca="1">IFERROR(__xludf.DUMMYFUNCTION("""COMPUTED_VALUE"""),9003919763)</f>
        <v>9003919763</v>
      </c>
      <c r="E1285" s="6" t="str">
        <f ca="1">IFERROR(__xludf.DUMMYFUNCTION("""COMPUTED_VALUE"""),"course agenda")</f>
        <v>course agenda</v>
      </c>
      <c r="F1285" s="6" t="str">
        <f ca="1">IFERROR(__xludf.DUMMYFUNCTION("""COMPUTED_VALUE"""),"PSPO")</f>
        <v>PSPO</v>
      </c>
      <c r="G1285" s="80">
        <f ca="1">IFERROR(__xludf.DUMMYFUNCTION("""COMPUTED_VALUE"""),44835)</f>
        <v>44835</v>
      </c>
      <c r="H1285" s="6" t="str">
        <f ca="1">IFERROR(__xludf.DUMMYFUNCTION("""COMPUTED_VALUE"""),"Won")</f>
        <v>Won</v>
      </c>
      <c r="I1285" s="6" t="str">
        <f ca="1">IFERROR(__xludf.DUMMYFUNCTION("""COMPUTED_VALUE"""),"8-9 Oct 2022")</f>
        <v>8-9 Oct 2022</v>
      </c>
      <c r="J1285" s="6">
        <f ca="1">IFERROR(__xludf.DUMMYFUNCTION("""COMPUTED_VALUE"""),1)</f>
        <v>1</v>
      </c>
      <c r="K1285" s="8">
        <f ca="1">IFERROR(__xludf.DUMMYFUNCTION("""COMPUTED_VALUE"""),21000)</f>
        <v>21000</v>
      </c>
      <c r="L1285" s="8">
        <f ca="1">IFERROR(__xludf.DUMMYFUNCTION("""COMPUTED_VALUE"""),240.494732020155)</f>
        <v>240.494732020155</v>
      </c>
      <c r="M1285" s="96">
        <f ca="1">IFERROR(__xludf.DUMMYFUNCTION("""COMPUTED_VALUE"""),44840)</f>
        <v>44840</v>
      </c>
      <c r="N1285" s="6" t="str">
        <f ca="1">IFERROR(__xludf.DUMMYFUNCTION("""COMPUTED_VALUE"""),"F10")</f>
        <v>F10</v>
      </c>
      <c r="O1285" s="97">
        <f ca="1">IFERROR(__xludf.DUMMYFUNCTION("""COMPUTED_VALUE"""),44840)</f>
        <v>44840</v>
      </c>
      <c r="P1285" s="6" t="str">
        <f ca="1">IFERROR(__xludf.DUMMYFUNCTION("""COMPUTED_VALUE"""),"CSTM_H3BL4Z2XJF9")</f>
        <v>CSTM_H3BL4Z2XJF9</v>
      </c>
      <c r="Q1285" s="6"/>
      <c r="R1285" s="6" t="str">
        <f ca="1">IFERROR(__xludf.DUMMYFUNCTION("""COMPUTED_VALUE"""),"Pending")</f>
        <v>Pending</v>
      </c>
      <c r="S1285" s="6" t="str">
        <f ca="1">IFERROR(__xludf.DUMMYFUNCTION("""COMPUTED_VALUE"""),"Category")</f>
        <v>Category</v>
      </c>
      <c r="T1285" s="6"/>
      <c r="U1285" s="6"/>
      <c r="V1285" s="6"/>
      <c r="W1285" s="6"/>
      <c r="X1285" s="6"/>
      <c r="Y1285" s="6"/>
      <c r="Z1285" s="6"/>
      <c r="AA1285" s="6"/>
      <c r="AB1285" s="6"/>
      <c r="AC1285" s="6"/>
      <c r="AD1285" s="6"/>
      <c r="AE1285" s="6"/>
      <c r="AF1285" s="6"/>
      <c r="AG1285" s="6"/>
      <c r="AH1285" s="6"/>
      <c r="AI1285" s="6"/>
      <c r="AJ1285" s="6"/>
      <c r="AK1285" s="6"/>
      <c r="AL1285" s="6"/>
    </row>
    <row r="1286" spans="1:38">
      <c r="A1286" s="96">
        <f ca="1">IFERROR(__xludf.DUMMYFUNCTION("""COMPUTED_VALUE"""),44844)</f>
        <v>44844</v>
      </c>
      <c r="B1286" s="6" t="str">
        <f ca="1">IFERROR(__xludf.DUMMYFUNCTION("""COMPUTED_VALUE"""),"M Tejal")</f>
        <v>M Tejal</v>
      </c>
      <c r="C1286" s="6" t="str">
        <f ca="1">IFERROR(__xludf.DUMMYFUNCTION("""COMPUTED_VALUE"""),"mtejaal@gmail.com")</f>
        <v>mtejaal@gmail.com</v>
      </c>
      <c r="D1286" s="6">
        <f ca="1">IFERROR(__xludf.DUMMYFUNCTION("""COMPUTED_VALUE"""),9998456120)</f>
        <v>9998456120</v>
      </c>
      <c r="E1286" s="6" t="str">
        <f ca="1">IFERROR(__xludf.DUMMYFUNCTION("""COMPUTED_VALUE"""),"Reference")</f>
        <v>Reference</v>
      </c>
      <c r="F1286" s="6" t="str">
        <f ca="1">IFERROR(__xludf.DUMMYFUNCTION("""COMPUTED_VALUE"""),"PSM 2")</f>
        <v>PSM 2</v>
      </c>
      <c r="G1286" s="80">
        <f ca="1">IFERROR(__xludf.DUMMYFUNCTION("""COMPUTED_VALUE"""),44835)</f>
        <v>44835</v>
      </c>
      <c r="H1286" s="6" t="str">
        <f ca="1">IFERROR(__xludf.DUMMYFUNCTION("""COMPUTED_VALUE"""),"Won")</f>
        <v>Won</v>
      </c>
      <c r="I1286" s="6" t="str">
        <f ca="1">IFERROR(__xludf.DUMMYFUNCTION("""COMPUTED_VALUE"""),"15-16 Oct 2022")</f>
        <v>15-16 Oct 2022</v>
      </c>
      <c r="J1286" s="6">
        <f ca="1">IFERROR(__xludf.DUMMYFUNCTION("""COMPUTED_VALUE"""),1)</f>
        <v>1</v>
      </c>
      <c r="K1286" s="8">
        <f ca="1">IFERROR(__xludf.DUMMYFUNCTION("""COMPUTED_VALUE"""),24000)</f>
        <v>24000</v>
      </c>
      <c r="L1286" s="8">
        <f ca="1">IFERROR(__xludf.DUMMYFUNCTION("""COMPUTED_VALUE"""),274.851122308749)</f>
        <v>274.85112230874898</v>
      </c>
      <c r="M1286" s="96">
        <f ca="1">IFERROR(__xludf.DUMMYFUNCTION("""COMPUTED_VALUE"""),44844)</f>
        <v>44844</v>
      </c>
      <c r="N1286" s="6" t="str">
        <f ca="1">IFERROR(__xludf.DUMMYFUNCTION("""COMPUTED_VALUE"""),"S10")</f>
        <v>S10</v>
      </c>
      <c r="O1286" s="97">
        <f ca="1">IFERROR(__xludf.DUMMYFUNCTION("""COMPUTED_VALUE"""),44847)</f>
        <v>44847</v>
      </c>
      <c r="P1286" s="6" t="str">
        <f ca="1">IFERROR(__xludf.DUMMYFUNCTION("""COMPUTED_VALUE"""),"CSTM_G98VN26SP8P")</f>
        <v>CSTM_G98VN26SP8P</v>
      </c>
      <c r="Q1286" s="6" t="str">
        <f ca="1">IFERROR(__xludf.DUMMYFUNCTION("""COMPUTED_VALUE"""),"Reference by Anil Khetmalis")</f>
        <v>Reference by Anil Khetmalis</v>
      </c>
      <c r="R1286" s="6" t="str">
        <f ca="1">IFERROR(__xludf.DUMMYFUNCTION("""COMPUTED_VALUE"""),"Pending")</f>
        <v>Pending</v>
      </c>
      <c r="S1286" s="6" t="str">
        <f ca="1">IFERROR(__xludf.DUMMYFUNCTION("""COMPUTED_VALUE"""),"Category")</f>
        <v>Category</v>
      </c>
      <c r="T1286" s="6"/>
      <c r="U1286" s="6"/>
      <c r="V1286" s="6"/>
      <c r="W1286" s="6"/>
      <c r="X1286" s="6"/>
      <c r="Y1286" s="6"/>
      <c r="Z1286" s="6"/>
      <c r="AA1286" s="6"/>
      <c r="AB1286" s="6"/>
      <c r="AC1286" s="6"/>
      <c r="AD1286" s="6"/>
      <c r="AE1286" s="6"/>
      <c r="AF1286" s="6"/>
      <c r="AG1286" s="6"/>
      <c r="AH1286" s="6"/>
      <c r="AI1286" s="6"/>
      <c r="AJ1286" s="6"/>
      <c r="AK1286" s="6"/>
      <c r="AL1286" s="6"/>
    </row>
    <row r="1287" spans="1:38">
      <c r="A1287" s="96">
        <f ca="1">IFERROR(__xludf.DUMMYFUNCTION("""COMPUTED_VALUE"""),44844)</f>
        <v>44844</v>
      </c>
      <c r="B1287" s="6" t="str">
        <f ca="1">IFERROR(__xludf.DUMMYFUNCTION("""COMPUTED_VALUE"""),"Barathi Jayakumar")</f>
        <v>Barathi Jayakumar</v>
      </c>
      <c r="C1287" s="6" t="str">
        <f ca="1">IFERROR(__xludf.DUMMYFUNCTION("""COMPUTED_VALUE"""),"barathi.jayakumar@gmail.com")</f>
        <v>barathi.jayakumar@gmail.com</v>
      </c>
      <c r="D1287" s="6">
        <f ca="1">IFERROR(__xludf.DUMMYFUNCTION("""COMPUTED_VALUE"""),9787137452)</f>
        <v>9787137452</v>
      </c>
      <c r="E1287" s="6" t="str">
        <f ca="1">IFERROR(__xludf.DUMMYFUNCTION("""COMPUTED_VALUE"""),"course agenda")</f>
        <v>course agenda</v>
      </c>
      <c r="F1287" s="6" t="str">
        <f ca="1">IFERROR(__xludf.DUMMYFUNCTION("""COMPUTED_VALUE"""),"PSM")</f>
        <v>PSM</v>
      </c>
      <c r="G1287" s="80">
        <f ca="1">IFERROR(__xludf.DUMMYFUNCTION("""COMPUTED_VALUE"""),44835)</f>
        <v>44835</v>
      </c>
      <c r="H1287" s="6" t="str">
        <f ca="1">IFERROR(__xludf.DUMMYFUNCTION("""COMPUTED_VALUE"""),"Won")</f>
        <v>Won</v>
      </c>
      <c r="I1287" s="6" t="str">
        <f ca="1">IFERROR(__xludf.DUMMYFUNCTION("""COMPUTED_VALUE"""),"15-16 Oct 2022")</f>
        <v>15-16 Oct 2022</v>
      </c>
      <c r="J1287" s="6">
        <f ca="1">IFERROR(__xludf.DUMMYFUNCTION("""COMPUTED_VALUE"""),1)</f>
        <v>1</v>
      </c>
      <c r="K1287" s="8">
        <f ca="1">IFERROR(__xludf.DUMMYFUNCTION("""COMPUTED_VALUE"""),21000)</f>
        <v>21000</v>
      </c>
      <c r="L1287" s="8">
        <f ca="1">IFERROR(__xludf.DUMMYFUNCTION("""COMPUTED_VALUE"""),240.494732020155)</f>
        <v>240.494732020155</v>
      </c>
      <c r="M1287" s="96">
        <f ca="1">IFERROR(__xludf.DUMMYFUNCTION("""COMPUTED_VALUE"""),44844)</f>
        <v>44844</v>
      </c>
      <c r="N1287" s="6" t="str">
        <f ca="1">IFERROR(__xludf.DUMMYFUNCTION("""COMPUTED_VALUE"""),"S10")</f>
        <v>S10</v>
      </c>
      <c r="O1287" s="97">
        <f ca="1">IFERROR(__xludf.DUMMYFUNCTION("""COMPUTED_VALUE"""),44845)</f>
        <v>44845</v>
      </c>
      <c r="P1287" s="6" t="str">
        <f ca="1">IFERROR(__xludf.DUMMYFUNCTION("""COMPUTED_VALUE"""),"CSTM_3V2QGLUJ2XK")</f>
        <v>CSTM_3V2QGLUJ2XK</v>
      </c>
      <c r="Q1287" s="6"/>
      <c r="R1287" s="6" t="str">
        <f ca="1">IFERROR(__xludf.DUMMYFUNCTION("""COMPUTED_VALUE"""),"Pending")</f>
        <v>Pending</v>
      </c>
      <c r="S1287" s="6" t="str">
        <f ca="1">IFERROR(__xludf.DUMMYFUNCTION("""COMPUTED_VALUE"""),"Category")</f>
        <v>Category</v>
      </c>
      <c r="T1287" s="6"/>
      <c r="U1287" s="6"/>
      <c r="V1287" s="6"/>
      <c r="W1287" s="6"/>
      <c r="X1287" s="6"/>
      <c r="Y1287" s="6"/>
      <c r="Z1287" s="6"/>
      <c r="AA1287" s="6"/>
      <c r="AB1287" s="6"/>
      <c r="AC1287" s="6"/>
      <c r="AD1287" s="6"/>
      <c r="AE1287" s="6"/>
      <c r="AF1287" s="6"/>
      <c r="AG1287" s="6"/>
      <c r="AH1287" s="6"/>
      <c r="AI1287" s="6"/>
      <c r="AJ1287" s="6"/>
      <c r="AK1287" s="6"/>
      <c r="AL1287" s="6"/>
    </row>
    <row r="1288" spans="1:38">
      <c r="A1288" s="96">
        <f ca="1">IFERROR(__xludf.DUMMYFUNCTION("""COMPUTED_VALUE"""),44844)</f>
        <v>44844</v>
      </c>
      <c r="B1288" s="6" t="str">
        <f ca="1">IFERROR(__xludf.DUMMYFUNCTION("""COMPUTED_VALUE"""),"Apoorva Singh")</f>
        <v>Apoorva Singh</v>
      </c>
      <c r="C1288" s="6" t="str">
        <f ca="1">IFERROR(__xludf.DUMMYFUNCTION("""COMPUTED_VALUE"""),"pmoapoorva@gmail.com")</f>
        <v>pmoapoorva@gmail.com</v>
      </c>
      <c r="D1288" s="6">
        <f ca="1">IFERROR(__xludf.DUMMYFUNCTION("""COMPUTED_VALUE"""),7007670068)</f>
        <v>7007670068</v>
      </c>
      <c r="E1288" s="6" t="str">
        <f ca="1">IFERROR(__xludf.DUMMYFUNCTION("""COMPUTED_VALUE"""),"Existing Account")</f>
        <v>Existing Account</v>
      </c>
      <c r="F1288" s="6" t="str">
        <f ca="1">IFERROR(__xludf.DUMMYFUNCTION("""COMPUTED_VALUE"""),"SAFe Agile")</f>
        <v>SAFe Agile</v>
      </c>
      <c r="G1288" s="80">
        <f ca="1">IFERROR(__xludf.DUMMYFUNCTION("""COMPUTED_VALUE"""),44835)</f>
        <v>44835</v>
      </c>
      <c r="H1288" s="6" t="str">
        <f ca="1">IFERROR(__xludf.DUMMYFUNCTION("""COMPUTED_VALUE"""),"Won")</f>
        <v>Won</v>
      </c>
      <c r="I1288" s="6" t="str">
        <f ca="1">IFERROR(__xludf.DUMMYFUNCTION("""COMPUTED_VALUE"""),"15-16 Oct 2022")</f>
        <v>15-16 Oct 2022</v>
      </c>
      <c r="J1288" s="6">
        <f ca="1">IFERROR(__xludf.DUMMYFUNCTION("""COMPUTED_VALUE"""),1)</f>
        <v>1</v>
      </c>
      <c r="K1288" s="8">
        <f ca="1">IFERROR(__xludf.DUMMYFUNCTION("""COMPUTED_VALUE"""),40061)</f>
        <v>40061</v>
      </c>
      <c r="L1288" s="8">
        <f ca="1">IFERROR(__xludf.DUMMYFUNCTION("""COMPUTED_VALUE"""),458.783783783783)</f>
        <v>458.78378378378301</v>
      </c>
      <c r="M1288" s="96">
        <f ca="1">IFERROR(__xludf.DUMMYFUNCTION("""COMPUTED_VALUE"""),44844)</f>
        <v>44844</v>
      </c>
      <c r="N1288" s="6" t="str">
        <f ca="1">IFERROR(__xludf.DUMMYFUNCTION("""COMPUTED_VALUE"""),"F10")</f>
        <v>F10</v>
      </c>
      <c r="O1288" s="97">
        <f ca="1">IFERROR(__xludf.DUMMYFUNCTION("""COMPUTED_VALUE"""),44844)</f>
        <v>44844</v>
      </c>
      <c r="P1288" s="6" t="str">
        <f ca="1">IFERROR(__xludf.DUMMYFUNCTION("""COMPUTED_VALUE"""),"CSTM_6OT5URKT63K")</f>
        <v>CSTM_6OT5URKT63K</v>
      </c>
      <c r="Q1288" s="6"/>
      <c r="R1288" s="6" t="str">
        <f ca="1">IFERROR(__xludf.DUMMYFUNCTION("""COMPUTED_VALUE"""),"Pending")</f>
        <v>Pending</v>
      </c>
      <c r="S1288" s="6" t="str">
        <f ca="1">IFERROR(__xludf.DUMMYFUNCTION("""COMPUTED_VALUE"""),"SAFe")</f>
        <v>SAFe</v>
      </c>
      <c r="T1288" s="6"/>
      <c r="U1288" s="6"/>
      <c r="V1288" s="6"/>
      <c r="W1288" s="6"/>
      <c r="X1288" s="6"/>
      <c r="Y1288" s="6"/>
      <c r="Z1288" s="6"/>
      <c r="AA1288" s="6"/>
      <c r="AB1288" s="6"/>
      <c r="AC1288" s="6"/>
      <c r="AD1288" s="6"/>
      <c r="AE1288" s="6"/>
      <c r="AF1288" s="6"/>
      <c r="AG1288" s="6"/>
      <c r="AH1288" s="6"/>
      <c r="AI1288" s="6"/>
      <c r="AJ1288" s="6"/>
      <c r="AK1288" s="6"/>
      <c r="AL1288" s="6"/>
    </row>
    <row r="1289" spans="1:38">
      <c r="A1289" s="96">
        <f ca="1">IFERROR(__xludf.DUMMYFUNCTION("""COMPUTED_VALUE"""),44844)</f>
        <v>44844</v>
      </c>
      <c r="B1289" s="6" t="str">
        <f ca="1">IFERROR(__xludf.DUMMYFUNCTION("""COMPUTED_VALUE"""),"Ravi Sankart")</f>
        <v>Ravi Sankart</v>
      </c>
      <c r="C1289" s="6" t="str">
        <f ca="1">IFERROR(__xludf.DUMMYFUNCTION("""COMPUTED_VALUE"""),"ravisankart.90@gmail.com")</f>
        <v>ravisankart.90@gmail.com</v>
      </c>
      <c r="D1289" s="6">
        <f ca="1">IFERROR(__xludf.DUMMYFUNCTION("""COMPUTED_VALUE"""),9790978847)</f>
        <v>9790978847</v>
      </c>
      <c r="E1289" s="6" t="str">
        <f ca="1">IFERROR(__xludf.DUMMYFUNCTION("""COMPUTED_VALUE"""),"Reference")</f>
        <v>Reference</v>
      </c>
      <c r="F1289" s="6" t="str">
        <f ca="1">IFERROR(__xludf.DUMMYFUNCTION("""COMPUTED_VALUE"""),"CSM")</f>
        <v>CSM</v>
      </c>
      <c r="G1289" s="80">
        <f ca="1">IFERROR(__xludf.DUMMYFUNCTION("""COMPUTED_VALUE"""),44835)</f>
        <v>44835</v>
      </c>
      <c r="H1289" s="6" t="str">
        <f ca="1">IFERROR(__xludf.DUMMYFUNCTION("""COMPUTED_VALUE"""),"Won")</f>
        <v>Won</v>
      </c>
      <c r="I1289" s="6" t="str">
        <f ca="1">IFERROR(__xludf.DUMMYFUNCTION("""COMPUTED_VALUE"""),"15-16 Oct 2022")</f>
        <v>15-16 Oct 2022</v>
      </c>
      <c r="J1289" s="6">
        <f ca="1">IFERROR(__xludf.DUMMYFUNCTION("""COMPUTED_VALUE"""),1)</f>
        <v>1</v>
      </c>
      <c r="K1289" s="8">
        <f ca="1">IFERROR(__xludf.DUMMYFUNCTION("""COMPUTED_VALUE"""),20000)</f>
        <v>20000</v>
      </c>
      <c r="L1289" s="8">
        <f ca="1">IFERROR(__xludf.DUMMYFUNCTION("""COMPUTED_VALUE"""),229.042601923957)</f>
        <v>229.04260192395699</v>
      </c>
      <c r="M1289" s="96">
        <f ca="1">IFERROR(__xludf.DUMMYFUNCTION("""COMPUTED_VALUE"""),44844)</f>
        <v>44844</v>
      </c>
      <c r="N1289" s="6" t="str">
        <f ca="1">IFERROR(__xludf.DUMMYFUNCTION("""COMPUTED_VALUE"""),"F10")</f>
        <v>F10</v>
      </c>
      <c r="O1289" s="97">
        <f ca="1">IFERROR(__xludf.DUMMYFUNCTION("""COMPUTED_VALUE"""),44844)</f>
        <v>44844</v>
      </c>
      <c r="P1289" s="6" t="str">
        <f ca="1">IFERROR(__xludf.DUMMYFUNCTION("""COMPUTED_VALUE"""),"CSTM_FHYC03ULTI3")</f>
        <v>CSTM_FHYC03ULTI3</v>
      </c>
      <c r="Q1289" s="6"/>
      <c r="R1289" s="6" t="str">
        <f ca="1">IFERROR(__xludf.DUMMYFUNCTION("""COMPUTED_VALUE"""),"Pending")</f>
        <v>Pending</v>
      </c>
      <c r="S1289" s="6" t="str">
        <f ca="1">IFERROR(__xludf.DUMMYFUNCTION("""COMPUTED_VALUE"""),"Category")</f>
        <v>Category</v>
      </c>
      <c r="T1289" s="6"/>
      <c r="U1289" s="6"/>
      <c r="V1289" s="6"/>
      <c r="W1289" s="6"/>
      <c r="X1289" s="6"/>
      <c r="Y1289" s="6"/>
      <c r="Z1289" s="6"/>
      <c r="AA1289" s="6"/>
      <c r="AB1289" s="6"/>
      <c r="AC1289" s="6"/>
      <c r="AD1289" s="6"/>
      <c r="AE1289" s="6"/>
      <c r="AF1289" s="6"/>
      <c r="AG1289" s="6"/>
      <c r="AH1289" s="6"/>
      <c r="AI1289" s="6"/>
      <c r="AJ1289" s="6"/>
      <c r="AK1289" s="6"/>
      <c r="AL1289" s="6"/>
    </row>
    <row r="1290" spans="1:38">
      <c r="A1290" s="96">
        <f ca="1">IFERROR(__xludf.DUMMYFUNCTION("""COMPUTED_VALUE"""),44844)</f>
        <v>44844</v>
      </c>
      <c r="B1290" s="6" t="str">
        <f ca="1">IFERROR(__xludf.DUMMYFUNCTION("""COMPUTED_VALUE"""),"Melanified Sebastian")</f>
        <v>Melanified Sebastian</v>
      </c>
      <c r="C1290" s="6" t="str">
        <f ca="1">IFERROR(__xludf.DUMMYFUNCTION("""COMPUTED_VALUE"""),"melanified@gmail.com")</f>
        <v>melanified@gmail.com</v>
      </c>
      <c r="D1290" s="6">
        <f ca="1">IFERROR(__xludf.DUMMYFUNCTION("""COMPUTED_VALUE"""),9843597585)</f>
        <v>9843597585</v>
      </c>
      <c r="E1290" s="6" t="str">
        <f ca="1">IFERROR(__xludf.DUMMYFUNCTION("""COMPUTED_VALUE"""),"Reference")</f>
        <v>Reference</v>
      </c>
      <c r="F1290" s="6" t="str">
        <f ca="1">IFERROR(__xludf.DUMMYFUNCTION("""COMPUTED_VALUE"""),"CSM")</f>
        <v>CSM</v>
      </c>
      <c r="G1290" s="80">
        <f ca="1">IFERROR(__xludf.DUMMYFUNCTION("""COMPUTED_VALUE"""),44835)</f>
        <v>44835</v>
      </c>
      <c r="H1290" s="6" t="str">
        <f ca="1">IFERROR(__xludf.DUMMYFUNCTION("""COMPUTED_VALUE"""),"Won")</f>
        <v>Won</v>
      </c>
      <c r="I1290" s="6" t="str">
        <f ca="1">IFERROR(__xludf.DUMMYFUNCTION("""COMPUTED_VALUE"""),"15-16 Oct 2022")</f>
        <v>15-16 Oct 2022</v>
      </c>
      <c r="J1290" s="6">
        <f ca="1">IFERROR(__xludf.DUMMYFUNCTION("""COMPUTED_VALUE"""),1)</f>
        <v>1</v>
      </c>
      <c r="K1290" s="8">
        <f ca="1">IFERROR(__xludf.DUMMYFUNCTION("""COMPUTED_VALUE"""),20000)</f>
        <v>20000</v>
      </c>
      <c r="L1290" s="8">
        <f ca="1">IFERROR(__xludf.DUMMYFUNCTION("""COMPUTED_VALUE"""),229.042601923957)</f>
        <v>229.04260192395699</v>
      </c>
      <c r="M1290" s="96">
        <f ca="1">IFERROR(__xludf.DUMMYFUNCTION("""COMPUTED_VALUE"""),44844)</f>
        <v>44844</v>
      </c>
      <c r="N1290" s="6" t="str">
        <f ca="1">IFERROR(__xludf.DUMMYFUNCTION("""COMPUTED_VALUE"""),"F10")</f>
        <v>F10</v>
      </c>
      <c r="O1290" s="97">
        <f ca="1">IFERROR(__xludf.DUMMYFUNCTION("""COMPUTED_VALUE"""),44844)</f>
        <v>44844</v>
      </c>
      <c r="P1290" s="6" t="str">
        <f ca="1">IFERROR(__xludf.DUMMYFUNCTION("""COMPUTED_VALUE"""),"CSTM_4DK113QOZ43")</f>
        <v>CSTM_4DK113QOZ43</v>
      </c>
      <c r="Q1290" s="6"/>
      <c r="R1290" s="6" t="str">
        <f ca="1">IFERROR(__xludf.DUMMYFUNCTION("""COMPUTED_VALUE"""),"Pending")</f>
        <v>Pending</v>
      </c>
      <c r="S1290" s="6" t="str">
        <f ca="1">IFERROR(__xludf.DUMMYFUNCTION("""COMPUTED_VALUE"""),"Category")</f>
        <v>Category</v>
      </c>
      <c r="T1290" s="6"/>
      <c r="U1290" s="6"/>
      <c r="V1290" s="6"/>
      <c r="W1290" s="6"/>
      <c r="X1290" s="6"/>
      <c r="Y1290" s="6"/>
      <c r="Z1290" s="6"/>
      <c r="AA1290" s="6"/>
      <c r="AB1290" s="6"/>
      <c r="AC1290" s="6"/>
      <c r="AD1290" s="6"/>
      <c r="AE1290" s="6"/>
      <c r="AF1290" s="6"/>
      <c r="AG1290" s="6"/>
      <c r="AH1290" s="6"/>
      <c r="AI1290" s="6"/>
      <c r="AJ1290" s="6"/>
      <c r="AK1290" s="6"/>
      <c r="AL1290" s="6"/>
    </row>
    <row r="1291" spans="1:38">
      <c r="A1291" s="96">
        <f ca="1">IFERROR(__xludf.DUMMYFUNCTION("""COMPUTED_VALUE"""),44845)</f>
        <v>44845</v>
      </c>
      <c r="B1291" s="6" t="str">
        <f ca="1">IFERROR(__xludf.DUMMYFUNCTION("""COMPUTED_VALUE"""),"Sandeep Dhruve")</f>
        <v>Sandeep Dhruve</v>
      </c>
      <c r="C1291" s="6" t="str">
        <f ca="1">IFERROR(__xludf.DUMMYFUNCTION("""COMPUTED_VALUE"""),"sandeep_dhruve@hotmail.com")</f>
        <v>sandeep_dhruve@hotmail.com</v>
      </c>
      <c r="D1291" s="6">
        <f ca="1">IFERROR(__xludf.DUMMYFUNCTION("""COMPUTED_VALUE"""),9922450239)</f>
        <v>9922450239</v>
      </c>
      <c r="E1291" s="6" t="str">
        <f ca="1">IFERROR(__xludf.DUMMYFUNCTION("""COMPUTED_VALUE"""),"Chat_triggered")</f>
        <v>Chat_triggered</v>
      </c>
      <c r="F1291" s="6" t="str">
        <f ca="1">IFERROR(__xludf.DUMMYFUNCTION("""COMPUTED_VALUE"""),"PSM")</f>
        <v>PSM</v>
      </c>
      <c r="G1291" s="80">
        <f ca="1">IFERROR(__xludf.DUMMYFUNCTION("""COMPUTED_VALUE"""),44835)</f>
        <v>44835</v>
      </c>
      <c r="H1291" s="6" t="str">
        <f ca="1">IFERROR(__xludf.DUMMYFUNCTION("""COMPUTED_VALUE"""),"Won")</f>
        <v>Won</v>
      </c>
      <c r="I1291" s="6" t="str">
        <f ca="1">IFERROR(__xludf.DUMMYFUNCTION("""COMPUTED_VALUE"""),"5-6 Nov 2022")</f>
        <v>5-6 Nov 2022</v>
      </c>
      <c r="J1291" s="6">
        <f ca="1">IFERROR(__xludf.DUMMYFUNCTION("""COMPUTED_VALUE"""),1)</f>
        <v>1</v>
      </c>
      <c r="K1291" s="8">
        <f ca="1">IFERROR(__xludf.DUMMYFUNCTION("""COMPUTED_VALUE"""),21000)</f>
        <v>21000</v>
      </c>
      <c r="L1291" s="8">
        <f ca="1">IFERROR(__xludf.DUMMYFUNCTION("""COMPUTED_VALUE"""),240.494732020155)</f>
        <v>240.494732020155</v>
      </c>
      <c r="M1291" s="96">
        <f ca="1">IFERROR(__xludf.DUMMYFUNCTION("""COMPUTED_VALUE"""),44845)</f>
        <v>44845</v>
      </c>
      <c r="N1291" s="6" t="str">
        <f ca="1">IFERROR(__xludf.DUMMYFUNCTION("""COMPUTED_VALUE"""),"S10")</f>
        <v>S10</v>
      </c>
      <c r="O1291" s="97">
        <f ca="1">IFERROR(__xludf.DUMMYFUNCTION("""COMPUTED_VALUE"""),44845)</f>
        <v>44845</v>
      </c>
      <c r="P1291" s="6" t="str">
        <f ca="1">IFERROR(__xludf.DUMMYFUNCTION("""COMPUTED_VALUE"""),"CSTM_4DK113QOZ43")</f>
        <v>CSTM_4DK113QOZ43</v>
      </c>
      <c r="Q1291" s="6"/>
      <c r="R1291" s="6" t="str">
        <f ca="1">IFERROR(__xludf.DUMMYFUNCTION("""COMPUTED_VALUE"""),"Pending")</f>
        <v>Pending</v>
      </c>
      <c r="S1291" s="6" t="str">
        <f ca="1">IFERROR(__xludf.DUMMYFUNCTION("""COMPUTED_VALUE"""),"Category")</f>
        <v>Category</v>
      </c>
      <c r="T1291" s="6"/>
      <c r="U1291" s="6"/>
      <c r="V1291" s="6"/>
      <c r="W1291" s="6"/>
      <c r="X1291" s="6"/>
      <c r="Y1291" s="6"/>
      <c r="Z1291" s="6"/>
      <c r="AA1291" s="6"/>
      <c r="AB1291" s="6"/>
      <c r="AC1291" s="6"/>
      <c r="AD1291" s="6"/>
      <c r="AE1291" s="6"/>
      <c r="AF1291" s="6"/>
      <c r="AG1291" s="6"/>
      <c r="AH1291" s="6"/>
      <c r="AI1291" s="6"/>
      <c r="AJ1291" s="6"/>
      <c r="AK1291" s="6"/>
      <c r="AL1291" s="6"/>
    </row>
    <row r="1292" spans="1:38">
      <c r="A1292" s="96">
        <f ca="1">IFERROR(__xludf.DUMMYFUNCTION("""COMPUTED_VALUE"""),44845)</f>
        <v>44845</v>
      </c>
      <c r="B1292" s="6" t="str">
        <f ca="1">IFERROR(__xludf.DUMMYFUNCTION("""COMPUTED_VALUE"""),"Geetanjali Gupta")</f>
        <v>Geetanjali Gupta</v>
      </c>
      <c r="C1292" s="6" t="str">
        <f ca="1">IFERROR(__xludf.DUMMYFUNCTION("""COMPUTED_VALUE"""),"gupta.geetanjali.2021@gmail.com")</f>
        <v>gupta.geetanjali.2021@gmail.com</v>
      </c>
      <c r="D1292" s="6"/>
      <c r="E1292" s="6" t="str">
        <f ca="1">IFERROR(__xludf.DUMMYFUNCTION("""COMPUTED_VALUE"""),"course agenda")</f>
        <v>course agenda</v>
      </c>
      <c r="F1292" s="6" t="str">
        <f ca="1">IFERROR(__xludf.DUMMYFUNCTION("""COMPUTED_VALUE"""),"PSM")</f>
        <v>PSM</v>
      </c>
      <c r="G1292" s="80">
        <f ca="1">IFERROR(__xludf.DUMMYFUNCTION("""COMPUTED_VALUE"""),44835)</f>
        <v>44835</v>
      </c>
      <c r="H1292" s="6" t="str">
        <f ca="1">IFERROR(__xludf.DUMMYFUNCTION("""COMPUTED_VALUE"""),"Won")</f>
        <v>Won</v>
      </c>
      <c r="I1292" s="6" t="str">
        <f ca="1">IFERROR(__xludf.DUMMYFUNCTION("""COMPUTED_VALUE"""),"19-20 Nov 2022")</f>
        <v>19-20 Nov 2022</v>
      </c>
      <c r="J1292" s="6">
        <f ca="1">IFERROR(__xludf.DUMMYFUNCTION("""COMPUTED_VALUE"""),1)</f>
        <v>1</v>
      </c>
      <c r="K1292" s="8">
        <f ca="1">IFERROR(__xludf.DUMMYFUNCTION("""COMPUTED_VALUE"""),21000)</f>
        <v>21000</v>
      </c>
      <c r="L1292" s="8">
        <f ca="1">IFERROR(__xludf.DUMMYFUNCTION("""COMPUTED_VALUE"""),240.494732020155)</f>
        <v>240.494732020155</v>
      </c>
      <c r="M1292" s="96">
        <f ca="1">IFERROR(__xludf.DUMMYFUNCTION("""COMPUTED_VALUE"""),44845)</f>
        <v>44845</v>
      </c>
      <c r="N1292" s="6" t="str">
        <f ca="1">IFERROR(__xludf.DUMMYFUNCTION("""COMPUTED_VALUE"""),"S10")</f>
        <v>S10</v>
      </c>
      <c r="O1292" s="97">
        <f ca="1">IFERROR(__xludf.DUMMYFUNCTION("""COMPUTED_VALUE"""),44845)</f>
        <v>44845</v>
      </c>
      <c r="P1292" s="6" t="str">
        <f ca="1">IFERROR(__xludf.DUMMYFUNCTION("""COMPUTED_VALUE"""),"CSTM_4ARV46CS43P")</f>
        <v>CSTM_4ARV46CS43P</v>
      </c>
      <c r="Q1292" s="6"/>
      <c r="R1292" s="6" t="str">
        <f ca="1">IFERROR(__xludf.DUMMYFUNCTION("""COMPUTED_VALUE"""),"Pending")</f>
        <v>Pending</v>
      </c>
      <c r="S1292" s="6" t="str">
        <f ca="1">IFERROR(__xludf.DUMMYFUNCTION("""COMPUTED_VALUE"""),"Category")</f>
        <v>Category</v>
      </c>
      <c r="T1292" s="6"/>
      <c r="U1292" s="6"/>
      <c r="V1292" s="6"/>
      <c r="W1292" s="6"/>
      <c r="X1292" s="6"/>
      <c r="Y1292" s="6"/>
      <c r="Z1292" s="6"/>
      <c r="AA1292" s="6"/>
      <c r="AB1292" s="6"/>
      <c r="AC1292" s="6"/>
      <c r="AD1292" s="6"/>
      <c r="AE1292" s="6"/>
      <c r="AF1292" s="6"/>
      <c r="AG1292" s="6"/>
      <c r="AH1292" s="6"/>
      <c r="AI1292" s="6"/>
      <c r="AJ1292" s="6"/>
      <c r="AK1292" s="6"/>
      <c r="AL1292" s="6"/>
    </row>
    <row r="1293" spans="1:38">
      <c r="A1293" s="96">
        <f ca="1">IFERROR(__xludf.DUMMYFUNCTION("""COMPUTED_VALUE"""),44846)</f>
        <v>44846</v>
      </c>
      <c r="B1293" s="6" t="str">
        <f ca="1">IFERROR(__xludf.DUMMYFUNCTION("""COMPUTED_VALUE"""),"Shreepurna Das")</f>
        <v>Shreepurna Das</v>
      </c>
      <c r="C1293" s="6" t="str">
        <f ca="1">IFERROR(__xludf.DUMMYFUNCTION("""COMPUTED_VALUE"""),"dasshreepurna10@gmail.com")</f>
        <v>dasshreepurna10@gmail.com</v>
      </c>
      <c r="D1293" s="6">
        <f ca="1">IFERROR(__xludf.DUMMYFUNCTION("""COMPUTED_VALUE"""),9535300922)</f>
        <v>9535300922</v>
      </c>
      <c r="E1293" s="6" t="str">
        <f ca="1">IFERROR(__xludf.DUMMYFUNCTION("""COMPUTED_VALUE"""),"Chat_triggered")</f>
        <v>Chat_triggered</v>
      </c>
      <c r="F1293" s="6" t="str">
        <f ca="1">IFERROR(__xludf.DUMMYFUNCTION("""COMPUTED_VALUE"""),"BA Masters")</f>
        <v>BA Masters</v>
      </c>
      <c r="G1293" s="80">
        <f ca="1">IFERROR(__xludf.DUMMYFUNCTION("""COMPUTED_VALUE"""),44835)</f>
        <v>44835</v>
      </c>
      <c r="H1293" s="6" t="str">
        <f ca="1">IFERROR(__xludf.DUMMYFUNCTION("""COMPUTED_VALUE"""),"Won")</f>
        <v>Won</v>
      </c>
      <c r="I1293" s="6" t="str">
        <f ca="1">IFERROR(__xludf.DUMMYFUNCTION("""COMPUTED_VALUE"""),"15 Oct 2022")</f>
        <v>15 Oct 2022</v>
      </c>
      <c r="J1293" s="6">
        <f ca="1">IFERROR(__xludf.DUMMYFUNCTION("""COMPUTED_VALUE"""),1)</f>
        <v>1</v>
      </c>
      <c r="K1293" s="8">
        <f ca="1">IFERROR(__xludf.DUMMYFUNCTION("""COMPUTED_VALUE"""),6500)</f>
        <v>6500</v>
      </c>
      <c r="L1293" s="8">
        <f ca="1">IFERROR(__xludf.DUMMYFUNCTION("""COMPUTED_VALUE"""),74.4388456252863)</f>
        <v>74.438845625286305</v>
      </c>
      <c r="M1293" s="96">
        <f ca="1">IFERROR(__xludf.DUMMYFUNCTION("""COMPUTED_VALUE"""),44846)</f>
        <v>44846</v>
      </c>
      <c r="N1293" s="6" t="str">
        <f ca="1">IFERROR(__xludf.DUMMYFUNCTION("""COMPUTED_VALUE"""),"S10")</f>
        <v>S10</v>
      </c>
      <c r="O1293" s="97">
        <f ca="1">IFERROR(__xludf.DUMMYFUNCTION("""COMPUTED_VALUE"""),44847)</f>
        <v>44847</v>
      </c>
      <c r="P1293" s="6" t="str">
        <f ca="1">IFERROR(__xludf.DUMMYFUNCTION("""COMPUTED_VALUE"""),"CSTM_PARTIAL_FIRST_CWEJW3O0DRE")</f>
        <v>CSTM_PARTIAL_FIRST_CWEJW3O0DRE</v>
      </c>
      <c r="Q1293" s="6"/>
      <c r="R1293" s="6" t="str">
        <f ca="1">IFERROR(__xludf.DUMMYFUNCTION("""COMPUTED_VALUE"""),"Pending")</f>
        <v>Pending</v>
      </c>
      <c r="S1293" s="6" t="str">
        <f ca="1">IFERROR(__xludf.DUMMYFUNCTION("""COMPUTED_VALUE"""),"NonCategory")</f>
        <v>NonCategory</v>
      </c>
      <c r="T1293" s="6"/>
      <c r="U1293" s="6"/>
      <c r="V1293" s="6"/>
      <c r="W1293" s="6"/>
      <c r="X1293" s="6"/>
      <c r="Y1293" s="6"/>
      <c r="Z1293" s="6"/>
      <c r="AA1293" s="6"/>
      <c r="AB1293" s="6"/>
      <c r="AC1293" s="6"/>
      <c r="AD1293" s="6"/>
      <c r="AE1293" s="6"/>
      <c r="AF1293" s="6"/>
      <c r="AG1293" s="6"/>
      <c r="AH1293" s="6"/>
      <c r="AI1293" s="6"/>
      <c r="AJ1293" s="6"/>
      <c r="AK1293" s="6"/>
      <c r="AL1293" s="6"/>
    </row>
    <row r="1294" spans="1:38">
      <c r="A1294" s="96">
        <f ca="1">IFERROR(__xludf.DUMMYFUNCTION("""COMPUTED_VALUE"""),44846)</f>
        <v>44846</v>
      </c>
      <c r="B1294" s="6" t="str">
        <f ca="1">IFERROR(__xludf.DUMMYFUNCTION("""COMPUTED_VALUE"""),"Shreepurna Das")</f>
        <v>Shreepurna Das</v>
      </c>
      <c r="C1294" s="6" t="str">
        <f ca="1">IFERROR(__xludf.DUMMYFUNCTION("""COMPUTED_VALUE"""),"dasshreepurna10@gmail.com")</f>
        <v>dasshreepurna10@gmail.com</v>
      </c>
      <c r="D1294" s="6">
        <f ca="1">IFERROR(__xludf.DUMMYFUNCTION("""COMPUTED_VALUE"""),9535300922)</f>
        <v>9535300922</v>
      </c>
      <c r="E1294" s="6" t="str">
        <f ca="1">IFERROR(__xludf.DUMMYFUNCTION("""COMPUTED_VALUE"""),"Chat_triggered")</f>
        <v>Chat_triggered</v>
      </c>
      <c r="F1294" s="6" t="str">
        <f ca="1">IFERROR(__xludf.DUMMYFUNCTION("""COMPUTED_VALUE"""),"BA Masters")</f>
        <v>BA Masters</v>
      </c>
      <c r="G1294" s="80">
        <f ca="1">IFERROR(__xludf.DUMMYFUNCTION("""COMPUTED_VALUE"""),44835)</f>
        <v>44835</v>
      </c>
      <c r="H1294" s="6" t="str">
        <f ca="1">IFERROR(__xludf.DUMMYFUNCTION("""COMPUTED_VALUE"""),"Won")</f>
        <v>Won</v>
      </c>
      <c r="I1294" s="6" t="str">
        <f ca="1">IFERROR(__xludf.DUMMYFUNCTION("""COMPUTED_VALUE"""),"15 Oct 2022")</f>
        <v>15 Oct 2022</v>
      </c>
      <c r="J1294" s="6">
        <f ca="1">IFERROR(__xludf.DUMMYFUNCTION("""COMPUTED_VALUE"""),1)</f>
        <v>1</v>
      </c>
      <c r="K1294" s="8">
        <f ca="1">IFERROR(__xludf.DUMMYFUNCTION("""COMPUTED_VALUE"""),35500)</f>
        <v>35500</v>
      </c>
      <c r="L1294" s="8">
        <f ca="1">IFERROR(__xludf.DUMMYFUNCTION("""COMPUTED_VALUE"""),406.550618415025)</f>
        <v>406.55061841502499</v>
      </c>
      <c r="M1294" s="96">
        <f ca="1">IFERROR(__xludf.DUMMYFUNCTION("""COMPUTED_VALUE"""),44846)</f>
        <v>44846</v>
      </c>
      <c r="N1294" s="6" t="str">
        <f ca="1">IFERROR(__xludf.DUMMYFUNCTION("""COMPUTED_VALUE"""),"S10")</f>
        <v>S10</v>
      </c>
      <c r="O1294" s="97">
        <f ca="1">IFERROR(__xludf.DUMMYFUNCTION("""COMPUTED_VALUE"""),44851)</f>
        <v>44851</v>
      </c>
      <c r="P1294" s="6" t="str">
        <f ca="1">IFERROR(__xludf.DUMMYFUNCTION("""COMPUTED_VALUE"""),"CSTM_PARTIAL_SUBS_367VR3S22SE")</f>
        <v>CSTM_PARTIAL_SUBS_367VR3S22SE</v>
      </c>
      <c r="Q1294" s="6"/>
      <c r="R1294" s="6" t="str">
        <f ca="1">IFERROR(__xludf.DUMMYFUNCTION("""COMPUTED_VALUE"""),"Pending")</f>
        <v>Pending</v>
      </c>
      <c r="S1294" s="6" t="str">
        <f ca="1">IFERROR(__xludf.DUMMYFUNCTION("""COMPUTED_VALUE"""),"NonCategory")</f>
        <v>NonCategory</v>
      </c>
      <c r="T1294" s="6"/>
      <c r="U1294" s="6"/>
      <c r="V1294" s="6"/>
      <c r="W1294" s="6"/>
      <c r="X1294" s="6"/>
      <c r="Y1294" s="6"/>
      <c r="Z1294" s="6"/>
      <c r="AA1294" s="6"/>
      <c r="AB1294" s="6"/>
      <c r="AC1294" s="6"/>
      <c r="AD1294" s="6"/>
      <c r="AE1294" s="6"/>
      <c r="AF1294" s="6"/>
      <c r="AG1294" s="6"/>
      <c r="AH1294" s="6"/>
      <c r="AI1294" s="6"/>
      <c r="AJ1294" s="6"/>
      <c r="AK1294" s="6"/>
      <c r="AL1294" s="6"/>
    </row>
    <row r="1295" spans="1:38">
      <c r="A1295" s="96">
        <f ca="1">IFERROR(__xludf.DUMMYFUNCTION("""COMPUTED_VALUE"""),44847)</f>
        <v>44847</v>
      </c>
      <c r="B1295" s="6" t="str">
        <f ca="1">IFERROR(__xludf.DUMMYFUNCTION("""COMPUTED_VALUE"""),"Niranjan")</f>
        <v>Niranjan</v>
      </c>
      <c r="C1295" s="6" t="str">
        <f ca="1">IFERROR(__xludf.DUMMYFUNCTION("""COMPUTED_VALUE"""),"niranjan.ghmssb@gmail.com")</f>
        <v>niranjan.ghmssb@gmail.com</v>
      </c>
      <c r="D1295" s="6">
        <f ca="1">IFERROR(__xludf.DUMMYFUNCTION("""COMPUTED_VALUE"""),9620168262)</f>
        <v>9620168262</v>
      </c>
      <c r="E1295" s="6" t="str">
        <f ca="1">IFERROR(__xludf.DUMMYFUNCTION("""COMPUTED_VALUE"""),"Existing Account")</f>
        <v>Existing Account</v>
      </c>
      <c r="F1295" s="6" t="str">
        <f ca="1">IFERROR(__xludf.DUMMYFUNCTION("""COMPUTED_VALUE"""),"PSM")</f>
        <v>PSM</v>
      </c>
      <c r="G1295" s="80">
        <f ca="1">IFERROR(__xludf.DUMMYFUNCTION("""COMPUTED_VALUE"""),44835)</f>
        <v>44835</v>
      </c>
      <c r="H1295" s="6" t="str">
        <f ca="1">IFERROR(__xludf.DUMMYFUNCTION("""COMPUTED_VALUE"""),"Won")</f>
        <v>Won</v>
      </c>
      <c r="I1295" s="6" t="str">
        <f ca="1">IFERROR(__xludf.DUMMYFUNCTION("""COMPUTED_VALUE"""),"15-16 Oct 2022")</f>
        <v>15-16 Oct 2022</v>
      </c>
      <c r="J1295" s="6">
        <f ca="1">IFERROR(__xludf.DUMMYFUNCTION("""COMPUTED_VALUE"""),1)</f>
        <v>1</v>
      </c>
      <c r="K1295" s="8">
        <f ca="1">IFERROR(__xludf.DUMMYFUNCTION("""COMPUTED_VALUE"""),21000)</f>
        <v>21000</v>
      </c>
      <c r="L1295" s="8">
        <f ca="1">IFERROR(__xludf.DUMMYFUNCTION("""COMPUTED_VALUE"""),240.494732020155)</f>
        <v>240.494732020155</v>
      </c>
      <c r="M1295" s="96">
        <f ca="1">IFERROR(__xludf.DUMMYFUNCTION("""COMPUTED_VALUE"""),44847)</f>
        <v>44847</v>
      </c>
      <c r="N1295" s="6" t="str">
        <f ca="1">IFERROR(__xludf.DUMMYFUNCTION("""COMPUTED_VALUE"""),"S10")</f>
        <v>S10</v>
      </c>
      <c r="O1295" s="97">
        <f ca="1">IFERROR(__xludf.DUMMYFUNCTION("""COMPUTED_VALUE"""),44847)</f>
        <v>44847</v>
      </c>
      <c r="P1295" s="6" t="str">
        <f ca="1">IFERROR(__xludf.DUMMYFUNCTION("""COMPUTED_VALUE"""),"CSTM_47UMSU587EP")</f>
        <v>CSTM_47UMSU587EP</v>
      </c>
      <c r="Q1295" s="6"/>
      <c r="R1295" s="6" t="str">
        <f ca="1">IFERROR(__xludf.DUMMYFUNCTION("""COMPUTED_VALUE"""),"Pending")</f>
        <v>Pending</v>
      </c>
      <c r="S1295" s="6" t="str">
        <f ca="1">IFERROR(__xludf.DUMMYFUNCTION("""COMPUTED_VALUE"""),"Category")</f>
        <v>Category</v>
      </c>
      <c r="T1295" s="6"/>
      <c r="U1295" s="6"/>
      <c r="V1295" s="6"/>
      <c r="W1295" s="6"/>
      <c r="X1295" s="6"/>
      <c r="Y1295" s="6"/>
      <c r="Z1295" s="6"/>
      <c r="AA1295" s="6"/>
      <c r="AB1295" s="6"/>
      <c r="AC1295" s="6"/>
      <c r="AD1295" s="6"/>
      <c r="AE1295" s="6"/>
      <c r="AF1295" s="6"/>
      <c r="AG1295" s="6"/>
      <c r="AH1295" s="6"/>
      <c r="AI1295" s="6"/>
      <c r="AJ1295" s="6"/>
      <c r="AK1295" s="6"/>
      <c r="AL1295" s="6"/>
    </row>
    <row r="1296" spans="1:38">
      <c r="A1296" s="96">
        <f ca="1">IFERROR(__xludf.DUMMYFUNCTION("""COMPUTED_VALUE"""),44848)</f>
        <v>44848</v>
      </c>
      <c r="B1296" s="6" t="str">
        <f ca="1">IFERROR(__xludf.DUMMYFUNCTION("""COMPUTED_VALUE"""),"Sandeep Kumar Mangu")</f>
        <v>Sandeep Kumar Mangu</v>
      </c>
      <c r="C1296" s="6" t="str">
        <f ca="1">IFERROR(__xludf.DUMMYFUNCTION("""COMPUTED_VALUE"""),"sandeepkumar.mangu@gmail.com")</f>
        <v>sandeepkumar.mangu@gmail.com</v>
      </c>
      <c r="D1296" s="6">
        <f ca="1">IFERROR(__xludf.DUMMYFUNCTION("""COMPUTED_VALUE"""),7842447415)</f>
        <v>7842447415</v>
      </c>
      <c r="E1296" s="6" t="str">
        <f ca="1">IFERROR(__xludf.DUMMYFUNCTION("""COMPUTED_VALUE"""),"Existing Account")</f>
        <v>Existing Account</v>
      </c>
      <c r="F1296" s="6" t="str">
        <f ca="1">IFERROR(__xludf.DUMMYFUNCTION("""COMPUTED_VALUE"""),"CSM")</f>
        <v>CSM</v>
      </c>
      <c r="G1296" s="80">
        <f ca="1">IFERROR(__xludf.DUMMYFUNCTION("""COMPUTED_VALUE"""),44835)</f>
        <v>44835</v>
      </c>
      <c r="H1296" s="6" t="str">
        <f ca="1">IFERROR(__xludf.DUMMYFUNCTION("""COMPUTED_VALUE"""),"Won")</f>
        <v>Won</v>
      </c>
      <c r="I1296" s="6" t="str">
        <f ca="1">IFERROR(__xludf.DUMMYFUNCTION("""COMPUTED_VALUE"""),"15-16 Oct 2022")</f>
        <v>15-16 Oct 2022</v>
      </c>
      <c r="J1296" s="6">
        <f ca="1">IFERROR(__xludf.DUMMYFUNCTION("""COMPUTED_VALUE"""),1)</f>
        <v>1</v>
      </c>
      <c r="K1296" s="8">
        <f ca="1">IFERROR(__xludf.DUMMYFUNCTION("""COMPUTED_VALUE"""),20000)</f>
        <v>20000</v>
      </c>
      <c r="L1296" s="8">
        <f ca="1">IFERROR(__xludf.DUMMYFUNCTION("""COMPUTED_VALUE"""),229.042601923957)</f>
        <v>229.04260192395699</v>
      </c>
      <c r="M1296" s="96">
        <f ca="1">IFERROR(__xludf.DUMMYFUNCTION("""COMPUTED_VALUE"""),44848)</f>
        <v>44848</v>
      </c>
      <c r="N1296" s="6" t="str">
        <f ca="1">IFERROR(__xludf.DUMMYFUNCTION("""COMPUTED_VALUE"""),"S10")</f>
        <v>S10</v>
      </c>
      <c r="O1296" s="97">
        <f ca="1">IFERROR(__xludf.DUMMYFUNCTION("""COMPUTED_VALUE"""),44848)</f>
        <v>44848</v>
      </c>
      <c r="P1296" s="6" t="str">
        <f ca="1">IFERROR(__xludf.DUMMYFUNCTION("""COMPUTED_VALUE"""),"CSTM_EEU6QHMCUB8")</f>
        <v>CSTM_EEU6QHMCUB8</v>
      </c>
      <c r="Q1296" s="6"/>
      <c r="R1296" s="6" t="str">
        <f ca="1">IFERROR(__xludf.DUMMYFUNCTION("""COMPUTED_VALUE"""),"Pending")</f>
        <v>Pending</v>
      </c>
      <c r="S1296" s="6" t="str">
        <f ca="1">IFERROR(__xludf.DUMMYFUNCTION("""COMPUTED_VALUE"""),"Category")</f>
        <v>Category</v>
      </c>
      <c r="T1296" s="6"/>
      <c r="U1296" s="6"/>
      <c r="V1296" s="6"/>
      <c r="W1296" s="6"/>
      <c r="X1296" s="6"/>
      <c r="Y1296" s="6"/>
      <c r="Z1296" s="6"/>
      <c r="AA1296" s="6"/>
      <c r="AB1296" s="6"/>
      <c r="AC1296" s="6"/>
      <c r="AD1296" s="6"/>
      <c r="AE1296" s="6"/>
      <c r="AF1296" s="6"/>
      <c r="AG1296" s="6"/>
      <c r="AH1296" s="6"/>
      <c r="AI1296" s="6"/>
      <c r="AJ1296" s="6"/>
      <c r="AK1296" s="6"/>
      <c r="AL1296" s="6"/>
    </row>
    <row r="1297" spans="1:38">
      <c r="A1297" s="96">
        <f ca="1">IFERROR(__xludf.DUMMYFUNCTION("""COMPUTED_VALUE"""),44848)</f>
        <v>44848</v>
      </c>
      <c r="B1297" s="6" t="str">
        <f ca="1">IFERROR(__xludf.DUMMYFUNCTION("""COMPUTED_VALUE"""),"Praveen Mesa")</f>
        <v>Praveen Mesa</v>
      </c>
      <c r="C1297" s="6" t="str">
        <f ca="1">IFERROR(__xludf.DUMMYFUNCTION("""COMPUTED_VALUE"""),"pravin8769@gmail.com")</f>
        <v>pravin8769@gmail.com</v>
      </c>
      <c r="D1297" s="6">
        <f ca="1">IFERROR(__xludf.DUMMYFUNCTION("""COMPUTED_VALUE"""),7842447415)</f>
        <v>7842447415</v>
      </c>
      <c r="E1297" s="6" t="str">
        <f ca="1">IFERROR(__xludf.DUMMYFUNCTION("""COMPUTED_VALUE"""),"Reference")</f>
        <v>Reference</v>
      </c>
      <c r="F1297" s="6" t="str">
        <f ca="1">IFERROR(__xludf.DUMMYFUNCTION("""COMPUTED_VALUE"""),"CSM")</f>
        <v>CSM</v>
      </c>
      <c r="G1297" s="80">
        <f ca="1">IFERROR(__xludf.DUMMYFUNCTION("""COMPUTED_VALUE"""),44835)</f>
        <v>44835</v>
      </c>
      <c r="H1297" s="6" t="str">
        <f ca="1">IFERROR(__xludf.DUMMYFUNCTION("""COMPUTED_VALUE"""),"Won")</f>
        <v>Won</v>
      </c>
      <c r="I1297" s="6" t="str">
        <f ca="1">IFERROR(__xludf.DUMMYFUNCTION("""COMPUTED_VALUE"""),"15-16 Oct 2022")</f>
        <v>15-16 Oct 2022</v>
      </c>
      <c r="J1297" s="6">
        <f ca="1">IFERROR(__xludf.DUMMYFUNCTION("""COMPUTED_VALUE"""),1)</f>
        <v>1</v>
      </c>
      <c r="K1297" s="8">
        <f ca="1">IFERROR(__xludf.DUMMYFUNCTION("""COMPUTED_VALUE"""),20000)</f>
        <v>20000</v>
      </c>
      <c r="L1297" s="8">
        <f ca="1">IFERROR(__xludf.DUMMYFUNCTION("""COMPUTED_VALUE"""),229.042601923957)</f>
        <v>229.04260192395699</v>
      </c>
      <c r="M1297" s="96">
        <f ca="1">IFERROR(__xludf.DUMMYFUNCTION("""COMPUTED_VALUE"""),44848)</f>
        <v>44848</v>
      </c>
      <c r="N1297" s="6" t="str">
        <f ca="1">IFERROR(__xludf.DUMMYFUNCTION("""COMPUTED_VALUE"""),"S10")</f>
        <v>S10</v>
      </c>
      <c r="O1297" s="97">
        <f ca="1">IFERROR(__xludf.DUMMYFUNCTION("""COMPUTED_VALUE"""),44848)</f>
        <v>44848</v>
      </c>
      <c r="P1297" s="6" t="str">
        <f ca="1">IFERROR(__xludf.DUMMYFUNCTION("""COMPUTED_VALUE"""),"CSTM_E9EXB1O6CLO")</f>
        <v>CSTM_E9EXB1O6CLO</v>
      </c>
      <c r="Q1297" s="6" t="str">
        <f ca="1">IFERROR(__xludf.DUMMYFUNCTION("""COMPUTED_VALUE"""),"Reference by Sandeep")</f>
        <v>Reference by Sandeep</v>
      </c>
      <c r="R1297" s="6" t="str">
        <f ca="1">IFERROR(__xludf.DUMMYFUNCTION("""COMPUTED_VALUE"""),"Pending")</f>
        <v>Pending</v>
      </c>
      <c r="S1297" s="6" t="str">
        <f ca="1">IFERROR(__xludf.DUMMYFUNCTION("""COMPUTED_VALUE"""),"Category")</f>
        <v>Category</v>
      </c>
      <c r="T1297" s="6"/>
      <c r="U1297" s="6"/>
      <c r="V1297" s="6"/>
      <c r="W1297" s="6"/>
      <c r="X1297" s="6"/>
      <c r="Y1297" s="6"/>
      <c r="Z1297" s="6"/>
      <c r="AA1297" s="6"/>
      <c r="AB1297" s="6"/>
      <c r="AC1297" s="6"/>
      <c r="AD1297" s="6"/>
      <c r="AE1297" s="6"/>
      <c r="AF1297" s="6"/>
      <c r="AG1297" s="6"/>
      <c r="AH1297" s="6"/>
      <c r="AI1297" s="6"/>
      <c r="AJ1297" s="6"/>
      <c r="AK1297" s="6"/>
      <c r="AL1297" s="6"/>
    </row>
    <row r="1298" spans="1:38">
      <c r="A1298" s="96">
        <f ca="1">IFERROR(__xludf.DUMMYFUNCTION("""COMPUTED_VALUE"""),44844)</f>
        <v>44844</v>
      </c>
      <c r="B1298" s="6" t="str">
        <f ca="1">IFERROR(__xludf.DUMMYFUNCTION("""COMPUTED_VALUE"""),"Kanchan Kumari")</f>
        <v>Kanchan Kumari</v>
      </c>
      <c r="C1298" s="6" t="str">
        <f ca="1">IFERROR(__xludf.DUMMYFUNCTION("""COMPUTED_VALUE"""),"mr.bkrishnareddy@gmail.com")</f>
        <v>mr.bkrishnareddy@gmail.com</v>
      </c>
      <c r="D1298" s="6">
        <f ca="1">IFERROR(__xludf.DUMMYFUNCTION("""COMPUTED_VALUE"""),7008688701)</f>
        <v>7008688701</v>
      </c>
      <c r="E1298" s="6" t="str">
        <f ca="1">IFERROR(__xludf.DUMMYFUNCTION("""COMPUTED_VALUE"""),"Existing Account")</f>
        <v>Existing Account</v>
      </c>
      <c r="F1298" s="6" t="str">
        <f ca="1">IFERROR(__xludf.DUMMYFUNCTION("""COMPUTED_VALUE"""),"PSM")</f>
        <v>PSM</v>
      </c>
      <c r="G1298" s="80">
        <f ca="1">IFERROR(__xludf.DUMMYFUNCTION("""COMPUTED_VALUE"""),44835)</f>
        <v>44835</v>
      </c>
      <c r="H1298" s="6" t="str">
        <f ca="1">IFERROR(__xludf.DUMMYFUNCTION("""COMPUTED_VALUE"""),"Won")</f>
        <v>Won</v>
      </c>
      <c r="I1298" s="6" t="str">
        <f ca="1">IFERROR(__xludf.DUMMYFUNCTION("""COMPUTED_VALUE"""),"15-16 Oct 2022")</f>
        <v>15-16 Oct 2022</v>
      </c>
      <c r="J1298" s="6">
        <f ca="1">IFERROR(__xludf.DUMMYFUNCTION("""COMPUTED_VALUE"""),1)</f>
        <v>1</v>
      </c>
      <c r="K1298" s="8">
        <f ca="1">IFERROR(__xludf.DUMMYFUNCTION("""COMPUTED_VALUE"""),21000)</f>
        <v>21000</v>
      </c>
      <c r="L1298" s="8">
        <f ca="1">IFERROR(__xludf.DUMMYFUNCTION("""COMPUTED_VALUE"""),240.494732020155)</f>
        <v>240.494732020155</v>
      </c>
      <c r="M1298" s="96">
        <f ca="1">IFERROR(__xludf.DUMMYFUNCTION("""COMPUTED_VALUE"""),44844)</f>
        <v>44844</v>
      </c>
      <c r="N1298" s="6" t="str">
        <f ca="1">IFERROR(__xludf.DUMMYFUNCTION("""COMPUTED_VALUE"""),"S10")</f>
        <v>S10</v>
      </c>
      <c r="O1298" s="97">
        <f ca="1">IFERROR(__xludf.DUMMYFUNCTION("""COMPUTED_VALUE"""),44844)</f>
        <v>44844</v>
      </c>
      <c r="P1298" s="6" t="str">
        <f ca="1">IFERROR(__xludf.DUMMYFUNCTION("""COMPUTED_VALUE"""),"CSTM_68D52P51UPW")</f>
        <v>CSTM_68D52P51UPW</v>
      </c>
      <c r="Q1298" s="6"/>
      <c r="R1298" s="6" t="str">
        <f ca="1">IFERROR(__xludf.DUMMYFUNCTION("""COMPUTED_VALUE"""),"Pending")</f>
        <v>Pending</v>
      </c>
      <c r="S1298" s="6" t="str">
        <f ca="1">IFERROR(__xludf.DUMMYFUNCTION("""COMPUTED_VALUE"""),"Category")</f>
        <v>Category</v>
      </c>
      <c r="T1298" s="6"/>
      <c r="U1298" s="6"/>
      <c r="V1298" s="6"/>
      <c r="W1298" s="6"/>
      <c r="X1298" s="6"/>
      <c r="Y1298" s="6"/>
      <c r="Z1298" s="6"/>
      <c r="AA1298" s="6"/>
      <c r="AB1298" s="6"/>
      <c r="AC1298" s="6"/>
      <c r="AD1298" s="6"/>
      <c r="AE1298" s="6"/>
      <c r="AF1298" s="6"/>
      <c r="AG1298" s="6"/>
      <c r="AH1298" s="6"/>
      <c r="AI1298" s="6"/>
      <c r="AJ1298" s="6"/>
      <c r="AK1298" s="6"/>
      <c r="AL1298" s="6"/>
    </row>
    <row r="1299" spans="1:38">
      <c r="A1299" s="96">
        <f ca="1">IFERROR(__xludf.DUMMYFUNCTION("""COMPUTED_VALUE"""),44851)</f>
        <v>44851</v>
      </c>
      <c r="B1299" s="6" t="str">
        <f ca="1">IFERROR(__xludf.DUMMYFUNCTION("""COMPUTED_VALUE"""),"Abhipsa Behera")</f>
        <v>Abhipsa Behera</v>
      </c>
      <c r="C1299" s="6" t="str">
        <f ca="1">IFERROR(__xludf.DUMMYFUNCTION("""COMPUTED_VALUE"""),"abhipsabehera91@gmail.com")</f>
        <v>abhipsabehera91@gmail.com</v>
      </c>
      <c r="D1299" s="6">
        <f ca="1">IFERROR(__xludf.DUMMYFUNCTION("""COMPUTED_VALUE"""),9590619854)</f>
        <v>9590619854</v>
      </c>
      <c r="E1299" s="6" t="str">
        <f ca="1">IFERROR(__xludf.DUMMYFUNCTION("""COMPUTED_VALUE"""),"Chat_triggered")</f>
        <v>Chat_triggered</v>
      </c>
      <c r="F1299" s="6" t="str">
        <f ca="1">IFERROR(__xludf.DUMMYFUNCTION("""COMPUTED_VALUE"""),"ITIL v4")</f>
        <v>ITIL v4</v>
      </c>
      <c r="G1299" s="80">
        <f ca="1">IFERROR(__xludf.DUMMYFUNCTION("""COMPUTED_VALUE"""),44835)</f>
        <v>44835</v>
      </c>
      <c r="H1299" s="6" t="str">
        <f ca="1">IFERROR(__xludf.DUMMYFUNCTION("""COMPUTED_VALUE"""),"Won")</f>
        <v>Won</v>
      </c>
      <c r="I1299" s="6" t="str">
        <f ca="1">IFERROR(__xludf.DUMMYFUNCTION("""COMPUTED_VALUE"""),"17 Oct 2022")</f>
        <v>17 Oct 2022</v>
      </c>
      <c r="J1299" s="6">
        <f ca="1">IFERROR(__xludf.DUMMYFUNCTION("""COMPUTED_VALUE"""),1)</f>
        <v>1</v>
      </c>
      <c r="K1299" s="8">
        <f ca="1">IFERROR(__xludf.DUMMYFUNCTION("""COMPUTED_VALUE"""),19200)</f>
        <v>19200</v>
      </c>
      <c r="L1299" s="8">
        <f ca="1">IFERROR(__xludf.DUMMYFUNCTION("""COMPUTED_VALUE"""),219.880897846999)</f>
        <v>219.88089784699901</v>
      </c>
      <c r="M1299" s="96">
        <f ca="1">IFERROR(__xludf.DUMMYFUNCTION("""COMPUTED_VALUE"""),44851)</f>
        <v>44851</v>
      </c>
      <c r="N1299" s="6" t="str">
        <f ca="1">IFERROR(__xludf.DUMMYFUNCTION("""COMPUTED_VALUE"""),"S10")</f>
        <v>S10</v>
      </c>
      <c r="O1299" s="97">
        <f ca="1">IFERROR(__xludf.DUMMYFUNCTION("""COMPUTED_VALUE"""),44851)</f>
        <v>44851</v>
      </c>
      <c r="P1299" s="6" t="str">
        <f ca="1">IFERROR(__xludf.DUMMYFUNCTION("""COMPUTED_VALUE"""),"CSTM_12JYIME401S")</f>
        <v>CSTM_12JYIME401S</v>
      </c>
      <c r="Q1299" s="6"/>
      <c r="R1299" s="6" t="str">
        <f ca="1">IFERROR(__xludf.DUMMYFUNCTION("""COMPUTED_VALUE"""),"Pending")</f>
        <v>Pending</v>
      </c>
      <c r="S1299" s="6" t="str">
        <f ca="1">IFERROR(__xludf.DUMMYFUNCTION("""COMPUTED_VALUE"""),"NonCategory")</f>
        <v>NonCategory</v>
      </c>
      <c r="T1299" s="6"/>
      <c r="U1299" s="6"/>
      <c r="V1299" s="6"/>
      <c r="W1299" s="6"/>
      <c r="X1299" s="6"/>
      <c r="Y1299" s="6"/>
      <c r="Z1299" s="6"/>
      <c r="AA1299" s="6"/>
      <c r="AB1299" s="6"/>
      <c r="AC1299" s="6"/>
      <c r="AD1299" s="6"/>
      <c r="AE1299" s="6"/>
      <c r="AF1299" s="6"/>
      <c r="AG1299" s="6"/>
      <c r="AH1299" s="6"/>
      <c r="AI1299" s="6"/>
      <c r="AJ1299" s="6"/>
      <c r="AK1299" s="6"/>
      <c r="AL1299" s="6"/>
    </row>
    <row r="1300" spans="1:38">
      <c r="A1300" s="96">
        <f ca="1">IFERROR(__xludf.DUMMYFUNCTION("""COMPUTED_VALUE"""),44851)</f>
        <v>44851</v>
      </c>
      <c r="B1300" s="6" t="str">
        <f ca="1">IFERROR(__xludf.DUMMYFUNCTION("""COMPUTED_VALUE"""),"Pratik Desai")</f>
        <v>Pratik Desai</v>
      </c>
      <c r="C1300" s="6" t="str">
        <f ca="1">IFERROR(__xludf.DUMMYFUNCTION("""COMPUTED_VALUE"""),"pgp22.pratik@spjimr.org")</f>
        <v>pgp22.pratik@spjimr.org</v>
      </c>
      <c r="D1300" s="6">
        <f ca="1">IFERROR(__xludf.DUMMYFUNCTION("""COMPUTED_VALUE"""),8087203290)</f>
        <v>8087203290</v>
      </c>
      <c r="E1300" s="6" t="str">
        <f ca="1">IFERROR(__xludf.DUMMYFUNCTION("""COMPUTED_VALUE"""),"Query box")</f>
        <v>Query box</v>
      </c>
      <c r="F1300" s="6" t="str">
        <f ca="1">IFERROR(__xludf.DUMMYFUNCTION("""COMPUTED_VALUE"""),"PSPO")</f>
        <v>PSPO</v>
      </c>
      <c r="G1300" s="80">
        <f ca="1">IFERROR(__xludf.DUMMYFUNCTION("""COMPUTED_VALUE"""),44835)</f>
        <v>44835</v>
      </c>
      <c r="H1300" s="6" t="str">
        <f ca="1">IFERROR(__xludf.DUMMYFUNCTION("""COMPUTED_VALUE"""),"Won")</f>
        <v>Won</v>
      </c>
      <c r="I1300" s="6" t="str">
        <f ca="1">IFERROR(__xludf.DUMMYFUNCTION("""COMPUTED_VALUE"""),"29-30 Oct 2022")</f>
        <v>29-30 Oct 2022</v>
      </c>
      <c r="J1300" s="6">
        <f ca="1">IFERROR(__xludf.DUMMYFUNCTION("""COMPUTED_VALUE"""),1)</f>
        <v>1</v>
      </c>
      <c r="K1300" s="8">
        <f ca="1">IFERROR(__xludf.DUMMYFUNCTION("""COMPUTED_VALUE"""),21000)</f>
        <v>21000</v>
      </c>
      <c r="L1300" s="8">
        <f ca="1">IFERROR(__xludf.DUMMYFUNCTION("""COMPUTED_VALUE"""),240.494732020155)</f>
        <v>240.494732020155</v>
      </c>
      <c r="M1300" s="96">
        <f ca="1">IFERROR(__xludf.DUMMYFUNCTION("""COMPUTED_VALUE"""),44851)</f>
        <v>44851</v>
      </c>
      <c r="N1300" s="6" t="str">
        <f ca="1">IFERROR(__xludf.DUMMYFUNCTION("""COMPUTED_VALUE"""),"S10")</f>
        <v>S10</v>
      </c>
      <c r="O1300" s="97">
        <f ca="1">IFERROR(__xludf.DUMMYFUNCTION("""COMPUTED_VALUE"""),44852)</f>
        <v>44852</v>
      </c>
      <c r="P1300" s="6" t="str">
        <f ca="1">IFERROR(__xludf.DUMMYFUNCTION("""COMPUTED_VALUE"""),"CSTM_AWD6Z0UTK8Y")</f>
        <v>CSTM_AWD6Z0UTK8Y</v>
      </c>
      <c r="Q1300" s="6"/>
      <c r="R1300" s="6" t="str">
        <f ca="1">IFERROR(__xludf.DUMMYFUNCTION("""COMPUTED_VALUE"""),"Pending")</f>
        <v>Pending</v>
      </c>
      <c r="S1300" s="6" t="str">
        <f ca="1">IFERROR(__xludf.DUMMYFUNCTION("""COMPUTED_VALUE"""),"Category")</f>
        <v>Category</v>
      </c>
      <c r="T1300" s="6"/>
      <c r="U1300" s="6"/>
      <c r="V1300" s="6"/>
      <c r="W1300" s="6"/>
      <c r="X1300" s="6"/>
      <c r="Y1300" s="6"/>
      <c r="Z1300" s="6"/>
      <c r="AA1300" s="6"/>
      <c r="AB1300" s="6"/>
      <c r="AC1300" s="6"/>
      <c r="AD1300" s="6"/>
      <c r="AE1300" s="6"/>
      <c r="AF1300" s="6"/>
      <c r="AG1300" s="6"/>
      <c r="AH1300" s="6"/>
      <c r="AI1300" s="6"/>
      <c r="AJ1300" s="6"/>
      <c r="AK1300" s="6"/>
      <c r="AL1300" s="6"/>
    </row>
    <row r="1301" spans="1:38">
      <c r="A1301" s="96">
        <f ca="1">IFERROR(__xludf.DUMMYFUNCTION("""COMPUTED_VALUE"""),44852)</f>
        <v>44852</v>
      </c>
      <c r="B1301" s="6" t="str">
        <f ca="1">IFERROR(__xludf.DUMMYFUNCTION("""COMPUTED_VALUE"""),"Shalini Singh")</f>
        <v>Shalini Singh</v>
      </c>
      <c r="C1301" s="6" t="str">
        <f ca="1">IFERROR(__xludf.DUMMYFUNCTION("""COMPUTED_VALUE"""),"shalinisinghv86@gmail.com")</f>
        <v>shalinisinghv86@gmail.com</v>
      </c>
      <c r="D1301" s="6">
        <f ca="1">IFERROR(__xludf.DUMMYFUNCTION("""COMPUTED_VALUE"""),7760503421)</f>
        <v>7760503421</v>
      </c>
      <c r="E1301" s="6" t="str">
        <f ca="1">IFERROR(__xludf.DUMMYFUNCTION("""COMPUTED_VALUE"""),"Chat_triggered")</f>
        <v>Chat_triggered</v>
      </c>
      <c r="F1301" s="6" t="str">
        <f ca="1">IFERROR(__xludf.DUMMYFUNCTION("""COMPUTED_VALUE"""),"PMP")</f>
        <v>PMP</v>
      </c>
      <c r="G1301" s="80">
        <f ca="1">IFERROR(__xludf.DUMMYFUNCTION("""COMPUTED_VALUE"""),44835)</f>
        <v>44835</v>
      </c>
      <c r="H1301" s="6" t="str">
        <f ca="1">IFERROR(__xludf.DUMMYFUNCTION("""COMPUTED_VALUE"""),"Won")</f>
        <v>Won</v>
      </c>
      <c r="I1301" s="6" t="str">
        <f ca="1">IFERROR(__xludf.DUMMYFUNCTION("""COMPUTED_VALUE"""),"31 Oct 2022")</f>
        <v>31 Oct 2022</v>
      </c>
      <c r="J1301" s="6">
        <f ca="1">IFERROR(__xludf.DUMMYFUNCTION("""COMPUTED_VALUE"""),1)</f>
        <v>1</v>
      </c>
      <c r="K1301" s="8">
        <f ca="1">IFERROR(__xludf.DUMMYFUNCTION("""COMPUTED_VALUE"""),49000)</f>
        <v>49000</v>
      </c>
      <c r="L1301" s="8">
        <f ca="1">IFERROR(__xludf.DUMMYFUNCTION("""COMPUTED_VALUE"""),561.154374713696)</f>
        <v>561.15437471369603</v>
      </c>
      <c r="M1301" s="96">
        <f ca="1">IFERROR(__xludf.DUMMYFUNCTION("""COMPUTED_VALUE"""),44852)</f>
        <v>44852</v>
      </c>
      <c r="N1301" s="6" t="str">
        <f ca="1">IFERROR(__xludf.DUMMYFUNCTION("""COMPUTED_VALUE"""),"S10")</f>
        <v>S10</v>
      </c>
      <c r="O1301" s="97">
        <f ca="1">IFERROR(__xludf.DUMMYFUNCTION("""COMPUTED_VALUE"""),44852)</f>
        <v>44852</v>
      </c>
      <c r="P1301" s="6" t="str">
        <f ca="1">IFERROR(__xludf.DUMMYFUNCTION("""COMPUTED_VALUE"""),"CSTM_1TXMEG1UAPC")</f>
        <v>CSTM_1TXMEG1UAPC</v>
      </c>
      <c r="Q1301" s="6"/>
      <c r="R1301" s="6" t="str">
        <f ca="1">IFERROR(__xludf.DUMMYFUNCTION("""COMPUTED_VALUE"""),"Pending")</f>
        <v>Pending</v>
      </c>
      <c r="S1301" s="6" t="str">
        <f ca="1">IFERROR(__xludf.DUMMYFUNCTION("""COMPUTED_VALUE"""),"NonCategory")</f>
        <v>NonCategory</v>
      </c>
      <c r="T1301" s="6"/>
      <c r="U1301" s="6"/>
      <c r="V1301" s="6"/>
      <c r="W1301" s="6"/>
      <c r="X1301" s="6"/>
      <c r="Y1301" s="6"/>
      <c r="Z1301" s="6"/>
      <c r="AA1301" s="6"/>
      <c r="AB1301" s="6"/>
      <c r="AC1301" s="6"/>
      <c r="AD1301" s="6"/>
      <c r="AE1301" s="6"/>
      <c r="AF1301" s="6"/>
      <c r="AG1301" s="6"/>
      <c r="AH1301" s="6"/>
      <c r="AI1301" s="6"/>
      <c r="AJ1301" s="6"/>
      <c r="AK1301" s="6"/>
      <c r="AL1301" s="6"/>
    </row>
    <row r="1302" spans="1:38">
      <c r="A1302" s="96">
        <f ca="1">IFERROR(__xludf.DUMMYFUNCTION("""COMPUTED_VALUE"""),44853)</f>
        <v>44853</v>
      </c>
      <c r="B1302" s="6" t="str">
        <f ca="1">IFERROR(__xludf.DUMMYFUNCTION("""COMPUTED_VALUE"""),"Priya Khatavkar")</f>
        <v>Priya Khatavkar</v>
      </c>
      <c r="C1302" s="6" t="str">
        <f ca="1">IFERROR(__xludf.DUMMYFUNCTION("""COMPUTED_VALUE"""),"khatavkarpriya@tataelxsi.co.in")</f>
        <v>khatavkarpriya@tataelxsi.co.in</v>
      </c>
      <c r="D1302" s="6">
        <f ca="1">IFERROR(__xludf.DUMMYFUNCTION("""COMPUTED_VALUE"""),9008499477)</f>
        <v>9008499477</v>
      </c>
      <c r="E1302" s="6" t="str">
        <f ca="1">IFERROR(__xludf.DUMMYFUNCTION("""COMPUTED_VALUE"""),"Reference")</f>
        <v>Reference</v>
      </c>
      <c r="F1302" s="6" t="str">
        <f ca="1">IFERROR(__xludf.DUMMYFUNCTION("""COMPUTED_VALUE"""),"CSM")</f>
        <v>CSM</v>
      </c>
      <c r="G1302" s="80">
        <f ca="1">IFERROR(__xludf.DUMMYFUNCTION("""COMPUTED_VALUE"""),44835)</f>
        <v>44835</v>
      </c>
      <c r="H1302" s="6" t="str">
        <f ca="1">IFERROR(__xludf.DUMMYFUNCTION("""COMPUTED_VALUE"""),"Opportunity")</f>
        <v>Opportunity</v>
      </c>
      <c r="I1302" s="6" t="str">
        <f ca="1">IFERROR(__xludf.DUMMYFUNCTION("""COMPUTED_VALUE"""),"5-6 Nov 2022")</f>
        <v>5-6 Nov 2022</v>
      </c>
      <c r="J1302" s="6">
        <f ca="1">IFERROR(__xludf.DUMMYFUNCTION("""COMPUTED_VALUE"""),1)</f>
        <v>1</v>
      </c>
      <c r="K1302" s="8">
        <f ca="1">IFERROR(__xludf.DUMMYFUNCTION("""COMPUTED_VALUE"""),20000)</f>
        <v>20000</v>
      </c>
      <c r="L1302" s="8">
        <f ca="1">IFERROR(__xludf.DUMMYFUNCTION("""COMPUTED_VALUE"""),229.042601923957)</f>
        <v>229.04260192395699</v>
      </c>
      <c r="M1302" s="96"/>
      <c r="N1302" s="6"/>
      <c r="O1302" s="97"/>
      <c r="P1302" s="6"/>
      <c r="Q1302" s="6"/>
      <c r="R1302" s="6"/>
      <c r="S1302" s="6" t="str">
        <f ca="1">IFERROR(__xludf.DUMMYFUNCTION("""COMPUTED_VALUE"""),"Category")</f>
        <v>Category</v>
      </c>
      <c r="T1302" s="6"/>
      <c r="U1302" s="6"/>
      <c r="V1302" s="6"/>
      <c r="W1302" s="6"/>
      <c r="X1302" s="6"/>
      <c r="Y1302" s="6"/>
      <c r="Z1302" s="6"/>
      <c r="AA1302" s="6"/>
      <c r="AB1302" s="6"/>
      <c r="AC1302" s="6"/>
      <c r="AD1302" s="6"/>
      <c r="AE1302" s="6"/>
      <c r="AF1302" s="6"/>
      <c r="AG1302" s="6"/>
      <c r="AH1302" s="6"/>
      <c r="AI1302" s="6"/>
      <c r="AJ1302" s="6"/>
      <c r="AK1302" s="6"/>
      <c r="AL1302" s="6"/>
    </row>
    <row r="1303" spans="1:38">
      <c r="A1303" s="96">
        <f ca="1">IFERROR(__xludf.DUMMYFUNCTION("""COMPUTED_VALUE"""),44855)</f>
        <v>44855</v>
      </c>
      <c r="B1303" s="6" t="str">
        <f ca="1">IFERROR(__xludf.DUMMYFUNCTION("""COMPUTED_VALUE"""),"Piu Chatterjee")</f>
        <v>Piu Chatterjee</v>
      </c>
      <c r="C1303" s="6" t="str">
        <f ca="1">IFERROR(__xludf.DUMMYFUNCTION("""COMPUTED_VALUE"""),"hellopiuhere@gmail.com")</f>
        <v>hellopiuhere@gmail.com</v>
      </c>
      <c r="D1303" s="6">
        <f ca="1">IFERROR(__xludf.DUMMYFUNCTION("""COMPUTED_VALUE"""),8888866018)</f>
        <v>8888866018</v>
      </c>
      <c r="E1303" s="6" t="str">
        <f ca="1">IFERROR(__xludf.DUMMYFUNCTION("""COMPUTED_VALUE"""),"Reference")</f>
        <v>Reference</v>
      </c>
      <c r="F1303" s="6" t="str">
        <f ca="1">IFERROR(__xludf.DUMMYFUNCTION("""COMPUTED_VALUE"""),"PSM 2")</f>
        <v>PSM 2</v>
      </c>
      <c r="G1303" s="80">
        <f ca="1">IFERROR(__xludf.DUMMYFUNCTION("""COMPUTED_VALUE"""),44835)</f>
        <v>44835</v>
      </c>
      <c r="H1303" s="6" t="str">
        <f ca="1">IFERROR(__xludf.DUMMYFUNCTION("""COMPUTED_VALUE"""),"Won")</f>
        <v>Won</v>
      </c>
      <c r="I1303" s="6" t="str">
        <f ca="1">IFERROR(__xludf.DUMMYFUNCTION("""COMPUTED_VALUE"""),"5-6 Nov 2022")</f>
        <v>5-6 Nov 2022</v>
      </c>
      <c r="J1303" s="6">
        <f ca="1">IFERROR(__xludf.DUMMYFUNCTION("""COMPUTED_VALUE"""),1)</f>
        <v>1</v>
      </c>
      <c r="K1303" s="8">
        <f ca="1">IFERROR(__xludf.DUMMYFUNCTION("""COMPUTED_VALUE"""),24000)</f>
        <v>24000</v>
      </c>
      <c r="L1303" s="8">
        <f ca="1">IFERROR(__xludf.DUMMYFUNCTION("""COMPUTED_VALUE"""),274.851122308749)</f>
        <v>274.85112230874898</v>
      </c>
      <c r="M1303" s="96">
        <f ca="1">IFERROR(__xludf.DUMMYFUNCTION("""COMPUTED_VALUE"""),44855)</f>
        <v>44855</v>
      </c>
      <c r="N1303" s="6" t="str">
        <f ca="1">IFERROR(__xludf.DUMMYFUNCTION("""COMPUTED_VALUE"""),"T10")</f>
        <v>T10</v>
      </c>
      <c r="O1303" s="97">
        <f ca="1">IFERROR(__xludf.DUMMYFUNCTION("""COMPUTED_VALUE"""),44855)</f>
        <v>44855</v>
      </c>
      <c r="P1303" s="6" t="str">
        <f ca="1">IFERROR(__xludf.DUMMYFUNCTION("""COMPUTED_VALUE"""),"CSTM_JD785RXNV0B")</f>
        <v>CSTM_JD785RXNV0B</v>
      </c>
      <c r="Q1303" s="6"/>
      <c r="R1303" s="6" t="str">
        <f ca="1">IFERROR(__xludf.DUMMYFUNCTION("""COMPUTED_VALUE"""),"Pending")</f>
        <v>Pending</v>
      </c>
      <c r="S1303" s="6" t="str">
        <f ca="1">IFERROR(__xludf.DUMMYFUNCTION("""COMPUTED_VALUE"""),"Category")</f>
        <v>Category</v>
      </c>
      <c r="T1303" s="6"/>
      <c r="U1303" s="6"/>
      <c r="V1303" s="6"/>
      <c r="W1303" s="6"/>
      <c r="X1303" s="6"/>
      <c r="Y1303" s="6"/>
      <c r="Z1303" s="6"/>
      <c r="AA1303" s="6"/>
      <c r="AB1303" s="6"/>
      <c r="AC1303" s="6"/>
      <c r="AD1303" s="6"/>
      <c r="AE1303" s="6"/>
      <c r="AF1303" s="6"/>
      <c r="AG1303" s="6"/>
      <c r="AH1303" s="6"/>
      <c r="AI1303" s="6"/>
      <c r="AJ1303" s="6"/>
      <c r="AK1303" s="6"/>
      <c r="AL1303" s="6"/>
    </row>
    <row r="1304" spans="1:38">
      <c r="A1304" s="96">
        <f ca="1">IFERROR(__xludf.DUMMYFUNCTION("""COMPUTED_VALUE"""),44858)</f>
        <v>44858</v>
      </c>
      <c r="B1304" s="6" t="str">
        <f ca="1">IFERROR(__xludf.DUMMYFUNCTION("""COMPUTED_VALUE"""),"Pushkala B")</f>
        <v>Pushkala B</v>
      </c>
      <c r="C1304" s="6" t="str">
        <f ca="1">IFERROR(__xludf.DUMMYFUNCTION("""COMPUTED_VALUE"""),"pushkalab@gmail.com")</f>
        <v>pushkalab@gmail.com</v>
      </c>
      <c r="D1304" s="6">
        <f ca="1">IFERROR(__xludf.DUMMYFUNCTION("""COMPUTED_VALUE"""),9849279313)</f>
        <v>9849279313</v>
      </c>
      <c r="E1304" s="6" t="str">
        <f ca="1">IFERROR(__xludf.DUMMYFUNCTION("""COMPUTED_VALUE"""),"Chat_triggered")</f>
        <v>Chat_triggered</v>
      </c>
      <c r="F1304" s="6" t="str">
        <f ca="1">IFERROR(__xludf.DUMMYFUNCTION("""COMPUTED_VALUE"""),"TOGAF")</f>
        <v>TOGAF</v>
      </c>
      <c r="G1304" s="80">
        <f ca="1">IFERROR(__xludf.DUMMYFUNCTION("""COMPUTED_VALUE"""),44835)</f>
        <v>44835</v>
      </c>
      <c r="H1304" s="6" t="str">
        <f ca="1">IFERROR(__xludf.DUMMYFUNCTION("""COMPUTED_VALUE"""),"Won")</f>
        <v>Won</v>
      </c>
      <c r="I1304" s="6" t="str">
        <f ca="1">IFERROR(__xludf.DUMMYFUNCTION("""COMPUTED_VALUE"""),"OSL")</f>
        <v>OSL</v>
      </c>
      <c r="J1304" s="6">
        <f ca="1">IFERROR(__xludf.DUMMYFUNCTION("""COMPUTED_VALUE"""),1)</f>
        <v>1</v>
      </c>
      <c r="K1304" s="8">
        <f ca="1">IFERROR(__xludf.DUMMYFUNCTION("""COMPUTED_VALUE"""),35000)</f>
        <v>35000</v>
      </c>
      <c r="L1304" s="8">
        <f ca="1">IFERROR(__xludf.DUMMYFUNCTION("""COMPUTED_VALUE"""),400.824553366926)</f>
        <v>400.82455336692601</v>
      </c>
      <c r="M1304" s="96">
        <f ca="1">IFERROR(__xludf.DUMMYFUNCTION("""COMPUTED_VALUE"""),44858)</f>
        <v>44858</v>
      </c>
      <c r="N1304" s="6" t="str">
        <f ca="1">IFERROR(__xludf.DUMMYFUNCTION("""COMPUTED_VALUE"""),"T10")</f>
        <v>T10</v>
      </c>
      <c r="O1304" s="97">
        <f ca="1">IFERROR(__xludf.DUMMYFUNCTION("""COMPUTED_VALUE"""),44858)</f>
        <v>44858</v>
      </c>
      <c r="P1304" s="6" t="str">
        <f ca="1">IFERROR(__xludf.DUMMYFUNCTION("""COMPUTED_VALUE"""),"CSTM_AUFTJNEX96Z")</f>
        <v>CSTM_AUFTJNEX96Z</v>
      </c>
      <c r="Q1304" s="6"/>
      <c r="R1304" s="6" t="str">
        <f ca="1">IFERROR(__xludf.DUMMYFUNCTION("""COMPUTED_VALUE"""),"Pending")</f>
        <v>Pending</v>
      </c>
      <c r="S1304" s="6" t="str">
        <f ca="1">IFERROR(__xludf.DUMMYFUNCTION("""COMPUTED_VALUE"""),"NonCategory")</f>
        <v>NonCategory</v>
      </c>
      <c r="T1304" s="6"/>
      <c r="U1304" s="6"/>
      <c r="V1304" s="6"/>
      <c r="W1304" s="6"/>
      <c r="X1304" s="6"/>
      <c r="Y1304" s="6"/>
      <c r="Z1304" s="6"/>
      <c r="AA1304" s="6"/>
      <c r="AB1304" s="6"/>
      <c r="AC1304" s="6"/>
      <c r="AD1304" s="6"/>
      <c r="AE1304" s="6"/>
      <c r="AF1304" s="6"/>
      <c r="AG1304" s="6"/>
      <c r="AH1304" s="6"/>
      <c r="AI1304" s="6"/>
      <c r="AJ1304" s="6"/>
      <c r="AK1304" s="6"/>
      <c r="AL1304" s="6"/>
    </row>
    <row r="1305" spans="1:38">
      <c r="A1305" s="96">
        <f ca="1">IFERROR(__xludf.DUMMYFUNCTION("""COMPUTED_VALUE"""),44859)</f>
        <v>44859</v>
      </c>
      <c r="B1305" s="6" t="str">
        <f ca="1">IFERROR(__xludf.DUMMYFUNCTION("""COMPUTED_VALUE"""),"John Rose")</f>
        <v>John Rose</v>
      </c>
      <c r="C1305" s="6" t="str">
        <f ca="1">IFERROR(__xludf.DUMMYFUNCTION("""COMPUTED_VALUE"""),"johnrose.g@gmail.com")</f>
        <v>johnrose.g@gmail.com</v>
      </c>
      <c r="D1305" s="6">
        <f ca="1">IFERROR(__xludf.DUMMYFUNCTION("""COMPUTED_VALUE"""),9789035212)</f>
        <v>9789035212</v>
      </c>
      <c r="E1305" s="6" t="str">
        <f ca="1">IFERROR(__xludf.DUMMYFUNCTION("""COMPUTED_VALUE"""),"chat_initiated")</f>
        <v>chat_initiated</v>
      </c>
      <c r="F1305" s="6" t="str">
        <f ca="1">IFERROR(__xludf.DUMMYFUNCTION("""COMPUTED_VALUE"""),"PMP 1st Partial")</f>
        <v>PMP 1st Partial</v>
      </c>
      <c r="G1305" s="80">
        <f ca="1">IFERROR(__xludf.DUMMYFUNCTION("""COMPUTED_VALUE"""),44835)</f>
        <v>44835</v>
      </c>
      <c r="H1305" s="6" t="str">
        <f ca="1">IFERROR(__xludf.DUMMYFUNCTION("""COMPUTED_VALUE"""),"Won")</f>
        <v>Won</v>
      </c>
      <c r="I1305" s="6" t="str">
        <f ca="1">IFERROR(__xludf.DUMMYFUNCTION("""COMPUTED_VALUE"""),"31 Oct 2022")</f>
        <v>31 Oct 2022</v>
      </c>
      <c r="J1305" s="6">
        <f ca="1">IFERROR(__xludf.DUMMYFUNCTION("""COMPUTED_VALUE"""),1)</f>
        <v>1</v>
      </c>
      <c r="K1305" s="8">
        <f ca="1">IFERROR(__xludf.DUMMYFUNCTION("""COMPUTED_VALUE"""),20000)</f>
        <v>20000</v>
      </c>
      <c r="L1305" s="8">
        <f ca="1">IFERROR(__xludf.DUMMYFUNCTION("""COMPUTED_VALUE"""),229.042601923957)</f>
        <v>229.04260192395699</v>
      </c>
      <c r="M1305" s="96">
        <f ca="1">IFERROR(__xludf.DUMMYFUNCTION("""COMPUTED_VALUE"""),44859)</f>
        <v>44859</v>
      </c>
      <c r="N1305" s="6" t="str">
        <f ca="1">IFERROR(__xludf.DUMMYFUNCTION("""COMPUTED_VALUE"""),"T10")</f>
        <v>T10</v>
      </c>
      <c r="O1305" s="97">
        <f ca="1">IFERROR(__xludf.DUMMYFUNCTION("""COMPUTED_VALUE"""),44859)</f>
        <v>44859</v>
      </c>
      <c r="P1305" s="6" t="str">
        <f ca="1">IFERROR(__xludf.DUMMYFUNCTION("""COMPUTED_VALUE"""),"CSTM_PARTIAL_FIRST_EKEWNFCBDCM")</f>
        <v>CSTM_PARTIAL_FIRST_EKEWNFCBDCM</v>
      </c>
      <c r="Q1305" s="6"/>
      <c r="R1305" s="6" t="str">
        <f ca="1">IFERROR(__xludf.DUMMYFUNCTION("""COMPUTED_VALUE"""),"Pending")</f>
        <v>Pending</v>
      </c>
      <c r="S1305" s="6" t="str">
        <f ca="1">IFERROR(__xludf.DUMMYFUNCTION("""COMPUTED_VALUE"""),"NonCategory")</f>
        <v>NonCategory</v>
      </c>
      <c r="T1305" s="6"/>
      <c r="U1305" s="6"/>
      <c r="V1305" s="6"/>
      <c r="W1305" s="6"/>
      <c r="X1305" s="6"/>
      <c r="Y1305" s="6"/>
      <c r="Z1305" s="6"/>
      <c r="AA1305" s="6"/>
      <c r="AB1305" s="6"/>
      <c r="AC1305" s="6"/>
      <c r="AD1305" s="6"/>
      <c r="AE1305" s="6"/>
      <c r="AF1305" s="6"/>
      <c r="AG1305" s="6"/>
      <c r="AH1305" s="6"/>
      <c r="AI1305" s="6"/>
      <c r="AJ1305" s="6"/>
      <c r="AK1305" s="6"/>
      <c r="AL1305" s="6"/>
    </row>
    <row r="1306" spans="1:38">
      <c r="A1306" s="96">
        <f ca="1">IFERROR(__xludf.DUMMYFUNCTION("""COMPUTED_VALUE"""),44859)</f>
        <v>44859</v>
      </c>
      <c r="B1306" s="6" t="str">
        <f ca="1">IFERROR(__xludf.DUMMYFUNCTION("""COMPUTED_VALUE"""),"Ashif Rahaman")</f>
        <v>Ashif Rahaman</v>
      </c>
      <c r="C1306" s="6" t="str">
        <f ca="1">IFERROR(__xludf.DUMMYFUNCTION("""COMPUTED_VALUE"""),"ashif.rahaman@tcs.com")</f>
        <v>ashif.rahaman@tcs.com</v>
      </c>
      <c r="D1306" s="6">
        <f ca="1">IFERROR(__xludf.DUMMYFUNCTION("""COMPUTED_VALUE"""),9051046612)</f>
        <v>9051046612</v>
      </c>
      <c r="E1306" s="6" t="str">
        <f ca="1">IFERROR(__xludf.DUMMYFUNCTION("""COMPUTED_VALUE"""),"Reference")</f>
        <v>Reference</v>
      </c>
      <c r="F1306" s="6" t="str">
        <f ca="1">IFERROR(__xludf.DUMMYFUNCTION("""COMPUTED_VALUE"""),"PSM 2")</f>
        <v>PSM 2</v>
      </c>
      <c r="G1306" s="80">
        <f ca="1">IFERROR(__xludf.DUMMYFUNCTION("""COMPUTED_VALUE"""),44835)</f>
        <v>44835</v>
      </c>
      <c r="H1306" s="6" t="str">
        <f ca="1">IFERROR(__xludf.DUMMYFUNCTION("""COMPUTED_VALUE"""),"Won")</f>
        <v>Won</v>
      </c>
      <c r="I1306" s="6" t="str">
        <f ca="1">IFERROR(__xludf.DUMMYFUNCTION("""COMPUTED_VALUE"""),"26-27 Nov 2022")</f>
        <v>26-27 Nov 2022</v>
      </c>
      <c r="J1306" s="6">
        <f ca="1">IFERROR(__xludf.DUMMYFUNCTION("""COMPUTED_VALUE"""),1)</f>
        <v>1</v>
      </c>
      <c r="K1306" s="8">
        <f ca="1">IFERROR(__xludf.DUMMYFUNCTION("""COMPUTED_VALUE"""),24000)</f>
        <v>24000</v>
      </c>
      <c r="L1306" s="8">
        <f ca="1">IFERROR(__xludf.DUMMYFUNCTION("""COMPUTED_VALUE"""),274.851122308749)</f>
        <v>274.85112230874898</v>
      </c>
      <c r="M1306" s="96">
        <f ca="1">IFERROR(__xludf.DUMMYFUNCTION("""COMPUTED_VALUE"""),44859)</f>
        <v>44859</v>
      </c>
      <c r="N1306" s="6" t="str">
        <f ca="1">IFERROR(__xludf.DUMMYFUNCTION("""COMPUTED_VALUE"""),"T10")</f>
        <v>T10</v>
      </c>
      <c r="O1306" s="97">
        <f ca="1">IFERROR(__xludf.DUMMYFUNCTION("""COMPUTED_VALUE"""),44859)</f>
        <v>44859</v>
      </c>
      <c r="P1306" s="6" t="str">
        <f ca="1">IFERROR(__xludf.DUMMYFUNCTION("""COMPUTED_VALUE"""),"CSTM_ATFYPNIZWQ3")</f>
        <v>CSTM_ATFYPNIZWQ3</v>
      </c>
      <c r="Q1306" s="6"/>
      <c r="R1306" s="6" t="str">
        <f ca="1">IFERROR(__xludf.DUMMYFUNCTION("""COMPUTED_VALUE"""),"Pending")</f>
        <v>Pending</v>
      </c>
      <c r="S1306" s="6" t="str">
        <f ca="1">IFERROR(__xludf.DUMMYFUNCTION("""COMPUTED_VALUE"""),"Category")</f>
        <v>Category</v>
      </c>
      <c r="T1306" s="6"/>
      <c r="U1306" s="6"/>
      <c r="V1306" s="6"/>
      <c r="W1306" s="6"/>
      <c r="X1306" s="6"/>
      <c r="Y1306" s="6"/>
      <c r="Z1306" s="6"/>
      <c r="AA1306" s="6"/>
      <c r="AB1306" s="6"/>
      <c r="AC1306" s="6"/>
      <c r="AD1306" s="6"/>
      <c r="AE1306" s="6"/>
      <c r="AF1306" s="6"/>
      <c r="AG1306" s="6"/>
      <c r="AH1306" s="6"/>
      <c r="AI1306" s="6"/>
      <c r="AJ1306" s="6"/>
      <c r="AK1306" s="6"/>
      <c r="AL1306" s="6"/>
    </row>
    <row r="1307" spans="1:38">
      <c r="A1307" s="96">
        <f ca="1">IFERROR(__xludf.DUMMYFUNCTION("""COMPUTED_VALUE"""),44860)</f>
        <v>44860</v>
      </c>
      <c r="B1307" s="6" t="str">
        <f ca="1">IFERROR(__xludf.DUMMYFUNCTION("""COMPUTED_VALUE"""),"Anupreet")</f>
        <v>Anupreet</v>
      </c>
      <c r="C1307" s="6" t="str">
        <f ca="1">IFERROR(__xludf.DUMMYFUNCTION("""COMPUTED_VALUE"""),"apsw20@gmail.com")</f>
        <v>apsw20@gmail.com</v>
      </c>
      <c r="D1307" s="6">
        <f ca="1">IFERROR(__xludf.DUMMYFUNCTION("""COMPUTED_VALUE"""),8587068889)</f>
        <v>8587068889</v>
      </c>
      <c r="E1307" s="6" t="str">
        <f ca="1">IFERROR(__xludf.DUMMYFUNCTION("""COMPUTED_VALUE"""),"Tollfree")</f>
        <v>Tollfree</v>
      </c>
      <c r="F1307" s="6" t="str">
        <f ca="1">IFERROR(__xludf.DUMMYFUNCTION("""COMPUTED_VALUE"""),"SAFe Agile")</f>
        <v>SAFe Agile</v>
      </c>
      <c r="G1307" s="80">
        <f ca="1">IFERROR(__xludf.DUMMYFUNCTION("""COMPUTED_VALUE"""),44835)</f>
        <v>44835</v>
      </c>
      <c r="H1307" s="6" t="str">
        <f ca="1">IFERROR(__xludf.DUMMYFUNCTION("""COMPUTED_VALUE"""),"Won")</f>
        <v>Won</v>
      </c>
      <c r="I1307" s="6" t="str">
        <f ca="1">IFERROR(__xludf.DUMMYFUNCTION("""COMPUTED_VALUE"""),"29-30 Oct 2022")</f>
        <v>29-30 Oct 2022</v>
      </c>
      <c r="J1307" s="6">
        <f ca="1">IFERROR(__xludf.DUMMYFUNCTION("""COMPUTED_VALUE"""),1)</f>
        <v>1</v>
      </c>
      <c r="K1307" s="8">
        <f ca="1">IFERROR(__xludf.DUMMYFUNCTION("""COMPUTED_VALUE"""),40061)</f>
        <v>40061</v>
      </c>
      <c r="L1307" s="8">
        <f ca="1">IFERROR(__xludf.DUMMYFUNCTION("""COMPUTED_VALUE"""),458.783783783783)</f>
        <v>458.78378378378301</v>
      </c>
      <c r="M1307" s="96">
        <f ca="1">IFERROR(__xludf.DUMMYFUNCTION("""COMPUTED_VALUE"""),44860)</f>
        <v>44860</v>
      </c>
      <c r="N1307" s="6" t="str">
        <f ca="1">IFERROR(__xludf.DUMMYFUNCTION("""COMPUTED_VALUE"""),"T10")</f>
        <v>T10</v>
      </c>
      <c r="O1307" s="97">
        <f ca="1">IFERROR(__xludf.DUMMYFUNCTION("""COMPUTED_VALUE"""),44860)</f>
        <v>44860</v>
      </c>
      <c r="P1307" s="6" t="str">
        <f ca="1">IFERROR(__xludf.DUMMYFUNCTION("""COMPUTED_VALUE"""),"CSTM_787L3H4S40I")</f>
        <v>CSTM_787L3H4S40I</v>
      </c>
      <c r="Q1307" s="6"/>
      <c r="R1307" s="6" t="str">
        <f ca="1">IFERROR(__xludf.DUMMYFUNCTION("""COMPUTED_VALUE"""),"Pending")</f>
        <v>Pending</v>
      </c>
      <c r="S1307" s="6" t="str">
        <f ca="1">IFERROR(__xludf.DUMMYFUNCTION("""COMPUTED_VALUE"""),"SAFe")</f>
        <v>SAFe</v>
      </c>
      <c r="T1307" s="6"/>
      <c r="U1307" s="6"/>
      <c r="V1307" s="6"/>
      <c r="W1307" s="6"/>
      <c r="X1307" s="6"/>
      <c r="Y1307" s="6"/>
      <c r="Z1307" s="6"/>
      <c r="AA1307" s="6"/>
      <c r="AB1307" s="6"/>
      <c r="AC1307" s="6"/>
      <c r="AD1307" s="6"/>
      <c r="AE1307" s="6"/>
      <c r="AF1307" s="6"/>
      <c r="AG1307" s="6"/>
      <c r="AH1307" s="6"/>
      <c r="AI1307" s="6"/>
      <c r="AJ1307" s="6"/>
      <c r="AK1307" s="6"/>
      <c r="AL1307" s="6"/>
    </row>
    <row r="1308" spans="1:38">
      <c r="A1308" s="96">
        <f ca="1">IFERROR(__xludf.DUMMYFUNCTION("""COMPUTED_VALUE"""),44860)</f>
        <v>44860</v>
      </c>
      <c r="B1308" s="6" t="str">
        <f ca="1">IFERROR(__xludf.DUMMYFUNCTION("""COMPUTED_VALUE"""),"Ravi Muragani")</f>
        <v>Ravi Muragani</v>
      </c>
      <c r="C1308" s="6" t="str">
        <f ca="1">IFERROR(__xludf.DUMMYFUNCTION("""COMPUTED_VALUE"""),"ravimuragani38@gmail.com")</f>
        <v>ravimuragani38@gmail.com</v>
      </c>
      <c r="D1308" s="6">
        <f ca="1">IFERROR(__xludf.DUMMYFUNCTION("""COMPUTED_VALUE"""),7204520015)</f>
        <v>7204520015</v>
      </c>
      <c r="E1308" s="6" t="str">
        <f ca="1">IFERROR(__xludf.DUMMYFUNCTION("""COMPUTED_VALUE"""),"Reference")</f>
        <v>Reference</v>
      </c>
      <c r="F1308" s="6" t="str">
        <f ca="1">IFERROR(__xludf.DUMMYFUNCTION("""COMPUTED_VALUE"""),"PSM")</f>
        <v>PSM</v>
      </c>
      <c r="G1308" s="80">
        <f ca="1">IFERROR(__xludf.DUMMYFUNCTION("""COMPUTED_VALUE"""),44835)</f>
        <v>44835</v>
      </c>
      <c r="H1308" s="6" t="str">
        <f ca="1">IFERROR(__xludf.DUMMYFUNCTION("""COMPUTED_VALUE"""),"Won")</f>
        <v>Won</v>
      </c>
      <c r="I1308" s="6" t="str">
        <f ca="1">IFERROR(__xludf.DUMMYFUNCTION("""COMPUTED_VALUE"""),"29-30 Oct 2022")</f>
        <v>29-30 Oct 2022</v>
      </c>
      <c r="J1308" s="6">
        <f ca="1">IFERROR(__xludf.DUMMYFUNCTION("""COMPUTED_VALUE"""),1)</f>
        <v>1</v>
      </c>
      <c r="K1308" s="8">
        <f ca="1">IFERROR(__xludf.DUMMYFUNCTION("""COMPUTED_VALUE"""),21000)</f>
        <v>21000</v>
      </c>
      <c r="L1308" s="8">
        <f ca="1">IFERROR(__xludf.DUMMYFUNCTION("""COMPUTED_VALUE"""),240.494732020155)</f>
        <v>240.494732020155</v>
      </c>
      <c r="M1308" s="96">
        <f ca="1">IFERROR(__xludf.DUMMYFUNCTION("""COMPUTED_VALUE"""),44860)</f>
        <v>44860</v>
      </c>
      <c r="N1308" s="6" t="str">
        <f ca="1">IFERROR(__xludf.DUMMYFUNCTION("""COMPUTED_VALUE"""),"T10")</f>
        <v>T10</v>
      </c>
      <c r="O1308" s="97">
        <f ca="1">IFERROR(__xludf.DUMMYFUNCTION("""COMPUTED_VALUE"""),44860)</f>
        <v>44860</v>
      </c>
      <c r="P1308" s="6" t="str">
        <f ca="1">IFERROR(__xludf.DUMMYFUNCTION("""COMPUTED_VALUE"""),"CSTM_152RQWV61CY")</f>
        <v>CSTM_152RQWV61CY</v>
      </c>
      <c r="Q1308" s="6" t="str">
        <f ca="1">IFERROR(__xludf.DUMMYFUNCTION("""COMPUTED_VALUE"""),"Reference by Ravi Murugani")</f>
        <v>Reference by Ravi Murugani</v>
      </c>
      <c r="R1308" s="6" t="str">
        <f ca="1">IFERROR(__xludf.DUMMYFUNCTION("""COMPUTED_VALUE"""),"Pending")</f>
        <v>Pending</v>
      </c>
      <c r="S1308" s="6" t="str">
        <f ca="1">IFERROR(__xludf.DUMMYFUNCTION("""COMPUTED_VALUE"""),"Category")</f>
        <v>Category</v>
      </c>
      <c r="T1308" s="6"/>
      <c r="U1308" s="6"/>
      <c r="V1308" s="6"/>
      <c r="W1308" s="6"/>
      <c r="X1308" s="6"/>
      <c r="Y1308" s="6"/>
      <c r="Z1308" s="6"/>
      <c r="AA1308" s="6"/>
      <c r="AB1308" s="6"/>
      <c r="AC1308" s="6"/>
      <c r="AD1308" s="6"/>
      <c r="AE1308" s="6"/>
      <c r="AF1308" s="6"/>
      <c r="AG1308" s="6"/>
      <c r="AH1308" s="6"/>
      <c r="AI1308" s="6"/>
      <c r="AJ1308" s="6"/>
      <c r="AK1308" s="6"/>
      <c r="AL1308" s="6"/>
    </row>
    <row r="1309" spans="1:38">
      <c r="A1309" s="96">
        <f ca="1">IFERROR(__xludf.DUMMYFUNCTION("""COMPUTED_VALUE"""),44860)</f>
        <v>44860</v>
      </c>
      <c r="B1309" s="6" t="str">
        <f ca="1">IFERROR(__xludf.DUMMYFUNCTION("""COMPUTED_VALUE"""),"Sai Dinesh Narisetti")</f>
        <v>Sai Dinesh Narisetti</v>
      </c>
      <c r="C1309" s="6" t="str">
        <f ca="1">IFERROR(__xludf.DUMMYFUNCTION("""COMPUTED_VALUE"""),"saidinesh.narisetti@gmail.com")</f>
        <v>saidinesh.narisetti@gmail.com</v>
      </c>
      <c r="D1309" s="6">
        <f ca="1">IFERROR(__xludf.DUMMYFUNCTION("""COMPUTED_VALUE"""),8792870496)</f>
        <v>8792870496</v>
      </c>
      <c r="E1309" s="6" t="str">
        <f ca="1">IFERROR(__xludf.DUMMYFUNCTION("""COMPUTED_VALUE"""),"Reference")</f>
        <v>Reference</v>
      </c>
      <c r="F1309" s="6" t="str">
        <f ca="1">IFERROR(__xludf.DUMMYFUNCTION("""COMPUTED_VALUE"""),"PSM")</f>
        <v>PSM</v>
      </c>
      <c r="G1309" s="80">
        <f ca="1">IFERROR(__xludf.DUMMYFUNCTION("""COMPUTED_VALUE"""),44835)</f>
        <v>44835</v>
      </c>
      <c r="H1309" s="6" t="str">
        <f ca="1">IFERROR(__xludf.DUMMYFUNCTION("""COMPUTED_VALUE"""),"Won")</f>
        <v>Won</v>
      </c>
      <c r="I1309" s="6" t="str">
        <f ca="1">IFERROR(__xludf.DUMMYFUNCTION("""COMPUTED_VALUE"""),"29-30 Oct 2022")</f>
        <v>29-30 Oct 2022</v>
      </c>
      <c r="J1309" s="6">
        <f ca="1">IFERROR(__xludf.DUMMYFUNCTION("""COMPUTED_VALUE"""),1)</f>
        <v>1</v>
      </c>
      <c r="K1309" s="8">
        <f ca="1">IFERROR(__xludf.DUMMYFUNCTION("""COMPUTED_VALUE"""),21000)</f>
        <v>21000</v>
      </c>
      <c r="L1309" s="8">
        <f ca="1">IFERROR(__xludf.DUMMYFUNCTION("""COMPUTED_VALUE"""),240.494732020155)</f>
        <v>240.494732020155</v>
      </c>
      <c r="M1309" s="96">
        <f ca="1">IFERROR(__xludf.DUMMYFUNCTION("""COMPUTED_VALUE"""),44860)</f>
        <v>44860</v>
      </c>
      <c r="N1309" s="6" t="str">
        <f ca="1">IFERROR(__xludf.DUMMYFUNCTION("""COMPUTED_VALUE"""),"T10")</f>
        <v>T10</v>
      </c>
      <c r="O1309" s="97">
        <f ca="1">IFERROR(__xludf.DUMMYFUNCTION("""COMPUTED_VALUE"""),44860)</f>
        <v>44860</v>
      </c>
      <c r="P1309" s="6" t="str">
        <f ca="1">IFERROR(__xludf.DUMMYFUNCTION("""COMPUTED_VALUE"""),"CSTM_4GEJ6NQG7V9")</f>
        <v>CSTM_4GEJ6NQG7V9</v>
      </c>
      <c r="Q1309" s="6" t="str">
        <f ca="1">IFERROR(__xludf.DUMMYFUNCTION("""COMPUTED_VALUE"""),"Reference by Dinesh Narisetti")</f>
        <v>Reference by Dinesh Narisetti</v>
      </c>
      <c r="R1309" s="6" t="str">
        <f ca="1">IFERROR(__xludf.DUMMYFUNCTION("""COMPUTED_VALUE"""),"Pending")</f>
        <v>Pending</v>
      </c>
      <c r="S1309" s="6" t="str">
        <f ca="1">IFERROR(__xludf.DUMMYFUNCTION("""COMPUTED_VALUE"""),"Category")</f>
        <v>Category</v>
      </c>
      <c r="T1309" s="6"/>
      <c r="U1309" s="6"/>
      <c r="V1309" s="6"/>
      <c r="W1309" s="6"/>
      <c r="X1309" s="6"/>
      <c r="Y1309" s="6"/>
      <c r="Z1309" s="6"/>
      <c r="AA1309" s="6"/>
      <c r="AB1309" s="6"/>
      <c r="AC1309" s="6"/>
      <c r="AD1309" s="6"/>
      <c r="AE1309" s="6"/>
      <c r="AF1309" s="6"/>
      <c r="AG1309" s="6"/>
      <c r="AH1309" s="6"/>
      <c r="AI1309" s="6"/>
      <c r="AJ1309" s="6"/>
      <c r="AK1309" s="6"/>
      <c r="AL1309" s="6"/>
    </row>
    <row r="1310" spans="1:38">
      <c r="A1310" s="96">
        <f ca="1">IFERROR(__xludf.DUMMYFUNCTION("""COMPUTED_VALUE"""),44861)</f>
        <v>44861</v>
      </c>
      <c r="B1310" s="6" t="str">
        <f ca="1">IFERROR(__xludf.DUMMYFUNCTION("""COMPUTED_VALUE"""),"Nitesh")</f>
        <v>Nitesh</v>
      </c>
      <c r="C1310" s="6" t="str">
        <f ca="1">IFERROR(__xludf.DUMMYFUNCTION("""COMPUTED_VALUE"""),"nixprophotography@gmail.com")</f>
        <v>nixprophotography@gmail.com</v>
      </c>
      <c r="D1310" s="6">
        <f ca="1">IFERROR(__xludf.DUMMYFUNCTION("""COMPUTED_VALUE"""),8292906422)</f>
        <v>8292906422</v>
      </c>
      <c r="E1310" s="6" t="str">
        <f ca="1">IFERROR(__xludf.DUMMYFUNCTION("""COMPUTED_VALUE"""),"Existing Account")</f>
        <v>Existing Account</v>
      </c>
      <c r="F1310" s="6" t="str">
        <f ca="1">IFERROR(__xludf.DUMMYFUNCTION("""COMPUTED_VALUE"""),"PSPO")</f>
        <v>PSPO</v>
      </c>
      <c r="G1310" s="80">
        <f ca="1">IFERROR(__xludf.DUMMYFUNCTION("""COMPUTED_VALUE"""),44835)</f>
        <v>44835</v>
      </c>
      <c r="H1310" s="6" t="str">
        <f ca="1">IFERROR(__xludf.DUMMYFUNCTION("""COMPUTED_VALUE"""),"Opportunity")</f>
        <v>Opportunity</v>
      </c>
      <c r="I1310" s="6" t="str">
        <f ca="1">IFERROR(__xludf.DUMMYFUNCTION("""COMPUTED_VALUE"""),"29-30 Oct 2022")</f>
        <v>29-30 Oct 2022</v>
      </c>
      <c r="J1310" s="6">
        <f ca="1">IFERROR(__xludf.DUMMYFUNCTION("""COMPUTED_VALUE"""),1)</f>
        <v>1</v>
      </c>
      <c r="K1310" s="8">
        <f ca="1">IFERROR(__xludf.DUMMYFUNCTION("""COMPUTED_VALUE"""),21000)</f>
        <v>21000</v>
      </c>
      <c r="L1310" s="8">
        <f ca="1">IFERROR(__xludf.DUMMYFUNCTION("""COMPUTED_VALUE"""),240.494732020155)</f>
        <v>240.494732020155</v>
      </c>
      <c r="M1310" s="96">
        <f ca="1">IFERROR(__xludf.DUMMYFUNCTION("""COMPUTED_VALUE"""),44861)</f>
        <v>44861</v>
      </c>
      <c r="N1310" s="6"/>
      <c r="O1310" s="97"/>
      <c r="P1310" s="6"/>
      <c r="Q1310" s="6"/>
      <c r="R1310" s="6"/>
      <c r="S1310" s="6" t="str">
        <f ca="1">IFERROR(__xludf.DUMMYFUNCTION("""COMPUTED_VALUE"""),"Category")</f>
        <v>Category</v>
      </c>
      <c r="T1310" s="6"/>
      <c r="U1310" s="6"/>
      <c r="V1310" s="6"/>
      <c r="W1310" s="6"/>
      <c r="X1310" s="6"/>
      <c r="Y1310" s="6"/>
      <c r="Z1310" s="6"/>
      <c r="AA1310" s="6"/>
      <c r="AB1310" s="6"/>
      <c r="AC1310" s="6"/>
      <c r="AD1310" s="6"/>
      <c r="AE1310" s="6"/>
      <c r="AF1310" s="6"/>
      <c r="AG1310" s="6"/>
      <c r="AH1310" s="6"/>
      <c r="AI1310" s="6"/>
      <c r="AJ1310" s="6"/>
      <c r="AK1310" s="6"/>
      <c r="AL1310" s="6"/>
    </row>
    <row r="1311" spans="1:38">
      <c r="A1311" s="96">
        <f ca="1">IFERROR(__xludf.DUMMYFUNCTION("""COMPUTED_VALUE"""),44861)</f>
        <v>44861</v>
      </c>
      <c r="B1311" s="6" t="str">
        <f ca="1">IFERROR(__xludf.DUMMYFUNCTION("""COMPUTED_VALUE"""),"Nupur Jamthe")</f>
        <v>Nupur Jamthe</v>
      </c>
      <c r="C1311" s="6" t="str">
        <f ca="1">IFERROR(__xludf.DUMMYFUNCTION("""COMPUTED_VALUE"""),"nupurjamthe@gmail.com")</f>
        <v>nupurjamthe@gmail.com</v>
      </c>
      <c r="D1311" s="6">
        <f ca="1">IFERROR(__xludf.DUMMYFUNCTION("""COMPUTED_VALUE"""),1234567890)</f>
        <v>1234567890</v>
      </c>
      <c r="E1311" s="6" t="str">
        <f ca="1">IFERROR(__xludf.DUMMYFUNCTION("""COMPUTED_VALUE"""),"Reference")</f>
        <v>Reference</v>
      </c>
      <c r="F1311" s="6" t="str">
        <f ca="1">IFERROR(__xludf.DUMMYFUNCTION("""COMPUTED_VALUE"""),"AWS Solution Architect")</f>
        <v>AWS Solution Architect</v>
      </c>
      <c r="G1311" s="80">
        <f ca="1">IFERROR(__xludf.DUMMYFUNCTION("""COMPUTED_VALUE"""),44835)</f>
        <v>44835</v>
      </c>
      <c r="H1311" s="6" t="str">
        <f ca="1">IFERROR(__xludf.DUMMYFUNCTION("""COMPUTED_VALUE"""),"Won")</f>
        <v>Won</v>
      </c>
      <c r="I1311" s="6" t="str">
        <f ca="1">IFERROR(__xludf.DUMMYFUNCTION("""COMPUTED_VALUE"""),"LVC")</f>
        <v>LVC</v>
      </c>
      <c r="J1311" s="6">
        <f ca="1">IFERROR(__xludf.DUMMYFUNCTION("""COMPUTED_VALUE"""),1)</f>
        <v>1</v>
      </c>
      <c r="K1311" s="8">
        <f ca="1">IFERROR(__xludf.DUMMYFUNCTION("""COMPUTED_VALUE"""),17000)</f>
        <v>17000</v>
      </c>
      <c r="L1311" s="8">
        <f ca="1">IFERROR(__xludf.DUMMYFUNCTION("""COMPUTED_VALUE"""),194.686211635364)</f>
        <v>194.686211635364</v>
      </c>
      <c r="M1311" s="96">
        <f ca="1">IFERROR(__xludf.DUMMYFUNCTION("""COMPUTED_VALUE"""),44861)</f>
        <v>44861</v>
      </c>
      <c r="N1311" s="6" t="str">
        <f ca="1">IFERROR(__xludf.DUMMYFUNCTION("""COMPUTED_VALUE"""),"T10")</f>
        <v>T10</v>
      </c>
      <c r="O1311" s="97">
        <f ca="1">IFERROR(__xludf.DUMMYFUNCTION("""COMPUTED_VALUE"""),44865)</f>
        <v>44865</v>
      </c>
      <c r="P1311" s="6" t="str">
        <f ca="1">IFERROR(__xludf.DUMMYFUNCTION("""COMPUTED_VALUE"""),"CSTM_GWV0D53GNI")</f>
        <v>CSTM_GWV0D53GNI</v>
      </c>
      <c r="Q1311" s="6"/>
      <c r="R1311" s="6" t="str">
        <f ca="1">IFERROR(__xludf.DUMMYFUNCTION("""COMPUTED_VALUE"""),"Pending")</f>
        <v>Pending</v>
      </c>
      <c r="S1311" s="6" t="str">
        <f ca="1">IFERROR(__xludf.DUMMYFUNCTION("""COMPUTED_VALUE"""),"NonCategory")</f>
        <v>NonCategory</v>
      </c>
      <c r="T1311" s="6"/>
      <c r="U1311" s="6"/>
      <c r="V1311" s="6"/>
      <c r="W1311" s="6"/>
      <c r="X1311" s="6"/>
      <c r="Y1311" s="6"/>
      <c r="Z1311" s="6"/>
      <c r="AA1311" s="6"/>
      <c r="AB1311" s="6"/>
      <c r="AC1311" s="6"/>
      <c r="AD1311" s="6"/>
      <c r="AE1311" s="6"/>
      <c r="AF1311" s="6"/>
      <c r="AG1311" s="6"/>
      <c r="AH1311" s="6"/>
      <c r="AI1311" s="6"/>
      <c r="AJ1311" s="6"/>
      <c r="AK1311" s="6"/>
      <c r="AL1311" s="6"/>
    </row>
    <row r="1312" spans="1:38">
      <c r="A1312" s="96">
        <f ca="1">IFERROR(__xludf.DUMMYFUNCTION("""COMPUTED_VALUE"""),44863)</f>
        <v>44863</v>
      </c>
      <c r="B1312" s="6" t="str">
        <f ca="1">IFERROR(__xludf.DUMMYFUNCTION("""COMPUTED_VALUE"""),"Anoop")</f>
        <v>Anoop</v>
      </c>
      <c r="C1312" s="6" t="str">
        <f ca="1">IFERROR(__xludf.DUMMYFUNCTION("""COMPUTED_VALUE"""),"web.anoop@gmail.com")</f>
        <v>web.anoop@gmail.com</v>
      </c>
      <c r="D1312" s="6">
        <f ca="1">IFERROR(__xludf.DUMMYFUNCTION("""COMPUTED_VALUE"""),8004172463)</f>
        <v>8004172463</v>
      </c>
      <c r="E1312" s="6" t="str">
        <f ca="1">IFERROR(__xludf.DUMMYFUNCTION("""COMPUTED_VALUE"""),"course agenda")</f>
        <v>course agenda</v>
      </c>
      <c r="F1312" s="6" t="str">
        <f ca="1">IFERROR(__xludf.DUMMYFUNCTION("""COMPUTED_VALUE"""),"PMP")</f>
        <v>PMP</v>
      </c>
      <c r="G1312" s="80">
        <f ca="1">IFERROR(__xludf.DUMMYFUNCTION("""COMPUTED_VALUE"""),44866)</f>
        <v>44866</v>
      </c>
      <c r="H1312" s="6" t="str">
        <f ca="1">IFERROR(__xludf.DUMMYFUNCTION("""COMPUTED_VALUE"""),"Won")</f>
        <v>Won</v>
      </c>
      <c r="I1312" s="6" t="str">
        <f ca="1">IFERROR(__xludf.DUMMYFUNCTION("""COMPUTED_VALUE"""),"7 Nov 2022")</f>
        <v>7 Nov 2022</v>
      </c>
      <c r="J1312" s="6">
        <f ca="1">IFERROR(__xludf.DUMMYFUNCTION("""COMPUTED_VALUE"""),1)</f>
        <v>1</v>
      </c>
      <c r="K1312" s="8">
        <f ca="1">IFERROR(__xludf.DUMMYFUNCTION("""COMPUTED_VALUE"""),10000)</f>
        <v>10000</v>
      </c>
      <c r="L1312" s="8">
        <f ca="1">IFERROR(__xludf.DUMMYFUNCTION("""COMPUTED_VALUE"""),114.521300961978)</f>
        <v>114.521300961978</v>
      </c>
      <c r="M1312" s="96">
        <f ca="1">IFERROR(__xludf.DUMMYFUNCTION("""COMPUTED_VALUE"""),44863)</f>
        <v>44863</v>
      </c>
      <c r="N1312" s="6" t="str">
        <f ca="1">IFERROR(__xludf.DUMMYFUNCTION("""COMPUTED_VALUE"""),"F10")</f>
        <v>F10</v>
      </c>
      <c r="O1312" s="97">
        <f ca="1">IFERROR(__xludf.DUMMYFUNCTION("""COMPUTED_VALUE"""),44866)</f>
        <v>44866</v>
      </c>
      <c r="P1312" s="6" t="str">
        <f ca="1">IFERROR(__xludf.DUMMYFUNCTION("""COMPUTED_VALUE"""),"CSTM_8A59095DS7K")</f>
        <v>CSTM_8A59095DS7K</v>
      </c>
      <c r="Q1312" s="6"/>
      <c r="R1312" s="6" t="str">
        <f ca="1">IFERROR(__xludf.DUMMYFUNCTION("""COMPUTED_VALUE"""),"Pending")</f>
        <v>Pending</v>
      </c>
      <c r="S1312" s="6" t="str">
        <f ca="1">IFERROR(__xludf.DUMMYFUNCTION("""COMPUTED_VALUE"""),"NonCategory")</f>
        <v>NonCategory</v>
      </c>
      <c r="T1312" s="6"/>
      <c r="U1312" s="6"/>
      <c r="V1312" s="6"/>
      <c r="W1312" s="6"/>
      <c r="X1312" s="6"/>
      <c r="Y1312" s="6"/>
      <c r="Z1312" s="6"/>
      <c r="AA1312" s="6"/>
      <c r="AB1312" s="6"/>
      <c r="AC1312" s="6"/>
      <c r="AD1312" s="6"/>
      <c r="AE1312" s="6"/>
      <c r="AF1312" s="6"/>
      <c r="AG1312" s="6"/>
      <c r="AH1312" s="6"/>
      <c r="AI1312" s="6"/>
      <c r="AJ1312" s="6"/>
      <c r="AK1312" s="6"/>
      <c r="AL1312" s="6"/>
    </row>
    <row r="1313" spans="1:38">
      <c r="A1313" s="96">
        <f ca="1">IFERROR(__xludf.DUMMYFUNCTION("""COMPUTED_VALUE"""),44865)</f>
        <v>44865</v>
      </c>
      <c r="B1313" s="6" t="str">
        <f ca="1">IFERROR(__xludf.DUMMYFUNCTION("""COMPUTED_VALUE"""),"Nagesh")</f>
        <v>Nagesh</v>
      </c>
      <c r="C1313" s="6" t="str">
        <f ca="1">IFERROR(__xludf.DUMMYFUNCTION("""COMPUTED_VALUE"""),"gknageshin@gmail.com")</f>
        <v>gknageshin@gmail.com</v>
      </c>
      <c r="D1313" s="6">
        <f ca="1">IFERROR(__xludf.DUMMYFUNCTION("""COMPUTED_VALUE"""),9866745334)</f>
        <v>9866745334</v>
      </c>
      <c r="E1313" s="6" t="str">
        <f ca="1">IFERROR(__xludf.DUMMYFUNCTION("""COMPUTED_VALUE"""),"Chat_triggered")</f>
        <v>Chat_triggered</v>
      </c>
      <c r="F1313" s="6" t="str">
        <f ca="1">IFERROR(__xludf.DUMMYFUNCTION("""COMPUTED_VALUE"""),"PSM")</f>
        <v>PSM</v>
      </c>
      <c r="G1313" s="80">
        <f ca="1">IFERROR(__xludf.DUMMYFUNCTION("""COMPUTED_VALUE"""),44835)</f>
        <v>44835</v>
      </c>
      <c r="H1313" s="6" t="str">
        <f ca="1">IFERROR(__xludf.DUMMYFUNCTION("""COMPUTED_VALUE"""),"Won")</f>
        <v>Won</v>
      </c>
      <c r="I1313" s="6" t="str">
        <f ca="1">IFERROR(__xludf.DUMMYFUNCTION("""COMPUTED_VALUE"""),"5-6 Nov 2022")</f>
        <v>5-6 Nov 2022</v>
      </c>
      <c r="J1313" s="6">
        <f ca="1">IFERROR(__xludf.DUMMYFUNCTION("""COMPUTED_VALUE"""),1)</f>
        <v>1</v>
      </c>
      <c r="K1313" s="8">
        <f ca="1">IFERROR(__xludf.DUMMYFUNCTION("""COMPUTED_VALUE"""),21000)</f>
        <v>21000</v>
      </c>
      <c r="L1313" s="8">
        <f ca="1">IFERROR(__xludf.DUMMYFUNCTION("""COMPUTED_VALUE"""),240.494732020155)</f>
        <v>240.494732020155</v>
      </c>
      <c r="M1313" s="96">
        <f ca="1">IFERROR(__xludf.DUMMYFUNCTION("""COMPUTED_VALUE"""),44865)</f>
        <v>44865</v>
      </c>
      <c r="N1313" s="6" t="str">
        <f ca="1">IFERROR(__xludf.DUMMYFUNCTION("""COMPUTED_VALUE"""),"T10")</f>
        <v>T10</v>
      </c>
      <c r="O1313" s="97">
        <f ca="1">IFERROR(__xludf.DUMMYFUNCTION("""COMPUTED_VALUE"""),44865)</f>
        <v>44865</v>
      </c>
      <c r="P1313" s="6" t="str">
        <f ca="1">IFERROR(__xludf.DUMMYFUNCTION("""COMPUTED_VALUE"""),"CSTM_BEHMKWQFJVM")</f>
        <v>CSTM_BEHMKWQFJVM</v>
      </c>
      <c r="Q1313" s="6"/>
      <c r="R1313" s="6" t="str">
        <f ca="1">IFERROR(__xludf.DUMMYFUNCTION("""COMPUTED_VALUE"""),"Pending")</f>
        <v>Pending</v>
      </c>
      <c r="S1313" s="6" t="str">
        <f ca="1">IFERROR(__xludf.DUMMYFUNCTION("""COMPUTED_VALUE"""),"Category")</f>
        <v>Category</v>
      </c>
      <c r="T1313" s="6"/>
      <c r="U1313" s="6"/>
      <c r="V1313" s="6"/>
      <c r="W1313" s="6"/>
      <c r="X1313" s="6"/>
      <c r="Y1313" s="6"/>
      <c r="Z1313" s="6"/>
      <c r="AA1313" s="6"/>
      <c r="AB1313" s="6"/>
      <c r="AC1313" s="6"/>
      <c r="AD1313" s="6"/>
      <c r="AE1313" s="6"/>
      <c r="AF1313" s="6"/>
      <c r="AG1313" s="6"/>
      <c r="AH1313" s="6"/>
      <c r="AI1313" s="6"/>
      <c r="AJ1313" s="6"/>
      <c r="AK1313" s="6"/>
      <c r="AL1313" s="6"/>
    </row>
    <row r="1314" spans="1:38">
      <c r="A1314" s="96">
        <f ca="1">IFERROR(__xludf.DUMMYFUNCTION("""COMPUTED_VALUE"""),44865)</f>
        <v>44865</v>
      </c>
      <c r="B1314" s="6" t="str">
        <f ca="1">IFERROR(__xludf.DUMMYFUNCTION("""COMPUTED_VALUE"""),"Angeline Diviya")</f>
        <v>Angeline Diviya</v>
      </c>
      <c r="C1314" s="6" t="str">
        <f ca="1">IFERROR(__xludf.DUMMYFUNCTION("""COMPUTED_VALUE"""),"angeline.diviya@gmail.com")</f>
        <v>angeline.diviya@gmail.com</v>
      </c>
      <c r="D1314" s="6">
        <f ca="1">IFERROR(__xludf.DUMMYFUNCTION("""COMPUTED_VALUE"""),9611239655)</f>
        <v>9611239655</v>
      </c>
      <c r="E1314" s="6" t="str">
        <f ca="1">IFERROR(__xludf.DUMMYFUNCTION("""COMPUTED_VALUE"""),"refer&amp;earn")</f>
        <v>refer&amp;earn</v>
      </c>
      <c r="F1314" s="6" t="str">
        <f ca="1">IFERROR(__xludf.DUMMYFUNCTION("""COMPUTED_VALUE"""),"CSM")</f>
        <v>CSM</v>
      </c>
      <c r="G1314" s="80">
        <f ca="1">IFERROR(__xludf.DUMMYFUNCTION("""COMPUTED_VALUE"""),44835)</f>
        <v>44835</v>
      </c>
      <c r="H1314" s="6" t="str">
        <f ca="1">IFERROR(__xludf.DUMMYFUNCTION("""COMPUTED_VALUE"""),"Won")</f>
        <v>Won</v>
      </c>
      <c r="I1314" s="6" t="str">
        <f ca="1">IFERROR(__xludf.DUMMYFUNCTION("""COMPUTED_VALUE"""),"10-11 Nov 2022")</f>
        <v>10-11 Nov 2022</v>
      </c>
      <c r="J1314" s="6">
        <f ca="1">IFERROR(__xludf.DUMMYFUNCTION("""COMPUTED_VALUE"""),1)</f>
        <v>1</v>
      </c>
      <c r="K1314" s="8">
        <f ca="1">IFERROR(__xludf.DUMMYFUNCTION("""COMPUTED_VALUE"""),22000)</f>
        <v>22000</v>
      </c>
      <c r="L1314" s="8">
        <f ca="1">IFERROR(__xludf.DUMMYFUNCTION("""COMPUTED_VALUE"""),251.946862116353)</f>
        <v>251.946862116353</v>
      </c>
      <c r="M1314" s="96">
        <f ca="1">IFERROR(__xludf.DUMMYFUNCTION("""COMPUTED_VALUE"""),44865)</f>
        <v>44865</v>
      </c>
      <c r="N1314" s="6" t="str">
        <f ca="1">IFERROR(__xludf.DUMMYFUNCTION("""COMPUTED_VALUE"""),"T10")</f>
        <v>T10</v>
      </c>
      <c r="O1314" s="97">
        <f ca="1">IFERROR(__xludf.DUMMYFUNCTION("""COMPUTED_VALUE"""),44865)</f>
        <v>44865</v>
      </c>
      <c r="P1314" s="6" t="str">
        <f ca="1">IFERROR(__xludf.DUMMYFUNCTION("""COMPUTED_VALUE"""),"CSTM_1U2ATQ1IVKZ")</f>
        <v>CSTM_1U2ATQ1IVKZ</v>
      </c>
      <c r="Q1314" s="6"/>
      <c r="R1314" s="6" t="str">
        <f ca="1">IFERROR(__xludf.DUMMYFUNCTION("""COMPUTED_VALUE"""),"Pending")</f>
        <v>Pending</v>
      </c>
      <c r="S1314" s="6" t="str">
        <f ca="1">IFERROR(__xludf.DUMMYFUNCTION("""COMPUTED_VALUE"""),"Category")</f>
        <v>Category</v>
      </c>
      <c r="T1314" s="6"/>
      <c r="U1314" s="6"/>
      <c r="V1314" s="6"/>
      <c r="W1314" s="6"/>
      <c r="X1314" s="6"/>
      <c r="Y1314" s="6"/>
      <c r="Z1314" s="6"/>
      <c r="AA1314" s="6"/>
      <c r="AB1314" s="6"/>
      <c r="AC1314" s="6"/>
      <c r="AD1314" s="6"/>
      <c r="AE1314" s="6"/>
      <c r="AF1314" s="6"/>
      <c r="AG1314" s="6"/>
      <c r="AH1314" s="6"/>
      <c r="AI1314" s="6"/>
      <c r="AJ1314" s="6"/>
      <c r="AK1314" s="6"/>
      <c r="AL1314" s="6"/>
    </row>
    <row r="1315" spans="1:38">
      <c r="A1315" s="96">
        <f ca="1">IFERROR(__xludf.DUMMYFUNCTION("""COMPUTED_VALUE"""),44865)</f>
        <v>44865</v>
      </c>
      <c r="B1315" s="6" t="str">
        <f ca="1">IFERROR(__xludf.DUMMYFUNCTION("""COMPUTED_VALUE"""),"Mithu Ghos")</f>
        <v>Mithu Ghos</v>
      </c>
      <c r="C1315" s="6" t="str">
        <f ca="1">IFERROR(__xludf.DUMMYFUNCTION("""COMPUTED_VALUE"""),"mithughos@gmail.com")</f>
        <v>mithughos@gmail.com</v>
      </c>
      <c r="D1315" s="6">
        <f ca="1">IFERROR(__xludf.DUMMYFUNCTION("""COMPUTED_VALUE"""),9231125352)</f>
        <v>9231125352</v>
      </c>
      <c r="E1315" s="6" t="str">
        <f ca="1">IFERROR(__xludf.DUMMYFUNCTION("""COMPUTED_VALUE"""),"Reference")</f>
        <v>Reference</v>
      </c>
      <c r="F1315" s="6" t="str">
        <f ca="1">IFERROR(__xludf.DUMMYFUNCTION("""COMPUTED_VALUE"""),"PSM 2")</f>
        <v>PSM 2</v>
      </c>
      <c r="G1315" s="80">
        <f ca="1">IFERROR(__xludf.DUMMYFUNCTION("""COMPUTED_VALUE"""),44835)</f>
        <v>44835</v>
      </c>
      <c r="H1315" s="6" t="str">
        <f ca="1">IFERROR(__xludf.DUMMYFUNCTION("""COMPUTED_VALUE"""),"Won")</f>
        <v>Won</v>
      </c>
      <c r="I1315" s="6" t="str">
        <f ca="1">IFERROR(__xludf.DUMMYFUNCTION("""COMPUTED_VALUE"""),"5-6 Nov 2022")</f>
        <v>5-6 Nov 2022</v>
      </c>
      <c r="J1315" s="6">
        <f ca="1">IFERROR(__xludf.DUMMYFUNCTION("""COMPUTED_VALUE"""),1)</f>
        <v>1</v>
      </c>
      <c r="K1315" s="8">
        <f ca="1">IFERROR(__xludf.DUMMYFUNCTION("""COMPUTED_VALUE"""),24000)</f>
        <v>24000</v>
      </c>
      <c r="L1315" s="8">
        <f ca="1">IFERROR(__xludf.DUMMYFUNCTION("""COMPUTED_VALUE"""),274.851122308749)</f>
        <v>274.85112230874898</v>
      </c>
      <c r="M1315" s="96">
        <f ca="1">IFERROR(__xludf.DUMMYFUNCTION("""COMPUTED_VALUE"""),44865)</f>
        <v>44865</v>
      </c>
      <c r="N1315" s="6" t="str">
        <f ca="1">IFERROR(__xludf.DUMMYFUNCTION("""COMPUTED_VALUE"""),"T10")</f>
        <v>T10</v>
      </c>
      <c r="O1315" s="97">
        <f ca="1">IFERROR(__xludf.DUMMYFUNCTION("""COMPUTED_VALUE"""),44865)</f>
        <v>44865</v>
      </c>
      <c r="P1315" s="6" t="str">
        <f ca="1">IFERROR(__xludf.DUMMYFUNCTION("""COMPUTED_VALUE"""),"CSTM_IS7WH6KHBT0")</f>
        <v>CSTM_IS7WH6KHBT0</v>
      </c>
      <c r="Q1315" s="6" t="str">
        <f ca="1">IFERROR(__xludf.DUMMYFUNCTION("""COMPUTED_VALUE"""),"Reference by Rinku")</f>
        <v>Reference by Rinku</v>
      </c>
      <c r="R1315" s="6" t="str">
        <f ca="1">IFERROR(__xludf.DUMMYFUNCTION("""COMPUTED_VALUE"""),"Pending")</f>
        <v>Pending</v>
      </c>
      <c r="S1315" s="6" t="str">
        <f ca="1">IFERROR(__xludf.DUMMYFUNCTION("""COMPUTED_VALUE"""),"Category")</f>
        <v>Category</v>
      </c>
      <c r="T1315" s="6"/>
      <c r="U1315" s="6"/>
      <c r="V1315" s="6"/>
      <c r="W1315" s="6"/>
      <c r="X1315" s="6"/>
      <c r="Y1315" s="6"/>
      <c r="Z1315" s="6"/>
      <c r="AA1315" s="6"/>
      <c r="AB1315" s="6"/>
      <c r="AC1315" s="6"/>
      <c r="AD1315" s="6"/>
      <c r="AE1315" s="6"/>
      <c r="AF1315" s="6"/>
      <c r="AG1315" s="6"/>
      <c r="AH1315" s="6"/>
      <c r="AI1315" s="6"/>
      <c r="AJ1315" s="6"/>
      <c r="AK1315" s="6"/>
      <c r="AL1315" s="6"/>
    </row>
    <row r="1316" spans="1:38">
      <c r="A1316" s="96">
        <f ca="1">IFERROR(__xludf.DUMMYFUNCTION("""COMPUTED_VALUE"""),44866)</f>
        <v>44866</v>
      </c>
      <c r="B1316" s="6" t="str">
        <f ca="1">IFERROR(__xludf.DUMMYFUNCTION("""COMPUTED_VALUE"""),"Stuti Baliyan")</f>
        <v>Stuti Baliyan</v>
      </c>
      <c r="C1316" s="6" t="str">
        <f ca="1">IFERROR(__xludf.DUMMYFUNCTION("""COMPUTED_VALUE"""),"imstuti.net@gmail.com")</f>
        <v>imstuti.net@gmail.com</v>
      </c>
      <c r="D1316" s="6">
        <f ca="1">IFERROR(__xludf.DUMMYFUNCTION("""COMPUTED_VALUE"""),9599953644)</f>
        <v>9599953644</v>
      </c>
      <c r="E1316" s="6" t="str">
        <f ca="1">IFERROR(__xludf.DUMMYFUNCTION("""COMPUTED_VALUE"""),"Existing Account")</f>
        <v>Existing Account</v>
      </c>
      <c r="F1316" s="6" t="str">
        <f ca="1">IFERROR(__xludf.DUMMYFUNCTION("""COMPUTED_VALUE"""),"CSM")</f>
        <v>CSM</v>
      </c>
      <c r="G1316" s="80">
        <f ca="1">IFERROR(__xludf.DUMMYFUNCTION("""COMPUTED_VALUE"""),44866)</f>
        <v>44866</v>
      </c>
      <c r="H1316" s="6" t="str">
        <f ca="1">IFERROR(__xludf.DUMMYFUNCTION("""COMPUTED_VALUE"""),"Won")</f>
        <v>Won</v>
      </c>
      <c r="I1316" s="6" t="str">
        <f ca="1">IFERROR(__xludf.DUMMYFUNCTION("""COMPUTED_VALUE"""),"12-13 Nov 2022")</f>
        <v>12-13 Nov 2022</v>
      </c>
      <c r="J1316" s="6">
        <f ca="1">IFERROR(__xludf.DUMMYFUNCTION("""COMPUTED_VALUE"""),1)</f>
        <v>1</v>
      </c>
      <c r="K1316" s="8">
        <f ca="1">IFERROR(__xludf.DUMMYFUNCTION("""COMPUTED_VALUE"""),20000)</f>
        <v>20000</v>
      </c>
      <c r="L1316" s="8">
        <f ca="1">IFERROR(__xludf.DUMMYFUNCTION("""COMPUTED_VALUE"""),229.042601923957)</f>
        <v>229.04260192395699</v>
      </c>
      <c r="M1316" s="96">
        <f ca="1">IFERROR(__xludf.DUMMYFUNCTION("""COMPUTED_VALUE"""),44866)</f>
        <v>44866</v>
      </c>
      <c r="N1316" s="6" t="str">
        <f ca="1">IFERROR(__xludf.DUMMYFUNCTION("""COMPUTED_VALUE"""),"F10")</f>
        <v>F10</v>
      </c>
      <c r="O1316" s="97">
        <f ca="1">IFERROR(__xludf.DUMMYFUNCTION("""COMPUTED_VALUE"""),44866)</f>
        <v>44866</v>
      </c>
      <c r="P1316" s="6" t="str">
        <f ca="1">IFERROR(__xludf.DUMMYFUNCTION("""COMPUTED_VALUE"""),"CSTM_CSNPCG241YL")</f>
        <v>CSTM_CSNPCG241YL</v>
      </c>
      <c r="Q1316" s="6"/>
      <c r="R1316" s="6" t="str">
        <f ca="1">IFERROR(__xludf.DUMMYFUNCTION("""COMPUTED_VALUE"""),"Pending")</f>
        <v>Pending</v>
      </c>
      <c r="S1316" s="6" t="str">
        <f ca="1">IFERROR(__xludf.DUMMYFUNCTION("""COMPUTED_VALUE"""),"Category")</f>
        <v>Category</v>
      </c>
      <c r="T1316" s="6"/>
      <c r="U1316" s="6"/>
      <c r="V1316" s="6"/>
      <c r="W1316" s="6"/>
      <c r="X1316" s="6"/>
      <c r="Y1316" s="6"/>
      <c r="Z1316" s="6"/>
      <c r="AA1316" s="6"/>
      <c r="AB1316" s="6"/>
      <c r="AC1316" s="6"/>
      <c r="AD1316" s="6"/>
      <c r="AE1316" s="6"/>
      <c r="AF1316" s="6"/>
      <c r="AG1316" s="6"/>
      <c r="AH1316" s="6"/>
      <c r="AI1316" s="6"/>
      <c r="AJ1316" s="6"/>
      <c r="AK1316" s="6"/>
      <c r="AL1316" s="6"/>
    </row>
    <row r="1317" spans="1:38">
      <c r="A1317" s="96">
        <f ca="1">IFERROR(__xludf.DUMMYFUNCTION("""COMPUTED_VALUE"""),44867)</f>
        <v>44867</v>
      </c>
      <c r="B1317" s="6" t="str">
        <f ca="1">IFERROR(__xludf.DUMMYFUNCTION("""COMPUTED_VALUE"""),"Shyam Mass")</f>
        <v>Shyam Mass</v>
      </c>
      <c r="C1317" s="6" t="str">
        <f ca="1">IFERROR(__xludf.DUMMYFUNCTION("""COMPUTED_VALUE"""),"svnmass@gmail.com")</f>
        <v>svnmass@gmail.com</v>
      </c>
      <c r="D1317" s="6">
        <f ca="1">IFERROR(__xludf.DUMMYFUNCTION("""COMPUTED_VALUE"""),8089633036)</f>
        <v>8089633036</v>
      </c>
      <c r="E1317" s="6" t="str">
        <f ca="1">IFERROR(__xludf.DUMMYFUNCTION("""COMPUTED_VALUE"""),"Reference")</f>
        <v>Reference</v>
      </c>
      <c r="F1317" s="6" t="str">
        <f ca="1">IFERROR(__xludf.DUMMYFUNCTION("""COMPUTED_VALUE"""),"CSPO")</f>
        <v>CSPO</v>
      </c>
      <c r="G1317" s="80">
        <f ca="1">IFERROR(__xludf.DUMMYFUNCTION("""COMPUTED_VALUE"""),44866)</f>
        <v>44866</v>
      </c>
      <c r="H1317" s="6" t="str">
        <f ca="1">IFERROR(__xludf.DUMMYFUNCTION("""COMPUTED_VALUE"""),"Won")</f>
        <v>Won</v>
      </c>
      <c r="I1317" s="6" t="str">
        <f ca="1">IFERROR(__xludf.DUMMYFUNCTION("""COMPUTED_VALUE"""),"5-6 Nov 2022")</f>
        <v>5-6 Nov 2022</v>
      </c>
      <c r="J1317" s="6">
        <f ca="1">IFERROR(__xludf.DUMMYFUNCTION("""COMPUTED_VALUE"""),1)</f>
        <v>1</v>
      </c>
      <c r="K1317" s="8">
        <f ca="1">IFERROR(__xludf.DUMMYFUNCTION("""COMPUTED_VALUE"""),20000)</f>
        <v>20000</v>
      </c>
      <c r="L1317" s="8">
        <f ca="1">IFERROR(__xludf.DUMMYFUNCTION("""COMPUTED_VALUE"""),229.042601923957)</f>
        <v>229.04260192395699</v>
      </c>
      <c r="M1317" s="96">
        <f ca="1">IFERROR(__xludf.DUMMYFUNCTION("""COMPUTED_VALUE"""),44867)</f>
        <v>44867</v>
      </c>
      <c r="N1317" s="6" t="str">
        <f ca="1">IFERROR(__xludf.DUMMYFUNCTION("""COMPUTED_VALUE"""),"F10")</f>
        <v>F10</v>
      </c>
      <c r="O1317" s="97">
        <f ca="1">IFERROR(__xludf.DUMMYFUNCTION("""COMPUTED_VALUE"""),44867)</f>
        <v>44867</v>
      </c>
      <c r="P1317" s="6" t="str">
        <f ca="1">IFERROR(__xludf.DUMMYFUNCTION("""COMPUTED_VALUE"""),"CSTM_7M9V5LTSKFK")</f>
        <v>CSTM_7M9V5LTSKFK</v>
      </c>
      <c r="Q1317" s="6"/>
      <c r="R1317" s="6" t="str">
        <f ca="1">IFERROR(__xludf.DUMMYFUNCTION("""COMPUTED_VALUE"""),"Pending")</f>
        <v>Pending</v>
      </c>
      <c r="S1317" s="6" t="str">
        <f ca="1">IFERROR(__xludf.DUMMYFUNCTION("""COMPUTED_VALUE"""),"Category")</f>
        <v>Category</v>
      </c>
      <c r="T1317" s="6"/>
      <c r="U1317" s="6"/>
      <c r="V1317" s="6"/>
      <c r="W1317" s="6"/>
      <c r="X1317" s="6"/>
      <c r="Y1317" s="6"/>
      <c r="Z1317" s="6"/>
      <c r="AA1317" s="6"/>
      <c r="AB1317" s="6"/>
      <c r="AC1317" s="6"/>
      <c r="AD1317" s="6"/>
      <c r="AE1317" s="6"/>
      <c r="AF1317" s="6"/>
      <c r="AG1317" s="6"/>
      <c r="AH1317" s="6"/>
      <c r="AI1317" s="6"/>
      <c r="AJ1317" s="6"/>
      <c r="AK1317" s="6"/>
      <c r="AL1317" s="6"/>
    </row>
    <row r="1318" spans="1:38">
      <c r="A1318" s="96">
        <f ca="1">IFERROR(__xludf.DUMMYFUNCTION("""COMPUTED_VALUE"""),44868)</f>
        <v>44868</v>
      </c>
      <c r="B1318" s="6" t="str">
        <f ca="1">IFERROR(__xludf.DUMMYFUNCTION("""COMPUTED_VALUE"""),"Avneesh Kularia")</f>
        <v>Avneesh Kularia</v>
      </c>
      <c r="C1318" s="6" t="str">
        <f ca="1">IFERROR(__xludf.DUMMYFUNCTION("""COMPUTED_VALUE"""),"avneesh.kularia@gmail.com")</f>
        <v>avneesh.kularia@gmail.com</v>
      </c>
      <c r="D1318" s="6">
        <f ca="1">IFERROR(__xludf.DUMMYFUNCTION("""COMPUTED_VALUE"""),9891431924)</f>
        <v>9891431924</v>
      </c>
      <c r="E1318" s="6" t="str">
        <f ca="1">IFERROR(__xludf.DUMMYFUNCTION("""COMPUTED_VALUE"""),"Query box")</f>
        <v>Query box</v>
      </c>
      <c r="F1318" s="6" t="str">
        <f ca="1">IFERROR(__xludf.DUMMYFUNCTION("""COMPUTED_VALUE"""),"SAFe Agile")</f>
        <v>SAFe Agile</v>
      </c>
      <c r="G1318" s="80">
        <f ca="1">IFERROR(__xludf.DUMMYFUNCTION("""COMPUTED_VALUE"""),44866)</f>
        <v>44866</v>
      </c>
      <c r="H1318" s="6" t="str">
        <f ca="1">IFERROR(__xludf.DUMMYFUNCTION("""COMPUTED_VALUE"""),"Won")</f>
        <v>Won</v>
      </c>
      <c r="I1318" s="6" t="str">
        <f ca="1">IFERROR(__xludf.DUMMYFUNCTION("""COMPUTED_VALUE"""),"19-20 Nov 2022")</f>
        <v>19-20 Nov 2022</v>
      </c>
      <c r="J1318" s="6">
        <f ca="1">IFERROR(__xludf.DUMMYFUNCTION("""COMPUTED_VALUE"""),1)</f>
        <v>1</v>
      </c>
      <c r="K1318" s="8">
        <f ca="1">IFERROR(__xludf.DUMMYFUNCTION("""COMPUTED_VALUE"""),42000)</f>
        <v>42000</v>
      </c>
      <c r="L1318" s="8">
        <f ca="1">IFERROR(__xludf.DUMMYFUNCTION("""COMPUTED_VALUE"""),480.989464040311)</f>
        <v>480.98946404031102</v>
      </c>
      <c r="M1318" s="96">
        <f ca="1">IFERROR(__xludf.DUMMYFUNCTION("""COMPUTED_VALUE"""),44868)</f>
        <v>44868</v>
      </c>
      <c r="N1318" s="6" t="str">
        <f ca="1">IFERROR(__xludf.DUMMYFUNCTION("""COMPUTED_VALUE"""),"F10")</f>
        <v>F10</v>
      </c>
      <c r="O1318" s="97">
        <f ca="1">IFERROR(__xludf.DUMMYFUNCTION("""COMPUTED_VALUE"""),44868)</f>
        <v>44868</v>
      </c>
      <c r="P1318" s="6" t="str">
        <f ca="1">IFERROR(__xludf.DUMMYFUNCTION("""COMPUTED_VALUE"""),"CSTM_E0OEKALG14M")</f>
        <v>CSTM_E0OEKALG14M</v>
      </c>
      <c r="Q1318" s="6"/>
      <c r="R1318" s="6" t="str">
        <f ca="1">IFERROR(__xludf.DUMMYFUNCTION("""COMPUTED_VALUE"""),"Pending")</f>
        <v>Pending</v>
      </c>
      <c r="S1318" s="6" t="str">
        <f ca="1">IFERROR(__xludf.DUMMYFUNCTION("""COMPUTED_VALUE"""),"SAFe")</f>
        <v>SAFe</v>
      </c>
      <c r="T1318" s="6"/>
      <c r="U1318" s="6"/>
      <c r="V1318" s="6"/>
      <c r="W1318" s="6"/>
      <c r="X1318" s="6"/>
      <c r="Y1318" s="6"/>
      <c r="Z1318" s="6"/>
      <c r="AA1318" s="6"/>
      <c r="AB1318" s="6"/>
      <c r="AC1318" s="6"/>
      <c r="AD1318" s="6"/>
      <c r="AE1318" s="6"/>
      <c r="AF1318" s="6"/>
      <c r="AG1318" s="6"/>
      <c r="AH1318" s="6"/>
      <c r="AI1318" s="6"/>
      <c r="AJ1318" s="6"/>
      <c r="AK1318" s="6"/>
      <c r="AL1318" s="6"/>
    </row>
    <row r="1319" spans="1:38">
      <c r="A1319" s="96">
        <f ca="1">IFERROR(__xludf.DUMMYFUNCTION("""COMPUTED_VALUE"""),44868)</f>
        <v>44868</v>
      </c>
      <c r="B1319" s="6" t="str">
        <f ca="1">IFERROR(__xludf.DUMMYFUNCTION("""COMPUTED_VALUE"""),"Divya Garg")</f>
        <v>Divya Garg</v>
      </c>
      <c r="C1319" s="6" t="str">
        <f ca="1">IFERROR(__xludf.DUMMYFUNCTION("""COMPUTED_VALUE"""),"divyagarg14@gmail.com")</f>
        <v>divyagarg14@gmail.com</v>
      </c>
      <c r="D1319" s="6">
        <f ca="1">IFERROR(__xludf.DUMMYFUNCTION("""COMPUTED_VALUE"""),9958084244)</f>
        <v>9958084244</v>
      </c>
      <c r="E1319" s="6" t="str">
        <f ca="1">IFERROR(__xludf.DUMMYFUNCTION("""COMPUTED_VALUE"""),"Existing Account")</f>
        <v>Existing Account</v>
      </c>
      <c r="F1319" s="6" t="str">
        <f ca="1">IFERROR(__xludf.DUMMYFUNCTION("""COMPUTED_VALUE"""),"CSM")</f>
        <v>CSM</v>
      </c>
      <c r="G1319" s="80">
        <f ca="1">IFERROR(__xludf.DUMMYFUNCTION("""COMPUTED_VALUE"""),44866)</f>
        <v>44866</v>
      </c>
      <c r="H1319" s="6" t="str">
        <f ca="1">IFERROR(__xludf.DUMMYFUNCTION("""COMPUTED_VALUE"""),"Won")</f>
        <v>Won</v>
      </c>
      <c r="I1319" s="6" t="str">
        <f ca="1">IFERROR(__xludf.DUMMYFUNCTION("""COMPUTED_VALUE"""),"22-23 Dec 2022")</f>
        <v>22-23 Dec 2022</v>
      </c>
      <c r="J1319" s="6">
        <f ca="1">IFERROR(__xludf.DUMMYFUNCTION("""COMPUTED_VALUE"""),1)</f>
        <v>1</v>
      </c>
      <c r="K1319" s="8">
        <f ca="1">IFERROR(__xludf.DUMMYFUNCTION("""COMPUTED_VALUE"""),20000)</f>
        <v>20000</v>
      </c>
      <c r="L1319" s="8">
        <f ca="1">IFERROR(__xludf.DUMMYFUNCTION("""COMPUTED_VALUE"""),229.042601923957)</f>
        <v>229.04260192395699</v>
      </c>
      <c r="M1319" s="96">
        <f ca="1">IFERROR(__xludf.DUMMYFUNCTION("""COMPUTED_VALUE"""),44868)</f>
        <v>44868</v>
      </c>
      <c r="N1319" s="6" t="str">
        <f ca="1">IFERROR(__xludf.DUMMYFUNCTION("""COMPUTED_VALUE"""),"F10")</f>
        <v>F10</v>
      </c>
      <c r="O1319" s="97">
        <f ca="1">IFERROR(__xludf.DUMMYFUNCTION("""COMPUTED_VALUE"""),44868)</f>
        <v>44868</v>
      </c>
      <c r="P1319" s="6" t="str">
        <f ca="1">IFERROR(__xludf.DUMMYFUNCTION("""COMPUTED_VALUE"""),"CSTM_DA738HNOO35")</f>
        <v>CSTM_DA738HNOO35</v>
      </c>
      <c r="Q1319" s="6"/>
      <c r="R1319" s="6" t="str">
        <f ca="1">IFERROR(__xludf.DUMMYFUNCTION("""COMPUTED_VALUE"""),"Pending")</f>
        <v>Pending</v>
      </c>
      <c r="S1319" s="6" t="str">
        <f ca="1">IFERROR(__xludf.DUMMYFUNCTION("""COMPUTED_VALUE"""),"Category")</f>
        <v>Category</v>
      </c>
      <c r="T1319" s="6"/>
      <c r="U1319" s="6"/>
      <c r="V1319" s="6"/>
      <c r="W1319" s="6"/>
      <c r="X1319" s="6"/>
      <c r="Y1319" s="6"/>
      <c r="Z1319" s="6"/>
      <c r="AA1319" s="6"/>
      <c r="AB1319" s="6"/>
      <c r="AC1319" s="6"/>
      <c r="AD1319" s="6"/>
      <c r="AE1319" s="6"/>
      <c r="AF1319" s="6"/>
      <c r="AG1319" s="6"/>
      <c r="AH1319" s="6"/>
      <c r="AI1319" s="6"/>
      <c r="AJ1319" s="6"/>
      <c r="AK1319" s="6"/>
      <c r="AL1319" s="6"/>
    </row>
    <row r="1320" spans="1:38">
      <c r="A1320" s="96">
        <f ca="1">IFERROR(__xludf.DUMMYFUNCTION("""COMPUTED_VALUE"""),44868)</f>
        <v>44868</v>
      </c>
      <c r="B1320" s="6" t="str">
        <f ca="1">IFERROR(__xludf.DUMMYFUNCTION("""COMPUTED_VALUE"""),"Aisha Bhanu")</f>
        <v>Aisha Bhanu</v>
      </c>
      <c r="C1320" s="6" t="str">
        <f ca="1">IFERROR(__xludf.DUMMYFUNCTION("""COMPUTED_VALUE"""),"aishamahek24@gmail.com")</f>
        <v>aishamahek24@gmail.com</v>
      </c>
      <c r="D1320" s="6">
        <f ca="1">IFERROR(__xludf.DUMMYFUNCTION("""COMPUTED_VALUE"""),9900063973)</f>
        <v>9900063973</v>
      </c>
      <c r="E1320" s="6" t="str">
        <f ca="1">IFERROR(__xludf.DUMMYFUNCTION("""COMPUTED_VALUE"""),"Chat_triggered")</f>
        <v>Chat_triggered</v>
      </c>
      <c r="F1320" s="6" t="str">
        <f ca="1">IFERROR(__xludf.DUMMYFUNCTION("""COMPUTED_VALUE"""),"PSM")</f>
        <v>PSM</v>
      </c>
      <c r="G1320" s="80">
        <f ca="1">IFERROR(__xludf.DUMMYFUNCTION("""COMPUTED_VALUE"""),44866)</f>
        <v>44866</v>
      </c>
      <c r="H1320" s="6" t="str">
        <f ca="1">IFERROR(__xludf.DUMMYFUNCTION("""COMPUTED_VALUE"""),"Won")</f>
        <v>Won</v>
      </c>
      <c r="I1320" s="6" t="str">
        <f ca="1">IFERROR(__xludf.DUMMYFUNCTION("""COMPUTED_VALUE"""),"26-27 Nov 2022")</f>
        <v>26-27 Nov 2022</v>
      </c>
      <c r="J1320" s="6">
        <f ca="1">IFERROR(__xludf.DUMMYFUNCTION("""COMPUTED_VALUE"""),1)</f>
        <v>1</v>
      </c>
      <c r="K1320" s="8">
        <f ca="1">IFERROR(__xludf.DUMMYFUNCTION("""COMPUTED_VALUE"""),21000)</f>
        <v>21000</v>
      </c>
      <c r="L1320" s="8">
        <f ca="1">IFERROR(__xludf.DUMMYFUNCTION("""COMPUTED_VALUE"""),240.494732020155)</f>
        <v>240.494732020155</v>
      </c>
      <c r="M1320" s="96">
        <f ca="1">IFERROR(__xludf.DUMMYFUNCTION("""COMPUTED_VALUE"""),44868)</f>
        <v>44868</v>
      </c>
      <c r="N1320" s="6" t="str">
        <f ca="1">IFERROR(__xludf.DUMMYFUNCTION("""COMPUTED_VALUE"""),"F10")</f>
        <v>F10</v>
      </c>
      <c r="O1320" s="97">
        <f ca="1">IFERROR(__xludf.DUMMYFUNCTION("""COMPUTED_VALUE"""),44868)</f>
        <v>44868</v>
      </c>
      <c r="P1320" s="6" t="str">
        <f ca="1">IFERROR(__xludf.DUMMYFUNCTION("""COMPUTED_VALUE"""),"CSTM_6ZNASHM8KZJ")</f>
        <v>CSTM_6ZNASHM8KZJ</v>
      </c>
      <c r="Q1320" s="6"/>
      <c r="R1320" s="6" t="str">
        <f ca="1">IFERROR(__xludf.DUMMYFUNCTION("""COMPUTED_VALUE"""),"Pending")</f>
        <v>Pending</v>
      </c>
      <c r="S1320" s="6" t="str">
        <f ca="1">IFERROR(__xludf.DUMMYFUNCTION("""COMPUTED_VALUE"""),"Category")</f>
        <v>Category</v>
      </c>
      <c r="T1320" s="6"/>
      <c r="U1320" s="6"/>
      <c r="V1320" s="6"/>
      <c r="W1320" s="6"/>
      <c r="X1320" s="6"/>
      <c r="Y1320" s="6"/>
      <c r="Z1320" s="6"/>
      <c r="AA1320" s="6"/>
      <c r="AB1320" s="6"/>
      <c r="AC1320" s="6"/>
      <c r="AD1320" s="6"/>
      <c r="AE1320" s="6"/>
      <c r="AF1320" s="6"/>
      <c r="AG1320" s="6"/>
      <c r="AH1320" s="6"/>
      <c r="AI1320" s="6"/>
      <c r="AJ1320" s="6"/>
      <c r="AK1320" s="6"/>
      <c r="AL1320" s="6"/>
    </row>
    <row r="1321" spans="1:38">
      <c r="A1321" s="96">
        <f ca="1">IFERROR(__xludf.DUMMYFUNCTION("""COMPUTED_VALUE"""),44868)</f>
        <v>44868</v>
      </c>
      <c r="B1321" s="6" t="str">
        <f ca="1">IFERROR(__xludf.DUMMYFUNCTION("""COMPUTED_VALUE"""),"Jui Kale")</f>
        <v>Jui Kale</v>
      </c>
      <c r="C1321" s="6" t="str">
        <f ca="1">IFERROR(__xludf.DUMMYFUNCTION("""COMPUTED_VALUE"""),"juikale@live.com")</f>
        <v>juikale@live.com</v>
      </c>
      <c r="D1321" s="6">
        <f ca="1">IFERROR(__xludf.DUMMYFUNCTION("""COMPUTED_VALUE"""),9029523925)</f>
        <v>9029523925</v>
      </c>
      <c r="E1321" s="6" t="str">
        <f ca="1">IFERROR(__xludf.DUMMYFUNCTION("""COMPUTED_VALUE"""),"Query box")</f>
        <v>Query box</v>
      </c>
      <c r="F1321" s="6" t="str">
        <f ca="1">IFERROR(__xludf.DUMMYFUNCTION("""COMPUTED_VALUE"""),"CSM")</f>
        <v>CSM</v>
      </c>
      <c r="G1321" s="80">
        <f ca="1">IFERROR(__xludf.DUMMYFUNCTION("""COMPUTED_VALUE"""),44866)</f>
        <v>44866</v>
      </c>
      <c r="H1321" s="6" t="str">
        <f ca="1">IFERROR(__xludf.DUMMYFUNCTION("""COMPUTED_VALUE"""),"Won")</f>
        <v>Won</v>
      </c>
      <c r="I1321" s="6" t="str">
        <f ca="1">IFERROR(__xludf.DUMMYFUNCTION("""COMPUTED_VALUE"""),"19-20 Nov 2022")</f>
        <v>19-20 Nov 2022</v>
      </c>
      <c r="J1321" s="6">
        <f ca="1">IFERROR(__xludf.DUMMYFUNCTION("""COMPUTED_VALUE"""),1)</f>
        <v>1</v>
      </c>
      <c r="K1321" s="8">
        <f ca="1">IFERROR(__xludf.DUMMYFUNCTION("""COMPUTED_VALUE"""),20000)</f>
        <v>20000</v>
      </c>
      <c r="L1321" s="8">
        <f ca="1">IFERROR(__xludf.DUMMYFUNCTION("""COMPUTED_VALUE"""),229.042601923957)</f>
        <v>229.04260192395699</v>
      </c>
      <c r="M1321" s="96">
        <f ca="1">IFERROR(__xludf.DUMMYFUNCTION("""COMPUTED_VALUE"""),44868)</f>
        <v>44868</v>
      </c>
      <c r="N1321" s="6" t="str">
        <f ca="1">IFERROR(__xludf.DUMMYFUNCTION("""COMPUTED_VALUE"""),"F10")</f>
        <v>F10</v>
      </c>
      <c r="O1321" s="97">
        <f ca="1">IFERROR(__xludf.DUMMYFUNCTION("""COMPUTED_VALUE"""),44868)</f>
        <v>44868</v>
      </c>
      <c r="P1321" s="6" t="str">
        <f ca="1">IFERROR(__xludf.DUMMYFUNCTION("""COMPUTED_VALUE"""),"CSTM_D2DP0156EL5")</f>
        <v>CSTM_D2DP0156EL5</v>
      </c>
      <c r="Q1321" s="6"/>
      <c r="R1321" s="6" t="str">
        <f ca="1">IFERROR(__xludf.DUMMYFUNCTION("""COMPUTED_VALUE"""),"Pending")</f>
        <v>Pending</v>
      </c>
      <c r="S1321" s="6" t="str">
        <f ca="1">IFERROR(__xludf.DUMMYFUNCTION("""COMPUTED_VALUE"""),"Category")</f>
        <v>Category</v>
      </c>
      <c r="T1321" s="6"/>
      <c r="U1321" s="6"/>
      <c r="V1321" s="6"/>
      <c r="W1321" s="6"/>
      <c r="X1321" s="6"/>
      <c r="Y1321" s="6"/>
      <c r="Z1321" s="6"/>
      <c r="AA1321" s="6"/>
      <c r="AB1321" s="6"/>
      <c r="AC1321" s="6"/>
      <c r="AD1321" s="6"/>
      <c r="AE1321" s="6"/>
      <c r="AF1321" s="6"/>
      <c r="AG1321" s="6"/>
      <c r="AH1321" s="6"/>
      <c r="AI1321" s="6"/>
      <c r="AJ1321" s="6"/>
      <c r="AK1321" s="6"/>
      <c r="AL1321" s="6"/>
    </row>
    <row r="1322" spans="1:38">
      <c r="A1322" s="96">
        <f ca="1">IFERROR(__xludf.DUMMYFUNCTION("""COMPUTED_VALUE"""),44869)</f>
        <v>44869</v>
      </c>
      <c r="B1322" s="6" t="str">
        <f ca="1">IFERROR(__xludf.DUMMYFUNCTION("""COMPUTED_VALUE"""),"Namitha")</f>
        <v>Namitha</v>
      </c>
      <c r="C1322" s="6" t="str">
        <f ca="1">IFERROR(__xludf.DUMMYFUNCTION("""COMPUTED_VALUE"""),"alishnami@gmail.com")</f>
        <v>alishnami@gmail.com</v>
      </c>
      <c r="D1322" s="6">
        <f ca="1">IFERROR(__xludf.DUMMYFUNCTION("""COMPUTED_VALUE"""),9789850623)</f>
        <v>9789850623</v>
      </c>
      <c r="E1322" s="6" t="str">
        <f ca="1">IFERROR(__xludf.DUMMYFUNCTION("""COMPUTED_VALUE"""),"Existing Account")</f>
        <v>Existing Account</v>
      </c>
      <c r="F1322" s="6" t="str">
        <f ca="1">IFERROR(__xludf.DUMMYFUNCTION("""COMPUTED_VALUE"""),"PSM 2")</f>
        <v>PSM 2</v>
      </c>
      <c r="G1322" s="80">
        <f ca="1">IFERROR(__xludf.DUMMYFUNCTION("""COMPUTED_VALUE"""),44866)</f>
        <v>44866</v>
      </c>
      <c r="H1322" s="6" t="str">
        <f ca="1">IFERROR(__xludf.DUMMYFUNCTION("""COMPUTED_VALUE"""),"Won")</f>
        <v>Won</v>
      </c>
      <c r="I1322" s="6" t="str">
        <f ca="1">IFERROR(__xludf.DUMMYFUNCTION("""COMPUTED_VALUE"""),"5-6 Nov 2022")</f>
        <v>5-6 Nov 2022</v>
      </c>
      <c r="J1322" s="6">
        <f ca="1">IFERROR(__xludf.DUMMYFUNCTION("""COMPUTED_VALUE"""),1)</f>
        <v>1</v>
      </c>
      <c r="K1322" s="8">
        <f ca="1">IFERROR(__xludf.DUMMYFUNCTION("""COMPUTED_VALUE"""),24000)</f>
        <v>24000</v>
      </c>
      <c r="L1322" s="8">
        <f ca="1">IFERROR(__xludf.DUMMYFUNCTION("""COMPUTED_VALUE"""),274.851122308749)</f>
        <v>274.85112230874898</v>
      </c>
      <c r="M1322" s="96">
        <f ca="1">IFERROR(__xludf.DUMMYFUNCTION("""COMPUTED_VALUE"""),44869)</f>
        <v>44869</v>
      </c>
      <c r="N1322" s="6" t="str">
        <f ca="1">IFERROR(__xludf.DUMMYFUNCTION("""COMPUTED_VALUE"""),"F10")</f>
        <v>F10</v>
      </c>
      <c r="O1322" s="97">
        <f ca="1">IFERROR(__xludf.DUMMYFUNCTION("""COMPUTED_VALUE"""),44869)</f>
        <v>44869</v>
      </c>
      <c r="P1322" s="6" t="str">
        <f ca="1">IFERROR(__xludf.DUMMYFUNCTION("""COMPUTED_VALUE"""),"CSTM_EZR6CDQ8BLQ")</f>
        <v>CSTM_EZR6CDQ8BLQ</v>
      </c>
      <c r="Q1322" s="6"/>
      <c r="R1322" s="6" t="str">
        <f ca="1">IFERROR(__xludf.DUMMYFUNCTION("""COMPUTED_VALUE"""),"Pending")</f>
        <v>Pending</v>
      </c>
      <c r="S1322" s="6" t="str">
        <f ca="1">IFERROR(__xludf.DUMMYFUNCTION("""COMPUTED_VALUE"""),"Category")</f>
        <v>Category</v>
      </c>
      <c r="T1322" s="6"/>
      <c r="U1322" s="6"/>
      <c r="V1322" s="6"/>
      <c r="W1322" s="6"/>
      <c r="X1322" s="6"/>
      <c r="Y1322" s="6"/>
      <c r="Z1322" s="6"/>
      <c r="AA1322" s="6"/>
      <c r="AB1322" s="6"/>
      <c r="AC1322" s="6"/>
      <c r="AD1322" s="6"/>
      <c r="AE1322" s="6"/>
      <c r="AF1322" s="6"/>
      <c r="AG1322" s="6"/>
      <c r="AH1322" s="6"/>
      <c r="AI1322" s="6"/>
      <c r="AJ1322" s="6"/>
      <c r="AK1322" s="6"/>
      <c r="AL1322" s="6"/>
    </row>
    <row r="1323" spans="1:38">
      <c r="A1323" s="96">
        <f ca="1">IFERROR(__xludf.DUMMYFUNCTION("""COMPUTED_VALUE"""),44870)</f>
        <v>44870</v>
      </c>
      <c r="B1323" s="6" t="str">
        <f ca="1">IFERROR(__xludf.DUMMYFUNCTION("""COMPUTED_VALUE"""),"Nalini Kumari")</f>
        <v>Nalini Kumari</v>
      </c>
      <c r="C1323" s="6" t="str">
        <f ca="1">IFERROR(__xludf.DUMMYFUNCTION("""COMPUTED_VALUE"""),"nalini.kumari@tcs.com")</f>
        <v>nalini.kumari@tcs.com</v>
      </c>
      <c r="D1323" s="6">
        <f ca="1">IFERROR(__xludf.DUMMYFUNCTION("""COMPUTED_VALUE"""),8050012223)</f>
        <v>8050012223</v>
      </c>
      <c r="E1323" s="6" t="str">
        <f ca="1">IFERROR(__xludf.DUMMYFUNCTION("""COMPUTED_VALUE"""),"Reference")</f>
        <v>Reference</v>
      </c>
      <c r="F1323" s="6" t="str">
        <f ca="1">IFERROR(__xludf.DUMMYFUNCTION("""COMPUTED_VALUE"""),"PSPO 2")</f>
        <v>PSPO 2</v>
      </c>
      <c r="G1323" s="80">
        <f ca="1">IFERROR(__xludf.DUMMYFUNCTION("""COMPUTED_VALUE"""),44866)</f>
        <v>44866</v>
      </c>
      <c r="H1323" s="6" t="str">
        <f ca="1">IFERROR(__xludf.DUMMYFUNCTION("""COMPUTED_VALUE"""),"Won")</f>
        <v>Won</v>
      </c>
      <c r="I1323" s="6" t="str">
        <f ca="1">IFERROR(__xludf.DUMMYFUNCTION("""COMPUTED_VALUE"""),"21-22 Nov 2022")</f>
        <v>21-22 Nov 2022</v>
      </c>
      <c r="J1323" s="6">
        <f ca="1">IFERROR(__xludf.DUMMYFUNCTION("""COMPUTED_VALUE"""),1)</f>
        <v>1</v>
      </c>
      <c r="K1323" s="8">
        <f ca="1">IFERROR(__xludf.DUMMYFUNCTION("""COMPUTED_VALUE"""),24000)</f>
        <v>24000</v>
      </c>
      <c r="L1323" s="8">
        <f ca="1">IFERROR(__xludf.DUMMYFUNCTION("""COMPUTED_VALUE"""),274.851122308749)</f>
        <v>274.85112230874898</v>
      </c>
      <c r="M1323" s="96">
        <f ca="1">IFERROR(__xludf.DUMMYFUNCTION("""COMPUTED_VALUE"""),44870)</f>
        <v>44870</v>
      </c>
      <c r="N1323" s="6" t="str">
        <f ca="1">IFERROR(__xludf.DUMMYFUNCTION("""COMPUTED_VALUE"""),"F10")</f>
        <v>F10</v>
      </c>
      <c r="O1323" s="97">
        <f ca="1">IFERROR(__xludf.DUMMYFUNCTION("""COMPUTED_VALUE"""),44870)</f>
        <v>44870</v>
      </c>
      <c r="P1323" s="6" t="str">
        <f ca="1">IFERROR(__xludf.DUMMYFUNCTION("""COMPUTED_VALUE"""),"CSTM_JC331K37F82")</f>
        <v>CSTM_JC331K37F82</v>
      </c>
      <c r="Q1323" s="6"/>
      <c r="R1323" s="6" t="str">
        <f ca="1">IFERROR(__xludf.DUMMYFUNCTION("""COMPUTED_VALUE"""),"Pending")</f>
        <v>Pending</v>
      </c>
      <c r="S1323" s="6" t="str">
        <f ca="1">IFERROR(__xludf.DUMMYFUNCTION("""COMPUTED_VALUE"""),"NonCategory")</f>
        <v>NonCategory</v>
      </c>
      <c r="T1323" s="6"/>
      <c r="U1323" s="6"/>
      <c r="V1323" s="6"/>
      <c r="W1323" s="6"/>
      <c r="X1323" s="6"/>
      <c r="Y1323" s="6"/>
      <c r="Z1323" s="6"/>
      <c r="AA1323" s="6"/>
      <c r="AB1323" s="6"/>
      <c r="AC1323" s="6"/>
      <c r="AD1323" s="6"/>
      <c r="AE1323" s="6"/>
      <c r="AF1323" s="6"/>
      <c r="AG1323" s="6"/>
      <c r="AH1323" s="6"/>
      <c r="AI1323" s="6"/>
      <c r="AJ1323" s="6"/>
      <c r="AK1323" s="6"/>
      <c r="AL1323" s="6"/>
    </row>
    <row r="1324" spans="1:38">
      <c r="A1324" s="96">
        <f ca="1">IFERROR(__xludf.DUMMYFUNCTION("""COMPUTED_VALUE"""),44872)</f>
        <v>44872</v>
      </c>
      <c r="B1324" s="6" t="str">
        <f ca="1">IFERROR(__xludf.DUMMYFUNCTION("""COMPUTED_VALUE"""),"Pawan Muthyala")</f>
        <v>Pawan Muthyala</v>
      </c>
      <c r="C1324" s="6" t="str">
        <f ca="1">IFERROR(__xludf.DUMMYFUNCTION("""COMPUTED_VALUE"""),"pawan.muthyala@gmail.com")</f>
        <v>pawan.muthyala@gmail.com</v>
      </c>
      <c r="D1324" s="6">
        <f ca="1">IFERROR(__xludf.DUMMYFUNCTION("""COMPUTED_VALUE"""),9494335502)</f>
        <v>9494335502</v>
      </c>
      <c r="E1324" s="6" t="str">
        <f ca="1">IFERROR(__xludf.DUMMYFUNCTION("""COMPUTED_VALUE"""),"course agenda")</f>
        <v>course agenda</v>
      </c>
      <c r="F1324" s="6" t="str">
        <f ca="1">IFERROR(__xludf.DUMMYFUNCTION("""COMPUTED_VALUE"""),"PSM")</f>
        <v>PSM</v>
      </c>
      <c r="G1324" s="80">
        <f ca="1">IFERROR(__xludf.DUMMYFUNCTION("""COMPUTED_VALUE"""),44866)</f>
        <v>44866</v>
      </c>
      <c r="H1324" s="6" t="str">
        <f ca="1">IFERROR(__xludf.DUMMYFUNCTION("""COMPUTED_VALUE"""),"Opportunity")</f>
        <v>Opportunity</v>
      </c>
      <c r="I1324" s="6" t="str">
        <f ca="1">IFERROR(__xludf.DUMMYFUNCTION("""COMPUTED_VALUE"""),"12-13 Nov 2022")</f>
        <v>12-13 Nov 2022</v>
      </c>
      <c r="J1324" s="6">
        <f ca="1">IFERROR(__xludf.DUMMYFUNCTION("""COMPUTED_VALUE"""),1)</f>
        <v>1</v>
      </c>
      <c r="K1324" s="8">
        <f ca="1">IFERROR(__xludf.DUMMYFUNCTION("""COMPUTED_VALUE"""),21000)</f>
        <v>21000</v>
      </c>
      <c r="L1324" s="8">
        <f ca="1">IFERROR(__xludf.DUMMYFUNCTION("""COMPUTED_VALUE"""),240.494732020155)</f>
        <v>240.494732020155</v>
      </c>
      <c r="M1324" s="96">
        <f ca="1">IFERROR(__xludf.DUMMYFUNCTION("""COMPUTED_VALUE"""),44872)</f>
        <v>44872</v>
      </c>
      <c r="N1324" s="6"/>
      <c r="O1324" s="97"/>
      <c r="P1324" s="6"/>
      <c r="Q1324" s="6"/>
      <c r="R1324" s="6"/>
      <c r="S1324" s="6" t="str">
        <f ca="1">IFERROR(__xludf.DUMMYFUNCTION("""COMPUTED_VALUE"""),"Category")</f>
        <v>Category</v>
      </c>
      <c r="T1324" s="6"/>
      <c r="U1324" s="6"/>
      <c r="V1324" s="6"/>
      <c r="W1324" s="6"/>
      <c r="X1324" s="6"/>
      <c r="Y1324" s="6"/>
      <c r="Z1324" s="6"/>
      <c r="AA1324" s="6"/>
      <c r="AB1324" s="6"/>
      <c r="AC1324" s="6"/>
      <c r="AD1324" s="6"/>
      <c r="AE1324" s="6"/>
      <c r="AF1324" s="6"/>
      <c r="AG1324" s="6"/>
      <c r="AH1324" s="6"/>
      <c r="AI1324" s="6"/>
      <c r="AJ1324" s="6"/>
      <c r="AK1324" s="6"/>
      <c r="AL1324" s="6"/>
    </row>
    <row r="1325" spans="1:38">
      <c r="A1325" s="96">
        <f ca="1">IFERROR(__xludf.DUMMYFUNCTION("""COMPUTED_VALUE"""),44872)</f>
        <v>44872</v>
      </c>
      <c r="B1325" s="6" t="str">
        <f ca="1">IFERROR(__xludf.DUMMYFUNCTION("""COMPUTED_VALUE"""),"Shruthi Vijayendra Kumar")</f>
        <v>Shruthi Vijayendra Kumar</v>
      </c>
      <c r="C1325" s="6" t="str">
        <f ca="1">IFERROR(__xludf.DUMMYFUNCTION("""COMPUTED_VALUE"""),"shruthi.vijayendrakumar@gmail.com")</f>
        <v>shruthi.vijayendrakumar@gmail.com</v>
      </c>
      <c r="D1325" s="6">
        <f ca="1">IFERROR(__xludf.DUMMYFUNCTION("""COMPUTED_VALUE"""),8884100273)</f>
        <v>8884100273</v>
      </c>
      <c r="E1325" s="6" t="str">
        <f ca="1">IFERROR(__xludf.DUMMYFUNCTION("""COMPUTED_VALUE"""),"Reference")</f>
        <v>Reference</v>
      </c>
      <c r="F1325" s="6" t="str">
        <f ca="1">IFERROR(__xludf.DUMMYFUNCTION("""COMPUTED_VALUE"""),"PSPO 2")</f>
        <v>PSPO 2</v>
      </c>
      <c r="G1325" s="80">
        <f ca="1">IFERROR(__xludf.DUMMYFUNCTION("""COMPUTED_VALUE"""),44866)</f>
        <v>44866</v>
      </c>
      <c r="H1325" s="6" t="str">
        <f ca="1">IFERROR(__xludf.DUMMYFUNCTION("""COMPUTED_VALUE"""),"Won")</f>
        <v>Won</v>
      </c>
      <c r="I1325" s="6" t="str">
        <f ca="1">IFERROR(__xludf.DUMMYFUNCTION("""COMPUTED_VALUE"""),"21-22 Nov 2022")</f>
        <v>21-22 Nov 2022</v>
      </c>
      <c r="J1325" s="6">
        <f ca="1">IFERROR(__xludf.DUMMYFUNCTION("""COMPUTED_VALUE"""),1)</f>
        <v>1</v>
      </c>
      <c r="K1325" s="8">
        <f ca="1">IFERROR(__xludf.DUMMYFUNCTION("""COMPUTED_VALUE"""),24000)</f>
        <v>24000</v>
      </c>
      <c r="L1325" s="8">
        <f ca="1">IFERROR(__xludf.DUMMYFUNCTION("""COMPUTED_VALUE"""),274.851122308749)</f>
        <v>274.85112230874898</v>
      </c>
      <c r="M1325" s="96">
        <f ca="1">IFERROR(__xludf.DUMMYFUNCTION("""COMPUTED_VALUE"""),44872)</f>
        <v>44872</v>
      </c>
      <c r="N1325" s="6" t="str">
        <f ca="1">IFERROR(__xludf.DUMMYFUNCTION("""COMPUTED_VALUE"""),"F10")</f>
        <v>F10</v>
      </c>
      <c r="O1325" s="97">
        <f ca="1">IFERROR(__xludf.DUMMYFUNCTION("""COMPUTED_VALUE"""),44872)</f>
        <v>44872</v>
      </c>
      <c r="P1325" s="6" t="str">
        <f ca="1">IFERROR(__xludf.DUMMYFUNCTION("""COMPUTED_VALUE"""),"CSTM_4PBOM6B32E8")</f>
        <v>CSTM_4PBOM6B32E8</v>
      </c>
      <c r="Q1325" s="6" t="str">
        <f ca="1">IFERROR(__xludf.DUMMYFUNCTION("""COMPUTED_VALUE"""),"Reference by Amrapali Ashoka")</f>
        <v>Reference by Amrapali Ashoka</v>
      </c>
      <c r="R1325" s="6" t="str">
        <f ca="1">IFERROR(__xludf.DUMMYFUNCTION("""COMPUTED_VALUE"""),"Pending")</f>
        <v>Pending</v>
      </c>
      <c r="S1325" s="6" t="str">
        <f ca="1">IFERROR(__xludf.DUMMYFUNCTION("""COMPUTED_VALUE"""),"NonCategory")</f>
        <v>NonCategory</v>
      </c>
      <c r="T1325" s="6"/>
      <c r="U1325" s="6"/>
      <c r="V1325" s="6"/>
      <c r="W1325" s="6"/>
      <c r="X1325" s="6"/>
      <c r="Y1325" s="6"/>
      <c r="Z1325" s="6"/>
      <c r="AA1325" s="6"/>
      <c r="AB1325" s="6"/>
      <c r="AC1325" s="6"/>
      <c r="AD1325" s="6"/>
      <c r="AE1325" s="6"/>
      <c r="AF1325" s="6"/>
      <c r="AG1325" s="6"/>
      <c r="AH1325" s="6"/>
      <c r="AI1325" s="6"/>
      <c r="AJ1325" s="6"/>
      <c r="AK1325" s="6"/>
      <c r="AL1325" s="6"/>
    </row>
    <row r="1326" spans="1:38">
      <c r="A1326" s="96">
        <f ca="1">IFERROR(__xludf.DUMMYFUNCTION("""COMPUTED_VALUE"""),44872)</f>
        <v>44872</v>
      </c>
      <c r="B1326" s="6" t="str">
        <f ca="1">IFERROR(__xludf.DUMMYFUNCTION("""COMPUTED_VALUE"""),"Sriram")</f>
        <v>Sriram</v>
      </c>
      <c r="C1326" s="6" t="str">
        <f ca="1">IFERROR(__xludf.DUMMYFUNCTION("""COMPUTED_VALUE"""),"pajjuris@gmail.com")</f>
        <v>pajjuris@gmail.com</v>
      </c>
      <c r="D1326" s="6">
        <f ca="1">IFERROR(__xludf.DUMMYFUNCTION("""COMPUTED_VALUE"""),9493184377)</f>
        <v>9493184377</v>
      </c>
      <c r="E1326" s="6" t="str">
        <f ca="1">IFERROR(__xludf.DUMMYFUNCTION("""COMPUTED_VALUE"""),"chat_initiated")</f>
        <v>chat_initiated</v>
      </c>
      <c r="F1326" s="6" t="str">
        <f ca="1">IFERROR(__xludf.DUMMYFUNCTION("""COMPUTED_VALUE"""),"SAFe Agile")</f>
        <v>SAFe Agile</v>
      </c>
      <c r="G1326" s="80">
        <f ca="1">IFERROR(__xludf.DUMMYFUNCTION("""COMPUTED_VALUE"""),44866)</f>
        <v>44866</v>
      </c>
      <c r="H1326" s="6" t="str">
        <f ca="1">IFERROR(__xludf.DUMMYFUNCTION("""COMPUTED_VALUE"""),"Won")</f>
        <v>Won</v>
      </c>
      <c r="I1326" s="6" t="str">
        <f ca="1">IFERROR(__xludf.DUMMYFUNCTION("""COMPUTED_VALUE"""),"10-11 Dec 2022")</f>
        <v>10-11 Dec 2022</v>
      </c>
      <c r="J1326" s="6">
        <f ca="1">IFERROR(__xludf.DUMMYFUNCTION("""COMPUTED_VALUE"""),1)</f>
        <v>1</v>
      </c>
      <c r="K1326" s="8">
        <f ca="1">IFERROR(__xludf.DUMMYFUNCTION("""COMPUTED_VALUE"""),42000)</f>
        <v>42000</v>
      </c>
      <c r="L1326" s="8">
        <f ca="1">IFERROR(__xludf.DUMMYFUNCTION("""COMPUTED_VALUE"""),480.989464040311)</f>
        <v>480.98946404031102</v>
      </c>
      <c r="M1326" s="96">
        <f ca="1">IFERROR(__xludf.DUMMYFUNCTION("""COMPUTED_VALUE"""),44872)</f>
        <v>44872</v>
      </c>
      <c r="N1326" s="6" t="str">
        <f ca="1">IFERROR(__xludf.DUMMYFUNCTION("""COMPUTED_VALUE"""),"F10")</f>
        <v>F10</v>
      </c>
      <c r="O1326" s="97">
        <f ca="1">IFERROR(__xludf.DUMMYFUNCTION("""COMPUTED_VALUE"""),44872)</f>
        <v>44872</v>
      </c>
      <c r="P1326" s="6" t="str">
        <f ca="1">IFERROR(__xludf.DUMMYFUNCTION("""COMPUTED_VALUE"""),"CSTM_GQ4HRF91TJA")</f>
        <v>CSTM_GQ4HRF91TJA</v>
      </c>
      <c r="Q1326" s="6"/>
      <c r="R1326" s="6" t="str">
        <f ca="1">IFERROR(__xludf.DUMMYFUNCTION("""COMPUTED_VALUE"""),"Pending")</f>
        <v>Pending</v>
      </c>
      <c r="S1326" s="6" t="str">
        <f ca="1">IFERROR(__xludf.DUMMYFUNCTION("""COMPUTED_VALUE"""),"SAFe")</f>
        <v>SAFe</v>
      </c>
      <c r="T1326" s="6"/>
      <c r="U1326" s="6"/>
      <c r="V1326" s="6"/>
      <c r="W1326" s="6"/>
      <c r="X1326" s="6"/>
      <c r="Y1326" s="6"/>
      <c r="Z1326" s="6"/>
      <c r="AA1326" s="6"/>
      <c r="AB1326" s="6"/>
      <c r="AC1326" s="6"/>
      <c r="AD1326" s="6"/>
      <c r="AE1326" s="6"/>
      <c r="AF1326" s="6"/>
      <c r="AG1326" s="6"/>
      <c r="AH1326" s="6"/>
      <c r="AI1326" s="6"/>
      <c r="AJ1326" s="6"/>
      <c r="AK1326" s="6"/>
      <c r="AL1326" s="6"/>
    </row>
    <row r="1327" spans="1:38">
      <c r="A1327" s="96">
        <f ca="1">IFERROR(__xludf.DUMMYFUNCTION("""COMPUTED_VALUE"""),44872)</f>
        <v>44872</v>
      </c>
      <c r="B1327" s="6" t="str">
        <f ca="1">IFERROR(__xludf.DUMMYFUNCTION("""COMPUTED_VALUE"""),"Venisha Griffin")</f>
        <v>Venisha Griffin</v>
      </c>
      <c r="C1327" s="6" t="str">
        <f ca="1">IFERROR(__xludf.DUMMYFUNCTION("""COMPUTED_VALUE"""),"venisha.griffin@gmail.com")</f>
        <v>venisha.griffin@gmail.com</v>
      </c>
      <c r="D1327" s="6">
        <f ca="1">IFERROR(__xludf.DUMMYFUNCTION("""COMPUTED_VALUE"""),9916621421)</f>
        <v>9916621421</v>
      </c>
      <c r="E1327" s="6" t="str">
        <f ca="1">IFERROR(__xludf.DUMMYFUNCTION("""COMPUTED_VALUE"""),"Reference")</f>
        <v>Reference</v>
      </c>
      <c r="F1327" s="6" t="str">
        <f ca="1">IFERROR(__xludf.DUMMYFUNCTION("""COMPUTED_VALUE"""),"CSM")</f>
        <v>CSM</v>
      </c>
      <c r="G1327" s="80">
        <f ca="1">IFERROR(__xludf.DUMMYFUNCTION("""COMPUTED_VALUE"""),44866)</f>
        <v>44866</v>
      </c>
      <c r="H1327" s="6" t="str">
        <f ca="1">IFERROR(__xludf.DUMMYFUNCTION("""COMPUTED_VALUE"""),"Won")</f>
        <v>Won</v>
      </c>
      <c r="I1327" s="6" t="str">
        <f ca="1">IFERROR(__xludf.DUMMYFUNCTION("""COMPUTED_VALUE"""),"10-11 Nov 2022")</f>
        <v>10-11 Nov 2022</v>
      </c>
      <c r="J1327" s="6">
        <f ca="1">IFERROR(__xludf.DUMMYFUNCTION("""COMPUTED_VALUE"""),1)</f>
        <v>1</v>
      </c>
      <c r="K1327" s="8">
        <f ca="1">IFERROR(__xludf.DUMMYFUNCTION("""COMPUTED_VALUE"""),20000)</f>
        <v>20000</v>
      </c>
      <c r="L1327" s="8">
        <f ca="1">IFERROR(__xludf.DUMMYFUNCTION("""COMPUTED_VALUE"""),229.042601923957)</f>
        <v>229.04260192395699</v>
      </c>
      <c r="M1327" s="96">
        <f ca="1">IFERROR(__xludf.DUMMYFUNCTION("""COMPUTED_VALUE"""),44872)</f>
        <v>44872</v>
      </c>
      <c r="N1327" s="6" t="str">
        <f ca="1">IFERROR(__xludf.DUMMYFUNCTION("""COMPUTED_VALUE"""),"F10")</f>
        <v>F10</v>
      </c>
      <c r="O1327" s="97">
        <f ca="1">IFERROR(__xludf.DUMMYFUNCTION("""COMPUTED_VALUE"""),44872)</f>
        <v>44872</v>
      </c>
      <c r="P1327" s="6" t="str">
        <f ca="1">IFERROR(__xludf.DUMMYFUNCTION("""COMPUTED_VALUE"""),"CSTM_GSB7ZDHQZIS")</f>
        <v>CSTM_GSB7ZDHQZIS</v>
      </c>
      <c r="Q1327" s="6" t="str">
        <f ca="1">IFERROR(__xludf.DUMMYFUNCTION("""COMPUTED_VALUE"""),"Reference by Griffin")</f>
        <v>Reference by Griffin</v>
      </c>
      <c r="R1327" s="6" t="str">
        <f ca="1">IFERROR(__xludf.DUMMYFUNCTION("""COMPUTED_VALUE"""),"Pending")</f>
        <v>Pending</v>
      </c>
      <c r="S1327" s="6" t="str">
        <f ca="1">IFERROR(__xludf.DUMMYFUNCTION("""COMPUTED_VALUE"""),"Category")</f>
        <v>Category</v>
      </c>
      <c r="T1327" s="6"/>
      <c r="U1327" s="6"/>
      <c r="V1327" s="6"/>
      <c r="W1327" s="6"/>
      <c r="X1327" s="6"/>
      <c r="Y1327" s="6"/>
      <c r="Z1327" s="6"/>
      <c r="AA1327" s="6"/>
      <c r="AB1327" s="6"/>
      <c r="AC1327" s="6"/>
      <c r="AD1327" s="6"/>
      <c r="AE1327" s="6"/>
      <c r="AF1327" s="6"/>
      <c r="AG1327" s="6"/>
      <c r="AH1327" s="6"/>
      <c r="AI1327" s="6"/>
      <c r="AJ1327" s="6"/>
      <c r="AK1327" s="6"/>
      <c r="AL1327" s="6"/>
    </row>
    <row r="1328" spans="1:38">
      <c r="A1328" s="96">
        <f ca="1">IFERROR(__xludf.DUMMYFUNCTION("""COMPUTED_VALUE"""),44873)</f>
        <v>44873</v>
      </c>
      <c r="B1328" s="6" t="str">
        <f ca="1">IFERROR(__xludf.DUMMYFUNCTION("""COMPUTED_VALUE"""),"Pramod Mulhar")</f>
        <v>Pramod Mulhar</v>
      </c>
      <c r="C1328" s="6" t="str">
        <f ca="1">IFERROR(__xludf.DUMMYFUNCTION("""COMPUTED_VALUE"""),"mulharpramod@gmail.com")</f>
        <v>mulharpramod@gmail.com</v>
      </c>
      <c r="D1328" s="6">
        <f ca="1">IFERROR(__xludf.DUMMYFUNCTION("""COMPUTED_VALUE"""),8208988475)</f>
        <v>8208988475</v>
      </c>
      <c r="E1328" s="6" t="str">
        <f ca="1">IFERROR(__xludf.DUMMYFUNCTION("""COMPUTED_VALUE"""),"Chat_triggered")</f>
        <v>Chat_triggered</v>
      </c>
      <c r="F1328" s="6" t="str">
        <f ca="1">IFERROR(__xludf.DUMMYFUNCTION("""COMPUTED_VALUE"""),"PSM")</f>
        <v>PSM</v>
      </c>
      <c r="G1328" s="80">
        <f ca="1">IFERROR(__xludf.DUMMYFUNCTION("""COMPUTED_VALUE"""),44866)</f>
        <v>44866</v>
      </c>
      <c r="H1328" s="6" t="str">
        <f ca="1">IFERROR(__xludf.DUMMYFUNCTION("""COMPUTED_VALUE"""),"Won")</f>
        <v>Won</v>
      </c>
      <c r="I1328" s="6" t="str">
        <f ca="1">IFERROR(__xludf.DUMMYFUNCTION("""COMPUTED_VALUE"""),"19-20 Nov 2022")</f>
        <v>19-20 Nov 2022</v>
      </c>
      <c r="J1328" s="6">
        <f ca="1">IFERROR(__xludf.DUMMYFUNCTION("""COMPUTED_VALUE"""),1)</f>
        <v>1</v>
      </c>
      <c r="K1328" s="8">
        <f ca="1">IFERROR(__xludf.DUMMYFUNCTION("""COMPUTED_VALUE"""),21000)</f>
        <v>21000</v>
      </c>
      <c r="L1328" s="8">
        <f ca="1">IFERROR(__xludf.DUMMYFUNCTION("""COMPUTED_VALUE"""),240.494732020155)</f>
        <v>240.494732020155</v>
      </c>
      <c r="M1328" s="96">
        <f ca="1">IFERROR(__xludf.DUMMYFUNCTION("""COMPUTED_VALUE"""),44873)</f>
        <v>44873</v>
      </c>
      <c r="N1328" s="6" t="str">
        <f ca="1">IFERROR(__xludf.DUMMYFUNCTION("""COMPUTED_VALUE"""),"F10")</f>
        <v>F10</v>
      </c>
      <c r="O1328" s="97">
        <f ca="1">IFERROR(__xludf.DUMMYFUNCTION("""COMPUTED_VALUE"""),44873)</f>
        <v>44873</v>
      </c>
      <c r="P1328" s="6" t="str">
        <f ca="1">IFERROR(__xludf.DUMMYFUNCTION("""COMPUTED_VALUE"""),"CSTM_103HMWCXQUN")</f>
        <v>CSTM_103HMWCXQUN</v>
      </c>
      <c r="Q1328" s="6"/>
      <c r="R1328" s="6" t="str">
        <f ca="1">IFERROR(__xludf.DUMMYFUNCTION("""COMPUTED_VALUE"""),"Pending")</f>
        <v>Pending</v>
      </c>
      <c r="S1328" s="6" t="str">
        <f ca="1">IFERROR(__xludf.DUMMYFUNCTION("""COMPUTED_VALUE"""),"Category")</f>
        <v>Category</v>
      </c>
      <c r="T1328" s="6"/>
      <c r="U1328" s="6"/>
      <c r="V1328" s="6"/>
      <c r="W1328" s="6"/>
      <c r="X1328" s="6"/>
      <c r="Y1328" s="6"/>
      <c r="Z1328" s="6"/>
      <c r="AA1328" s="6"/>
      <c r="AB1328" s="6"/>
      <c r="AC1328" s="6"/>
      <c r="AD1328" s="6"/>
      <c r="AE1328" s="6"/>
      <c r="AF1328" s="6"/>
      <c r="AG1328" s="6"/>
      <c r="AH1328" s="6"/>
      <c r="AI1328" s="6"/>
      <c r="AJ1328" s="6"/>
      <c r="AK1328" s="6"/>
      <c r="AL1328" s="6"/>
    </row>
    <row r="1329" spans="1:38">
      <c r="A1329" s="96">
        <f ca="1">IFERROR(__xludf.DUMMYFUNCTION("""COMPUTED_VALUE"""),44875)</f>
        <v>44875</v>
      </c>
      <c r="B1329" s="6" t="str">
        <f ca="1">IFERROR(__xludf.DUMMYFUNCTION("""COMPUTED_VALUE"""),"Bharathi")</f>
        <v>Bharathi</v>
      </c>
      <c r="C1329" s="6" t="str">
        <f ca="1">IFERROR(__xludf.DUMMYFUNCTION("""COMPUTED_VALUE"""),"bbj2387@gmail.com")</f>
        <v>bbj2387@gmail.com</v>
      </c>
      <c r="D1329" s="6">
        <f ca="1">IFERROR(__xludf.DUMMYFUNCTION("""COMPUTED_VALUE"""),8600955174)</f>
        <v>8600955174</v>
      </c>
      <c r="E1329" s="6" t="str">
        <f ca="1">IFERROR(__xludf.DUMMYFUNCTION("""COMPUTED_VALUE"""),"course agenda")</f>
        <v>course agenda</v>
      </c>
      <c r="F1329" s="6" t="str">
        <f ca="1">IFERROR(__xludf.DUMMYFUNCTION("""COMPUTED_VALUE"""),"PSM")</f>
        <v>PSM</v>
      </c>
      <c r="G1329" s="80">
        <f ca="1">IFERROR(__xludf.DUMMYFUNCTION("""COMPUTED_VALUE"""),44866)</f>
        <v>44866</v>
      </c>
      <c r="H1329" s="6" t="str">
        <f ca="1">IFERROR(__xludf.DUMMYFUNCTION("""COMPUTED_VALUE"""),"Won")</f>
        <v>Won</v>
      </c>
      <c r="I1329" s="6" t="str">
        <f ca="1">IFERROR(__xludf.DUMMYFUNCTION("""COMPUTED_VALUE"""),"24-25 Dec 2022")</f>
        <v>24-25 Dec 2022</v>
      </c>
      <c r="J1329" s="6">
        <f ca="1">IFERROR(__xludf.DUMMYFUNCTION("""COMPUTED_VALUE"""),1)</f>
        <v>1</v>
      </c>
      <c r="K1329" s="8">
        <f ca="1">IFERROR(__xludf.DUMMYFUNCTION("""COMPUTED_VALUE"""),21000)</f>
        <v>21000</v>
      </c>
      <c r="L1329" s="8">
        <f ca="1">IFERROR(__xludf.DUMMYFUNCTION("""COMPUTED_VALUE"""),240.494732020155)</f>
        <v>240.494732020155</v>
      </c>
      <c r="M1329" s="96">
        <f ca="1">IFERROR(__xludf.DUMMYFUNCTION("""COMPUTED_VALUE"""),44875)</f>
        <v>44875</v>
      </c>
      <c r="N1329" s="6" t="str">
        <f ca="1">IFERROR(__xludf.DUMMYFUNCTION("""COMPUTED_VALUE"""),"F10")</f>
        <v>F10</v>
      </c>
      <c r="O1329" s="97">
        <f ca="1">IFERROR(__xludf.DUMMYFUNCTION("""COMPUTED_VALUE"""),44875)</f>
        <v>44875</v>
      </c>
      <c r="P1329" s="6" t="str">
        <f ca="1">IFERROR(__xludf.DUMMYFUNCTION("""COMPUTED_VALUE"""),"CSTM_H98E484PC7T")</f>
        <v>CSTM_H98E484PC7T</v>
      </c>
      <c r="Q1329" s="6"/>
      <c r="R1329" s="6" t="str">
        <f ca="1">IFERROR(__xludf.DUMMYFUNCTION("""COMPUTED_VALUE"""),"Pending")</f>
        <v>Pending</v>
      </c>
      <c r="S1329" s="6" t="str">
        <f ca="1">IFERROR(__xludf.DUMMYFUNCTION("""COMPUTED_VALUE"""),"Category")</f>
        <v>Category</v>
      </c>
      <c r="T1329" s="6"/>
      <c r="U1329" s="6"/>
      <c r="V1329" s="6"/>
      <c r="W1329" s="6"/>
      <c r="X1329" s="6"/>
      <c r="Y1329" s="6"/>
      <c r="Z1329" s="6"/>
      <c r="AA1329" s="6"/>
      <c r="AB1329" s="6"/>
      <c r="AC1329" s="6"/>
      <c r="AD1329" s="6"/>
      <c r="AE1329" s="6"/>
      <c r="AF1329" s="6"/>
      <c r="AG1329" s="6"/>
      <c r="AH1329" s="6"/>
      <c r="AI1329" s="6"/>
      <c r="AJ1329" s="6"/>
      <c r="AK1329" s="6"/>
      <c r="AL1329" s="6"/>
    </row>
    <row r="1330" spans="1:38">
      <c r="A1330" s="96">
        <f ca="1">IFERROR(__xludf.DUMMYFUNCTION("""COMPUTED_VALUE"""),44876)</f>
        <v>44876</v>
      </c>
      <c r="B1330" s="6" t="str">
        <f ca="1">IFERROR(__xludf.DUMMYFUNCTION("""COMPUTED_VALUE"""),"Vani Priyanka")</f>
        <v>Vani Priyanka</v>
      </c>
      <c r="C1330" s="6" t="str">
        <f ca="1">IFERROR(__xludf.DUMMYFUNCTION("""COMPUTED_VALUE"""),"vanipriyanka4@gmail.com")</f>
        <v>vanipriyanka4@gmail.com</v>
      </c>
      <c r="D1330" s="6">
        <f ca="1">IFERROR(__xludf.DUMMYFUNCTION("""COMPUTED_VALUE"""),9347169008)</f>
        <v>9347169008</v>
      </c>
      <c r="E1330" s="6" t="str">
        <f ca="1">IFERROR(__xludf.DUMMYFUNCTION("""COMPUTED_VALUE"""),"Tollfree")</f>
        <v>Tollfree</v>
      </c>
      <c r="F1330" s="6" t="str">
        <f ca="1">IFERROR(__xludf.DUMMYFUNCTION("""COMPUTED_VALUE"""),"PSM")</f>
        <v>PSM</v>
      </c>
      <c r="G1330" s="80">
        <f ca="1">IFERROR(__xludf.DUMMYFUNCTION("""COMPUTED_VALUE"""),44866)</f>
        <v>44866</v>
      </c>
      <c r="H1330" s="6" t="str">
        <f ca="1">IFERROR(__xludf.DUMMYFUNCTION("""COMPUTED_VALUE"""),"Won")</f>
        <v>Won</v>
      </c>
      <c r="I1330" s="6" t="str">
        <f ca="1">IFERROR(__xludf.DUMMYFUNCTION("""COMPUTED_VALUE"""),"12-13 Nov 2022")</f>
        <v>12-13 Nov 2022</v>
      </c>
      <c r="J1330" s="6">
        <f ca="1">IFERROR(__xludf.DUMMYFUNCTION("""COMPUTED_VALUE"""),1)</f>
        <v>1</v>
      </c>
      <c r="K1330" s="8">
        <f ca="1">IFERROR(__xludf.DUMMYFUNCTION("""COMPUTED_VALUE"""),21000)</f>
        <v>21000</v>
      </c>
      <c r="L1330" s="8">
        <f ca="1">IFERROR(__xludf.DUMMYFUNCTION("""COMPUTED_VALUE"""),240.494732020155)</f>
        <v>240.494732020155</v>
      </c>
      <c r="M1330" s="96">
        <f ca="1">IFERROR(__xludf.DUMMYFUNCTION("""COMPUTED_VALUE"""),44876)</f>
        <v>44876</v>
      </c>
      <c r="N1330" s="6" t="str">
        <f ca="1">IFERROR(__xludf.DUMMYFUNCTION("""COMPUTED_VALUE"""),"S10")</f>
        <v>S10</v>
      </c>
      <c r="O1330" s="97">
        <f ca="1">IFERROR(__xludf.DUMMYFUNCTION("""COMPUTED_VALUE"""),44876)</f>
        <v>44876</v>
      </c>
      <c r="P1330" s="6" t="str">
        <f ca="1">IFERROR(__xludf.DUMMYFUNCTION("""COMPUTED_VALUE"""),"CSTM_4KKZ4KWXRUC")</f>
        <v>CSTM_4KKZ4KWXRUC</v>
      </c>
      <c r="Q1330" s="6"/>
      <c r="R1330" s="6" t="str">
        <f ca="1">IFERROR(__xludf.DUMMYFUNCTION("""COMPUTED_VALUE"""),"Pending")</f>
        <v>Pending</v>
      </c>
      <c r="S1330" s="6" t="str">
        <f ca="1">IFERROR(__xludf.DUMMYFUNCTION("""COMPUTED_VALUE"""),"Category")</f>
        <v>Category</v>
      </c>
      <c r="T1330" s="6"/>
      <c r="U1330" s="6"/>
      <c r="V1330" s="6"/>
      <c r="W1330" s="6"/>
      <c r="X1330" s="6"/>
      <c r="Y1330" s="6"/>
      <c r="Z1330" s="6"/>
      <c r="AA1330" s="6"/>
      <c r="AB1330" s="6"/>
      <c r="AC1330" s="6"/>
      <c r="AD1330" s="6"/>
      <c r="AE1330" s="6"/>
      <c r="AF1330" s="6"/>
      <c r="AG1330" s="6"/>
      <c r="AH1330" s="6"/>
      <c r="AI1330" s="6"/>
      <c r="AJ1330" s="6"/>
      <c r="AK1330" s="6"/>
      <c r="AL1330" s="6"/>
    </row>
    <row r="1331" spans="1:38">
      <c r="A1331" s="96">
        <f ca="1">IFERROR(__xludf.DUMMYFUNCTION("""COMPUTED_VALUE"""),44876)</f>
        <v>44876</v>
      </c>
      <c r="B1331" s="6" t="str">
        <f ca="1">IFERROR(__xludf.DUMMYFUNCTION("""COMPUTED_VALUE"""),"Samir Dighe")</f>
        <v>Samir Dighe</v>
      </c>
      <c r="C1331" s="6" t="str">
        <f ca="1">IFERROR(__xludf.DUMMYFUNCTION("""COMPUTED_VALUE"""),"samir_nov122002@yahoo.co.in")</f>
        <v>samir_nov122002@yahoo.co.in</v>
      </c>
      <c r="D1331" s="6">
        <f ca="1">IFERROR(__xludf.DUMMYFUNCTION("""COMPUTED_VALUE"""),9819813948)</f>
        <v>9819813948</v>
      </c>
      <c r="E1331" s="6" t="str">
        <f ca="1">IFERROR(__xludf.DUMMYFUNCTION("""COMPUTED_VALUE"""),"Chat_triggered")</f>
        <v>Chat_triggered</v>
      </c>
      <c r="F1331" s="6" t="str">
        <f ca="1">IFERROR(__xludf.DUMMYFUNCTION("""COMPUTED_VALUE"""),"PSPO")</f>
        <v>PSPO</v>
      </c>
      <c r="G1331" s="80">
        <f ca="1">IFERROR(__xludf.DUMMYFUNCTION("""COMPUTED_VALUE"""),44866)</f>
        <v>44866</v>
      </c>
      <c r="H1331" s="6" t="str">
        <f ca="1">IFERROR(__xludf.DUMMYFUNCTION("""COMPUTED_VALUE"""),"Won")</f>
        <v>Won</v>
      </c>
      <c r="I1331" s="6" t="str">
        <f ca="1">IFERROR(__xludf.DUMMYFUNCTION("""COMPUTED_VALUE"""),"12-13 Nov 2022")</f>
        <v>12-13 Nov 2022</v>
      </c>
      <c r="J1331" s="6">
        <f ca="1">IFERROR(__xludf.DUMMYFUNCTION("""COMPUTED_VALUE"""),1)</f>
        <v>1</v>
      </c>
      <c r="K1331" s="8">
        <f ca="1">IFERROR(__xludf.DUMMYFUNCTION("""COMPUTED_VALUE"""),21000)</f>
        <v>21000</v>
      </c>
      <c r="L1331" s="8">
        <f ca="1">IFERROR(__xludf.DUMMYFUNCTION("""COMPUTED_VALUE"""),240.494732020155)</f>
        <v>240.494732020155</v>
      </c>
      <c r="M1331" s="96">
        <f ca="1">IFERROR(__xludf.DUMMYFUNCTION("""COMPUTED_VALUE"""),44876)</f>
        <v>44876</v>
      </c>
      <c r="N1331" s="6" t="str">
        <f ca="1">IFERROR(__xludf.DUMMYFUNCTION("""COMPUTED_VALUE"""),"S10")</f>
        <v>S10</v>
      </c>
      <c r="O1331" s="97">
        <f ca="1">IFERROR(__xludf.DUMMYFUNCTION("""COMPUTED_VALUE"""),44876)</f>
        <v>44876</v>
      </c>
      <c r="P1331" s="6" t="str">
        <f ca="1">IFERROR(__xludf.DUMMYFUNCTION("""COMPUTED_VALUE"""),"CSTM_JN5EIMD4RG1")</f>
        <v>CSTM_JN5EIMD4RG1</v>
      </c>
      <c r="Q1331" s="6"/>
      <c r="R1331" s="6" t="str">
        <f ca="1">IFERROR(__xludf.DUMMYFUNCTION("""COMPUTED_VALUE"""),"Pending")</f>
        <v>Pending</v>
      </c>
      <c r="S1331" s="6" t="str">
        <f ca="1">IFERROR(__xludf.DUMMYFUNCTION("""COMPUTED_VALUE"""),"Category")</f>
        <v>Category</v>
      </c>
      <c r="T1331" s="6"/>
      <c r="U1331" s="6"/>
      <c r="V1331" s="6"/>
      <c r="W1331" s="6"/>
      <c r="X1331" s="6"/>
      <c r="Y1331" s="6"/>
      <c r="Z1331" s="6"/>
      <c r="AA1331" s="6"/>
      <c r="AB1331" s="6"/>
      <c r="AC1331" s="6"/>
      <c r="AD1331" s="6"/>
      <c r="AE1331" s="6"/>
      <c r="AF1331" s="6"/>
      <c r="AG1331" s="6"/>
      <c r="AH1331" s="6"/>
      <c r="AI1331" s="6"/>
      <c r="AJ1331" s="6"/>
      <c r="AK1331" s="6"/>
      <c r="AL1331" s="6"/>
    </row>
    <row r="1332" spans="1:38">
      <c r="A1332" s="96">
        <f ca="1">IFERROR(__xludf.DUMMYFUNCTION("""COMPUTED_VALUE"""),44876)</f>
        <v>44876</v>
      </c>
      <c r="B1332" s="6" t="str">
        <f ca="1">IFERROR(__xludf.DUMMYFUNCTION("""COMPUTED_VALUE"""),"Aarti Shaw")</f>
        <v>Aarti Shaw</v>
      </c>
      <c r="C1332" s="6" t="str">
        <f ca="1">IFERROR(__xludf.DUMMYFUNCTION("""COMPUTED_VALUE"""),"aartishaw2005@gmail.com")</f>
        <v>aartishaw2005@gmail.com</v>
      </c>
      <c r="D1332" s="6">
        <f ca="1">IFERROR(__xludf.DUMMYFUNCTION("""COMPUTED_VALUE"""),9748102314)</f>
        <v>9748102314</v>
      </c>
      <c r="E1332" s="6" t="str">
        <f ca="1">IFERROR(__xludf.DUMMYFUNCTION("""COMPUTED_VALUE"""),"Existing Account")</f>
        <v>Existing Account</v>
      </c>
      <c r="F1332" s="6" t="str">
        <f ca="1">IFERROR(__xludf.DUMMYFUNCTION("""COMPUTED_VALUE"""),"SAFe SSM")</f>
        <v>SAFe SSM</v>
      </c>
      <c r="G1332" s="80">
        <f ca="1">IFERROR(__xludf.DUMMYFUNCTION("""COMPUTED_VALUE"""),44866)</f>
        <v>44866</v>
      </c>
      <c r="H1332" s="6" t="str">
        <f ca="1">IFERROR(__xludf.DUMMYFUNCTION("""COMPUTED_VALUE"""),"Opportunity")</f>
        <v>Opportunity</v>
      </c>
      <c r="I1332" s="6" t="str">
        <f ca="1">IFERROR(__xludf.DUMMYFUNCTION("""COMPUTED_VALUE"""),"19-20 Nov 2022")</f>
        <v>19-20 Nov 2022</v>
      </c>
      <c r="J1332" s="6">
        <f ca="1">IFERROR(__xludf.DUMMYFUNCTION("""COMPUTED_VALUE"""),1)</f>
        <v>1</v>
      </c>
      <c r="K1332" s="8">
        <f ca="1">IFERROR(__xludf.DUMMYFUNCTION("""COMPUTED_VALUE"""),42000)</f>
        <v>42000</v>
      </c>
      <c r="L1332" s="8">
        <f ca="1">IFERROR(__xludf.DUMMYFUNCTION("""COMPUTED_VALUE"""),480.989464040311)</f>
        <v>480.98946404031102</v>
      </c>
      <c r="M1332" s="96">
        <f ca="1">IFERROR(__xludf.DUMMYFUNCTION("""COMPUTED_VALUE"""),44876)</f>
        <v>44876</v>
      </c>
      <c r="N1332" s="6"/>
      <c r="O1332" s="97"/>
      <c r="P1332" s="6"/>
      <c r="Q1332" s="6"/>
      <c r="R1332" s="6"/>
      <c r="S1332" s="6" t="str">
        <f ca="1">IFERROR(__xludf.DUMMYFUNCTION("""COMPUTED_VALUE"""),"SAFe")</f>
        <v>SAFe</v>
      </c>
      <c r="T1332" s="6"/>
      <c r="U1332" s="6"/>
      <c r="V1332" s="6"/>
      <c r="W1332" s="6"/>
      <c r="X1332" s="6"/>
      <c r="Y1332" s="6"/>
      <c r="Z1332" s="6"/>
      <c r="AA1332" s="6"/>
      <c r="AB1332" s="6"/>
      <c r="AC1332" s="6"/>
      <c r="AD1332" s="6"/>
      <c r="AE1332" s="6"/>
      <c r="AF1332" s="6"/>
      <c r="AG1332" s="6"/>
      <c r="AH1332" s="6"/>
      <c r="AI1332" s="6"/>
      <c r="AJ1332" s="6"/>
      <c r="AK1332" s="6"/>
      <c r="AL1332" s="6"/>
    </row>
    <row r="1333" spans="1:38">
      <c r="A1333" s="96">
        <f ca="1">IFERROR(__xludf.DUMMYFUNCTION("""COMPUTED_VALUE"""),44876)</f>
        <v>44876</v>
      </c>
      <c r="B1333" s="6" t="str">
        <f ca="1">IFERROR(__xludf.DUMMYFUNCTION("""COMPUTED_VALUE"""),"Sailaja Kandula")</f>
        <v>Sailaja Kandula</v>
      </c>
      <c r="C1333" s="6" t="str">
        <f ca="1">IFERROR(__xludf.DUMMYFUNCTION("""COMPUTED_VALUE"""),"sailaja.kandula924@gmail.com")</f>
        <v>sailaja.kandula924@gmail.com</v>
      </c>
      <c r="D1333" s="6">
        <f ca="1">IFERROR(__xludf.DUMMYFUNCTION("""COMPUTED_VALUE"""),8884277446)</f>
        <v>8884277446</v>
      </c>
      <c r="E1333" s="6" t="str">
        <f ca="1">IFERROR(__xludf.DUMMYFUNCTION("""COMPUTED_VALUE"""),"Reference")</f>
        <v>Reference</v>
      </c>
      <c r="F1333" s="6" t="str">
        <f ca="1">IFERROR(__xludf.DUMMYFUNCTION("""COMPUTED_VALUE"""),"SAFe POPM")</f>
        <v>SAFe POPM</v>
      </c>
      <c r="G1333" s="80">
        <f ca="1">IFERROR(__xludf.DUMMYFUNCTION("""COMPUTED_VALUE"""),44866)</f>
        <v>44866</v>
      </c>
      <c r="H1333" s="6" t="str">
        <f ca="1">IFERROR(__xludf.DUMMYFUNCTION("""COMPUTED_VALUE"""),"Won")</f>
        <v>Won</v>
      </c>
      <c r="I1333" s="6" t="str">
        <f ca="1">IFERROR(__xludf.DUMMYFUNCTION("""COMPUTED_VALUE"""),"19-20 Nov 2022")</f>
        <v>19-20 Nov 2022</v>
      </c>
      <c r="J1333" s="6">
        <f ca="1">IFERROR(__xludf.DUMMYFUNCTION("""COMPUTED_VALUE"""),1)</f>
        <v>1</v>
      </c>
      <c r="K1333" s="8">
        <f ca="1">IFERROR(__xludf.DUMMYFUNCTION("""COMPUTED_VALUE"""),42000)</f>
        <v>42000</v>
      </c>
      <c r="L1333" s="8">
        <f ca="1">IFERROR(__xludf.DUMMYFUNCTION("""COMPUTED_VALUE"""),480.989464040311)</f>
        <v>480.98946404031102</v>
      </c>
      <c r="M1333" s="96">
        <f ca="1">IFERROR(__xludf.DUMMYFUNCTION("""COMPUTED_VALUE"""),44876)</f>
        <v>44876</v>
      </c>
      <c r="N1333" s="6" t="str">
        <f ca="1">IFERROR(__xludf.DUMMYFUNCTION("""COMPUTED_VALUE"""),"S10")</f>
        <v>S10</v>
      </c>
      <c r="O1333" s="97">
        <f ca="1">IFERROR(__xludf.DUMMYFUNCTION("""COMPUTED_VALUE"""),44876)</f>
        <v>44876</v>
      </c>
      <c r="P1333" s="6" t="str">
        <f ca="1">IFERROR(__xludf.DUMMYFUNCTION("""COMPUTED_VALUE"""),"CSTM_77CEORAGT83")</f>
        <v>CSTM_77CEORAGT83</v>
      </c>
      <c r="Q1333" s="6"/>
      <c r="R1333" s="6" t="str">
        <f ca="1">IFERROR(__xludf.DUMMYFUNCTION("""COMPUTED_VALUE"""),"Pending")</f>
        <v>Pending</v>
      </c>
      <c r="S1333" s="6" t="str">
        <f ca="1">IFERROR(__xludf.DUMMYFUNCTION("""COMPUTED_VALUE"""),"SAFe")</f>
        <v>SAFe</v>
      </c>
      <c r="T1333" s="6"/>
      <c r="U1333" s="6"/>
      <c r="V1333" s="6"/>
      <c r="W1333" s="6"/>
      <c r="X1333" s="6"/>
      <c r="Y1333" s="6"/>
      <c r="Z1333" s="6"/>
      <c r="AA1333" s="6"/>
      <c r="AB1333" s="6"/>
      <c r="AC1333" s="6"/>
      <c r="AD1333" s="6"/>
      <c r="AE1333" s="6"/>
      <c r="AF1333" s="6"/>
      <c r="AG1333" s="6"/>
      <c r="AH1333" s="6"/>
      <c r="AI1333" s="6"/>
      <c r="AJ1333" s="6"/>
      <c r="AK1333" s="6"/>
      <c r="AL1333" s="6"/>
    </row>
    <row r="1334" spans="1:38">
      <c r="A1334" s="96">
        <f ca="1">IFERROR(__xludf.DUMMYFUNCTION("""COMPUTED_VALUE"""),44876)</f>
        <v>44876</v>
      </c>
      <c r="B1334" s="6" t="str">
        <f ca="1">IFERROR(__xludf.DUMMYFUNCTION("""COMPUTED_VALUE"""),"Syed Shahid")</f>
        <v>Syed Shahid</v>
      </c>
      <c r="C1334" s="6" t="str">
        <f ca="1">IFERROR(__xludf.DUMMYFUNCTION("""COMPUTED_VALUE"""),"syedshahid4891@gmail.com")</f>
        <v>syedshahid4891@gmail.com</v>
      </c>
      <c r="D1334" s="6">
        <f ca="1">IFERROR(__xludf.DUMMYFUNCTION("""COMPUTED_VALUE"""),8939066370)</f>
        <v>8939066370</v>
      </c>
      <c r="E1334" s="6" t="str">
        <f ca="1">IFERROR(__xludf.DUMMYFUNCTION("""COMPUTED_VALUE"""),"Query box")</f>
        <v>Query box</v>
      </c>
      <c r="F1334" s="6" t="str">
        <f ca="1">IFERROR(__xludf.DUMMYFUNCTION("""COMPUTED_VALUE"""),"PSM 2")</f>
        <v>PSM 2</v>
      </c>
      <c r="G1334" s="80">
        <f ca="1">IFERROR(__xludf.DUMMYFUNCTION("""COMPUTED_VALUE"""),44866)</f>
        <v>44866</v>
      </c>
      <c r="H1334" s="6" t="str">
        <f ca="1">IFERROR(__xludf.DUMMYFUNCTION("""COMPUTED_VALUE"""),"Won")</f>
        <v>Won</v>
      </c>
      <c r="I1334" s="6" t="str">
        <f ca="1">IFERROR(__xludf.DUMMYFUNCTION("""COMPUTED_VALUE"""),"26-27 Nov 2022")</f>
        <v>26-27 Nov 2022</v>
      </c>
      <c r="J1334" s="6">
        <f ca="1">IFERROR(__xludf.DUMMYFUNCTION("""COMPUTED_VALUE"""),1)</f>
        <v>1</v>
      </c>
      <c r="K1334" s="8">
        <f ca="1">IFERROR(__xludf.DUMMYFUNCTION("""COMPUTED_VALUE"""),24000)</f>
        <v>24000</v>
      </c>
      <c r="L1334" s="8">
        <f ca="1">IFERROR(__xludf.DUMMYFUNCTION("""COMPUTED_VALUE"""),274.851122308749)</f>
        <v>274.85112230874898</v>
      </c>
      <c r="M1334" s="96">
        <f ca="1">IFERROR(__xludf.DUMMYFUNCTION("""COMPUTED_VALUE"""),44876)</f>
        <v>44876</v>
      </c>
      <c r="N1334" s="6" t="str">
        <f ca="1">IFERROR(__xludf.DUMMYFUNCTION("""COMPUTED_VALUE"""),"S10")</f>
        <v>S10</v>
      </c>
      <c r="O1334" s="97">
        <f ca="1">IFERROR(__xludf.DUMMYFUNCTION("""COMPUTED_VALUE"""),44879)</f>
        <v>44879</v>
      </c>
      <c r="P1334" s="6" t="str">
        <f ca="1">IFERROR(__xludf.DUMMYFUNCTION("""COMPUTED_VALUE"""),"CSTM_EIKNIW8ZNQB")</f>
        <v>CSTM_EIKNIW8ZNQB</v>
      </c>
      <c r="Q1334" s="6"/>
      <c r="R1334" s="6" t="str">
        <f ca="1">IFERROR(__xludf.DUMMYFUNCTION("""COMPUTED_VALUE"""),"Pending")</f>
        <v>Pending</v>
      </c>
      <c r="S1334" s="6" t="str">
        <f ca="1">IFERROR(__xludf.DUMMYFUNCTION("""COMPUTED_VALUE"""),"Category")</f>
        <v>Category</v>
      </c>
      <c r="T1334" s="6"/>
      <c r="U1334" s="6"/>
      <c r="V1334" s="6"/>
      <c r="W1334" s="6"/>
      <c r="X1334" s="6"/>
      <c r="Y1334" s="6"/>
      <c r="Z1334" s="6"/>
      <c r="AA1334" s="6"/>
      <c r="AB1334" s="6"/>
      <c r="AC1334" s="6"/>
      <c r="AD1334" s="6"/>
      <c r="AE1334" s="6"/>
      <c r="AF1334" s="6"/>
      <c r="AG1334" s="6"/>
      <c r="AH1334" s="6"/>
      <c r="AI1334" s="6"/>
      <c r="AJ1334" s="6"/>
      <c r="AK1334" s="6"/>
      <c r="AL1334" s="6"/>
    </row>
    <row r="1335" spans="1:38">
      <c r="A1335" s="96">
        <f ca="1">IFERROR(__xludf.DUMMYFUNCTION("""COMPUTED_VALUE"""),44877)</f>
        <v>44877</v>
      </c>
      <c r="B1335" s="6" t="str">
        <f ca="1">IFERROR(__xludf.DUMMYFUNCTION("""COMPUTED_VALUE"""),"Akshat C")</f>
        <v>Akshat C</v>
      </c>
      <c r="C1335" s="6" t="str">
        <f ca="1">IFERROR(__xludf.DUMMYFUNCTION("""COMPUTED_VALUE"""),"akshatc3@gmail.com")</f>
        <v>akshatc3@gmail.com</v>
      </c>
      <c r="D1335" s="6">
        <f ca="1">IFERROR(__xludf.DUMMYFUNCTION("""COMPUTED_VALUE"""),7760179527)</f>
        <v>7760179527</v>
      </c>
      <c r="E1335" s="6" t="str">
        <f ca="1">IFERROR(__xludf.DUMMYFUNCTION("""COMPUTED_VALUE"""),"chat_initiated")</f>
        <v>chat_initiated</v>
      </c>
      <c r="F1335" s="6" t="str">
        <f ca="1">IFERROR(__xludf.DUMMYFUNCTION("""COMPUTED_VALUE"""),"PSM")</f>
        <v>PSM</v>
      </c>
      <c r="G1335" s="80">
        <f ca="1">IFERROR(__xludf.DUMMYFUNCTION("""COMPUTED_VALUE"""),44866)</f>
        <v>44866</v>
      </c>
      <c r="H1335" s="6" t="str">
        <f ca="1">IFERROR(__xludf.DUMMYFUNCTION("""COMPUTED_VALUE"""),"Won")</f>
        <v>Won</v>
      </c>
      <c r="I1335" s="6" t="str">
        <f ca="1">IFERROR(__xludf.DUMMYFUNCTION("""COMPUTED_VALUE"""),"19-20 Nov 2022")</f>
        <v>19-20 Nov 2022</v>
      </c>
      <c r="J1335" s="6">
        <f ca="1">IFERROR(__xludf.DUMMYFUNCTION("""COMPUTED_VALUE"""),1)</f>
        <v>1</v>
      </c>
      <c r="K1335" s="8">
        <f ca="1">IFERROR(__xludf.DUMMYFUNCTION("""COMPUTED_VALUE"""),21000)</f>
        <v>21000</v>
      </c>
      <c r="L1335" s="8">
        <f ca="1">IFERROR(__xludf.DUMMYFUNCTION("""COMPUTED_VALUE"""),240.494732020155)</f>
        <v>240.494732020155</v>
      </c>
      <c r="M1335" s="96">
        <f ca="1">IFERROR(__xludf.DUMMYFUNCTION("""COMPUTED_VALUE"""),44877)</f>
        <v>44877</v>
      </c>
      <c r="N1335" s="6" t="str">
        <f ca="1">IFERROR(__xludf.DUMMYFUNCTION("""COMPUTED_VALUE"""),"S10")</f>
        <v>S10</v>
      </c>
      <c r="O1335" s="97">
        <f ca="1">IFERROR(__xludf.DUMMYFUNCTION("""COMPUTED_VALUE"""),44879)</f>
        <v>44879</v>
      </c>
      <c r="P1335" s="6" t="str">
        <f ca="1">IFERROR(__xludf.DUMMYFUNCTION("""COMPUTED_VALUE"""),"CSTM_NOGB9B1CMR")</f>
        <v>CSTM_NOGB9B1CMR</v>
      </c>
      <c r="Q1335" s="6"/>
      <c r="R1335" s="6" t="str">
        <f ca="1">IFERROR(__xludf.DUMMYFUNCTION("""COMPUTED_VALUE"""),"Pending")</f>
        <v>Pending</v>
      </c>
      <c r="S1335" s="6" t="str">
        <f ca="1">IFERROR(__xludf.DUMMYFUNCTION("""COMPUTED_VALUE"""),"Category")</f>
        <v>Category</v>
      </c>
      <c r="T1335" s="6"/>
      <c r="U1335" s="6"/>
      <c r="V1335" s="6"/>
      <c r="W1335" s="6"/>
      <c r="X1335" s="6"/>
      <c r="Y1335" s="6"/>
      <c r="Z1335" s="6"/>
      <c r="AA1335" s="6"/>
      <c r="AB1335" s="6"/>
      <c r="AC1335" s="6"/>
      <c r="AD1335" s="6"/>
      <c r="AE1335" s="6"/>
      <c r="AF1335" s="6"/>
      <c r="AG1335" s="6"/>
      <c r="AH1335" s="6"/>
      <c r="AI1335" s="6"/>
      <c r="AJ1335" s="6"/>
      <c r="AK1335" s="6"/>
      <c r="AL1335" s="6"/>
    </row>
    <row r="1336" spans="1:38">
      <c r="A1336" s="96">
        <f ca="1">IFERROR(__xludf.DUMMYFUNCTION("""COMPUTED_VALUE"""),44878)</f>
        <v>44878</v>
      </c>
      <c r="B1336" s="6" t="str">
        <f ca="1">IFERROR(__xludf.DUMMYFUNCTION("""COMPUTED_VALUE"""),"Anitha Madhusudhan")</f>
        <v>Anitha Madhusudhan</v>
      </c>
      <c r="C1336" s="6" t="str">
        <f ca="1">IFERROR(__xludf.DUMMYFUNCTION("""COMPUTED_VALUE"""),"anitha.madhusudhan@gmail.com")</f>
        <v>anitha.madhusudhan@gmail.com</v>
      </c>
      <c r="D1336" s="6">
        <f ca="1">IFERROR(__xludf.DUMMYFUNCTION("""COMPUTED_VALUE"""),9449851118)</f>
        <v>9449851118</v>
      </c>
      <c r="E1336" s="6" t="str">
        <f ca="1">IFERROR(__xludf.DUMMYFUNCTION("""COMPUTED_VALUE"""),"Reference")</f>
        <v>Reference</v>
      </c>
      <c r="F1336" s="6" t="str">
        <f ca="1">IFERROR(__xludf.DUMMYFUNCTION("""COMPUTED_VALUE"""),"PSPO")</f>
        <v>PSPO</v>
      </c>
      <c r="G1336" s="80">
        <f ca="1">IFERROR(__xludf.DUMMYFUNCTION("""COMPUTED_VALUE"""),44866)</f>
        <v>44866</v>
      </c>
      <c r="H1336" s="6" t="str">
        <f ca="1">IFERROR(__xludf.DUMMYFUNCTION("""COMPUTED_VALUE"""),"Won")</f>
        <v>Won</v>
      </c>
      <c r="I1336" s="6" t="str">
        <f ca="1">IFERROR(__xludf.DUMMYFUNCTION("""COMPUTED_VALUE"""),"19-20 Nov 2022")</f>
        <v>19-20 Nov 2022</v>
      </c>
      <c r="J1336" s="6">
        <f ca="1">IFERROR(__xludf.DUMMYFUNCTION("""COMPUTED_VALUE"""),1)</f>
        <v>1</v>
      </c>
      <c r="K1336" s="8">
        <f ca="1">IFERROR(__xludf.DUMMYFUNCTION("""COMPUTED_VALUE"""),21000)</f>
        <v>21000</v>
      </c>
      <c r="L1336" s="8">
        <f ca="1">IFERROR(__xludf.DUMMYFUNCTION("""COMPUTED_VALUE"""),240.494732020155)</f>
        <v>240.494732020155</v>
      </c>
      <c r="M1336" s="96">
        <f ca="1">IFERROR(__xludf.DUMMYFUNCTION("""COMPUTED_VALUE"""),44878)</f>
        <v>44878</v>
      </c>
      <c r="N1336" s="6" t="str">
        <f ca="1">IFERROR(__xludf.DUMMYFUNCTION("""COMPUTED_VALUE"""),"S10")</f>
        <v>S10</v>
      </c>
      <c r="O1336" s="97">
        <f ca="1">IFERROR(__xludf.DUMMYFUNCTION("""COMPUTED_VALUE"""),44879)</f>
        <v>44879</v>
      </c>
      <c r="P1336" s="6" t="str">
        <f ca="1">IFERROR(__xludf.DUMMYFUNCTION("""COMPUTED_VALUE"""),"CSTM_8C83122T1B5")</f>
        <v>CSTM_8C83122T1B5</v>
      </c>
      <c r="Q1336" s="6"/>
      <c r="R1336" s="6" t="str">
        <f ca="1">IFERROR(__xludf.DUMMYFUNCTION("""COMPUTED_VALUE"""),"Pending")</f>
        <v>Pending</v>
      </c>
      <c r="S1336" s="6" t="str">
        <f ca="1">IFERROR(__xludf.DUMMYFUNCTION("""COMPUTED_VALUE"""),"Category")</f>
        <v>Category</v>
      </c>
      <c r="T1336" s="6"/>
      <c r="U1336" s="6"/>
      <c r="V1336" s="6"/>
      <c r="W1336" s="6"/>
      <c r="X1336" s="6"/>
      <c r="Y1336" s="6"/>
      <c r="Z1336" s="6"/>
      <c r="AA1336" s="6"/>
      <c r="AB1336" s="6"/>
      <c r="AC1336" s="6"/>
      <c r="AD1336" s="6"/>
      <c r="AE1336" s="6"/>
      <c r="AF1336" s="6"/>
      <c r="AG1336" s="6"/>
      <c r="AH1336" s="6"/>
      <c r="AI1336" s="6"/>
      <c r="AJ1336" s="6"/>
      <c r="AK1336" s="6"/>
      <c r="AL1336" s="6"/>
    </row>
    <row r="1337" spans="1:38">
      <c r="A1337" s="96">
        <f ca="1">IFERROR(__xludf.DUMMYFUNCTION("""COMPUTED_VALUE"""),44879)</f>
        <v>44879</v>
      </c>
      <c r="B1337" s="6" t="str">
        <f ca="1">IFERROR(__xludf.DUMMYFUNCTION("""COMPUTED_VALUE"""),"Anamika Sharma")</f>
        <v>Anamika Sharma</v>
      </c>
      <c r="C1337" s="6" t="str">
        <f ca="1">IFERROR(__xludf.DUMMYFUNCTION("""COMPUTED_VALUE"""),"anamika.sharma07@gmail.com")</f>
        <v>anamika.sharma07@gmail.com</v>
      </c>
      <c r="D1337" s="6">
        <f ca="1">IFERROR(__xludf.DUMMYFUNCTION("""COMPUTED_VALUE"""),9845024036)</f>
        <v>9845024036</v>
      </c>
      <c r="E1337" s="6" t="str">
        <f ca="1">IFERROR(__xludf.DUMMYFUNCTION("""COMPUTED_VALUE"""),"Existing Account")</f>
        <v>Existing Account</v>
      </c>
      <c r="F1337" s="6" t="str">
        <f ca="1">IFERROR(__xludf.DUMMYFUNCTION("""COMPUTED_VALUE"""),"PSM 2")</f>
        <v>PSM 2</v>
      </c>
      <c r="G1337" s="80">
        <f ca="1">IFERROR(__xludf.DUMMYFUNCTION("""COMPUTED_VALUE"""),44866)</f>
        <v>44866</v>
      </c>
      <c r="H1337" s="6" t="str">
        <f ca="1">IFERROR(__xludf.DUMMYFUNCTION("""COMPUTED_VALUE"""),"Won")</f>
        <v>Won</v>
      </c>
      <c r="I1337" s="6" t="str">
        <f ca="1">IFERROR(__xludf.DUMMYFUNCTION("""COMPUTED_VALUE"""),"26-27 Nov 2022")</f>
        <v>26-27 Nov 2022</v>
      </c>
      <c r="J1337" s="6">
        <f ca="1">IFERROR(__xludf.DUMMYFUNCTION("""COMPUTED_VALUE"""),1)</f>
        <v>1</v>
      </c>
      <c r="K1337" s="8">
        <f ca="1">IFERROR(__xludf.DUMMYFUNCTION("""COMPUTED_VALUE"""),24000)</f>
        <v>24000</v>
      </c>
      <c r="L1337" s="8">
        <f ca="1">IFERROR(__xludf.DUMMYFUNCTION("""COMPUTED_VALUE"""),274.851122308749)</f>
        <v>274.85112230874898</v>
      </c>
      <c r="M1337" s="96">
        <f ca="1">IFERROR(__xludf.DUMMYFUNCTION("""COMPUTED_VALUE"""),44879)</f>
        <v>44879</v>
      </c>
      <c r="N1337" s="6" t="str">
        <f ca="1">IFERROR(__xludf.DUMMYFUNCTION("""COMPUTED_VALUE"""),"S10")</f>
        <v>S10</v>
      </c>
      <c r="O1337" s="97">
        <f ca="1">IFERROR(__xludf.DUMMYFUNCTION("""COMPUTED_VALUE"""),44879)</f>
        <v>44879</v>
      </c>
      <c r="P1337" s="6" t="str">
        <f ca="1">IFERROR(__xludf.DUMMYFUNCTION("""COMPUTED_VALUE"""),"CSTM_IIXI5VTX7TK")</f>
        <v>CSTM_IIXI5VTX7TK</v>
      </c>
      <c r="Q1337" s="6"/>
      <c r="R1337" s="6" t="str">
        <f ca="1">IFERROR(__xludf.DUMMYFUNCTION("""COMPUTED_VALUE"""),"Pending")</f>
        <v>Pending</v>
      </c>
      <c r="S1337" s="6" t="str">
        <f ca="1">IFERROR(__xludf.DUMMYFUNCTION("""COMPUTED_VALUE"""),"Category")</f>
        <v>Category</v>
      </c>
      <c r="T1337" s="6"/>
      <c r="U1337" s="6"/>
      <c r="V1337" s="6"/>
      <c r="W1337" s="6"/>
      <c r="X1337" s="6"/>
      <c r="Y1337" s="6"/>
      <c r="Z1337" s="6"/>
      <c r="AA1337" s="6"/>
      <c r="AB1337" s="6"/>
      <c r="AC1337" s="6"/>
      <c r="AD1337" s="6"/>
      <c r="AE1337" s="6"/>
      <c r="AF1337" s="6"/>
      <c r="AG1337" s="6"/>
      <c r="AH1337" s="6"/>
      <c r="AI1337" s="6"/>
      <c r="AJ1337" s="6"/>
      <c r="AK1337" s="6"/>
      <c r="AL1337" s="6"/>
    </row>
    <row r="1338" spans="1:38">
      <c r="A1338" s="96">
        <f ca="1">IFERROR(__xludf.DUMMYFUNCTION("""COMPUTED_VALUE"""),44879)</f>
        <v>44879</v>
      </c>
      <c r="B1338" s="6" t="str">
        <f ca="1">IFERROR(__xludf.DUMMYFUNCTION("""COMPUTED_VALUE"""),"Swatranjan Lahiri")</f>
        <v>Swatranjan Lahiri</v>
      </c>
      <c r="C1338" s="6" t="str">
        <f ca="1">IFERROR(__xludf.DUMMYFUNCTION("""COMPUTED_VALUE"""),"swatranjan.lahiri@tcs.com")</f>
        <v>swatranjan.lahiri@tcs.com</v>
      </c>
      <c r="D1338" s="6">
        <f ca="1">IFERROR(__xludf.DUMMYFUNCTION("""COMPUTED_VALUE"""),9836259192)</f>
        <v>9836259192</v>
      </c>
      <c r="E1338" s="6" t="str">
        <f ca="1">IFERROR(__xludf.DUMMYFUNCTION("""COMPUTED_VALUE"""),"Reference")</f>
        <v>Reference</v>
      </c>
      <c r="F1338" s="6" t="str">
        <f ca="1">IFERROR(__xludf.DUMMYFUNCTION("""COMPUTED_VALUE"""),"PSM 2")</f>
        <v>PSM 2</v>
      </c>
      <c r="G1338" s="80">
        <f ca="1">IFERROR(__xludf.DUMMYFUNCTION("""COMPUTED_VALUE"""),44866)</f>
        <v>44866</v>
      </c>
      <c r="H1338" s="6" t="str">
        <f ca="1">IFERROR(__xludf.DUMMYFUNCTION("""COMPUTED_VALUE"""),"Won")</f>
        <v>Won</v>
      </c>
      <c r="I1338" s="6" t="str">
        <f ca="1">IFERROR(__xludf.DUMMYFUNCTION("""COMPUTED_VALUE"""),"17-18 Dec 2022")</f>
        <v>17-18 Dec 2022</v>
      </c>
      <c r="J1338" s="6">
        <f ca="1">IFERROR(__xludf.DUMMYFUNCTION("""COMPUTED_VALUE"""),1)</f>
        <v>1</v>
      </c>
      <c r="K1338" s="8">
        <f ca="1">IFERROR(__xludf.DUMMYFUNCTION("""COMPUTED_VALUE"""),24000)</f>
        <v>24000</v>
      </c>
      <c r="L1338" s="8">
        <f ca="1">IFERROR(__xludf.DUMMYFUNCTION("""COMPUTED_VALUE"""),274.851122308749)</f>
        <v>274.85112230874898</v>
      </c>
      <c r="M1338" s="96">
        <f ca="1">IFERROR(__xludf.DUMMYFUNCTION("""COMPUTED_VALUE"""),44879)</f>
        <v>44879</v>
      </c>
      <c r="N1338" s="6" t="str">
        <f ca="1">IFERROR(__xludf.DUMMYFUNCTION("""COMPUTED_VALUE"""),"S10")</f>
        <v>S10</v>
      </c>
      <c r="O1338" s="97">
        <f ca="1">IFERROR(__xludf.DUMMYFUNCTION("""COMPUTED_VALUE"""),44879)</f>
        <v>44879</v>
      </c>
      <c r="P1338" s="6" t="str">
        <f ca="1">IFERROR(__xludf.DUMMYFUNCTION("""COMPUTED_VALUE"""),"CSTM_19Y5PR8HDUN")</f>
        <v>CSTM_19Y5PR8HDUN</v>
      </c>
      <c r="Q1338" s="6" t="str">
        <f ca="1">IFERROR(__xludf.DUMMYFUNCTION("""COMPUTED_VALUE"""),"Reference by Anirban")</f>
        <v>Reference by Anirban</v>
      </c>
      <c r="R1338" s="6" t="str">
        <f ca="1">IFERROR(__xludf.DUMMYFUNCTION("""COMPUTED_VALUE"""),"Pending")</f>
        <v>Pending</v>
      </c>
      <c r="S1338" s="6" t="str">
        <f ca="1">IFERROR(__xludf.DUMMYFUNCTION("""COMPUTED_VALUE"""),"Category")</f>
        <v>Category</v>
      </c>
      <c r="T1338" s="6"/>
      <c r="U1338" s="6"/>
      <c r="V1338" s="6"/>
      <c r="W1338" s="6"/>
      <c r="X1338" s="6"/>
      <c r="Y1338" s="6"/>
      <c r="Z1338" s="6"/>
      <c r="AA1338" s="6"/>
      <c r="AB1338" s="6"/>
      <c r="AC1338" s="6"/>
      <c r="AD1338" s="6"/>
      <c r="AE1338" s="6"/>
      <c r="AF1338" s="6"/>
      <c r="AG1338" s="6"/>
      <c r="AH1338" s="6"/>
      <c r="AI1338" s="6"/>
      <c r="AJ1338" s="6"/>
      <c r="AK1338" s="6"/>
      <c r="AL1338" s="6"/>
    </row>
    <row r="1339" spans="1:38">
      <c r="A1339" s="96">
        <f ca="1">IFERROR(__xludf.DUMMYFUNCTION("""COMPUTED_VALUE"""),44879)</f>
        <v>44879</v>
      </c>
      <c r="B1339" s="6" t="str">
        <f ca="1">IFERROR(__xludf.DUMMYFUNCTION("""COMPUTED_VALUE"""),"Anindita De")</f>
        <v>Anindita De</v>
      </c>
      <c r="C1339" s="6" t="str">
        <f ca="1">IFERROR(__xludf.DUMMYFUNCTION("""COMPUTED_VALUE"""),"anindita.de@tcs.com")</f>
        <v>anindita.de@tcs.com</v>
      </c>
      <c r="D1339" s="6">
        <f ca="1">IFERROR(__xludf.DUMMYFUNCTION("""COMPUTED_VALUE"""),9674045815)</f>
        <v>9674045815</v>
      </c>
      <c r="E1339" s="6" t="str">
        <f ca="1">IFERROR(__xludf.DUMMYFUNCTION("""COMPUTED_VALUE"""),"Reference")</f>
        <v>Reference</v>
      </c>
      <c r="F1339" s="6" t="str">
        <f ca="1">IFERROR(__xludf.DUMMYFUNCTION("""COMPUTED_VALUE"""),"PSM 2")</f>
        <v>PSM 2</v>
      </c>
      <c r="G1339" s="80">
        <f ca="1">IFERROR(__xludf.DUMMYFUNCTION("""COMPUTED_VALUE"""),44866)</f>
        <v>44866</v>
      </c>
      <c r="H1339" s="6" t="str">
        <f ca="1">IFERROR(__xludf.DUMMYFUNCTION("""COMPUTED_VALUE"""),"Won")</f>
        <v>Won</v>
      </c>
      <c r="I1339" s="6" t="str">
        <f ca="1">IFERROR(__xludf.DUMMYFUNCTION("""COMPUTED_VALUE"""),"17-18 Dec 2022")</f>
        <v>17-18 Dec 2022</v>
      </c>
      <c r="J1339" s="6">
        <f ca="1">IFERROR(__xludf.DUMMYFUNCTION("""COMPUTED_VALUE"""),1)</f>
        <v>1</v>
      </c>
      <c r="K1339" s="8">
        <f ca="1">IFERROR(__xludf.DUMMYFUNCTION("""COMPUTED_VALUE"""),24000)</f>
        <v>24000</v>
      </c>
      <c r="L1339" s="8">
        <f ca="1">IFERROR(__xludf.DUMMYFUNCTION("""COMPUTED_VALUE"""),274.851122308749)</f>
        <v>274.85112230874898</v>
      </c>
      <c r="M1339" s="96">
        <f ca="1">IFERROR(__xludf.DUMMYFUNCTION("""COMPUTED_VALUE"""),44880)</f>
        <v>44880</v>
      </c>
      <c r="N1339" s="6" t="str">
        <f ca="1">IFERROR(__xludf.DUMMYFUNCTION("""COMPUTED_VALUE"""),"S10")</f>
        <v>S10</v>
      </c>
      <c r="O1339" s="97">
        <f ca="1">IFERROR(__xludf.DUMMYFUNCTION("""COMPUTED_VALUE"""),44879)</f>
        <v>44879</v>
      </c>
      <c r="P1339" s="6" t="str">
        <f ca="1">IFERROR(__xludf.DUMMYFUNCTION("""COMPUTED_VALUE"""),"CSTM_FNSERLIKYJL")</f>
        <v>CSTM_FNSERLIKYJL</v>
      </c>
      <c r="Q1339" s="6" t="str">
        <f ca="1">IFERROR(__xludf.DUMMYFUNCTION("""COMPUTED_VALUE"""),"Reference by Anirban")</f>
        <v>Reference by Anirban</v>
      </c>
      <c r="R1339" s="6" t="str">
        <f ca="1">IFERROR(__xludf.DUMMYFUNCTION("""COMPUTED_VALUE"""),"Pending")</f>
        <v>Pending</v>
      </c>
      <c r="S1339" s="6" t="str">
        <f ca="1">IFERROR(__xludf.DUMMYFUNCTION("""COMPUTED_VALUE"""),"Category")</f>
        <v>Category</v>
      </c>
      <c r="T1339" s="6"/>
      <c r="U1339" s="6"/>
      <c r="V1339" s="6"/>
      <c r="W1339" s="6"/>
      <c r="X1339" s="6"/>
      <c r="Y1339" s="6"/>
      <c r="Z1339" s="6"/>
      <c r="AA1339" s="6"/>
      <c r="AB1339" s="6"/>
      <c r="AC1339" s="6"/>
      <c r="AD1339" s="6"/>
      <c r="AE1339" s="6"/>
      <c r="AF1339" s="6"/>
      <c r="AG1339" s="6"/>
      <c r="AH1339" s="6"/>
      <c r="AI1339" s="6"/>
      <c r="AJ1339" s="6"/>
      <c r="AK1339" s="6"/>
      <c r="AL1339" s="6"/>
    </row>
    <row r="1340" spans="1:38">
      <c r="A1340" s="96">
        <f ca="1">IFERROR(__xludf.DUMMYFUNCTION("""COMPUTED_VALUE"""),44880)</f>
        <v>44880</v>
      </c>
      <c r="B1340" s="6" t="str">
        <f ca="1">IFERROR(__xludf.DUMMYFUNCTION("""COMPUTED_VALUE"""),"Ramandeep Dhir")</f>
        <v>Ramandeep Dhir</v>
      </c>
      <c r="C1340" s="6" t="str">
        <f ca="1">IFERROR(__xludf.DUMMYFUNCTION("""COMPUTED_VALUE"""),"raman.dhir1991@gmail.com")</f>
        <v>raman.dhir1991@gmail.com</v>
      </c>
      <c r="D1340" s="6">
        <f ca="1">IFERROR(__xludf.DUMMYFUNCTION("""COMPUTED_VALUE"""),8860937747)</f>
        <v>8860937747</v>
      </c>
      <c r="E1340" s="6" t="str">
        <f ca="1">IFERROR(__xludf.DUMMYFUNCTION("""COMPUTED_VALUE"""),"Request a call")</f>
        <v>Request a call</v>
      </c>
      <c r="F1340" s="6" t="str">
        <f ca="1">IFERROR(__xludf.DUMMYFUNCTION("""COMPUTED_VALUE"""),"CSM")</f>
        <v>CSM</v>
      </c>
      <c r="G1340" s="80">
        <f ca="1">IFERROR(__xludf.DUMMYFUNCTION("""COMPUTED_VALUE"""),44866)</f>
        <v>44866</v>
      </c>
      <c r="H1340" s="6" t="str">
        <f ca="1">IFERROR(__xludf.DUMMYFUNCTION("""COMPUTED_VALUE"""),"Won")</f>
        <v>Won</v>
      </c>
      <c r="I1340" s="6" t="str">
        <f ca="1">IFERROR(__xludf.DUMMYFUNCTION("""COMPUTED_VALUE"""),"19-20 Nov 2022")</f>
        <v>19-20 Nov 2022</v>
      </c>
      <c r="J1340" s="6">
        <f ca="1">IFERROR(__xludf.DUMMYFUNCTION("""COMPUTED_VALUE"""),1)</f>
        <v>1</v>
      </c>
      <c r="K1340" s="8">
        <f ca="1">IFERROR(__xludf.DUMMYFUNCTION("""COMPUTED_VALUE"""),20000)</f>
        <v>20000</v>
      </c>
      <c r="L1340" s="8">
        <f ca="1">IFERROR(__xludf.DUMMYFUNCTION("""COMPUTED_VALUE"""),229.042601923957)</f>
        <v>229.04260192395699</v>
      </c>
      <c r="M1340" s="96">
        <f ca="1">IFERROR(__xludf.DUMMYFUNCTION("""COMPUTED_VALUE"""),44880)</f>
        <v>44880</v>
      </c>
      <c r="N1340" s="6" t="str">
        <f ca="1">IFERROR(__xludf.DUMMYFUNCTION("""COMPUTED_VALUE"""),"S10")</f>
        <v>S10</v>
      </c>
      <c r="O1340" s="97">
        <f ca="1">IFERROR(__xludf.DUMMYFUNCTION("""COMPUTED_VALUE"""),44880)</f>
        <v>44880</v>
      </c>
      <c r="P1340" s="6" t="str">
        <f ca="1">IFERROR(__xludf.DUMMYFUNCTION("""COMPUTED_VALUE"""),"CSTM_CH9AYZPOHFL")</f>
        <v>CSTM_CH9AYZPOHFL</v>
      </c>
      <c r="Q1340" s="6"/>
      <c r="R1340" s="6" t="str">
        <f ca="1">IFERROR(__xludf.DUMMYFUNCTION("""COMPUTED_VALUE"""),"Pending")</f>
        <v>Pending</v>
      </c>
      <c r="S1340" s="6" t="str">
        <f ca="1">IFERROR(__xludf.DUMMYFUNCTION("""COMPUTED_VALUE"""),"Category")</f>
        <v>Category</v>
      </c>
      <c r="T1340" s="6"/>
      <c r="U1340" s="6"/>
      <c r="V1340" s="6"/>
      <c r="W1340" s="6"/>
      <c r="X1340" s="6"/>
      <c r="Y1340" s="6"/>
      <c r="Z1340" s="6"/>
      <c r="AA1340" s="6"/>
      <c r="AB1340" s="6"/>
      <c r="AC1340" s="6"/>
      <c r="AD1340" s="6"/>
      <c r="AE1340" s="6"/>
      <c r="AF1340" s="6"/>
      <c r="AG1340" s="6"/>
      <c r="AH1340" s="6"/>
      <c r="AI1340" s="6"/>
      <c r="AJ1340" s="6"/>
      <c r="AK1340" s="6"/>
      <c r="AL1340" s="6"/>
    </row>
    <row r="1341" spans="1:38">
      <c r="A1341" s="96">
        <f ca="1">IFERROR(__xludf.DUMMYFUNCTION("""COMPUTED_VALUE"""),44881)</f>
        <v>44881</v>
      </c>
      <c r="B1341" s="6" t="str">
        <f ca="1">IFERROR(__xludf.DUMMYFUNCTION("""COMPUTED_VALUE"""),"Apurva Gawande")</f>
        <v>Apurva Gawande</v>
      </c>
      <c r="C1341" s="6" t="str">
        <f ca="1">IFERROR(__xludf.DUMMYFUNCTION("""COMPUTED_VALUE"""),"apurvagawande1997@gmail.com")</f>
        <v>apurvagawande1997@gmail.com</v>
      </c>
      <c r="D1341" s="6">
        <f ca="1">IFERROR(__xludf.DUMMYFUNCTION("""COMPUTED_VALUE"""),7066109332)</f>
        <v>7066109332</v>
      </c>
      <c r="E1341" s="6" t="str">
        <f ca="1">IFERROR(__xludf.DUMMYFUNCTION("""COMPUTED_VALUE"""),"Existing Account")</f>
        <v>Existing Account</v>
      </c>
      <c r="F1341" s="6" t="str">
        <f ca="1">IFERROR(__xludf.DUMMYFUNCTION("""COMPUTED_VALUE"""),"Data Science with Python")</f>
        <v>Data Science with Python</v>
      </c>
      <c r="G1341" s="80">
        <f ca="1">IFERROR(__xludf.DUMMYFUNCTION("""COMPUTED_VALUE"""),44866)</f>
        <v>44866</v>
      </c>
      <c r="H1341" s="6" t="str">
        <f ca="1">IFERROR(__xludf.DUMMYFUNCTION("""COMPUTED_VALUE"""),"Won")</f>
        <v>Won</v>
      </c>
      <c r="I1341" s="6" t="str">
        <f ca="1">IFERROR(__xludf.DUMMYFUNCTION("""COMPUTED_VALUE"""),"19 Nov 2022")</f>
        <v>19 Nov 2022</v>
      </c>
      <c r="J1341" s="6">
        <f ca="1">IFERROR(__xludf.DUMMYFUNCTION("""COMPUTED_VALUE"""),1)</f>
        <v>1</v>
      </c>
      <c r="K1341" s="8">
        <f ca="1">IFERROR(__xludf.DUMMYFUNCTION("""COMPUTED_VALUE"""),21000)</f>
        <v>21000</v>
      </c>
      <c r="L1341" s="8">
        <f ca="1">IFERROR(__xludf.DUMMYFUNCTION("""COMPUTED_VALUE"""),240.494732020155)</f>
        <v>240.494732020155</v>
      </c>
      <c r="M1341" s="96">
        <f ca="1">IFERROR(__xludf.DUMMYFUNCTION("""COMPUTED_VALUE"""),44881)</f>
        <v>44881</v>
      </c>
      <c r="N1341" s="6" t="str">
        <f ca="1">IFERROR(__xludf.DUMMYFUNCTION("""COMPUTED_VALUE"""),"S10")</f>
        <v>S10</v>
      </c>
      <c r="O1341" s="97">
        <f ca="1">IFERROR(__xludf.DUMMYFUNCTION("""COMPUTED_VALUE"""),44881)</f>
        <v>44881</v>
      </c>
      <c r="P1341" s="6" t="str">
        <f ca="1">IFERROR(__xludf.DUMMYFUNCTION("""COMPUTED_VALUE"""),"CSTM_J82VPBMEUQK")</f>
        <v>CSTM_J82VPBMEUQK</v>
      </c>
      <c r="Q1341" s="6"/>
      <c r="R1341" s="6" t="str">
        <f ca="1">IFERROR(__xludf.DUMMYFUNCTION("""COMPUTED_VALUE"""),"Pending")</f>
        <v>Pending</v>
      </c>
      <c r="S1341" s="6" t="str">
        <f ca="1">IFERROR(__xludf.DUMMYFUNCTION("""COMPUTED_VALUE"""),"NonCategory")</f>
        <v>NonCategory</v>
      </c>
      <c r="T1341" s="6"/>
      <c r="U1341" s="6"/>
      <c r="V1341" s="6"/>
      <c r="W1341" s="6"/>
      <c r="X1341" s="6"/>
      <c r="Y1341" s="6"/>
      <c r="Z1341" s="6"/>
      <c r="AA1341" s="6"/>
      <c r="AB1341" s="6"/>
      <c r="AC1341" s="6"/>
      <c r="AD1341" s="6"/>
      <c r="AE1341" s="6"/>
      <c r="AF1341" s="6"/>
      <c r="AG1341" s="6"/>
      <c r="AH1341" s="6"/>
      <c r="AI1341" s="6"/>
      <c r="AJ1341" s="6"/>
      <c r="AK1341" s="6"/>
      <c r="AL1341" s="6"/>
    </row>
    <row r="1342" spans="1:38">
      <c r="A1342" s="96">
        <f ca="1">IFERROR(__xludf.DUMMYFUNCTION("""COMPUTED_VALUE"""),44881)</f>
        <v>44881</v>
      </c>
      <c r="B1342" s="6" t="str">
        <f ca="1">IFERROR(__xludf.DUMMYFUNCTION("""COMPUTED_VALUE"""),"Vijay Baskar")</f>
        <v>Vijay Baskar</v>
      </c>
      <c r="C1342" s="6" t="str">
        <f ca="1">IFERROR(__xludf.DUMMYFUNCTION("""COMPUTED_VALUE"""),"vijayabasker.vt@gmail.com")</f>
        <v>vijayabasker.vt@gmail.com</v>
      </c>
      <c r="D1342" s="6">
        <f ca="1">IFERROR(__xludf.DUMMYFUNCTION("""COMPUTED_VALUE"""),8867479170)</f>
        <v>8867479170</v>
      </c>
      <c r="E1342" s="6" t="str">
        <f ca="1">IFERROR(__xludf.DUMMYFUNCTION("""COMPUTED_VALUE"""),"Query box")</f>
        <v>Query box</v>
      </c>
      <c r="F1342" s="6" t="str">
        <f ca="1">IFERROR(__xludf.DUMMYFUNCTION("""COMPUTED_VALUE"""),"PSM 2")</f>
        <v>PSM 2</v>
      </c>
      <c r="G1342" s="80">
        <f ca="1">IFERROR(__xludf.DUMMYFUNCTION("""COMPUTED_VALUE"""),44866)</f>
        <v>44866</v>
      </c>
      <c r="H1342" s="6" t="str">
        <f ca="1">IFERROR(__xludf.DUMMYFUNCTION("""COMPUTED_VALUE"""),"Won")</f>
        <v>Won</v>
      </c>
      <c r="I1342" s="6" t="str">
        <f ca="1">IFERROR(__xludf.DUMMYFUNCTION("""COMPUTED_VALUE"""),"26-27 Nov 2022")</f>
        <v>26-27 Nov 2022</v>
      </c>
      <c r="J1342" s="6">
        <f ca="1">IFERROR(__xludf.DUMMYFUNCTION("""COMPUTED_VALUE"""),1)</f>
        <v>1</v>
      </c>
      <c r="K1342" s="8">
        <f ca="1">IFERROR(__xludf.DUMMYFUNCTION("""COMPUTED_VALUE"""),24000)</f>
        <v>24000</v>
      </c>
      <c r="L1342" s="8">
        <f ca="1">IFERROR(__xludf.DUMMYFUNCTION("""COMPUTED_VALUE"""),274.851122308749)</f>
        <v>274.85112230874898</v>
      </c>
      <c r="M1342" s="96">
        <f ca="1">IFERROR(__xludf.DUMMYFUNCTION("""COMPUTED_VALUE"""),44881)</f>
        <v>44881</v>
      </c>
      <c r="N1342" s="6" t="str">
        <f ca="1">IFERROR(__xludf.DUMMYFUNCTION("""COMPUTED_VALUE"""),"S10")</f>
        <v>S10</v>
      </c>
      <c r="O1342" s="97">
        <f ca="1">IFERROR(__xludf.DUMMYFUNCTION("""COMPUTED_VALUE"""),44881)</f>
        <v>44881</v>
      </c>
      <c r="P1342" s="6" t="str">
        <f ca="1">IFERROR(__xludf.DUMMYFUNCTION("""COMPUTED_VALUE"""),"CSTM_5K6UGYL4ZXU")</f>
        <v>CSTM_5K6UGYL4ZXU</v>
      </c>
      <c r="Q1342" s="6"/>
      <c r="R1342" s="6" t="str">
        <f ca="1">IFERROR(__xludf.DUMMYFUNCTION("""COMPUTED_VALUE"""),"Pending")</f>
        <v>Pending</v>
      </c>
      <c r="S1342" s="6" t="str">
        <f ca="1">IFERROR(__xludf.DUMMYFUNCTION("""COMPUTED_VALUE"""),"Category")</f>
        <v>Category</v>
      </c>
      <c r="T1342" s="6"/>
      <c r="U1342" s="6"/>
      <c r="V1342" s="6"/>
      <c r="W1342" s="6"/>
      <c r="X1342" s="6"/>
      <c r="Y1342" s="6"/>
      <c r="Z1342" s="6"/>
      <c r="AA1342" s="6"/>
      <c r="AB1342" s="6"/>
      <c r="AC1342" s="6"/>
      <c r="AD1342" s="6"/>
      <c r="AE1342" s="6"/>
      <c r="AF1342" s="6"/>
      <c r="AG1342" s="6"/>
      <c r="AH1342" s="6"/>
      <c r="AI1342" s="6"/>
      <c r="AJ1342" s="6"/>
      <c r="AK1342" s="6"/>
      <c r="AL1342" s="6"/>
    </row>
    <row r="1343" spans="1:38">
      <c r="A1343" s="96">
        <f ca="1">IFERROR(__xludf.DUMMYFUNCTION("""COMPUTED_VALUE"""),44881)</f>
        <v>44881</v>
      </c>
      <c r="B1343" s="6" t="str">
        <f ca="1">IFERROR(__xludf.DUMMYFUNCTION("""COMPUTED_VALUE"""),"Manasdhar")</f>
        <v>Manasdhar</v>
      </c>
      <c r="C1343" s="6" t="str">
        <f ca="1">IFERROR(__xludf.DUMMYFUNCTION("""COMPUTED_VALUE"""),"manasdhara1@gmail.com")</f>
        <v>manasdhara1@gmail.com</v>
      </c>
      <c r="D1343" s="6">
        <f ca="1">IFERROR(__xludf.DUMMYFUNCTION("""COMPUTED_VALUE"""),9880833294)</f>
        <v>9880833294</v>
      </c>
      <c r="E1343" s="6" t="str">
        <f ca="1">IFERROR(__xludf.DUMMYFUNCTION("""COMPUTED_VALUE"""),"Reference")</f>
        <v>Reference</v>
      </c>
      <c r="F1343" s="6" t="str">
        <f ca="1">IFERROR(__xludf.DUMMYFUNCTION("""COMPUTED_VALUE"""),"PSM 2")</f>
        <v>PSM 2</v>
      </c>
      <c r="G1343" s="80">
        <f ca="1">IFERROR(__xludf.DUMMYFUNCTION("""COMPUTED_VALUE"""),44866)</f>
        <v>44866</v>
      </c>
      <c r="H1343" s="6" t="str">
        <f ca="1">IFERROR(__xludf.DUMMYFUNCTION("""COMPUTED_VALUE"""),"Won")</f>
        <v>Won</v>
      </c>
      <c r="I1343" s="6" t="str">
        <f ca="1">IFERROR(__xludf.DUMMYFUNCTION("""COMPUTED_VALUE"""),"26-27 Nov 2022")</f>
        <v>26-27 Nov 2022</v>
      </c>
      <c r="J1343" s="6">
        <f ca="1">IFERROR(__xludf.DUMMYFUNCTION("""COMPUTED_VALUE"""),1)</f>
        <v>1</v>
      </c>
      <c r="K1343" s="8">
        <f ca="1">IFERROR(__xludf.DUMMYFUNCTION("""COMPUTED_VALUE"""),24000)</f>
        <v>24000</v>
      </c>
      <c r="L1343" s="8">
        <f ca="1">IFERROR(__xludf.DUMMYFUNCTION("""COMPUTED_VALUE"""),274.851122308749)</f>
        <v>274.85112230874898</v>
      </c>
      <c r="M1343" s="96">
        <f ca="1">IFERROR(__xludf.DUMMYFUNCTION("""COMPUTED_VALUE"""),44881)</f>
        <v>44881</v>
      </c>
      <c r="N1343" s="6" t="str">
        <f ca="1">IFERROR(__xludf.DUMMYFUNCTION("""COMPUTED_VALUE"""),"S10")</f>
        <v>S10</v>
      </c>
      <c r="O1343" s="97">
        <f ca="1">IFERROR(__xludf.DUMMYFUNCTION("""COMPUTED_VALUE"""),44881)</f>
        <v>44881</v>
      </c>
      <c r="P1343" s="6" t="str">
        <f ca="1">IFERROR(__xludf.DUMMYFUNCTION("""COMPUTED_VALUE"""),"CSTM_DIA8AN1AGZD")</f>
        <v>CSTM_DIA8AN1AGZD</v>
      </c>
      <c r="Q1343" s="6" t="str">
        <f ca="1">IFERROR(__xludf.DUMMYFUNCTION("""COMPUTED_VALUE"""),"Reference by Vijay Bhasker")</f>
        <v>Reference by Vijay Bhasker</v>
      </c>
      <c r="R1343" s="6" t="str">
        <f ca="1">IFERROR(__xludf.DUMMYFUNCTION("""COMPUTED_VALUE"""),"Pending")</f>
        <v>Pending</v>
      </c>
      <c r="S1343" s="6" t="str">
        <f ca="1">IFERROR(__xludf.DUMMYFUNCTION("""COMPUTED_VALUE"""),"Category")</f>
        <v>Category</v>
      </c>
      <c r="T1343" s="6"/>
      <c r="U1343" s="6"/>
      <c r="V1343" s="6"/>
      <c r="W1343" s="6"/>
      <c r="X1343" s="6"/>
      <c r="Y1343" s="6"/>
      <c r="Z1343" s="6"/>
      <c r="AA1343" s="6"/>
      <c r="AB1343" s="6"/>
      <c r="AC1343" s="6"/>
      <c r="AD1343" s="6"/>
      <c r="AE1343" s="6"/>
      <c r="AF1343" s="6"/>
      <c r="AG1343" s="6"/>
      <c r="AH1343" s="6"/>
      <c r="AI1343" s="6"/>
      <c r="AJ1343" s="6"/>
      <c r="AK1343" s="6"/>
      <c r="AL1343" s="6"/>
    </row>
    <row r="1344" spans="1:38">
      <c r="A1344" s="96">
        <f ca="1">IFERROR(__xludf.DUMMYFUNCTION("""COMPUTED_VALUE"""),44882)</f>
        <v>44882</v>
      </c>
      <c r="B1344" s="6" t="str">
        <f ca="1">IFERROR(__xludf.DUMMYFUNCTION("""COMPUTED_VALUE"""),"Rahul Vishwarupe")</f>
        <v>Rahul Vishwarupe</v>
      </c>
      <c r="C1344" s="6" t="str">
        <f ca="1">IFERROR(__xludf.DUMMYFUNCTION("""COMPUTED_VALUE"""),"rahul.vishwarupe@gmail.com")</f>
        <v>rahul.vishwarupe@gmail.com</v>
      </c>
      <c r="D1344" s="6">
        <f ca="1">IFERROR(__xludf.DUMMYFUNCTION("""COMPUTED_VALUE"""),9890963665)</f>
        <v>9890963665</v>
      </c>
      <c r="E1344" s="6" t="str">
        <f ca="1">IFERROR(__xludf.DUMMYFUNCTION("""COMPUTED_VALUE"""),"Existing Account")</f>
        <v>Existing Account</v>
      </c>
      <c r="F1344" s="6" t="str">
        <f ca="1">IFERROR(__xludf.DUMMYFUNCTION("""COMPUTED_VALUE"""),"SAFe Agile")</f>
        <v>SAFe Agile</v>
      </c>
      <c r="G1344" s="80">
        <f ca="1">IFERROR(__xludf.DUMMYFUNCTION("""COMPUTED_VALUE"""),44866)</f>
        <v>44866</v>
      </c>
      <c r="H1344" s="6" t="str">
        <f ca="1">IFERROR(__xludf.DUMMYFUNCTION("""COMPUTED_VALUE"""),"Won")</f>
        <v>Won</v>
      </c>
      <c r="I1344" s="6" t="str">
        <f ca="1">IFERROR(__xludf.DUMMYFUNCTION("""COMPUTED_VALUE"""),"19-20 Nov 2022")</f>
        <v>19-20 Nov 2022</v>
      </c>
      <c r="J1344" s="6">
        <f ca="1">IFERROR(__xludf.DUMMYFUNCTION("""COMPUTED_VALUE"""),1)</f>
        <v>1</v>
      </c>
      <c r="K1344" s="8">
        <f ca="1">IFERROR(__xludf.DUMMYFUNCTION("""COMPUTED_VALUE"""),42000)</f>
        <v>42000</v>
      </c>
      <c r="L1344" s="8">
        <f ca="1">IFERROR(__xludf.DUMMYFUNCTION("""COMPUTED_VALUE"""),480.989464040311)</f>
        <v>480.98946404031102</v>
      </c>
      <c r="M1344" s="96">
        <f ca="1">IFERROR(__xludf.DUMMYFUNCTION("""COMPUTED_VALUE"""),44882)</f>
        <v>44882</v>
      </c>
      <c r="N1344" s="6" t="str">
        <f ca="1">IFERROR(__xludf.DUMMYFUNCTION("""COMPUTED_VALUE"""),"S10")</f>
        <v>S10</v>
      </c>
      <c r="O1344" s="97">
        <f ca="1">IFERROR(__xludf.DUMMYFUNCTION("""COMPUTED_VALUE"""),44882)</f>
        <v>44882</v>
      </c>
      <c r="P1344" s="6" t="str">
        <f ca="1">IFERROR(__xludf.DUMMYFUNCTION("""COMPUTED_VALUE"""),"CSTM_2N6BQVI2447")</f>
        <v>CSTM_2N6BQVI2447</v>
      </c>
      <c r="Q1344" s="6"/>
      <c r="R1344" s="6" t="str">
        <f ca="1">IFERROR(__xludf.DUMMYFUNCTION("""COMPUTED_VALUE"""),"Pending")</f>
        <v>Pending</v>
      </c>
      <c r="S1344" s="6" t="str">
        <f ca="1">IFERROR(__xludf.DUMMYFUNCTION("""COMPUTED_VALUE"""),"SAFe")</f>
        <v>SAFe</v>
      </c>
      <c r="T1344" s="6"/>
      <c r="U1344" s="6"/>
      <c r="V1344" s="6"/>
      <c r="W1344" s="6"/>
      <c r="X1344" s="6"/>
      <c r="Y1344" s="6"/>
      <c r="Z1344" s="6"/>
      <c r="AA1344" s="6"/>
      <c r="AB1344" s="6"/>
      <c r="AC1344" s="6"/>
      <c r="AD1344" s="6"/>
      <c r="AE1344" s="6"/>
      <c r="AF1344" s="6"/>
      <c r="AG1344" s="6"/>
      <c r="AH1344" s="6"/>
      <c r="AI1344" s="6"/>
      <c r="AJ1344" s="6"/>
      <c r="AK1344" s="6"/>
      <c r="AL1344" s="6"/>
    </row>
    <row r="1345" spans="1:38">
      <c r="A1345" s="96">
        <f ca="1">IFERROR(__xludf.DUMMYFUNCTION("""COMPUTED_VALUE"""),44882)</f>
        <v>44882</v>
      </c>
      <c r="B1345" s="6" t="str">
        <f ca="1">IFERROR(__xludf.DUMMYFUNCTION("""COMPUTED_VALUE"""),"Radhika")</f>
        <v>Radhika</v>
      </c>
      <c r="C1345" s="6" t="str">
        <f ca="1">IFERROR(__xludf.DUMMYFUNCTION("""COMPUTED_VALUE"""),"sriradhika@gmail.com")</f>
        <v>sriradhika@gmail.com</v>
      </c>
      <c r="D1345" s="6">
        <f ca="1">IFERROR(__xludf.DUMMYFUNCTION("""COMPUTED_VALUE"""),7276005595)</f>
        <v>7276005595</v>
      </c>
      <c r="E1345" s="6" t="str">
        <f ca="1">IFERROR(__xludf.DUMMYFUNCTION("""COMPUTED_VALUE"""),"Reference")</f>
        <v>Reference</v>
      </c>
      <c r="F1345" s="6" t="str">
        <f ca="1">IFERROR(__xludf.DUMMYFUNCTION("""COMPUTED_VALUE"""),"PSM")</f>
        <v>PSM</v>
      </c>
      <c r="G1345" s="80">
        <f ca="1">IFERROR(__xludf.DUMMYFUNCTION("""COMPUTED_VALUE"""),44866)</f>
        <v>44866</v>
      </c>
      <c r="H1345" s="6" t="str">
        <f ca="1">IFERROR(__xludf.DUMMYFUNCTION("""COMPUTED_VALUE"""),"Won")</f>
        <v>Won</v>
      </c>
      <c r="I1345" s="6" t="str">
        <f ca="1">IFERROR(__xludf.DUMMYFUNCTION("""COMPUTED_VALUE"""),"3-4 Dec 2022")</f>
        <v>3-4 Dec 2022</v>
      </c>
      <c r="J1345" s="6">
        <f ca="1">IFERROR(__xludf.DUMMYFUNCTION("""COMPUTED_VALUE"""),1)</f>
        <v>1</v>
      </c>
      <c r="K1345" s="8">
        <f ca="1">IFERROR(__xludf.DUMMYFUNCTION("""COMPUTED_VALUE"""),21000)</f>
        <v>21000</v>
      </c>
      <c r="L1345" s="8">
        <f ca="1">IFERROR(__xludf.DUMMYFUNCTION("""COMPUTED_VALUE"""),240.494732020155)</f>
        <v>240.494732020155</v>
      </c>
      <c r="M1345" s="96">
        <f ca="1">IFERROR(__xludf.DUMMYFUNCTION("""COMPUTED_VALUE"""),44882)</f>
        <v>44882</v>
      </c>
      <c r="N1345" s="6" t="str">
        <f ca="1">IFERROR(__xludf.DUMMYFUNCTION("""COMPUTED_VALUE"""),"S10")</f>
        <v>S10</v>
      </c>
      <c r="O1345" s="97">
        <f ca="1">IFERROR(__xludf.DUMMYFUNCTION("""COMPUTED_VALUE"""),44882)</f>
        <v>44882</v>
      </c>
      <c r="P1345" s="6" t="str">
        <f ca="1">IFERROR(__xludf.DUMMYFUNCTION("""COMPUTED_VALUE"""),"CSTM_BW4WVZB6KVQ")</f>
        <v>CSTM_BW4WVZB6KVQ</v>
      </c>
      <c r="Q1345" s="6" t="str">
        <f ca="1">IFERROR(__xludf.DUMMYFUNCTION("""COMPUTED_VALUE"""),"Reference by Prashant Saduwale")</f>
        <v>Reference by Prashant Saduwale</v>
      </c>
      <c r="R1345" s="6" t="str">
        <f ca="1">IFERROR(__xludf.DUMMYFUNCTION("""COMPUTED_VALUE"""),"Pending")</f>
        <v>Pending</v>
      </c>
      <c r="S1345" s="6" t="str">
        <f ca="1">IFERROR(__xludf.DUMMYFUNCTION("""COMPUTED_VALUE"""),"Category")</f>
        <v>Category</v>
      </c>
      <c r="T1345" s="6"/>
      <c r="U1345" s="6"/>
      <c r="V1345" s="6"/>
      <c r="W1345" s="6"/>
      <c r="X1345" s="6"/>
      <c r="Y1345" s="6"/>
      <c r="Z1345" s="6"/>
      <c r="AA1345" s="6"/>
      <c r="AB1345" s="6"/>
      <c r="AC1345" s="6"/>
      <c r="AD1345" s="6"/>
      <c r="AE1345" s="6"/>
      <c r="AF1345" s="6"/>
      <c r="AG1345" s="6"/>
      <c r="AH1345" s="6"/>
      <c r="AI1345" s="6"/>
      <c r="AJ1345" s="6"/>
      <c r="AK1345" s="6"/>
      <c r="AL1345" s="6"/>
    </row>
    <row r="1346" spans="1:38">
      <c r="A1346" s="96">
        <f ca="1">IFERROR(__xludf.DUMMYFUNCTION("""COMPUTED_VALUE"""),44882)</f>
        <v>44882</v>
      </c>
      <c r="B1346" s="6" t="str">
        <f ca="1">IFERROR(__xludf.DUMMYFUNCTION("""COMPUTED_VALUE"""),"Shailesh Kumar")</f>
        <v>Shailesh Kumar</v>
      </c>
      <c r="C1346" s="6" t="str">
        <f ca="1">IFERROR(__xludf.DUMMYFUNCTION("""COMPUTED_VALUE"""),"shaileshkumar902@gmail.com")</f>
        <v>shaileshkumar902@gmail.com</v>
      </c>
      <c r="D1346" s="6">
        <f ca="1">IFERROR(__xludf.DUMMYFUNCTION("""COMPUTED_VALUE"""),9073887581)</f>
        <v>9073887581</v>
      </c>
      <c r="E1346" s="6" t="str">
        <f ca="1">IFERROR(__xludf.DUMMYFUNCTION("""COMPUTED_VALUE"""),"Reference")</f>
        <v>Reference</v>
      </c>
      <c r="F1346" s="6" t="str">
        <f ca="1">IFERROR(__xludf.DUMMYFUNCTION("""COMPUTED_VALUE"""),"PSM")</f>
        <v>PSM</v>
      </c>
      <c r="G1346" s="80">
        <f ca="1">IFERROR(__xludf.DUMMYFUNCTION("""COMPUTED_VALUE"""),44866)</f>
        <v>44866</v>
      </c>
      <c r="H1346" s="6" t="str">
        <f ca="1">IFERROR(__xludf.DUMMYFUNCTION("""COMPUTED_VALUE"""),"Won")</f>
        <v>Won</v>
      </c>
      <c r="I1346" s="6" t="str">
        <f ca="1">IFERROR(__xludf.DUMMYFUNCTION("""COMPUTED_VALUE"""),"19-20 Nov 2022")</f>
        <v>19-20 Nov 2022</v>
      </c>
      <c r="J1346" s="6">
        <f ca="1">IFERROR(__xludf.DUMMYFUNCTION("""COMPUTED_VALUE"""),1)</f>
        <v>1</v>
      </c>
      <c r="K1346" s="8">
        <f ca="1">IFERROR(__xludf.DUMMYFUNCTION("""COMPUTED_VALUE"""),21000)</f>
        <v>21000</v>
      </c>
      <c r="L1346" s="8">
        <f ca="1">IFERROR(__xludf.DUMMYFUNCTION("""COMPUTED_VALUE"""),240.494732020155)</f>
        <v>240.494732020155</v>
      </c>
      <c r="M1346" s="96">
        <f ca="1">IFERROR(__xludf.DUMMYFUNCTION("""COMPUTED_VALUE"""),44882)</f>
        <v>44882</v>
      </c>
      <c r="N1346" s="6" t="str">
        <f ca="1">IFERROR(__xludf.DUMMYFUNCTION("""COMPUTED_VALUE"""),"S10")</f>
        <v>S10</v>
      </c>
      <c r="O1346" s="97">
        <f ca="1">IFERROR(__xludf.DUMMYFUNCTION("""COMPUTED_VALUE"""),44882)</f>
        <v>44882</v>
      </c>
      <c r="P1346" s="6" t="str">
        <f ca="1">IFERROR(__xludf.DUMMYFUNCTION("""COMPUTED_VALUE"""),"CSTM_HW9DOC0W7OP")</f>
        <v>CSTM_HW9DOC0W7OP</v>
      </c>
      <c r="Q1346" s="6" t="str">
        <f ca="1">IFERROR(__xludf.DUMMYFUNCTION("""COMPUTED_VALUE"""),"Reference by satya.kalekar@gmail.com")</f>
        <v>Reference by satya.kalekar@gmail.com</v>
      </c>
      <c r="R1346" s="6" t="str">
        <f ca="1">IFERROR(__xludf.DUMMYFUNCTION("""COMPUTED_VALUE"""),"Pending")</f>
        <v>Pending</v>
      </c>
      <c r="S1346" s="6" t="str">
        <f ca="1">IFERROR(__xludf.DUMMYFUNCTION("""COMPUTED_VALUE"""),"Category")</f>
        <v>Category</v>
      </c>
      <c r="T1346" s="6"/>
      <c r="U1346" s="6"/>
      <c r="V1346" s="6"/>
      <c r="W1346" s="6"/>
      <c r="X1346" s="6"/>
      <c r="Y1346" s="6"/>
      <c r="Z1346" s="6"/>
      <c r="AA1346" s="6"/>
      <c r="AB1346" s="6"/>
      <c r="AC1346" s="6"/>
      <c r="AD1346" s="6"/>
      <c r="AE1346" s="6"/>
      <c r="AF1346" s="6"/>
      <c r="AG1346" s="6"/>
      <c r="AH1346" s="6"/>
      <c r="AI1346" s="6"/>
      <c r="AJ1346" s="6"/>
      <c r="AK1346" s="6"/>
      <c r="AL1346" s="6"/>
    </row>
    <row r="1347" spans="1:38">
      <c r="A1347" s="96">
        <f ca="1">IFERROR(__xludf.DUMMYFUNCTION("""COMPUTED_VALUE"""),44882)</f>
        <v>44882</v>
      </c>
      <c r="B1347" s="6" t="str">
        <f ca="1">IFERROR(__xludf.DUMMYFUNCTION("""COMPUTED_VALUE"""),"Akhil")</f>
        <v>Akhil</v>
      </c>
      <c r="C1347" s="6" t="str">
        <f ca="1">IFERROR(__xludf.DUMMYFUNCTION("""COMPUTED_VALUE"""),"akhilakl10@gmail.com")</f>
        <v>akhilakl10@gmail.com</v>
      </c>
      <c r="D1347" s="6">
        <f ca="1">IFERROR(__xludf.DUMMYFUNCTION("""COMPUTED_VALUE"""),7907230091)</f>
        <v>7907230091</v>
      </c>
      <c r="E1347" s="6" t="str">
        <f ca="1">IFERROR(__xludf.DUMMYFUNCTION("""COMPUTED_VALUE"""),"Existing Account")</f>
        <v>Existing Account</v>
      </c>
      <c r="F1347" s="6" t="str">
        <f ca="1">IFERROR(__xludf.DUMMYFUNCTION("""COMPUTED_VALUE"""),"PSM")</f>
        <v>PSM</v>
      </c>
      <c r="G1347" s="80">
        <f ca="1">IFERROR(__xludf.DUMMYFUNCTION("""COMPUTED_VALUE"""),44866)</f>
        <v>44866</v>
      </c>
      <c r="H1347" s="6" t="str">
        <f ca="1">IFERROR(__xludf.DUMMYFUNCTION("""COMPUTED_VALUE"""),"Won")</f>
        <v>Won</v>
      </c>
      <c r="I1347" s="6" t="str">
        <f ca="1">IFERROR(__xludf.DUMMYFUNCTION("""COMPUTED_VALUE"""),"19-20 Nov 2022")</f>
        <v>19-20 Nov 2022</v>
      </c>
      <c r="J1347" s="6">
        <f ca="1">IFERROR(__xludf.DUMMYFUNCTION("""COMPUTED_VALUE"""),1)</f>
        <v>1</v>
      </c>
      <c r="K1347" s="8">
        <f ca="1">IFERROR(__xludf.DUMMYFUNCTION("""COMPUTED_VALUE"""),21000)</f>
        <v>21000</v>
      </c>
      <c r="L1347" s="8">
        <f ca="1">IFERROR(__xludf.DUMMYFUNCTION("""COMPUTED_VALUE"""),240.494732020155)</f>
        <v>240.494732020155</v>
      </c>
      <c r="M1347" s="96">
        <f ca="1">IFERROR(__xludf.DUMMYFUNCTION("""COMPUTED_VALUE"""),44882)</f>
        <v>44882</v>
      </c>
      <c r="N1347" s="6" t="str">
        <f ca="1">IFERROR(__xludf.DUMMYFUNCTION("""COMPUTED_VALUE"""),"S10")</f>
        <v>S10</v>
      </c>
      <c r="O1347" s="97">
        <f ca="1">IFERROR(__xludf.DUMMYFUNCTION("""COMPUTED_VALUE"""),44882)</f>
        <v>44882</v>
      </c>
      <c r="P1347" s="6" t="str">
        <f ca="1">IFERROR(__xludf.DUMMYFUNCTION("""COMPUTED_VALUE"""),"CSTM_2P61EVBU37E")</f>
        <v>CSTM_2P61EVBU37E</v>
      </c>
      <c r="Q1347" s="6"/>
      <c r="R1347" s="6" t="str">
        <f ca="1">IFERROR(__xludf.DUMMYFUNCTION("""COMPUTED_VALUE"""),"Pending")</f>
        <v>Pending</v>
      </c>
      <c r="S1347" s="6" t="str">
        <f ca="1">IFERROR(__xludf.DUMMYFUNCTION("""COMPUTED_VALUE"""),"Category")</f>
        <v>Category</v>
      </c>
      <c r="T1347" s="6"/>
      <c r="U1347" s="6"/>
      <c r="V1347" s="6"/>
      <c r="W1347" s="6"/>
      <c r="X1347" s="6"/>
      <c r="Y1347" s="6"/>
      <c r="Z1347" s="6"/>
      <c r="AA1347" s="6"/>
      <c r="AB1347" s="6"/>
      <c r="AC1347" s="6"/>
      <c r="AD1347" s="6"/>
      <c r="AE1347" s="6"/>
      <c r="AF1347" s="6"/>
      <c r="AG1347" s="6"/>
      <c r="AH1347" s="6"/>
      <c r="AI1347" s="6"/>
      <c r="AJ1347" s="6"/>
      <c r="AK1347" s="6"/>
      <c r="AL1347" s="6"/>
    </row>
    <row r="1348" spans="1:38">
      <c r="A1348" s="96">
        <f ca="1">IFERROR(__xludf.DUMMYFUNCTION("""COMPUTED_VALUE"""),44883)</f>
        <v>44883</v>
      </c>
      <c r="B1348" s="6" t="str">
        <f ca="1">IFERROR(__xludf.DUMMYFUNCTION("""COMPUTED_VALUE"""),"Suma Namburi")</f>
        <v>Suma Namburi</v>
      </c>
      <c r="C1348" s="6" t="str">
        <f ca="1">IFERROR(__xludf.DUMMYFUNCTION("""COMPUTED_VALUE"""),"suma.namburi@advance-auto.com")</f>
        <v>suma.namburi@advance-auto.com</v>
      </c>
      <c r="D1348" s="6">
        <f ca="1">IFERROR(__xludf.DUMMYFUNCTION("""COMPUTED_VALUE"""),9989829262)</f>
        <v>9989829262</v>
      </c>
      <c r="E1348" s="6" t="str">
        <f ca="1">IFERROR(__xludf.DUMMYFUNCTION("""COMPUTED_VALUE"""),"Chat_triggered")</f>
        <v>Chat_triggered</v>
      </c>
      <c r="F1348" s="6" t="str">
        <f ca="1">IFERROR(__xludf.DUMMYFUNCTION("""COMPUTED_VALUE"""),"SAFe Agile")</f>
        <v>SAFe Agile</v>
      </c>
      <c r="G1348" s="80">
        <f ca="1">IFERROR(__xludf.DUMMYFUNCTION("""COMPUTED_VALUE"""),44866)</f>
        <v>44866</v>
      </c>
      <c r="H1348" s="6" t="str">
        <f ca="1">IFERROR(__xludf.DUMMYFUNCTION("""COMPUTED_VALUE"""),"Won")</f>
        <v>Won</v>
      </c>
      <c r="I1348" s="6" t="str">
        <f ca="1">IFERROR(__xludf.DUMMYFUNCTION("""COMPUTED_VALUE"""),"19-20 Nov 2022")</f>
        <v>19-20 Nov 2022</v>
      </c>
      <c r="J1348" s="6">
        <f ca="1">IFERROR(__xludf.DUMMYFUNCTION("""COMPUTED_VALUE"""),1)</f>
        <v>1</v>
      </c>
      <c r="K1348" s="8">
        <f ca="1">IFERROR(__xludf.DUMMYFUNCTION("""COMPUTED_VALUE"""),40000)</f>
        <v>40000</v>
      </c>
      <c r="L1348" s="8">
        <f ca="1">IFERROR(__xludf.DUMMYFUNCTION("""COMPUTED_VALUE"""),458.085203847915)</f>
        <v>458.08520384791501</v>
      </c>
      <c r="M1348" s="96">
        <f ca="1">IFERROR(__xludf.DUMMYFUNCTION("""COMPUTED_VALUE"""),44883)</f>
        <v>44883</v>
      </c>
      <c r="N1348" s="6" t="str">
        <f ca="1">IFERROR(__xludf.DUMMYFUNCTION("""COMPUTED_VALUE"""),"S10")</f>
        <v>S10</v>
      </c>
      <c r="O1348" s="97">
        <f ca="1">IFERROR(__xludf.DUMMYFUNCTION("""COMPUTED_VALUE"""),44883)</f>
        <v>44883</v>
      </c>
      <c r="P1348" s="6" t="str">
        <f ca="1">IFERROR(__xludf.DUMMYFUNCTION("""COMPUTED_VALUE"""),"CSTM_257CMHHH1BS")</f>
        <v>CSTM_257CMHHH1BS</v>
      </c>
      <c r="Q1348" s="6"/>
      <c r="R1348" s="6" t="str">
        <f ca="1">IFERROR(__xludf.DUMMYFUNCTION("""COMPUTED_VALUE"""),"Pending")</f>
        <v>Pending</v>
      </c>
      <c r="S1348" s="6" t="str">
        <f ca="1">IFERROR(__xludf.DUMMYFUNCTION("""COMPUTED_VALUE"""),"SAFe")</f>
        <v>SAFe</v>
      </c>
      <c r="T1348" s="6"/>
      <c r="U1348" s="6"/>
      <c r="V1348" s="6"/>
      <c r="W1348" s="6"/>
      <c r="X1348" s="6"/>
      <c r="Y1348" s="6"/>
      <c r="Z1348" s="6"/>
      <c r="AA1348" s="6"/>
      <c r="AB1348" s="6"/>
      <c r="AC1348" s="6"/>
      <c r="AD1348" s="6"/>
      <c r="AE1348" s="6"/>
      <c r="AF1348" s="6"/>
      <c r="AG1348" s="6"/>
      <c r="AH1348" s="6"/>
      <c r="AI1348" s="6"/>
      <c r="AJ1348" s="6"/>
      <c r="AK1348" s="6"/>
      <c r="AL1348" s="6"/>
    </row>
    <row r="1349" spans="1:38">
      <c r="A1349" s="96">
        <f ca="1">IFERROR(__xludf.DUMMYFUNCTION("""COMPUTED_VALUE"""),44883)</f>
        <v>44883</v>
      </c>
      <c r="B1349" s="6" t="str">
        <f ca="1">IFERROR(__xludf.DUMMYFUNCTION("""COMPUTED_VALUE"""),"Navin Nair")</f>
        <v>Navin Nair</v>
      </c>
      <c r="C1349" s="6" t="str">
        <f ca="1">IFERROR(__xludf.DUMMYFUNCTION("""COMPUTED_VALUE"""),"n3rules@gmail.com")</f>
        <v>n3rules@gmail.com</v>
      </c>
      <c r="D1349" s="6">
        <f ca="1">IFERROR(__xludf.DUMMYFUNCTION("""COMPUTED_VALUE"""),7042502512)</f>
        <v>7042502512</v>
      </c>
      <c r="E1349" s="6" t="str">
        <f ca="1">IFERROR(__xludf.DUMMYFUNCTION("""COMPUTED_VALUE"""),"Query box")</f>
        <v>Query box</v>
      </c>
      <c r="F1349" s="6" t="str">
        <f ca="1">IFERROR(__xludf.DUMMYFUNCTION("""COMPUTED_VALUE"""),"SAFe POPM")</f>
        <v>SAFe POPM</v>
      </c>
      <c r="G1349" s="80">
        <f ca="1">IFERROR(__xludf.DUMMYFUNCTION("""COMPUTED_VALUE"""),44866)</f>
        <v>44866</v>
      </c>
      <c r="H1349" s="6" t="str">
        <f ca="1">IFERROR(__xludf.DUMMYFUNCTION("""COMPUTED_VALUE"""),"Opportunity")</f>
        <v>Opportunity</v>
      </c>
      <c r="I1349" s="6" t="str">
        <f ca="1">IFERROR(__xludf.DUMMYFUNCTION("""COMPUTED_VALUE"""),"19-20 Nov 2022")</f>
        <v>19-20 Nov 2022</v>
      </c>
      <c r="J1349" s="6">
        <f ca="1">IFERROR(__xludf.DUMMYFUNCTION("""COMPUTED_VALUE"""),1)</f>
        <v>1</v>
      </c>
      <c r="K1349" s="8">
        <f ca="1">IFERROR(__xludf.DUMMYFUNCTION("""COMPUTED_VALUE"""),42000)</f>
        <v>42000</v>
      </c>
      <c r="L1349" s="8">
        <f ca="1">IFERROR(__xludf.DUMMYFUNCTION("""COMPUTED_VALUE"""),480.989464040311)</f>
        <v>480.98946404031102</v>
      </c>
      <c r="M1349" s="96">
        <f ca="1">IFERROR(__xludf.DUMMYFUNCTION("""COMPUTED_VALUE"""),44883)</f>
        <v>44883</v>
      </c>
      <c r="N1349" s="6"/>
      <c r="O1349" s="97"/>
      <c r="P1349" s="6"/>
      <c r="Q1349" s="6"/>
      <c r="R1349" s="6"/>
      <c r="S1349" s="6" t="str">
        <f ca="1">IFERROR(__xludf.DUMMYFUNCTION("""COMPUTED_VALUE"""),"SAFe")</f>
        <v>SAFe</v>
      </c>
      <c r="T1349" s="6"/>
      <c r="U1349" s="6"/>
      <c r="V1349" s="6"/>
      <c r="W1349" s="6"/>
      <c r="X1349" s="6"/>
      <c r="Y1349" s="6"/>
      <c r="Z1349" s="6"/>
      <c r="AA1349" s="6"/>
      <c r="AB1349" s="6"/>
      <c r="AC1349" s="6"/>
      <c r="AD1349" s="6"/>
      <c r="AE1349" s="6"/>
      <c r="AF1349" s="6"/>
      <c r="AG1349" s="6"/>
      <c r="AH1349" s="6"/>
      <c r="AI1349" s="6"/>
      <c r="AJ1349" s="6"/>
      <c r="AK1349" s="6"/>
      <c r="AL1349" s="6"/>
    </row>
    <row r="1350" spans="1:38">
      <c r="A1350" s="96">
        <f ca="1">IFERROR(__xludf.DUMMYFUNCTION("""COMPUTED_VALUE"""),44883)</f>
        <v>44883</v>
      </c>
      <c r="B1350" s="6" t="str">
        <f ca="1">IFERROR(__xludf.DUMMYFUNCTION("""COMPUTED_VALUE"""),"Jino Mathew")</f>
        <v>Jino Mathew</v>
      </c>
      <c r="C1350" s="6" t="str">
        <f ca="1">IFERROR(__xludf.DUMMYFUNCTION("""COMPUTED_VALUE"""),"jinokmathew@gmail.com")</f>
        <v>jinokmathew@gmail.com</v>
      </c>
      <c r="D1350" s="6">
        <f ca="1">IFERROR(__xludf.DUMMYFUNCTION("""COMPUTED_VALUE"""),8015758935)</f>
        <v>8015758935</v>
      </c>
      <c r="E1350" s="6" t="str">
        <f ca="1">IFERROR(__xludf.DUMMYFUNCTION("""COMPUTED_VALUE"""),"chat_initiated")</f>
        <v>chat_initiated</v>
      </c>
      <c r="F1350" s="6" t="str">
        <f ca="1">IFERROR(__xludf.DUMMYFUNCTION("""COMPUTED_VALUE"""),"PSM")</f>
        <v>PSM</v>
      </c>
      <c r="G1350" s="80">
        <f ca="1">IFERROR(__xludf.DUMMYFUNCTION("""COMPUTED_VALUE"""),44866)</f>
        <v>44866</v>
      </c>
      <c r="H1350" s="6" t="str">
        <f ca="1">IFERROR(__xludf.DUMMYFUNCTION("""COMPUTED_VALUE"""),"Won")</f>
        <v>Won</v>
      </c>
      <c r="I1350" s="6" t="str">
        <f ca="1">IFERROR(__xludf.DUMMYFUNCTION("""COMPUTED_VALUE"""),"26-27 Nov 2022")</f>
        <v>26-27 Nov 2022</v>
      </c>
      <c r="J1350" s="6">
        <f ca="1">IFERROR(__xludf.DUMMYFUNCTION("""COMPUTED_VALUE"""),1)</f>
        <v>1</v>
      </c>
      <c r="K1350" s="8">
        <f ca="1">IFERROR(__xludf.DUMMYFUNCTION("""COMPUTED_VALUE"""),21000)</f>
        <v>21000</v>
      </c>
      <c r="L1350" s="8">
        <f ca="1">IFERROR(__xludf.DUMMYFUNCTION("""COMPUTED_VALUE"""),240.494732020155)</f>
        <v>240.494732020155</v>
      </c>
      <c r="M1350" s="96">
        <f ca="1">IFERROR(__xludf.DUMMYFUNCTION("""COMPUTED_VALUE"""),44883)</f>
        <v>44883</v>
      </c>
      <c r="N1350" s="6" t="str">
        <f ca="1">IFERROR(__xludf.DUMMYFUNCTION("""COMPUTED_VALUE"""),"S10")</f>
        <v>S10</v>
      </c>
      <c r="O1350" s="97">
        <f ca="1">IFERROR(__xludf.DUMMYFUNCTION("""COMPUTED_VALUE"""),44883)</f>
        <v>44883</v>
      </c>
      <c r="P1350" s="6" t="str">
        <f ca="1">IFERROR(__xludf.DUMMYFUNCTION("""COMPUTED_VALUE"""),"CSTM_GQ0ZJF1R7EO")</f>
        <v>CSTM_GQ0ZJF1R7EO</v>
      </c>
      <c r="Q1350" s="6"/>
      <c r="R1350" s="6" t="str">
        <f ca="1">IFERROR(__xludf.DUMMYFUNCTION("""COMPUTED_VALUE"""),"Pending")</f>
        <v>Pending</v>
      </c>
      <c r="S1350" s="6" t="str">
        <f ca="1">IFERROR(__xludf.DUMMYFUNCTION("""COMPUTED_VALUE"""),"Category")</f>
        <v>Category</v>
      </c>
      <c r="T1350" s="6"/>
      <c r="U1350" s="6"/>
      <c r="V1350" s="6"/>
      <c r="W1350" s="6"/>
      <c r="X1350" s="6"/>
      <c r="Y1350" s="6"/>
      <c r="Z1350" s="6"/>
      <c r="AA1350" s="6"/>
      <c r="AB1350" s="6"/>
      <c r="AC1350" s="6"/>
      <c r="AD1350" s="6"/>
      <c r="AE1350" s="6"/>
      <c r="AF1350" s="6"/>
      <c r="AG1350" s="6"/>
      <c r="AH1350" s="6"/>
      <c r="AI1350" s="6"/>
      <c r="AJ1350" s="6"/>
      <c r="AK1350" s="6"/>
      <c r="AL1350" s="6"/>
    </row>
    <row r="1351" spans="1:38">
      <c r="A1351" s="96">
        <f ca="1">IFERROR(__xludf.DUMMYFUNCTION("""COMPUTED_VALUE"""),44883)</f>
        <v>44883</v>
      </c>
      <c r="B1351" s="6" t="str">
        <f ca="1">IFERROR(__xludf.DUMMYFUNCTION("""COMPUTED_VALUE"""),"Sanjyot Singh")</f>
        <v>Sanjyot Singh</v>
      </c>
      <c r="C1351" s="6" t="str">
        <f ca="1">IFERROR(__xludf.DUMMYFUNCTION("""COMPUTED_VALUE"""),"singh.sanjyot@gmail.com")</f>
        <v>singh.sanjyot@gmail.com</v>
      </c>
      <c r="D1351" s="6">
        <f ca="1">IFERROR(__xludf.DUMMYFUNCTION("""COMPUTED_VALUE"""),9337087700)</f>
        <v>9337087700</v>
      </c>
      <c r="E1351" s="6" t="str">
        <f ca="1">IFERROR(__xludf.DUMMYFUNCTION("""COMPUTED_VALUE"""),"Chat_triggered")</f>
        <v>Chat_triggered</v>
      </c>
      <c r="F1351" s="6" t="str">
        <f ca="1">IFERROR(__xludf.DUMMYFUNCTION("""COMPUTED_VALUE"""),"PSM")</f>
        <v>PSM</v>
      </c>
      <c r="G1351" s="80">
        <f ca="1">IFERROR(__xludf.DUMMYFUNCTION("""COMPUTED_VALUE"""),44866)</f>
        <v>44866</v>
      </c>
      <c r="H1351" s="6" t="str">
        <f ca="1">IFERROR(__xludf.DUMMYFUNCTION("""COMPUTED_VALUE"""),"Won")</f>
        <v>Won</v>
      </c>
      <c r="I1351" s="6" t="str">
        <f ca="1">IFERROR(__xludf.DUMMYFUNCTION("""COMPUTED_VALUE"""),"19-20 Nov 2022")</f>
        <v>19-20 Nov 2022</v>
      </c>
      <c r="J1351" s="6">
        <f ca="1">IFERROR(__xludf.DUMMYFUNCTION("""COMPUTED_VALUE"""),1)</f>
        <v>1</v>
      </c>
      <c r="K1351" s="8">
        <f ca="1">IFERROR(__xludf.DUMMYFUNCTION("""COMPUTED_VALUE"""),21000)</f>
        <v>21000</v>
      </c>
      <c r="L1351" s="8">
        <f ca="1">IFERROR(__xludf.DUMMYFUNCTION("""COMPUTED_VALUE"""),240.494732020155)</f>
        <v>240.494732020155</v>
      </c>
      <c r="M1351" s="96">
        <f ca="1">IFERROR(__xludf.DUMMYFUNCTION("""COMPUTED_VALUE"""),44883)</f>
        <v>44883</v>
      </c>
      <c r="N1351" s="6" t="str">
        <f ca="1">IFERROR(__xludf.DUMMYFUNCTION("""COMPUTED_VALUE"""),"S10")</f>
        <v>S10</v>
      </c>
      <c r="O1351" s="97">
        <f ca="1">IFERROR(__xludf.DUMMYFUNCTION("""COMPUTED_VALUE"""),44883)</f>
        <v>44883</v>
      </c>
      <c r="P1351" s="6" t="str">
        <f ca="1">IFERROR(__xludf.DUMMYFUNCTION("""COMPUTED_VALUE"""),"CSTM_6AM7N8058FO")</f>
        <v>CSTM_6AM7N8058FO</v>
      </c>
      <c r="Q1351" s="6"/>
      <c r="R1351" s="6" t="str">
        <f ca="1">IFERROR(__xludf.DUMMYFUNCTION("""COMPUTED_VALUE"""),"Pending")</f>
        <v>Pending</v>
      </c>
      <c r="S1351" s="6" t="str">
        <f ca="1">IFERROR(__xludf.DUMMYFUNCTION("""COMPUTED_VALUE"""),"Category")</f>
        <v>Category</v>
      </c>
      <c r="T1351" s="6"/>
      <c r="U1351" s="6"/>
      <c r="V1351" s="6"/>
      <c r="W1351" s="6"/>
      <c r="X1351" s="6"/>
      <c r="Y1351" s="6"/>
      <c r="Z1351" s="6"/>
      <c r="AA1351" s="6"/>
      <c r="AB1351" s="6"/>
      <c r="AC1351" s="6"/>
      <c r="AD1351" s="6"/>
      <c r="AE1351" s="6"/>
      <c r="AF1351" s="6"/>
      <c r="AG1351" s="6"/>
      <c r="AH1351" s="6"/>
      <c r="AI1351" s="6"/>
      <c r="AJ1351" s="6"/>
      <c r="AK1351" s="6"/>
      <c r="AL1351" s="6"/>
    </row>
    <row r="1352" spans="1:38">
      <c r="A1352" s="96">
        <f ca="1">IFERROR(__xludf.DUMMYFUNCTION("""COMPUTED_VALUE"""),44884)</f>
        <v>44884</v>
      </c>
      <c r="B1352" s="6" t="str">
        <f ca="1">IFERROR(__xludf.DUMMYFUNCTION("""COMPUTED_VALUE"""),"Subhadip Bhattacharya")</f>
        <v>Subhadip Bhattacharya</v>
      </c>
      <c r="C1352" s="6" t="str">
        <f ca="1">IFERROR(__xludf.DUMMYFUNCTION("""COMPUTED_VALUE"""),"subhadip.bhattacharya@tcs.com")</f>
        <v>subhadip.bhattacharya@tcs.com</v>
      </c>
      <c r="D1352" s="6">
        <f ca="1">IFERROR(__xludf.DUMMYFUNCTION("""COMPUTED_VALUE"""),7044088281)</f>
        <v>7044088281</v>
      </c>
      <c r="E1352" s="6" t="str">
        <f ca="1">IFERROR(__xludf.DUMMYFUNCTION("""COMPUTED_VALUE"""),"Reference")</f>
        <v>Reference</v>
      </c>
      <c r="F1352" s="6" t="str">
        <f ca="1">IFERROR(__xludf.DUMMYFUNCTION("""COMPUTED_VALUE"""),"PSM 2")</f>
        <v>PSM 2</v>
      </c>
      <c r="G1352" s="80">
        <f ca="1">IFERROR(__xludf.DUMMYFUNCTION("""COMPUTED_VALUE"""),44866)</f>
        <v>44866</v>
      </c>
      <c r="H1352" s="6" t="str">
        <f ca="1">IFERROR(__xludf.DUMMYFUNCTION("""COMPUTED_VALUE"""),"Won")</f>
        <v>Won</v>
      </c>
      <c r="I1352" s="6" t="str">
        <f ca="1">IFERROR(__xludf.DUMMYFUNCTION("""COMPUTED_VALUE"""),"26-27 Nov 2022")</f>
        <v>26-27 Nov 2022</v>
      </c>
      <c r="J1352" s="6">
        <f ca="1">IFERROR(__xludf.DUMMYFUNCTION("""COMPUTED_VALUE"""),1)</f>
        <v>1</v>
      </c>
      <c r="K1352" s="8">
        <f ca="1">IFERROR(__xludf.DUMMYFUNCTION("""COMPUTED_VALUE"""),24000)</f>
        <v>24000</v>
      </c>
      <c r="L1352" s="8">
        <f ca="1">IFERROR(__xludf.DUMMYFUNCTION("""COMPUTED_VALUE"""),274.851122308749)</f>
        <v>274.85112230874898</v>
      </c>
      <c r="M1352" s="96">
        <f ca="1">IFERROR(__xludf.DUMMYFUNCTION("""COMPUTED_VALUE"""),44885)</f>
        <v>44885</v>
      </c>
      <c r="N1352" s="6" t="str">
        <f ca="1">IFERROR(__xludf.DUMMYFUNCTION("""COMPUTED_VALUE"""),"T10")</f>
        <v>T10</v>
      </c>
      <c r="O1352" s="97">
        <f ca="1">IFERROR(__xludf.DUMMYFUNCTION("""COMPUTED_VALUE"""),44886)</f>
        <v>44886</v>
      </c>
      <c r="P1352" s="6" t="str">
        <f ca="1">IFERROR(__xludf.DUMMYFUNCTION("""COMPUTED_VALUE"""),"CSTM_CQ3Q4RZ4RPC")</f>
        <v>CSTM_CQ3Q4RZ4RPC</v>
      </c>
      <c r="Q1352" s="6" t="str">
        <f ca="1">IFERROR(__xludf.DUMMYFUNCTION("""COMPUTED_VALUE"""),"Reference by rabi.saha@tcs.com")</f>
        <v>Reference by rabi.saha@tcs.com</v>
      </c>
      <c r="R1352" s="6" t="str">
        <f ca="1">IFERROR(__xludf.DUMMYFUNCTION("""COMPUTED_VALUE"""),"Pending")</f>
        <v>Pending</v>
      </c>
      <c r="S1352" s="6" t="str">
        <f ca="1">IFERROR(__xludf.DUMMYFUNCTION("""COMPUTED_VALUE"""),"Category")</f>
        <v>Category</v>
      </c>
      <c r="T1352" s="6"/>
      <c r="U1352" s="6"/>
      <c r="V1352" s="6"/>
      <c r="W1352" s="6"/>
      <c r="X1352" s="6"/>
      <c r="Y1352" s="6"/>
      <c r="Z1352" s="6"/>
      <c r="AA1352" s="6"/>
      <c r="AB1352" s="6"/>
      <c r="AC1352" s="6"/>
      <c r="AD1352" s="6"/>
      <c r="AE1352" s="6"/>
      <c r="AF1352" s="6"/>
      <c r="AG1352" s="6"/>
      <c r="AH1352" s="6"/>
      <c r="AI1352" s="6"/>
      <c r="AJ1352" s="6"/>
      <c r="AK1352" s="6"/>
      <c r="AL1352" s="6"/>
    </row>
    <row r="1353" spans="1:38">
      <c r="A1353" s="96">
        <f ca="1">IFERROR(__xludf.DUMMYFUNCTION("""COMPUTED_VALUE"""),44886)</f>
        <v>44886</v>
      </c>
      <c r="B1353" s="6" t="str">
        <f ca="1">IFERROR(__xludf.DUMMYFUNCTION("""COMPUTED_VALUE"""),"Parul Kansal")</f>
        <v>Parul Kansal</v>
      </c>
      <c r="C1353" s="6" t="str">
        <f ca="1">IFERROR(__xludf.DUMMYFUNCTION("""COMPUTED_VALUE"""),"parulkansal_82@yahoo.com")</f>
        <v>parulkansal_82@yahoo.com</v>
      </c>
      <c r="D1353" s="6">
        <f ca="1">IFERROR(__xludf.DUMMYFUNCTION("""COMPUTED_VALUE"""),9582111527)</f>
        <v>9582111527</v>
      </c>
      <c r="E1353" s="6" t="str">
        <f ca="1">IFERROR(__xludf.DUMMYFUNCTION("""COMPUTED_VALUE"""),"chat_initiated")</f>
        <v>chat_initiated</v>
      </c>
      <c r="F1353" s="6" t="str">
        <f ca="1">IFERROR(__xludf.DUMMYFUNCTION("""COMPUTED_VALUE"""),"PSM 2")</f>
        <v>PSM 2</v>
      </c>
      <c r="G1353" s="80">
        <f ca="1">IFERROR(__xludf.DUMMYFUNCTION("""COMPUTED_VALUE"""),44866)</f>
        <v>44866</v>
      </c>
      <c r="H1353" s="6" t="str">
        <f ca="1">IFERROR(__xludf.DUMMYFUNCTION("""COMPUTED_VALUE"""),"Won")</f>
        <v>Won</v>
      </c>
      <c r="I1353" s="6" t="str">
        <f ca="1">IFERROR(__xludf.DUMMYFUNCTION("""COMPUTED_VALUE"""),"26-27 Nov 2022")</f>
        <v>26-27 Nov 2022</v>
      </c>
      <c r="J1353" s="6">
        <f ca="1">IFERROR(__xludf.DUMMYFUNCTION("""COMPUTED_VALUE"""),1)</f>
        <v>1</v>
      </c>
      <c r="K1353" s="8">
        <f ca="1">IFERROR(__xludf.DUMMYFUNCTION("""COMPUTED_VALUE"""),24000)</f>
        <v>24000</v>
      </c>
      <c r="L1353" s="8">
        <f ca="1">IFERROR(__xludf.DUMMYFUNCTION("""COMPUTED_VALUE"""),274.851122308749)</f>
        <v>274.85112230874898</v>
      </c>
      <c r="M1353" s="96">
        <f ca="1">IFERROR(__xludf.DUMMYFUNCTION("""COMPUTED_VALUE"""),44886)</f>
        <v>44886</v>
      </c>
      <c r="N1353" s="6" t="str">
        <f ca="1">IFERROR(__xludf.DUMMYFUNCTION("""COMPUTED_VALUE"""),"T10")</f>
        <v>T10</v>
      </c>
      <c r="O1353" s="97">
        <f ca="1">IFERROR(__xludf.DUMMYFUNCTION("""COMPUTED_VALUE"""),44886)</f>
        <v>44886</v>
      </c>
      <c r="P1353" s="6" t="str">
        <f ca="1">IFERROR(__xludf.DUMMYFUNCTION("""COMPUTED_VALUE"""),"CSTM_AMI52Y0C1TV")</f>
        <v>CSTM_AMI52Y0C1TV</v>
      </c>
      <c r="Q1353" s="6"/>
      <c r="R1353" s="6" t="str">
        <f ca="1">IFERROR(__xludf.DUMMYFUNCTION("""COMPUTED_VALUE"""),"Pending")</f>
        <v>Pending</v>
      </c>
      <c r="S1353" s="6" t="str">
        <f ca="1">IFERROR(__xludf.DUMMYFUNCTION("""COMPUTED_VALUE"""),"Category")</f>
        <v>Category</v>
      </c>
      <c r="T1353" s="6"/>
      <c r="U1353" s="6"/>
      <c r="V1353" s="6"/>
      <c r="W1353" s="6"/>
      <c r="X1353" s="6"/>
      <c r="Y1353" s="6"/>
      <c r="Z1353" s="6"/>
      <c r="AA1353" s="6"/>
      <c r="AB1353" s="6"/>
      <c r="AC1353" s="6"/>
      <c r="AD1353" s="6"/>
      <c r="AE1353" s="6"/>
      <c r="AF1353" s="6"/>
      <c r="AG1353" s="6"/>
      <c r="AH1353" s="6"/>
      <c r="AI1353" s="6"/>
      <c r="AJ1353" s="6"/>
      <c r="AK1353" s="6"/>
      <c r="AL1353" s="6"/>
    </row>
    <row r="1354" spans="1:38">
      <c r="A1354" s="96">
        <f ca="1">IFERROR(__xludf.DUMMYFUNCTION("""COMPUTED_VALUE"""),44886)</f>
        <v>44886</v>
      </c>
      <c r="B1354" s="6" t="str">
        <f ca="1">IFERROR(__xludf.DUMMYFUNCTION("""COMPUTED_VALUE"""),"Karthikeyan Raj")</f>
        <v>Karthikeyan Raj</v>
      </c>
      <c r="C1354" s="6" t="str">
        <f ca="1">IFERROR(__xludf.DUMMYFUNCTION("""COMPUTED_VALUE"""),"karthikeyan.raj@gmail.com")</f>
        <v>karthikeyan.raj@gmail.com</v>
      </c>
      <c r="D1354" s="6">
        <f ca="1">IFERROR(__xludf.DUMMYFUNCTION("""COMPUTED_VALUE"""),9886434512)</f>
        <v>9886434512</v>
      </c>
      <c r="E1354" s="6" t="str">
        <f ca="1">IFERROR(__xludf.DUMMYFUNCTION("""COMPUTED_VALUE"""),"chat_initiated")</f>
        <v>chat_initiated</v>
      </c>
      <c r="F1354" s="6" t="str">
        <f ca="1">IFERROR(__xludf.DUMMYFUNCTION("""COMPUTED_VALUE"""),"SAFe POPM")</f>
        <v>SAFe POPM</v>
      </c>
      <c r="G1354" s="80">
        <f ca="1">IFERROR(__xludf.DUMMYFUNCTION("""COMPUTED_VALUE"""),44866)</f>
        <v>44866</v>
      </c>
      <c r="H1354" s="6" t="str">
        <f ca="1">IFERROR(__xludf.DUMMYFUNCTION("""COMPUTED_VALUE"""),"Won")</f>
        <v>Won</v>
      </c>
      <c r="I1354" s="6" t="str">
        <f ca="1">IFERROR(__xludf.DUMMYFUNCTION("""COMPUTED_VALUE"""),"3-4 Dec 2022")</f>
        <v>3-4 Dec 2022</v>
      </c>
      <c r="J1354" s="6">
        <f ca="1">IFERROR(__xludf.DUMMYFUNCTION("""COMPUTED_VALUE"""),1)</f>
        <v>1</v>
      </c>
      <c r="K1354" s="8">
        <f ca="1">IFERROR(__xludf.DUMMYFUNCTION("""COMPUTED_VALUE"""),40061)</f>
        <v>40061</v>
      </c>
      <c r="L1354" s="8">
        <f ca="1">IFERROR(__xludf.DUMMYFUNCTION("""COMPUTED_VALUE"""),458.783783783783)</f>
        <v>458.78378378378301</v>
      </c>
      <c r="M1354" s="96">
        <f ca="1">IFERROR(__xludf.DUMMYFUNCTION("""COMPUTED_VALUE"""),44886)</f>
        <v>44886</v>
      </c>
      <c r="N1354" s="6" t="str">
        <f ca="1">IFERROR(__xludf.DUMMYFUNCTION("""COMPUTED_VALUE"""),"T10")</f>
        <v>T10</v>
      </c>
      <c r="O1354" s="97">
        <f ca="1">IFERROR(__xludf.DUMMYFUNCTION("""COMPUTED_VALUE"""),44887)</f>
        <v>44887</v>
      </c>
      <c r="P1354" s="6" t="str">
        <f ca="1">IFERROR(__xludf.DUMMYFUNCTION("""COMPUTED_VALUE"""),"CSTM_D1PJ59S1YRQ")</f>
        <v>CSTM_D1PJ59S1YRQ</v>
      </c>
      <c r="Q1354" s="6"/>
      <c r="R1354" s="6" t="str">
        <f ca="1">IFERROR(__xludf.DUMMYFUNCTION("""COMPUTED_VALUE"""),"Pending")</f>
        <v>Pending</v>
      </c>
      <c r="S1354" s="6" t="str">
        <f ca="1">IFERROR(__xludf.DUMMYFUNCTION("""COMPUTED_VALUE"""),"SAFe")</f>
        <v>SAFe</v>
      </c>
      <c r="T1354" s="6"/>
      <c r="U1354" s="6"/>
      <c r="V1354" s="6"/>
      <c r="W1354" s="6"/>
      <c r="X1354" s="6"/>
      <c r="Y1354" s="6"/>
      <c r="Z1354" s="6"/>
      <c r="AA1354" s="6"/>
      <c r="AB1354" s="6"/>
      <c r="AC1354" s="6"/>
      <c r="AD1354" s="6"/>
      <c r="AE1354" s="6"/>
      <c r="AF1354" s="6"/>
      <c r="AG1354" s="6"/>
      <c r="AH1354" s="6"/>
      <c r="AI1354" s="6"/>
      <c r="AJ1354" s="6"/>
      <c r="AK1354" s="6"/>
      <c r="AL1354" s="6"/>
    </row>
    <row r="1355" spans="1:38">
      <c r="A1355" s="96">
        <f ca="1">IFERROR(__xludf.DUMMYFUNCTION("""COMPUTED_VALUE"""),44887)</f>
        <v>44887</v>
      </c>
      <c r="B1355" s="6" t="str">
        <f ca="1">IFERROR(__xludf.DUMMYFUNCTION("""COMPUTED_VALUE"""),"Ranjith Kumar")</f>
        <v>Ranjith Kumar</v>
      </c>
      <c r="C1355" s="6" t="str">
        <f ca="1">IFERROR(__xludf.DUMMYFUNCTION("""COMPUTED_VALUE"""),"yamini.598@gmail.com")</f>
        <v>yamini.598@gmail.com</v>
      </c>
      <c r="D1355" s="6">
        <f ca="1">IFERROR(__xludf.DUMMYFUNCTION("""COMPUTED_VALUE"""),8197832716)</f>
        <v>8197832716</v>
      </c>
      <c r="E1355" s="6" t="str">
        <f ca="1">IFERROR(__xludf.DUMMYFUNCTION("""COMPUTED_VALUE"""),"Reference")</f>
        <v>Reference</v>
      </c>
      <c r="F1355" s="6" t="str">
        <f ca="1">IFERROR(__xludf.DUMMYFUNCTION("""COMPUTED_VALUE"""),"PSM 2")</f>
        <v>PSM 2</v>
      </c>
      <c r="G1355" s="80">
        <f ca="1">IFERROR(__xludf.DUMMYFUNCTION("""COMPUTED_VALUE"""),44866)</f>
        <v>44866</v>
      </c>
      <c r="H1355" s="6" t="str">
        <f ca="1">IFERROR(__xludf.DUMMYFUNCTION("""COMPUTED_VALUE"""),"Won")</f>
        <v>Won</v>
      </c>
      <c r="I1355" s="6" t="str">
        <f ca="1">IFERROR(__xludf.DUMMYFUNCTION("""COMPUTED_VALUE"""),"26-27 Nov 2022")</f>
        <v>26-27 Nov 2022</v>
      </c>
      <c r="J1355" s="6">
        <f ca="1">IFERROR(__xludf.DUMMYFUNCTION("""COMPUTED_VALUE"""),1)</f>
        <v>1</v>
      </c>
      <c r="K1355" s="8">
        <f ca="1">IFERROR(__xludf.DUMMYFUNCTION("""COMPUTED_VALUE"""),24000)</f>
        <v>24000</v>
      </c>
      <c r="L1355" s="8">
        <f ca="1">IFERROR(__xludf.DUMMYFUNCTION("""COMPUTED_VALUE"""),274.851122308749)</f>
        <v>274.85112230874898</v>
      </c>
      <c r="M1355" s="96">
        <f ca="1">IFERROR(__xludf.DUMMYFUNCTION("""COMPUTED_VALUE"""),44887)</f>
        <v>44887</v>
      </c>
      <c r="N1355" s="6" t="str">
        <f ca="1">IFERROR(__xludf.DUMMYFUNCTION("""COMPUTED_VALUE"""),"T10")</f>
        <v>T10</v>
      </c>
      <c r="O1355" s="97">
        <f ca="1">IFERROR(__xludf.DUMMYFUNCTION("""COMPUTED_VALUE"""),44887)</f>
        <v>44887</v>
      </c>
      <c r="P1355" s="6" t="str">
        <f ca="1">IFERROR(__xludf.DUMMYFUNCTION("""COMPUTED_VALUE"""),"CSTM_EM0LBGH1MG0")</f>
        <v>CSTM_EM0LBGH1MG0</v>
      </c>
      <c r="Q1355" s="6" t="str">
        <f ca="1">IFERROR(__xludf.DUMMYFUNCTION("""COMPUTED_VALUE"""),"Reference by kishore77in@yahoo.com")</f>
        <v>Reference by kishore77in@yahoo.com</v>
      </c>
      <c r="R1355" s="6" t="str">
        <f ca="1">IFERROR(__xludf.DUMMYFUNCTION("""COMPUTED_VALUE"""),"Pending")</f>
        <v>Pending</v>
      </c>
      <c r="S1355" s="6" t="str">
        <f ca="1">IFERROR(__xludf.DUMMYFUNCTION("""COMPUTED_VALUE"""),"Category")</f>
        <v>Category</v>
      </c>
      <c r="T1355" s="6"/>
      <c r="U1355" s="6"/>
      <c r="V1355" s="6"/>
      <c r="W1355" s="6"/>
      <c r="X1355" s="6"/>
      <c r="Y1355" s="6"/>
      <c r="Z1355" s="6"/>
      <c r="AA1355" s="6"/>
      <c r="AB1355" s="6"/>
      <c r="AC1355" s="6"/>
      <c r="AD1355" s="6"/>
      <c r="AE1355" s="6"/>
      <c r="AF1355" s="6"/>
      <c r="AG1355" s="6"/>
      <c r="AH1355" s="6"/>
      <c r="AI1355" s="6"/>
      <c r="AJ1355" s="6"/>
      <c r="AK1355" s="6"/>
      <c r="AL1355" s="6"/>
    </row>
    <row r="1356" spans="1:38">
      <c r="A1356" s="96">
        <f ca="1">IFERROR(__xludf.DUMMYFUNCTION("""COMPUTED_VALUE"""),44887)</f>
        <v>44887</v>
      </c>
      <c r="B1356" s="6" t="str">
        <f ca="1">IFERROR(__xludf.DUMMYFUNCTION("""COMPUTED_VALUE"""),"Ashish Awandkar")</f>
        <v>Ashish Awandkar</v>
      </c>
      <c r="C1356" s="6" t="str">
        <f ca="1">IFERROR(__xludf.DUMMYFUNCTION("""COMPUTED_VALUE"""),"ashishawandkar@gmail.com")</f>
        <v>ashishawandkar@gmail.com</v>
      </c>
      <c r="D1356" s="6">
        <f ca="1">IFERROR(__xludf.DUMMYFUNCTION("""COMPUTED_VALUE"""),9890136459)</f>
        <v>9890136459</v>
      </c>
      <c r="E1356" s="6" t="str">
        <f ca="1">IFERROR(__xludf.DUMMYFUNCTION("""COMPUTED_VALUE"""),"Existing Account")</f>
        <v>Existing Account</v>
      </c>
      <c r="F1356" s="6" t="str">
        <f ca="1">IFERROR(__xludf.DUMMYFUNCTION("""COMPUTED_VALUE"""),"PSM 2")</f>
        <v>PSM 2</v>
      </c>
      <c r="G1356" s="80">
        <f ca="1">IFERROR(__xludf.DUMMYFUNCTION("""COMPUTED_VALUE"""),44866)</f>
        <v>44866</v>
      </c>
      <c r="H1356" s="6" t="str">
        <f ca="1">IFERROR(__xludf.DUMMYFUNCTION("""COMPUTED_VALUE"""),"Won")</f>
        <v>Won</v>
      </c>
      <c r="I1356" s="6" t="str">
        <f ca="1">IFERROR(__xludf.DUMMYFUNCTION("""COMPUTED_VALUE"""),"17-18 Dec 2022")</f>
        <v>17-18 Dec 2022</v>
      </c>
      <c r="J1356" s="6">
        <f ca="1">IFERROR(__xludf.DUMMYFUNCTION("""COMPUTED_VALUE"""),1)</f>
        <v>1</v>
      </c>
      <c r="K1356" s="8">
        <f ca="1">IFERROR(__xludf.DUMMYFUNCTION("""COMPUTED_VALUE"""),24000)</f>
        <v>24000</v>
      </c>
      <c r="L1356" s="8">
        <f ca="1">IFERROR(__xludf.DUMMYFUNCTION("""COMPUTED_VALUE"""),274.851122308749)</f>
        <v>274.85112230874898</v>
      </c>
      <c r="M1356" s="96">
        <f ca="1">IFERROR(__xludf.DUMMYFUNCTION("""COMPUTED_VALUE"""),44887)</f>
        <v>44887</v>
      </c>
      <c r="N1356" s="6" t="str">
        <f ca="1">IFERROR(__xludf.DUMMYFUNCTION("""COMPUTED_VALUE"""),"T10")</f>
        <v>T10</v>
      </c>
      <c r="O1356" s="97">
        <f ca="1">IFERROR(__xludf.DUMMYFUNCTION("""COMPUTED_VALUE"""),44887)</f>
        <v>44887</v>
      </c>
      <c r="P1356" s="6" t="str">
        <f ca="1">IFERROR(__xludf.DUMMYFUNCTION("""COMPUTED_VALUE"""),"CSTM_7E92E270K8I")</f>
        <v>CSTM_7E92E270K8I</v>
      </c>
      <c r="Q1356" s="6"/>
      <c r="R1356" s="6" t="str">
        <f ca="1">IFERROR(__xludf.DUMMYFUNCTION("""COMPUTED_VALUE"""),"Pending")</f>
        <v>Pending</v>
      </c>
      <c r="S1356" s="6" t="str">
        <f ca="1">IFERROR(__xludf.DUMMYFUNCTION("""COMPUTED_VALUE"""),"Category")</f>
        <v>Category</v>
      </c>
      <c r="T1356" s="6"/>
      <c r="U1356" s="6"/>
      <c r="V1356" s="6"/>
      <c r="W1356" s="6"/>
      <c r="X1356" s="6"/>
      <c r="Y1356" s="6"/>
      <c r="Z1356" s="6"/>
      <c r="AA1356" s="6"/>
      <c r="AB1356" s="6"/>
      <c r="AC1356" s="6"/>
      <c r="AD1356" s="6"/>
      <c r="AE1356" s="6"/>
      <c r="AF1356" s="6"/>
      <c r="AG1356" s="6"/>
      <c r="AH1356" s="6"/>
      <c r="AI1356" s="6"/>
      <c r="AJ1356" s="6"/>
      <c r="AK1356" s="6"/>
      <c r="AL1356" s="6"/>
    </row>
    <row r="1357" spans="1:38">
      <c r="A1357" s="96">
        <f ca="1">IFERROR(__xludf.DUMMYFUNCTION("""COMPUTED_VALUE"""),44887)</f>
        <v>44887</v>
      </c>
      <c r="B1357" s="6" t="str">
        <f ca="1">IFERROR(__xludf.DUMMYFUNCTION("""COMPUTED_VALUE"""),"Arun Kumar Jeyaseelan")</f>
        <v>Arun Kumar Jeyaseelan</v>
      </c>
      <c r="C1357" s="6" t="str">
        <f ca="1">IFERROR(__xludf.DUMMYFUNCTION("""COMPUTED_VALUE"""),"arunkumar.jeyaseelan@gmail.com")</f>
        <v>arunkumar.jeyaseelan@gmail.com</v>
      </c>
      <c r="D1357" s="6">
        <f ca="1">IFERROR(__xludf.DUMMYFUNCTION("""COMPUTED_VALUE"""),7799633535)</f>
        <v>7799633535</v>
      </c>
      <c r="E1357" s="6" t="str">
        <f ca="1">IFERROR(__xludf.DUMMYFUNCTION("""COMPUTED_VALUE"""),"Reference")</f>
        <v>Reference</v>
      </c>
      <c r="F1357" s="6" t="str">
        <f ca="1">IFERROR(__xludf.DUMMYFUNCTION("""COMPUTED_VALUE"""),"Data Science with Python")</f>
        <v>Data Science with Python</v>
      </c>
      <c r="G1357" s="80">
        <f ca="1">IFERROR(__xludf.DUMMYFUNCTION("""COMPUTED_VALUE"""),44866)</f>
        <v>44866</v>
      </c>
      <c r="H1357" s="6" t="str">
        <f ca="1">IFERROR(__xludf.DUMMYFUNCTION("""COMPUTED_VALUE"""),"Won")</f>
        <v>Won</v>
      </c>
      <c r="I1357" s="6" t="str">
        <f ca="1">IFERROR(__xludf.DUMMYFUNCTION("""COMPUTED_VALUE"""),"26 Nov 2022")</f>
        <v>26 Nov 2022</v>
      </c>
      <c r="J1357" s="6">
        <f ca="1">IFERROR(__xludf.DUMMYFUNCTION("""COMPUTED_VALUE"""),1)</f>
        <v>1</v>
      </c>
      <c r="K1357" s="8">
        <f ca="1">IFERROR(__xludf.DUMMYFUNCTION("""COMPUTED_VALUE"""),32000)</f>
        <v>32000</v>
      </c>
      <c r="L1357" s="8">
        <f ca="1">IFERROR(__xludf.DUMMYFUNCTION("""COMPUTED_VALUE"""),366.468163078332)</f>
        <v>366.468163078332</v>
      </c>
      <c r="M1357" s="96">
        <f ca="1">IFERROR(__xludf.DUMMYFUNCTION("""COMPUTED_VALUE"""),44887)</f>
        <v>44887</v>
      </c>
      <c r="N1357" s="6" t="str">
        <f ca="1">IFERROR(__xludf.DUMMYFUNCTION("""COMPUTED_VALUE"""),"T10")</f>
        <v>T10</v>
      </c>
      <c r="O1357" s="97">
        <f ca="1">IFERROR(__xludf.DUMMYFUNCTION("""COMPUTED_VALUE"""),44889)</f>
        <v>44889</v>
      </c>
      <c r="P1357" s="6" t="str">
        <f ca="1">IFERROR(__xludf.DUMMYFUNCTION("""COMPUTED_VALUE"""),"CSTM_6M0M2NIFWT2")</f>
        <v>CSTM_6M0M2NIFWT2</v>
      </c>
      <c r="Q1357" s="6" t="str">
        <f ca="1">IFERROR(__xludf.DUMMYFUNCTION("""COMPUTED_VALUE"""),"Reference by apurvagawande1997@gmail.com")</f>
        <v>Reference by apurvagawande1997@gmail.com</v>
      </c>
      <c r="R1357" s="6" t="str">
        <f ca="1">IFERROR(__xludf.DUMMYFUNCTION("""COMPUTED_VALUE"""),"Pending")</f>
        <v>Pending</v>
      </c>
      <c r="S1357" s="6" t="str">
        <f ca="1">IFERROR(__xludf.DUMMYFUNCTION("""COMPUTED_VALUE"""),"NonCategory")</f>
        <v>NonCategory</v>
      </c>
      <c r="T1357" s="6"/>
      <c r="U1357" s="6"/>
      <c r="V1357" s="6"/>
      <c r="W1357" s="6"/>
      <c r="X1357" s="6"/>
      <c r="Y1357" s="6"/>
      <c r="Z1357" s="6"/>
      <c r="AA1357" s="6"/>
      <c r="AB1357" s="6"/>
      <c r="AC1357" s="6"/>
      <c r="AD1357" s="6"/>
      <c r="AE1357" s="6"/>
      <c r="AF1357" s="6"/>
      <c r="AG1357" s="6"/>
      <c r="AH1357" s="6"/>
      <c r="AI1357" s="6"/>
      <c r="AJ1357" s="6"/>
      <c r="AK1357" s="6"/>
      <c r="AL1357" s="6"/>
    </row>
    <row r="1358" spans="1:38">
      <c r="A1358" s="96">
        <f ca="1">IFERROR(__xludf.DUMMYFUNCTION("""COMPUTED_VALUE"""),44887)</f>
        <v>44887</v>
      </c>
      <c r="B1358" s="6" t="str">
        <f ca="1">IFERROR(__xludf.DUMMYFUNCTION("""COMPUTED_VALUE"""),"Bala Maha G")</f>
        <v>Bala Maha G</v>
      </c>
      <c r="C1358" s="6" t="str">
        <f ca="1">IFERROR(__xludf.DUMMYFUNCTION("""COMPUTED_VALUE"""),"balamaha007@gmail.com")</f>
        <v>balamaha007@gmail.com</v>
      </c>
      <c r="D1358" s="6">
        <f ca="1">IFERROR(__xludf.DUMMYFUNCTION("""COMPUTED_VALUE"""),9590709485)</f>
        <v>9590709485</v>
      </c>
      <c r="E1358" s="6" t="str">
        <f ca="1">IFERROR(__xludf.DUMMYFUNCTION("""COMPUTED_VALUE"""),"Reference")</f>
        <v>Reference</v>
      </c>
      <c r="F1358" s="6" t="str">
        <f ca="1">IFERROR(__xludf.DUMMYFUNCTION("""COMPUTED_VALUE"""),"PSM")</f>
        <v>PSM</v>
      </c>
      <c r="G1358" s="80">
        <f ca="1">IFERROR(__xludf.DUMMYFUNCTION("""COMPUTED_VALUE"""),44866)</f>
        <v>44866</v>
      </c>
      <c r="H1358" s="6" t="str">
        <f ca="1">IFERROR(__xludf.DUMMYFUNCTION("""COMPUTED_VALUE"""),"Won")</f>
        <v>Won</v>
      </c>
      <c r="I1358" s="6" t="str">
        <f ca="1">IFERROR(__xludf.DUMMYFUNCTION("""COMPUTED_VALUE"""),"26-27 Nov 2022")</f>
        <v>26-27 Nov 2022</v>
      </c>
      <c r="J1358" s="6">
        <f ca="1">IFERROR(__xludf.DUMMYFUNCTION("""COMPUTED_VALUE"""),1)</f>
        <v>1</v>
      </c>
      <c r="K1358" s="8">
        <f ca="1">IFERROR(__xludf.DUMMYFUNCTION("""COMPUTED_VALUE"""),21000)</f>
        <v>21000</v>
      </c>
      <c r="L1358" s="8">
        <f ca="1">IFERROR(__xludf.DUMMYFUNCTION("""COMPUTED_VALUE"""),240.494732020155)</f>
        <v>240.494732020155</v>
      </c>
      <c r="M1358" s="96">
        <f ca="1">IFERROR(__xludf.DUMMYFUNCTION("""COMPUTED_VALUE"""),44887)</f>
        <v>44887</v>
      </c>
      <c r="N1358" s="6" t="str">
        <f ca="1">IFERROR(__xludf.DUMMYFUNCTION("""COMPUTED_VALUE"""),"T10")</f>
        <v>T10</v>
      </c>
      <c r="O1358" s="97">
        <f ca="1">IFERROR(__xludf.DUMMYFUNCTION("""COMPUTED_VALUE"""),44887)</f>
        <v>44887</v>
      </c>
      <c r="P1358" s="6" t="str">
        <f ca="1">IFERROR(__xludf.DUMMYFUNCTION("""COMPUTED_VALUE"""),"CSTM_75D33UDRSOG")</f>
        <v>CSTM_75D33UDRSOG</v>
      </c>
      <c r="Q1358" s="6" t="str">
        <f ca="1">IFERROR(__xludf.DUMMYFUNCTION("""COMPUTED_VALUE"""),"Reference by Shyamanair")</f>
        <v>Reference by Shyamanair</v>
      </c>
      <c r="R1358" s="6" t="str">
        <f ca="1">IFERROR(__xludf.DUMMYFUNCTION("""COMPUTED_VALUE"""),"Pending")</f>
        <v>Pending</v>
      </c>
      <c r="S1358" s="6" t="str">
        <f ca="1">IFERROR(__xludf.DUMMYFUNCTION("""COMPUTED_VALUE"""),"Category")</f>
        <v>Category</v>
      </c>
      <c r="T1358" s="6"/>
      <c r="U1358" s="6"/>
      <c r="V1358" s="6"/>
      <c r="W1358" s="6"/>
      <c r="X1358" s="6"/>
      <c r="Y1358" s="6"/>
      <c r="Z1358" s="6"/>
      <c r="AA1358" s="6"/>
      <c r="AB1358" s="6"/>
      <c r="AC1358" s="6"/>
      <c r="AD1358" s="6"/>
      <c r="AE1358" s="6"/>
      <c r="AF1358" s="6"/>
      <c r="AG1358" s="6"/>
      <c r="AH1358" s="6"/>
      <c r="AI1358" s="6"/>
      <c r="AJ1358" s="6"/>
      <c r="AK1358" s="6"/>
      <c r="AL1358" s="6"/>
    </row>
    <row r="1359" spans="1:38">
      <c r="A1359" s="96">
        <f ca="1">IFERROR(__xludf.DUMMYFUNCTION("""COMPUTED_VALUE"""),44887)</f>
        <v>44887</v>
      </c>
      <c r="B1359" s="6" t="str">
        <f ca="1">IFERROR(__xludf.DUMMYFUNCTION("""COMPUTED_VALUE"""),"Jyoti Rathore")</f>
        <v>Jyoti Rathore</v>
      </c>
      <c r="C1359" s="6" t="str">
        <f ca="1">IFERROR(__xludf.DUMMYFUNCTION("""COMPUTED_VALUE"""),"jyoti.rathore@capgemini.com")</f>
        <v>jyoti.rathore@capgemini.com</v>
      </c>
      <c r="D1359" s="6">
        <f ca="1">IFERROR(__xludf.DUMMYFUNCTION("""COMPUTED_VALUE"""),9782041296)</f>
        <v>9782041296</v>
      </c>
      <c r="E1359" s="6" t="str">
        <f ca="1">IFERROR(__xludf.DUMMYFUNCTION("""COMPUTED_VALUE"""),"Reference")</f>
        <v>Reference</v>
      </c>
      <c r="F1359" s="6" t="str">
        <f ca="1">IFERROR(__xludf.DUMMYFUNCTION("""COMPUTED_VALUE"""),"PSM")</f>
        <v>PSM</v>
      </c>
      <c r="G1359" s="80">
        <f ca="1">IFERROR(__xludf.DUMMYFUNCTION("""COMPUTED_VALUE"""),44866)</f>
        <v>44866</v>
      </c>
      <c r="H1359" s="6" t="str">
        <f ca="1">IFERROR(__xludf.DUMMYFUNCTION("""COMPUTED_VALUE"""),"Won")</f>
        <v>Won</v>
      </c>
      <c r="I1359" s="6" t="str">
        <f ca="1">IFERROR(__xludf.DUMMYFUNCTION("""COMPUTED_VALUE"""),"26-27 Nov 2022")</f>
        <v>26-27 Nov 2022</v>
      </c>
      <c r="J1359" s="6">
        <f ca="1">IFERROR(__xludf.DUMMYFUNCTION("""COMPUTED_VALUE"""),1)</f>
        <v>1</v>
      </c>
      <c r="K1359" s="8"/>
      <c r="L1359" s="8">
        <f ca="1">IFERROR(__xludf.DUMMYFUNCTION("""COMPUTED_VALUE"""),0)</f>
        <v>0</v>
      </c>
      <c r="M1359" s="96">
        <f ca="1">IFERROR(__xludf.DUMMYFUNCTION("""COMPUTED_VALUE"""),44887)</f>
        <v>44887</v>
      </c>
      <c r="N1359" s="6" t="str">
        <f ca="1">IFERROR(__xludf.DUMMYFUNCTION("""COMPUTED_VALUE"""),"T10")</f>
        <v>T10</v>
      </c>
      <c r="O1359" s="97">
        <f ca="1">IFERROR(__xludf.DUMMYFUNCTION("""COMPUTED_VALUE"""),44887)</f>
        <v>44887</v>
      </c>
      <c r="P1359" s="6" t="str">
        <f ca="1">IFERROR(__xludf.DUMMYFUNCTION("""COMPUTED_VALUE"""),"CSTM_6ZW9JYSAH8P")</f>
        <v>CSTM_6ZW9JYSAH8P</v>
      </c>
      <c r="Q1359" s="6" t="str">
        <f ca="1">IFERROR(__xludf.DUMMYFUNCTION("""COMPUTED_VALUE"""),"Reference by balamaha007@gmail.com")</f>
        <v>Reference by balamaha007@gmail.com</v>
      </c>
      <c r="R1359" s="6" t="str">
        <f ca="1">IFERROR(__xludf.DUMMYFUNCTION("""COMPUTED_VALUE"""),"Pending")</f>
        <v>Pending</v>
      </c>
      <c r="S1359" s="6" t="str">
        <f ca="1">IFERROR(__xludf.DUMMYFUNCTION("""COMPUTED_VALUE"""),"Category")</f>
        <v>Category</v>
      </c>
      <c r="T1359" s="6"/>
      <c r="U1359" s="6"/>
      <c r="V1359" s="6"/>
      <c r="W1359" s="6"/>
      <c r="X1359" s="6"/>
      <c r="Y1359" s="6"/>
      <c r="Z1359" s="6"/>
      <c r="AA1359" s="6"/>
      <c r="AB1359" s="6"/>
      <c r="AC1359" s="6"/>
      <c r="AD1359" s="6"/>
      <c r="AE1359" s="6"/>
      <c r="AF1359" s="6"/>
      <c r="AG1359" s="6"/>
      <c r="AH1359" s="6"/>
      <c r="AI1359" s="6"/>
      <c r="AJ1359" s="6"/>
      <c r="AK1359" s="6"/>
      <c r="AL1359" s="6"/>
    </row>
    <row r="1360" spans="1:38">
      <c r="A1360" s="96">
        <f ca="1">IFERROR(__xludf.DUMMYFUNCTION("""COMPUTED_VALUE"""),44887)</f>
        <v>44887</v>
      </c>
      <c r="B1360" s="6" t="str">
        <f ca="1">IFERROR(__xludf.DUMMYFUNCTION("""COMPUTED_VALUE"""),"Amit Sharma")</f>
        <v>Amit Sharma</v>
      </c>
      <c r="C1360" s="6" t="str">
        <f ca="1">IFERROR(__xludf.DUMMYFUNCTION("""COMPUTED_VALUE"""),"aks.rec05@gmail.com")</f>
        <v>aks.rec05@gmail.com</v>
      </c>
      <c r="D1360" s="6">
        <f ca="1">IFERROR(__xludf.DUMMYFUNCTION("""COMPUTED_VALUE"""),9845210890)</f>
        <v>9845210890</v>
      </c>
      <c r="E1360" s="6" t="str">
        <f ca="1">IFERROR(__xludf.DUMMYFUNCTION("""COMPUTED_VALUE"""),"Reference")</f>
        <v>Reference</v>
      </c>
      <c r="F1360" s="6" t="str">
        <f ca="1">IFERROR(__xludf.DUMMYFUNCTION("""COMPUTED_VALUE"""),"PSM 2")</f>
        <v>PSM 2</v>
      </c>
      <c r="G1360" s="80">
        <f ca="1">IFERROR(__xludf.DUMMYFUNCTION("""COMPUTED_VALUE"""),44866)</f>
        <v>44866</v>
      </c>
      <c r="H1360" s="6" t="str">
        <f ca="1">IFERROR(__xludf.DUMMYFUNCTION("""COMPUTED_VALUE"""),"Won")</f>
        <v>Won</v>
      </c>
      <c r="I1360" s="6" t="str">
        <f ca="1">IFERROR(__xludf.DUMMYFUNCTION("""COMPUTED_VALUE"""),"26-27 Nov 2022")</f>
        <v>26-27 Nov 2022</v>
      </c>
      <c r="J1360" s="6">
        <f ca="1">IFERROR(__xludf.DUMMYFUNCTION("""COMPUTED_VALUE"""),1)</f>
        <v>1</v>
      </c>
      <c r="K1360" s="8">
        <f ca="1">IFERROR(__xludf.DUMMYFUNCTION("""COMPUTED_VALUE"""),24000)</f>
        <v>24000</v>
      </c>
      <c r="L1360" s="8">
        <f ca="1">IFERROR(__xludf.DUMMYFUNCTION("""COMPUTED_VALUE"""),274.851122308749)</f>
        <v>274.85112230874898</v>
      </c>
      <c r="M1360" s="96">
        <f ca="1">IFERROR(__xludf.DUMMYFUNCTION("""COMPUTED_VALUE"""),44887)</f>
        <v>44887</v>
      </c>
      <c r="N1360" s="6" t="str">
        <f ca="1">IFERROR(__xludf.DUMMYFUNCTION("""COMPUTED_VALUE"""),"T10")</f>
        <v>T10</v>
      </c>
      <c r="O1360" s="97">
        <f ca="1">IFERROR(__xludf.DUMMYFUNCTION("""COMPUTED_VALUE"""),44888)</f>
        <v>44888</v>
      </c>
      <c r="P1360" s="6" t="str">
        <f ca="1">IFERROR(__xludf.DUMMYFUNCTION("""COMPUTED_VALUE"""),"CSTM_B4ES0OMH4QR")</f>
        <v>CSTM_B4ES0OMH4QR</v>
      </c>
      <c r="Q1360" s="6" t="str">
        <f ca="1">IFERROR(__xludf.DUMMYFUNCTION("""COMPUTED_VALUE"""),"Reference by Anamika Sharma")</f>
        <v>Reference by Anamika Sharma</v>
      </c>
      <c r="R1360" s="6" t="str">
        <f ca="1">IFERROR(__xludf.DUMMYFUNCTION("""COMPUTED_VALUE"""),"Pending")</f>
        <v>Pending</v>
      </c>
      <c r="S1360" s="6" t="str">
        <f ca="1">IFERROR(__xludf.DUMMYFUNCTION("""COMPUTED_VALUE"""),"Category")</f>
        <v>Category</v>
      </c>
      <c r="T1360" s="6"/>
      <c r="U1360" s="6"/>
      <c r="V1360" s="6"/>
      <c r="W1360" s="6"/>
      <c r="X1360" s="6"/>
      <c r="Y1360" s="6"/>
      <c r="Z1360" s="6"/>
      <c r="AA1360" s="6"/>
      <c r="AB1360" s="6"/>
      <c r="AC1360" s="6"/>
      <c r="AD1360" s="6"/>
      <c r="AE1360" s="6"/>
      <c r="AF1360" s="6"/>
      <c r="AG1360" s="6"/>
      <c r="AH1360" s="6"/>
      <c r="AI1360" s="6"/>
      <c r="AJ1360" s="6"/>
      <c r="AK1360" s="6"/>
      <c r="AL1360" s="6"/>
    </row>
    <row r="1361" spans="1:38">
      <c r="A1361" s="96">
        <f ca="1">IFERROR(__xludf.DUMMYFUNCTION("""COMPUTED_VALUE"""),44888)</f>
        <v>44888</v>
      </c>
      <c r="B1361" s="6" t="str">
        <f ca="1">IFERROR(__xludf.DUMMYFUNCTION("""COMPUTED_VALUE"""),"Kumarjit Hazra")</f>
        <v>Kumarjit Hazra</v>
      </c>
      <c r="C1361" s="6" t="str">
        <f ca="1">IFERROR(__xludf.DUMMYFUNCTION("""COMPUTED_VALUE"""),"jit0407@gmail.com")</f>
        <v>jit0407@gmail.com</v>
      </c>
      <c r="D1361" s="6">
        <f ca="1">IFERROR(__xludf.DUMMYFUNCTION("""COMPUTED_VALUE"""),7980866697)</f>
        <v>7980866697</v>
      </c>
      <c r="E1361" s="6" t="str">
        <f ca="1">IFERROR(__xludf.DUMMYFUNCTION("""COMPUTED_VALUE"""),"Chat_triggered")</f>
        <v>Chat_triggered</v>
      </c>
      <c r="F1361" s="6" t="str">
        <f ca="1">IFERROR(__xludf.DUMMYFUNCTION("""COMPUTED_VALUE"""),"PSPO 2")</f>
        <v>PSPO 2</v>
      </c>
      <c r="G1361" s="80">
        <f ca="1">IFERROR(__xludf.DUMMYFUNCTION("""COMPUTED_VALUE"""),44866)</f>
        <v>44866</v>
      </c>
      <c r="H1361" s="6" t="str">
        <f ca="1">IFERROR(__xludf.DUMMYFUNCTION("""COMPUTED_VALUE"""),"Won")</f>
        <v>Won</v>
      </c>
      <c r="I1361" s="6" t="str">
        <f ca="1">IFERROR(__xludf.DUMMYFUNCTION("""COMPUTED_VALUE"""),"3-4 Dec 2022")</f>
        <v>3-4 Dec 2022</v>
      </c>
      <c r="J1361" s="6">
        <f ca="1">IFERROR(__xludf.DUMMYFUNCTION("""COMPUTED_VALUE"""),1)</f>
        <v>1</v>
      </c>
      <c r="K1361" s="8">
        <f ca="1">IFERROR(__xludf.DUMMYFUNCTION("""COMPUTED_VALUE"""),24000)</f>
        <v>24000</v>
      </c>
      <c r="L1361" s="8">
        <f ca="1">IFERROR(__xludf.DUMMYFUNCTION("""COMPUTED_VALUE"""),274.851122308749)</f>
        <v>274.85112230874898</v>
      </c>
      <c r="M1361" s="96">
        <f ca="1">IFERROR(__xludf.DUMMYFUNCTION("""COMPUTED_VALUE"""),44888)</f>
        <v>44888</v>
      </c>
      <c r="N1361" s="6" t="str">
        <f ca="1">IFERROR(__xludf.DUMMYFUNCTION("""COMPUTED_VALUE"""),"T10")</f>
        <v>T10</v>
      </c>
      <c r="O1361" s="97">
        <f ca="1">IFERROR(__xludf.DUMMYFUNCTION("""COMPUTED_VALUE"""),44888)</f>
        <v>44888</v>
      </c>
      <c r="P1361" s="6" t="str">
        <f ca="1">IFERROR(__xludf.DUMMYFUNCTION("""COMPUTED_VALUE"""),"CSTM_IPQ9I4TJ0P6")</f>
        <v>CSTM_IPQ9I4TJ0P6</v>
      </c>
      <c r="Q1361" s="6"/>
      <c r="R1361" s="6" t="str">
        <f ca="1">IFERROR(__xludf.DUMMYFUNCTION("""COMPUTED_VALUE"""),"Pending")</f>
        <v>Pending</v>
      </c>
      <c r="S1361" s="6" t="str">
        <f ca="1">IFERROR(__xludf.DUMMYFUNCTION("""COMPUTED_VALUE"""),"NonCategory")</f>
        <v>NonCategory</v>
      </c>
      <c r="T1361" s="6"/>
      <c r="U1361" s="6"/>
      <c r="V1361" s="6"/>
      <c r="W1361" s="6"/>
      <c r="X1361" s="6"/>
      <c r="Y1361" s="6"/>
      <c r="Z1361" s="6"/>
      <c r="AA1361" s="6"/>
      <c r="AB1361" s="6"/>
      <c r="AC1361" s="6"/>
      <c r="AD1361" s="6"/>
      <c r="AE1361" s="6"/>
      <c r="AF1361" s="6"/>
      <c r="AG1361" s="6"/>
      <c r="AH1361" s="6"/>
      <c r="AI1361" s="6"/>
      <c r="AJ1361" s="6"/>
      <c r="AK1361" s="6"/>
      <c r="AL1361" s="6"/>
    </row>
    <row r="1362" spans="1:38">
      <c r="A1362" s="96">
        <f ca="1">IFERROR(__xludf.DUMMYFUNCTION("""COMPUTED_VALUE"""),44888)</f>
        <v>44888</v>
      </c>
      <c r="B1362" s="6" t="str">
        <f ca="1">IFERROR(__xludf.DUMMYFUNCTION("""COMPUTED_VALUE"""),"Meenakshi")</f>
        <v>Meenakshi</v>
      </c>
      <c r="C1362" s="6" t="str">
        <f ca="1">IFERROR(__xludf.DUMMYFUNCTION("""COMPUTED_VALUE"""),"meenu2407@gmail.com")</f>
        <v>meenu2407@gmail.com</v>
      </c>
      <c r="D1362" s="6">
        <f ca="1">IFERROR(__xludf.DUMMYFUNCTION("""COMPUTED_VALUE"""),8754498639)</f>
        <v>8754498639</v>
      </c>
      <c r="E1362" s="6" t="str">
        <f ca="1">IFERROR(__xludf.DUMMYFUNCTION("""COMPUTED_VALUE"""),"course agenda")</f>
        <v>course agenda</v>
      </c>
      <c r="F1362" s="6" t="str">
        <f ca="1">IFERROR(__xludf.DUMMYFUNCTION("""COMPUTED_VALUE"""),"SAFe Agile")</f>
        <v>SAFe Agile</v>
      </c>
      <c r="G1362" s="80">
        <f ca="1">IFERROR(__xludf.DUMMYFUNCTION("""COMPUTED_VALUE"""),44866)</f>
        <v>44866</v>
      </c>
      <c r="H1362" s="6" t="str">
        <f ca="1">IFERROR(__xludf.DUMMYFUNCTION("""COMPUTED_VALUE"""),"Won")</f>
        <v>Won</v>
      </c>
      <c r="I1362" s="6" t="str">
        <f ca="1">IFERROR(__xludf.DUMMYFUNCTION("""COMPUTED_VALUE"""),"17-18 Dec 2022")</f>
        <v>17-18 Dec 2022</v>
      </c>
      <c r="J1362" s="6">
        <f ca="1">IFERROR(__xludf.DUMMYFUNCTION("""COMPUTED_VALUE"""),1)</f>
        <v>1</v>
      </c>
      <c r="K1362" s="8">
        <f ca="1">IFERROR(__xludf.DUMMYFUNCTION("""COMPUTED_VALUE"""),42000)</f>
        <v>42000</v>
      </c>
      <c r="L1362" s="8">
        <f ca="1">IFERROR(__xludf.DUMMYFUNCTION("""COMPUTED_VALUE"""),480.989464040311)</f>
        <v>480.98946404031102</v>
      </c>
      <c r="M1362" s="96">
        <f ca="1">IFERROR(__xludf.DUMMYFUNCTION("""COMPUTED_VALUE"""),44888)</f>
        <v>44888</v>
      </c>
      <c r="N1362" s="6" t="str">
        <f ca="1">IFERROR(__xludf.DUMMYFUNCTION("""COMPUTED_VALUE"""),"T10")</f>
        <v>T10</v>
      </c>
      <c r="O1362" s="97">
        <f ca="1">IFERROR(__xludf.DUMMYFUNCTION("""COMPUTED_VALUE"""),44889)</f>
        <v>44889</v>
      </c>
      <c r="P1362" s="6" t="str">
        <f ca="1">IFERROR(__xludf.DUMMYFUNCTION("""COMPUTED_VALUE"""),"CSTM_V1VC8FN6L9")</f>
        <v>CSTM_V1VC8FN6L9</v>
      </c>
      <c r="Q1362" s="6"/>
      <c r="R1362" s="6" t="str">
        <f ca="1">IFERROR(__xludf.DUMMYFUNCTION("""COMPUTED_VALUE"""),"Pending")</f>
        <v>Pending</v>
      </c>
      <c r="S1362" s="6" t="str">
        <f ca="1">IFERROR(__xludf.DUMMYFUNCTION("""COMPUTED_VALUE"""),"SAFe")</f>
        <v>SAFe</v>
      </c>
      <c r="T1362" s="6"/>
      <c r="U1362" s="6"/>
      <c r="V1362" s="6"/>
      <c r="W1362" s="6"/>
      <c r="X1362" s="6"/>
      <c r="Y1362" s="6"/>
      <c r="Z1362" s="6"/>
      <c r="AA1362" s="6"/>
      <c r="AB1362" s="6"/>
      <c r="AC1362" s="6"/>
      <c r="AD1362" s="6"/>
      <c r="AE1362" s="6"/>
      <c r="AF1362" s="6"/>
      <c r="AG1362" s="6"/>
      <c r="AH1362" s="6"/>
      <c r="AI1362" s="6"/>
      <c r="AJ1362" s="6"/>
      <c r="AK1362" s="6"/>
      <c r="AL1362" s="6"/>
    </row>
    <row r="1363" spans="1:38">
      <c r="A1363" s="96">
        <f ca="1">IFERROR(__xludf.DUMMYFUNCTION("""COMPUTED_VALUE"""),44889)</f>
        <v>44889</v>
      </c>
      <c r="B1363" s="6" t="str">
        <f ca="1">IFERROR(__xludf.DUMMYFUNCTION("""COMPUTED_VALUE"""),"Syed Rafi Ahmad")</f>
        <v>Syed Rafi Ahmad</v>
      </c>
      <c r="C1363" s="6" t="str">
        <f ca="1">IFERROR(__xludf.DUMMYFUNCTION("""COMPUTED_VALUE"""),"nick_8990@yahoo.com")</f>
        <v>nick_8990@yahoo.com</v>
      </c>
      <c r="D1363" s="6">
        <f ca="1">IFERROR(__xludf.DUMMYFUNCTION("""COMPUTED_VALUE"""),8124391566)</f>
        <v>8124391566</v>
      </c>
      <c r="E1363" s="6" t="str">
        <f ca="1">IFERROR(__xludf.DUMMYFUNCTION("""COMPUTED_VALUE"""),"Reference")</f>
        <v>Reference</v>
      </c>
      <c r="F1363" s="6" t="str">
        <f ca="1">IFERROR(__xludf.DUMMYFUNCTION("""COMPUTED_VALUE"""),"PSPO")</f>
        <v>PSPO</v>
      </c>
      <c r="G1363" s="80">
        <f ca="1">IFERROR(__xludf.DUMMYFUNCTION("""COMPUTED_VALUE"""),44866)</f>
        <v>44866</v>
      </c>
      <c r="H1363" s="6" t="str">
        <f ca="1">IFERROR(__xludf.DUMMYFUNCTION("""COMPUTED_VALUE"""),"Won")</f>
        <v>Won</v>
      </c>
      <c r="I1363" s="6" t="str">
        <f ca="1">IFERROR(__xludf.DUMMYFUNCTION("""COMPUTED_VALUE"""),"26-27 Nov 2022")</f>
        <v>26-27 Nov 2022</v>
      </c>
      <c r="J1363" s="6">
        <f ca="1">IFERROR(__xludf.DUMMYFUNCTION("""COMPUTED_VALUE"""),1)</f>
        <v>1</v>
      </c>
      <c r="K1363" s="8">
        <f ca="1">IFERROR(__xludf.DUMMYFUNCTION("""COMPUTED_VALUE"""),21000)</f>
        <v>21000</v>
      </c>
      <c r="L1363" s="8">
        <f ca="1">IFERROR(__xludf.DUMMYFUNCTION("""COMPUTED_VALUE"""),240.494732020155)</f>
        <v>240.494732020155</v>
      </c>
      <c r="M1363" s="96">
        <f ca="1">IFERROR(__xludf.DUMMYFUNCTION("""COMPUTED_VALUE"""),44889)</f>
        <v>44889</v>
      </c>
      <c r="N1363" s="6" t="str">
        <f ca="1">IFERROR(__xludf.DUMMYFUNCTION("""COMPUTED_VALUE"""),"T10")</f>
        <v>T10</v>
      </c>
      <c r="O1363" s="97">
        <f ca="1">IFERROR(__xludf.DUMMYFUNCTION("""COMPUTED_VALUE"""),44889)</f>
        <v>44889</v>
      </c>
      <c r="P1363" s="6" t="str">
        <f ca="1">IFERROR(__xludf.DUMMYFUNCTION("""COMPUTED_VALUE"""),"CSTM_A2JGAK7WV2D")</f>
        <v>CSTM_A2JGAK7WV2D</v>
      </c>
      <c r="Q1363" s="6" t="str">
        <f ca="1">IFERROR(__xludf.DUMMYFUNCTION("""COMPUTED_VALUE"""),"Reference by Asra")</f>
        <v>Reference by Asra</v>
      </c>
      <c r="R1363" s="6" t="str">
        <f ca="1">IFERROR(__xludf.DUMMYFUNCTION("""COMPUTED_VALUE"""),"Pending")</f>
        <v>Pending</v>
      </c>
      <c r="S1363" s="6" t="str">
        <f ca="1">IFERROR(__xludf.DUMMYFUNCTION("""COMPUTED_VALUE"""),"Category")</f>
        <v>Category</v>
      </c>
      <c r="T1363" s="6"/>
      <c r="U1363" s="6"/>
      <c r="V1363" s="6"/>
      <c r="W1363" s="6"/>
      <c r="X1363" s="6"/>
      <c r="Y1363" s="6"/>
      <c r="Z1363" s="6"/>
      <c r="AA1363" s="6"/>
      <c r="AB1363" s="6"/>
      <c r="AC1363" s="6"/>
      <c r="AD1363" s="6"/>
      <c r="AE1363" s="6"/>
      <c r="AF1363" s="6"/>
      <c r="AG1363" s="6"/>
      <c r="AH1363" s="6"/>
      <c r="AI1363" s="6"/>
      <c r="AJ1363" s="6"/>
      <c r="AK1363" s="6"/>
      <c r="AL1363" s="6"/>
    </row>
    <row r="1364" spans="1:38">
      <c r="A1364" s="96">
        <f ca="1">IFERROR(__xludf.DUMMYFUNCTION("""COMPUTED_VALUE"""),44890)</f>
        <v>44890</v>
      </c>
      <c r="B1364" s="6" t="str">
        <f ca="1">IFERROR(__xludf.DUMMYFUNCTION("""COMPUTED_VALUE"""),"John Rose")</f>
        <v>John Rose</v>
      </c>
      <c r="C1364" s="6" t="str">
        <f ca="1">IFERROR(__xludf.DUMMYFUNCTION("""COMPUTED_VALUE"""),"johnrose.g@gmail.com")</f>
        <v>johnrose.g@gmail.com</v>
      </c>
      <c r="D1364" s="6">
        <f ca="1">IFERROR(__xludf.DUMMYFUNCTION("""COMPUTED_VALUE"""),9789035212)</f>
        <v>9789035212</v>
      </c>
      <c r="E1364" s="6" t="str">
        <f ca="1">IFERROR(__xludf.DUMMYFUNCTION("""COMPUTED_VALUE"""),"Existing Account")</f>
        <v>Existing Account</v>
      </c>
      <c r="F1364" s="6" t="str">
        <f ca="1">IFERROR(__xludf.DUMMYFUNCTION("""COMPUTED_VALUE"""),"PMP 2nd Partial")</f>
        <v>PMP 2nd Partial</v>
      </c>
      <c r="G1364" s="80">
        <f ca="1">IFERROR(__xludf.DUMMYFUNCTION("""COMPUTED_VALUE"""),44866)</f>
        <v>44866</v>
      </c>
      <c r="H1364" s="6" t="str">
        <f ca="1">IFERROR(__xludf.DUMMYFUNCTION("""COMPUTED_VALUE"""),"Won")</f>
        <v>Won</v>
      </c>
      <c r="I1364" s="6" t="str">
        <f ca="1">IFERROR(__xludf.DUMMYFUNCTION("""COMPUTED_VALUE"""),"25 Nov 2022")</f>
        <v>25 Nov 2022</v>
      </c>
      <c r="J1364" s="6">
        <f ca="1">IFERROR(__xludf.DUMMYFUNCTION("""COMPUTED_VALUE"""),1)</f>
        <v>1</v>
      </c>
      <c r="K1364" s="8">
        <f ca="1">IFERROR(__xludf.DUMMYFUNCTION("""COMPUTED_VALUE"""),29000)</f>
        <v>29000</v>
      </c>
      <c r="L1364" s="8">
        <f ca="1">IFERROR(__xludf.DUMMYFUNCTION("""COMPUTED_VALUE"""),332.111772789738)</f>
        <v>332.11177278973798</v>
      </c>
      <c r="M1364" s="96">
        <f ca="1">IFERROR(__xludf.DUMMYFUNCTION("""COMPUTED_VALUE"""),44890)</f>
        <v>44890</v>
      </c>
      <c r="N1364" s="6" t="str">
        <f ca="1">IFERROR(__xludf.DUMMYFUNCTION("""COMPUTED_VALUE"""),"T10")</f>
        <v>T10</v>
      </c>
      <c r="O1364" s="97">
        <f ca="1">IFERROR(__xludf.DUMMYFUNCTION("""COMPUTED_VALUE"""),44889)</f>
        <v>44889</v>
      </c>
      <c r="P1364" s="6" t="str">
        <f ca="1">IFERROR(__xludf.DUMMYFUNCTION("""COMPUTED_VALUE"""),"CSTM_PARTIAL_SUBS_JFV3UGL4LJS")</f>
        <v>CSTM_PARTIAL_SUBS_JFV3UGL4LJS</v>
      </c>
      <c r="Q1364" s="6"/>
      <c r="R1364" s="6" t="str">
        <f ca="1">IFERROR(__xludf.DUMMYFUNCTION("""COMPUTED_VALUE"""),"Pending")</f>
        <v>Pending</v>
      </c>
      <c r="S1364" s="6" t="str">
        <f ca="1">IFERROR(__xludf.DUMMYFUNCTION("""COMPUTED_VALUE"""),"NonCategory")</f>
        <v>NonCategory</v>
      </c>
      <c r="T1364" s="6"/>
      <c r="U1364" s="6"/>
      <c r="V1364" s="6"/>
      <c r="W1364" s="6"/>
      <c r="X1364" s="6"/>
      <c r="Y1364" s="6"/>
      <c r="Z1364" s="6"/>
      <c r="AA1364" s="6"/>
      <c r="AB1364" s="6"/>
      <c r="AC1364" s="6"/>
      <c r="AD1364" s="6"/>
      <c r="AE1364" s="6"/>
      <c r="AF1364" s="6"/>
      <c r="AG1364" s="6"/>
      <c r="AH1364" s="6"/>
      <c r="AI1364" s="6"/>
      <c r="AJ1364" s="6"/>
      <c r="AK1364" s="6"/>
      <c r="AL1364" s="6"/>
    </row>
    <row r="1365" spans="1:38">
      <c r="A1365" s="96">
        <f ca="1">IFERROR(__xludf.DUMMYFUNCTION("""COMPUTED_VALUE"""),44890)</f>
        <v>44890</v>
      </c>
      <c r="B1365" s="6" t="str">
        <f ca="1">IFERROR(__xludf.DUMMYFUNCTION("""COMPUTED_VALUE"""),"Salman Syed")</f>
        <v>Salman Syed</v>
      </c>
      <c r="C1365" s="6" t="str">
        <f ca="1">IFERROR(__xludf.DUMMYFUNCTION("""COMPUTED_VALUE"""),"salmansyedd@gmail.com")</f>
        <v>salmansyedd@gmail.com</v>
      </c>
      <c r="D1365" s="6">
        <f ca="1">IFERROR(__xludf.DUMMYFUNCTION("""COMPUTED_VALUE"""),9538428119)</f>
        <v>9538428119</v>
      </c>
      <c r="E1365" s="6" t="str">
        <f ca="1">IFERROR(__xludf.DUMMYFUNCTION("""COMPUTED_VALUE"""),"chat_initiated")</f>
        <v>chat_initiated</v>
      </c>
      <c r="F1365" s="6" t="str">
        <f ca="1">IFERROR(__xludf.DUMMYFUNCTION("""COMPUTED_VALUE"""),"PSM 2")</f>
        <v>PSM 2</v>
      </c>
      <c r="G1365" s="80">
        <f ca="1">IFERROR(__xludf.DUMMYFUNCTION("""COMPUTED_VALUE"""),44866)</f>
        <v>44866</v>
      </c>
      <c r="H1365" s="6" t="str">
        <f ca="1">IFERROR(__xludf.DUMMYFUNCTION("""COMPUTED_VALUE"""),"Won")</f>
        <v>Won</v>
      </c>
      <c r="I1365" s="6" t="str">
        <f ca="1">IFERROR(__xludf.DUMMYFUNCTION("""COMPUTED_VALUE"""),"26-27 Nov 2022")</f>
        <v>26-27 Nov 2022</v>
      </c>
      <c r="J1365" s="6">
        <f ca="1">IFERROR(__xludf.DUMMYFUNCTION("""COMPUTED_VALUE"""),1)</f>
        <v>1</v>
      </c>
      <c r="K1365" s="8">
        <f ca="1">IFERROR(__xludf.DUMMYFUNCTION("""COMPUTED_VALUE"""),24000)</f>
        <v>24000</v>
      </c>
      <c r="L1365" s="8">
        <f ca="1">IFERROR(__xludf.DUMMYFUNCTION("""COMPUTED_VALUE"""),274.851122308749)</f>
        <v>274.85112230874898</v>
      </c>
      <c r="M1365" s="96">
        <f ca="1">IFERROR(__xludf.DUMMYFUNCTION("""COMPUTED_VALUE"""),44890)</f>
        <v>44890</v>
      </c>
      <c r="N1365" s="6" t="str">
        <f ca="1">IFERROR(__xludf.DUMMYFUNCTION("""COMPUTED_VALUE"""),"T10")</f>
        <v>T10</v>
      </c>
      <c r="O1365" s="97">
        <f ca="1">IFERROR(__xludf.DUMMYFUNCTION("""COMPUTED_VALUE"""),44890)</f>
        <v>44890</v>
      </c>
      <c r="P1365" s="6" t="str">
        <f ca="1">IFERROR(__xludf.DUMMYFUNCTION("""COMPUTED_VALUE"""),"CSTM_C4LK8X8ODE")</f>
        <v>CSTM_C4LK8X8ODE</v>
      </c>
      <c r="Q1365" s="6"/>
      <c r="R1365" s="6" t="str">
        <f ca="1">IFERROR(__xludf.DUMMYFUNCTION("""COMPUTED_VALUE"""),"Pending")</f>
        <v>Pending</v>
      </c>
      <c r="S1365" s="6" t="str">
        <f ca="1">IFERROR(__xludf.DUMMYFUNCTION("""COMPUTED_VALUE"""),"Category")</f>
        <v>Category</v>
      </c>
      <c r="T1365" s="6"/>
      <c r="U1365" s="6"/>
      <c r="V1365" s="6"/>
      <c r="W1365" s="6"/>
      <c r="X1365" s="6"/>
      <c r="Y1365" s="6"/>
      <c r="Z1365" s="6"/>
      <c r="AA1365" s="6"/>
      <c r="AB1365" s="6"/>
      <c r="AC1365" s="6"/>
      <c r="AD1365" s="6"/>
      <c r="AE1365" s="6"/>
      <c r="AF1365" s="6"/>
      <c r="AG1365" s="6"/>
      <c r="AH1365" s="6"/>
      <c r="AI1365" s="6"/>
      <c r="AJ1365" s="6"/>
      <c r="AK1365" s="6"/>
      <c r="AL1365" s="6"/>
    </row>
    <row r="1366" spans="1:38">
      <c r="A1366" s="96">
        <f ca="1">IFERROR(__xludf.DUMMYFUNCTION("""COMPUTED_VALUE"""),44890)</f>
        <v>44890</v>
      </c>
      <c r="B1366" s="6" t="str">
        <f ca="1">IFERROR(__xludf.DUMMYFUNCTION("""COMPUTED_VALUE"""),"Mohit Pandey Kirtiya")</f>
        <v>Mohit Pandey Kirtiya</v>
      </c>
      <c r="C1366" s="6" t="str">
        <f ca="1">IFERROR(__xludf.DUMMYFUNCTION("""COMPUTED_VALUE"""),"mohitpandeykirtiya@gmail.com")</f>
        <v>mohitpandeykirtiya@gmail.com</v>
      </c>
      <c r="D1366" s="6">
        <f ca="1">IFERROR(__xludf.DUMMYFUNCTION("""COMPUTED_VALUE"""),7045573222)</f>
        <v>7045573222</v>
      </c>
      <c r="E1366" s="6" t="str">
        <f ca="1">IFERROR(__xludf.DUMMYFUNCTION("""COMPUTED_VALUE"""),"chat_initiated")</f>
        <v>chat_initiated</v>
      </c>
      <c r="F1366" s="6" t="str">
        <f ca="1">IFERROR(__xludf.DUMMYFUNCTION("""COMPUTED_VALUE"""),"PSM 2")</f>
        <v>PSM 2</v>
      </c>
      <c r="G1366" s="80">
        <f ca="1">IFERROR(__xludf.DUMMYFUNCTION("""COMPUTED_VALUE"""),44866)</f>
        <v>44866</v>
      </c>
      <c r="H1366" s="6" t="str">
        <f ca="1">IFERROR(__xludf.DUMMYFUNCTION("""COMPUTED_VALUE"""),"Won")</f>
        <v>Won</v>
      </c>
      <c r="I1366" s="6" t="str">
        <f ca="1">IFERROR(__xludf.DUMMYFUNCTION("""COMPUTED_VALUE"""),"26-27 Nov 2022")</f>
        <v>26-27 Nov 2022</v>
      </c>
      <c r="J1366" s="6">
        <f ca="1">IFERROR(__xludf.DUMMYFUNCTION("""COMPUTED_VALUE"""),1)</f>
        <v>1</v>
      </c>
      <c r="K1366" s="8">
        <f ca="1">IFERROR(__xludf.DUMMYFUNCTION("""COMPUTED_VALUE"""),24000)</f>
        <v>24000</v>
      </c>
      <c r="L1366" s="8">
        <f ca="1">IFERROR(__xludf.DUMMYFUNCTION("""COMPUTED_VALUE"""),274.851122308749)</f>
        <v>274.85112230874898</v>
      </c>
      <c r="M1366" s="96">
        <f ca="1">IFERROR(__xludf.DUMMYFUNCTION("""COMPUTED_VALUE"""),44890)</f>
        <v>44890</v>
      </c>
      <c r="N1366" s="6" t="str">
        <f ca="1">IFERROR(__xludf.DUMMYFUNCTION("""COMPUTED_VALUE"""),"T10")</f>
        <v>T10</v>
      </c>
      <c r="O1366" s="97">
        <f ca="1">IFERROR(__xludf.DUMMYFUNCTION("""COMPUTED_VALUE"""),44890)</f>
        <v>44890</v>
      </c>
      <c r="P1366" s="6" t="str">
        <f ca="1">IFERROR(__xludf.DUMMYFUNCTION("""COMPUTED_VALUE"""),"CSTM_8CKY3M72UHH")</f>
        <v>CSTM_8CKY3M72UHH</v>
      </c>
      <c r="Q1366" s="6"/>
      <c r="R1366" s="6" t="str">
        <f ca="1">IFERROR(__xludf.DUMMYFUNCTION("""COMPUTED_VALUE"""),"Pending")</f>
        <v>Pending</v>
      </c>
      <c r="S1366" s="6" t="str">
        <f ca="1">IFERROR(__xludf.DUMMYFUNCTION("""COMPUTED_VALUE"""),"Category")</f>
        <v>Category</v>
      </c>
      <c r="T1366" s="6"/>
      <c r="U1366" s="6"/>
      <c r="V1366" s="6"/>
      <c r="W1366" s="6"/>
      <c r="X1366" s="6"/>
      <c r="Y1366" s="6"/>
      <c r="Z1366" s="6"/>
      <c r="AA1366" s="6"/>
      <c r="AB1366" s="6"/>
      <c r="AC1366" s="6"/>
      <c r="AD1366" s="6"/>
      <c r="AE1366" s="6"/>
      <c r="AF1366" s="6"/>
      <c r="AG1366" s="6"/>
      <c r="AH1366" s="6"/>
      <c r="AI1366" s="6"/>
      <c r="AJ1366" s="6"/>
      <c r="AK1366" s="6"/>
      <c r="AL1366" s="6"/>
    </row>
    <row r="1367" spans="1:38">
      <c r="A1367" s="96">
        <f ca="1">IFERROR(__xludf.DUMMYFUNCTION("""COMPUTED_VALUE"""),44893)</f>
        <v>44893</v>
      </c>
      <c r="B1367" s="6" t="str">
        <f ca="1">IFERROR(__xludf.DUMMYFUNCTION("""COMPUTED_VALUE"""),"Renu Solanki")</f>
        <v>Renu Solanki</v>
      </c>
      <c r="C1367" s="6" t="str">
        <f ca="1">IFERROR(__xludf.DUMMYFUNCTION("""COMPUTED_VALUE"""),"renusolanki12@gmail.com")</f>
        <v>renusolanki12@gmail.com</v>
      </c>
      <c r="D1367" s="6">
        <f ca="1">IFERROR(__xludf.DUMMYFUNCTION("""COMPUTED_VALUE"""),9953685181)</f>
        <v>9953685181</v>
      </c>
      <c r="E1367" s="6" t="str">
        <f ca="1">IFERROR(__xludf.DUMMYFUNCTION("""COMPUTED_VALUE"""),"Chat_triggered")</f>
        <v>Chat_triggered</v>
      </c>
      <c r="F1367" s="6" t="str">
        <f ca="1">IFERROR(__xludf.DUMMYFUNCTION("""COMPUTED_VALUE"""),"SAFe Agile")</f>
        <v>SAFe Agile</v>
      </c>
      <c r="G1367" s="80">
        <f ca="1">IFERROR(__xludf.DUMMYFUNCTION("""COMPUTED_VALUE"""),44866)</f>
        <v>44866</v>
      </c>
      <c r="H1367" s="6" t="str">
        <f ca="1">IFERROR(__xludf.DUMMYFUNCTION("""COMPUTED_VALUE"""),"Won")</f>
        <v>Won</v>
      </c>
      <c r="I1367" s="6" t="str">
        <f ca="1">IFERROR(__xludf.DUMMYFUNCTION("""COMPUTED_VALUE"""),"3-4 Dec 2022")</f>
        <v>3-4 Dec 2022</v>
      </c>
      <c r="J1367" s="6">
        <f ca="1">IFERROR(__xludf.DUMMYFUNCTION("""COMPUTED_VALUE"""),1)</f>
        <v>1</v>
      </c>
      <c r="K1367" s="8">
        <f ca="1">IFERROR(__xludf.DUMMYFUNCTION("""COMPUTED_VALUE"""),42000)</f>
        <v>42000</v>
      </c>
      <c r="L1367" s="8">
        <f ca="1">IFERROR(__xludf.DUMMYFUNCTION("""COMPUTED_VALUE"""),480.989464040311)</f>
        <v>480.98946404031102</v>
      </c>
      <c r="M1367" s="96">
        <f ca="1">IFERROR(__xludf.DUMMYFUNCTION("""COMPUTED_VALUE"""),44893)</f>
        <v>44893</v>
      </c>
      <c r="N1367" s="6" t="str">
        <f ca="1">IFERROR(__xludf.DUMMYFUNCTION("""COMPUTED_VALUE"""),"T10")</f>
        <v>T10</v>
      </c>
      <c r="O1367" s="97">
        <f ca="1">IFERROR(__xludf.DUMMYFUNCTION("""COMPUTED_VALUE"""),44893)</f>
        <v>44893</v>
      </c>
      <c r="P1367" s="6" t="str">
        <f ca="1">IFERROR(__xludf.DUMMYFUNCTION("""COMPUTED_VALUE"""),"CSTM_7PTBC36FOXL")</f>
        <v>CSTM_7PTBC36FOXL</v>
      </c>
      <c r="Q1367" s="6"/>
      <c r="R1367" s="6" t="str">
        <f ca="1">IFERROR(__xludf.DUMMYFUNCTION("""COMPUTED_VALUE"""),"Pending")</f>
        <v>Pending</v>
      </c>
      <c r="S1367" s="6" t="str">
        <f ca="1">IFERROR(__xludf.DUMMYFUNCTION("""COMPUTED_VALUE"""),"SAFe")</f>
        <v>SAFe</v>
      </c>
      <c r="T1367" s="6"/>
      <c r="U1367" s="6"/>
      <c r="V1367" s="6"/>
      <c r="W1367" s="6"/>
      <c r="X1367" s="6"/>
      <c r="Y1367" s="6"/>
      <c r="Z1367" s="6"/>
      <c r="AA1367" s="6"/>
      <c r="AB1367" s="6"/>
      <c r="AC1367" s="6"/>
      <c r="AD1367" s="6"/>
      <c r="AE1367" s="6"/>
      <c r="AF1367" s="6"/>
      <c r="AG1367" s="6"/>
      <c r="AH1367" s="6"/>
      <c r="AI1367" s="6"/>
      <c r="AJ1367" s="6"/>
      <c r="AK1367" s="6"/>
      <c r="AL1367" s="6"/>
    </row>
    <row r="1368" spans="1:38">
      <c r="A1368" s="96">
        <f ca="1">IFERROR(__xludf.DUMMYFUNCTION("""COMPUTED_VALUE"""),44893)</f>
        <v>44893</v>
      </c>
      <c r="B1368" s="6" t="str">
        <f ca="1">IFERROR(__xludf.DUMMYFUNCTION("""COMPUTED_VALUE"""),"Anu Changi")</f>
        <v>Anu Changi</v>
      </c>
      <c r="C1368" s="6" t="str">
        <f ca="1">IFERROR(__xludf.DUMMYFUNCTION("""COMPUTED_VALUE"""),"anu.ichangi@gmail.com")</f>
        <v>anu.ichangi@gmail.com</v>
      </c>
      <c r="D1368" s="6">
        <f ca="1">IFERROR(__xludf.DUMMYFUNCTION("""COMPUTED_VALUE"""),7019797677)</f>
        <v>7019797677</v>
      </c>
      <c r="E1368" s="6" t="str">
        <f ca="1">IFERROR(__xludf.DUMMYFUNCTION("""COMPUTED_VALUE"""),"Query box")</f>
        <v>Query box</v>
      </c>
      <c r="F1368" s="6" t="str">
        <f ca="1">IFERROR(__xludf.DUMMYFUNCTION("""COMPUTED_VALUE"""),"PSM")</f>
        <v>PSM</v>
      </c>
      <c r="G1368" s="80">
        <f ca="1">IFERROR(__xludf.DUMMYFUNCTION("""COMPUTED_VALUE"""),44896)</f>
        <v>44896</v>
      </c>
      <c r="H1368" s="6" t="str">
        <f ca="1">IFERROR(__xludf.DUMMYFUNCTION("""COMPUTED_VALUE"""),"Won")</f>
        <v>Won</v>
      </c>
      <c r="I1368" s="6" t="str">
        <f ca="1">IFERROR(__xludf.DUMMYFUNCTION("""COMPUTED_VALUE"""),"3-4 Dec 2022")</f>
        <v>3-4 Dec 2022</v>
      </c>
      <c r="J1368" s="6">
        <f ca="1">IFERROR(__xludf.DUMMYFUNCTION("""COMPUTED_VALUE"""),1)</f>
        <v>1</v>
      </c>
      <c r="K1368" s="8">
        <f ca="1">IFERROR(__xludf.DUMMYFUNCTION("""COMPUTED_VALUE"""),21000)</f>
        <v>21000</v>
      </c>
      <c r="L1368" s="8">
        <f ca="1">IFERROR(__xludf.DUMMYFUNCTION("""COMPUTED_VALUE"""),240.494732020155)</f>
        <v>240.494732020155</v>
      </c>
      <c r="M1368" s="96">
        <f ca="1">IFERROR(__xludf.DUMMYFUNCTION("""COMPUTED_VALUE"""),44893)</f>
        <v>44893</v>
      </c>
      <c r="N1368" s="6" t="str">
        <f ca="1">IFERROR(__xludf.DUMMYFUNCTION("""COMPUTED_VALUE"""),"F10")</f>
        <v>F10</v>
      </c>
      <c r="O1368" s="97">
        <f ca="1">IFERROR(__xludf.DUMMYFUNCTION("""COMPUTED_VALUE"""),44897)</f>
        <v>44897</v>
      </c>
      <c r="P1368" s="6" t="str">
        <f ca="1">IFERROR(__xludf.DUMMYFUNCTION("""COMPUTED_VALUE"""),"CSTM_13T6B46OB0Q")</f>
        <v>CSTM_13T6B46OB0Q</v>
      </c>
      <c r="Q1368" s="6"/>
      <c r="R1368" s="6" t="str">
        <f ca="1">IFERROR(__xludf.DUMMYFUNCTION("""COMPUTED_VALUE"""),"Pending")</f>
        <v>Pending</v>
      </c>
      <c r="S1368" s="6" t="str">
        <f ca="1">IFERROR(__xludf.DUMMYFUNCTION("""COMPUTED_VALUE"""),"Category")</f>
        <v>Category</v>
      </c>
      <c r="T1368" s="6"/>
      <c r="U1368" s="6"/>
      <c r="V1368" s="6"/>
      <c r="W1368" s="6"/>
      <c r="X1368" s="6"/>
      <c r="Y1368" s="6"/>
      <c r="Z1368" s="6"/>
      <c r="AA1368" s="6"/>
      <c r="AB1368" s="6"/>
      <c r="AC1368" s="6"/>
      <c r="AD1368" s="6"/>
      <c r="AE1368" s="6"/>
      <c r="AF1368" s="6"/>
      <c r="AG1368" s="6"/>
      <c r="AH1368" s="6"/>
      <c r="AI1368" s="6"/>
      <c r="AJ1368" s="6"/>
      <c r="AK1368" s="6"/>
      <c r="AL1368" s="6"/>
    </row>
    <row r="1369" spans="1:38">
      <c r="A1369" s="96">
        <f ca="1">IFERROR(__xludf.DUMMYFUNCTION("""COMPUTED_VALUE"""),44893)</f>
        <v>44893</v>
      </c>
      <c r="B1369" s="6" t="str">
        <f ca="1">IFERROR(__xludf.DUMMYFUNCTION("""COMPUTED_VALUE"""),"Amrutha Rathod")</f>
        <v>Amrutha Rathod</v>
      </c>
      <c r="C1369" s="6" t="str">
        <f ca="1">IFERROR(__xludf.DUMMYFUNCTION("""COMPUTED_VALUE"""),"amruta.rathod@gmail.com")</f>
        <v>amruta.rathod@gmail.com</v>
      </c>
      <c r="D1369" s="6">
        <f ca="1">IFERROR(__xludf.DUMMYFUNCTION("""COMPUTED_VALUE"""),9923018650)</f>
        <v>9923018650</v>
      </c>
      <c r="E1369" s="6" t="str">
        <f ca="1">IFERROR(__xludf.DUMMYFUNCTION("""COMPUTED_VALUE"""),"Reference")</f>
        <v>Reference</v>
      </c>
      <c r="F1369" s="6" t="str">
        <f ca="1">IFERROR(__xludf.DUMMYFUNCTION("""COMPUTED_VALUE"""),"SAFe Agile")</f>
        <v>SAFe Agile</v>
      </c>
      <c r="G1369" s="80">
        <f ca="1">IFERROR(__xludf.DUMMYFUNCTION("""COMPUTED_VALUE"""),44866)</f>
        <v>44866</v>
      </c>
      <c r="H1369" s="6" t="str">
        <f ca="1">IFERROR(__xludf.DUMMYFUNCTION("""COMPUTED_VALUE"""),"Won")</f>
        <v>Won</v>
      </c>
      <c r="I1369" s="6" t="str">
        <f ca="1">IFERROR(__xludf.DUMMYFUNCTION("""COMPUTED_VALUE"""),"3-4 Dec 2022")</f>
        <v>3-4 Dec 2022</v>
      </c>
      <c r="J1369" s="6">
        <f ca="1">IFERROR(__xludf.DUMMYFUNCTION("""COMPUTED_VALUE"""),1)</f>
        <v>1</v>
      </c>
      <c r="K1369" s="8">
        <f ca="1">IFERROR(__xludf.DUMMYFUNCTION("""COMPUTED_VALUE"""),42000)</f>
        <v>42000</v>
      </c>
      <c r="L1369" s="8">
        <f ca="1">IFERROR(__xludf.DUMMYFUNCTION("""COMPUTED_VALUE"""),480.989464040311)</f>
        <v>480.98946404031102</v>
      </c>
      <c r="M1369" s="96">
        <f ca="1">IFERROR(__xludf.DUMMYFUNCTION("""COMPUTED_VALUE"""),44893)</f>
        <v>44893</v>
      </c>
      <c r="N1369" s="6" t="str">
        <f ca="1">IFERROR(__xludf.DUMMYFUNCTION("""COMPUTED_VALUE"""),"T10")</f>
        <v>T10</v>
      </c>
      <c r="O1369" s="97">
        <f ca="1">IFERROR(__xludf.DUMMYFUNCTION("""COMPUTED_VALUE"""),44893)</f>
        <v>44893</v>
      </c>
      <c r="P1369" s="6" t="str">
        <f ca="1">IFERROR(__xludf.DUMMYFUNCTION("""COMPUTED_VALUE"""),"CSTM_CD68N2ALTO")</f>
        <v>CSTM_CD68N2ALTO</v>
      </c>
      <c r="Q1369" s="6" t="str">
        <f ca="1">IFERROR(__xludf.DUMMYFUNCTION("""COMPUTED_VALUE"""),"Reference by tushargulati3007@gmail.com")</f>
        <v>Reference by tushargulati3007@gmail.com</v>
      </c>
      <c r="R1369" s="6" t="str">
        <f ca="1">IFERROR(__xludf.DUMMYFUNCTION("""COMPUTED_VALUE"""),"Pending")</f>
        <v>Pending</v>
      </c>
      <c r="S1369" s="6" t="str">
        <f ca="1">IFERROR(__xludf.DUMMYFUNCTION("""COMPUTED_VALUE"""),"SAFe")</f>
        <v>SAFe</v>
      </c>
      <c r="T1369" s="6"/>
      <c r="U1369" s="6"/>
      <c r="V1369" s="6"/>
      <c r="W1369" s="6"/>
      <c r="X1369" s="6"/>
      <c r="Y1369" s="6"/>
      <c r="Z1369" s="6"/>
      <c r="AA1369" s="6"/>
      <c r="AB1369" s="6"/>
      <c r="AC1369" s="6"/>
      <c r="AD1369" s="6"/>
      <c r="AE1369" s="6"/>
      <c r="AF1369" s="6"/>
      <c r="AG1369" s="6"/>
      <c r="AH1369" s="6"/>
      <c r="AI1369" s="6"/>
      <c r="AJ1369" s="6"/>
      <c r="AK1369" s="6"/>
      <c r="AL1369" s="6"/>
    </row>
    <row r="1370" spans="1:38">
      <c r="A1370" s="96">
        <f ca="1">IFERROR(__xludf.DUMMYFUNCTION("""COMPUTED_VALUE"""),44893)</f>
        <v>44893</v>
      </c>
      <c r="B1370" s="6" t="str">
        <f ca="1">IFERROR(__xludf.DUMMYFUNCTION("""COMPUTED_VALUE"""),"Arshad Ansari")</f>
        <v>Arshad Ansari</v>
      </c>
      <c r="C1370" s="6" t="str">
        <f ca="1">IFERROR(__xludf.DUMMYFUNCTION("""COMPUTED_VALUE"""),"arshadansari.delhi@gmail.com")</f>
        <v>arshadansari.delhi@gmail.com</v>
      </c>
      <c r="D1370" s="6">
        <f ca="1">IFERROR(__xludf.DUMMYFUNCTION("""COMPUTED_VALUE"""),9811128867)</f>
        <v>9811128867</v>
      </c>
      <c r="E1370" s="6" t="str">
        <f ca="1">IFERROR(__xludf.DUMMYFUNCTION("""COMPUTED_VALUE"""),"Reference")</f>
        <v>Reference</v>
      </c>
      <c r="F1370" s="6" t="str">
        <f ca="1">IFERROR(__xludf.DUMMYFUNCTION("""COMPUTED_VALUE"""),"P2 F&amp;P")</f>
        <v>P2 F&amp;P</v>
      </c>
      <c r="G1370" s="80">
        <f ca="1">IFERROR(__xludf.DUMMYFUNCTION("""COMPUTED_VALUE"""),44866)</f>
        <v>44866</v>
      </c>
      <c r="H1370" s="6" t="str">
        <f ca="1">IFERROR(__xludf.DUMMYFUNCTION("""COMPUTED_VALUE"""),"Won")</f>
        <v>Won</v>
      </c>
      <c r="I1370" s="6" t="str">
        <f ca="1">IFERROR(__xludf.DUMMYFUNCTION("""COMPUTED_VALUE"""),"3 Dec 2022")</f>
        <v>3 Dec 2022</v>
      </c>
      <c r="J1370" s="6">
        <f ca="1">IFERROR(__xludf.DUMMYFUNCTION("""COMPUTED_VALUE"""),1)</f>
        <v>1</v>
      </c>
      <c r="K1370" s="8">
        <f ca="1">IFERROR(__xludf.DUMMYFUNCTION("""COMPUTED_VALUE"""),40000)</f>
        <v>40000</v>
      </c>
      <c r="L1370" s="8">
        <f ca="1">IFERROR(__xludf.DUMMYFUNCTION("""COMPUTED_VALUE"""),458.085203847915)</f>
        <v>458.08520384791501</v>
      </c>
      <c r="M1370" s="96">
        <f ca="1">IFERROR(__xludf.DUMMYFUNCTION("""COMPUTED_VALUE"""),44893)</f>
        <v>44893</v>
      </c>
      <c r="N1370" s="6" t="str">
        <f ca="1">IFERROR(__xludf.DUMMYFUNCTION("""COMPUTED_VALUE"""),"T10")</f>
        <v>T10</v>
      </c>
      <c r="O1370" s="97">
        <f ca="1">IFERROR(__xludf.DUMMYFUNCTION("""COMPUTED_VALUE"""),44895)</f>
        <v>44895</v>
      </c>
      <c r="P1370" s="6" t="str">
        <f ca="1">IFERROR(__xludf.DUMMYFUNCTION("""COMPUTED_VALUE"""),"CSTM_7KSH1O0WMRJ")</f>
        <v>CSTM_7KSH1O0WMRJ</v>
      </c>
      <c r="Q1370" s="6" t="str">
        <f ca="1">IFERROR(__xludf.DUMMYFUNCTION("""COMPUTED_VALUE"""),"Reference by ravindra2bisht@gmail.com")</f>
        <v>Reference by ravindra2bisht@gmail.com</v>
      </c>
      <c r="R1370" s="6" t="str">
        <f ca="1">IFERROR(__xludf.DUMMYFUNCTION("""COMPUTED_VALUE"""),"Pending")</f>
        <v>Pending</v>
      </c>
      <c r="S1370" s="6" t="str">
        <f ca="1">IFERROR(__xludf.DUMMYFUNCTION("""COMPUTED_VALUE"""),"NonCategory")</f>
        <v>NonCategory</v>
      </c>
      <c r="T1370" s="6"/>
      <c r="U1370" s="6"/>
      <c r="V1370" s="6"/>
      <c r="W1370" s="6"/>
      <c r="X1370" s="6"/>
      <c r="Y1370" s="6"/>
      <c r="Z1370" s="6"/>
      <c r="AA1370" s="6"/>
      <c r="AB1370" s="6"/>
      <c r="AC1370" s="6"/>
      <c r="AD1370" s="6"/>
      <c r="AE1370" s="6"/>
      <c r="AF1370" s="6"/>
      <c r="AG1370" s="6"/>
      <c r="AH1370" s="6"/>
      <c r="AI1370" s="6"/>
      <c r="AJ1370" s="6"/>
      <c r="AK1370" s="6"/>
      <c r="AL1370" s="6"/>
    </row>
    <row r="1371" spans="1:38">
      <c r="A1371" s="96">
        <f ca="1">IFERROR(__xludf.DUMMYFUNCTION("""COMPUTED_VALUE"""),44893)</f>
        <v>44893</v>
      </c>
      <c r="B1371" s="6" t="str">
        <f ca="1">IFERROR(__xludf.DUMMYFUNCTION("""COMPUTED_VALUE"""),"Abhijeet Chakravorty")</f>
        <v>Abhijeet Chakravorty</v>
      </c>
      <c r="C1371" s="6" t="str">
        <f ca="1">IFERROR(__xludf.DUMMYFUNCTION("""COMPUTED_VALUE"""),"abhijeetchakravorty03@gmail.com")</f>
        <v>abhijeetchakravorty03@gmail.com</v>
      </c>
      <c r="D1371" s="6">
        <f ca="1">IFERROR(__xludf.DUMMYFUNCTION("""COMPUTED_VALUE"""),8697402680)</f>
        <v>8697402680</v>
      </c>
      <c r="E1371" s="6" t="str">
        <f ca="1">IFERROR(__xludf.DUMMYFUNCTION("""COMPUTED_VALUE"""),"Query box")</f>
        <v>Query box</v>
      </c>
      <c r="F1371" s="6" t="str">
        <f ca="1">IFERROR(__xludf.DUMMYFUNCTION("""COMPUTED_VALUE"""),"PSM")</f>
        <v>PSM</v>
      </c>
      <c r="G1371" s="80">
        <f ca="1">IFERROR(__xludf.DUMMYFUNCTION("""COMPUTED_VALUE"""),44866)</f>
        <v>44866</v>
      </c>
      <c r="H1371" s="6" t="str">
        <f ca="1">IFERROR(__xludf.DUMMYFUNCTION("""COMPUTED_VALUE"""),"Won")</f>
        <v>Won</v>
      </c>
      <c r="I1371" s="6" t="str">
        <f ca="1">IFERROR(__xludf.DUMMYFUNCTION("""COMPUTED_VALUE"""),"10-11 Dec 2022")</f>
        <v>10-11 Dec 2022</v>
      </c>
      <c r="J1371" s="6">
        <f ca="1">IFERROR(__xludf.DUMMYFUNCTION("""COMPUTED_VALUE"""),1)</f>
        <v>1</v>
      </c>
      <c r="K1371" s="8">
        <f ca="1">IFERROR(__xludf.DUMMYFUNCTION("""COMPUTED_VALUE"""),21000)</f>
        <v>21000</v>
      </c>
      <c r="L1371" s="8">
        <f ca="1">IFERROR(__xludf.DUMMYFUNCTION("""COMPUTED_VALUE"""),240.494732020155)</f>
        <v>240.494732020155</v>
      </c>
      <c r="M1371" s="96">
        <f ca="1">IFERROR(__xludf.DUMMYFUNCTION("""COMPUTED_VALUE"""),44893)</f>
        <v>44893</v>
      </c>
      <c r="N1371" s="6" t="str">
        <f ca="1">IFERROR(__xludf.DUMMYFUNCTION("""COMPUTED_VALUE"""),"T10")</f>
        <v>T10</v>
      </c>
      <c r="O1371" s="97">
        <f ca="1">IFERROR(__xludf.DUMMYFUNCTION("""COMPUTED_VALUE"""),44893)</f>
        <v>44893</v>
      </c>
      <c r="P1371" s="6" t="str">
        <f ca="1">IFERROR(__xludf.DUMMYFUNCTION("""COMPUTED_VALUE"""),"CSTM_38GYDLK51F3")</f>
        <v>CSTM_38GYDLK51F3</v>
      </c>
      <c r="Q1371" s="6"/>
      <c r="R1371" s="6" t="str">
        <f ca="1">IFERROR(__xludf.DUMMYFUNCTION("""COMPUTED_VALUE"""),"Pending")</f>
        <v>Pending</v>
      </c>
      <c r="S1371" s="6" t="str">
        <f ca="1">IFERROR(__xludf.DUMMYFUNCTION("""COMPUTED_VALUE"""),"Category")</f>
        <v>Category</v>
      </c>
      <c r="T1371" s="6"/>
      <c r="U1371" s="6"/>
      <c r="V1371" s="6"/>
      <c r="W1371" s="6"/>
      <c r="X1371" s="6"/>
      <c r="Y1371" s="6"/>
      <c r="Z1371" s="6"/>
      <c r="AA1371" s="6"/>
      <c r="AB1371" s="6"/>
      <c r="AC1371" s="6"/>
      <c r="AD1371" s="6"/>
      <c r="AE1371" s="6"/>
      <c r="AF1371" s="6"/>
      <c r="AG1371" s="6"/>
      <c r="AH1371" s="6"/>
      <c r="AI1371" s="6"/>
      <c r="AJ1371" s="6"/>
      <c r="AK1371" s="6"/>
      <c r="AL1371" s="6"/>
    </row>
    <row r="1372" spans="1:38">
      <c r="A1372" s="96">
        <f ca="1">IFERROR(__xludf.DUMMYFUNCTION("""COMPUTED_VALUE"""),44894)</f>
        <v>44894</v>
      </c>
      <c r="B1372" s="6" t="str">
        <f ca="1">IFERROR(__xludf.DUMMYFUNCTION("""COMPUTED_VALUE"""),"Vignesh Kumar Mani")</f>
        <v>Vignesh Kumar Mani</v>
      </c>
      <c r="C1372" s="6" t="str">
        <f ca="1">IFERROR(__xludf.DUMMYFUNCTION("""COMPUTED_VALUE"""),"vigneshkumar.mani@in.bosch.com")</f>
        <v>vigneshkumar.mani@in.bosch.com</v>
      </c>
      <c r="D1372" s="6">
        <f ca="1">IFERROR(__xludf.DUMMYFUNCTION("""COMPUTED_VALUE"""),9944544777)</f>
        <v>9944544777</v>
      </c>
      <c r="E1372" s="6" t="str">
        <f ca="1">IFERROR(__xludf.DUMMYFUNCTION("""COMPUTED_VALUE"""),"course agenda")</f>
        <v>course agenda</v>
      </c>
      <c r="F1372" s="6" t="str">
        <f ca="1">IFERROR(__xludf.DUMMYFUNCTION("""COMPUTED_VALUE"""),"CSM")</f>
        <v>CSM</v>
      </c>
      <c r="G1372" s="80">
        <f ca="1">IFERROR(__xludf.DUMMYFUNCTION("""COMPUTED_VALUE"""),44866)</f>
        <v>44866</v>
      </c>
      <c r="H1372" s="6" t="str">
        <f ca="1">IFERROR(__xludf.DUMMYFUNCTION("""COMPUTED_VALUE"""),"Won")</f>
        <v>Won</v>
      </c>
      <c r="I1372" s="6" t="str">
        <f ca="1">IFERROR(__xludf.DUMMYFUNCTION("""COMPUTED_VALUE"""),"14-15 Dec 2022")</f>
        <v>14-15 Dec 2022</v>
      </c>
      <c r="J1372" s="6">
        <f ca="1">IFERROR(__xludf.DUMMYFUNCTION("""COMPUTED_VALUE"""),1)</f>
        <v>1</v>
      </c>
      <c r="K1372" s="8">
        <f ca="1">IFERROR(__xludf.DUMMYFUNCTION("""COMPUTED_VALUE"""),20000)</f>
        <v>20000</v>
      </c>
      <c r="L1372" s="8">
        <f ca="1">IFERROR(__xludf.DUMMYFUNCTION("""COMPUTED_VALUE"""),229.042601923957)</f>
        <v>229.04260192395699</v>
      </c>
      <c r="M1372" s="96">
        <f ca="1">IFERROR(__xludf.DUMMYFUNCTION("""COMPUTED_VALUE"""),44894)</f>
        <v>44894</v>
      </c>
      <c r="N1372" s="6" t="str">
        <f ca="1">IFERROR(__xludf.DUMMYFUNCTION("""COMPUTED_VALUE"""),"T10")</f>
        <v>T10</v>
      </c>
      <c r="O1372" s="97">
        <f ca="1">IFERROR(__xludf.DUMMYFUNCTION("""COMPUTED_VALUE"""),44894)</f>
        <v>44894</v>
      </c>
      <c r="P1372" s="6" t="str">
        <f ca="1">IFERROR(__xludf.DUMMYFUNCTION("""COMPUTED_VALUE"""),"CSTM_CKA1MA98QKT")</f>
        <v>CSTM_CKA1MA98QKT</v>
      </c>
      <c r="Q1372" s="6"/>
      <c r="R1372" s="6" t="str">
        <f ca="1">IFERROR(__xludf.DUMMYFUNCTION("""COMPUTED_VALUE"""),"Pending")</f>
        <v>Pending</v>
      </c>
      <c r="S1372" s="6" t="str">
        <f ca="1">IFERROR(__xludf.DUMMYFUNCTION("""COMPUTED_VALUE"""),"Category")</f>
        <v>Category</v>
      </c>
      <c r="T1372" s="6"/>
      <c r="U1372" s="6"/>
      <c r="V1372" s="6"/>
      <c r="W1372" s="6"/>
      <c r="X1372" s="6"/>
      <c r="Y1372" s="6"/>
      <c r="Z1372" s="6"/>
      <c r="AA1372" s="6"/>
      <c r="AB1372" s="6"/>
      <c r="AC1372" s="6"/>
      <c r="AD1372" s="6"/>
      <c r="AE1372" s="6"/>
      <c r="AF1372" s="6"/>
      <c r="AG1372" s="6"/>
      <c r="AH1372" s="6"/>
      <c r="AI1372" s="6"/>
      <c r="AJ1372" s="6"/>
      <c r="AK1372" s="6"/>
      <c r="AL1372" s="6"/>
    </row>
    <row r="1373" spans="1:38">
      <c r="A1373" s="96">
        <f ca="1">IFERROR(__xludf.DUMMYFUNCTION("""COMPUTED_VALUE"""),44895)</f>
        <v>44895</v>
      </c>
      <c r="B1373" s="6" t="str">
        <f ca="1">IFERROR(__xludf.DUMMYFUNCTION("""COMPUTED_VALUE"""),"Navin Nair")</f>
        <v>Navin Nair</v>
      </c>
      <c r="C1373" s="6" t="str">
        <f ca="1">IFERROR(__xludf.DUMMYFUNCTION("""COMPUTED_VALUE"""),"n3rules@gmail.com")</f>
        <v>n3rules@gmail.com</v>
      </c>
      <c r="D1373" s="6">
        <f ca="1">IFERROR(__xludf.DUMMYFUNCTION("""COMPUTED_VALUE"""),7042502512)</f>
        <v>7042502512</v>
      </c>
      <c r="E1373" s="6" t="str">
        <f ca="1">IFERROR(__xludf.DUMMYFUNCTION("""COMPUTED_VALUE"""),"Query box")</f>
        <v>Query box</v>
      </c>
      <c r="F1373" s="6" t="str">
        <f ca="1">IFERROR(__xludf.DUMMYFUNCTION("""COMPUTED_VALUE"""),"SAFe POPM")</f>
        <v>SAFe POPM</v>
      </c>
      <c r="G1373" s="80">
        <f ca="1">IFERROR(__xludf.DUMMYFUNCTION("""COMPUTED_VALUE"""),44866)</f>
        <v>44866</v>
      </c>
      <c r="H1373" s="6" t="str">
        <f ca="1">IFERROR(__xludf.DUMMYFUNCTION("""COMPUTED_VALUE"""),"Opportunity")</f>
        <v>Opportunity</v>
      </c>
      <c r="I1373" s="6" t="str">
        <f ca="1">IFERROR(__xludf.DUMMYFUNCTION("""COMPUTED_VALUE"""),"3-4 Dec 2022")</f>
        <v>3-4 Dec 2022</v>
      </c>
      <c r="J1373" s="6">
        <f ca="1">IFERROR(__xludf.DUMMYFUNCTION("""COMPUTED_VALUE"""),1)</f>
        <v>1</v>
      </c>
      <c r="K1373" s="8">
        <f ca="1">IFERROR(__xludf.DUMMYFUNCTION("""COMPUTED_VALUE"""),42000)</f>
        <v>42000</v>
      </c>
      <c r="L1373" s="8">
        <f ca="1">IFERROR(__xludf.DUMMYFUNCTION("""COMPUTED_VALUE"""),480.989464040311)</f>
        <v>480.98946404031102</v>
      </c>
      <c r="M1373" s="96">
        <f ca="1">IFERROR(__xludf.DUMMYFUNCTION("""COMPUTED_VALUE"""),44895)</f>
        <v>44895</v>
      </c>
      <c r="N1373" s="6"/>
      <c r="O1373" s="97"/>
      <c r="P1373" s="6"/>
      <c r="Q1373" s="6"/>
      <c r="R1373" s="6"/>
      <c r="S1373" s="6" t="str">
        <f ca="1">IFERROR(__xludf.DUMMYFUNCTION("""COMPUTED_VALUE"""),"SAFe")</f>
        <v>SAFe</v>
      </c>
      <c r="T1373" s="6"/>
      <c r="U1373" s="6"/>
      <c r="V1373" s="6"/>
      <c r="W1373" s="6"/>
      <c r="X1373" s="6"/>
      <c r="Y1373" s="6"/>
      <c r="Z1373" s="6"/>
      <c r="AA1373" s="6"/>
      <c r="AB1373" s="6"/>
      <c r="AC1373" s="6"/>
      <c r="AD1373" s="6"/>
      <c r="AE1373" s="6"/>
      <c r="AF1373" s="6"/>
      <c r="AG1373" s="6"/>
      <c r="AH1373" s="6"/>
      <c r="AI1373" s="6"/>
      <c r="AJ1373" s="6"/>
      <c r="AK1373" s="6"/>
      <c r="AL1373" s="6"/>
    </row>
    <row r="1374" spans="1:38">
      <c r="A1374" s="96">
        <f ca="1">IFERROR(__xludf.DUMMYFUNCTION("""COMPUTED_VALUE"""),44895)</f>
        <v>44895</v>
      </c>
      <c r="B1374" s="6" t="str">
        <f ca="1">IFERROR(__xludf.DUMMYFUNCTION("""COMPUTED_VALUE"""),"Smita Misal")</f>
        <v>Smita Misal</v>
      </c>
      <c r="C1374" s="6" t="str">
        <f ca="1">IFERROR(__xludf.DUMMYFUNCTION("""COMPUTED_VALUE"""),"smita.misal@digitate.com")</f>
        <v>smita.misal@digitate.com</v>
      </c>
      <c r="D1374" s="6">
        <f ca="1">IFERROR(__xludf.DUMMYFUNCTION("""COMPUTED_VALUE"""),9552085619)</f>
        <v>9552085619</v>
      </c>
      <c r="E1374" s="6" t="str">
        <f ca="1">IFERROR(__xludf.DUMMYFUNCTION("""COMPUTED_VALUE"""),"Reference")</f>
        <v>Reference</v>
      </c>
      <c r="F1374" s="6" t="str">
        <f ca="1">IFERROR(__xludf.DUMMYFUNCTION("""COMPUTED_VALUE"""),"PSM 2")</f>
        <v>PSM 2</v>
      </c>
      <c r="G1374" s="80">
        <f ca="1">IFERROR(__xludf.DUMMYFUNCTION("""COMPUTED_VALUE"""),44866)</f>
        <v>44866</v>
      </c>
      <c r="H1374" s="6" t="str">
        <f ca="1">IFERROR(__xludf.DUMMYFUNCTION("""COMPUTED_VALUE"""),"Won")</f>
        <v>Won</v>
      </c>
      <c r="I1374" s="6" t="str">
        <f ca="1">IFERROR(__xludf.DUMMYFUNCTION("""COMPUTED_VALUE"""),"17-18 Dec 2022")</f>
        <v>17-18 Dec 2022</v>
      </c>
      <c r="J1374" s="6">
        <f ca="1">IFERROR(__xludf.DUMMYFUNCTION("""COMPUTED_VALUE"""),1)</f>
        <v>1</v>
      </c>
      <c r="K1374" s="8">
        <f ca="1">IFERROR(__xludf.DUMMYFUNCTION("""COMPUTED_VALUE"""),24000)</f>
        <v>24000</v>
      </c>
      <c r="L1374" s="8">
        <f ca="1">IFERROR(__xludf.DUMMYFUNCTION("""COMPUTED_VALUE"""),274.851122308749)</f>
        <v>274.85112230874898</v>
      </c>
      <c r="M1374" s="96">
        <f ca="1">IFERROR(__xludf.DUMMYFUNCTION("""COMPUTED_VALUE"""),44895)</f>
        <v>44895</v>
      </c>
      <c r="N1374" s="6" t="str">
        <f ca="1">IFERROR(__xludf.DUMMYFUNCTION("""COMPUTED_VALUE"""),"T10")</f>
        <v>T10</v>
      </c>
      <c r="O1374" s="97">
        <f ca="1">IFERROR(__xludf.DUMMYFUNCTION("""COMPUTED_VALUE"""),44895)</f>
        <v>44895</v>
      </c>
      <c r="P1374" s="6" t="str">
        <f ca="1">IFERROR(__xludf.DUMMYFUNCTION("""COMPUTED_VALUE"""),"CSTM_2ORMBTMPMPY")</f>
        <v>CSTM_2ORMBTMPMPY</v>
      </c>
      <c r="Q1374" s="6" t="str">
        <f ca="1">IFERROR(__xludf.DUMMYFUNCTION("""COMPUTED_VALUE"""),"Reference by chetan.malavade@tcs.com")</f>
        <v>Reference by chetan.malavade@tcs.com</v>
      </c>
      <c r="R1374" s="6" t="str">
        <f ca="1">IFERROR(__xludf.DUMMYFUNCTION("""COMPUTED_VALUE"""),"Pending")</f>
        <v>Pending</v>
      </c>
      <c r="S1374" s="6" t="str">
        <f ca="1">IFERROR(__xludf.DUMMYFUNCTION("""COMPUTED_VALUE"""),"Category")</f>
        <v>Category</v>
      </c>
      <c r="T1374" s="6"/>
      <c r="U1374" s="6"/>
      <c r="V1374" s="6"/>
      <c r="W1374" s="6"/>
      <c r="X1374" s="6"/>
      <c r="Y1374" s="6"/>
      <c r="Z1374" s="6"/>
      <c r="AA1374" s="6"/>
      <c r="AB1374" s="6"/>
      <c r="AC1374" s="6"/>
      <c r="AD1374" s="6"/>
      <c r="AE1374" s="6"/>
      <c r="AF1374" s="6"/>
      <c r="AG1374" s="6"/>
      <c r="AH1374" s="6"/>
      <c r="AI1374" s="6"/>
      <c r="AJ1374" s="6"/>
      <c r="AK1374" s="6"/>
      <c r="AL1374" s="6"/>
    </row>
    <row r="1375" spans="1:38">
      <c r="A1375" s="96">
        <f ca="1">IFERROR(__xludf.DUMMYFUNCTION("""COMPUTED_VALUE"""),44895)</f>
        <v>44895</v>
      </c>
      <c r="B1375" s="6" t="str">
        <f ca="1">IFERROR(__xludf.DUMMYFUNCTION("""COMPUTED_VALUE"""),"Priyanka Kevaliya")</f>
        <v>Priyanka Kevaliya</v>
      </c>
      <c r="C1375" s="6" t="str">
        <f ca="1">IFERROR(__xludf.DUMMYFUNCTION("""COMPUTED_VALUE"""),"priyanka.kevaliya@gmail.com")</f>
        <v>priyanka.kevaliya@gmail.com</v>
      </c>
      <c r="D1375" s="6">
        <f ca="1">IFERROR(__xludf.DUMMYFUNCTION("""COMPUTED_VALUE"""),8817338292)</f>
        <v>8817338292</v>
      </c>
      <c r="E1375" s="6" t="str">
        <f ca="1">IFERROR(__xludf.DUMMYFUNCTION("""COMPUTED_VALUE"""),"Query box")</f>
        <v>Query box</v>
      </c>
      <c r="F1375" s="6" t="str">
        <f ca="1">IFERROR(__xludf.DUMMYFUNCTION("""COMPUTED_VALUE"""),"PSPO 2")</f>
        <v>PSPO 2</v>
      </c>
      <c r="G1375" s="80">
        <f ca="1">IFERROR(__xludf.DUMMYFUNCTION("""COMPUTED_VALUE"""),44866)</f>
        <v>44866</v>
      </c>
      <c r="H1375" s="6" t="str">
        <f ca="1">IFERROR(__xludf.DUMMYFUNCTION("""COMPUTED_VALUE"""),"Won")</f>
        <v>Won</v>
      </c>
      <c r="I1375" s="6" t="str">
        <f ca="1">IFERROR(__xludf.DUMMYFUNCTION("""COMPUTED_VALUE"""),"3-4 Dec 2022")</f>
        <v>3-4 Dec 2022</v>
      </c>
      <c r="J1375" s="6">
        <f ca="1">IFERROR(__xludf.DUMMYFUNCTION("""COMPUTED_VALUE"""),1)</f>
        <v>1</v>
      </c>
      <c r="K1375" s="8">
        <f ca="1">IFERROR(__xludf.DUMMYFUNCTION("""COMPUTED_VALUE"""),24000)</f>
        <v>24000</v>
      </c>
      <c r="L1375" s="8">
        <f ca="1">IFERROR(__xludf.DUMMYFUNCTION("""COMPUTED_VALUE"""),274.851122308749)</f>
        <v>274.85112230874898</v>
      </c>
      <c r="M1375" s="96">
        <f ca="1">IFERROR(__xludf.DUMMYFUNCTION("""COMPUTED_VALUE"""),44895)</f>
        <v>44895</v>
      </c>
      <c r="N1375" s="6" t="str">
        <f ca="1">IFERROR(__xludf.DUMMYFUNCTION("""COMPUTED_VALUE"""),"T10")</f>
        <v>T10</v>
      </c>
      <c r="O1375" s="97">
        <f ca="1">IFERROR(__xludf.DUMMYFUNCTION("""COMPUTED_VALUE"""),44895)</f>
        <v>44895</v>
      </c>
      <c r="P1375" s="6" t="str">
        <f ca="1">IFERROR(__xludf.DUMMYFUNCTION("""COMPUTED_VALUE"""),"CSTM_BKJHYKJ7OO7")</f>
        <v>CSTM_BKJHYKJ7OO7</v>
      </c>
      <c r="Q1375" s="6"/>
      <c r="R1375" s="6" t="str">
        <f ca="1">IFERROR(__xludf.DUMMYFUNCTION("""COMPUTED_VALUE"""),"Pending")</f>
        <v>Pending</v>
      </c>
      <c r="S1375" s="6" t="str">
        <f ca="1">IFERROR(__xludf.DUMMYFUNCTION("""COMPUTED_VALUE"""),"NonCategory")</f>
        <v>NonCategory</v>
      </c>
      <c r="T1375" s="6"/>
      <c r="U1375" s="6"/>
      <c r="V1375" s="6"/>
      <c r="W1375" s="6"/>
      <c r="X1375" s="6"/>
      <c r="Y1375" s="6"/>
      <c r="Z1375" s="6"/>
      <c r="AA1375" s="6"/>
      <c r="AB1375" s="6"/>
      <c r="AC1375" s="6"/>
      <c r="AD1375" s="6"/>
      <c r="AE1375" s="6"/>
      <c r="AF1375" s="6"/>
      <c r="AG1375" s="6"/>
      <c r="AH1375" s="6"/>
      <c r="AI1375" s="6"/>
      <c r="AJ1375" s="6"/>
      <c r="AK1375" s="6"/>
      <c r="AL1375" s="6"/>
    </row>
    <row r="1376" spans="1:38">
      <c r="A1376" s="96">
        <f ca="1">IFERROR(__xludf.DUMMYFUNCTION("""COMPUTED_VALUE"""),44896)</f>
        <v>44896</v>
      </c>
      <c r="B1376" s="6" t="str">
        <f ca="1">IFERROR(__xludf.DUMMYFUNCTION("""COMPUTED_VALUE"""),"Smita Dahiwase")</f>
        <v>Smita Dahiwase</v>
      </c>
      <c r="C1376" s="6" t="str">
        <f ca="1">IFERROR(__xludf.DUMMYFUNCTION("""COMPUTED_VALUE"""),"sandeepbhat77@gmail.com")</f>
        <v>sandeepbhat77@gmail.com</v>
      </c>
      <c r="D1376" s="6">
        <f ca="1">IFERROR(__xludf.DUMMYFUNCTION("""COMPUTED_VALUE"""),7387015322)</f>
        <v>7387015322</v>
      </c>
      <c r="E1376" s="6" t="str">
        <f ca="1">IFERROR(__xludf.DUMMYFUNCTION("""COMPUTED_VALUE"""),"Reference")</f>
        <v>Reference</v>
      </c>
      <c r="F1376" s="6" t="str">
        <f ca="1">IFERROR(__xludf.DUMMYFUNCTION("""COMPUTED_VALUE"""),"PSM 2")</f>
        <v>PSM 2</v>
      </c>
      <c r="G1376" s="80">
        <f ca="1">IFERROR(__xludf.DUMMYFUNCTION("""COMPUTED_VALUE"""),44896)</f>
        <v>44896</v>
      </c>
      <c r="H1376" s="6" t="str">
        <f ca="1">IFERROR(__xludf.DUMMYFUNCTION("""COMPUTED_VALUE"""),"Won")</f>
        <v>Won</v>
      </c>
      <c r="I1376" s="6" t="str">
        <f ca="1">IFERROR(__xludf.DUMMYFUNCTION("""COMPUTED_VALUE"""),"5-6 Dec 2022")</f>
        <v>5-6 Dec 2022</v>
      </c>
      <c r="J1376" s="6">
        <f ca="1">IFERROR(__xludf.DUMMYFUNCTION("""COMPUTED_VALUE"""),1)</f>
        <v>1</v>
      </c>
      <c r="K1376" s="8">
        <f ca="1">IFERROR(__xludf.DUMMYFUNCTION("""COMPUTED_VALUE"""),24000)</f>
        <v>24000</v>
      </c>
      <c r="L1376" s="8">
        <f ca="1">IFERROR(__xludf.DUMMYFUNCTION("""COMPUTED_VALUE"""),274.851122308749)</f>
        <v>274.85112230874898</v>
      </c>
      <c r="M1376" s="96">
        <f ca="1">IFERROR(__xludf.DUMMYFUNCTION("""COMPUTED_VALUE"""),44896)</f>
        <v>44896</v>
      </c>
      <c r="N1376" s="6" t="str">
        <f ca="1">IFERROR(__xludf.DUMMYFUNCTION("""COMPUTED_VALUE"""),"F10")</f>
        <v>F10</v>
      </c>
      <c r="O1376" s="97">
        <f ca="1">IFERROR(__xludf.DUMMYFUNCTION("""COMPUTED_VALUE"""),44896)</f>
        <v>44896</v>
      </c>
      <c r="P1376" s="6" t="str">
        <f ca="1">IFERROR(__xludf.DUMMYFUNCTION("""COMPUTED_VALUE"""),"CSTM_5QEK7B7NHER")</f>
        <v>CSTM_5QEK7B7NHER</v>
      </c>
      <c r="Q1376" s="6"/>
      <c r="R1376" s="6" t="str">
        <f ca="1">IFERROR(__xludf.DUMMYFUNCTION("""COMPUTED_VALUE"""),"Pending")</f>
        <v>Pending</v>
      </c>
      <c r="S1376" s="6" t="str">
        <f ca="1">IFERROR(__xludf.DUMMYFUNCTION("""COMPUTED_VALUE"""),"Category")</f>
        <v>Category</v>
      </c>
      <c r="T1376" s="6"/>
      <c r="U1376" s="6"/>
      <c r="V1376" s="6"/>
      <c r="W1376" s="6"/>
      <c r="X1376" s="6"/>
      <c r="Y1376" s="6"/>
      <c r="Z1376" s="6"/>
      <c r="AA1376" s="6"/>
      <c r="AB1376" s="6"/>
      <c r="AC1376" s="6"/>
      <c r="AD1376" s="6"/>
      <c r="AE1376" s="6"/>
      <c r="AF1376" s="6"/>
      <c r="AG1376" s="6"/>
      <c r="AH1376" s="6"/>
      <c r="AI1376" s="6"/>
      <c r="AJ1376" s="6"/>
      <c r="AK1376" s="6"/>
      <c r="AL1376" s="6"/>
    </row>
    <row r="1377" spans="1:38">
      <c r="A1377" s="96">
        <f ca="1">IFERROR(__xludf.DUMMYFUNCTION("""COMPUTED_VALUE"""),44896)</f>
        <v>44896</v>
      </c>
      <c r="B1377" s="6" t="str">
        <f ca="1">IFERROR(__xludf.DUMMYFUNCTION("""COMPUTED_VALUE"""),"Ranjitha Malatkar")</f>
        <v>Ranjitha Malatkar</v>
      </c>
      <c r="C1377" s="6" t="str">
        <f ca="1">IFERROR(__xludf.DUMMYFUNCTION("""COMPUTED_VALUE"""),"ranjithamalatkar@gmail.com")</f>
        <v>ranjithamalatkar@gmail.com</v>
      </c>
      <c r="D1377" s="6">
        <f ca="1">IFERROR(__xludf.DUMMYFUNCTION("""COMPUTED_VALUE"""),9535660528)</f>
        <v>9535660528</v>
      </c>
      <c r="E1377" s="6" t="str">
        <f ca="1">IFERROR(__xludf.DUMMYFUNCTION("""COMPUTED_VALUE"""),"Existing Account")</f>
        <v>Existing Account</v>
      </c>
      <c r="F1377" s="6" t="str">
        <f ca="1">IFERROR(__xludf.DUMMYFUNCTION("""COMPUTED_VALUE"""),"PSM 2")</f>
        <v>PSM 2</v>
      </c>
      <c r="G1377" s="80">
        <f ca="1">IFERROR(__xludf.DUMMYFUNCTION("""COMPUTED_VALUE"""),44896)</f>
        <v>44896</v>
      </c>
      <c r="H1377" s="6" t="str">
        <f ca="1">IFERROR(__xludf.DUMMYFUNCTION("""COMPUTED_VALUE"""),"Won")</f>
        <v>Won</v>
      </c>
      <c r="I1377" s="6" t="str">
        <f ca="1">IFERROR(__xludf.DUMMYFUNCTION("""COMPUTED_VALUE"""),"17-18 Dec 2022")</f>
        <v>17-18 Dec 2022</v>
      </c>
      <c r="J1377" s="6">
        <f ca="1">IFERROR(__xludf.DUMMYFUNCTION("""COMPUTED_VALUE"""),1)</f>
        <v>1</v>
      </c>
      <c r="K1377" s="8">
        <f ca="1">IFERROR(__xludf.DUMMYFUNCTION("""COMPUTED_VALUE"""),24000)</f>
        <v>24000</v>
      </c>
      <c r="L1377" s="8">
        <f ca="1">IFERROR(__xludf.DUMMYFUNCTION("""COMPUTED_VALUE"""),274.851122308749)</f>
        <v>274.85112230874898</v>
      </c>
      <c r="M1377" s="96">
        <f ca="1">IFERROR(__xludf.DUMMYFUNCTION("""COMPUTED_VALUE"""),44896)</f>
        <v>44896</v>
      </c>
      <c r="N1377" s="6" t="str">
        <f ca="1">IFERROR(__xludf.DUMMYFUNCTION("""COMPUTED_VALUE"""),"F10")</f>
        <v>F10</v>
      </c>
      <c r="O1377" s="97">
        <f ca="1">IFERROR(__xludf.DUMMYFUNCTION("""COMPUTED_VALUE"""),44896)</f>
        <v>44896</v>
      </c>
      <c r="P1377" s="6" t="str">
        <f ca="1">IFERROR(__xludf.DUMMYFUNCTION("""COMPUTED_VALUE"""),"CSTM_AC5JP11Y8RT")</f>
        <v>CSTM_AC5JP11Y8RT</v>
      </c>
      <c r="Q1377" s="6"/>
      <c r="R1377" s="6" t="str">
        <f ca="1">IFERROR(__xludf.DUMMYFUNCTION("""COMPUTED_VALUE"""),"Pending")</f>
        <v>Pending</v>
      </c>
      <c r="S1377" s="6" t="str">
        <f ca="1">IFERROR(__xludf.DUMMYFUNCTION("""COMPUTED_VALUE"""),"Category")</f>
        <v>Category</v>
      </c>
      <c r="T1377" s="6"/>
      <c r="U1377" s="6"/>
      <c r="V1377" s="6"/>
      <c r="W1377" s="6"/>
      <c r="X1377" s="6"/>
      <c r="Y1377" s="6"/>
      <c r="Z1377" s="6"/>
      <c r="AA1377" s="6"/>
      <c r="AB1377" s="6"/>
      <c r="AC1377" s="6"/>
      <c r="AD1377" s="6"/>
      <c r="AE1377" s="6"/>
      <c r="AF1377" s="6"/>
      <c r="AG1377" s="6"/>
      <c r="AH1377" s="6"/>
      <c r="AI1377" s="6"/>
      <c r="AJ1377" s="6"/>
      <c r="AK1377" s="6"/>
      <c r="AL1377" s="6"/>
    </row>
    <row r="1378" spans="1:38">
      <c r="A1378" s="96">
        <f ca="1">IFERROR(__xludf.DUMMYFUNCTION("""COMPUTED_VALUE"""),44896)</f>
        <v>44896</v>
      </c>
      <c r="B1378" s="6" t="str">
        <f ca="1">IFERROR(__xludf.DUMMYFUNCTION("""COMPUTED_VALUE"""),"Md. Taheer")</f>
        <v>Md. Taheer</v>
      </c>
      <c r="C1378" s="6" t="str">
        <f ca="1">IFERROR(__xludf.DUMMYFUNCTION("""COMPUTED_VALUE"""),"t06adam25@gmail.com")</f>
        <v>t06adam25@gmail.com</v>
      </c>
      <c r="D1378" s="6">
        <f ca="1">IFERROR(__xludf.DUMMYFUNCTION("""COMPUTED_VALUE"""),9986521546)</f>
        <v>9986521546</v>
      </c>
      <c r="E1378" s="6" t="str">
        <f ca="1">IFERROR(__xludf.DUMMYFUNCTION("""COMPUTED_VALUE"""),"Query box")</f>
        <v>Query box</v>
      </c>
      <c r="F1378" s="6" t="str">
        <f ca="1">IFERROR(__xludf.DUMMYFUNCTION("""COMPUTED_VALUE"""),"PSPO")</f>
        <v>PSPO</v>
      </c>
      <c r="G1378" s="80">
        <f ca="1">IFERROR(__xludf.DUMMYFUNCTION("""COMPUTED_VALUE"""),44896)</f>
        <v>44896</v>
      </c>
      <c r="H1378" s="6" t="str">
        <f ca="1">IFERROR(__xludf.DUMMYFUNCTION("""COMPUTED_VALUE"""),"Won")</f>
        <v>Won</v>
      </c>
      <c r="I1378" s="6" t="str">
        <f ca="1">IFERROR(__xludf.DUMMYFUNCTION("""COMPUTED_VALUE"""),"7-8 Jan 2022")</f>
        <v>7-8 Jan 2022</v>
      </c>
      <c r="J1378" s="6">
        <f ca="1">IFERROR(__xludf.DUMMYFUNCTION("""COMPUTED_VALUE"""),1)</f>
        <v>1</v>
      </c>
      <c r="K1378" s="8">
        <f ca="1">IFERROR(__xludf.DUMMYFUNCTION("""COMPUTED_VALUE"""),21000)</f>
        <v>21000</v>
      </c>
      <c r="L1378" s="8">
        <f ca="1">IFERROR(__xludf.DUMMYFUNCTION("""COMPUTED_VALUE"""),240.494732020155)</f>
        <v>240.494732020155</v>
      </c>
      <c r="M1378" s="96">
        <f ca="1">IFERROR(__xludf.DUMMYFUNCTION("""COMPUTED_VALUE"""),44896)</f>
        <v>44896</v>
      </c>
      <c r="N1378" s="6" t="str">
        <f ca="1">IFERROR(__xludf.DUMMYFUNCTION("""COMPUTED_VALUE"""),"F10")</f>
        <v>F10</v>
      </c>
      <c r="O1378" s="97">
        <f ca="1">IFERROR(__xludf.DUMMYFUNCTION("""COMPUTED_VALUE"""),44896)</f>
        <v>44896</v>
      </c>
      <c r="P1378" s="6" t="str">
        <f ca="1">IFERROR(__xludf.DUMMYFUNCTION("""COMPUTED_VALUE"""),"CSTM_3WWLVV6ANQU")</f>
        <v>CSTM_3WWLVV6ANQU</v>
      </c>
      <c r="Q1378" s="6"/>
      <c r="R1378" s="6" t="str">
        <f ca="1">IFERROR(__xludf.DUMMYFUNCTION("""COMPUTED_VALUE"""),"Pending")</f>
        <v>Pending</v>
      </c>
      <c r="S1378" s="6" t="str">
        <f ca="1">IFERROR(__xludf.DUMMYFUNCTION("""COMPUTED_VALUE"""),"Category")</f>
        <v>Category</v>
      </c>
      <c r="T1378" s="6"/>
      <c r="U1378" s="6"/>
      <c r="V1378" s="6"/>
      <c r="W1378" s="6"/>
      <c r="X1378" s="6"/>
      <c r="Y1378" s="6"/>
      <c r="Z1378" s="6"/>
      <c r="AA1378" s="6"/>
      <c r="AB1378" s="6"/>
      <c r="AC1378" s="6"/>
      <c r="AD1378" s="6"/>
      <c r="AE1378" s="6"/>
      <c r="AF1378" s="6"/>
      <c r="AG1378" s="6"/>
      <c r="AH1378" s="6"/>
      <c r="AI1378" s="6"/>
      <c r="AJ1378" s="6"/>
      <c r="AK1378" s="6"/>
      <c r="AL1378" s="6"/>
    </row>
    <row r="1379" spans="1:38">
      <c r="A1379" s="96">
        <f ca="1">IFERROR(__xludf.DUMMYFUNCTION("""COMPUTED_VALUE"""),44896)</f>
        <v>44896</v>
      </c>
      <c r="B1379" s="6" t="str">
        <f ca="1">IFERROR(__xludf.DUMMYFUNCTION("""COMPUTED_VALUE"""),"Kamlesh Sethi")</f>
        <v>Kamlesh Sethi</v>
      </c>
      <c r="C1379" s="6" t="str">
        <f ca="1">IFERROR(__xludf.DUMMYFUNCTION("""COMPUTED_VALUE"""),"kamlesh.sethi@tcs.com")</f>
        <v>kamlesh.sethi@tcs.com</v>
      </c>
      <c r="D1379" s="6">
        <f ca="1">IFERROR(__xludf.DUMMYFUNCTION("""COMPUTED_VALUE"""),9088253677)</f>
        <v>9088253677</v>
      </c>
      <c r="E1379" s="6" t="str">
        <f ca="1">IFERROR(__xludf.DUMMYFUNCTION("""COMPUTED_VALUE"""),"Reference")</f>
        <v>Reference</v>
      </c>
      <c r="F1379" s="6" t="str">
        <f ca="1">IFERROR(__xludf.DUMMYFUNCTION("""COMPUTED_VALUE"""),"PSM 2")</f>
        <v>PSM 2</v>
      </c>
      <c r="G1379" s="80">
        <f ca="1">IFERROR(__xludf.DUMMYFUNCTION("""COMPUTED_VALUE"""),44896)</f>
        <v>44896</v>
      </c>
      <c r="H1379" s="6" t="str">
        <f ca="1">IFERROR(__xludf.DUMMYFUNCTION("""COMPUTED_VALUE"""),"Won")</f>
        <v>Won</v>
      </c>
      <c r="I1379" s="6" t="str">
        <f ca="1">IFERROR(__xludf.DUMMYFUNCTION("""COMPUTED_VALUE"""),"17-18 Dec 2022")</f>
        <v>17-18 Dec 2022</v>
      </c>
      <c r="J1379" s="6">
        <f ca="1">IFERROR(__xludf.DUMMYFUNCTION("""COMPUTED_VALUE"""),1)</f>
        <v>1</v>
      </c>
      <c r="K1379" s="8">
        <f ca="1">IFERROR(__xludf.DUMMYFUNCTION("""COMPUTED_VALUE"""),24000)</f>
        <v>24000</v>
      </c>
      <c r="L1379" s="8">
        <f ca="1">IFERROR(__xludf.DUMMYFUNCTION("""COMPUTED_VALUE"""),274.851122308749)</f>
        <v>274.85112230874898</v>
      </c>
      <c r="M1379" s="96">
        <f ca="1">IFERROR(__xludf.DUMMYFUNCTION("""COMPUTED_VALUE"""),44896)</f>
        <v>44896</v>
      </c>
      <c r="N1379" s="6" t="str">
        <f ca="1">IFERROR(__xludf.DUMMYFUNCTION("""COMPUTED_VALUE"""),"F10")</f>
        <v>F10</v>
      </c>
      <c r="O1379" s="97">
        <f ca="1">IFERROR(__xludf.DUMMYFUNCTION("""COMPUTED_VALUE"""),44896)</f>
        <v>44896</v>
      </c>
      <c r="P1379" s="6" t="str">
        <f ca="1">IFERROR(__xludf.DUMMYFUNCTION("""COMPUTED_VALUE"""),"CSTM_AR3S83MNH2Q")</f>
        <v>CSTM_AR3S83MNH2Q</v>
      </c>
      <c r="Q1379" s="6" t="str">
        <f ca="1">IFERROR(__xludf.DUMMYFUNCTION("""COMPUTED_VALUE"""),"Reference by swatranjan.lahiri@tcs.com")</f>
        <v>Reference by swatranjan.lahiri@tcs.com</v>
      </c>
      <c r="R1379" s="6" t="str">
        <f ca="1">IFERROR(__xludf.DUMMYFUNCTION("""COMPUTED_VALUE"""),"Pending")</f>
        <v>Pending</v>
      </c>
      <c r="S1379" s="6" t="str">
        <f ca="1">IFERROR(__xludf.DUMMYFUNCTION("""COMPUTED_VALUE"""),"Category")</f>
        <v>Category</v>
      </c>
      <c r="T1379" s="6"/>
      <c r="U1379" s="6"/>
      <c r="V1379" s="6"/>
      <c r="W1379" s="6"/>
      <c r="X1379" s="6"/>
      <c r="Y1379" s="6"/>
      <c r="Z1379" s="6"/>
      <c r="AA1379" s="6"/>
      <c r="AB1379" s="6"/>
      <c r="AC1379" s="6"/>
      <c r="AD1379" s="6"/>
      <c r="AE1379" s="6"/>
      <c r="AF1379" s="6"/>
      <c r="AG1379" s="6"/>
      <c r="AH1379" s="6"/>
      <c r="AI1379" s="6"/>
      <c r="AJ1379" s="6"/>
      <c r="AK1379" s="6"/>
      <c r="AL1379" s="6"/>
    </row>
    <row r="1380" spans="1:38">
      <c r="A1380" s="96">
        <f ca="1">IFERROR(__xludf.DUMMYFUNCTION("""COMPUTED_VALUE"""),44897)</f>
        <v>44897</v>
      </c>
      <c r="B1380" s="6" t="str">
        <f ca="1">IFERROR(__xludf.DUMMYFUNCTION("""COMPUTED_VALUE"""),"Yukti Parmar")</f>
        <v>Yukti Parmar</v>
      </c>
      <c r="C1380" s="6" t="str">
        <f ca="1">IFERROR(__xludf.DUMMYFUNCTION("""COMPUTED_VALUE"""),"yukti.parmar@gmail.com")</f>
        <v>yukti.parmar@gmail.com</v>
      </c>
      <c r="D1380" s="6">
        <f ca="1">IFERROR(__xludf.DUMMYFUNCTION("""COMPUTED_VALUE"""),7620546144)</f>
        <v>7620546144</v>
      </c>
      <c r="E1380" s="6" t="str">
        <f ca="1">IFERROR(__xludf.DUMMYFUNCTION("""COMPUTED_VALUE"""),"Reference")</f>
        <v>Reference</v>
      </c>
      <c r="F1380" s="6" t="str">
        <f ca="1">IFERROR(__xludf.DUMMYFUNCTION("""COMPUTED_VALUE"""),"PSM")</f>
        <v>PSM</v>
      </c>
      <c r="G1380" s="80">
        <f ca="1">IFERROR(__xludf.DUMMYFUNCTION("""COMPUTED_VALUE"""),44896)</f>
        <v>44896</v>
      </c>
      <c r="H1380" s="6" t="str">
        <f ca="1">IFERROR(__xludf.DUMMYFUNCTION("""COMPUTED_VALUE"""),"Won")</f>
        <v>Won</v>
      </c>
      <c r="I1380" s="6" t="str">
        <f ca="1">IFERROR(__xludf.DUMMYFUNCTION("""COMPUTED_VALUE"""),"3-4 Dec 2022")</f>
        <v>3-4 Dec 2022</v>
      </c>
      <c r="J1380" s="6">
        <f ca="1">IFERROR(__xludf.DUMMYFUNCTION("""COMPUTED_VALUE"""),1)</f>
        <v>1</v>
      </c>
      <c r="K1380" s="8">
        <f ca="1">IFERROR(__xludf.DUMMYFUNCTION("""COMPUTED_VALUE"""),21000)</f>
        <v>21000</v>
      </c>
      <c r="L1380" s="8">
        <f ca="1">IFERROR(__xludf.DUMMYFUNCTION("""COMPUTED_VALUE"""),240.494732020155)</f>
        <v>240.494732020155</v>
      </c>
      <c r="M1380" s="96">
        <f ca="1">IFERROR(__xludf.DUMMYFUNCTION("""COMPUTED_VALUE"""),44897)</f>
        <v>44897</v>
      </c>
      <c r="N1380" s="6" t="str">
        <f ca="1">IFERROR(__xludf.DUMMYFUNCTION("""COMPUTED_VALUE"""),"F10")</f>
        <v>F10</v>
      </c>
      <c r="O1380" s="97">
        <f ca="1">IFERROR(__xludf.DUMMYFUNCTION("""COMPUTED_VALUE"""),44897)</f>
        <v>44897</v>
      </c>
      <c r="P1380" s="6" t="str">
        <f ca="1">IFERROR(__xludf.DUMMYFUNCTION("""COMPUTED_VALUE"""),"CSTM_CBMN0GKT5AL")</f>
        <v>CSTM_CBMN0GKT5AL</v>
      </c>
      <c r="Q1380" s="6" t="str">
        <f ca="1">IFERROR(__xludf.DUMMYFUNCTION("""COMPUTED_VALUE"""),"Reference by harshalrdc@gmail.com")</f>
        <v>Reference by harshalrdc@gmail.com</v>
      </c>
      <c r="R1380" s="6" t="str">
        <f ca="1">IFERROR(__xludf.DUMMYFUNCTION("""COMPUTED_VALUE"""),"Pending")</f>
        <v>Pending</v>
      </c>
      <c r="S1380" s="6" t="str">
        <f ca="1">IFERROR(__xludf.DUMMYFUNCTION("""COMPUTED_VALUE"""),"Category")</f>
        <v>Category</v>
      </c>
      <c r="T1380" s="6"/>
      <c r="U1380" s="6"/>
      <c r="V1380" s="6"/>
      <c r="W1380" s="6"/>
      <c r="X1380" s="6"/>
      <c r="Y1380" s="6"/>
      <c r="Z1380" s="6"/>
      <c r="AA1380" s="6"/>
      <c r="AB1380" s="6"/>
      <c r="AC1380" s="6"/>
      <c r="AD1380" s="6"/>
      <c r="AE1380" s="6"/>
      <c r="AF1380" s="6"/>
      <c r="AG1380" s="6"/>
      <c r="AH1380" s="6"/>
      <c r="AI1380" s="6"/>
      <c r="AJ1380" s="6"/>
      <c r="AK1380" s="6"/>
      <c r="AL1380" s="6"/>
    </row>
    <row r="1381" spans="1:38">
      <c r="A1381" s="96">
        <f ca="1">IFERROR(__xludf.DUMMYFUNCTION("""COMPUTED_VALUE"""),44897)</f>
        <v>44897</v>
      </c>
      <c r="B1381" s="6" t="str">
        <f ca="1">IFERROR(__xludf.DUMMYFUNCTION("""COMPUTED_VALUE"""),"Banahansi Tayat")</f>
        <v>Banahansi Tayat</v>
      </c>
      <c r="C1381" s="6" t="str">
        <f ca="1">IFERROR(__xludf.DUMMYFUNCTION("""COMPUTED_VALUE"""),"banahansigantayat@gmail.com")</f>
        <v>banahansigantayat@gmail.com</v>
      </c>
      <c r="D1381" s="6">
        <f ca="1">IFERROR(__xludf.DUMMYFUNCTION("""COMPUTED_VALUE"""),9820982624)</f>
        <v>9820982624</v>
      </c>
      <c r="E1381" s="6" t="str">
        <f ca="1">IFERROR(__xludf.DUMMYFUNCTION("""COMPUTED_VALUE"""),"Reference")</f>
        <v>Reference</v>
      </c>
      <c r="F1381" s="6" t="str">
        <f ca="1">IFERROR(__xludf.DUMMYFUNCTION("""COMPUTED_VALUE"""),"PSM 2")</f>
        <v>PSM 2</v>
      </c>
      <c r="G1381" s="80">
        <f ca="1">IFERROR(__xludf.DUMMYFUNCTION("""COMPUTED_VALUE"""),44896)</f>
        <v>44896</v>
      </c>
      <c r="H1381" s="6" t="str">
        <f ca="1">IFERROR(__xludf.DUMMYFUNCTION("""COMPUTED_VALUE"""),"Opportunity")</f>
        <v>Opportunity</v>
      </c>
      <c r="I1381" s="6" t="str">
        <f ca="1">IFERROR(__xludf.DUMMYFUNCTION("""COMPUTED_VALUE"""),"5-6 Dec 2022")</f>
        <v>5-6 Dec 2022</v>
      </c>
      <c r="J1381" s="6">
        <f ca="1">IFERROR(__xludf.DUMMYFUNCTION("""COMPUTED_VALUE"""),1)</f>
        <v>1</v>
      </c>
      <c r="K1381" s="8">
        <f ca="1">IFERROR(__xludf.DUMMYFUNCTION("""COMPUTED_VALUE"""),24000)</f>
        <v>24000</v>
      </c>
      <c r="L1381" s="8">
        <f ca="1">IFERROR(__xludf.DUMMYFUNCTION("""COMPUTED_VALUE"""),274.851122308749)</f>
        <v>274.85112230874898</v>
      </c>
      <c r="M1381" s="96">
        <f ca="1">IFERROR(__xludf.DUMMYFUNCTION("""COMPUTED_VALUE"""),44897)</f>
        <v>44897</v>
      </c>
      <c r="N1381" s="6"/>
      <c r="O1381" s="97"/>
      <c r="P1381" s="6"/>
      <c r="Q1381" s="6" t="str">
        <f ca="1">IFERROR(__xludf.DUMMYFUNCTION("""COMPUTED_VALUE"""),"Reference by rakesh_bluemoon@yahoo.co.in")</f>
        <v>Reference by rakesh_bluemoon@yahoo.co.in</v>
      </c>
      <c r="R1381" s="6"/>
      <c r="S1381" s="6" t="str">
        <f ca="1">IFERROR(__xludf.DUMMYFUNCTION("""COMPUTED_VALUE"""),"Category")</f>
        <v>Category</v>
      </c>
      <c r="T1381" s="6"/>
      <c r="U1381" s="6"/>
      <c r="V1381" s="6"/>
      <c r="W1381" s="6"/>
      <c r="X1381" s="6"/>
      <c r="Y1381" s="6"/>
      <c r="Z1381" s="6"/>
      <c r="AA1381" s="6"/>
      <c r="AB1381" s="6"/>
      <c r="AC1381" s="6"/>
      <c r="AD1381" s="6"/>
      <c r="AE1381" s="6"/>
      <c r="AF1381" s="6"/>
      <c r="AG1381" s="6"/>
      <c r="AH1381" s="6"/>
      <c r="AI1381" s="6"/>
      <c r="AJ1381" s="6"/>
      <c r="AK1381" s="6"/>
      <c r="AL1381" s="6"/>
    </row>
    <row r="1382" spans="1:38">
      <c r="A1382" s="96">
        <f ca="1">IFERROR(__xludf.DUMMYFUNCTION("""COMPUTED_VALUE"""),44897)</f>
        <v>44897</v>
      </c>
      <c r="B1382" s="6" t="str">
        <f ca="1">IFERROR(__xludf.DUMMYFUNCTION("""COMPUTED_VALUE"""),"Jojo George")</f>
        <v>Jojo George</v>
      </c>
      <c r="C1382" s="6" t="str">
        <f ca="1">IFERROR(__xludf.DUMMYFUNCTION("""COMPUTED_VALUE"""),"jojo.george@gmail.com")</f>
        <v>jojo.george@gmail.com</v>
      </c>
      <c r="D1382" s="6">
        <f ca="1">IFERROR(__xludf.DUMMYFUNCTION("""COMPUTED_VALUE"""),7888098537)</f>
        <v>7888098537</v>
      </c>
      <c r="E1382" s="6" t="str">
        <f ca="1">IFERROR(__xludf.DUMMYFUNCTION("""COMPUTED_VALUE"""),"Query box")</f>
        <v>Query box</v>
      </c>
      <c r="F1382" s="6" t="str">
        <f ca="1">IFERROR(__xludf.DUMMYFUNCTION("""COMPUTED_VALUE"""),"CSM")</f>
        <v>CSM</v>
      </c>
      <c r="G1382" s="80">
        <f ca="1">IFERROR(__xludf.DUMMYFUNCTION("""COMPUTED_VALUE"""),44896)</f>
        <v>44896</v>
      </c>
      <c r="H1382" s="6" t="str">
        <f ca="1">IFERROR(__xludf.DUMMYFUNCTION("""COMPUTED_VALUE"""),"Won")</f>
        <v>Won</v>
      </c>
      <c r="I1382" s="6" t="str">
        <f ca="1">IFERROR(__xludf.DUMMYFUNCTION("""COMPUTED_VALUE"""),"3-4 Dec 2022")</f>
        <v>3-4 Dec 2022</v>
      </c>
      <c r="J1382" s="6">
        <f ca="1">IFERROR(__xludf.DUMMYFUNCTION("""COMPUTED_VALUE"""),1)</f>
        <v>1</v>
      </c>
      <c r="K1382" s="8">
        <f ca="1">IFERROR(__xludf.DUMMYFUNCTION("""COMPUTED_VALUE"""),20000)</f>
        <v>20000</v>
      </c>
      <c r="L1382" s="8">
        <f ca="1">IFERROR(__xludf.DUMMYFUNCTION("""COMPUTED_VALUE"""),229.042601923957)</f>
        <v>229.04260192395699</v>
      </c>
      <c r="M1382" s="96">
        <f ca="1">IFERROR(__xludf.DUMMYFUNCTION("""COMPUTED_VALUE"""),44897)</f>
        <v>44897</v>
      </c>
      <c r="N1382" s="6" t="str">
        <f ca="1">IFERROR(__xludf.DUMMYFUNCTION("""COMPUTED_VALUE"""),"F10")</f>
        <v>F10</v>
      </c>
      <c r="O1382" s="97">
        <f ca="1">IFERROR(__xludf.DUMMYFUNCTION("""COMPUTED_VALUE"""),44897)</f>
        <v>44897</v>
      </c>
      <c r="P1382" s="6" t="str">
        <f ca="1">IFERROR(__xludf.DUMMYFUNCTION("""COMPUTED_VALUE"""),"CSTM_FYS02VFJ6PG")</f>
        <v>CSTM_FYS02VFJ6PG</v>
      </c>
      <c r="Q1382" s="6"/>
      <c r="R1382" s="6" t="str">
        <f ca="1">IFERROR(__xludf.DUMMYFUNCTION("""COMPUTED_VALUE"""),"Pending")</f>
        <v>Pending</v>
      </c>
      <c r="S1382" s="6" t="str">
        <f ca="1">IFERROR(__xludf.DUMMYFUNCTION("""COMPUTED_VALUE"""),"Category")</f>
        <v>Category</v>
      </c>
      <c r="T1382" s="6"/>
      <c r="U1382" s="6"/>
      <c r="V1382" s="6"/>
      <c r="W1382" s="6"/>
      <c r="X1382" s="6"/>
      <c r="Y1382" s="6"/>
      <c r="Z1382" s="6"/>
      <c r="AA1382" s="6"/>
      <c r="AB1382" s="6"/>
      <c r="AC1382" s="6"/>
      <c r="AD1382" s="6"/>
      <c r="AE1382" s="6"/>
      <c r="AF1382" s="6"/>
      <c r="AG1382" s="6"/>
      <c r="AH1382" s="6"/>
      <c r="AI1382" s="6"/>
      <c r="AJ1382" s="6"/>
      <c r="AK1382" s="6"/>
      <c r="AL1382" s="6"/>
    </row>
    <row r="1383" spans="1:38">
      <c r="A1383" s="96">
        <f ca="1">IFERROR(__xludf.DUMMYFUNCTION("""COMPUTED_VALUE"""),44897)</f>
        <v>44897</v>
      </c>
      <c r="B1383" s="6" t="str">
        <f ca="1">IFERROR(__xludf.DUMMYFUNCTION("""COMPUTED_VALUE"""),"Hari Priya")</f>
        <v>Hari Priya</v>
      </c>
      <c r="C1383" s="6" t="str">
        <f ca="1">IFERROR(__xludf.DUMMYFUNCTION("""COMPUTED_VALUE"""),"haripriya.hpg@gmail.com")</f>
        <v>haripriya.hpg@gmail.com</v>
      </c>
      <c r="D1383" s="6">
        <f ca="1">IFERROR(__xludf.DUMMYFUNCTION("""COMPUTED_VALUE"""),9182615032)</f>
        <v>9182615032</v>
      </c>
      <c r="E1383" s="6" t="str">
        <f ca="1">IFERROR(__xludf.DUMMYFUNCTION("""COMPUTED_VALUE"""),"Chat_triggered")</f>
        <v>Chat_triggered</v>
      </c>
      <c r="F1383" s="6" t="str">
        <f ca="1">IFERROR(__xludf.DUMMYFUNCTION("""COMPUTED_VALUE"""),"PSM")</f>
        <v>PSM</v>
      </c>
      <c r="G1383" s="80">
        <f ca="1">IFERROR(__xludf.DUMMYFUNCTION("""COMPUTED_VALUE"""),44896)</f>
        <v>44896</v>
      </c>
      <c r="H1383" s="6" t="str">
        <f ca="1">IFERROR(__xludf.DUMMYFUNCTION("""COMPUTED_VALUE"""),"Opportunity")</f>
        <v>Opportunity</v>
      </c>
      <c r="I1383" s="6" t="str">
        <f ca="1">IFERROR(__xludf.DUMMYFUNCTION("""COMPUTED_VALUE"""),"21-22 Jan 2023")</f>
        <v>21-22 Jan 2023</v>
      </c>
      <c r="J1383" s="6">
        <f ca="1">IFERROR(__xludf.DUMMYFUNCTION("""COMPUTED_VALUE"""),1)</f>
        <v>1</v>
      </c>
      <c r="K1383" s="8">
        <f ca="1">IFERROR(__xludf.DUMMYFUNCTION("""COMPUTED_VALUE"""),21000)</f>
        <v>21000</v>
      </c>
      <c r="L1383" s="8">
        <f ca="1">IFERROR(__xludf.DUMMYFUNCTION("""COMPUTED_VALUE"""),240.494732020155)</f>
        <v>240.494732020155</v>
      </c>
      <c r="M1383" s="96">
        <f ca="1">IFERROR(__xludf.DUMMYFUNCTION("""COMPUTED_VALUE"""),44897)</f>
        <v>44897</v>
      </c>
      <c r="N1383" s="6"/>
      <c r="O1383" s="97"/>
      <c r="P1383" s="6"/>
      <c r="Q1383" s="6"/>
      <c r="R1383" s="6"/>
      <c r="S1383" s="6" t="str">
        <f ca="1">IFERROR(__xludf.DUMMYFUNCTION("""COMPUTED_VALUE"""),"Category")</f>
        <v>Category</v>
      </c>
      <c r="T1383" s="6"/>
      <c r="U1383" s="6"/>
      <c r="V1383" s="6"/>
      <c r="W1383" s="6"/>
      <c r="X1383" s="6"/>
      <c r="Y1383" s="6"/>
      <c r="Z1383" s="6"/>
      <c r="AA1383" s="6"/>
      <c r="AB1383" s="6"/>
      <c r="AC1383" s="6"/>
      <c r="AD1383" s="6"/>
      <c r="AE1383" s="6"/>
      <c r="AF1383" s="6"/>
      <c r="AG1383" s="6"/>
      <c r="AH1383" s="6"/>
      <c r="AI1383" s="6"/>
      <c r="AJ1383" s="6"/>
      <c r="AK1383" s="6"/>
      <c r="AL1383" s="6"/>
    </row>
    <row r="1384" spans="1:38">
      <c r="A1384" s="96">
        <f ca="1">IFERROR(__xludf.DUMMYFUNCTION("""COMPUTED_VALUE"""),44897)</f>
        <v>44897</v>
      </c>
      <c r="B1384" s="6" t="str">
        <f ca="1">IFERROR(__xludf.DUMMYFUNCTION("""COMPUTED_VALUE"""),"Sunil Kumar")</f>
        <v>Sunil Kumar</v>
      </c>
      <c r="C1384" s="6" t="str">
        <f ca="1">IFERROR(__xludf.DUMMYFUNCTION("""COMPUTED_VALUE"""),"ricardo.sunilkumar03@gmail.com")</f>
        <v>ricardo.sunilkumar03@gmail.com</v>
      </c>
      <c r="D1384" s="6">
        <f ca="1">IFERROR(__xludf.DUMMYFUNCTION("""COMPUTED_VALUE"""),8892582401)</f>
        <v>8892582401</v>
      </c>
      <c r="E1384" s="6" t="str">
        <f ca="1">IFERROR(__xludf.DUMMYFUNCTION("""COMPUTED_VALUE"""),"Chat_triggered")</f>
        <v>Chat_triggered</v>
      </c>
      <c r="F1384" s="6" t="str">
        <f ca="1">IFERROR(__xludf.DUMMYFUNCTION("""COMPUTED_VALUE"""),"PSM")</f>
        <v>PSM</v>
      </c>
      <c r="G1384" s="80">
        <f ca="1">IFERROR(__xludf.DUMMYFUNCTION("""COMPUTED_VALUE"""),44896)</f>
        <v>44896</v>
      </c>
      <c r="H1384" s="6" t="str">
        <f ca="1">IFERROR(__xludf.DUMMYFUNCTION("""COMPUTED_VALUE"""),"Won")</f>
        <v>Won</v>
      </c>
      <c r="I1384" s="6" t="str">
        <f ca="1">IFERROR(__xludf.DUMMYFUNCTION("""COMPUTED_VALUE"""),"24-25 Dec 2022")</f>
        <v>24-25 Dec 2022</v>
      </c>
      <c r="J1384" s="6">
        <f ca="1">IFERROR(__xludf.DUMMYFUNCTION("""COMPUTED_VALUE"""),1)</f>
        <v>1</v>
      </c>
      <c r="K1384" s="8">
        <f ca="1">IFERROR(__xludf.DUMMYFUNCTION("""COMPUTED_VALUE"""),21000)</f>
        <v>21000</v>
      </c>
      <c r="L1384" s="8">
        <f ca="1">IFERROR(__xludf.DUMMYFUNCTION("""COMPUTED_VALUE"""),240.494732020155)</f>
        <v>240.494732020155</v>
      </c>
      <c r="M1384" s="96">
        <f ca="1">IFERROR(__xludf.DUMMYFUNCTION("""COMPUTED_VALUE"""),44897)</f>
        <v>44897</v>
      </c>
      <c r="N1384" s="6" t="str">
        <f ca="1">IFERROR(__xludf.DUMMYFUNCTION("""COMPUTED_VALUE"""),"F10")</f>
        <v>F10</v>
      </c>
      <c r="O1384" s="97">
        <f ca="1">IFERROR(__xludf.DUMMYFUNCTION("""COMPUTED_VALUE"""),44897)</f>
        <v>44897</v>
      </c>
      <c r="P1384" s="6" t="str">
        <f ca="1">IFERROR(__xludf.DUMMYFUNCTION("""COMPUTED_VALUE"""),"CSTM_4B9EPYLRA7O")</f>
        <v>CSTM_4B9EPYLRA7O</v>
      </c>
      <c r="Q1384" s="6"/>
      <c r="R1384" s="6" t="str">
        <f ca="1">IFERROR(__xludf.DUMMYFUNCTION("""COMPUTED_VALUE"""),"Pending")</f>
        <v>Pending</v>
      </c>
      <c r="S1384" s="6" t="str">
        <f ca="1">IFERROR(__xludf.DUMMYFUNCTION("""COMPUTED_VALUE"""),"Category")</f>
        <v>Category</v>
      </c>
      <c r="T1384" s="6"/>
      <c r="U1384" s="6"/>
      <c r="V1384" s="6"/>
      <c r="W1384" s="6"/>
      <c r="X1384" s="6"/>
      <c r="Y1384" s="6"/>
      <c r="Z1384" s="6"/>
      <c r="AA1384" s="6"/>
      <c r="AB1384" s="6"/>
      <c r="AC1384" s="6"/>
      <c r="AD1384" s="6"/>
      <c r="AE1384" s="6"/>
      <c r="AF1384" s="6"/>
      <c r="AG1384" s="6"/>
      <c r="AH1384" s="6"/>
      <c r="AI1384" s="6"/>
      <c r="AJ1384" s="6"/>
      <c r="AK1384" s="6"/>
      <c r="AL1384" s="6"/>
    </row>
    <row r="1385" spans="1:38">
      <c r="A1385" s="96">
        <f ca="1">IFERROR(__xludf.DUMMYFUNCTION("""COMPUTED_VALUE"""),44897)</f>
        <v>44897</v>
      </c>
      <c r="B1385" s="6" t="str">
        <f ca="1">IFERROR(__xludf.DUMMYFUNCTION("""COMPUTED_VALUE"""),"Suchita Avsare")</f>
        <v>Suchita Avsare</v>
      </c>
      <c r="C1385" s="6" t="str">
        <f ca="1">IFERROR(__xludf.DUMMYFUNCTION("""COMPUTED_VALUE"""),"suchita.avsare@tcs.com")</f>
        <v>suchita.avsare@tcs.com</v>
      </c>
      <c r="D1385" s="6">
        <f ca="1">IFERROR(__xludf.DUMMYFUNCTION("""COMPUTED_VALUE"""),9223355201)</f>
        <v>9223355201</v>
      </c>
      <c r="E1385" s="6" t="str">
        <f ca="1">IFERROR(__xludf.DUMMYFUNCTION("""COMPUTED_VALUE"""),"Reference")</f>
        <v>Reference</v>
      </c>
      <c r="F1385" s="6" t="str">
        <f ca="1">IFERROR(__xludf.DUMMYFUNCTION("""COMPUTED_VALUE"""),"PSPO")</f>
        <v>PSPO</v>
      </c>
      <c r="G1385" s="80">
        <f ca="1">IFERROR(__xludf.DUMMYFUNCTION("""COMPUTED_VALUE"""),44896)</f>
        <v>44896</v>
      </c>
      <c r="H1385" s="6" t="str">
        <f ca="1">IFERROR(__xludf.DUMMYFUNCTION("""COMPUTED_VALUE"""),"Won")</f>
        <v>Won</v>
      </c>
      <c r="I1385" s="6" t="str">
        <f ca="1">IFERROR(__xludf.DUMMYFUNCTION("""COMPUTED_VALUE"""),"3-4 Dec 2022")</f>
        <v>3-4 Dec 2022</v>
      </c>
      <c r="J1385" s="6">
        <f ca="1">IFERROR(__xludf.DUMMYFUNCTION("""COMPUTED_VALUE"""),1)</f>
        <v>1</v>
      </c>
      <c r="K1385" s="8">
        <f ca="1">IFERROR(__xludf.DUMMYFUNCTION("""COMPUTED_VALUE"""),21000)</f>
        <v>21000</v>
      </c>
      <c r="L1385" s="8">
        <f ca="1">IFERROR(__xludf.DUMMYFUNCTION("""COMPUTED_VALUE"""),240.494732020155)</f>
        <v>240.494732020155</v>
      </c>
      <c r="M1385" s="96">
        <f ca="1">IFERROR(__xludf.DUMMYFUNCTION("""COMPUTED_VALUE"""),44897)</f>
        <v>44897</v>
      </c>
      <c r="N1385" s="6" t="str">
        <f ca="1">IFERROR(__xludf.DUMMYFUNCTION("""COMPUTED_VALUE"""),"F10")</f>
        <v>F10</v>
      </c>
      <c r="O1385" s="97">
        <f ca="1">IFERROR(__xludf.DUMMYFUNCTION("""COMPUTED_VALUE"""),44897)</f>
        <v>44897</v>
      </c>
      <c r="P1385" s="6" t="str">
        <f ca="1">IFERROR(__xludf.DUMMYFUNCTION("""COMPUTED_VALUE"""),"CSTM_8W9I36IBSXI")</f>
        <v>CSTM_8W9I36IBSXI</v>
      </c>
      <c r="Q1385" s="6" t="str">
        <f ca="1">IFERROR(__xludf.DUMMYFUNCTION("""COMPUTED_VALUE"""),"Reference by samir_nov122002@yahoo.co.in")</f>
        <v>Reference by samir_nov122002@yahoo.co.in</v>
      </c>
      <c r="R1385" s="6" t="str">
        <f ca="1">IFERROR(__xludf.DUMMYFUNCTION("""COMPUTED_VALUE"""),"Pending")</f>
        <v>Pending</v>
      </c>
      <c r="S1385" s="6" t="str">
        <f ca="1">IFERROR(__xludf.DUMMYFUNCTION("""COMPUTED_VALUE"""),"Category")</f>
        <v>Category</v>
      </c>
      <c r="T1385" s="6"/>
      <c r="U1385" s="6"/>
      <c r="V1385" s="6"/>
      <c r="W1385" s="6"/>
      <c r="X1385" s="6"/>
      <c r="Y1385" s="6"/>
      <c r="Z1385" s="6"/>
      <c r="AA1385" s="6"/>
      <c r="AB1385" s="6"/>
      <c r="AC1385" s="6"/>
      <c r="AD1385" s="6"/>
      <c r="AE1385" s="6"/>
      <c r="AF1385" s="6"/>
      <c r="AG1385" s="6"/>
      <c r="AH1385" s="6"/>
      <c r="AI1385" s="6"/>
      <c r="AJ1385" s="6"/>
      <c r="AK1385" s="6"/>
      <c r="AL1385" s="6"/>
    </row>
    <row r="1386" spans="1:38">
      <c r="A1386" s="96">
        <f ca="1">IFERROR(__xludf.DUMMYFUNCTION("""COMPUTED_VALUE"""),44897)</f>
        <v>44897</v>
      </c>
      <c r="B1386" s="6" t="str">
        <f ca="1">IFERROR(__xludf.DUMMYFUNCTION("""COMPUTED_VALUE"""),"Rakesh Shah")</f>
        <v>Rakesh Shah</v>
      </c>
      <c r="C1386" s="6" t="str">
        <f ca="1">IFERROR(__xludf.DUMMYFUNCTION("""COMPUTED_VALUE"""),"rakesh_bluemoon@yahoo.co.in")</f>
        <v>rakesh_bluemoon@yahoo.co.in</v>
      </c>
      <c r="D1386" s="6">
        <f ca="1">IFERROR(__xludf.DUMMYFUNCTION("""COMPUTED_VALUE"""),8744045339)</f>
        <v>8744045339</v>
      </c>
      <c r="E1386" s="6" t="str">
        <f ca="1">IFERROR(__xludf.DUMMYFUNCTION("""COMPUTED_VALUE"""),"Reference")</f>
        <v>Reference</v>
      </c>
      <c r="F1386" s="6" t="str">
        <f ca="1">IFERROR(__xludf.DUMMYFUNCTION("""COMPUTED_VALUE"""),"PSM 2")</f>
        <v>PSM 2</v>
      </c>
      <c r="G1386" s="80">
        <f ca="1">IFERROR(__xludf.DUMMYFUNCTION("""COMPUTED_VALUE"""),44896)</f>
        <v>44896</v>
      </c>
      <c r="H1386" s="6" t="str">
        <f ca="1">IFERROR(__xludf.DUMMYFUNCTION("""COMPUTED_VALUE"""),"Won")</f>
        <v>Won</v>
      </c>
      <c r="I1386" s="6" t="str">
        <f ca="1">IFERROR(__xludf.DUMMYFUNCTION("""COMPUTED_VALUE"""),"17-18 Dec 2022")</f>
        <v>17-18 Dec 2022</v>
      </c>
      <c r="J1386" s="6">
        <f ca="1">IFERROR(__xludf.DUMMYFUNCTION("""COMPUTED_VALUE"""),1)</f>
        <v>1</v>
      </c>
      <c r="K1386" s="8">
        <f ca="1">IFERROR(__xludf.DUMMYFUNCTION("""COMPUTED_VALUE"""),24000)</f>
        <v>24000</v>
      </c>
      <c r="L1386" s="8">
        <f ca="1">IFERROR(__xludf.DUMMYFUNCTION("""COMPUTED_VALUE"""),274.851122308749)</f>
        <v>274.85112230874898</v>
      </c>
      <c r="M1386" s="96">
        <f ca="1">IFERROR(__xludf.DUMMYFUNCTION("""COMPUTED_VALUE"""),44897)</f>
        <v>44897</v>
      </c>
      <c r="N1386" s="6" t="str">
        <f ca="1">IFERROR(__xludf.DUMMYFUNCTION("""COMPUTED_VALUE"""),"F10")</f>
        <v>F10</v>
      </c>
      <c r="O1386" s="97">
        <f ca="1">IFERROR(__xludf.DUMMYFUNCTION("""COMPUTED_VALUE"""),44897)</f>
        <v>44897</v>
      </c>
      <c r="P1386" s="6" t="str">
        <f ca="1">IFERROR(__xludf.DUMMYFUNCTION("""COMPUTED_VALUE"""),"CSTM_852GQ7DSW0D")</f>
        <v>CSTM_852GQ7DSW0D</v>
      </c>
      <c r="Q1386" s="6" t="str">
        <f ca="1">IFERROR(__xludf.DUMMYFUNCTION("""COMPUTED_VALUE"""),"Reference by priyanka5sep@gmail.com")</f>
        <v>Reference by priyanka5sep@gmail.com</v>
      </c>
      <c r="R1386" s="6" t="str">
        <f ca="1">IFERROR(__xludf.DUMMYFUNCTION("""COMPUTED_VALUE"""),"Pending")</f>
        <v>Pending</v>
      </c>
      <c r="S1386" s="6" t="str">
        <f ca="1">IFERROR(__xludf.DUMMYFUNCTION("""COMPUTED_VALUE"""),"Category")</f>
        <v>Category</v>
      </c>
      <c r="T1386" s="6"/>
      <c r="U1386" s="6"/>
      <c r="V1386" s="6"/>
      <c r="W1386" s="6"/>
      <c r="X1386" s="6"/>
      <c r="Y1386" s="6"/>
      <c r="Z1386" s="6"/>
      <c r="AA1386" s="6"/>
      <c r="AB1386" s="6"/>
      <c r="AC1386" s="6"/>
      <c r="AD1386" s="6"/>
      <c r="AE1386" s="6"/>
      <c r="AF1386" s="6"/>
      <c r="AG1386" s="6"/>
      <c r="AH1386" s="6"/>
      <c r="AI1386" s="6"/>
      <c r="AJ1386" s="6"/>
      <c r="AK1386" s="6"/>
      <c r="AL1386" s="6"/>
    </row>
    <row r="1387" spans="1:38">
      <c r="A1387" s="96">
        <f ca="1">IFERROR(__xludf.DUMMYFUNCTION("""COMPUTED_VALUE"""),44897)</f>
        <v>44897</v>
      </c>
      <c r="B1387" s="6" t="str">
        <f ca="1">IFERROR(__xludf.DUMMYFUNCTION("""COMPUTED_VALUE"""),"Banahansi Gantayat")</f>
        <v>Banahansi Gantayat</v>
      </c>
      <c r="C1387" s="6" t="str">
        <f ca="1">IFERROR(__xludf.DUMMYFUNCTION("""COMPUTED_VALUE"""),"banahansigantayat@gmail.com")</f>
        <v>banahansigantayat@gmail.com</v>
      </c>
      <c r="D1387" s="6">
        <f ca="1">IFERROR(__xludf.DUMMYFUNCTION("""COMPUTED_VALUE"""),9820982624)</f>
        <v>9820982624</v>
      </c>
      <c r="E1387" s="6" t="str">
        <f ca="1">IFERROR(__xludf.DUMMYFUNCTION("""COMPUTED_VALUE"""),"Reference")</f>
        <v>Reference</v>
      </c>
      <c r="F1387" s="6" t="str">
        <f ca="1">IFERROR(__xludf.DUMMYFUNCTION("""COMPUTED_VALUE"""),"PSM 2")</f>
        <v>PSM 2</v>
      </c>
      <c r="G1387" s="80">
        <f ca="1">IFERROR(__xludf.DUMMYFUNCTION("""COMPUTED_VALUE"""),44896)</f>
        <v>44896</v>
      </c>
      <c r="H1387" s="6" t="str">
        <f ca="1">IFERROR(__xludf.DUMMYFUNCTION("""COMPUTED_VALUE"""),"Won")</f>
        <v>Won</v>
      </c>
      <c r="I1387" s="6" t="str">
        <f ca="1">IFERROR(__xludf.DUMMYFUNCTION("""COMPUTED_VALUE"""),"10-11 Dec 2022")</f>
        <v>10-11 Dec 2022</v>
      </c>
      <c r="J1387" s="6">
        <f ca="1">IFERROR(__xludf.DUMMYFUNCTION("""COMPUTED_VALUE"""),1)</f>
        <v>1</v>
      </c>
      <c r="K1387" s="8">
        <f ca="1">IFERROR(__xludf.DUMMYFUNCTION("""COMPUTED_VALUE"""),24000)</f>
        <v>24000</v>
      </c>
      <c r="L1387" s="8">
        <f ca="1">IFERROR(__xludf.DUMMYFUNCTION("""COMPUTED_VALUE"""),274.851122308749)</f>
        <v>274.85112230874898</v>
      </c>
      <c r="M1387" s="96">
        <f ca="1">IFERROR(__xludf.DUMMYFUNCTION("""COMPUTED_VALUE"""),44897)</f>
        <v>44897</v>
      </c>
      <c r="N1387" s="6" t="str">
        <f ca="1">IFERROR(__xludf.DUMMYFUNCTION("""COMPUTED_VALUE"""),"S10")</f>
        <v>S10</v>
      </c>
      <c r="O1387" s="97">
        <f ca="1">IFERROR(__xludf.DUMMYFUNCTION("""COMPUTED_VALUE"""),44904)</f>
        <v>44904</v>
      </c>
      <c r="P1387" s="6" t="str">
        <f ca="1">IFERROR(__xludf.DUMMYFUNCTION("""COMPUTED_VALUE"""),"CSTM_8HZFITEIQF1")</f>
        <v>CSTM_8HZFITEIQF1</v>
      </c>
      <c r="Q1387" s="6" t="str">
        <f ca="1">IFERROR(__xludf.DUMMYFUNCTION("""COMPUTED_VALUE"""),"Reference by rakesh_bluemoon@yahoo.co.in")</f>
        <v>Reference by rakesh_bluemoon@yahoo.co.in</v>
      </c>
      <c r="R1387" s="6" t="str">
        <f ca="1">IFERROR(__xludf.DUMMYFUNCTION("""COMPUTED_VALUE"""),"Pending")</f>
        <v>Pending</v>
      </c>
      <c r="S1387" s="6" t="str">
        <f ca="1">IFERROR(__xludf.DUMMYFUNCTION("""COMPUTED_VALUE"""),"Category")</f>
        <v>Category</v>
      </c>
      <c r="T1387" s="6"/>
      <c r="U1387" s="6"/>
      <c r="V1387" s="6"/>
      <c r="W1387" s="6"/>
      <c r="X1387" s="6"/>
      <c r="Y1387" s="6"/>
      <c r="Z1387" s="6"/>
      <c r="AA1387" s="6"/>
      <c r="AB1387" s="6"/>
      <c r="AC1387" s="6"/>
      <c r="AD1387" s="6"/>
      <c r="AE1387" s="6"/>
      <c r="AF1387" s="6"/>
      <c r="AG1387" s="6"/>
      <c r="AH1387" s="6"/>
      <c r="AI1387" s="6"/>
      <c r="AJ1387" s="6"/>
      <c r="AK1387" s="6"/>
      <c r="AL1387" s="6"/>
    </row>
    <row r="1388" spans="1:38">
      <c r="A1388" s="96">
        <f ca="1">IFERROR(__xludf.DUMMYFUNCTION("""COMPUTED_VALUE"""),44900)</f>
        <v>44900</v>
      </c>
      <c r="B1388" s="6" t="str">
        <f ca="1">IFERROR(__xludf.DUMMYFUNCTION("""COMPUTED_VALUE"""),"Ravi Kumar")</f>
        <v>Ravi Kumar</v>
      </c>
      <c r="C1388" s="6" t="str">
        <f ca="1">IFERROR(__xludf.DUMMYFUNCTION("""COMPUTED_VALUE"""),"terdalravikumar@gmail.com")</f>
        <v>terdalravikumar@gmail.com</v>
      </c>
      <c r="D1388" s="6">
        <f ca="1">IFERROR(__xludf.DUMMYFUNCTION("""COMPUTED_VALUE"""),7483192726)</f>
        <v>7483192726</v>
      </c>
      <c r="E1388" s="6" t="str">
        <f ca="1">IFERROR(__xludf.DUMMYFUNCTION("""COMPUTED_VALUE"""),"Reference")</f>
        <v>Reference</v>
      </c>
      <c r="F1388" s="6" t="str">
        <f ca="1">IFERROR(__xludf.DUMMYFUNCTION("""COMPUTED_VALUE"""),"PSM 2")</f>
        <v>PSM 2</v>
      </c>
      <c r="G1388" s="80">
        <f ca="1">IFERROR(__xludf.DUMMYFUNCTION("""COMPUTED_VALUE"""),44896)</f>
        <v>44896</v>
      </c>
      <c r="H1388" s="6" t="str">
        <f ca="1">IFERROR(__xludf.DUMMYFUNCTION("""COMPUTED_VALUE"""),"Won")</f>
        <v>Won</v>
      </c>
      <c r="I1388" s="6" t="str">
        <f ca="1">IFERROR(__xludf.DUMMYFUNCTION("""COMPUTED_VALUE"""),"17-18 Dec 2022")</f>
        <v>17-18 Dec 2022</v>
      </c>
      <c r="J1388" s="6">
        <f ca="1">IFERROR(__xludf.DUMMYFUNCTION("""COMPUTED_VALUE"""),1)</f>
        <v>1</v>
      </c>
      <c r="K1388" s="8">
        <f ca="1">IFERROR(__xludf.DUMMYFUNCTION("""COMPUTED_VALUE"""),24000)</f>
        <v>24000</v>
      </c>
      <c r="L1388" s="8">
        <f ca="1">IFERROR(__xludf.DUMMYFUNCTION("""COMPUTED_VALUE"""),274.851122308749)</f>
        <v>274.85112230874898</v>
      </c>
      <c r="M1388" s="96">
        <f ca="1">IFERROR(__xludf.DUMMYFUNCTION("""COMPUTED_VALUE"""),44900)</f>
        <v>44900</v>
      </c>
      <c r="N1388" s="6" t="str">
        <f ca="1">IFERROR(__xludf.DUMMYFUNCTION("""COMPUTED_VALUE"""),"F10")</f>
        <v>F10</v>
      </c>
      <c r="O1388" s="97">
        <f ca="1">IFERROR(__xludf.DUMMYFUNCTION("""COMPUTED_VALUE"""),44900)</f>
        <v>44900</v>
      </c>
      <c r="P1388" s="6" t="str">
        <f ca="1">IFERROR(__xludf.DUMMYFUNCTION("""COMPUTED_VALUE"""),"CSTM_QRJ769W8WZ")</f>
        <v>CSTM_QRJ769W8WZ</v>
      </c>
      <c r="Q1388" s="6" t="str">
        <f ca="1">IFERROR(__xludf.DUMMYFUNCTION("""COMPUTED_VALUE"""),"Reference by manasdhara1@gmail.com")</f>
        <v>Reference by manasdhara1@gmail.com</v>
      </c>
      <c r="R1388" s="6" t="str">
        <f ca="1">IFERROR(__xludf.DUMMYFUNCTION("""COMPUTED_VALUE"""),"Pending")</f>
        <v>Pending</v>
      </c>
      <c r="S1388" s="6" t="str">
        <f ca="1">IFERROR(__xludf.DUMMYFUNCTION("""COMPUTED_VALUE"""),"Category")</f>
        <v>Category</v>
      </c>
      <c r="T1388" s="6"/>
      <c r="U1388" s="6"/>
      <c r="V1388" s="6"/>
      <c r="W1388" s="6"/>
      <c r="X1388" s="6"/>
      <c r="Y1388" s="6"/>
      <c r="Z1388" s="6"/>
      <c r="AA1388" s="6"/>
      <c r="AB1388" s="6"/>
      <c r="AC1388" s="6"/>
      <c r="AD1388" s="6"/>
      <c r="AE1388" s="6"/>
      <c r="AF1388" s="6"/>
      <c r="AG1388" s="6"/>
      <c r="AH1388" s="6"/>
      <c r="AI1388" s="6"/>
      <c r="AJ1388" s="6"/>
      <c r="AK1388" s="6"/>
      <c r="AL1388" s="6"/>
    </row>
    <row r="1389" spans="1:38">
      <c r="A1389" s="96">
        <f ca="1">IFERROR(__xludf.DUMMYFUNCTION("""COMPUTED_VALUE"""),44900)</f>
        <v>44900</v>
      </c>
      <c r="B1389" s="6" t="str">
        <f ca="1">IFERROR(__xludf.DUMMYFUNCTION("""COMPUTED_VALUE"""),"Manoj Gandhi")</f>
        <v>Manoj Gandhi</v>
      </c>
      <c r="C1389" s="6" t="str">
        <f ca="1">IFERROR(__xludf.DUMMYFUNCTION("""COMPUTED_VALUE"""),"manojgandhi22@gmail.com")</f>
        <v>manojgandhi22@gmail.com</v>
      </c>
      <c r="D1389" s="6">
        <f ca="1">IFERROR(__xludf.DUMMYFUNCTION("""COMPUTED_VALUE"""),8553488740)</f>
        <v>8553488740</v>
      </c>
      <c r="E1389" s="6" t="str">
        <f ca="1">IFERROR(__xludf.DUMMYFUNCTION("""COMPUTED_VALUE"""),"Query box")</f>
        <v>Query box</v>
      </c>
      <c r="F1389" s="6" t="str">
        <f ca="1">IFERROR(__xludf.DUMMYFUNCTION("""COMPUTED_VALUE"""),"SAFe Agile")</f>
        <v>SAFe Agile</v>
      </c>
      <c r="G1389" s="80">
        <f ca="1">IFERROR(__xludf.DUMMYFUNCTION("""COMPUTED_VALUE"""),44896)</f>
        <v>44896</v>
      </c>
      <c r="H1389" s="6" t="str">
        <f ca="1">IFERROR(__xludf.DUMMYFUNCTION("""COMPUTED_VALUE"""),"Won")</f>
        <v>Won</v>
      </c>
      <c r="I1389" s="6" t="str">
        <f ca="1">IFERROR(__xludf.DUMMYFUNCTION("""COMPUTED_VALUE"""),"10-11 Dec 2022")</f>
        <v>10-11 Dec 2022</v>
      </c>
      <c r="J1389" s="6">
        <f ca="1">IFERROR(__xludf.DUMMYFUNCTION("""COMPUTED_VALUE"""),1)</f>
        <v>1</v>
      </c>
      <c r="K1389" s="8">
        <f ca="1">IFERROR(__xludf.DUMMYFUNCTION("""COMPUTED_VALUE"""),42000)</f>
        <v>42000</v>
      </c>
      <c r="L1389" s="8">
        <f ca="1">IFERROR(__xludf.DUMMYFUNCTION("""COMPUTED_VALUE"""),480.989464040311)</f>
        <v>480.98946404031102</v>
      </c>
      <c r="M1389" s="96">
        <f ca="1">IFERROR(__xludf.DUMMYFUNCTION("""COMPUTED_VALUE"""),44900)</f>
        <v>44900</v>
      </c>
      <c r="N1389" s="6" t="str">
        <f ca="1">IFERROR(__xludf.DUMMYFUNCTION("""COMPUTED_VALUE"""),"F10")</f>
        <v>F10</v>
      </c>
      <c r="O1389" s="97">
        <f ca="1">IFERROR(__xludf.DUMMYFUNCTION("""COMPUTED_VALUE"""),44900)</f>
        <v>44900</v>
      </c>
      <c r="P1389" s="6" t="str">
        <f ca="1">IFERROR(__xludf.DUMMYFUNCTION("""COMPUTED_VALUE"""),"CSTM_FAOFIZ87R59")</f>
        <v>CSTM_FAOFIZ87R59</v>
      </c>
      <c r="Q1389" s="6"/>
      <c r="R1389" s="6" t="str">
        <f ca="1">IFERROR(__xludf.DUMMYFUNCTION("""COMPUTED_VALUE"""),"Pending")</f>
        <v>Pending</v>
      </c>
      <c r="S1389" s="6" t="str">
        <f ca="1">IFERROR(__xludf.DUMMYFUNCTION("""COMPUTED_VALUE"""),"SAFe")</f>
        <v>SAFe</v>
      </c>
      <c r="T1389" s="6"/>
      <c r="U1389" s="6"/>
      <c r="V1389" s="6"/>
      <c r="W1389" s="6"/>
      <c r="X1389" s="6"/>
      <c r="Y1389" s="6"/>
      <c r="Z1389" s="6"/>
      <c r="AA1389" s="6"/>
      <c r="AB1389" s="6"/>
      <c r="AC1389" s="6"/>
      <c r="AD1389" s="6"/>
      <c r="AE1389" s="6"/>
      <c r="AF1389" s="6"/>
      <c r="AG1389" s="6"/>
      <c r="AH1389" s="6"/>
      <c r="AI1389" s="6"/>
      <c r="AJ1389" s="6"/>
      <c r="AK1389" s="6"/>
      <c r="AL1389" s="6"/>
    </row>
    <row r="1390" spans="1:38">
      <c r="A1390" s="96">
        <f ca="1">IFERROR(__xludf.DUMMYFUNCTION("""COMPUTED_VALUE"""),44900)</f>
        <v>44900</v>
      </c>
      <c r="B1390" s="6" t="str">
        <f ca="1">IFERROR(__xludf.DUMMYFUNCTION("""COMPUTED_VALUE"""),"Karthick Jayaraman")</f>
        <v>Karthick Jayaraman</v>
      </c>
      <c r="C1390" s="6" t="str">
        <f ca="1">IFERROR(__xludf.DUMMYFUNCTION("""COMPUTED_VALUE"""),"karthick.jayaraman@gmail.com")</f>
        <v>karthick.jayaraman@gmail.com</v>
      </c>
      <c r="D1390" s="6">
        <f ca="1">IFERROR(__xludf.DUMMYFUNCTION("""COMPUTED_VALUE"""),9442046248)</f>
        <v>9442046248</v>
      </c>
      <c r="E1390" s="6" t="str">
        <f ca="1">IFERROR(__xludf.DUMMYFUNCTION("""COMPUTED_VALUE"""),"Reference")</f>
        <v>Reference</v>
      </c>
      <c r="F1390" s="6" t="str">
        <f ca="1">IFERROR(__xludf.DUMMYFUNCTION("""COMPUTED_VALUE"""),"CSM")</f>
        <v>CSM</v>
      </c>
      <c r="G1390" s="80">
        <f ca="1">IFERROR(__xludf.DUMMYFUNCTION("""COMPUTED_VALUE"""),44896)</f>
        <v>44896</v>
      </c>
      <c r="H1390" s="6" t="str">
        <f ca="1">IFERROR(__xludf.DUMMYFUNCTION("""COMPUTED_VALUE"""),"Won")</f>
        <v>Won</v>
      </c>
      <c r="I1390" s="6" t="str">
        <f ca="1">IFERROR(__xludf.DUMMYFUNCTION("""COMPUTED_VALUE"""),"17-18 Dec 2022")</f>
        <v>17-18 Dec 2022</v>
      </c>
      <c r="J1390" s="6">
        <f ca="1">IFERROR(__xludf.DUMMYFUNCTION("""COMPUTED_VALUE"""),1)</f>
        <v>1</v>
      </c>
      <c r="K1390" s="8">
        <f ca="1">IFERROR(__xludf.DUMMYFUNCTION("""COMPUTED_VALUE"""),20000)</f>
        <v>20000</v>
      </c>
      <c r="L1390" s="8">
        <f ca="1">IFERROR(__xludf.DUMMYFUNCTION("""COMPUTED_VALUE"""),229.042601923957)</f>
        <v>229.04260192395699</v>
      </c>
      <c r="M1390" s="96">
        <f ca="1">IFERROR(__xludf.DUMMYFUNCTION("""COMPUTED_VALUE"""),44900)</f>
        <v>44900</v>
      </c>
      <c r="N1390" s="6" t="str">
        <f ca="1">IFERROR(__xludf.DUMMYFUNCTION("""COMPUTED_VALUE"""),"F10")</f>
        <v>F10</v>
      </c>
      <c r="O1390" s="97">
        <f ca="1">IFERROR(__xludf.DUMMYFUNCTION("""COMPUTED_VALUE"""),44900)</f>
        <v>44900</v>
      </c>
      <c r="P1390" s="6" t="str">
        <f ca="1">IFERROR(__xludf.DUMMYFUNCTION("""COMPUTED_VALUE"""),"CSTM_B82WIHUL942")</f>
        <v>CSTM_B82WIHUL942</v>
      </c>
      <c r="Q1390" s="6" t="str">
        <f ca="1">IFERROR(__xludf.DUMMYFUNCTION("""COMPUTED_VALUE"""),"Reference by Ashoka Amrapali")</f>
        <v>Reference by Ashoka Amrapali</v>
      </c>
      <c r="R1390" s="6" t="str">
        <f ca="1">IFERROR(__xludf.DUMMYFUNCTION("""COMPUTED_VALUE"""),"Pending")</f>
        <v>Pending</v>
      </c>
      <c r="S1390" s="6" t="str">
        <f ca="1">IFERROR(__xludf.DUMMYFUNCTION("""COMPUTED_VALUE"""),"Category")</f>
        <v>Category</v>
      </c>
      <c r="T1390" s="6"/>
      <c r="U1390" s="6"/>
      <c r="V1390" s="6"/>
      <c r="W1390" s="6"/>
      <c r="X1390" s="6"/>
      <c r="Y1390" s="6"/>
      <c r="Z1390" s="6"/>
      <c r="AA1390" s="6"/>
      <c r="AB1390" s="6"/>
      <c r="AC1390" s="6"/>
      <c r="AD1390" s="6"/>
      <c r="AE1390" s="6"/>
      <c r="AF1390" s="6"/>
      <c r="AG1390" s="6"/>
      <c r="AH1390" s="6"/>
      <c r="AI1390" s="6"/>
      <c r="AJ1390" s="6"/>
      <c r="AK1390" s="6"/>
      <c r="AL1390" s="6"/>
    </row>
    <row r="1391" spans="1:38">
      <c r="A1391" s="96">
        <f ca="1">IFERROR(__xludf.DUMMYFUNCTION("""COMPUTED_VALUE"""),44900)</f>
        <v>44900</v>
      </c>
      <c r="B1391" s="6" t="str">
        <f ca="1">IFERROR(__xludf.DUMMYFUNCTION("""COMPUTED_VALUE"""),"Sunil Sharma")</f>
        <v>Sunil Sharma</v>
      </c>
      <c r="C1391" s="6" t="str">
        <f ca="1">IFERROR(__xludf.DUMMYFUNCTION("""COMPUTED_VALUE"""),"sunilsharma@eurofins.com")</f>
        <v>sunilsharma@eurofins.com</v>
      </c>
      <c r="D1391" s="6">
        <f ca="1">IFERROR(__xludf.DUMMYFUNCTION("""COMPUTED_VALUE"""),9818230356)</f>
        <v>9818230356</v>
      </c>
      <c r="E1391" s="6" t="str">
        <f ca="1">IFERROR(__xludf.DUMMYFUNCTION("""COMPUTED_VALUE"""),"Reference")</f>
        <v>Reference</v>
      </c>
      <c r="F1391" s="6" t="str">
        <f ca="1">IFERROR(__xludf.DUMMYFUNCTION("""COMPUTED_VALUE"""),"PSM")</f>
        <v>PSM</v>
      </c>
      <c r="G1391" s="80">
        <f ca="1">IFERROR(__xludf.DUMMYFUNCTION("""COMPUTED_VALUE"""),44896)</f>
        <v>44896</v>
      </c>
      <c r="H1391" s="6" t="str">
        <f ca="1">IFERROR(__xludf.DUMMYFUNCTION("""COMPUTED_VALUE"""),"Won")</f>
        <v>Won</v>
      </c>
      <c r="I1391" s="6" t="str">
        <f ca="1">IFERROR(__xludf.DUMMYFUNCTION("""COMPUTED_VALUE"""),"7-8 Jan 2023")</f>
        <v>7-8 Jan 2023</v>
      </c>
      <c r="J1391" s="6">
        <f ca="1">IFERROR(__xludf.DUMMYFUNCTION("""COMPUTED_VALUE"""),1)</f>
        <v>1</v>
      </c>
      <c r="K1391" s="8">
        <f ca="1">IFERROR(__xludf.DUMMYFUNCTION("""COMPUTED_VALUE"""),21000)</f>
        <v>21000</v>
      </c>
      <c r="L1391" s="8">
        <f ca="1">IFERROR(__xludf.DUMMYFUNCTION("""COMPUTED_VALUE"""),240.494732020155)</f>
        <v>240.494732020155</v>
      </c>
      <c r="M1391" s="96">
        <f ca="1">IFERROR(__xludf.DUMMYFUNCTION("""COMPUTED_VALUE"""),44901)</f>
        <v>44901</v>
      </c>
      <c r="N1391" s="6" t="str">
        <f ca="1">IFERROR(__xludf.DUMMYFUNCTION("""COMPUTED_VALUE"""),"F10")</f>
        <v>F10</v>
      </c>
      <c r="O1391" s="97">
        <f ca="1">IFERROR(__xludf.DUMMYFUNCTION("""COMPUTED_VALUE"""),44901)</f>
        <v>44901</v>
      </c>
      <c r="P1391" s="6" t="str">
        <f ca="1">IFERROR(__xludf.DUMMYFUNCTION("""COMPUTED_VALUE"""),"CSTM_1MJTM84MJ1I")</f>
        <v>CSTM_1MJTM84MJ1I</v>
      </c>
      <c r="Q1391" s="6" t="str">
        <f ca="1">IFERROR(__xludf.DUMMYFUNCTION("""COMPUTED_VALUE"""),"Reference by sunnyagra@hotmail.com")</f>
        <v>Reference by sunnyagra@hotmail.com</v>
      </c>
      <c r="R1391" s="6" t="str">
        <f ca="1">IFERROR(__xludf.DUMMYFUNCTION("""COMPUTED_VALUE"""),"Pending")</f>
        <v>Pending</v>
      </c>
      <c r="S1391" s="6" t="str">
        <f ca="1">IFERROR(__xludf.DUMMYFUNCTION("""COMPUTED_VALUE"""),"Category")</f>
        <v>Category</v>
      </c>
      <c r="T1391" s="6"/>
      <c r="U1391" s="6"/>
      <c r="V1391" s="6"/>
      <c r="W1391" s="6"/>
      <c r="X1391" s="6"/>
      <c r="Y1391" s="6"/>
      <c r="Z1391" s="6"/>
      <c r="AA1391" s="6"/>
      <c r="AB1391" s="6"/>
      <c r="AC1391" s="6"/>
      <c r="AD1391" s="6"/>
      <c r="AE1391" s="6"/>
      <c r="AF1391" s="6"/>
      <c r="AG1391" s="6"/>
      <c r="AH1391" s="6"/>
      <c r="AI1391" s="6"/>
      <c r="AJ1391" s="6"/>
      <c r="AK1391" s="6"/>
      <c r="AL1391" s="6"/>
    </row>
    <row r="1392" spans="1:38">
      <c r="A1392" s="96">
        <f ca="1">IFERROR(__xludf.DUMMYFUNCTION("""COMPUTED_VALUE"""),44900)</f>
        <v>44900</v>
      </c>
      <c r="B1392" s="6" t="str">
        <f ca="1">IFERROR(__xludf.DUMMYFUNCTION("""COMPUTED_VALUE"""),"Anoop Singh")</f>
        <v>Anoop Singh</v>
      </c>
      <c r="C1392" s="6" t="str">
        <f ca="1">IFERROR(__xludf.DUMMYFUNCTION("""COMPUTED_VALUE"""),"anoop.ait@gmail.com")</f>
        <v>anoop.ait@gmail.com</v>
      </c>
      <c r="D1392" s="6">
        <f ca="1">IFERROR(__xludf.DUMMYFUNCTION("""COMPUTED_VALUE"""),7841873076)</f>
        <v>7841873076</v>
      </c>
      <c r="E1392" s="6" t="str">
        <f ca="1">IFERROR(__xludf.DUMMYFUNCTION("""COMPUTED_VALUE"""),"Reference")</f>
        <v>Reference</v>
      </c>
      <c r="F1392" s="6" t="str">
        <f ca="1">IFERROR(__xludf.DUMMYFUNCTION("""COMPUTED_VALUE"""),"PSM 2")</f>
        <v>PSM 2</v>
      </c>
      <c r="G1392" s="80">
        <f ca="1">IFERROR(__xludf.DUMMYFUNCTION("""COMPUTED_VALUE"""),44896)</f>
        <v>44896</v>
      </c>
      <c r="H1392" s="6" t="str">
        <f ca="1">IFERROR(__xludf.DUMMYFUNCTION("""COMPUTED_VALUE"""),"Won")</f>
        <v>Won</v>
      </c>
      <c r="I1392" s="6" t="str">
        <f ca="1">IFERROR(__xludf.DUMMYFUNCTION("""COMPUTED_VALUE"""),"17-18 Dec 2022")</f>
        <v>17-18 Dec 2022</v>
      </c>
      <c r="J1392" s="6">
        <f ca="1">IFERROR(__xludf.DUMMYFUNCTION("""COMPUTED_VALUE"""),1)</f>
        <v>1</v>
      </c>
      <c r="K1392" s="8">
        <f ca="1">IFERROR(__xludf.DUMMYFUNCTION("""COMPUTED_VALUE"""),24000)</f>
        <v>24000</v>
      </c>
      <c r="L1392" s="8">
        <f ca="1">IFERROR(__xludf.DUMMYFUNCTION("""COMPUTED_VALUE"""),274.851122308749)</f>
        <v>274.85112230874898</v>
      </c>
      <c r="M1392" s="96">
        <f ca="1">IFERROR(__xludf.DUMMYFUNCTION("""COMPUTED_VALUE"""),44900)</f>
        <v>44900</v>
      </c>
      <c r="N1392" s="6" t="str">
        <f ca="1">IFERROR(__xludf.DUMMYFUNCTION("""COMPUTED_VALUE"""),"F10")</f>
        <v>F10</v>
      </c>
      <c r="O1392" s="97">
        <f ca="1">IFERROR(__xludf.DUMMYFUNCTION("""COMPUTED_VALUE"""),44902)</f>
        <v>44902</v>
      </c>
      <c r="P1392" s="6" t="str">
        <f ca="1">IFERROR(__xludf.DUMMYFUNCTION("""COMPUTED_VALUE"""),"CSTM_F4TKV6ST5ME")</f>
        <v>CSTM_F4TKV6ST5ME</v>
      </c>
      <c r="Q1392" s="6" t="str">
        <f ca="1">IFERROR(__xludf.DUMMYFUNCTION("""COMPUTED_VALUE"""),"Reference by amrapaliashoka@gmail.com")</f>
        <v>Reference by amrapaliashoka@gmail.com</v>
      </c>
      <c r="R1392" s="6" t="str">
        <f ca="1">IFERROR(__xludf.DUMMYFUNCTION("""COMPUTED_VALUE"""),"Pending")</f>
        <v>Pending</v>
      </c>
      <c r="S1392" s="6" t="str">
        <f ca="1">IFERROR(__xludf.DUMMYFUNCTION("""COMPUTED_VALUE"""),"Category")</f>
        <v>Category</v>
      </c>
      <c r="T1392" s="6"/>
      <c r="U1392" s="6"/>
      <c r="V1392" s="6"/>
      <c r="W1392" s="6"/>
      <c r="X1392" s="6"/>
      <c r="Y1392" s="6"/>
      <c r="Z1392" s="6"/>
      <c r="AA1392" s="6"/>
      <c r="AB1392" s="6"/>
      <c r="AC1392" s="6"/>
      <c r="AD1392" s="6"/>
      <c r="AE1392" s="6"/>
      <c r="AF1392" s="6"/>
      <c r="AG1392" s="6"/>
      <c r="AH1392" s="6"/>
      <c r="AI1392" s="6"/>
      <c r="AJ1392" s="6"/>
      <c r="AK1392" s="6"/>
      <c r="AL1392" s="6"/>
    </row>
    <row r="1393" spans="1:38">
      <c r="A1393" s="96">
        <f ca="1">IFERROR(__xludf.DUMMYFUNCTION("""COMPUTED_VALUE"""),44901)</f>
        <v>44901</v>
      </c>
      <c r="B1393" s="6" t="str">
        <f ca="1">IFERROR(__xludf.DUMMYFUNCTION("""COMPUTED_VALUE"""),"Siddhika Mathur")</f>
        <v>Siddhika Mathur</v>
      </c>
      <c r="C1393" s="6" t="str">
        <f ca="1">IFERROR(__xludf.DUMMYFUNCTION("""COMPUTED_VALUE"""),"s.mathur0211@gmail.com")</f>
        <v>s.mathur0211@gmail.com</v>
      </c>
      <c r="D1393" s="6">
        <f ca="1">IFERROR(__xludf.DUMMYFUNCTION("""COMPUTED_VALUE"""),9343221111)</f>
        <v>9343221111</v>
      </c>
      <c r="E1393" s="6" t="str">
        <f ca="1">IFERROR(__xludf.DUMMYFUNCTION("""COMPUTED_VALUE"""),"Reference")</f>
        <v>Reference</v>
      </c>
      <c r="F1393" s="6" t="str">
        <f ca="1">IFERROR(__xludf.DUMMYFUNCTION("""COMPUTED_VALUE"""),"PMP Plus with Exam 1st Partial")</f>
        <v>PMP Plus with Exam 1st Partial</v>
      </c>
      <c r="G1393" s="80">
        <f ca="1">IFERROR(__xludf.DUMMYFUNCTION("""COMPUTED_VALUE"""),44896)</f>
        <v>44896</v>
      </c>
      <c r="H1393" s="6" t="str">
        <f ca="1">IFERROR(__xludf.DUMMYFUNCTION("""COMPUTED_VALUE"""),"Won")</f>
        <v>Won</v>
      </c>
      <c r="I1393" s="6" t="str">
        <f ca="1">IFERROR(__xludf.DUMMYFUNCTION("""COMPUTED_VALUE"""),"10 Dec 2022")</f>
        <v>10 Dec 2022</v>
      </c>
      <c r="J1393" s="6">
        <f ca="1">IFERROR(__xludf.DUMMYFUNCTION("""COMPUTED_VALUE"""),1)</f>
        <v>1</v>
      </c>
      <c r="K1393" s="8">
        <f ca="1">IFERROR(__xludf.DUMMYFUNCTION("""COMPUTED_VALUE"""),27000)</f>
        <v>27000</v>
      </c>
      <c r="L1393" s="8">
        <f ca="1">IFERROR(__xludf.DUMMYFUNCTION("""COMPUTED_VALUE"""),309.207512597343)</f>
        <v>309.207512597343</v>
      </c>
      <c r="M1393" s="96">
        <f ca="1">IFERROR(__xludf.DUMMYFUNCTION("""COMPUTED_VALUE"""),44901)</f>
        <v>44901</v>
      </c>
      <c r="N1393" s="6" t="str">
        <f ca="1">IFERROR(__xludf.DUMMYFUNCTION("""COMPUTED_VALUE"""),"F10")</f>
        <v>F10</v>
      </c>
      <c r="O1393" s="97">
        <f ca="1">IFERROR(__xludf.DUMMYFUNCTION("""COMPUTED_VALUE"""),44901)</f>
        <v>44901</v>
      </c>
      <c r="P1393" s="6" t="str">
        <f ca="1">IFERROR(__xludf.DUMMYFUNCTION("""COMPUTED_VALUE"""),"CSTM_PARTIAL_FIRST_AJ9LXFEBY8E")</f>
        <v>CSTM_PARTIAL_FIRST_AJ9LXFEBY8E</v>
      </c>
      <c r="Q1393" s="6" t="str">
        <f ca="1">IFERROR(__xludf.DUMMYFUNCTION("""COMPUTED_VALUE"""),"Reference by amitsaha0908@gmail.com")</f>
        <v>Reference by amitsaha0908@gmail.com</v>
      </c>
      <c r="R1393" s="6" t="str">
        <f ca="1">IFERROR(__xludf.DUMMYFUNCTION("""COMPUTED_VALUE"""),"Pending")</f>
        <v>Pending</v>
      </c>
      <c r="S1393" s="6" t="str">
        <f ca="1">IFERROR(__xludf.DUMMYFUNCTION("""COMPUTED_VALUE"""),"NonCategory")</f>
        <v>NonCategory</v>
      </c>
      <c r="T1393" s="6"/>
      <c r="U1393" s="6"/>
      <c r="V1393" s="6"/>
      <c r="W1393" s="6"/>
      <c r="X1393" s="6"/>
      <c r="Y1393" s="6"/>
      <c r="Z1393" s="6"/>
      <c r="AA1393" s="6"/>
      <c r="AB1393" s="6"/>
      <c r="AC1393" s="6"/>
      <c r="AD1393" s="6"/>
      <c r="AE1393" s="6"/>
      <c r="AF1393" s="6"/>
      <c r="AG1393" s="6"/>
      <c r="AH1393" s="6"/>
      <c r="AI1393" s="6"/>
      <c r="AJ1393" s="6"/>
      <c r="AK1393" s="6"/>
      <c r="AL1393" s="6"/>
    </row>
    <row r="1394" spans="1:38">
      <c r="A1394" s="96">
        <f ca="1">IFERROR(__xludf.DUMMYFUNCTION("""COMPUTED_VALUE"""),44901)</f>
        <v>44901</v>
      </c>
      <c r="B1394" s="6" t="str">
        <f ca="1">IFERROR(__xludf.DUMMYFUNCTION("""COMPUTED_VALUE"""),"Raghul M")</f>
        <v>Raghul M</v>
      </c>
      <c r="C1394" s="6" t="str">
        <f ca="1">IFERROR(__xludf.DUMMYFUNCTION("""COMPUTED_VALUE"""),"raghul.m2020@gmail.com")</f>
        <v>raghul.m2020@gmail.com</v>
      </c>
      <c r="D1394" s="6">
        <f ca="1">IFERROR(__xludf.DUMMYFUNCTION("""COMPUTED_VALUE"""),7395995112)</f>
        <v>7395995112</v>
      </c>
      <c r="E1394" s="6" t="str">
        <f ca="1">IFERROR(__xludf.DUMMYFUNCTION("""COMPUTED_VALUE"""),"Reference")</f>
        <v>Reference</v>
      </c>
      <c r="F1394" s="6" t="str">
        <f ca="1">IFERROR(__xludf.DUMMYFUNCTION("""COMPUTED_VALUE"""),"CSM")</f>
        <v>CSM</v>
      </c>
      <c r="G1394" s="80">
        <f ca="1">IFERROR(__xludf.DUMMYFUNCTION("""COMPUTED_VALUE"""),44896)</f>
        <v>44896</v>
      </c>
      <c r="H1394" s="6" t="str">
        <f ca="1">IFERROR(__xludf.DUMMYFUNCTION("""COMPUTED_VALUE"""),"Won")</f>
        <v>Won</v>
      </c>
      <c r="I1394" s="6" t="str">
        <f ca="1">IFERROR(__xludf.DUMMYFUNCTION("""COMPUTED_VALUE"""),"14-15 Dec 2022")</f>
        <v>14-15 Dec 2022</v>
      </c>
      <c r="J1394" s="6">
        <f ca="1">IFERROR(__xludf.DUMMYFUNCTION("""COMPUTED_VALUE"""),1)</f>
        <v>1</v>
      </c>
      <c r="K1394" s="8">
        <f ca="1">IFERROR(__xludf.DUMMYFUNCTION("""COMPUTED_VALUE"""),20000)</f>
        <v>20000</v>
      </c>
      <c r="L1394" s="8">
        <f ca="1">IFERROR(__xludf.DUMMYFUNCTION("""COMPUTED_VALUE"""),229.042601923957)</f>
        <v>229.04260192395699</v>
      </c>
      <c r="M1394" s="96">
        <f ca="1">IFERROR(__xludf.DUMMYFUNCTION("""COMPUTED_VALUE"""),44901)</f>
        <v>44901</v>
      </c>
      <c r="N1394" s="6" t="str">
        <f ca="1">IFERROR(__xludf.DUMMYFUNCTION("""COMPUTED_VALUE"""),"F10")</f>
        <v>F10</v>
      </c>
      <c r="O1394" s="97">
        <f ca="1">IFERROR(__xludf.DUMMYFUNCTION("""COMPUTED_VALUE"""),44901)</f>
        <v>44901</v>
      </c>
      <c r="P1394" s="6" t="str">
        <f ca="1">IFERROR(__xludf.DUMMYFUNCTION("""COMPUTED_VALUE"""),"CSTM_4SEDGZIC5XO")</f>
        <v>CSTM_4SEDGZIC5XO</v>
      </c>
      <c r="Q1394" s="6" t="str">
        <f ca="1">IFERROR(__xludf.DUMMYFUNCTION("""COMPUTED_VALUE"""),"Reference by dhanushree.bj@gmail.com")</f>
        <v>Reference by dhanushree.bj@gmail.com</v>
      </c>
      <c r="R1394" s="6" t="str">
        <f ca="1">IFERROR(__xludf.DUMMYFUNCTION("""COMPUTED_VALUE"""),"Pending")</f>
        <v>Pending</v>
      </c>
      <c r="S1394" s="6" t="str">
        <f ca="1">IFERROR(__xludf.DUMMYFUNCTION("""COMPUTED_VALUE"""),"Category")</f>
        <v>Category</v>
      </c>
      <c r="T1394" s="6"/>
      <c r="U1394" s="6"/>
      <c r="V1394" s="6"/>
      <c r="W1394" s="6"/>
      <c r="X1394" s="6"/>
      <c r="Y1394" s="6"/>
      <c r="Z1394" s="6"/>
      <c r="AA1394" s="6"/>
      <c r="AB1394" s="6"/>
      <c r="AC1394" s="6"/>
      <c r="AD1394" s="6"/>
      <c r="AE1394" s="6"/>
      <c r="AF1394" s="6"/>
      <c r="AG1394" s="6"/>
      <c r="AH1394" s="6"/>
      <c r="AI1394" s="6"/>
      <c r="AJ1394" s="6"/>
      <c r="AK1394" s="6"/>
      <c r="AL1394" s="6"/>
    </row>
    <row r="1395" spans="1:38">
      <c r="A1395" s="96">
        <f ca="1">IFERROR(__xludf.DUMMYFUNCTION("""COMPUTED_VALUE"""),44901)</f>
        <v>44901</v>
      </c>
      <c r="B1395" s="6" t="str">
        <f ca="1">IFERROR(__xludf.DUMMYFUNCTION("""COMPUTED_VALUE"""),"Misha Pious")</f>
        <v>Misha Pious</v>
      </c>
      <c r="C1395" s="6" t="str">
        <f ca="1">IFERROR(__xludf.DUMMYFUNCTION("""COMPUTED_VALUE"""),"piousmisha@gmail.com")</f>
        <v>piousmisha@gmail.com</v>
      </c>
      <c r="D1395" s="6">
        <f ca="1">IFERROR(__xludf.DUMMYFUNCTION("""COMPUTED_VALUE"""),8807549646)</f>
        <v>8807549646</v>
      </c>
      <c r="E1395" s="6" t="str">
        <f ca="1">IFERROR(__xludf.DUMMYFUNCTION("""COMPUTED_VALUE"""),"chat_initiated")</f>
        <v>chat_initiated</v>
      </c>
      <c r="F1395" s="6" t="str">
        <f ca="1">IFERROR(__xludf.DUMMYFUNCTION("""COMPUTED_VALUE"""),"PSM")</f>
        <v>PSM</v>
      </c>
      <c r="G1395" s="80">
        <f ca="1">IFERROR(__xludf.DUMMYFUNCTION("""COMPUTED_VALUE"""),44896)</f>
        <v>44896</v>
      </c>
      <c r="H1395" s="6" t="str">
        <f ca="1">IFERROR(__xludf.DUMMYFUNCTION("""COMPUTED_VALUE"""),"Won")</f>
        <v>Won</v>
      </c>
      <c r="I1395" s="6" t="str">
        <f ca="1">IFERROR(__xludf.DUMMYFUNCTION("""COMPUTED_VALUE"""),"10-11 Dec 2022")</f>
        <v>10-11 Dec 2022</v>
      </c>
      <c r="J1395" s="6">
        <f ca="1">IFERROR(__xludf.DUMMYFUNCTION("""COMPUTED_VALUE"""),1)</f>
        <v>1</v>
      </c>
      <c r="K1395" s="8">
        <f ca="1">IFERROR(__xludf.DUMMYFUNCTION("""COMPUTED_VALUE"""),21000)</f>
        <v>21000</v>
      </c>
      <c r="L1395" s="8">
        <f ca="1">IFERROR(__xludf.DUMMYFUNCTION("""COMPUTED_VALUE"""),240.494732020155)</f>
        <v>240.494732020155</v>
      </c>
      <c r="M1395" s="96">
        <f ca="1">IFERROR(__xludf.DUMMYFUNCTION("""COMPUTED_VALUE"""),44901)</f>
        <v>44901</v>
      </c>
      <c r="N1395" s="6" t="str">
        <f ca="1">IFERROR(__xludf.DUMMYFUNCTION("""COMPUTED_VALUE"""),"F10")</f>
        <v>F10</v>
      </c>
      <c r="O1395" s="97">
        <f ca="1">IFERROR(__xludf.DUMMYFUNCTION("""COMPUTED_VALUE"""),44901)</f>
        <v>44901</v>
      </c>
      <c r="P1395" s="6" t="str">
        <f ca="1">IFERROR(__xludf.DUMMYFUNCTION("""COMPUTED_VALUE"""),"CSTM_AF2S0DFH0CA")</f>
        <v>CSTM_AF2S0DFH0CA</v>
      </c>
      <c r="Q1395" s="6"/>
      <c r="R1395" s="6" t="str">
        <f ca="1">IFERROR(__xludf.DUMMYFUNCTION("""COMPUTED_VALUE"""),"Pending")</f>
        <v>Pending</v>
      </c>
      <c r="S1395" s="6" t="str">
        <f ca="1">IFERROR(__xludf.DUMMYFUNCTION("""COMPUTED_VALUE"""),"Category")</f>
        <v>Category</v>
      </c>
      <c r="T1395" s="6"/>
      <c r="U1395" s="6"/>
      <c r="V1395" s="6"/>
      <c r="W1395" s="6"/>
      <c r="X1395" s="6"/>
      <c r="Y1395" s="6"/>
      <c r="Z1395" s="6"/>
      <c r="AA1395" s="6"/>
      <c r="AB1395" s="6"/>
      <c r="AC1395" s="6"/>
      <c r="AD1395" s="6"/>
      <c r="AE1395" s="6"/>
      <c r="AF1395" s="6"/>
      <c r="AG1395" s="6"/>
      <c r="AH1395" s="6"/>
      <c r="AI1395" s="6"/>
      <c r="AJ1395" s="6"/>
      <c r="AK1395" s="6"/>
      <c r="AL1395" s="6"/>
    </row>
    <row r="1396" spans="1:38">
      <c r="A1396" s="96">
        <f ca="1">IFERROR(__xludf.DUMMYFUNCTION("""COMPUTED_VALUE"""),44901)</f>
        <v>44901</v>
      </c>
      <c r="B1396" s="6" t="str">
        <f ca="1">IFERROR(__xludf.DUMMYFUNCTION("""COMPUTED_VALUE"""),"Ravi Ameta")</f>
        <v>Ravi Ameta</v>
      </c>
      <c r="C1396" s="6" t="str">
        <f ca="1">IFERROR(__xludf.DUMMYFUNCTION("""COMPUTED_VALUE"""),"raviametatech@gmail.com")</f>
        <v>raviametatech@gmail.com</v>
      </c>
      <c r="D1396" s="6">
        <f ca="1">IFERROR(__xludf.DUMMYFUNCTION("""COMPUTED_VALUE"""),7737987880)</f>
        <v>7737987880</v>
      </c>
      <c r="E1396" s="6" t="str">
        <f ca="1">IFERROR(__xludf.DUMMYFUNCTION("""COMPUTED_VALUE"""),"Reference")</f>
        <v>Reference</v>
      </c>
      <c r="F1396" s="6" t="str">
        <f ca="1">IFERROR(__xludf.DUMMYFUNCTION("""COMPUTED_VALUE"""),"SAFe POPM")</f>
        <v>SAFe POPM</v>
      </c>
      <c r="G1396" s="80">
        <f ca="1">IFERROR(__xludf.DUMMYFUNCTION("""COMPUTED_VALUE"""),44896)</f>
        <v>44896</v>
      </c>
      <c r="H1396" s="6" t="str">
        <f ca="1">IFERROR(__xludf.DUMMYFUNCTION("""COMPUTED_VALUE"""),"Opportunity")</f>
        <v>Opportunity</v>
      </c>
      <c r="I1396" s="6" t="str">
        <f ca="1">IFERROR(__xludf.DUMMYFUNCTION("""COMPUTED_VALUE"""),"10-11 Dec 2022")</f>
        <v>10-11 Dec 2022</v>
      </c>
      <c r="J1396" s="6">
        <f ca="1">IFERROR(__xludf.DUMMYFUNCTION("""COMPUTED_VALUE"""),1)</f>
        <v>1</v>
      </c>
      <c r="K1396" s="8">
        <f ca="1">IFERROR(__xludf.DUMMYFUNCTION("""COMPUTED_VALUE"""),40061)</f>
        <v>40061</v>
      </c>
      <c r="L1396" s="8">
        <f ca="1">IFERROR(__xludf.DUMMYFUNCTION("""COMPUTED_VALUE"""),458.783783783783)</f>
        <v>458.78378378378301</v>
      </c>
      <c r="M1396" s="96">
        <f ca="1">IFERROR(__xludf.DUMMYFUNCTION("""COMPUTED_VALUE"""),44901)</f>
        <v>44901</v>
      </c>
      <c r="N1396" s="6"/>
      <c r="O1396" s="97"/>
      <c r="P1396" s="6"/>
      <c r="Q1396" s="6" t="str">
        <f ca="1">IFERROR(__xludf.DUMMYFUNCTION("""COMPUTED_VALUE"""),"Reference by ravi.ameta01@gmail.com")</f>
        <v>Reference by ravi.ameta01@gmail.com</v>
      </c>
      <c r="R1396" s="6"/>
      <c r="S1396" s="6" t="str">
        <f ca="1">IFERROR(__xludf.DUMMYFUNCTION("""COMPUTED_VALUE"""),"SAFe")</f>
        <v>SAFe</v>
      </c>
      <c r="T1396" s="6"/>
      <c r="U1396" s="6"/>
      <c r="V1396" s="6"/>
      <c r="W1396" s="6"/>
      <c r="X1396" s="6"/>
      <c r="Y1396" s="6"/>
      <c r="Z1396" s="6"/>
      <c r="AA1396" s="6"/>
      <c r="AB1396" s="6"/>
      <c r="AC1396" s="6"/>
      <c r="AD1396" s="6"/>
      <c r="AE1396" s="6"/>
      <c r="AF1396" s="6"/>
      <c r="AG1396" s="6"/>
      <c r="AH1396" s="6"/>
      <c r="AI1396" s="6"/>
      <c r="AJ1396" s="6"/>
      <c r="AK1396" s="6"/>
      <c r="AL1396" s="6"/>
    </row>
    <row r="1397" spans="1:38">
      <c r="A1397" s="96">
        <f ca="1">IFERROR(__xludf.DUMMYFUNCTION("""COMPUTED_VALUE"""),44902)</f>
        <v>44902</v>
      </c>
      <c r="B1397" s="6" t="str">
        <f ca="1">IFERROR(__xludf.DUMMYFUNCTION("""COMPUTED_VALUE"""),"Sujith KG")</f>
        <v>Sujith KG</v>
      </c>
      <c r="C1397" s="6" t="str">
        <f ca="1">IFERROR(__xludf.DUMMYFUNCTION("""COMPUTED_VALUE"""),"sujith.kg@advance-auto.com")</f>
        <v>sujith.kg@advance-auto.com</v>
      </c>
      <c r="D1397" s="6">
        <f ca="1">IFERROR(__xludf.DUMMYFUNCTION("""COMPUTED_VALUE"""),9642021177)</f>
        <v>9642021177</v>
      </c>
      <c r="E1397" s="6" t="str">
        <f ca="1">IFERROR(__xludf.DUMMYFUNCTION("""COMPUTED_VALUE"""),"refer&amp;earn")</f>
        <v>refer&amp;earn</v>
      </c>
      <c r="F1397" s="6" t="str">
        <f ca="1">IFERROR(__xludf.DUMMYFUNCTION("""COMPUTED_VALUE"""),"SAFe Agile")</f>
        <v>SAFe Agile</v>
      </c>
      <c r="G1397" s="80">
        <f ca="1">IFERROR(__xludf.DUMMYFUNCTION("""COMPUTED_VALUE"""),44896)</f>
        <v>44896</v>
      </c>
      <c r="H1397" s="6" t="str">
        <f ca="1">IFERROR(__xludf.DUMMYFUNCTION("""COMPUTED_VALUE"""),"Won")</f>
        <v>Won</v>
      </c>
      <c r="I1397" s="6" t="str">
        <f ca="1">IFERROR(__xludf.DUMMYFUNCTION("""COMPUTED_VALUE"""),"10-11 Dec 2022")</f>
        <v>10-11 Dec 2022</v>
      </c>
      <c r="J1397" s="6">
        <f ca="1">IFERROR(__xludf.DUMMYFUNCTION("""COMPUTED_VALUE"""),1)</f>
        <v>1</v>
      </c>
      <c r="K1397" s="8">
        <f ca="1">IFERROR(__xludf.DUMMYFUNCTION("""COMPUTED_VALUE"""),40061)</f>
        <v>40061</v>
      </c>
      <c r="L1397" s="8">
        <f ca="1">IFERROR(__xludf.DUMMYFUNCTION("""COMPUTED_VALUE"""),458.783783783783)</f>
        <v>458.78378378378301</v>
      </c>
      <c r="M1397" s="96">
        <f ca="1">IFERROR(__xludf.DUMMYFUNCTION("""COMPUTED_VALUE"""),44902)</f>
        <v>44902</v>
      </c>
      <c r="N1397" s="6" t="str">
        <f ca="1">IFERROR(__xludf.DUMMYFUNCTION("""COMPUTED_VALUE"""),"F10")</f>
        <v>F10</v>
      </c>
      <c r="O1397" s="97">
        <f ca="1">IFERROR(__xludf.DUMMYFUNCTION("""COMPUTED_VALUE"""),44902)</f>
        <v>44902</v>
      </c>
      <c r="P1397" s="6" t="str">
        <f ca="1">IFERROR(__xludf.DUMMYFUNCTION("""COMPUTED_VALUE"""),"CSTM_965C9D3IQBJ")</f>
        <v>CSTM_965C9D3IQBJ</v>
      </c>
      <c r="Q1397" s="6"/>
      <c r="R1397" s="6" t="str">
        <f ca="1">IFERROR(__xludf.DUMMYFUNCTION("""COMPUTED_VALUE"""),"Pending")</f>
        <v>Pending</v>
      </c>
      <c r="S1397" s="6" t="str">
        <f ca="1">IFERROR(__xludf.DUMMYFUNCTION("""COMPUTED_VALUE"""),"SAFe")</f>
        <v>SAFe</v>
      </c>
      <c r="T1397" s="6"/>
      <c r="U1397" s="6"/>
      <c r="V1397" s="6"/>
      <c r="W1397" s="6"/>
      <c r="X1397" s="6"/>
      <c r="Y1397" s="6"/>
      <c r="Z1397" s="6"/>
      <c r="AA1397" s="6"/>
      <c r="AB1397" s="6"/>
      <c r="AC1397" s="6"/>
      <c r="AD1397" s="6"/>
      <c r="AE1397" s="6"/>
      <c r="AF1397" s="6"/>
      <c r="AG1397" s="6"/>
      <c r="AH1397" s="6"/>
      <c r="AI1397" s="6"/>
      <c r="AJ1397" s="6"/>
      <c r="AK1397" s="6"/>
      <c r="AL1397" s="6"/>
    </row>
    <row r="1398" spans="1:38">
      <c r="A1398" s="96">
        <f ca="1">IFERROR(__xludf.DUMMYFUNCTION("""COMPUTED_VALUE"""),44902)</f>
        <v>44902</v>
      </c>
      <c r="B1398" s="6" t="str">
        <f ca="1">IFERROR(__xludf.DUMMYFUNCTION("""COMPUTED_VALUE"""),"Kiranmayi Tumuluri")</f>
        <v>Kiranmayi Tumuluri</v>
      </c>
      <c r="C1398" s="6" t="str">
        <f ca="1">IFERROR(__xludf.DUMMYFUNCTION("""COMPUTED_VALUE"""),"kiranmayi.tumuluri@advance-auto.com")</f>
        <v>kiranmayi.tumuluri@advance-auto.com</v>
      </c>
      <c r="D1398" s="6">
        <f ca="1">IFERROR(__xludf.DUMMYFUNCTION("""COMPUTED_VALUE"""),9985306878)</f>
        <v>9985306878</v>
      </c>
      <c r="E1398" s="6" t="str">
        <f ca="1">IFERROR(__xludf.DUMMYFUNCTION("""COMPUTED_VALUE"""),"refer&amp;earn")</f>
        <v>refer&amp;earn</v>
      </c>
      <c r="F1398" s="6" t="str">
        <f ca="1">IFERROR(__xludf.DUMMYFUNCTION("""COMPUTED_VALUE"""),"SAFe Agile")</f>
        <v>SAFe Agile</v>
      </c>
      <c r="G1398" s="80">
        <f ca="1">IFERROR(__xludf.DUMMYFUNCTION("""COMPUTED_VALUE"""),44896)</f>
        <v>44896</v>
      </c>
      <c r="H1398" s="6" t="str">
        <f ca="1">IFERROR(__xludf.DUMMYFUNCTION("""COMPUTED_VALUE"""),"Won")</f>
        <v>Won</v>
      </c>
      <c r="I1398" s="6" t="str">
        <f ca="1">IFERROR(__xludf.DUMMYFUNCTION("""COMPUTED_VALUE"""),"10-11 Dec 2022")</f>
        <v>10-11 Dec 2022</v>
      </c>
      <c r="J1398" s="6">
        <f ca="1">IFERROR(__xludf.DUMMYFUNCTION("""COMPUTED_VALUE"""),1)</f>
        <v>1</v>
      </c>
      <c r="K1398" s="8">
        <f ca="1">IFERROR(__xludf.DUMMYFUNCTION("""COMPUTED_VALUE"""),40061)</f>
        <v>40061</v>
      </c>
      <c r="L1398" s="8">
        <f ca="1">IFERROR(__xludf.DUMMYFUNCTION("""COMPUTED_VALUE"""),458.783783783783)</f>
        <v>458.78378378378301</v>
      </c>
      <c r="M1398" s="96">
        <f ca="1">IFERROR(__xludf.DUMMYFUNCTION("""COMPUTED_VALUE"""),44902)</f>
        <v>44902</v>
      </c>
      <c r="N1398" s="6" t="str">
        <f ca="1">IFERROR(__xludf.DUMMYFUNCTION("""COMPUTED_VALUE"""),"F10")</f>
        <v>F10</v>
      </c>
      <c r="O1398" s="97">
        <f ca="1">IFERROR(__xludf.DUMMYFUNCTION("""COMPUTED_VALUE"""),44902)</f>
        <v>44902</v>
      </c>
      <c r="P1398" s="6" t="str">
        <f ca="1">IFERROR(__xludf.DUMMYFUNCTION("""COMPUTED_VALUE"""),"CSTM_ESU4TUXK3HJ")</f>
        <v>CSTM_ESU4TUXK3HJ</v>
      </c>
      <c r="Q1398" s="6"/>
      <c r="R1398" s="6" t="str">
        <f ca="1">IFERROR(__xludf.DUMMYFUNCTION("""COMPUTED_VALUE"""),"Pending")</f>
        <v>Pending</v>
      </c>
      <c r="S1398" s="6" t="str">
        <f ca="1">IFERROR(__xludf.DUMMYFUNCTION("""COMPUTED_VALUE"""),"SAFe")</f>
        <v>SAFe</v>
      </c>
      <c r="T1398" s="6"/>
      <c r="U1398" s="6"/>
      <c r="V1398" s="6"/>
      <c r="W1398" s="6"/>
      <c r="X1398" s="6"/>
      <c r="Y1398" s="6"/>
      <c r="Z1398" s="6"/>
      <c r="AA1398" s="6"/>
      <c r="AB1398" s="6"/>
      <c r="AC1398" s="6"/>
      <c r="AD1398" s="6"/>
      <c r="AE1398" s="6"/>
      <c r="AF1398" s="6"/>
      <c r="AG1398" s="6"/>
      <c r="AH1398" s="6"/>
      <c r="AI1398" s="6"/>
      <c r="AJ1398" s="6"/>
      <c r="AK1398" s="6"/>
      <c r="AL1398" s="6"/>
    </row>
    <row r="1399" spans="1:38">
      <c r="A1399" s="96">
        <f ca="1">IFERROR(__xludf.DUMMYFUNCTION("""COMPUTED_VALUE"""),44902)</f>
        <v>44902</v>
      </c>
      <c r="B1399" s="6" t="str">
        <f ca="1">IFERROR(__xludf.DUMMYFUNCTION("""COMPUTED_VALUE"""),"Sandeep MSR")</f>
        <v>Sandeep MSR</v>
      </c>
      <c r="C1399" s="6" t="str">
        <f ca="1">IFERROR(__xludf.DUMMYFUNCTION("""COMPUTED_VALUE"""),"sandymsr403@gmail.com")</f>
        <v>sandymsr403@gmail.com</v>
      </c>
      <c r="D1399" s="6">
        <f ca="1">IFERROR(__xludf.DUMMYFUNCTION("""COMPUTED_VALUE"""),8123061531)</f>
        <v>8123061531</v>
      </c>
      <c r="E1399" s="6" t="str">
        <f ca="1">IFERROR(__xludf.DUMMYFUNCTION("""COMPUTED_VALUE"""),"chat_initiated")</f>
        <v>chat_initiated</v>
      </c>
      <c r="F1399" s="6" t="str">
        <f ca="1">IFERROR(__xludf.DUMMYFUNCTION("""COMPUTED_VALUE"""),"PSM 2")</f>
        <v>PSM 2</v>
      </c>
      <c r="G1399" s="80">
        <f ca="1">IFERROR(__xludf.DUMMYFUNCTION("""COMPUTED_VALUE"""),44896)</f>
        <v>44896</v>
      </c>
      <c r="H1399" s="6" t="str">
        <f ca="1">IFERROR(__xludf.DUMMYFUNCTION("""COMPUTED_VALUE"""),"Won")</f>
        <v>Won</v>
      </c>
      <c r="I1399" s="6" t="str">
        <f ca="1">IFERROR(__xludf.DUMMYFUNCTION("""COMPUTED_VALUE"""),"10-11 Dec 2022")</f>
        <v>10-11 Dec 2022</v>
      </c>
      <c r="J1399" s="6">
        <f ca="1">IFERROR(__xludf.DUMMYFUNCTION("""COMPUTED_VALUE"""),1)</f>
        <v>1</v>
      </c>
      <c r="K1399" s="8">
        <f ca="1">IFERROR(__xludf.DUMMYFUNCTION("""COMPUTED_VALUE"""),24000)</f>
        <v>24000</v>
      </c>
      <c r="L1399" s="8">
        <f ca="1">IFERROR(__xludf.DUMMYFUNCTION("""COMPUTED_VALUE"""),274.851122308749)</f>
        <v>274.85112230874898</v>
      </c>
      <c r="M1399" s="96">
        <f ca="1">IFERROR(__xludf.DUMMYFUNCTION("""COMPUTED_VALUE"""),44902)</f>
        <v>44902</v>
      </c>
      <c r="N1399" s="6" t="str">
        <f ca="1">IFERROR(__xludf.DUMMYFUNCTION("""COMPUTED_VALUE"""),"F10")</f>
        <v>F10</v>
      </c>
      <c r="O1399" s="97">
        <f ca="1">IFERROR(__xludf.DUMMYFUNCTION("""COMPUTED_VALUE"""),44902)</f>
        <v>44902</v>
      </c>
      <c r="P1399" s="6" t="str">
        <f ca="1">IFERROR(__xludf.DUMMYFUNCTION("""COMPUTED_VALUE"""),"CSTM_9RK96B6KZE5")</f>
        <v>CSTM_9RK96B6KZE5</v>
      </c>
      <c r="Q1399" s="6"/>
      <c r="R1399" s="6" t="str">
        <f ca="1">IFERROR(__xludf.DUMMYFUNCTION("""COMPUTED_VALUE"""),"Pending")</f>
        <v>Pending</v>
      </c>
      <c r="S1399" s="6" t="str">
        <f ca="1">IFERROR(__xludf.DUMMYFUNCTION("""COMPUTED_VALUE"""),"Category")</f>
        <v>Category</v>
      </c>
      <c r="T1399" s="6"/>
      <c r="U1399" s="6"/>
      <c r="V1399" s="6"/>
      <c r="W1399" s="6"/>
      <c r="X1399" s="6"/>
      <c r="Y1399" s="6"/>
      <c r="Z1399" s="6"/>
      <c r="AA1399" s="6"/>
      <c r="AB1399" s="6"/>
      <c r="AC1399" s="6"/>
      <c r="AD1399" s="6"/>
      <c r="AE1399" s="6"/>
      <c r="AF1399" s="6"/>
      <c r="AG1399" s="6"/>
      <c r="AH1399" s="6"/>
      <c r="AI1399" s="6"/>
      <c r="AJ1399" s="6"/>
      <c r="AK1399" s="6"/>
      <c r="AL1399" s="6"/>
    </row>
    <row r="1400" spans="1:38">
      <c r="A1400" s="96">
        <f ca="1">IFERROR(__xludf.DUMMYFUNCTION("""COMPUTED_VALUE"""),44907)</f>
        <v>44907</v>
      </c>
      <c r="B1400" s="6" t="str">
        <f ca="1">IFERROR(__xludf.DUMMYFUNCTION("""COMPUTED_VALUE"""),"Rajendiran Ramalingam")</f>
        <v>Rajendiran Ramalingam</v>
      </c>
      <c r="C1400" s="6" t="str">
        <f ca="1">IFERROR(__xludf.DUMMYFUNCTION("""COMPUTED_VALUE"""),"rajendiran.ramalingam1@gmail.com")</f>
        <v>rajendiran.ramalingam1@gmail.com</v>
      </c>
      <c r="D1400" s="6">
        <f ca="1">IFERROR(__xludf.DUMMYFUNCTION("""COMPUTED_VALUE"""),7397031978)</f>
        <v>7397031978</v>
      </c>
      <c r="E1400" s="6" t="str">
        <f ca="1">IFERROR(__xludf.DUMMYFUNCTION("""COMPUTED_VALUE"""),"course agenda")</f>
        <v>course agenda</v>
      </c>
      <c r="F1400" s="6" t="str">
        <f ca="1">IFERROR(__xludf.DUMMYFUNCTION("""COMPUTED_VALUE"""),"PSM")</f>
        <v>PSM</v>
      </c>
      <c r="G1400" s="80">
        <f ca="1">IFERROR(__xludf.DUMMYFUNCTION("""COMPUTED_VALUE"""),44896)</f>
        <v>44896</v>
      </c>
      <c r="H1400" s="6" t="str">
        <f ca="1">IFERROR(__xludf.DUMMYFUNCTION("""COMPUTED_VALUE"""),"Won")</f>
        <v>Won</v>
      </c>
      <c r="I1400" s="6" t="str">
        <f ca="1">IFERROR(__xludf.DUMMYFUNCTION("""COMPUTED_VALUE"""),"7-8 Jan 2023")</f>
        <v>7-8 Jan 2023</v>
      </c>
      <c r="J1400" s="6">
        <f ca="1">IFERROR(__xludf.DUMMYFUNCTION("""COMPUTED_VALUE"""),1)</f>
        <v>1</v>
      </c>
      <c r="K1400" s="8">
        <f ca="1">IFERROR(__xludf.DUMMYFUNCTION("""COMPUTED_VALUE"""),21000)</f>
        <v>21000</v>
      </c>
      <c r="L1400" s="8">
        <f ca="1">IFERROR(__xludf.DUMMYFUNCTION("""COMPUTED_VALUE"""),240.494732020155)</f>
        <v>240.494732020155</v>
      </c>
      <c r="M1400" s="96">
        <f ca="1">IFERROR(__xludf.DUMMYFUNCTION("""COMPUTED_VALUE"""),44907)</f>
        <v>44907</v>
      </c>
      <c r="N1400" s="6" t="str">
        <f ca="1">IFERROR(__xludf.DUMMYFUNCTION("""COMPUTED_VALUE"""),"S10")</f>
        <v>S10</v>
      </c>
      <c r="O1400" s="97">
        <f ca="1">IFERROR(__xludf.DUMMYFUNCTION("""COMPUTED_VALUE"""),44904)</f>
        <v>44904</v>
      </c>
      <c r="P1400" s="6" t="str">
        <f ca="1">IFERROR(__xludf.DUMMYFUNCTION("""COMPUTED_VALUE"""),"CSTM_4L7L2SRZR7L")</f>
        <v>CSTM_4L7L2SRZR7L</v>
      </c>
      <c r="Q1400" s="6"/>
      <c r="R1400" s="6" t="str">
        <f ca="1">IFERROR(__xludf.DUMMYFUNCTION("""COMPUTED_VALUE"""),"Pending")</f>
        <v>Pending</v>
      </c>
      <c r="S1400" s="6" t="str">
        <f ca="1">IFERROR(__xludf.DUMMYFUNCTION("""COMPUTED_VALUE"""),"Category")</f>
        <v>Category</v>
      </c>
      <c r="T1400" s="6"/>
      <c r="U1400" s="6"/>
      <c r="V1400" s="6"/>
      <c r="W1400" s="6"/>
      <c r="X1400" s="6"/>
      <c r="Y1400" s="6"/>
      <c r="Z1400" s="6"/>
      <c r="AA1400" s="6"/>
      <c r="AB1400" s="6"/>
      <c r="AC1400" s="6"/>
      <c r="AD1400" s="6"/>
      <c r="AE1400" s="6"/>
      <c r="AF1400" s="6"/>
      <c r="AG1400" s="6"/>
      <c r="AH1400" s="6"/>
      <c r="AI1400" s="6"/>
      <c r="AJ1400" s="6"/>
      <c r="AK1400" s="6"/>
      <c r="AL1400" s="6"/>
    </row>
    <row r="1401" spans="1:38">
      <c r="A1401" s="96">
        <f ca="1">IFERROR(__xludf.DUMMYFUNCTION("""COMPUTED_VALUE"""),44907)</f>
        <v>44907</v>
      </c>
      <c r="B1401" s="6" t="str">
        <f ca="1">IFERROR(__xludf.DUMMYFUNCTION("""COMPUTED_VALUE"""),"Dhivya M")</f>
        <v>Dhivya M</v>
      </c>
      <c r="C1401" s="6" t="str">
        <f ca="1">IFERROR(__xludf.DUMMYFUNCTION("""COMPUTED_VALUE"""),"mdhivya27@gmail.com")</f>
        <v>mdhivya27@gmail.com</v>
      </c>
      <c r="D1401" s="6">
        <f ca="1">IFERROR(__xludf.DUMMYFUNCTION("""COMPUTED_VALUE"""),7010027485)</f>
        <v>7010027485</v>
      </c>
      <c r="E1401" s="6" t="str">
        <f ca="1">IFERROR(__xludf.DUMMYFUNCTION("""COMPUTED_VALUE"""),"Query box")</f>
        <v>Query box</v>
      </c>
      <c r="F1401" s="6" t="str">
        <f ca="1">IFERROR(__xludf.DUMMYFUNCTION("""COMPUTED_VALUE"""),"PSM 2")</f>
        <v>PSM 2</v>
      </c>
      <c r="G1401" s="80">
        <f ca="1">IFERROR(__xludf.DUMMYFUNCTION("""COMPUTED_VALUE"""),44896)</f>
        <v>44896</v>
      </c>
      <c r="H1401" s="6" t="str">
        <f ca="1">IFERROR(__xludf.DUMMYFUNCTION("""COMPUTED_VALUE"""),"Won")</f>
        <v>Won</v>
      </c>
      <c r="I1401" s="6" t="str">
        <f ca="1">IFERROR(__xludf.DUMMYFUNCTION("""COMPUTED_VALUE"""),"17-18 Dec 2022")</f>
        <v>17-18 Dec 2022</v>
      </c>
      <c r="J1401" s="6">
        <f ca="1">IFERROR(__xludf.DUMMYFUNCTION("""COMPUTED_VALUE"""),1)</f>
        <v>1</v>
      </c>
      <c r="K1401" s="8">
        <f ca="1">IFERROR(__xludf.DUMMYFUNCTION("""COMPUTED_VALUE"""),24000)</f>
        <v>24000</v>
      </c>
      <c r="L1401" s="8">
        <f ca="1">IFERROR(__xludf.DUMMYFUNCTION("""COMPUTED_VALUE"""),274.851122308749)</f>
        <v>274.85112230874898</v>
      </c>
      <c r="M1401" s="96">
        <f ca="1">IFERROR(__xludf.DUMMYFUNCTION("""COMPUTED_VALUE"""),44907)</f>
        <v>44907</v>
      </c>
      <c r="N1401" s="6" t="str">
        <f ca="1">IFERROR(__xludf.DUMMYFUNCTION("""COMPUTED_VALUE"""),"S10")</f>
        <v>S10</v>
      </c>
      <c r="O1401" s="97">
        <f ca="1">IFERROR(__xludf.DUMMYFUNCTION("""COMPUTED_VALUE"""),44907)</f>
        <v>44907</v>
      </c>
      <c r="P1401" s="6" t="str">
        <f ca="1">IFERROR(__xludf.DUMMYFUNCTION("""COMPUTED_VALUE"""),"CSTM_87HROINY7HN")</f>
        <v>CSTM_87HROINY7HN</v>
      </c>
      <c r="Q1401" s="6"/>
      <c r="R1401" s="6" t="str">
        <f ca="1">IFERROR(__xludf.DUMMYFUNCTION("""COMPUTED_VALUE"""),"Pending")</f>
        <v>Pending</v>
      </c>
      <c r="S1401" s="6" t="str">
        <f ca="1">IFERROR(__xludf.DUMMYFUNCTION("""COMPUTED_VALUE"""),"Category")</f>
        <v>Category</v>
      </c>
      <c r="T1401" s="6"/>
      <c r="U1401" s="6"/>
      <c r="V1401" s="6"/>
      <c r="W1401" s="6"/>
      <c r="X1401" s="6"/>
      <c r="Y1401" s="6"/>
      <c r="Z1401" s="6"/>
      <c r="AA1401" s="6"/>
      <c r="AB1401" s="6"/>
      <c r="AC1401" s="6"/>
      <c r="AD1401" s="6"/>
      <c r="AE1401" s="6"/>
      <c r="AF1401" s="6"/>
      <c r="AG1401" s="6"/>
      <c r="AH1401" s="6"/>
      <c r="AI1401" s="6"/>
      <c r="AJ1401" s="6"/>
      <c r="AK1401" s="6"/>
      <c r="AL1401" s="6"/>
    </row>
    <row r="1402" spans="1:38">
      <c r="A1402" s="96">
        <f ca="1">IFERROR(__xludf.DUMMYFUNCTION("""COMPUTED_VALUE"""),44907)</f>
        <v>44907</v>
      </c>
      <c r="B1402" s="6" t="str">
        <f ca="1">IFERROR(__xludf.DUMMYFUNCTION("""COMPUTED_VALUE"""),"Jayanta Anand")</f>
        <v>Jayanta Anand</v>
      </c>
      <c r="C1402" s="6" t="str">
        <f ca="1">IFERROR(__xludf.DUMMYFUNCTION("""COMPUTED_VALUE"""),"jayantananda169@gmail.com")</f>
        <v>jayantananda169@gmail.com</v>
      </c>
      <c r="D1402" s="6">
        <f ca="1">IFERROR(__xludf.DUMMYFUNCTION("""COMPUTED_VALUE"""),8093115428)</f>
        <v>8093115428</v>
      </c>
      <c r="E1402" s="6" t="str">
        <f ca="1">IFERROR(__xludf.DUMMYFUNCTION("""COMPUTED_VALUE"""),"Reference")</f>
        <v>Reference</v>
      </c>
      <c r="F1402" s="6" t="str">
        <f ca="1">IFERROR(__xludf.DUMMYFUNCTION("""COMPUTED_VALUE"""),"PSM")</f>
        <v>PSM</v>
      </c>
      <c r="G1402" s="80">
        <f ca="1">IFERROR(__xludf.DUMMYFUNCTION("""COMPUTED_VALUE"""),44896)</f>
        <v>44896</v>
      </c>
      <c r="H1402" s="6" t="str">
        <f ca="1">IFERROR(__xludf.DUMMYFUNCTION("""COMPUTED_VALUE"""),"Won")</f>
        <v>Won</v>
      </c>
      <c r="I1402" s="6" t="str">
        <f ca="1">IFERROR(__xludf.DUMMYFUNCTION("""COMPUTED_VALUE"""),"17-18 Dec 2022")</f>
        <v>17-18 Dec 2022</v>
      </c>
      <c r="J1402" s="6">
        <f ca="1">IFERROR(__xludf.DUMMYFUNCTION("""COMPUTED_VALUE"""),1)</f>
        <v>1</v>
      </c>
      <c r="K1402" s="8">
        <f ca="1">IFERROR(__xludf.DUMMYFUNCTION("""COMPUTED_VALUE"""),21000)</f>
        <v>21000</v>
      </c>
      <c r="L1402" s="8">
        <f ca="1">IFERROR(__xludf.DUMMYFUNCTION("""COMPUTED_VALUE"""),240.494732020155)</f>
        <v>240.494732020155</v>
      </c>
      <c r="M1402" s="96">
        <f ca="1">IFERROR(__xludf.DUMMYFUNCTION("""COMPUTED_VALUE"""),44907)</f>
        <v>44907</v>
      </c>
      <c r="N1402" s="6" t="str">
        <f ca="1">IFERROR(__xludf.DUMMYFUNCTION("""COMPUTED_VALUE"""),"S10")</f>
        <v>S10</v>
      </c>
      <c r="O1402" s="97">
        <f ca="1">IFERROR(__xludf.DUMMYFUNCTION("""COMPUTED_VALUE"""),44907)</f>
        <v>44907</v>
      </c>
      <c r="P1402" s="6" t="str">
        <f ca="1">IFERROR(__xludf.DUMMYFUNCTION("""COMPUTED_VALUE"""),"CSTM_HMX17HZE16F")</f>
        <v>CSTM_HMX17HZE16F</v>
      </c>
      <c r="Q1402" s="6" t="str">
        <f ca="1">IFERROR(__xludf.DUMMYFUNCTION("""COMPUTED_VALUE"""),"Reference by psaduwale@gmail.com")</f>
        <v>Reference by psaduwale@gmail.com</v>
      </c>
      <c r="R1402" s="6" t="str">
        <f ca="1">IFERROR(__xludf.DUMMYFUNCTION("""COMPUTED_VALUE"""),"Pending")</f>
        <v>Pending</v>
      </c>
      <c r="S1402" s="6" t="str">
        <f ca="1">IFERROR(__xludf.DUMMYFUNCTION("""COMPUTED_VALUE"""),"Category")</f>
        <v>Category</v>
      </c>
      <c r="T1402" s="6"/>
      <c r="U1402" s="6"/>
      <c r="V1402" s="6"/>
      <c r="W1402" s="6"/>
      <c r="X1402" s="6"/>
      <c r="Y1402" s="6"/>
      <c r="Z1402" s="6"/>
      <c r="AA1402" s="6"/>
      <c r="AB1402" s="6"/>
      <c r="AC1402" s="6"/>
      <c r="AD1402" s="6"/>
      <c r="AE1402" s="6"/>
      <c r="AF1402" s="6"/>
      <c r="AG1402" s="6"/>
      <c r="AH1402" s="6"/>
      <c r="AI1402" s="6"/>
      <c r="AJ1402" s="6"/>
      <c r="AK1402" s="6"/>
      <c r="AL1402" s="6"/>
    </row>
    <row r="1403" spans="1:38">
      <c r="A1403" s="96">
        <f ca="1">IFERROR(__xludf.DUMMYFUNCTION("""COMPUTED_VALUE"""),44907)</f>
        <v>44907</v>
      </c>
      <c r="B1403" s="6" t="str">
        <f ca="1">IFERROR(__xludf.DUMMYFUNCTION("""COMPUTED_VALUE"""),"Ankita Agrawal")</f>
        <v>Ankita Agrawal</v>
      </c>
      <c r="C1403" s="6" t="str">
        <f ca="1">IFERROR(__xludf.DUMMYFUNCTION("""COMPUTED_VALUE"""),"ankita.agrawal26@gmail.com")</f>
        <v>ankita.agrawal26@gmail.com</v>
      </c>
      <c r="D1403" s="6">
        <f ca="1">IFERROR(__xludf.DUMMYFUNCTION("""COMPUTED_VALUE"""),8826968069)</f>
        <v>8826968069</v>
      </c>
      <c r="E1403" s="6" t="str">
        <f ca="1">IFERROR(__xludf.DUMMYFUNCTION("""COMPUTED_VALUE"""),"Existing Account")</f>
        <v>Existing Account</v>
      </c>
      <c r="F1403" s="6" t="str">
        <f ca="1">IFERROR(__xludf.DUMMYFUNCTION("""COMPUTED_VALUE"""),"CSPO")</f>
        <v>CSPO</v>
      </c>
      <c r="G1403" s="80">
        <f ca="1">IFERROR(__xludf.DUMMYFUNCTION("""COMPUTED_VALUE"""),44896)</f>
        <v>44896</v>
      </c>
      <c r="H1403" s="6" t="str">
        <f ca="1">IFERROR(__xludf.DUMMYFUNCTION("""COMPUTED_VALUE"""),"Won")</f>
        <v>Won</v>
      </c>
      <c r="I1403" s="6" t="str">
        <f ca="1">IFERROR(__xludf.DUMMYFUNCTION("""COMPUTED_VALUE"""),"29-30 Dec 2022")</f>
        <v>29-30 Dec 2022</v>
      </c>
      <c r="J1403" s="6">
        <f ca="1">IFERROR(__xludf.DUMMYFUNCTION("""COMPUTED_VALUE"""),1)</f>
        <v>1</v>
      </c>
      <c r="K1403" s="8">
        <f ca="1">IFERROR(__xludf.DUMMYFUNCTION("""COMPUTED_VALUE"""),20000)</f>
        <v>20000</v>
      </c>
      <c r="L1403" s="8">
        <f ca="1">IFERROR(__xludf.DUMMYFUNCTION("""COMPUTED_VALUE"""),229.042601923957)</f>
        <v>229.04260192395699</v>
      </c>
      <c r="M1403" s="96">
        <f ca="1">IFERROR(__xludf.DUMMYFUNCTION("""COMPUTED_VALUE"""),44907)</f>
        <v>44907</v>
      </c>
      <c r="N1403" s="6" t="str">
        <f ca="1">IFERROR(__xludf.DUMMYFUNCTION("""COMPUTED_VALUE"""),"S10")</f>
        <v>S10</v>
      </c>
      <c r="O1403" s="97">
        <f ca="1">IFERROR(__xludf.DUMMYFUNCTION("""COMPUTED_VALUE"""),44907)</f>
        <v>44907</v>
      </c>
      <c r="P1403" s="6" t="str">
        <f ca="1">IFERROR(__xludf.DUMMYFUNCTION("""COMPUTED_VALUE"""),"CSTM_H1VRDCTPOZ8")</f>
        <v>CSTM_H1VRDCTPOZ8</v>
      </c>
      <c r="Q1403" s="6"/>
      <c r="R1403" s="6" t="str">
        <f ca="1">IFERROR(__xludf.DUMMYFUNCTION("""COMPUTED_VALUE"""),"Pending")</f>
        <v>Pending</v>
      </c>
      <c r="S1403" s="6" t="str">
        <f ca="1">IFERROR(__xludf.DUMMYFUNCTION("""COMPUTED_VALUE"""),"Category")</f>
        <v>Category</v>
      </c>
      <c r="T1403" s="6"/>
      <c r="U1403" s="6"/>
      <c r="V1403" s="6"/>
      <c r="W1403" s="6"/>
      <c r="X1403" s="6"/>
      <c r="Y1403" s="6"/>
      <c r="Z1403" s="6"/>
      <c r="AA1403" s="6"/>
      <c r="AB1403" s="6"/>
      <c r="AC1403" s="6"/>
      <c r="AD1403" s="6"/>
      <c r="AE1403" s="6"/>
      <c r="AF1403" s="6"/>
      <c r="AG1403" s="6"/>
      <c r="AH1403" s="6"/>
      <c r="AI1403" s="6"/>
      <c r="AJ1403" s="6"/>
      <c r="AK1403" s="6"/>
      <c r="AL1403" s="6"/>
    </row>
    <row r="1404" spans="1:38">
      <c r="A1404" s="96">
        <f ca="1">IFERROR(__xludf.DUMMYFUNCTION("""COMPUTED_VALUE"""),44907)</f>
        <v>44907</v>
      </c>
      <c r="B1404" s="6" t="str">
        <f ca="1">IFERROR(__xludf.DUMMYFUNCTION("""COMPUTED_VALUE"""),"Raj Kunwar")</f>
        <v>Raj Kunwar</v>
      </c>
      <c r="C1404" s="6" t="str">
        <f ca="1">IFERROR(__xludf.DUMMYFUNCTION("""COMPUTED_VALUE"""),"rajkunwar@gmail.com")</f>
        <v>rajkunwar@gmail.com</v>
      </c>
      <c r="D1404" s="6">
        <f ca="1">IFERROR(__xludf.DUMMYFUNCTION("""COMPUTED_VALUE"""),9999746775)</f>
        <v>9999746775</v>
      </c>
      <c r="E1404" s="6" t="str">
        <f ca="1">IFERROR(__xludf.DUMMYFUNCTION("""COMPUTED_VALUE"""),"Reference")</f>
        <v>Reference</v>
      </c>
      <c r="F1404" s="6" t="str">
        <f ca="1">IFERROR(__xludf.DUMMYFUNCTION("""COMPUTED_VALUE"""),"PSM 2")</f>
        <v>PSM 2</v>
      </c>
      <c r="G1404" s="80">
        <f ca="1">IFERROR(__xludf.DUMMYFUNCTION("""COMPUTED_VALUE"""),44896)</f>
        <v>44896</v>
      </c>
      <c r="H1404" s="6" t="str">
        <f ca="1">IFERROR(__xludf.DUMMYFUNCTION("""COMPUTED_VALUE"""),"Won")</f>
        <v>Won</v>
      </c>
      <c r="I1404" s="6" t="str">
        <f ca="1">IFERROR(__xludf.DUMMYFUNCTION("""COMPUTED_VALUE"""),"17-18 Dec 2022")</f>
        <v>17-18 Dec 2022</v>
      </c>
      <c r="J1404" s="6">
        <f ca="1">IFERROR(__xludf.DUMMYFUNCTION("""COMPUTED_VALUE"""),1)</f>
        <v>1</v>
      </c>
      <c r="K1404" s="8">
        <f ca="1">IFERROR(__xludf.DUMMYFUNCTION("""COMPUTED_VALUE"""),24000)</f>
        <v>24000</v>
      </c>
      <c r="L1404" s="8">
        <f ca="1">IFERROR(__xludf.DUMMYFUNCTION("""COMPUTED_VALUE"""),274.851122308749)</f>
        <v>274.85112230874898</v>
      </c>
      <c r="M1404" s="96">
        <f ca="1">IFERROR(__xludf.DUMMYFUNCTION("""COMPUTED_VALUE"""),44907)</f>
        <v>44907</v>
      </c>
      <c r="N1404" s="6" t="str">
        <f ca="1">IFERROR(__xludf.DUMMYFUNCTION("""COMPUTED_VALUE"""),"S10")</f>
        <v>S10</v>
      </c>
      <c r="O1404" s="97">
        <f ca="1">IFERROR(__xludf.DUMMYFUNCTION("""COMPUTED_VALUE"""),44909)</f>
        <v>44909</v>
      </c>
      <c r="P1404" s="6" t="str">
        <f ca="1">IFERROR(__xludf.DUMMYFUNCTION("""COMPUTED_VALUE"""),"CSTM_6U79GR1JA5J")</f>
        <v>CSTM_6U79GR1JA5J</v>
      </c>
      <c r="Q1404" s="6"/>
      <c r="R1404" s="6" t="str">
        <f ca="1">IFERROR(__xludf.DUMMYFUNCTION("""COMPUTED_VALUE"""),"Pending")</f>
        <v>Pending</v>
      </c>
      <c r="S1404" s="6" t="str">
        <f ca="1">IFERROR(__xludf.DUMMYFUNCTION("""COMPUTED_VALUE"""),"Category")</f>
        <v>Category</v>
      </c>
      <c r="T1404" s="6"/>
      <c r="U1404" s="6"/>
      <c r="V1404" s="6"/>
      <c r="W1404" s="6"/>
      <c r="X1404" s="6"/>
      <c r="Y1404" s="6"/>
      <c r="Z1404" s="6"/>
      <c r="AA1404" s="6"/>
      <c r="AB1404" s="6"/>
      <c r="AC1404" s="6"/>
      <c r="AD1404" s="6"/>
      <c r="AE1404" s="6"/>
      <c r="AF1404" s="6"/>
      <c r="AG1404" s="6"/>
      <c r="AH1404" s="6"/>
      <c r="AI1404" s="6"/>
      <c r="AJ1404" s="6"/>
      <c r="AK1404" s="6"/>
      <c r="AL1404" s="6"/>
    </row>
    <row r="1405" spans="1:38">
      <c r="A1405" s="96">
        <f ca="1">IFERROR(__xludf.DUMMYFUNCTION("""COMPUTED_VALUE"""),44908)</f>
        <v>44908</v>
      </c>
      <c r="B1405" s="6" t="str">
        <f ca="1">IFERROR(__xludf.DUMMYFUNCTION("""COMPUTED_VALUE"""),"Suprava Suta")</f>
        <v>Suprava Suta</v>
      </c>
      <c r="C1405" s="6" t="str">
        <f ca="1">IFERROR(__xludf.DUMMYFUNCTION("""COMPUTED_VALUE"""),"suprava.cutee@gmail.com")</f>
        <v>suprava.cutee@gmail.com</v>
      </c>
      <c r="D1405" s="6">
        <f ca="1">IFERROR(__xludf.DUMMYFUNCTION("""COMPUTED_VALUE"""),9900491330)</f>
        <v>9900491330</v>
      </c>
      <c r="E1405" s="6" t="str">
        <f ca="1">IFERROR(__xludf.DUMMYFUNCTION("""COMPUTED_VALUE"""),"Reference")</f>
        <v>Reference</v>
      </c>
      <c r="F1405" s="6" t="str">
        <f ca="1">IFERROR(__xludf.DUMMYFUNCTION("""COMPUTED_VALUE"""),"PSM 2")</f>
        <v>PSM 2</v>
      </c>
      <c r="G1405" s="80">
        <f ca="1">IFERROR(__xludf.DUMMYFUNCTION("""COMPUTED_VALUE"""),44896)</f>
        <v>44896</v>
      </c>
      <c r="H1405" s="6" t="str">
        <f ca="1">IFERROR(__xludf.DUMMYFUNCTION("""COMPUTED_VALUE"""),"Won")</f>
        <v>Won</v>
      </c>
      <c r="I1405" s="6" t="str">
        <f ca="1">IFERROR(__xludf.DUMMYFUNCTION("""COMPUTED_VALUE"""),"17-18 Dec 2022")</f>
        <v>17-18 Dec 2022</v>
      </c>
      <c r="J1405" s="6">
        <f ca="1">IFERROR(__xludf.DUMMYFUNCTION("""COMPUTED_VALUE"""),1)</f>
        <v>1</v>
      </c>
      <c r="K1405" s="8">
        <f ca="1">IFERROR(__xludf.DUMMYFUNCTION("""COMPUTED_VALUE"""),24000)</f>
        <v>24000</v>
      </c>
      <c r="L1405" s="8">
        <f ca="1">IFERROR(__xludf.DUMMYFUNCTION("""COMPUTED_VALUE"""),274.851122308749)</f>
        <v>274.85112230874898</v>
      </c>
      <c r="M1405" s="96">
        <f ca="1">IFERROR(__xludf.DUMMYFUNCTION("""COMPUTED_VALUE"""),44908)</f>
        <v>44908</v>
      </c>
      <c r="N1405" s="6" t="str">
        <f ca="1">IFERROR(__xludf.DUMMYFUNCTION("""COMPUTED_VALUE"""),"S10")</f>
        <v>S10</v>
      </c>
      <c r="O1405" s="97">
        <f ca="1">IFERROR(__xludf.DUMMYFUNCTION("""COMPUTED_VALUE"""),44908)</f>
        <v>44908</v>
      </c>
      <c r="P1405" s="6" t="str">
        <f ca="1">IFERROR(__xludf.DUMMYFUNCTION("""COMPUTED_VALUE"""),"CSTM_4DTS2ORMW0P")</f>
        <v>CSTM_4DTS2ORMW0P</v>
      </c>
      <c r="Q1405" s="6" t="str">
        <f ca="1">IFERROR(__xludf.DUMMYFUNCTION("""COMPUTED_VALUE"""),"Reference by Innovative Amit")</f>
        <v>Reference by Innovative Amit</v>
      </c>
      <c r="R1405" s="6" t="str">
        <f ca="1">IFERROR(__xludf.DUMMYFUNCTION("""COMPUTED_VALUE"""),"Pending")</f>
        <v>Pending</v>
      </c>
      <c r="S1405" s="6" t="str">
        <f ca="1">IFERROR(__xludf.DUMMYFUNCTION("""COMPUTED_VALUE"""),"Category")</f>
        <v>Category</v>
      </c>
      <c r="T1405" s="6"/>
      <c r="U1405" s="6"/>
      <c r="V1405" s="6"/>
      <c r="W1405" s="6"/>
      <c r="X1405" s="6"/>
      <c r="Y1405" s="6"/>
      <c r="Z1405" s="6"/>
      <c r="AA1405" s="6"/>
      <c r="AB1405" s="6"/>
      <c r="AC1405" s="6"/>
      <c r="AD1405" s="6"/>
      <c r="AE1405" s="6"/>
      <c r="AF1405" s="6"/>
      <c r="AG1405" s="6"/>
      <c r="AH1405" s="6"/>
      <c r="AI1405" s="6"/>
      <c r="AJ1405" s="6"/>
      <c r="AK1405" s="6"/>
      <c r="AL1405" s="6"/>
    </row>
    <row r="1406" spans="1:38">
      <c r="A1406" s="96">
        <f ca="1">IFERROR(__xludf.DUMMYFUNCTION("""COMPUTED_VALUE"""),44908)</f>
        <v>44908</v>
      </c>
      <c r="B1406" s="6" t="str">
        <f ca="1">IFERROR(__xludf.DUMMYFUNCTION("""COMPUTED_VALUE"""),"Nirmala Avula")</f>
        <v>Nirmala Avula</v>
      </c>
      <c r="C1406" s="6" t="str">
        <f ca="1">IFERROR(__xludf.DUMMYFUNCTION("""COMPUTED_VALUE"""),"anirmalablore@gmail.com")</f>
        <v>anirmalablore@gmail.com</v>
      </c>
      <c r="D1406" s="6">
        <f ca="1">IFERROR(__xludf.DUMMYFUNCTION("""COMPUTED_VALUE"""),9739785086)</f>
        <v>9739785086</v>
      </c>
      <c r="E1406" s="6" t="str">
        <f ca="1">IFERROR(__xludf.DUMMYFUNCTION("""COMPUTED_VALUE"""),"Reference")</f>
        <v>Reference</v>
      </c>
      <c r="F1406" s="6" t="str">
        <f ca="1">IFERROR(__xludf.DUMMYFUNCTION("""COMPUTED_VALUE"""),"PSM 2")</f>
        <v>PSM 2</v>
      </c>
      <c r="G1406" s="80">
        <f ca="1">IFERROR(__xludf.DUMMYFUNCTION("""COMPUTED_VALUE"""),44896)</f>
        <v>44896</v>
      </c>
      <c r="H1406" s="6" t="str">
        <f ca="1">IFERROR(__xludf.DUMMYFUNCTION("""COMPUTED_VALUE"""),"Won")</f>
        <v>Won</v>
      </c>
      <c r="I1406" s="6" t="str">
        <f ca="1">IFERROR(__xludf.DUMMYFUNCTION("""COMPUTED_VALUE"""),"17-18 Dec 2022")</f>
        <v>17-18 Dec 2022</v>
      </c>
      <c r="J1406" s="6">
        <f ca="1">IFERROR(__xludf.DUMMYFUNCTION("""COMPUTED_VALUE"""),1)</f>
        <v>1</v>
      </c>
      <c r="K1406" s="8">
        <f ca="1">IFERROR(__xludf.DUMMYFUNCTION("""COMPUTED_VALUE"""),24000)</f>
        <v>24000</v>
      </c>
      <c r="L1406" s="8">
        <f ca="1">IFERROR(__xludf.DUMMYFUNCTION("""COMPUTED_VALUE"""),274.851122308749)</f>
        <v>274.85112230874898</v>
      </c>
      <c r="M1406" s="96">
        <f ca="1">IFERROR(__xludf.DUMMYFUNCTION("""COMPUTED_VALUE"""),44908)</f>
        <v>44908</v>
      </c>
      <c r="N1406" s="6" t="str">
        <f ca="1">IFERROR(__xludf.DUMMYFUNCTION("""COMPUTED_VALUE"""),"S10")</f>
        <v>S10</v>
      </c>
      <c r="O1406" s="97">
        <f ca="1">IFERROR(__xludf.DUMMYFUNCTION("""COMPUTED_VALUE"""),44910)</f>
        <v>44910</v>
      </c>
      <c r="P1406" s="6" t="str">
        <f ca="1">IFERROR(__xludf.DUMMYFUNCTION("""COMPUTED_VALUE"""),"CSTM_AT5U4PY3RKI")</f>
        <v>CSTM_AT5U4PY3RKI</v>
      </c>
      <c r="Q1406" s="6" t="str">
        <f ca="1">IFERROR(__xludf.DUMMYFUNCTION("""COMPUTED_VALUE"""),"Reference by keerti1895@gmail.com")</f>
        <v>Reference by keerti1895@gmail.com</v>
      </c>
      <c r="R1406" s="6" t="str">
        <f ca="1">IFERROR(__xludf.DUMMYFUNCTION("""COMPUTED_VALUE"""),"Pending")</f>
        <v>Pending</v>
      </c>
      <c r="S1406" s="6" t="str">
        <f ca="1">IFERROR(__xludf.DUMMYFUNCTION("""COMPUTED_VALUE"""),"Category")</f>
        <v>Category</v>
      </c>
      <c r="T1406" s="6"/>
      <c r="U1406" s="6"/>
      <c r="V1406" s="6"/>
      <c r="W1406" s="6"/>
      <c r="X1406" s="6"/>
      <c r="Y1406" s="6"/>
      <c r="Z1406" s="6"/>
      <c r="AA1406" s="6"/>
      <c r="AB1406" s="6"/>
      <c r="AC1406" s="6"/>
      <c r="AD1406" s="6"/>
      <c r="AE1406" s="6"/>
      <c r="AF1406" s="6"/>
      <c r="AG1406" s="6"/>
      <c r="AH1406" s="6"/>
      <c r="AI1406" s="6"/>
      <c r="AJ1406" s="6"/>
      <c r="AK1406" s="6"/>
      <c r="AL1406" s="6"/>
    </row>
    <row r="1407" spans="1:38">
      <c r="A1407" s="96">
        <f ca="1">IFERROR(__xludf.DUMMYFUNCTION("""COMPUTED_VALUE"""),44908)</f>
        <v>44908</v>
      </c>
      <c r="B1407" s="6" t="str">
        <f ca="1">IFERROR(__xludf.DUMMYFUNCTION("""COMPUTED_VALUE"""),"Neha Chhabra")</f>
        <v>Neha Chhabra</v>
      </c>
      <c r="C1407" s="6" t="str">
        <f ca="1">IFERROR(__xludf.DUMMYFUNCTION("""COMPUTED_VALUE"""),"nehchhabra@deloitte.com")</f>
        <v>nehchhabra@deloitte.com</v>
      </c>
      <c r="D1407" s="6">
        <f ca="1">IFERROR(__xludf.DUMMYFUNCTION("""COMPUTED_VALUE"""),9996554329)</f>
        <v>9996554329</v>
      </c>
      <c r="E1407" s="6" t="str">
        <f ca="1">IFERROR(__xludf.DUMMYFUNCTION("""COMPUTED_VALUE"""),"Query box")</f>
        <v>Query box</v>
      </c>
      <c r="F1407" s="6" t="str">
        <f ca="1">IFERROR(__xludf.DUMMYFUNCTION("""COMPUTED_VALUE"""),"PSM 2")</f>
        <v>PSM 2</v>
      </c>
      <c r="G1407" s="80">
        <f ca="1">IFERROR(__xludf.DUMMYFUNCTION("""COMPUTED_VALUE"""),44896)</f>
        <v>44896</v>
      </c>
      <c r="H1407" s="6" t="str">
        <f ca="1">IFERROR(__xludf.DUMMYFUNCTION("""COMPUTED_VALUE"""),"Won")</f>
        <v>Won</v>
      </c>
      <c r="I1407" s="6" t="str">
        <f ca="1">IFERROR(__xludf.DUMMYFUNCTION("""COMPUTED_VALUE"""),"17-18 Dec 2022")</f>
        <v>17-18 Dec 2022</v>
      </c>
      <c r="J1407" s="6">
        <f ca="1">IFERROR(__xludf.DUMMYFUNCTION("""COMPUTED_VALUE"""),1)</f>
        <v>1</v>
      </c>
      <c r="K1407" s="8">
        <f ca="1">IFERROR(__xludf.DUMMYFUNCTION("""COMPUTED_VALUE"""),24000)</f>
        <v>24000</v>
      </c>
      <c r="L1407" s="8">
        <f ca="1">IFERROR(__xludf.DUMMYFUNCTION("""COMPUTED_VALUE"""),274.851122308749)</f>
        <v>274.85112230874898</v>
      </c>
      <c r="M1407" s="96">
        <f ca="1">IFERROR(__xludf.DUMMYFUNCTION("""COMPUTED_VALUE"""),44908)</f>
        <v>44908</v>
      </c>
      <c r="N1407" s="6" t="str">
        <f ca="1">IFERROR(__xludf.DUMMYFUNCTION("""COMPUTED_VALUE"""),"S10")</f>
        <v>S10</v>
      </c>
      <c r="O1407" s="97">
        <f ca="1">IFERROR(__xludf.DUMMYFUNCTION("""COMPUTED_VALUE"""),44908)</f>
        <v>44908</v>
      </c>
      <c r="P1407" s="6" t="str">
        <f ca="1">IFERROR(__xludf.DUMMYFUNCTION("""COMPUTED_VALUE"""),"CSTM_4N8UV89YD21")</f>
        <v>CSTM_4N8UV89YD21</v>
      </c>
      <c r="Q1407" s="6"/>
      <c r="R1407" s="6" t="str">
        <f ca="1">IFERROR(__xludf.DUMMYFUNCTION("""COMPUTED_VALUE"""),"Pending")</f>
        <v>Pending</v>
      </c>
      <c r="S1407" s="6" t="str">
        <f ca="1">IFERROR(__xludf.DUMMYFUNCTION("""COMPUTED_VALUE"""),"Category")</f>
        <v>Category</v>
      </c>
      <c r="T1407" s="6"/>
      <c r="U1407" s="6"/>
      <c r="V1407" s="6"/>
      <c r="W1407" s="6"/>
      <c r="X1407" s="6"/>
      <c r="Y1407" s="6"/>
      <c r="Z1407" s="6"/>
      <c r="AA1407" s="6"/>
      <c r="AB1407" s="6"/>
      <c r="AC1407" s="6"/>
      <c r="AD1407" s="6"/>
      <c r="AE1407" s="6"/>
      <c r="AF1407" s="6"/>
      <c r="AG1407" s="6"/>
      <c r="AH1407" s="6"/>
      <c r="AI1407" s="6"/>
      <c r="AJ1407" s="6"/>
      <c r="AK1407" s="6"/>
      <c r="AL1407" s="6"/>
    </row>
    <row r="1408" spans="1:38">
      <c r="A1408" s="96">
        <f ca="1">IFERROR(__xludf.DUMMYFUNCTION("""COMPUTED_VALUE"""),44908)</f>
        <v>44908</v>
      </c>
      <c r="B1408" s="6" t="str">
        <f ca="1">IFERROR(__xludf.DUMMYFUNCTION("""COMPUTED_VALUE"""),"Prakash")</f>
        <v>Prakash</v>
      </c>
      <c r="C1408" s="6" t="str">
        <f ca="1">IFERROR(__xludf.DUMMYFUNCTION("""COMPUTED_VALUE"""),"p6akash@gmail.com")</f>
        <v>p6akash@gmail.com</v>
      </c>
      <c r="D1408" s="6">
        <f ca="1">IFERROR(__xludf.DUMMYFUNCTION("""COMPUTED_VALUE"""),9944713682)</f>
        <v>9944713682</v>
      </c>
      <c r="E1408" s="6" t="str">
        <f ca="1">IFERROR(__xludf.DUMMYFUNCTION("""COMPUTED_VALUE"""),"Reference")</f>
        <v>Reference</v>
      </c>
      <c r="F1408" s="6" t="str">
        <f ca="1">IFERROR(__xludf.DUMMYFUNCTION("""COMPUTED_VALUE"""),"CSM")</f>
        <v>CSM</v>
      </c>
      <c r="G1408" s="80">
        <f ca="1">IFERROR(__xludf.DUMMYFUNCTION("""COMPUTED_VALUE"""),44896)</f>
        <v>44896</v>
      </c>
      <c r="H1408" s="6" t="str">
        <f ca="1">IFERROR(__xludf.DUMMYFUNCTION("""COMPUTED_VALUE"""),"Won")</f>
        <v>Won</v>
      </c>
      <c r="I1408" s="6" t="str">
        <f ca="1">IFERROR(__xludf.DUMMYFUNCTION("""COMPUTED_VALUE"""),"22-23 Dec 2022")</f>
        <v>22-23 Dec 2022</v>
      </c>
      <c r="J1408" s="6">
        <f ca="1">IFERROR(__xludf.DUMMYFUNCTION("""COMPUTED_VALUE"""),1)</f>
        <v>1</v>
      </c>
      <c r="K1408" s="8">
        <f ca="1">IFERROR(__xludf.DUMMYFUNCTION("""COMPUTED_VALUE"""),20000)</f>
        <v>20000</v>
      </c>
      <c r="L1408" s="8">
        <f ca="1">IFERROR(__xludf.DUMMYFUNCTION("""COMPUTED_VALUE"""),229.042601923957)</f>
        <v>229.04260192395699</v>
      </c>
      <c r="M1408" s="96">
        <f ca="1">IFERROR(__xludf.DUMMYFUNCTION("""COMPUTED_VALUE"""),44908)</f>
        <v>44908</v>
      </c>
      <c r="N1408" s="6" t="str">
        <f ca="1">IFERROR(__xludf.DUMMYFUNCTION("""COMPUTED_VALUE"""),"S10")</f>
        <v>S10</v>
      </c>
      <c r="O1408" s="97">
        <f ca="1">IFERROR(__xludf.DUMMYFUNCTION("""COMPUTED_VALUE"""),44908)</f>
        <v>44908</v>
      </c>
      <c r="P1408" s="6" t="str">
        <f ca="1">IFERROR(__xludf.DUMMYFUNCTION("""COMPUTED_VALUE"""),"CSTM_F6A72TV60DP")</f>
        <v>CSTM_F6A72TV60DP</v>
      </c>
      <c r="Q1408" s="6" t="str">
        <f ca="1">IFERROR(__xludf.DUMMYFUNCTION("""COMPUTED_VALUE"""),"Reference by divyapriya0194@gmail.com")</f>
        <v>Reference by divyapriya0194@gmail.com</v>
      </c>
      <c r="R1408" s="6" t="str">
        <f ca="1">IFERROR(__xludf.DUMMYFUNCTION("""COMPUTED_VALUE"""),"Pending")</f>
        <v>Pending</v>
      </c>
      <c r="S1408" s="6" t="str">
        <f ca="1">IFERROR(__xludf.DUMMYFUNCTION("""COMPUTED_VALUE"""),"Category")</f>
        <v>Category</v>
      </c>
      <c r="T1408" s="6"/>
      <c r="U1408" s="6"/>
      <c r="V1408" s="6"/>
      <c r="W1408" s="6"/>
      <c r="X1408" s="6"/>
      <c r="Y1408" s="6"/>
      <c r="Z1408" s="6"/>
      <c r="AA1408" s="6"/>
      <c r="AB1408" s="6"/>
      <c r="AC1408" s="6"/>
      <c r="AD1408" s="6"/>
      <c r="AE1408" s="6"/>
      <c r="AF1408" s="6"/>
      <c r="AG1408" s="6"/>
      <c r="AH1408" s="6"/>
      <c r="AI1408" s="6"/>
      <c r="AJ1408" s="6"/>
      <c r="AK1408" s="6"/>
      <c r="AL1408" s="6"/>
    </row>
    <row r="1409" spans="1:38">
      <c r="A1409" s="96">
        <f ca="1">IFERROR(__xludf.DUMMYFUNCTION("""COMPUTED_VALUE"""),44909)</f>
        <v>44909</v>
      </c>
      <c r="B1409" s="6" t="str">
        <f ca="1">IFERROR(__xludf.DUMMYFUNCTION("""COMPUTED_VALUE"""),"Manjula Basavaraj")</f>
        <v>Manjula Basavaraj</v>
      </c>
      <c r="C1409" s="6" t="str">
        <f ca="1">IFERROR(__xludf.DUMMYFUNCTION("""COMPUTED_VALUE"""),"manjulabasavaraj@yahoo.co.in")</f>
        <v>manjulabasavaraj@yahoo.co.in</v>
      </c>
      <c r="D1409" s="6">
        <f ca="1">IFERROR(__xludf.DUMMYFUNCTION("""COMPUTED_VALUE"""),9902861056)</f>
        <v>9902861056</v>
      </c>
      <c r="E1409" s="6" t="str">
        <f ca="1">IFERROR(__xludf.DUMMYFUNCTION("""COMPUTED_VALUE"""),"chat_initiated")</f>
        <v>chat_initiated</v>
      </c>
      <c r="F1409" s="6" t="str">
        <f ca="1">IFERROR(__xludf.DUMMYFUNCTION("""COMPUTED_VALUE"""),"PSM 2")</f>
        <v>PSM 2</v>
      </c>
      <c r="G1409" s="80">
        <f ca="1">IFERROR(__xludf.DUMMYFUNCTION("""COMPUTED_VALUE"""),44896)</f>
        <v>44896</v>
      </c>
      <c r="H1409" s="6" t="str">
        <f ca="1">IFERROR(__xludf.DUMMYFUNCTION("""COMPUTED_VALUE"""),"Won")</f>
        <v>Won</v>
      </c>
      <c r="I1409" s="6" t="str">
        <f ca="1">IFERROR(__xludf.DUMMYFUNCTION("""COMPUTED_VALUE"""),"17-18 Dec 2022")</f>
        <v>17-18 Dec 2022</v>
      </c>
      <c r="J1409" s="6">
        <f ca="1">IFERROR(__xludf.DUMMYFUNCTION("""COMPUTED_VALUE"""),1)</f>
        <v>1</v>
      </c>
      <c r="K1409" s="8">
        <f ca="1">IFERROR(__xludf.DUMMYFUNCTION("""COMPUTED_VALUE"""),21000)</f>
        <v>21000</v>
      </c>
      <c r="L1409" s="8">
        <f ca="1">IFERROR(__xludf.DUMMYFUNCTION("""COMPUTED_VALUE"""),240.494732020155)</f>
        <v>240.494732020155</v>
      </c>
      <c r="M1409" s="96">
        <f ca="1">IFERROR(__xludf.DUMMYFUNCTION("""COMPUTED_VALUE"""),44909)</f>
        <v>44909</v>
      </c>
      <c r="N1409" s="6" t="str">
        <f ca="1">IFERROR(__xludf.DUMMYFUNCTION("""COMPUTED_VALUE"""),"S10")</f>
        <v>S10</v>
      </c>
      <c r="O1409" s="97">
        <f ca="1">IFERROR(__xludf.DUMMYFUNCTION("""COMPUTED_VALUE"""),44909)</f>
        <v>44909</v>
      </c>
      <c r="P1409" s="6" t="str">
        <f ca="1">IFERROR(__xludf.DUMMYFUNCTION("""COMPUTED_VALUE"""),"CSTM_86UDTZZHHMJ")</f>
        <v>CSTM_86UDTZZHHMJ</v>
      </c>
      <c r="Q1409" s="6"/>
      <c r="R1409" s="6" t="str">
        <f ca="1">IFERROR(__xludf.DUMMYFUNCTION("""COMPUTED_VALUE"""),"Pending")</f>
        <v>Pending</v>
      </c>
      <c r="S1409" s="6" t="str">
        <f ca="1">IFERROR(__xludf.DUMMYFUNCTION("""COMPUTED_VALUE"""),"Category")</f>
        <v>Category</v>
      </c>
      <c r="T1409" s="6"/>
      <c r="U1409" s="6"/>
      <c r="V1409" s="6"/>
      <c r="W1409" s="6"/>
      <c r="X1409" s="6"/>
      <c r="Y1409" s="6"/>
      <c r="Z1409" s="6"/>
      <c r="AA1409" s="6"/>
      <c r="AB1409" s="6"/>
      <c r="AC1409" s="6"/>
      <c r="AD1409" s="6"/>
      <c r="AE1409" s="6"/>
      <c r="AF1409" s="6"/>
      <c r="AG1409" s="6"/>
      <c r="AH1409" s="6"/>
      <c r="AI1409" s="6"/>
      <c r="AJ1409" s="6"/>
      <c r="AK1409" s="6"/>
      <c r="AL1409" s="6"/>
    </row>
    <row r="1410" spans="1:38">
      <c r="A1410" s="96">
        <f ca="1">IFERROR(__xludf.DUMMYFUNCTION("""COMPUTED_VALUE"""),44909)</f>
        <v>44909</v>
      </c>
      <c r="B1410" s="6" t="str">
        <f ca="1">IFERROR(__xludf.DUMMYFUNCTION("""COMPUTED_VALUE"""),"Sheel Hegde")</f>
        <v>Sheel Hegde</v>
      </c>
      <c r="C1410" s="6" t="str">
        <f ca="1">IFERROR(__xludf.DUMMYFUNCTION("""COMPUTED_VALUE"""),"sheela.hegde@gmail.com")</f>
        <v>sheela.hegde@gmail.com</v>
      </c>
      <c r="D1410" s="6">
        <f ca="1">IFERROR(__xludf.DUMMYFUNCTION("""COMPUTED_VALUE"""),9886009852)</f>
        <v>9886009852</v>
      </c>
      <c r="E1410" s="6" t="str">
        <f ca="1">IFERROR(__xludf.DUMMYFUNCTION("""COMPUTED_VALUE"""),"chat_initiated")</f>
        <v>chat_initiated</v>
      </c>
      <c r="F1410" s="6" t="str">
        <f ca="1">IFERROR(__xludf.DUMMYFUNCTION("""COMPUTED_VALUE"""),"PSM 2")</f>
        <v>PSM 2</v>
      </c>
      <c r="G1410" s="80">
        <f ca="1">IFERROR(__xludf.DUMMYFUNCTION("""COMPUTED_VALUE"""),44896)</f>
        <v>44896</v>
      </c>
      <c r="H1410" s="6" t="str">
        <f ca="1">IFERROR(__xludf.DUMMYFUNCTION("""COMPUTED_VALUE"""),"Won")</f>
        <v>Won</v>
      </c>
      <c r="I1410" s="6" t="str">
        <f ca="1">IFERROR(__xludf.DUMMYFUNCTION("""COMPUTED_VALUE"""),"17-18 Dec 2022")</f>
        <v>17-18 Dec 2022</v>
      </c>
      <c r="J1410" s="6">
        <f ca="1">IFERROR(__xludf.DUMMYFUNCTION("""COMPUTED_VALUE"""),1)</f>
        <v>1</v>
      </c>
      <c r="K1410" s="8">
        <f ca="1">IFERROR(__xludf.DUMMYFUNCTION("""COMPUTED_VALUE"""),21000)</f>
        <v>21000</v>
      </c>
      <c r="L1410" s="8">
        <f ca="1">IFERROR(__xludf.DUMMYFUNCTION("""COMPUTED_VALUE"""),240.494732020155)</f>
        <v>240.494732020155</v>
      </c>
      <c r="M1410" s="96">
        <f ca="1">IFERROR(__xludf.DUMMYFUNCTION("""COMPUTED_VALUE"""),44909)</f>
        <v>44909</v>
      </c>
      <c r="N1410" s="6" t="str">
        <f ca="1">IFERROR(__xludf.DUMMYFUNCTION("""COMPUTED_VALUE"""),"S10")</f>
        <v>S10</v>
      </c>
      <c r="O1410" s="97">
        <f ca="1">IFERROR(__xludf.DUMMYFUNCTION("""COMPUTED_VALUE"""),44909)</f>
        <v>44909</v>
      </c>
      <c r="P1410" s="6" t="str">
        <f ca="1">IFERROR(__xludf.DUMMYFUNCTION("""COMPUTED_VALUE"""),"CSTM_5VT1MIDUGOA")</f>
        <v>CSTM_5VT1MIDUGOA</v>
      </c>
      <c r="Q1410" s="6"/>
      <c r="R1410" s="6" t="str">
        <f ca="1">IFERROR(__xludf.DUMMYFUNCTION("""COMPUTED_VALUE"""),"Pending")</f>
        <v>Pending</v>
      </c>
      <c r="S1410" s="6" t="str">
        <f ca="1">IFERROR(__xludf.DUMMYFUNCTION("""COMPUTED_VALUE"""),"Category")</f>
        <v>Category</v>
      </c>
      <c r="T1410" s="6"/>
      <c r="U1410" s="6"/>
      <c r="V1410" s="6"/>
      <c r="W1410" s="6"/>
      <c r="X1410" s="6"/>
      <c r="Y1410" s="6"/>
      <c r="Z1410" s="6"/>
      <c r="AA1410" s="6"/>
      <c r="AB1410" s="6"/>
      <c r="AC1410" s="6"/>
      <c r="AD1410" s="6"/>
      <c r="AE1410" s="6"/>
      <c r="AF1410" s="6"/>
      <c r="AG1410" s="6"/>
      <c r="AH1410" s="6"/>
      <c r="AI1410" s="6"/>
      <c r="AJ1410" s="6"/>
      <c r="AK1410" s="6"/>
      <c r="AL1410" s="6"/>
    </row>
    <row r="1411" spans="1:38">
      <c r="A1411" s="96">
        <f ca="1">IFERROR(__xludf.DUMMYFUNCTION("""COMPUTED_VALUE"""),44909)</f>
        <v>44909</v>
      </c>
      <c r="B1411" s="6" t="str">
        <f ca="1">IFERROR(__xludf.DUMMYFUNCTION("""COMPUTED_VALUE"""),"Madhumitha")</f>
        <v>Madhumitha</v>
      </c>
      <c r="C1411" s="6" t="str">
        <f ca="1">IFERROR(__xludf.DUMMYFUNCTION("""COMPUTED_VALUE"""),"email.mitha@gmail.com")</f>
        <v>email.mitha@gmail.com</v>
      </c>
      <c r="D1411" s="6">
        <f ca="1">IFERROR(__xludf.DUMMYFUNCTION("""COMPUTED_VALUE"""),9686031655)</f>
        <v>9686031655</v>
      </c>
      <c r="E1411" s="6" t="str">
        <f ca="1">IFERROR(__xludf.DUMMYFUNCTION("""COMPUTED_VALUE"""),"Existing Account")</f>
        <v>Existing Account</v>
      </c>
      <c r="F1411" s="6" t="str">
        <f ca="1">IFERROR(__xludf.DUMMYFUNCTION("""COMPUTED_VALUE"""),"PMP")</f>
        <v>PMP</v>
      </c>
      <c r="G1411" s="80">
        <f ca="1">IFERROR(__xludf.DUMMYFUNCTION("""COMPUTED_VALUE"""),44896)</f>
        <v>44896</v>
      </c>
      <c r="H1411" s="6" t="str">
        <f ca="1">IFERROR(__xludf.DUMMYFUNCTION("""COMPUTED_VALUE"""),"Won")</f>
        <v>Won</v>
      </c>
      <c r="I1411" s="6" t="str">
        <f ca="1">IFERROR(__xludf.DUMMYFUNCTION("""COMPUTED_VALUE"""),"17 Dec 2022")</f>
        <v>17 Dec 2022</v>
      </c>
      <c r="J1411" s="6">
        <f ca="1">IFERROR(__xludf.DUMMYFUNCTION("""COMPUTED_VALUE"""),1)</f>
        <v>1</v>
      </c>
      <c r="K1411" s="8">
        <f ca="1">IFERROR(__xludf.DUMMYFUNCTION("""COMPUTED_VALUE"""),10000)</f>
        <v>10000</v>
      </c>
      <c r="L1411" s="8">
        <f ca="1">IFERROR(__xludf.DUMMYFUNCTION("""COMPUTED_VALUE"""),114.521300961978)</f>
        <v>114.521300961978</v>
      </c>
      <c r="M1411" s="96">
        <f ca="1">IFERROR(__xludf.DUMMYFUNCTION("""COMPUTED_VALUE"""),44909)</f>
        <v>44909</v>
      </c>
      <c r="N1411" s="6" t="str">
        <f ca="1">IFERROR(__xludf.DUMMYFUNCTION("""COMPUTED_VALUE"""),"S10")</f>
        <v>S10</v>
      </c>
      <c r="O1411" s="97">
        <f ca="1">IFERROR(__xludf.DUMMYFUNCTION("""COMPUTED_VALUE"""),44909)</f>
        <v>44909</v>
      </c>
      <c r="P1411" s="6" t="str">
        <f ca="1">IFERROR(__xludf.DUMMYFUNCTION("""COMPUTED_VALUE"""),"CSTM_1GE25D3Z04Q")</f>
        <v>CSTM_1GE25D3Z04Q</v>
      </c>
      <c r="Q1411" s="6"/>
      <c r="R1411" s="6" t="str">
        <f ca="1">IFERROR(__xludf.DUMMYFUNCTION("""COMPUTED_VALUE"""),"Pending")</f>
        <v>Pending</v>
      </c>
      <c r="S1411" s="6" t="str">
        <f ca="1">IFERROR(__xludf.DUMMYFUNCTION("""COMPUTED_VALUE"""),"NonCategory")</f>
        <v>NonCategory</v>
      </c>
      <c r="T1411" s="6"/>
      <c r="U1411" s="6"/>
      <c r="V1411" s="6"/>
      <c r="W1411" s="6"/>
      <c r="X1411" s="6"/>
      <c r="Y1411" s="6"/>
      <c r="Z1411" s="6"/>
      <c r="AA1411" s="6"/>
      <c r="AB1411" s="6"/>
      <c r="AC1411" s="6"/>
      <c r="AD1411" s="6"/>
      <c r="AE1411" s="6"/>
      <c r="AF1411" s="6"/>
      <c r="AG1411" s="6"/>
      <c r="AH1411" s="6"/>
      <c r="AI1411" s="6"/>
      <c r="AJ1411" s="6"/>
      <c r="AK1411" s="6"/>
      <c r="AL1411" s="6"/>
    </row>
    <row r="1412" spans="1:38">
      <c r="A1412" s="96">
        <f ca="1">IFERROR(__xludf.DUMMYFUNCTION("""COMPUTED_VALUE"""),44909)</f>
        <v>44909</v>
      </c>
      <c r="B1412" s="6" t="str">
        <f ca="1">IFERROR(__xludf.DUMMYFUNCTION("""COMPUTED_VALUE"""),"Ayushi Mohanty")</f>
        <v>Ayushi Mohanty</v>
      </c>
      <c r="C1412" s="6" t="str">
        <f ca="1">IFERROR(__xludf.DUMMYFUNCTION("""COMPUTED_VALUE"""),"ayushimohanty14.10@gmail.com")</f>
        <v>ayushimohanty14.10@gmail.com</v>
      </c>
      <c r="D1412" s="6">
        <f ca="1">IFERROR(__xludf.DUMMYFUNCTION("""COMPUTED_VALUE"""),8007464259)</f>
        <v>8007464259</v>
      </c>
      <c r="E1412" s="6" t="str">
        <f ca="1">IFERROR(__xludf.DUMMYFUNCTION("""COMPUTED_VALUE"""),"Reference")</f>
        <v>Reference</v>
      </c>
      <c r="F1412" s="6" t="str">
        <f ca="1">IFERROR(__xludf.DUMMYFUNCTION("""COMPUTED_VALUE"""),"PSM")</f>
        <v>PSM</v>
      </c>
      <c r="G1412" s="80">
        <f ca="1">IFERROR(__xludf.DUMMYFUNCTION("""COMPUTED_VALUE"""),44896)</f>
        <v>44896</v>
      </c>
      <c r="H1412" s="6" t="str">
        <f ca="1">IFERROR(__xludf.DUMMYFUNCTION("""COMPUTED_VALUE"""),"Won")</f>
        <v>Won</v>
      </c>
      <c r="I1412" s="6" t="str">
        <f ca="1">IFERROR(__xludf.DUMMYFUNCTION("""COMPUTED_VALUE"""),"17-18 Dec 2022")</f>
        <v>17-18 Dec 2022</v>
      </c>
      <c r="J1412" s="6">
        <f ca="1">IFERROR(__xludf.DUMMYFUNCTION("""COMPUTED_VALUE"""),1)</f>
        <v>1</v>
      </c>
      <c r="K1412" s="8">
        <f ca="1">IFERROR(__xludf.DUMMYFUNCTION("""COMPUTED_VALUE"""),21000)</f>
        <v>21000</v>
      </c>
      <c r="L1412" s="8">
        <f ca="1">IFERROR(__xludf.DUMMYFUNCTION("""COMPUTED_VALUE"""),240.494732020155)</f>
        <v>240.494732020155</v>
      </c>
      <c r="M1412" s="96">
        <f ca="1">IFERROR(__xludf.DUMMYFUNCTION("""COMPUTED_VALUE"""),44909)</f>
        <v>44909</v>
      </c>
      <c r="N1412" s="6" t="str">
        <f ca="1">IFERROR(__xludf.DUMMYFUNCTION("""COMPUTED_VALUE"""),"S10")</f>
        <v>S10</v>
      </c>
      <c r="O1412" s="97">
        <f ca="1">IFERROR(__xludf.DUMMYFUNCTION("""COMPUTED_VALUE"""),44909)</f>
        <v>44909</v>
      </c>
      <c r="P1412" s="6" t="str">
        <f ca="1">IFERROR(__xludf.DUMMYFUNCTION("""COMPUTED_VALUE"""),"CSTM_4JRQZCIOBXT")</f>
        <v>CSTM_4JRQZCIOBXT</v>
      </c>
      <c r="Q1412" s="6" t="str">
        <f ca="1">IFERROR(__xludf.DUMMYFUNCTION("""COMPUTED_VALUE"""),"Reference by sriradhika@gmail.com")</f>
        <v>Reference by sriradhika@gmail.com</v>
      </c>
      <c r="R1412" s="6" t="str">
        <f ca="1">IFERROR(__xludf.DUMMYFUNCTION("""COMPUTED_VALUE"""),"Pending")</f>
        <v>Pending</v>
      </c>
      <c r="S1412" s="6" t="str">
        <f ca="1">IFERROR(__xludf.DUMMYFUNCTION("""COMPUTED_VALUE"""),"Category")</f>
        <v>Category</v>
      </c>
      <c r="T1412" s="6"/>
      <c r="U1412" s="6"/>
      <c r="V1412" s="6"/>
      <c r="W1412" s="6"/>
      <c r="X1412" s="6"/>
      <c r="Y1412" s="6"/>
      <c r="Z1412" s="6"/>
      <c r="AA1412" s="6"/>
      <c r="AB1412" s="6"/>
      <c r="AC1412" s="6"/>
      <c r="AD1412" s="6"/>
      <c r="AE1412" s="6"/>
      <c r="AF1412" s="6"/>
      <c r="AG1412" s="6"/>
      <c r="AH1412" s="6"/>
      <c r="AI1412" s="6"/>
      <c r="AJ1412" s="6"/>
      <c r="AK1412" s="6"/>
      <c r="AL1412" s="6"/>
    </row>
    <row r="1413" spans="1:38">
      <c r="A1413" s="96">
        <f ca="1">IFERROR(__xludf.DUMMYFUNCTION("""COMPUTED_VALUE"""),44909)</f>
        <v>44909</v>
      </c>
      <c r="B1413" s="6" t="str">
        <f ca="1">IFERROR(__xludf.DUMMYFUNCTION("""COMPUTED_VALUE"""),"Suresh Babu")</f>
        <v>Suresh Babu</v>
      </c>
      <c r="C1413" s="6" t="str">
        <f ca="1">IFERROR(__xludf.DUMMYFUNCTION("""COMPUTED_VALUE"""),"sureshbabu.chn@gmail.com")</f>
        <v>sureshbabu.chn@gmail.com</v>
      </c>
      <c r="D1413" s="6">
        <f ca="1">IFERROR(__xludf.DUMMYFUNCTION("""COMPUTED_VALUE"""),9600037070)</f>
        <v>9600037070</v>
      </c>
      <c r="E1413" s="6" t="str">
        <f ca="1">IFERROR(__xludf.DUMMYFUNCTION("""COMPUTED_VALUE"""),"Existing Account")</f>
        <v>Existing Account</v>
      </c>
      <c r="F1413" s="6" t="str">
        <f ca="1">IFERROR(__xludf.DUMMYFUNCTION("""COMPUTED_VALUE"""),"ITILv4")</f>
        <v>ITILv4</v>
      </c>
      <c r="G1413" s="80">
        <f ca="1">IFERROR(__xludf.DUMMYFUNCTION("""COMPUTED_VALUE"""),44896)</f>
        <v>44896</v>
      </c>
      <c r="H1413" s="6" t="str">
        <f ca="1">IFERROR(__xludf.DUMMYFUNCTION("""COMPUTED_VALUE"""),"Won")</f>
        <v>Won</v>
      </c>
      <c r="I1413" s="6" t="str">
        <f ca="1">IFERROR(__xludf.DUMMYFUNCTION("""COMPUTED_VALUE"""),"14 Dec 2022")</f>
        <v>14 Dec 2022</v>
      </c>
      <c r="J1413" s="6">
        <f ca="1">IFERROR(__xludf.DUMMYFUNCTION("""COMPUTED_VALUE"""),1)</f>
        <v>1</v>
      </c>
      <c r="K1413" s="8">
        <f ca="1">IFERROR(__xludf.DUMMYFUNCTION("""COMPUTED_VALUE"""),17700)</f>
        <v>17700</v>
      </c>
      <c r="L1413" s="8">
        <f ca="1">IFERROR(__xludf.DUMMYFUNCTION("""COMPUTED_VALUE"""),202.702702702702)</f>
        <v>202.702702702702</v>
      </c>
      <c r="M1413" s="96">
        <f ca="1">IFERROR(__xludf.DUMMYFUNCTION("""COMPUTED_VALUE"""),44909)</f>
        <v>44909</v>
      </c>
      <c r="N1413" s="6" t="str">
        <f ca="1">IFERROR(__xludf.DUMMYFUNCTION("""COMPUTED_VALUE"""),"S10")</f>
        <v>S10</v>
      </c>
      <c r="O1413" s="97">
        <f ca="1">IFERROR(__xludf.DUMMYFUNCTION("""COMPUTED_VALUE"""),44909)</f>
        <v>44909</v>
      </c>
      <c r="P1413" s="6" t="str">
        <f ca="1">IFERROR(__xludf.DUMMYFUNCTION("""COMPUTED_VALUE"""),"CSTM_4OD01F8LEFB")</f>
        <v>CSTM_4OD01F8LEFB</v>
      </c>
      <c r="Q1413" s="6"/>
      <c r="R1413" s="6" t="str">
        <f ca="1">IFERROR(__xludf.DUMMYFUNCTION("""COMPUTED_VALUE"""),"Pending")</f>
        <v>Pending</v>
      </c>
      <c r="S1413" s="6" t="str">
        <f ca="1">IFERROR(__xludf.DUMMYFUNCTION("""COMPUTED_VALUE"""),"NonCategory")</f>
        <v>NonCategory</v>
      </c>
      <c r="T1413" s="6"/>
      <c r="U1413" s="6"/>
      <c r="V1413" s="6"/>
      <c r="W1413" s="6"/>
      <c r="X1413" s="6"/>
      <c r="Y1413" s="6"/>
      <c r="Z1413" s="6"/>
      <c r="AA1413" s="6"/>
      <c r="AB1413" s="6"/>
      <c r="AC1413" s="6"/>
      <c r="AD1413" s="6"/>
      <c r="AE1413" s="6"/>
      <c r="AF1413" s="6"/>
      <c r="AG1413" s="6"/>
      <c r="AH1413" s="6"/>
      <c r="AI1413" s="6"/>
      <c r="AJ1413" s="6"/>
      <c r="AK1413" s="6"/>
      <c r="AL1413" s="6"/>
    </row>
    <row r="1414" spans="1:38">
      <c r="A1414" s="96">
        <f ca="1">IFERROR(__xludf.DUMMYFUNCTION("""COMPUTED_VALUE"""),44909)</f>
        <v>44909</v>
      </c>
      <c r="B1414" s="6" t="str">
        <f ca="1">IFERROR(__xludf.DUMMYFUNCTION("""COMPUTED_VALUE"""),"Thillai")</f>
        <v>Thillai</v>
      </c>
      <c r="C1414" s="6" t="str">
        <f ca="1">IFERROR(__xludf.DUMMYFUNCTION("""COMPUTED_VALUE"""),"vthillai89@gmail.com")</f>
        <v>vthillai89@gmail.com</v>
      </c>
      <c r="D1414" s="6">
        <f ca="1">IFERROR(__xludf.DUMMYFUNCTION("""COMPUTED_VALUE"""),8148624873)</f>
        <v>8148624873</v>
      </c>
      <c r="E1414" s="6" t="str">
        <f ca="1">IFERROR(__xludf.DUMMYFUNCTION("""COMPUTED_VALUE"""),"Tollfree")</f>
        <v>Tollfree</v>
      </c>
      <c r="F1414" s="6" t="str">
        <f ca="1">IFERROR(__xludf.DUMMYFUNCTION("""COMPUTED_VALUE"""),"PSPO 2")</f>
        <v>PSPO 2</v>
      </c>
      <c r="G1414" s="80">
        <f ca="1">IFERROR(__xludf.DUMMYFUNCTION("""COMPUTED_VALUE"""),44896)</f>
        <v>44896</v>
      </c>
      <c r="H1414" s="6" t="str">
        <f ca="1">IFERROR(__xludf.DUMMYFUNCTION("""COMPUTED_VALUE"""),"Won")</f>
        <v>Won</v>
      </c>
      <c r="I1414" s="6" t="str">
        <f ca="1">IFERROR(__xludf.DUMMYFUNCTION("""COMPUTED_VALUE"""),"20-21 Dec 2022")</f>
        <v>20-21 Dec 2022</v>
      </c>
      <c r="J1414" s="6">
        <f ca="1">IFERROR(__xludf.DUMMYFUNCTION("""COMPUTED_VALUE"""),1)</f>
        <v>1</v>
      </c>
      <c r="K1414" s="8">
        <f ca="1">IFERROR(__xludf.DUMMYFUNCTION("""COMPUTED_VALUE"""),24000)</f>
        <v>24000</v>
      </c>
      <c r="L1414" s="8">
        <f ca="1">IFERROR(__xludf.DUMMYFUNCTION("""COMPUTED_VALUE"""),274.851122308749)</f>
        <v>274.85112230874898</v>
      </c>
      <c r="M1414" s="96">
        <f ca="1">IFERROR(__xludf.DUMMYFUNCTION("""COMPUTED_VALUE"""),44909)</f>
        <v>44909</v>
      </c>
      <c r="N1414" s="6" t="str">
        <f ca="1">IFERROR(__xludf.DUMMYFUNCTION("""COMPUTED_VALUE"""),"S10")</f>
        <v>S10</v>
      </c>
      <c r="O1414" s="97">
        <f ca="1">IFERROR(__xludf.DUMMYFUNCTION("""COMPUTED_VALUE"""),44909)</f>
        <v>44909</v>
      </c>
      <c r="P1414" s="6" t="str">
        <f ca="1">IFERROR(__xludf.DUMMYFUNCTION("""COMPUTED_VALUE"""),"CSTM_IK0HCP8GTP8")</f>
        <v>CSTM_IK0HCP8GTP8</v>
      </c>
      <c r="Q1414" s="6"/>
      <c r="R1414" s="6" t="str">
        <f ca="1">IFERROR(__xludf.DUMMYFUNCTION("""COMPUTED_VALUE"""),"Pending")</f>
        <v>Pending</v>
      </c>
      <c r="S1414" s="6" t="str">
        <f ca="1">IFERROR(__xludf.DUMMYFUNCTION("""COMPUTED_VALUE"""),"NonCategory")</f>
        <v>NonCategory</v>
      </c>
      <c r="T1414" s="6"/>
      <c r="U1414" s="6"/>
      <c r="V1414" s="6"/>
      <c r="W1414" s="6"/>
      <c r="X1414" s="6"/>
      <c r="Y1414" s="6"/>
      <c r="Z1414" s="6"/>
      <c r="AA1414" s="6"/>
      <c r="AB1414" s="6"/>
      <c r="AC1414" s="6"/>
      <c r="AD1414" s="6"/>
      <c r="AE1414" s="6"/>
      <c r="AF1414" s="6"/>
      <c r="AG1414" s="6"/>
      <c r="AH1414" s="6"/>
      <c r="AI1414" s="6"/>
      <c r="AJ1414" s="6"/>
      <c r="AK1414" s="6"/>
      <c r="AL1414" s="6"/>
    </row>
    <row r="1415" spans="1:38">
      <c r="A1415" s="96">
        <f ca="1">IFERROR(__xludf.DUMMYFUNCTION("""COMPUTED_VALUE"""),44909)</f>
        <v>44909</v>
      </c>
      <c r="B1415" s="6" t="str">
        <f ca="1">IFERROR(__xludf.DUMMYFUNCTION("""COMPUTED_VALUE"""),"Ashok Poojary")</f>
        <v>Ashok Poojary</v>
      </c>
      <c r="C1415" s="6" t="str">
        <f ca="1">IFERROR(__xludf.DUMMYFUNCTION("""COMPUTED_VALUE"""),"ashok.poojary@gmail.com")</f>
        <v>ashok.poojary@gmail.com</v>
      </c>
      <c r="D1415" s="6">
        <f ca="1">IFERROR(__xludf.DUMMYFUNCTION("""COMPUTED_VALUE"""),9819655788)</f>
        <v>9819655788</v>
      </c>
      <c r="E1415" s="6" t="str">
        <f ca="1">IFERROR(__xludf.DUMMYFUNCTION("""COMPUTED_VALUE"""),"Chat_triggered")</f>
        <v>Chat_triggered</v>
      </c>
      <c r="F1415" s="6" t="str">
        <f ca="1">IFERROR(__xludf.DUMMYFUNCTION("""COMPUTED_VALUE"""),"PSPO 2")</f>
        <v>PSPO 2</v>
      </c>
      <c r="G1415" s="80">
        <f ca="1">IFERROR(__xludf.DUMMYFUNCTION("""COMPUTED_VALUE"""),44896)</f>
        <v>44896</v>
      </c>
      <c r="H1415" s="6" t="str">
        <f ca="1">IFERROR(__xludf.DUMMYFUNCTION("""COMPUTED_VALUE"""),"Won")</f>
        <v>Won</v>
      </c>
      <c r="I1415" s="6" t="str">
        <f ca="1">IFERROR(__xludf.DUMMYFUNCTION("""COMPUTED_VALUE"""),"20-21 Dec 2022")</f>
        <v>20-21 Dec 2022</v>
      </c>
      <c r="J1415" s="6">
        <f ca="1">IFERROR(__xludf.DUMMYFUNCTION("""COMPUTED_VALUE"""),1)</f>
        <v>1</v>
      </c>
      <c r="K1415" s="8">
        <f ca="1">IFERROR(__xludf.DUMMYFUNCTION("""COMPUTED_VALUE"""),24000)</f>
        <v>24000</v>
      </c>
      <c r="L1415" s="8">
        <f ca="1">IFERROR(__xludf.DUMMYFUNCTION("""COMPUTED_VALUE"""),274.851122308749)</f>
        <v>274.85112230874898</v>
      </c>
      <c r="M1415" s="96">
        <f ca="1">IFERROR(__xludf.DUMMYFUNCTION("""COMPUTED_VALUE"""),44909)</f>
        <v>44909</v>
      </c>
      <c r="N1415" s="6" t="str">
        <f ca="1">IFERROR(__xludf.DUMMYFUNCTION("""COMPUTED_VALUE"""),"S10")</f>
        <v>S10</v>
      </c>
      <c r="O1415" s="97">
        <f ca="1">IFERROR(__xludf.DUMMYFUNCTION("""COMPUTED_VALUE"""),44909)</f>
        <v>44909</v>
      </c>
      <c r="P1415" s="6" t="str">
        <f ca="1">IFERROR(__xludf.DUMMYFUNCTION("""COMPUTED_VALUE"""),"CSTM_XH6CIQ27IX")</f>
        <v>CSTM_XH6CIQ27IX</v>
      </c>
      <c r="Q1415" s="6"/>
      <c r="R1415" s="6" t="str">
        <f ca="1">IFERROR(__xludf.DUMMYFUNCTION("""COMPUTED_VALUE"""),"Pending")</f>
        <v>Pending</v>
      </c>
      <c r="S1415" s="6" t="str">
        <f ca="1">IFERROR(__xludf.DUMMYFUNCTION("""COMPUTED_VALUE"""),"NonCategory")</f>
        <v>NonCategory</v>
      </c>
      <c r="T1415" s="6"/>
      <c r="U1415" s="6"/>
      <c r="V1415" s="6"/>
      <c r="W1415" s="6"/>
      <c r="X1415" s="6"/>
      <c r="Y1415" s="6"/>
      <c r="Z1415" s="6"/>
      <c r="AA1415" s="6"/>
      <c r="AB1415" s="6"/>
      <c r="AC1415" s="6"/>
      <c r="AD1415" s="6"/>
      <c r="AE1415" s="6"/>
      <c r="AF1415" s="6"/>
      <c r="AG1415" s="6"/>
      <c r="AH1415" s="6"/>
      <c r="AI1415" s="6"/>
      <c r="AJ1415" s="6"/>
      <c r="AK1415" s="6"/>
      <c r="AL1415" s="6"/>
    </row>
    <row r="1416" spans="1:38">
      <c r="A1416" s="96">
        <f ca="1">IFERROR(__xludf.DUMMYFUNCTION("""COMPUTED_VALUE"""),44909)</f>
        <v>44909</v>
      </c>
      <c r="B1416" s="6" t="str">
        <f ca="1">IFERROR(__xludf.DUMMYFUNCTION("""COMPUTED_VALUE"""),"Sharika")</f>
        <v>Sharika</v>
      </c>
      <c r="C1416" s="6" t="str">
        <f ca="1">IFERROR(__xludf.DUMMYFUNCTION("""COMPUTED_VALUE"""),"sharikas2004@yahoo.co.in")</f>
        <v>sharikas2004@yahoo.co.in</v>
      </c>
      <c r="D1416" s="6">
        <f ca="1">IFERROR(__xludf.DUMMYFUNCTION("""COMPUTED_VALUE"""),9960918641)</f>
        <v>9960918641</v>
      </c>
      <c r="E1416" s="6" t="str">
        <f ca="1">IFERROR(__xludf.DUMMYFUNCTION("""COMPUTED_VALUE"""),"Existing Account")</f>
        <v>Existing Account</v>
      </c>
      <c r="F1416" s="6" t="str">
        <f ca="1">IFERROR(__xludf.DUMMYFUNCTION("""COMPUTED_VALUE"""),"PSPO 2")</f>
        <v>PSPO 2</v>
      </c>
      <c r="G1416" s="80">
        <f ca="1">IFERROR(__xludf.DUMMYFUNCTION("""COMPUTED_VALUE"""),44896)</f>
        <v>44896</v>
      </c>
      <c r="H1416" s="6" t="str">
        <f ca="1">IFERROR(__xludf.DUMMYFUNCTION("""COMPUTED_VALUE"""),"Won")</f>
        <v>Won</v>
      </c>
      <c r="I1416" s="6" t="str">
        <f ca="1">IFERROR(__xludf.DUMMYFUNCTION("""COMPUTED_VALUE"""),"20-21 Dec 2022")</f>
        <v>20-21 Dec 2022</v>
      </c>
      <c r="J1416" s="6">
        <f ca="1">IFERROR(__xludf.DUMMYFUNCTION("""COMPUTED_VALUE"""),1)</f>
        <v>1</v>
      </c>
      <c r="K1416" s="8">
        <f ca="1">IFERROR(__xludf.DUMMYFUNCTION("""COMPUTED_VALUE"""),24000)</f>
        <v>24000</v>
      </c>
      <c r="L1416" s="8">
        <f ca="1">IFERROR(__xludf.DUMMYFUNCTION("""COMPUTED_VALUE"""),274.851122308749)</f>
        <v>274.85112230874898</v>
      </c>
      <c r="M1416" s="96">
        <f ca="1">IFERROR(__xludf.DUMMYFUNCTION("""COMPUTED_VALUE"""),44909)</f>
        <v>44909</v>
      </c>
      <c r="N1416" s="6" t="str">
        <f ca="1">IFERROR(__xludf.DUMMYFUNCTION("""COMPUTED_VALUE"""),"S10")</f>
        <v>S10</v>
      </c>
      <c r="O1416" s="97">
        <f ca="1">IFERROR(__xludf.DUMMYFUNCTION("""COMPUTED_VALUE"""),44909)</f>
        <v>44909</v>
      </c>
      <c r="P1416" s="6" t="str">
        <f ca="1">IFERROR(__xludf.DUMMYFUNCTION("""COMPUTED_VALUE"""),"CSTM_10QVNC64H61")</f>
        <v>CSTM_10QVNC64H61</v>
      </c>
      <c r="Q1416" s="6"/>
      <c r="R1416" s="6" t="str">
        <f ca="1">IFERROR(__xludf.DUMMYFUNCTION("""COMPUTED_VALUE"""),"Pending")</f>
        <v>Pending</v>
      </c>
      <c r="S1416" s="6" t="str">
        <f ca="1">IFERROR(__xludf.DUMMYFUNCTION("""COMPUTED_VALUE"""),"NonCategory")</f>
        <v>NonCategory</v>
      </c>
      <c r="T1416" s="6"/>
      <c r="U1416" s="6"/>
      <c r="V1416" s="6"/>
      <c r="W1416" s="6"/>
      <c r="X1416" s="6"/>
      <c r="Y1416" s="6"/>
      <c r="Z1416" s="6"/>
      <c r="AA1416" s="6"/>
      <c r="AB1416" s="6"/>
      <c r="AC1416" s="6"/>
      <c r="AD1416" s="6"/>
      <c r="AE1416" s="6"/>
      <c r="AF1416" s="6"/>
      <c r="AG1416" s="6"/>
      <c r="AH1416" s="6"/>
      <c r="AI1416" s="6"/>
      <c r="AJ1416" s="6"/>
      <c r="AK1416" s="6"/>
      <c r="AL1416" s="6"/>
    </row>
    <row r="1417" spans="1:38">
      <c r="A1417" s="96">
        <f ca="1">IFERROR(__xludf.DUMMYFUNCTION("""COMPUTED_VALUE"""),44909)</f>
        <v>44909</v>
      </c>
      <c r="B1417" s="6" t="str">
        <f ca="1">IFERROR(__xludf.DUMMYFUNCTION("""COMPUTED_VALUE"""),"Pallavi Daje")</f>
        <v>Pallavi Daje</v>
      </c>
      <c r="C1417" s="6" t="str">
        <f ca="1">IFERROR(__xludf.DUMMYFUNCTION("""COMPUTED_VALUE"""),"pmuddaje36@gmail.com")</f>
        <v>pmuddaje36@gmail.com</v>
      </c>
      <c r="D1417" s="6">
        <f ca="1">IFERROR(__xludf.DUMMYFUNCTION("""COMPUTED_VALUE"""),9900069589)</f>
        <v>9900069589</v>
      </c>
      <c r="E1417" s="6" t="str">
        <f ca="1">IFERROR(__xludf.DUMMYFUNCTION("""COMPUTED_VALUE"""),"Reference")</f>
        <v>Reference</v>
      </c>
      <c r="F1417" s="6" t="str">
        <f ca="1">IFERROR(__xludf.DUMMYFUNCTION("""COMPUTED_VALUE"""),"PSM 2")</f>
        <v>PSM 2</v>
      </c>
      <c r="G1417" s="80">
        <f ca="1">IFERROR(__xludf.DUMMYFUNCTION("""COMPUTED_VALUE"""),44896)</f>
        <v>44896</v>
      </c>
      <c r="H1417" s="6" t="str">
        <f ca="1">IFERROR(__xludf.DUMMYFUNCTION("""COMPUTED_VALUE"""),"Won")</f>
        <v>Won</v>
      </c>
      <c r="I1417" s="6" t="str">
        <f ca="1">IFERROR(__xludf.DUMMYFUNCTION("""COMPUTED_VALUE"""),"17-18 Dec 2022")</f>
        <v>17-18 Dec 2022</v>
      </c>
      <c r="J1417" s="6">
        <f ca="1">IFERROR(__xludf.DUMMYFUNCTION("""COMPUTED_VALUE"""),1)</f>
        <v>1</v>
      </c>
      <c r="K1417" s="8">
        <f ca="1">IFERROR(__xludf.DUMMYFUNCTION("""COMPUTED_VALUE"""),24000)</f>
        <v>24000</v>
      </c>
      <c r="L1417" s="8">
        <f ca="1">IFERROR(__xludf.DUMMYFUNCTION("""COMPUTED_VALUE"""),274.851122308749)</f>
        <v>274.85112230874898</v>
      </c>
      <c r="M1417" s="96">
        <f ca="1">IFERROR(__xludf.DUMMYFUNCTION("""COMPUTED_VALUE"""),44909)</f>
        <v>44909</v>
      </c>
      <c r="N1417" s="6" t="str">
        <f ca="1">IFERROR(__xludf.DUMMYFUNCTION("""COMPUTED_VALUE"""),"S10")</f>
        <v>S10</v>
      </c>
      <c r="O1417" s="97">
        <f ca="1">IFERROR(__xludf.DUMMYFUNCTION("""COMPUTED_VALUE"""),44910)</f>
        <v>44910</v>
      </c>
      <c r="P1417" s="6" t="str">
        <f ca="1">IFERROR(__xludf.DUMMYFUNCTION("""COMPUTED_VALUE"""),"CSTM_15RBWNGRTLB")</f>
        <v>CSTM_15RBWNGRTLB</v>
      </c>
      <c r="Q1417" s="6" t="str">
        <f ca="1">IFERROR(__xludf.DUMMYFUNCTION("""COMPUTED_VALUE"""),"Reference by anamika.sharma07@gmail.com")</f>
        <v>Reference by anamika.sharma07@gmail.com</v>
      </c>
      <c r="R1417" s="6" t="str">
        <f ca="1">IFERROR(__xludf.DUMMYFUNCTION("""COMPUTED_VALUE"""),"Pending")</f>
        <v>Pending</v>
      </c>
      <c r="S1417" s="6" t="str">
        <f ca="1">IFERROR(__xludf.DUMMYFUNCTION("""COMPUTED_VALUE"""),"Category")</f>
        <v>Category</v>
      </c>
      <c r="T1417" s="6"/>
      <c r="U1417" s="6"/>
      <c r="V1417" s="6"/>
      <c r="W1417" s="6"/>
      <c r="X1417" s="6"/>
      <c r="Y1417" s="6"/>
      <c r="Z1417" s="6"/>
      <c r="AA1417" s="6"/>
      <c r="AB1417" s="6"/>
      <c r="AC1417" s="6"/>
      <c r="AD1417" s="6"/>
      <c r="AE1417" s="6"/>
      <c r="AF1417" s="6"/>
      <c r="AG1417" s="6"/>
      <c r="AH1417" s="6"/>
      <c r="AI1417" s="6"/>
      <c r="AJ1417" s="6"/>
      <c r="AK1417" s="6"/>
      <c r="AL1417" s="6"/>
    </row>
    <row r="1418" spans="1:38">
      <c r="A1418" s="96">
        <f ca="1">IFERROR(__xludf.DUMMYFUNCTION("""COMPUTED_VALUE"""),44910)</f>
        <v>44910</v>
      </c>
      <c r="B1418" s="6" t="str">
        <f ca="1">IFERROR(__xludf.DUMMYFUNCTION("""COMPUTED_VALUE"""),"Vishal Ingle")</f>
        <v>Vishal Ingle</v>
      </c>
      <c r="C1418" s="6" t="str">
        <f ca="1">IFERROR(__xludf.DUMMYFUNCTION("""COMPUTED_VALUE"""),"vishal.v.ingle@airbus.com")</f>
        <v>vishal.v.ingle@airbus.com</v>
      </c>
      <c r="D1418" s="6">
        <f ca="1">IFERROR(__xludf.DUMMYFUNCTION("""COMPUTED_VALUE"""),8999450094)</f>
        <v>8999450094</v>
      </c>
      <c r="E1418" s="6" t="str">
        <f ca="1">IFERROR(__xludf.DUMMYFUNCTION("""COMPUTED_VALUE"""),"Query box")</f>
        <v>Query box</v>
      </c>
      <c r="F1418" s="6" t="str">
        <f ca="1">IFERROR(__xludf.DUMMYFUNCTION("""COMPUTED_VALUE"""),"PSM")</f>
        <v>PSM</v>
      </c>
      <c r="G1418" s="80">
        <f ca="1">IFERROR(__xludf.DUMMYFUNCTION("""COMPUTED_VALUE"""),44896)</f>
        <v>44896</v>
      </c>
      <c r="H1418" s="6" t="str">
        <f ca="1">IFERROR(__xludf.DUMMYFUNCTION("""COMPUTED_VALUE"""),"Won")</f>
        <v>Won</v>
      </c>
      <c r="I1418" s="6" t="str">
        <f ca="1">IFERROR(__xludf.DUMMYFUNCTION("""COMPUTED_VALUE"""),"24-25 Dec 2022")</f>
        <v>24-25 Dec 2022</v>
      </c>
      <c r="J1418" s="6">
        <f ca="1">IFERROR(__xludf.DUMMYFUNCTION("""COMPUTED_VALUE"""),1)</f>
        <v>1</v>
      </c>
      <c r="K1418" s="8">
        <f ca="1">IFERROR(__xludf.DUMMYFUNCTION("""COMPUTED_VALUE"""),21000)</f>
        <v>21000</v>
      </c>
      <c r="L1418" s="8">
        <f ca="1">IFERROR(__xludf.DUMMYFUNCTION("""COMPUTED_VALUE"""),240.494732020155)</f>
        <v>240.494732020155</v>
      </c>
      <c r="M1418" s="96">
        <f ca="1">IFERROR(__xludf.DUMMYFUNCTION("""COMPUTED_VALUE"""),44910)</f>
        <v>44910</v>
      </c>
      <c r="N1418" s="6" t="str">
        <f ca="1">IFERROR(__xludf.DUMMYFUNCTION("""COMPUTED_VALUE"""),"S10")</f>
        <v>S10</v>
      </c>
      <c r="O1418" s="97">
        <f ca="1">IFERROR(__xludf.DUMMYFUNCTION("""COMPUTED_VALUE"""),44910)</f>
        <v>44910</v>
      </c>
      <c r="P1418" s="6" t="str">
        <f ca="1">IFERROR(__xludf.DUMMYFUNCTION("""COMPUTED_VALUE"""),"CSTM_5CIIQV3DBWO")</f>
        <v>CSTM_5CIIQV3DBWO</v>
      </c>
      <c r="Q1418" s="6"/>
      <c r="R1418" s="6" t="str">
        <f ca="1">IFERROR(__xludf.DUMMYFUNCTION("""COMPUTED_VALUE"""),"Pending")</f>
        <v>Pending</v>
      </c>
      <c r="S1418" s="6" t="str">
        <f ca="1">IFERROR(__xludf.DUMMYFUNCTION("""COMPUTED_VALUE"""),"Category")</f>
        <v>Category</v>
      </c>
      <c r="T1418" s="6"/>
      <c r="U1418" s="6"/>
      <c r="V1418" s="6"/>
      <c r="W1418" s="6"/>
      <c r="X1418" s="6"/>
      <c r="Y1418" s="6"/>
      <c r="Z1418" s="6"/>
      <c r="AA1418" s="6"/>
      <c r="AB1418" s="6"/>
      <c r="AC1418" s="6"/>
      <c r="AD1418" s="6"/>
      <c r="AE1418" s="6"/>
      <c r="AF1418" s="6"/>
      <c r="AG1418" s="6"/>
      <c r="AH1418" s="6"/>
      <c r="AI1418" s="6"/>
      <c r="AJ1418" s="6"/>
      <c r="AK1418" s="6"/>
      <c r="AL1418" s="6"/>
    </row>
    <row r="1419" spans="1:38">
      <c r="A1419" s="96">
        <f ca="1">IFERROR(__xludf.DUMMYFUNCTION("""COMPUTED_VALUE"""),44910)</f>
        <v>44910</v>
      </c>
      <c r="B1419" s="6" t="str">
        <f ca="1">IFERROR(__xludf.DUMMYFUNCTION("""COMPUTED_VALUE"""),"Lipika Chakraborty")</f>
        <v>Lipika Chakraborty</v>
      </c>
      <c r="C1419" s="6" t="str">
        <f ca="1">IFERROR(__xludf.DUMMYFUNCTION("""COMPUTED_VALUE"""),"lipika.chakraborty@gmail.com")</f>
        <v>lipika.chakraborty@gmail.com</v>
      </c>
      <c r="D1419" s="6">
        <f ca="1">IFERROR(__xludf.DUMMYFUNCTION("""COMPUTED_VALUE"""),8017125674)</f>
        <v>8017125674</v>
      </c>
      <c r="E1419" s="6" t="str">
        <f ca="1">IFERROR(__xludf.DUMMYFUNCTION("""COMPUTED_VALUE"""),"Query box")</f>
        <v>Query box</v>
      </c>
      <c r="F1419" s="6" t="str">
        <f ca="1">IFERROR(__xludf.DUMMYFUNCTION("""COMPUTED_VALUE"""),"PSM 2")</f>
        <v>PSM 2</v>
      </c>
      <c r="G1419" s="80">
        <f ca="1">IFERROR(__xludf.DUMMYFUNCTION("""COMPUTED_VALUE"""),44896)</f>
        <v>44896</v>
      </c>
      <c r="H1419" s="6" t="str">
        <f ca="1">IFERROR(__xludf.DUMMYFUNCTION("""COMPUTED_VALUE"""),"Won")</f>
        <v>Won</v>
      </c>
      <c r="I1419" s="6" t="str">
        <f ca="1">IFERROR(__xludf.DUMMYFUNCTION("""COMPUTED_VALUE"""),"17-18 Dec 2022")</f>
        <v>17-18 Dec 2022</v>
      </c>
      <c r="J1419" s="6">
        <f ca="1">IFERROR(__xludf.DUMMYFUNCTION("""COMPUTED_VALUE"""),1)</f>
        <v>1</v>
      </c>
      <c r="K1419" s="8">
        <f ca="1">IFERROR(__xludf.DUMMYFUNCTION("""COMPUTED_VALUE"""),24000)</f>
        <v>24000</v>
      </c>
      <c r="L1419" s="8">
        <f ca="1">IFERROR(__xludf.DUMMYFUNCTION("""COMPUTED_VALUE"""),274.851122308749)</f>
        <v>274.85112230874898</v>
      </c>
      <c r="M1419" s="96">
        <f ca="1">IFERROR(__xludf.DUMMYFUNCTION("""COMPUTED_VALUE"""),44910)</f>
        <v>44910</v>
      </c>
      <c r="N1419" s="6" t="str">
        <f ca="1">IFERROR(__xludf.DUMMYFUNCTION("""COMPUTED_VALUE"""),"S10")</f>
        <v>S10</v>
      </c>
      <c r="O1419" s="97">
        <f ca="1">IFERROR(__xludf.DUMMYFUNCTION("""COMPUTED_VALUE"""),44910)</f>
        <v>44910</v>
      </c>
      <c r="P1419" s="6" t="str">
        <f ca="1">IFERROR(__xludf.DUMMYFUNCTION("""COMPUTED_VALUE"""),"CSTM_3CCVHL4KHRA")</f>
        <v>CSTM_3CCVHL4KHRA</v>
      </c>
      <c r="Q1419" s="6"/>
      <c r="R1419" s="6" t="str">
        <f ca="1">IFERROR(__xludf.DUMMYFUNCTION("""COMPUTED_VALUE"""),"Pending")</f>
        <v>Pending</v>
      </c>
      <c r="S1419" s="6" t="str">
        <f ca="1">IFERROR(__xludf.DUMMYFUNCTION("""COMPUTED_VALUE"""),"Category")</f>
        <v>Category</v>
      </c>
      <c r="T1419" s="6"/>
      <c r="U1419" s="6"/>
      <c r="V1419" s="6"/>
      <c r="W1419" s="6"/>
      <c r="X1419" s="6"/>
      <c r="Y1419" s="6"/>
      <c r="Z1419" s="6"/>
      <c r="AA1419" s="6"/>
      <c r="AB1419" s="6"/>
      <c r="AC1419" s="6"/>
      <c r="AD1419" s="6"/>
      <c r="AE1419" s="6"/>
      <c r="AF1419" s="6"/>
      <c r="AG1419" s="6"/>
      <c r="AH1419" s="6"/>
      <c r="AI1419" s="6"/>
      <c r="AJ1419" s="6"/>
      <c r="AK1419" s="6"/>
      <c r="AL1419" s="6"/>
    </row>
    <row r="1420" spans="1:38">
      <c r="A1420" s="96">
        <f ca="1">IFERROR(__xludf.DUMMYFUNCTION("""COMPUTED_VALUE"""),44910)</f>
        <v>44910</v>
      </c>
      <c r="B1420" s="6" t="str">
        <f ca="1">IFERROR(__xludf.DUMMYFUNCTION("""COMPUTED_VALUE"""),"Abhishek M P")</f>
        <v>Abhishek M P</v>
      </c>
      <c r="C1420" s="6" t="str">
        <f ca="1">IFERROR(__xludf.DUMMYFUNCTION("""COMPUTED_VALUE"""),"mpabhishek07@gmail.com")</f>
        <v>mpabhishek07@gmail.com</v>
      </c>
      <c r="D1420" s="6">
        <f ca="1">IFERROR(__xludf.DUMMYFUNCTION("""COMPUTED_VALUE"""),8762715848)</f>
        <v>8762715848</v>
      </c>
      <c r="E1420" s="6" t="str">
        <f ca="1">IFERROR(__xludf.DUMMYFUNCTION("""COMPUTED_VALUE"""),"Chat_triggered")</f>
        <v>Chat_triggered</v>
      </c>
      <c r="F1420" s="6" t="str">
        <f ca="1">IFERROR(__xludf.DUMMYFUNCTION("""COMPUTED_VALUE"""),"CSM")</f>
        <v>CSM</v>
      </c>
      <c r="G1420" s="80">
        <f ca="1">IFERROR(__xludf.DUMMYFUNCTION("""COMPUTED_VALUE"""),44896)</f>
        <v>44896</v>
      </c>
      <c r="H1420" s="6" t="str">
        <f ca="1">IFERROR(__xludf.DUMMYFUNCTION("""COMPUTED_VALUE"""),"Won")</f>
        <v>Won</v>
      </c>
      <c r="I1420" s="6" t="str">
        <f ca="1">IFERROR(__xludf.DUMMYFUNCTION("""COMPUTED_VALUE"""),"24-25 Dec 2022")</f>
        <v>24-25 Dec 2022</v>
      </c>
      <c r="J1420" s="6">
        <f ca="1">IFERROR(__xludf.DUMMYFUNCTION("""COMPUTED_VALUE"""),1)</f>
        <v>1</v>
      </c>
      <c r="K1420" s="8">
        <f ca="1">IFERROR(__xludf.DUMMYFUNCTION("""COMPUTED_VALUE"""),20000)</f>
        <v>20000</v>
      </c>
      <c r="L1420" s="8">
        <f ca="1">IFERROR(__xludf.DUMMYFUNCTION("""COMPUTED_VALUE"""),229.042601923957)</f>
        <v>229.04260192395699</v>
      </c>
      <c r="M1420" s="96">
        <f ca="1">IFERROR(__xludf.DUMMYFUNCTION("""COMPUTED_VALUE"""),44910)</f>
        <v>44910</v>
      </c>
      <c r="N1420" s="6" t="str">
        <f ca="1">IFERROR(__xludf.DUMMYFUNCTION("""COMPUTED_VALUE"""),"S10")</f>
        <v>S10</v>
      </c>
      <c r="O1420" s="97">
        <f ca="1">IFERROR(__xludf.DUMMYFUNCTION("""COMPUTED_VALUE"""),44910)</f>
        <v>44910</v>
      </c>
      <c r="P1420" s="6" t="str">
        <f ca="1">IFERROR(__xludf.DUMMYFUNCTION("""COMPUTED_VALUE"""),"CSTM_2LLTE2E7BRE")</f>
        <v>CSTM_2LLTE2E7BRE</v>
      </c>
      <c r="Q1420" s="6"/>
      <c r="R1420" s="6" t="str">
        <f ca="1">IFERROR(__xludf.DUMMYFUNCTION("""COMPUTED_VALUE"""),"Pending")</f>
        <v>Pending</v>
      </c>
      <c r="S1420" s="6" t="str">
        <f ca="1">IFERROR(__xludf.DUMMYFUNCTION("""COMPUTED_VALUE"""),"Category")</f>
        <v>Category</v>
      </c>
      <c r="T1420" s="6"/>
      <c r="U1420" s="6"/>
      <c r="V1420" s="6"/>
      <c r="W1420" s="6"/>
      <c r="X1420" s="6"/>
      <c r="Y1420" s="6"/>
      <c r="Z1420" s="6"/>
      <c r="AA1420" s="6"/>
      <c r="AB1420" s="6"/>
      <c r="AC1420" s="6"/>
      <c r="AD1420" s="6"/>
      <c r="AE1420" s="6"/>
      <c r="AF1420" s="6"/>
      <c r="AG1420" s="6"/>
      <c r="AH1420" s="6"/>
      <c r="AI1420" s="6"/>
      <c r="AJ1420" s="6"/>
      <c r="AK1420" s="6"/>
      <c r="AL1420" s="6"/>
    </row>
    <row r="1421" spans="1:38">
      <c r="A1421" s="96">
        <f ca="1">IFERROR(__xludf.DUMMYFUNCTION("""COMPUTED_VALUE"""),44910)</f>
        <v>44910</v>
      </c>
      <c r="B1421" s="6" t="str">
        <f ca="1">IFERROR(__xludf.DUMMYFUNCTION("""COMPUTED_VALUE"""),"Akash Saxena")</f>
        <v>Akash Saxena</v>
      </c>
      <c r="C1421" s="6" t="str">
        <f ca="1">IFERROR(__xludf.DUMMYFUNCTION("""COMPUTED_VALUE"""),"akkisaxena37@gmail.com")</f>
        <v>akkisaxena37@gmail.com</v>
      </c>
      <c r="D1421" s="6">
        <f ca="1">IFERROR(__xludf.DUMMYFUNCTION("""COMPUTED_VALUE"""),7037733331)</f>
        <v>7037733331</v>
      </c>
      <c r="E1421" s="6" t="str">
        <f ca="1">IFERROR(__xludf.DUMMYFUNCTION("""COMPUTED_VALUE"""),"Query box")</f>
        <v>Query box</v>
      </c>
      <c r="F1421" s="6" t="str">
        <f ca="1">IFERROR(__xludf.DUMMYFUNCTION("""COMPUTED_VALUE"""),"ITIL v4")</f>
        <v>ITIL v4</v>
      </c>
      <c r="G1421" s="80">
        <f ca="1">IFERROR(__xludf.DUMMYFUNCTION("""COMPUTED_VALUE"""),44896)</f>
        <v>44896</v>
      </c>
      <c r="H1421" s="6" t="str">
        <f ca="1">IFERROR(__xludf.DUMMYFUNCTION("""COMPUTED_VALUE"""),"Opportunity")</f>
        <v>Opportunity</v>
      </c>
      <c r="I1421" s="6" t="str">
        <f ca="1">IFERROR(__xludf.DUMMYFUNCTION("""COMPUTED_VALUE"""),"17 Dec 2022")</f>
        <v>17 Dec 2022</v>
      </c>
      <c r="J1421" s="6">
        <f ca="1">IFERROR(__xludf.DUMMYFUNCTION("""COMPUTED_VALUE"""),1)</f>
        <v>1</v>
      </c>
      <c r="K1421" s="8">
        <f ca="1">IFERROR(__xludf.DUMMYFUNCTION("""COMPUTED_VALUE"""),19200)</f>
        <v>19200</v>
      </c>
      <c r="L1421" s="8">
        <f ca="1">IFERROR(__xludf.DUMMYFUNCTION("""COMPUTED_VALUE"""),219.880897846999)</f>
        <v>219.88089784699901</v>
      </c>
      <c r="M1421" s="96">
        <f ca="1">IFERROR(__xludf.DUMMYFUNCTION("""COMPUTED_VALUE"""),44910)</f>
        <v>44910</v>
      </c>
      <c r="N1421" s="6"/>
      <c r="O1421" s="97"/>
      <c r="P1421" s="6"/>
      <c r="Q1421" s="6"/>
      <c r="R1421" s="6"/>
      <c r="S1421" s="6" t="str">
        <f ca="1">IFERROR(__xludf.DUMMYFUNCTION("""COMPUTED_VALUE"""),"NonCategory")</f>
        <v>NonCategory</v>
      </c>
      <c r="T1421" s="6"/>
      <c r="U1421" s="6"/>
      <c r="V1421" s="6"/>
      <c r="W1421" s="6"/>
      <c r="X1421" s="6"/>
      <c r="Y1421" s="6"/>
      <c r="Z1421" s="6"/>
      <c r="AA1421" s="6"/>
      <c r="AB1421" s="6"/>
      <c r="AC1421" s="6"/>
      <c r="AD1421" s="6"/>
      <c r="AE1421" s="6"/>
      <c r="AF1421" s="6"/>
      <c r="AG1421" s="6"/>
      <c r="AH1421" s="6"/>
      <c r="AI1421" s="6"/>
      <c r="AJ1421" s="6"/>
      <c r="AK1421" s="6"/>
      <c r="AL1421" s="6"/>
    </row>
    <row r="1422" spans="1:38">
      <c r="A1422" s="96">
        <f ca="1">IFERROR(__xludf.DUMMYFUNCTION("""COMPUTED_VALUE"""),44911)</f>
        <v>44911</v>
      </c>
      <c r="B1422" s="6" t="str">
        <f ca="1">IFERROR(__xludf.DUMMYFUNCTION("""COMPUTED_VALUE"""),"Shweta Shri")</f>
        <v>Shweta Shri</v>
      </c>
      <c r="C1422" s="6" t="str">
        <f ca="1">IFERROR(__xludf.DUMMYFUNCTION("""COMPUTED_VALUE"""),"shwetashri0812@gmail.com")</f>
        <v>shwetashri0812@gmail.com</v>
      </c>
      <c r="D1422" s="6">
        <f ca="1">IFERROR(__xludf.DUMMYFUNCTION("""COMPUTED_VALUE"""),6361736492)</f>
        <v>6361736492</v>
      </c>
      <c r="E1422" s="6" t="str">
        <f ca="1">IFERROR(__xludf.DUMMYFUNCTION("""COMPUTED_VALUE"""),"chat_initiated")</f>
        <v>chat_initiated</v>
      </c>
      <c r="F1422" s="6" t="str">
        <f ca="1">IFERROR(__xludf.DUMMYFUNCTION("""COMPUTED_VALUE"""),"PSM")</f>
        <v>PSM</v>
      </c>
      <c r="G1422" s="80">
        <f ca="1">IFERROR(__xludf.DUMMYFUNCTION("""COMPUTED_VALUE"""),44896)</f>
        <v>44896</v>
      </c>
      <c r="H1422" s="6" t="str">
        <f ca="1">IFERROR(__xludf.DUMMYFUNCTION("""COMPUTED_VALUE"""),"Won")</f>
        <v>Won</v>
      </c>
      <c r="I1422" s="6" t="str">
        <f ca="1">IFERROR(__xludf.DUMMYFUNCTION("""COMPUTED_VALUE"""),"17-18 Dec 2022")</f>
        <v>17-18 Dec 2022</v>
      </c>
      <c r="J1422" s="6">
        <f ca="1">IFERROR(__xludf.DUMMYFUNCTION("""COMPUTED_VALUE"""),1)</f>
        <v>1</v>
      </c>
      <c r="K1422" s="8">
        <f ca="1">IFERROR(__xludf.DUMMYFUNCTION("""COMPUTED_VALUE"""),21000)</f>
        <v>21000</v>
      </c>
      <c r="L1422" s="8">
        <f ca="1">IFERROR(__xludf.DUMMYFUNCTION("""COMPUTED_VALUE"""),240.494732020155)</f>
        <v>240.494732020155</v>
      </c>
      <c r="M1422" s="96">
        <f ca="1">IFERROR(__xludf.DUMMYFUNCTION("""COMPUTED_VALUE"""),44911)</f>
        <v>44911</v>
      </c>
      <c r="N1422" s="6" t="str">
        <f ca="1">IFERROR(__xludf.DUMMYFUNCTION("""COMPUTED_VALUE"""),"S10")</f>
        <v>S10</v>
      </c>
      <c r="O1422" s="97">
        <f ca="1">IFERROR(__xludf.DUMMYFUNCTION("""COMPUTED_VALUE"""),44911)</f>
        <v>44911</v>
      </c>
      <c r="P1422" s="6" t="str">
        <f ca="1">IFERROR(__xludf.DUMMYFUNCTION("""COMPUTED_VALUE"""),"CSTM_9PBYTXI2CG5")</f>
        <v>CSTM_9PBYTXI2CG5</v>
      </c>
      <c r="Q1422" s="6"/>
      <c r="R1422" s="6" t="str">
        <f ca="1">IFERROR(__xludf.DUMMYFUNCTION("""COMPUTED_VALUE"""),"Pending")</f>
        <v>Pending</v>
      </c>
      <c r="S1422" s="6" t="str">
        <f ca="1">IFERROR(__xludf.DUMMYFUNCTION("""COMPUTED_VALUE"""),"Category")</f>
        <v>Category</v>
      </c>
      <c r="T1422" s="6"/>
      <c r="U1422" s="6"/>
      <c r="V1422" s="6"/>
      <c r="W1422" s="6"/>
      <c r="X1422" s="6"/>
      <c r="Y1422" s="6"/>
      <c r="Z1422" s="6"/>
      <c r="AA1422" s="6"/>
      <c r="AB1422" s="6"/>
      <c r="AC1422" s="6"/>
      <c r="AD1422" s="6"/>
      <c r="AE1422" s="6"/>
      <c r="AF1422" s="6"/>
      <c r="AG1422" s="6"/>
      <c r="AH1422" s="6"/>
      <c r="AI1422" s="6"/>
      <c r="AJ1422" s="6"/>
      <c r="AK1422" s="6"/>
      <c r="AL1422" s="6"/>
    </row>
    <row r="1423" spans="1:38">
      <c r="A1423" s="96">
        <f ca="1">IFERROR(__xludf.DUMMYFUNCTION("""COMPUTED_VALUE"""),44911)</f>
        <v>44911</v>
      </c>
      <c r="B1423" s="6" t="str">
        <f ca="1">IFERROR(__xludf.DUMMYFUNCTION("""COMPUTED_VALUE"""),"Sachin Yadav")</f>
        <v>Sachin Yadav</v>
      </c>
      <c r="C1423" s="6" t="str">
        <f ca="1">IFERROR(__xludf.DUMMYFUNCTION("""COMPUTED_VALUE"""),"yadavsachin0402@gmail.com")</f>
        <v>yadavsachin0402@gmail.com</v>
      </c>
      <c r="D1423" s="6">
        <f ca="1">IFERROR(__xludf.DUMMYFUNCTION("""COMPUTED_VALUE"""),8008288779)</f>
        <v>8008288779</v>
      </c>
      <c r="E1423" s="6" t="str">
        <f ca="1">IFERROR(__xludf.DUMMYFUNCTION("""COMPUTED_VALUE"""),"Chat_triggered")</f>
        <v>Chat_triggered</v>
      </c>
      <c r="F1423" s="6" t="str">
        <f ca="1">IFERROR(__xludf.DUMMYFUNCTION("""COMPUTED_VALUE"""),"PSM")</f>
        <v>PSM</v>
      </c>
      <c r="G1423" s="80">
        <f ca="1">IFERROR(__xludf.DUMMYFUNCTION("""COMPUTED_VALUE"""),44896)</f>
        <v>44896</v>
      </c>
      <c r="H1423" s="6" t="str">
        <f ca="1">IFERROR(__xludf.DUMMYFUNCTION("""COMPUTED_VALUE"""),"Won")</f>
        <v>Won</v>
      </c>
      <c r="I1423" s="6" t="str">
        <f ca="1">IFERROR(__xludf.DUMMYFUNCTION("""COMPUTED_VALUE"""),"7-8 Jan 2022")</f>
        <v>7-8 Jan 2022</v>
      </c>
      <c r="J1423" s="6">
        <f ca="1">IFERROR(__xludf.DUMMYFUNCTION("""COMPUTED_VALUE"""),1)</f>
        <v>1</v>
      </c>
      <c r="K1423" s="8">
        <f ca="1">IFERROR(__xludf.DUMMYFUNCTION("""COMPUTED_VALUE"""),21000)</f>
        <v>21000</v>
      </c>
      <c r="L1423" s="8">
        <f ca="1">IFERROR(__xludf.DUMMYFUNCTION("""COMPUTED_VALUE"""),240.494732020155)</f>
        <v>240.494732020155</v>
      </c>
      <c r="M1423" s="96">
        <f ca="1">IFERROR(__xludf.DUMMYFUNCTION("""COMPUTED_VALUE"""),44911)</f>
        <v>44911</v>
      </c>
      <c r="N1423" s="6" t="str">
        <f ca="1">IFERROR(__xludf.DUMMYFUNCTION("""COMPUTED_VALUE"""),"S10")</f>
        <v>S10</v>
      </c>
      <c r="O1423" s="97">
        <f ca="1">IFERROR(__xludf.DUMMYFUNCTION("""COMPUTED_VALUE"""),44911)</f>
        <v>44911</v>
      </c>
      <c r="P1423" s="6" t="str">
        <f ca="1">IFERROR(__xludf.DUMMYFUNCTION("""COMPUTED_VALUE"""),"CSTM_GO4S9CKSZNU")</f>
        <v>CSTM_GO4S9CKSZNU</v>
      </c>
      <c r="Q1423" s="6"/>
      <c r="R1423" s="6" t="str">
        <f ca="1">IFERROR(__xludf.DUMMYFUNCTION("""COMPUTED_VALUE"""),"Pending")</f>
        <v>Pending</v>
      </c>
      <c r="S1423" s="6" t="str">
        <f ca="1">IFERROR(__xludf.DUMMYFUNCTION("""COMPUTED_VALUE"""),"Category")</f>
        <v>Category</v>
      </c>
      <c r="T1423" s="6"/>
      <c r="U1423" s="6"/>
      <c r="V1423" s="6"/>
      <c r="W1423" s="6"/>
      <c r="X1423" s="6"/>
      <c r="Y1423" s="6"/>
      <c r="Z1423" s="6"/>
      <c r="AA1423" s="6"/>
      <c r="AB1423" s="6"/>
      <c r="AC1423" s="6"/>
      <c r="AD1423" s="6"/>
      <c r="AE1423" s="6"/>
      <c r="AF1423" s="6"/>
      <c r="AG1423" s="6"/>
      <c r="AH1423" s="6"/>
      <c r="AI1423" s="6"/>
      <c r="AJ1423" s="6"/>
      <c r="AK1423" s="6"/>
      <c r="AL1423" s="6"/>
    </row>
    <row r="1424" spans="1:38">
      <c r="A1424" s="96">
        <f ca="1">IFERROR(__xludf.DUMMYFUNCTION("""COMPUTED_VALUE"""),44911)</f>
        <v>44911</v>
      </c>
      <c r="B1424" s="6" t="str">
        <f ca="1">IFERROR(__xludf.DUMMYFUNCTION("""COMPUTED_VALUE"""),"Sachin Yadav")</f>
        <v>Sachin Yadav</v>
      </c>
      <c r="C1424" s="6" t="str">
        <f ca="1">IFERROR(__xludf.DUMMYFUNCTION("""COMPUTED_VALUE"""),"yadavsachin0402@gmail.com")</f>
        <v>yadavsachin0402@gmail.com</v>
      </c>
      <c r="D1424" s="6">
        <f ca="1">IFERROR(__xludf.DUMMYFUNCTION("""COMPUTED_VALUE"""),8008288779)</f>
        <v>8008288779</v>
      </c>
      <c r="E1424" s="6" t="str">
        <f ca="1">IFERROR(__xludf.DUMMYFUNCTION("""COMPUTED_VALUE"""),"Chat_triggered")</f>
        <v>Chat_triggered</v>
      </c>
      <c r="F1424" s="6" t="str">
        <f ca="1">IFERROR(__xludf.DUMMYFUNCTION("""COMPUTED_VALUE"""),"PSM 2")</f>
        <v>PSM 2</v>
      </c>
      <c r="G1424" s="80">
        <f ca="1">IFERROR(__xludf.DUMMYFUNCTION("""COMPUTED_VALUE"""),44896)</f>
        <v>44896</v>
      </c>
      <c r="H1424" s="6" t="str">
        <f ca="1">IFERROR(__xludf.DUMMYFUNCTION("""COMPUTED_VALUE"""),"Won")</f>
        <v>Won</v>
      </c>
      <c r="I1424" s="6" t="str">
        <f ca="1">IFERROR(__xludf.DUMMYFUNCTION("""COMPUTED_VALUE"""),"28-29 Jan 2022")</f>
        <v>28-29 Jan 2022</v>
      </c>
      <c r="J1424" s="6">
        <f ca="1">IFERROR(__xludf.DUMMYFUNCTION("""COMPUTED_VALUE"""),1)</f>
        <v>1</v>
      </c>
      <c r="K1424" s="8">
        <f ca="1">IFERROR(__xludf.DUMMYFUNCTION("""COMPUTED_VALUE"""),24000)</f>
        <v>24000</v>
      </c>
      <c r="L1424" s="8">
        <f ca="1">IFERROR(__xludf.DUMMYFUNCTION("""COMPUTED_VALUE"""),274.851122308749)</f>
        <v>274.85112230874898</v>
      </c>
      <c r="M1424" s="96">
        <f ca="1">IFERROR(__xludf.DUMMYFUNCTION("""COMPUTED_VALUE"""),44911)</f>
        <v>44911</v>
      </c>
      <c r="N1424" s="6" t="str">
        <f ca="1">IFERROR(__xludf.DUMMYFUNCTION("""COMPUTED_VALUE"""),"S10")</f>
        <v>S10</v>
      </c>
      <c r="O1424" s="97">
        <f ca="1">IFERROR(__xludf.DUMMYFUNCTION("""COMPUTED_VALUE"""),44911)</f>
        <v>44911</v>
      </c>
      <c r="P1424" s="6" t="str">
        <f ca="1">IFERROR(__xludf.DUMMYFUNCTION("""COMPUTED_VALUE"""),"CSTM_A1VOIVL407F")</f>
        <v>CSTM_A1VOIVL407F</v>
      </c>
      <c r="Q1424" s="6"/>
      <c r="R1424" s="6" t="str">
        <f ca="1">IFERROR(__xludf.DUMMYFUNCTION("""COMPUTED_VALUE"""),"Pending")</f>
        <v>Pending</v>
      </c>
      <c r="S1424" s="6" t="str">
        <f ca="1">IFERROR(__xludf.DUMMYFUNCTION("""COMPUTED_VALUE"""),"Category")</f>
        <v>Category</v>
      </c>
      <c r="T1424" s="6"/>
      <c r="U1424" s="6"/>
      <c r="V1424" s="6"/>
      <c r="W1424" s="6"/>
      <c r="X1424" s="6"/>
      <c r="Y1424" s="6"/>
      <c r="Z1424" s="6"/>
      <c r="AA1424" s="6"/>
      <c r="AB1424" s="6"/>
      <c r="AC1424" s="6"/>
      <c r="AD1424" s="6"/>
      <c r="AE1424" s="6"/>
      <c r="AF1424" s="6"/>
      <c r="AG1424" s="6"/>
      <c r="AH1424" s="6"/>
      <c r="AI1424" s="6"/>
      <c r="AJ1424" s="6"/>
      <c r="AK1424" s="6"/>
      <c r="AL1424" s="6"/>
    </row>
    <row r="1425" spans="1:38">
      <c r="A1425" s="96">
        <f ca="1">IFERROR(__xludf.DUMMYFUNCTION("""COMPUTED_VALUE"""),44912)</f>
        <v>44912</v>
      </c>
      <c r="B1425" s="6" t="str">
        <f ca="1">IFERROR(__xludf.DUMMYFUNCTION("""COMPUTED_VALUE"""),"Darsh Savsani")</f>
        <v>Darsh Savsani</v>
      </c>
      <c r="C1425" s="6" t="str">
        <f ca="1">IFERROR(__xludf.DUMMYFUNCTION("""COMPUTED_VALUE"""),"darshsavsani@gmail.com")</f>
        <v>darshsavsani@gmail.com</v>
      </c>
      <c r="D1425" s="6">
        <f ca="1">IFERROR(__xludf.DUMMYFUNCTION("""COMPUTED_VALUE"""),9409329493)</f>
        <v>9409329493</v>
      </c>
      <c r="E1425" s="6" t="str">
        <f ca="1">IFERROR(__xludf.DUMMYFUNCTION("""COMPUTED_VALUE"""),"chat_initiated")</f>
        <v>chat_initiated</v>
      </c>
      <c r="F1425" s="6" t="str">
        <f ca="1">IFERROR(__xludf.DUMMYFUNCTION("""COMPUTED_VALUE"""),"CSM")</f>
        <v>CSM</v>
      </c>
      <c r="G1425" s="80">
        <f ca="1">IFERROR(__xludf.DUMMYFUNCTION("""COMPUTED_VALUE"""),44896)</f>
        <v>44896</v>
      </c>
      <c r="H1425" s="6" t="str">
        <f ca="1">IFERROR(__xludf.DUMMYFUNCTION("""COMPUTED_VALUE"""),"Won")</f>
        <v>Won</v>
      </c>
      <c r="I1425" s="6" t="str">
        <f ca="1">IFERROR(__xludf.DUMMYFUNCTION("""COMPUTED_VALUE"""),"31 Dec 2022 - 1 Jan 2023")</f>
        <v>31 Dec 2022 - 1 Jan 2023</v>
      </c>
      <c r="J1425" s="6">
        <f ca="1">IFERROR(__xludf.DUMMYFUNCTION("""COMPUTED_VALUE"""),1)</f>
        <v>1</v>
      </c>
      <c r="K1425" s="8">
        <f ca="1">IFERROR(__xludf.DUMMYFUNCTION("""COMPUTED_VALUE"""),20000)</f>
        <v>20000</v>
      </c>
      <c r="L1425" s="8">
        <f ca="1">IFERROR(__xludf.DUMMYFUNCTION("""COMPUTED_VALUE"""),229.042601923957)</f>
        <v>229.04260192395699</v>
      </c>
      <c r="M1425" s="96">
        <f ca="1">IFERROR(__xludf.DUMMYFUNCTION("""COMPUTED_VALUE"""),44912)</f>
        <v>44912</v>
      </c>
      <c r="N1425" s="6" t="str">
        <f ca="1">IFERROR(__xludf.DUMMYFUNCTION("""COMPUTED_VALUE"""),"S10")</f>
        <v>S10</v>
      </c>
      <c r="O1425" s="97">
        <f ca="1">IFERROR(__xludf.DUMMYFUNCTION("""COMPUTED_VALUE"""),44912)</f>
        <v>44912</v>
      </c>
      <c r="P1425" s="6" t="str">
        <f ca="1">IFERROR(__xludf.DUMMYFUNCTION("""COMPUTED_VALUE"""),"CSTM_2KZLMVGD1PK")</f>
        <v>CSTM_2KZLMVGD1PK</v>
      </c>
      <c r="Q1425" s="6"/>
      <c r="R1425" s="6" t="str">
        <f ca="1">IFERROR(__xludf.DUMMYFUNCTION("""COMPUTED_VALUE"""),"Pending")</f>
        <v>Pending</v>
      </c>
      <c r="S1425" s="6" t="str">
        <f ca="1">IFERROR(__xludf.DUMMYFUNCTION("""COMPUTED_VALUE"""),"Category")</f>
        <v>Category</v>
      </c>
      <c r="T1425" s="6"/>
      <c r="U1425" s="6"/>
      <c r="V1425" s="6"/>
      <c r="W1425" s="6"/>
      <c r="X1425" s="6"/>
      <c r="Y1425" s="6"/>
      <c r="Z1425" s="6"/>
      <c r="AA1425" s="6"/>
      <c r="AB1425" s="6"/>
      <c r="AC1425" s="6"/>
      <c r="AD1425" s="6"/>
      <c r="AE1425" s="6"/>
      <c r="AF1425" s="6"/>
      <c r="AG1425" s="6"/>
      <c r="AH1425" s="6"/>
      <c r="AI1425" s="6"/>
      <c r="AJ1425" s="6"/>
      <c r="AK1425" s="6"/>
      <c r="AL1425" s="6"/>
    </row>
    <row r="1426" spans="1:38">
      <c r="A1426" s="96">
        <f ca="1">IFERROR(__xludf.DUMMYFUNCTION("""COMPUTED_VALUE"""),44914)</f>
        <v>44914</v>
      </c>
      <c r="B1426" s="6" t="str">
        <f ca="1">IFERROR(__xludf.DUMMYFUNCTION("""COMPUTED_VALUE"""),"Natesh Kumar")</f>
        <v>Natesh Kumar</v>
      </c>
      <c r="C1426" s="6" t="str">
        <f ca="1">IFERROR(__xludf.DUMMYFUNCTION("""COMPUTED_VALUE"""),"nateshkumaras@gmail.com")</f>
        <v>nateshkumaras@gmail.com</v>
      </c>
      <c r="D1426" s="6">
        <f ca="1">IFERROR(__xludf.DUMMYFUNCTION("""COMPUTED_VALUE"""),8870494444)</f>
        <v>8870494444</v>
      </c>
      <c r="E1426" s="6" t="str">
        <f ca="1">IFERROR(__xludf.DUMMYFUNCTION("""COMPUTED_VALUE"""),"Reference")</f>
        <v>Reference</v>
      </c>
      <c r="F1426" s="6" t="str">
        <f ca="1">IFERROR(__xludf.DUMMYFUNCTION("""COMPUTED_VALUE"""),"PSPO")</f>
        <v>PSPO</v>
      </c>
      <c r="G1426" s="80">
        <f ca="1">IFERROR(__xludf.DUMMYFUNCTION("""COMPUTED_VALUE"""),44896)</f>
        <v>44896</v>
      </c>
      <c r="H1426" s="6" t="str">
        <f ca="1">IFERROR(__xludf.DUMMYFUNCTION("""COMPUTED_VALUE"""),"Won")</f>
        <v>Won</v>
      </c>
      <c r="I1426" s="6" t="str">
        <f ca="1">IFERROR(__xludf.DUMMYFUNCTION("""COMPUTED_VALUE"""),"21-22 Jan 2023")</f>
        <v>21-22 Jan 2023</v>
      </c>
      <c r="J1426" s="6">
        <f ca="1">IFERROR(__xludf.DUMMYFUNCTION("""COMPUTED_VALUE"""),1)</f>
        <v>1</v>
      </c>
      <c r="K1426" s="8">
        <f ca="1">IFERROR(__xludf.DUMMYFUNCTION("""COMPUTED_VALUE"""),21000)</f>
        <v>21000</v>
      </c>
      <c r="L1426" s="8">
        <f ca="1">IFERROR(__xludf.DUMMYFUNCTION("""COMPUTED_VALUE"""),240.494732020155)</f>
        <v>240.494732020155</v>
      </c>
      <c r="M1426" s="96">
        <f ca="1">IFERROR(__xludf.DUMMYFUNCTION("""COMPUTED_VALUE"""),44914)</f>
        <v>44914</v>
      </c>
      <c r="N1426" s="6" t="str">
        <f ca="1">IFERROR(__xludf.DUMMYFUNCTION("""COMPUTED_VALUE"""),"S10")</f>
        <v>S10</v>
      </c>
      <c r="O1426" s="97">
        <f ca="1">IFERROR(__xludf.DUMMYFUNCTION("""COMPUTED_VALUE"""),44914)</f>
        <v>44914</v>
      </c>
      <c r="P1426" s="6" t="str">
        <f ca="1">IFERROR(__xludf.DUMMYFUNCTION("""COMPUTED_VALUE"""),"CSTM_446IOU0AFX0")</f>
        <v>CSTM_446IOU0AFX0</v>
      </c>
      <c r="Q1426" s="6" t="str">
        <f ca="1">IFERROR(__xludf.DUMMYFUNCTION("""COMPUTED_VALUE"""),"Reference by vtjanaranjani@gmail.com")</f>
        <v>Reference by vtjanaranjani@gmail.com</v>
      </c>
      <c r="R1426" s="6" t="str">
        <f ca="1">IFERROR(__xludf.DUMMYFUNCTION("""COMPUTED_VALUE"""),"Pending")</f>
        <v>Pending</v>
      </c>
      <c r="S1426" s="6" t="str">
        <f ca="1">IFERROR(__xludf.DUMMYFUNCTION("""COMPUTED_VALUE"""),"Category")</f>
        <v>Category</v>
      </c>
      <c r="T1426" s="6"/>
      <c r="U1426" s="6"/>
      <c r="V1426" s="6"/>
      <c r="W1426" s="6"/>
      <c r="X1426" s="6"/>
      <c r="Y1426" s="6"/>
      <c r="Z1426" s="6"/>
      <c r="AA1426" s="6"/>
      <c r="AB1426" s="6"/>
      <c r="AC1426" s="6"/>
      <c r="AD1426" s="6"/>
      <c r="AE1426" s="6"/>
      <c r="AF1426" s="6"/>
      <c r="AG1426" s="6"/>
      <c r="AH1426" s="6"/>
      <c r="AI1426" s="6"/>
      <c r="AJ1426" s="6"/>
      <c r="AK1426" s="6"/>
      <c r="AL1426" s="6"/>
    </row>
    <row r="1427" spans="1:38">
      <c r="A1427" s="96">
        <f ca="1">IFERROR(__xludf.DUMMYFUNCTION("""COMPUTED_VALUE"""),44914)</f>
        <v>44914</v>
      </c>
      <c r="B1427" s="6" t="str">
        <f ca="1">IFERROR(__xludf.DUMMYFUNCTION("""COMPUTED_VALUE"""),"Anju T R")</f>
        <v>Anju T R</v>
      </c>
      <c r="C1427" s="6" t="str">
        <f ca="1">IFERROR(__xludf.DUMMYFUNCTION("""COMPUTED_VALUE"""),"anju_tr@yahoo.com")</f>
        <v>anju_tr@yahoo.com</v>
      </c>
      <c r="D1427" s="6">
        <f ca="1">IFERROR(__xludf.DUMMYFUNCTION("""COMPUTED_VALUE"""),9833245343)</f>
        <v>9833245343</v>
      </c>
      <c r="E1427" s="6" t="str">
        <f ca="1">IFERROR(__xludf.DUMMYFUNCTION("""COMPUTED_VALUE"""),"Existing Account")</f>
        <v>Existing Account</v>
      </c>
      <c r="F1427" s="6" t="str">
        <f ca="1">IFERROR(__xludf.DUMMYFUNCTION("""COMPUTED_VALUE"""),"PSPO 2")</f>
        <v>PSPO 2</v>
      </c>
      <c r="G1427" s="80">
        <f ca="1">IFERROR(__xludf.DUMMYFUNCTION("""COMPUTED_VALUE"""),44896)</f>
        <v>44896</v>
      </c>
      <c r="H1427" s="6" t="str">
        <f ca="1">IFERROR(__xludf.DUMMYFUNCTION("""COMPUTED_VALUE"""),"Won")</f>
        <v>Won</v>
      </c>
      <c r="I1427" s="6" t="str">
        <f ca="1">IFERROR(__xludf.DUMMYFUNCTION("""COMPUTED_VALUE"""),"20-21 Dec 2022")</f>
        <v>20-21 Dec 2022</v>
      </c>
      <c r="J1427" s="6">
        <f ca="1">IFERROR(__xludf.DUMMYFUNCTION("""COMPUTED_VALUE"""),1)</f>
        <v>1</v>
      </c>
      <c r="K1427" s="8">
        <f ca="1">IFERROR(__xludf.DUMMYFUNCTION("""COMPUTED_VALUE"""),24000)</f>
        <v>24000</v>
      </c>
      <c r="L1427" s="8">
        <f ca="1">IFERROR(__xludf.DUMMYFUNCTION("""COMPUTED_VALUE"""),274.851122308749)</f>
        <v>274.85112230874898</v>
      </c>
      <c r="M1427" s="96">
        <f ca="1">IFERROR(__xludf.DUMMYFUNCTION("""COMPUTED_VALUE"""),44914)</f>
        <v>44914</v>
      </c>
      <c r="N1427" s="6" t="str">
        <f ca="1">IFERROR(__xludf.DUMMYFUNCTION("""COMPUTED_VALUE"""),"S10")</f>
        <v>S10</v>
      </c>
      <c r="O1427" s="97">
        <f ca="1">IFERROR(__xludf.DUMMYFUNCTION("""COMPUTED_VALUE"""),44914)</f>
        <v>44914</v>
      </c>
      <c r="P1427" s="6" t="str">
        <f ca="1">IFERROR(__xludf.DUMMYFUNCTION("""COMPUTED_VALUE"""),"CSTM_2PQP7JNVNWX")</f>
        <v>CSTM_2PQP7JNVNWX</v>
      </c>
      <c r="Q1427" s="6"/>
      <c r="R1427" s="6" t="str">
        <f ca="1">IFERROR(__xludf.DUMMYFUNCTION("""COMPUTED_VALUE"""),"Pending")</f>
        <v>Pending</v>
      </c>
      <c r="S1427" s="6" t="str">
        <f ca="1">IFERROR(__xludf.DUMMYFUNCTION("""COMPUTED_VALUE"""),"NonCategory")</f>
        <v>NonCategory</v>
      </c>
      <c r="T1427" s="6"/>
      <c r="U1427" s="6"/>
      <c r="V1427" s="6"/>
      <c r="W1427" s="6"/>
      <c r="X1427" s="6"/>
      <c r="Y1427" s="6"/>
      <c r="Z1427" s="6"/>
      <c r="AA1427" s="6"/>
      <c r="AB1427" s="6"/>
      <c r="AC1427" s="6"/>
      <c r="AD1427" s="6"/>
      <c r="AE1427" s="6"/>
      <c r="AF1427" s="6"/>
      <c r="AG1427" s="6"/>
      <c r="AH1427" s="6"/>
      <c r="AI1427" s="6"/>
      <c r="AJ1427" s="6"/>
      <c r="AK1427" s="6"/>
      <c r="AL1427" s="6"/>
    </row>
    <row r="1428" spans="1:38">
      <c r="A1428" s="96">
        <f ca="1">IFERROR(__xludf.DUMMYFUNCTION("""COMPUTED_VALUE"""),44915)</f>
        <v>44915</v>
      </c>
      <c r="B1428" s="6" t="str">
        <f ca="1">IFERROR(__xludf.DUMMYFUNCTION("""COMPUTED_VALUE"""),"Renuka Chitluri")</f>
        <v>Renuka Chitluri</v>
      </c>
      <c r="C1428" s="6" t="str">
        <f ca="1">IFERROR(__xludf.DUMMYFUNCTION("""COMPUTED_VALUE"""),"renukachitluri89@gmail.com")</f>
        <v>renukachitluri89@gmail.com</v>
      </c>
      <c r="D1428" s="6">
        <f ca="1">IFERROR(__xludf.DUMMYFUNCTION("""COMPUTED_VALUE"""),9618596567)</f>
        <v>9618596567</v>
      </c>
      <c r="E1428" s="6" t="str">
        <f ca="1">IFERROR(__xludf.DUMMYFUNCTION("""COMPUTED_VALUE"""),"chat_initiated")</f>
        <v>chat_initiated</v>
      </c>
      <c r="F1428" s="6" t="str">
        <f ca="1">IFERROR(__xludf.DUMMYFUNCTION("""COMPUTED_VALUE"""),"CSM")</f>
        <v>CSM</v>
      </c>
      <c r="G1428" s="80">
        <f ca="1">IFERROR(__xludf.DUMMYFUNCTION("""COMPUTED_VALUE"""),44896)</f>
        <v>44896</v>
      </c>
      <c r="H1428" s="6" t="str">
        <f ca="1">IFERROR(__xludf.DUMMYFUNCTION("""COMPUTED_VALUE"""),"Won")</f>
        <v>Won</v>
      </c>
      <c r="I1428" s="6" t="str">
        <f ca="1">IFERROR(__xludf.DUMMYFUNCTION("""COMPUTED_VALUE"""),"24-25 Dec 2022")</f>
        <v>24-25 Dec 2022</v>
      </c>
      <c r="J1428" s="6">
        <f ca="1">IFERROR(__xludf.DUMMYFUNCTION("""COMPUTED_VALUE"""),1)</f>
        <v>1</v>
      </c>
      <c r="K1428" s="8">
        <f ca="1">IFERROR(__xludf.DUMMYFUNCTION("""COMPUTED_VALUE"""),20000)</f>
        <v>20000</v>
      </c>
      <c r="L1428" s="8">
        <f ca="1">IFERROR(__xludf.DUMMYFUNCTION("""COMPUTED_VALUE"""),229.042601923957)</f>
        <v>229.04260192395699</v>
      </c>
      <c r="M1428" s="96">
        <f ca="1">IFERROR(__xludf.DUMMYFUNCTION("""COMPUTED_VALUE"""),44915)</f>
        <v>44915</v>
      </c>
      <c r="N1428" s="6" t="str">
        <f ca="1">IFERROR(__xludf.DUMMYFUNCTION("""COMPUTED_VALUE"""),"S10")</f>
        <v>S10</v>
      </c>
      <c r="O1428" s="97">
        <f ca="1">IFERROR(__xludf.DUMMYFUNCTION("""COMPUTED_VALUE"""),44915)</f>
        <v>44915</v>
      </c>
      <c r="P1428" s="6" t="str">
        <f ca="1">IFERROR(__xludf.DUMMYFUNCTION("""COMPUTED_VALUE"""),"CSTM_1FR2DX71L0Z")</f>
        <v>CSTM_1FR2DX71L0Z</v>
      </c>
      <c r="Q1428" s="6"/>
      <c r="R1428" s="6" t="str">
        <f ca="1">IFERROR(__xludf.DUMMYFUNCTION("""COMPUTED_VALUE"""),"Pending")</f>
        <v>Pending</v>
      </c>
      <c r="S1428" s="6" t="str">
        <f ca="1">IFERROR(__xludf.DUMMYFUNCTION("""COMPUTED_VALUE"""),"Category")</f>
        <v>Category</v>
      </c>
      <c r="T1428" s="6"/>
      <c r="U1428" s="6"/>
      <c r="V1428" s="6"/>
      <c r="W1428" s="6"/>
      <c r="X1428" s="6"/>
      <c r="Y1428" s="6"/>
      <c r="Z1428" s="6"/>
      <c r="AA1428" s="6"/>
      <c r="AB1428" s="6"/>
      <c r="AC1428" s="6"/>
      <c r="AD1428" s="6"/>
      <c r="AE1428" s="6"/>
      <c r="AF1428" s="6"/>
      <c r="AG1428" s="6"/>
      <c r="AH1428" s="6"/>
      <c r="AI1428" s="6"/>
      <c r="AJ1428" s="6"/>
      <c r="AK1428" s="6"/>
      <c r="AL1428" s="6"/>
    </row>
    <row r="1429" spans="1:38">
      <c r="A1429" s="96">
        <f ca="1">IFERROR(__xludf.DUMMYFUNCTION("""COMPUTED_VALUE"""),44915)</f>
        <v>44915</v>
      </c>
      <c r="B1429" s="6" t="str">
        <f ca="1">IFERROR(__xludf.DUMMYFUNCTION("""COMPUTED_VALUE"""),"Manu Vats")</f>
        <v>Manu Vats</v>
      </c>
      <c r="C1429" s="6" t="str">
        <f ca="1">IFERROR(__xludf.DUMMYFUNCTION("""COMPUTED_VALUE"""),"manu.vats3@gmail.com")</f>
        <v>manu.vats3@gmail.com</v>
      </c>
      <c r="D1429" s="6">
        <f ca="1">IFERROR(__xludf.DUMMYFUNCTION("""COMPUTED_VALUE"""),9711060322)</f>
        <v>9711060322</v>
      </c>
      <c r="E1429" s="6" t="str">
        <f ca="1">IFERROR(__xludf.DUMMYFUNCTION("""COMPUTED_VALUE"""),"chat_initiated")</f>
        <v>chat_initiated</v>
      </c>
      <c r="F1429" s="6" t="str">
        <f ca="1">IFERROR(__xludf.DUMMYFUNCTION("""COMPUTED_VALUE"""),"PSM 2")</f>
        <v>PSM 2</v>
      </c>
      <c r="G1429" s="80">
        <f ca="1">IFERROR(__xludf.DUMMYFUNCTION("""COMPUTED_VALUE"""),44896)</f>
        <v>44896</v>
      </c>
      <c r="H1429" s="6" t="str">
        <f ca="1">IFERROR(__xludf.DUMMYFUNCTION("""COMPUTED_VALUE"""),"Won")</f>
        <v>Won</v>
      </c>
      <c r="I1429" s="6" t="str">
        <f ca="1">IFERROR(__xludf.DUMMYFUNCTION("""COMPUTED_VALUE"""),"24-25 Dec 2022")</f>
        <v>24-25 Dec 2022</v>
      </c>
      <c r="J1429" s="6">
        <f ca="1">IFERROR(__xludf.DUMMYFUNCTION("""COMPUTED_VALUE"""),1)</f>
        <v>1</v>
      </c>
      <c r="K1429" s="8">
        <f ca="1">IFERROR(__xludf.DUMMYFUNCTION("""COMPUTED_VALUE"""),24000)</f>
        <v>24000</v>
      </c>
      <c r="L1429" s="8">
        <f ca="1">IFERROR(__xludf.DUMMYFUNCTION("""COMPUTED_VALUE"""),274.851122308749)</f>
        <v>274.85112230874898</v>
      </c>
      <c r="M1429" s="96">
        <f ca="1">IFERROR(__xludf.DUMMYFUNCTION("""COMPUTED_VALUE"""),44915)</f>
        <v>44915</v>
      </c>
      <c r="N1429" s="6" t="str">
        <f ca="1">IFERROR(__xludf.DUMMYFUNCTION("""COMPUTED_VALUE"""),"S10")</f>
        <v>S10</v>
      </c>
      <c r="O1429" s="97">
        <f ca="1">IFERROR(__xludf.DUMMYFUNCTION("""COMPUTED_VALUE"""),44915)</f>
        <v>44915</v>
      </c>
      <c r="P1429" s="6" t="str">
        <f ca="1">IFERROR(__xludf.DUMMYFUNCTION("""COMPUTED_VALUE"""),"CSTM_7G8S7YX4Z8O")</f>
        <v>CSTM_7G8S7YX4Z8O</v>
      </c>
      <c r="Q1429" s="6"/>
      <c r="R1429" s="6" t="str">
        <f ca="1">IFERROR(__xludf.DUMMYFUNCTION("""COMPUTED_VALUE"""),"Pending")</f>
        <v>Pending</v>
      </c>
      <c r="S1429" s="6" t="str">
        <f ca="1">IFERROR(__xludf.DUMMYFUNCTION("""COMPUTED_VALUE"""),"Category")</f>
        <v>Category</v>
      </c>
      <c r="T1429" s="6"/>
      <c r="U1429" s="6"/>
      <c r="V1429" s="6"/>
      <c r="W1429" s="6"/>
      <c r="X1429" s="6"/>
      <c r="Y1429" s="6"/>
      <c r="Z1429" s="6"/>
      <c r="AA1429" s="6"/>
      <c r="AB1429" s="6"/>
      <c r="AC1429" s="6"/>
      <c r="AD1429" s="6"/>
      <c r="AE1429" s="6"/>
      <c r="AF1429" s="6"/>
      <c r="AG1429" s="6"/>
      <c r="AH1429" s="6"/>
      <c r="AI1429" s="6"/>
      <c r="AJ1429" s="6"/>
      <c r="AK1429" s="6"/>
      <c r="AL1429" s="6"/>
    </row>
    <row r="1430" spans="1:38">
      <c r="A1430" s="96">
        <f ca="1">IFERROR(__xludf.DUMMYFUNCTION("""COMPUTED_VALUE"""),44916)</f>
        <v>44916</v>
      </c>
      <c r="B1430" s="6" t="str">
        <f ca="1">IFERROR(__xludf.DUMMYFUNCTION("""COMPUTED_VALUE"""),"Anjali Maurya")</f>
        <v>Anjali Maurya</v>
      </c>
      <c r="C1430" s="6" t="str">
        <f ca="1">IFERROR(__xludf.DUMMYFUNCTION("""COMPUTED_VALUE"""),"anjalimaurya@gmail.com")</f>
        <v>anjalimaurya@gmail.com</v>
      </c>
      <c r="D1430" s="6">
        <f ca="1">IFERROR(__xludf.DUMMYFUNCTION("""COMPUTED_VALUE"""),9871699914)</f>
        <v>9871699914</v>
      </c>
      <c r="E1430" s="6" t="str">
        <f ca="1">IFERROR(__xludf.DUMMYFUNCTION("""COMPUTED_VALUE"""),"Query box")</f>
        <v>Query box</v>
      </c>
      <c r="F1430" s="6" t="str">
        <f ca="1">IFERROR(__xludf.DUMMYFUNCTION("""COMPUTED_VALUE"""),"PSM")</f>
        <v>PSM</v>
      </c>
      <c r="G1430" s="80">
        <f ca="1">IFERROR(__xludf.DUMMYFUNCTION("""COMPUTED_VALUE"""),44896)</f>
        <v>44896</v>
      </c>
      <c r="H1430" s="6" t="str">
        <f ca="1">IFERROR(__xludf.DUMMYFUNCTION("""COMPUTED_VALUE"""),"Won")</f>
        <v>Won</v>
      </c>
      <c r="I1430" s="6" t="str">
        <f ca="1">IFERROR(__xludf.DUMMYFUNCTION("""COMPUTED_VALUE"""),"24-25 Dec 2022")</f>
        <v>24-25 Dec 2022</v>
      </c>
      <c r="J1430" s="6">
        <f ca="1">IFERROR(__xludf.DUMMYFUNCTION("""COMPUTED_VALUE"""),1)</f>
        <v>1</v>
      </c>
      <c r="K1430" s="8">
        <f ca="1">IFERROR(__xludf.DUMMYFUNCTION("""COMPUTED_VALUE"""),21000)</f>
        <v>21000</v>
      </c>
      <c r="L1430" s="8">
        <f ca="1">IFERROR(__xludf.DUMMYFUNCTION("""COMPUTED_VALUE"""),240.494732020155)</f>
        <v>240.494732020155</v>
      </c>
      <c r="M1430" s="96">
        <f ca="1">IFERROR(__xludf.DUMMYFUNCTION("""COMPUTED_VALUE"""),44916)</f>
        <v>44916</v>
      </c>
      <c r="N1430" s="6" t="str">
        <f ca="1">IFERROR(__xludf.DUMMYFUNCTION("""COMPUTED_VALUE"""),"T10")</f>
        <v>T10</v>
      </c>
      <c r="O1430" s="97">
        <f ca="1">IFERROR(__xludf.DUMMYFUNCTION("""COMPUTED_VALUE"""),44916)</f>
        <v>44916</v>
      </c>
      <c r="P1430" s="6" t="str">
        <f ca="1">IFERROR(__xludf.DUMMYFUNCTION("""COMPUTED_VALUE"""),"CSTM_5K9YVQXUSYF")</f>
        <v>CSTM_5K9YVQXUSYF</v>
      </c>
      <c r="Q1430" s="6"/>
      <c r="R1430" s="6" t="str">
        <f ca="1">IFERROR(__xludf.DUMMYFUNCTION("""COMPUTED_VALUE"""),"Pending")</f>
        <v>Pending</v>
      </c>
      <c r="S1430" s="6" t="str">
        <f ca="1">IFERROR(__xludf.DUMMYFUNCTION("""COMPUTED_VALUE"""),"Category")</f>
        <v>Category</v>
      </c>
      <c r="T1430" s="6"/>
      <c r="U1430" s="6"/>
      <c r="V1430" s="6"/>
      <c r="W1430" s="6"/>
      <c r="X1430" s="6"/>
      <c r="Y1430" s="6"/>
      <c r="Z1430" s="6"/>
      <c r="AA1430" s="6"/>
      <c r="AB1430" s="6"/>
      <c r="AC1430" s="6"/>
      <c r="AD1430" s="6"/>
      <c r="AE1430" s="6"/>
      <c r="AF1430" s="6"/>
      <c r="AG1430" s="6"/>
      <c r="AH1430" s="6"/>
      <c r="AI1430" s="6"/>
      <c r="AJ1430" s="6"/>
      <c r="AK1430" s="6"/>
      <c r="AL1430" s="6"/>
    </row>
    <row r="1431" spans="1:38">
      <c r="A1431" s="96">
        <f ca="1">IFERROR(__xludf.DUMMYFUNCTION("""COMPUTED_VALUE"""),44916)</f>
        <v>44916</v>
      </c>
      <c r="B1431" s="6" t="str">
        <f ca="1">IFERROR(__xludf.DUMMYFUNCTION("""COMPUTED_VALUE"""),"Riaz")</f>
        <v>Riaz</v>
      </c>
      <c r="C1431" s="6" t="str">
        <f ca="1">IFERROR(__xludf.DUMMYFUNCTION("""COMPUTED_VALUE"""),"riazdude@gmail.com")</f>
        <v>riazdude@gmail.com</v>
      </c>
      <c r="D1431" s="6">
        <f ca="1">IFERROR(__xludf.DUMMYFUNCTION("""COMPUTED_VALUE"""),9619006462)</f>
        <v>9619006462</v>
      </c>
      <c r="E1431" s="6" t="str">
        <f ca="1">IFERROR(__xludf.DUMMYFUNCTION("""COMPUTED_VALUE"""),"Existing Account")</f>
        <v>Existing Account</v>
      </c>
      <c r="F1431" s="6" t="str">
        <f ca="1">IFERROR(__xludf.DUMMYFUNCTION("""COMPUTED_VALUE"""),"ITIL v4")</f>
        <v>ITIL v4</v>
      </c>
      <c r="G1431" s="80">
        <f ca="1">IFERROR(__xludf.DUMMYFUNCTION("""COMPUTED_VALUE"""),44896)</f>
        <v>44896</v>
      </c>
      <c r="H1431" s="6" t="str">
        <f ca="1">IFERROR(__xludf.DUMMYFUNCTION("""COMPUTED_VALUE"""),"Opportunity")</f>
        <v>Opportunity</v>
      </c>
      <c r="I1431" s="6" t="str">
        <f ca="1">IFERROR(__xludf.DUMMYFUNCTION("""COMPUTED_VALUE"""),"OSL")</f>
        <v>OSL</v>
      </c>
      <c r="J1431" s="6">
        <f ca="1">IFERROR(__xludf.DUMMYFUNCTION("""COMPUTED_VALUE"""),1)</f>
        <v>1</v>
      </c>
      <c r="K1431" s="8">
        <f ca="1">IFERROR(__xludf.DUMMYFUNCTION("""COMPUTED_VALUE"""),18000)</f>
        <v>18000</v>
      </c>
      <c r="L1431" s="8">
        <f ca="1">IFERROR(__xludf.DUMMYFUNCTION("""COMPUTED_VALUE"""),206.138341731562)</f>
        <v>206.13834173156201</v>
      </c>
      <c r="M1431" s="96">
        <f ca="1">IFERROR(__xludf.DUMMYFUNCTION("""COMPUTED_VALUE"""),44916)</f>
        <v>44916</v>
      </c>
      <c r="N1431" s="6"/>
      <c r="O1431" s="97"/>
      <c r="P1431" s="6"/>
      <c r="Q1431" s="6"/>
      <c r="R1431" s="6"/>
      <c r="S1431" s="6" t="str">
        <f ca="1">IFERROR(__xludf.DUMMYFUNCTION("""COMPUTED_VALUE"""),"NonCategory")</f>
        <v>NonCategory</v>
      </c>
      <c r="T1431" s="6"/>
      <c r="U1431" s="6"/>
      <c r="V1431" s="6"/>
      <c r="W1431" s="6"/>
      <c r="X1431" s="6"/>
      <c r="Y1431" s="6"/>
      <c r="Z1431" s="6"/>
      <c r="AA1431" s="6"/>
      <c r="AB1431" s="6"/>
      <c r="AC1431" s="6"/>
      <c r="AD1431" s="6"/>
      <c r="AE1431" s="6"/>
      <c r="AF1431" s="6"/>
      <c r="AG1431" s="6"/>
      <c r="AH1431" s="6"/>
      <c r="AI1431" s="6"/>
      <c r="AJ1431" s="6"/>
      <c r="AK1431" s="6"/>
      <c r="AL1431" s="6"/>
    </row>
    <row r="1432" spans="1:38">
      <c r="A1432" s="96">
        <f ca="1">IFERROR(__xludf.DUMMYFUNCTION("""COMPUTED_VALUE"""),44918)</f>
        <v>44918</v>
      </c>
      <c r="B1432" s="6" t="str">
        <f ca="1">IFERROR(__xludf.DUMMYFUNCTION("""COMPUTED_VALUE"""),"Vinay Modi")</f>
        <v>Vinay Modi</v>
      </c>
      <c r="C1432" s="6" t="str">
        <f ca="1">IFERROR(__xludf.DUMMYFUNCTION("""COMPUTED_VALUE"""),"vinaymodi014@gmail.com")</f>
        <v>vinaymodi014@gmail.com</v>
      </c>
      <c r="D1432" s="6">
        <f ca="1">IFERROR(__xludf.DUMMYFUNCTION("""COMPUTED_VALUE"""),8123075564)</f>
        <v>8123075564</v>
      </c>
      <c r="E1432" s="6" t="str">
        <f ca="1">IFERROR(__xludf.DUMMYFUNCTION("""COMPUTED_VALUE"""),"Query box")</f>
        <v>Query box</v>
      </c>
      <c r="F1432" s="6" t="str">
        <f ca="1">IFERROR(__xludf.DUMMYFUNCTION("""COMPUTED_VALUE"""),"SAFe POPM")</f>
        <v>SAFe POPM</v>
      </c>
      <c r="G1432" s="80">
        <f ca="1">IFERROR(__xludf.DUMMYFUNCTION("""COMPUTED_VALUE"""),44896)</f>
        <v>44896</v>
      </c>
      <c r="H1432" s="6" t="str">
        <f ca="1">IFERROR(__xludf.DUMMYFUNCTION("""COMPUTED_VALUE"""),"Opportunity")</f>
        <v>Opportunity</v>
      </c>
      <c r="I1432" s="6" t="str">
        <f ca="1">IFERROR(__xludf.DUMMYFUNCTION("""COMPUTED_VALUE"""),"7-8 Jan 2023")</f>
        <v>7-8 Jan 2023</v>
      </c>
      <c r="J1432" s="6">
        <f ca="1">IFERROR(__xludf.DUMMYFUNCTION("""COMPUTED_VALUE"""),1)</f>
        <v>1</v>
      </c>
      <c r="K1432" s="8">
        <f ca="1">IFERROR(__xludf.DUMMYFUNCTION("""COMPUTED_VALUE"""),42000)</f>
        <v>42000</v>
      </c>
      <c r="L1432" s="8">
        <f ca="1">IFERROR(__xludf.DUMMYFUNCTION("""COMPUTED_VALUE"""),480.989464040311)</f>
        <v>480.98946404031102</v>
      </c>
      <c r="M1432" s="96">
        <f ca="1">IFERROR(__xludf.DUMMYFUNCTION("""COMPUTED_VALUE"""),44918)</f>
        <v>44918</v>
      </c>
      <c r="N1432" s="6"/>
      <c r="O1432" s="97"/>
      <c r="P1432" s="6"/>
      <c r="Q1432" s="6"/>
      <c r="R1432" s="6"/>
      <c r="S1432" s="6" t="str">
        <f ca="1">IFERROR(__xludf.DUMMYFUNCTION("""COMPUTED_VALUE"""),"SAFe")</f>
        <v>SAFe</v>
      </c>
      <c r="T1432" s="6"/>
      <c r="U1432" s="6"/>
      <c r="V1432" s="6"/>
      <c r="W1432" s="6"/>
      <c r="X1432" s="6"/>
      <c r="Y1432" s="6"/>
      <c r="Z1432" s="6"/>
      <c r="AA1432" s="6"/>
      <c r="AB1432" s="6"/>
      <c r="AC1432" s="6"/>
      <c r="AD1432" s="6"/>
      <c r="AE1432" s="6"/>
      <c r="AF1432" s="6"/>
      <c r="AG1432" s="6"/>
      <c r="AH1432" s="6"/>
      <c r="AI1432" s="6"/>
      <c r="AJ1432" s="6"/>
      <c r="AK1432" s="6"/>
      <c r="AL1432" s="6"/>
    </row>
    <row r="1433" spans="1:38">
      <c r="A1433" s="96">
        <f ca="1">IFERROR(__xludf.DUMMYFUNCTION("""COMPUTED_VALUE"""),44918)</f>
        <v>44918</v>
      </c>
      <c r="B1433" s="6" t="str">
        <f ca="1">IFERROR(__xludf.DUMMYFUNCTION("""COMPUTED_VALUE"""),"Priya Sathyanarayana")</f>
        <v>Priya Sathyanarayana</v>
      </c>
      <c r="C1433" s="6" t="str">
        <f ca="1">IFERROR(__xludf.DUMMYFUNCTION("""COMPUTED_VALUE"""),"s.priya9186@gmail.com")</f>
        <v>s.priya9186@gmail.com</v>
      </c>
      <c r="D1433" s="6">
        <f ca="1">IFERROR(__xludf.DUMMYFUNCTION("""COMPUTED_VALUE"""),9527386836)</f>
        <v>9527386836</v>
      </c>
      <c r="E1433" s="6" t="str">
        <f ca="1">IFERROR(__xludf.DUMMYFUNCTION("""COMPUTED_VALUE"""),"Reference")</f>
        <v>Reference</v>
      </c>
      <c r="F1433" s="6" t="str">
        <f ca="1">IFERROR(__xludf.DUMMYFUNCTION("""COMPUTED_VALUE"""),"PSM 2")</f>
        <v>PSM 2</v>
      </c>
      <c r="G1433" s="80">
        <f ca="1">IFERROR(__xludf.DUMMYFUNCTION("""COMPUTED_VALUE"""),44896)</f>
        <v>44896</v>
      </c>
      <c r="H1433" s="6" t="str">
        <f ca="1">IFERROR(__xludf.DUMMYFUNCTION("""COMPUTED_VALUE"""),"Won")</f>
        <v>Won</v>
      </c>
      <c r="I1433" s="6" t="str">
        <f ca="1">IFERROR(__xludf.DUMMYFUNCTION("""COMPUTED_VALUE"""),"24-25 Dec 2022")</f>
        <v>24-25 Dec 2022</v>
      </c>
      <c r="J1433" s="6">
        <f ca="1">IFERROR(__xludf.DUMMYFUNCTION("""COMPUTED_VALUE"""),1)</f>
        <v>1</v>
      </c>
      <c r="K1433" s="8">
        <f ca="1">IFERROR(__xludf.DUMMYFUNCTION("""COMPUTED_VALUE"""),24000)</f>
        <v>24000</v>
      </c>
      <c r="L1433" s="8">
        <f ca="1">IFERROR(__xludf.DUMMYFUNCTION("""COMPUTED_VALUE"""),274.851122308749)</f>
        <v>274.85112230874898</v>
      </c>
      <c r="M1433" s="96">
        <f ca="1">IFERROR(__xludf.DUMMYFUNCTION("""COMPUTED_VALUE"""),44916)</f>
        <v>44916</v>
      </c>
      <c r="N1433" s="6" t="str">
        <f ca="1">IFERROR(__xludf.DUMMYFUNCTION("""COMPUTED_VALUE"""),"S10")</f>
        <v>S10</v>
      </c>
      <c r="O1433" s="97">
        <f ca="1">IFERROR(__xludf.DUMMYFUNCTION("""COMPUTED_VALUE"""),44916)</f>
        <v>44916</v>
      </c>
      <c r="P1433" s="6" t="str">
        <f ca="1">IFERROR(__xludf.DUMMYFUNCTION("""COMPUTED_VALUE"""),"CSTM_EF2DPLUMQRK")</f>
        <v>CSTM_EF2DPLUMQRK</v>
      </c>
      <c r="Q1433" s="6"/>
      <c r="R1433" s="6" t="str">
        <f ca="1">IFERROR(__xludf.DUMMYFUNCTION("""COMPUTED_VALUE"""),"Pending")</f>
        <v>Pending</v>
      </c>
      <c r="S1433" s="6" t="str">
        <f ca="1">IFERROR(__xludf.DUMMYFUNCTION("""COMPUTED_VALUE"""),"Category")</f>
        <v>Category</v>
      </c>
      <c r="T1433" s="6"/>
      <c r="U1433" s="6"/>
      <c r="V1433" s="6"/>
      <c r="W1433" s="6"/>
      <c r="X1433" s="6"/>
      <c r="Y1433" s="6"/>
      <c r="Z1433" s="6"/>
      <c r="AA1433" s="6"/>
      <c r="AB1433" s="6"/>
      <c r="AC1433" s="6"/>
      <c r="AD1433" s="6"/>
      <c r="AE1433" s="6"/>
      <c r="AF1433" s="6"/>
      <c r="AG1433" s="6"/>
      <c r="AH1433" s="6"/>
      <c r="AI1433" s="6"/>
      <c r="AJ1433" s="6"/>
      <c r="AK1433" s="6"/>
      <c r="AL1433" s="6"/>
    </row>
    <row r="1434" spans="1:38">
      <c r="A1434" s="96">
        <f ca="1">IFERROR(__xludf.DUMMYFUNCTION("""COMPUTED_VALUE"""),44917)</f>
        <v>44917</v>
      </c>
      <c r="B1434" s="6" t="str">
        <f ca="1">IFERROR(__xludf.DUMMYFUNCTION("""COMPUTED_VALUE"""),"Reena Thomas")</f>
        <v>Reena Thomas</v>
      </c>
      <c r="C1434" s="6" t="str">
        <f ca="1">IFERROR(__xludf.DUMMYFUNCTION("""COMPUTED_VALUE"""),"mailtoreenat89@gmail.com")</f>
        <v>mailtoreenat89@gmail.com</v>
      </c>
      <c r="D1434" s="6">
        <f ca="1">IFERROR(__xludf.DUMMYFUNCTION("""COMPUTED_VALUE"""),6383620490)</f>
        <v>6383620490</v>
      </c>
      <c r="E1434" s="6" t="str">
        <f ca="1">IFERROR(__xludf.DUMMYFUNCTION("""COMPUTED_VALUE"""),"chat_initiated")</f>
        <v>chat_initiated</v>
      </c>
      <c r="F1434" s="6" t="str">
        <f ca="1">IFERROR(__xludf.DUMMYFUNCTION("""COMPUTED_VALUE"""),"PSPO")</f>
        <v>PSPO</v>
      </c>
      <c r="G1434" s="80">
        <f ca="1">IFERROR(__xludf.DUMMYFUNCTION("""COMPUTED_VALUE"""),44896)</f>
        <v>44896</v>
      </c>
      <c r="H1434" s="6" t="str">
        <f ca="1">IFERROR(__xludf.DUMMYFUNCTION("""COMPUTED_VALUE"""),"Won")</f>
        <v>Won</v>
      </c>
      <c r="I1434" s="6" t="str">
        <f ca="1">IFERROR(__xludf.DUMMYFUNCTION("""COMPUTED_VALUE"""),"7-8 Jan 2023")</f>
        <v>7-8 Jan 2023</v>
      </c>
      <c r="J1434" s="6">
        <f ca="1">IFERROR(__xludf.DUMMYFUNCTION("""COMPUTED_VALUE"""),1)</f>
        <v>1</v>
      </c>
      <c r="K1434" s="8">
        <f ca="1">IFERROR(__xludf.DUMMYFUNCTION("""COMPUTED_VALUE"""),21000)</f>
        <v>21000</v>
      </c>
      <c r="L1434" s="8">
        <f ca="1">IFERROR(__xludf.DUMMYFUNCTION("""COMPUTED_VALUE"""),240.494732020155)</f>
        <v>240.494732020155</v>
      </c>
      <c r="M1434" s="96">
        <f ca="1">IFERROR(__xludf.DUMMYFUNCTION("""COMPUTED_VALUE"""),44917)</f>
        <v>44917</v>
      </c>
      <c r="N1434" s="6" t="str">
        <f ca="1">IFERROR(__xludf.DUMMYFUNCTION("""COMPUTED_VALUE"""),"T10")</f>
        <v>T10</v>
      </c>
      <c r="O1434" s="97">
        <f ca="1">IFERROR(__xludf.DUMMYFUNCTION("""COMPUTED_VALUE"""),44917)</f>
        <v>44917</v>
      </c>
      <c r="P1434" s="6" t="str">
        <f ca="1">IFERROR(__xludf.DUMMYFUNCTION("""COMPUTED_VALUE"""),"CSTM_ITHICR8CUBE")</f>
        <v>CSTM_ITHICR8CUBE</v>
      </c>
      <c r="Q1434" s="6"/>
      <c r="R1434" s="6" t="str">
        <f ca="1">IFERROR(__xludf.DUMMYFUNCTION("""COMPUTED_VALUE"""),"Pending")</f>
        <v>Pending</v>
      </c>
      <c r="S1434" s="6" t="str">
        <f ca="1">IFERROR(__xludf.DUMMYFUNCTION("""COMPUTED_VALUE"""),"Category")</f>
        <v>Category</v>
      </c>
      <c r="T1434" s="6"/>
      <c r="U1434" s="6"/>
      <c r="V1434" s="6"/>
      <c r="W1434" s="6"/>
      <c r="X1434" s="6"/>
      <c r="Y1434" s="6"/>
      <c r="Z1434" s="6"/>
      <c r="AA1434" s="6"/>
      <c r="AB1434" s="6"/>
      <c r="AC1434" s="6"/>
      <c r="AD1434" s="6"/>
      <c r="AE1434" s="6"/>
      <c r="AF1434" s="6"/>
      <c r="AG1434" s="6"/>
      <c r="AH1434" s="6"/>
      <c r="AI1434" s="6"/>
      <c r="AJ1434" s="6"/>
      <c r="AK1434" s="6"/>
      <c r="AL1434" s="6"/>
    </row>
    <row r="1435" spans="1:38">
      <c r="A1435" s="96">
        <f ca="1">IFERROR(__xludf.DUMMYFUNCTION("""COMPUTED_VALUE"""),44917)</f>
        <v>44917</v>
      </c>
      <c r="B1435" s="6" t="str">
        <f ca="1">IFERROR(__xludf.DUMMYFUNCTION("""COMPUTED_VALUE"""),"Shruti Das")</f>
        <v>Shruti Das</v>
      </c>
      <c r="C1435" s="6" t="str">
        <f ca="1">IFERROR(__xludf.DUMMYFUNCTION("""COMPUTED_VALUE"""),"mitu218@gmail.com")</f>
        <v>mitu218@gmail.com</v>
      </c>
      <c r="D1435" s="6">
        <f ca="1">IFERROR(__xludf.DUMMYFUNCTION("""COMPUTED_VALUE"""),9243468070)</f>
        <v>9243468070</v>
      </c>
      <c r="E1435" s="6" t="str">
        <f ca="1">IFERROR(__xludf.DUMMYFUNCTION("""COMPUTED_VALUE"""),"Chat_triggered")</f>
        <v>Chat_triggered</v>
      </c>
      <c r="F1435" s="6" t="str">
        <f ca="1">IFERROR(__xludf.DUMMYFUNCTION("""COMPUTED_VALUE"""),"SAFe Agile")</f>
        <v>SAFe Agile</v>
      </c>
      <c r="G1435" s="80">
        <f ca="1">IFERROR(__xludf.DUMMYFUNCTION("""COMPUTED_VALUE"""),44896)</f>
        <v>44896</v>
      </c>
      <c r="H1435" s="6" t="str">
        <f ca="1">IFERROR(__xludf.DUMMYFUNCTION("""COMPUTED_VALUE"""),"Opportunity")</f>
        <v>Opportunity</v>
      </c>
      <c r="I1435" s="6" t="str">
        <f ca="1">IFERROR(__xludf.DUMMYFUNCTION("""COMPUTED_VALUE"""),"7-8 Jan 2023")</f>
        <v>7-8 Jan 2023</v>
      </c>
      <c r="J1435" s="6">
        <f ca="1">IFERROR(__xludf.DUMMYFUNCTION("""COMPUTED_VALUE"""),1)</f>
        <v>1</v>
      </c>
      <c r="K1435" s="8">
        <f ca="1">IFERROR(__xludf.DUMMYFUNCTION("""COMPUTED_VALUE"""),42000)</f>
        <v>42000</v>
      </c>
      <c r="L1435" s="8">
        <f ca="1">IFERROR(__xludf.DUMMYFUNCTION("""COMPUTED_VALUE"""),480.989464040311)</f>
        <v>480.98946404031102</v>
      </c>
      <c r="M1435" s="96">
        <f ca="1">IFERROR(__xludf.DUMMYFUNCTION("""COMPUTED_VALUE"""),44917)</f>
        <v>44917</v>
      </c>
      <c r="N1435" s="6"/>
      <c r="O1435" s="97"/>
      <c r="P1435" s="6"/>
      <c r="Q1435" s="6"/>
      <c r="R1435" s="6"/>
      <c r="S1435" s="6" t="str">
        <f ca="1">IFERROR(__xludf.DUMMYFUNCTION("""COMPUTED_VALUE"""),"SAFe")</f>
        <v>SAFe</v>
      </c>
      <c r="T1435" s="6"/>
      <c r="U1435" s="6"/>
      <c r="V1435" s="6"/>
      <c r="W1435" s="6"/>
      <c r="X1435" s="6"/>
      <c r="Y1435" s="6"/>
      <c r="Z1435" s="6"/>
      <c r="AA1435" s="6"/>
      <c r="AB1435" s="6"/>
      <c r="AC1435" s="6"/>
      <c r="AD1435" s="6"/>
      <c r="AE1435" s="6"/>
      <c r="AF1435" s="6"/>
      <c r="AG1435" s="6"/>
      <c r="AH1435" s="6"/>
      <c r="AI1435" s="6"/>
      <c r="AJ1435" s="6"/>
      <c r="AK1435" s="6"/>
      <c r="AL1435" s="6"/>
    </row>
    <row r="1436" spans="1:38">
      <c r="A1436" s="96">
        <f ca="1">IFERROR(__xludf.DUMMYFUNCTION("""COMPUTED_VALUE"""),44918)</f>
        <v>44918</v>
      </c>
      <c r="B1436" s="6" t="str">
        <f ca="1">IFERROR(__xludf.DUMMYFUNCTION("""COMPUTED_VALUE"""),"Himanshu Bhatia")</f>
        <v>Himanshu Bhatia</v>
      </c>
      <c r="C1436" s="6" t="str">
        <f ca="1">IFERROR(__xludf.DUMMYFUNCTION("""COMPUTED_VALUE"""),"hbhatia1987@hotmail.com")</f>
        <v>hbhatia1987@hotmail.com</v>
      </c>
      <c r="D1436" s="6">
        <f ca="1">IFERROR(__xludf.DUMMYFUNCTION("""COMPUTED_VALUE"""),9899318156)</f>
        <v>9899318156</v>
      </c>
      <c r="E1436" s="6" t="str">
        <f ca="1">IFERROR(__xludf.DUMMYFUNCTION("""COMPUTED_VALUE"""),"Reference")</f>
        <v>Reference</v>
      </c>
      <c r="F1436" s="6" t="str">
        <f ca="1">IFERROR(__xludf.DUMMYFUNCTION("""COMPUTED_VALUE"""),"PSM 2")</f>
        <v>PSM 2</v>
      </c>
      <c r="G1436" s="80">
        <f ca="1">IFERROR(__xludf.DUMMYFUNCTION("""COMPUTED_VALUE"""),44896)</f>
        <v>44896</v>
      </c>
      <c r="H1436" s="6" t="str">
        <f ca="1">IFERROR(__xludf.DUMMYFUNCTION("""COMPUTED_VALUE"""),"Won")</f>
        <v>Won</v>
      </c>
      <c r="I1436" s="6" t="str">
        <f ca="1">IFERROR(__xludf.DUMMYFUNCTION("""COMPUTED_VALUE"""),"24-25 Dec 2022")</f>
        <v>24-25 Dec 2022</v>
      </c>
      <c r="J1436" s="6">
        <f ca="1">IFERROR(__xludf.DUMMYFUNCTION("""COMPUTED_VALUE"""),1)</f>
        <v>1</v>
      </c>
      <c r="K1436" s="8">
        <f ca="1">IFERROR(__xludf.DUMMYFUNCTION("""COMPUTED_VALUE"""),24000)</f>
        <v>24000</v>
      </c>
      <c r="L1436" s="8">
        <f ca="1">IFERROR(__xludf.DUMMYFUNCTION("""COMPUTED_VALUE"""),274.851122308749)</f>
        <v>274.85112230874898</v>
      </c>
      <c r="M1436" s="96">
        <f ca="1">IFERROR(__xludf.DUMMYFUNCTION("""COMPUTED_VALUE"""),44918)</f>
        <v>44918</v>
      </c>
      <c r="N1436" s="6" t="str">
        <f ca="1">IFERROR(__xludf.DUMMYFUNCTION("""COMPUTED_VALUE"""),"T10")</f>
        <v>T10</v>
      </c>
      <c r="O1436" s="97">
        <f ca="1">IFERROR(__xludf.DUMMYFUNCTION("""COMPUTED_VALUE"""),44918)</f>
        <v>44918</v>
      </c>
      <c r="P1436" s="6" t="str">
        <f ca="1">IFERROR(__xludf.DUMMYFUNCTION("""COMPUTED_VALUE"""),"CSTM_967AGVS3NKB")</f>
        <v>CSTM_967AGVS3NKB</v>
      </c>
      <c r="Q1436" s="6" t="str">
        <f ca="1">IFERROR(__xludf.DUMMYFUNCTION("""COMPUTED_VALUE"""),"Reference by amrapaliashoka@gmail.com")</f>
        <v>Reference by amrapaliashoka@gmail.com</v>
      </c>
      <c r="R1436" s="6" t="str">
        <f ca="1">IFERROR(__xludf.DUMMYFUNCTION("""COMPUTED_VALUE"""),"Pending")</f>
        <v>Pending</v>
      </c>
      <c r="S1436" s="6" t="str">
        <f ca="1">IFERROR(__xludf.DUMMYFUNCTION("""COMPUTED_VALUE"""),"Category")</f>
        <v>Category</v>
      </c>
      <c r="T1436" s="6"/>
      <c r="U1436" s="6"/>
      <c r="V1436" s="6"/>
      <c r="W1436" s="6"/>
      <c r="X1436" s="6"/>
      <c r="Y1436" s="6"/>
      <c r="Z1436" s="6"/>
      <c r="AA1436" s="6"/>
      <c r="AB1436" s="6"/>
      <c r="AC1436" s="6"/>
      <c r="AD1436" s="6"/>
      <c r="AE1436" s="6"/>
      <c r="AF1436" s="6"/>
      <c r="AG1436" s="6"/>
      <c r="AH1436" s="6"/>
      <c r="AI1436" s="6"/>
      <c r="AJ1436" s="6"/>
      <c r="AK1436" s="6"/>
      <c r="AL1436" s="6"/>
    </row>
    <row r="1437" spans="1:38">
      <c r="A1437" s="96">
        <f ca="1">IFERROR(__xludf.DUMMYFUNCTION("""COMPUTED_VALUE"""),44919)</f>
        <v>44919</v>
      </c>
      <c r="B1437" s="6" t="str">
        <f ca="1">IFERROR(__xludf.DUMMYFUNCTION("""COMPUTED_VALUE"""),"Masood")</f>
        <v>Masood</v>
      </c>
      <c r="C1437" s="6" t="str">
        <f ca="1">IFERROR(__xludf.DUMMYFUNCTION("""COMPUTED_VALUE"""),"masood1354@gmail.com")</f>
        <v>masood1354@gmail.com</v>
      </c>
      <c r="D1437" s="6">
        <f ca="1">IFERROR(__xludf.DUMMYFUNCTION("""COMPUTED_VALUE"""),9867061480)</f>
        <v>9867061480</v>
      </c>
      <c r="E1437" s="6" t="str">
        <f ca="1">IFERROR(__xludf.DUMMYFUNCTION("""COMPUTED_VALUE"""),"Tollfree")</f>
        <v>Tollfree</v>
      </c>
      <c r="F1437" s="6" t="str">
        <f ca="1">IFERROR(__xludf.DUMMYFUNCTION("""COMPUTED_VALUE"""),"SAFe Agile")</f>
        <v>SAFe Agile</v>
      </c>
      <c r="G1437" s="80">
        <f ca="1">IFERROR(__xludf.DUMMYFUNCTION("""COMPUTED_VALUE"""),44896)</f>
        <v>44896</v>
      </c>
      <c r="H1437" s="6" t="str">
        <f ca="1">IFERROR(__xludf.DUMMYFUNCTION("""COMPUTED_VALUE"""),"Won")</f>
        <v>Won</v>
      </c>
      <c r="I1437" s="6" t="str">
        <f ca="1">IFERROR(__xludf.DUMMYFUNCTION("""COMPUTED_VALUE"""),"24-25 Dec 2022")</f>
        <v>24-25 Dec 2022</v>
      </c>
      <c r="J1437" s="6">
        <f ca="1">IFERROR(__xludf.DUMMYFUNCTION("""COMPUTED_VALUE"""),1)</f>
        <v>1</v>
      </c>
      <c r="K1437" s="8">
        <f ca="1">IFERROR(__xludf.DUMMYFUNCTION("""COMPUTED_VALUE"""),48811)</f>
        <v>48811</v>
      </c>
      <c r="L1437" s="8">
        <f ca="1">IFERROR(__xludf.DUMMYFUNCTION("""COMPUTED_VALUE"""),558.989922125515)</f>
        <v>558.98992212551502</v>
      </c>
      <c r="M1437" s="96">
        <f ca="1">IFERROR(__xludf.DUMMYFUNCTION("""COMPUTED_VALUE"""),44919)</f>
        <v>44919</v>
      </c>
      <c r="N1437" s="6" t="str">
        <f ca="1">IFERROR(__xludf.DUMMYFUNCTION("""COMPUTED_VALUE"""),"T10")</f>
        <v>T10</v>
      </c>
      <c r="O1437" s="97">
        <f ca="1">IFERROR(__xludf.DUMMYFUNCTION("""COMPUTED_VALUE"""),44919)</f>
        <v>44919</v>
      </c>
      <c r="P1437" s="6" t="str">
        <f ca="1">IFERROR(__xludf.DUMMYFUNCTION("""COMPUTED_VALUE"""),"CSTM_3XYEZCOC3EY")</f>
        <v>CSTM_3XYEZCOC3EY</v>
      </c>
      <c r="Q1437" s="6"/>
      <c r="R1437" s="6" t="str">
        <f ca="1">IFERROR(__xludf.DUMMYFUNCTION("""COMPUTED_VALUE"""),"Pending")</f>
        <v>Pending</v>
      </c>
      <c r="S1437" s="6" t="str">
        <f ca="1">IFERROR(__xludf.DUMMYFUNCTION("""COMPUTED_VALUE"""),"SAFe")</f>
        <v>SAFe</v>
      </c>
      <c r="T1437" s="6"/>
      <c r="U1437" s="6"/>
      <c r="V1437" s="6"/>
      <c r="W1437" s="6"/>
      <c r="X1437" s="6"/>
      <c r="Y1437" s="6"/>
      <c r="Z1437" s="6"/>
      <c r="AA1437" s="6"/>
      <c r="AB1437" s="6"/>
      <c r="AC1437" s="6"/>
      <c r="AD1437" s="6"/>
      <c r="AE1437" s="6"/>
      <c r="AF1437" s="6"/>
      <c r="AG1437" s="6"/>
      <c r="AH1437" s="6"/>
      <c r="AI1437" s="6"/>
      <c r="AJ1437" s="6"/>
      <c r="AK1437" s="6"/>
      <c r="AL1437" s="6"/>
    </row>
    <row r="1438" spans="1:38">
      <c r="A1438" s="96">
        <f ca="1">IFERROR(__xludf.DUMMYFUNCTION("""COMPUTED_VALUE"""),44921)</f>
        <v>44921</v>
      </c>
      <c r="B1438" s="6" t="str">
        <f ca="1">IFERROR(__xludf.DUMMYFUNCTION("""COMPUTED_VALUE"""),"Sweta Kashyap")</f>
        <v>Sweta Kashyap</v>
      </c>
      <c r="C1438" s="6" t="str">
        <f ca="1">IFERROR(__xludf.DUMMYFUNCTION("""COMPUTED_VALUE"""),"sweetkash31@gmail.com")</f>
        <v>sweetkash31@gmail.com</v>
      </c>
      <c r="D1438" s="6">
        <f ca="1">IFERROR(__xludf.DUMMYFUNCTION("""COMPUTED_VALUE"""),9960270702)</f>
        <v>9960270702</v>
      </c>
      <c r="E1438" s="6" t="str">
        <f ca="1">IFERROR(__xludf.DUMMYFUNCTION("""COMPUTED_VALUE"""),"Query box")</f>
        <v>Query box</v>
      </c>
      <c r="F1438" s="6" t="str">
        <f ca="1">IFERROR(__xludf.DUMMYFUNCTION("""COMPUTED_VALUE"""),"CSM")</f>
        <v>CSM</v>
      </c>
      <c r="G1438" s="80">
        <f ca="1">IFERROR(__xludf.DUMMYFUNCTION("""COMPUTED_VALUE"""),44896)</f>
        <v>44896</v>
      </c>
      <c r="H1438" s="6" t="str">
        <f ca="1">IFERROR(__xludf.DUMMYFUNCTION("""COMPUTED_VALUE"""),"Won")</f>
        <v>Won</v>
      </c>
      <c r="I1438" s="6" t="str">
        <f ca="1">IFERROR(__xludf.DUMMYFUNCTION("""COMPUTED_VALUE"""),"26-27 Dec 2022")</f>
        <v>26-27 Dec 2022</v>
      </c>
      <c r="J1438" s="6">
        <f ca="1">IFERROR(__xludf.DUMMYFUNCTION("""COMPUTED_VALUE"""),1)</f>
        <v>1</v>
      </c>
      <c r="K1438" s="8">
        <f ca="1">IFERROR(__xludf.DUMMYFUNCTION("""COMPUTED_VALUE"""),20000)</f>
        <v>20000</v>
      </c>
      <c r="L1438" s="8">
        <f ca="1">IFERROR(__xludf.DUMMYFUNCTION("""COMPUTED_VALUE"""),229.042601923957)</f>
        <v>229.04260192395699</v>
      </c>
      <c r="M1438" s="96">
        <f ca="1">IFERROR(__xludf.DUMMYFUNCTION("""COMPUTED_VALUE"""),44921)</f>
        <v>44921</v>
      </c>
      <c r="N1438" s="6" t="str">
        <f ca="1">IFERROR(__xludf.DUMMYFUNCTION("""COMPUTED_VALUE"""),"T10")</f>
        <v>T10</v>
      </c>
      <c r="O1438" s="97">
        <f ca="1">IFERROR(__xludf.DUMMYFUNCTION("""COMPUTED_VALUE"""),44921)</f>
        <v>44921</v>
      </c>
      <c r="P1438" s="6" t="str">
        <f ca="1">IFERROR(__xludf.DUMMYFUNCTION("""COMPUTED_VALUE"""),"CSTM_J2UMZR9M1RI")</f>
        <v>CSTM_J2UMZR9M1RI</v>
      </c>
      <c r="Q1438" s="6"/>
      <c r="R1438" s="6" t="str">
        <f ca="1">IFERROR(__xludf.DUMMYFUNCTION("""COMPUTED_VALUE"""),"Pending")</f>
        <v>Pending</v>
      </c>
      <c r="S1438" s="6" t="str">
        <f ca="1">IFERROR(__xludf.DUMMYFUNCTION("""COMPUTED_VALUE"""),"Category")</f>
        <v>Category</v>
      </c>
      <c r="T1438" s="6"/>
      <c r="U1438" s="6"/>
      <c r="V1438" s="6"/>
      <c r="W1438" s="6"/>
      <c r="X1438" s="6"/>
      <c r="Y1438" s="6"/>
      <c r="Z1438" s="6"/>
      <c r="AA1438" s="6"/>
      <c r="AB1438" s="6"/>
      <c r="AC1438" s="6"/>
      <c r="AD1438" s="6"/>
      <c r="AE1438" s="6"/>
      <c r="AF1438" s="6"/>
      <c r="AG1438" s="6"/>
      <c r="AH1438" s="6"/>
      <c r="AI1438" s="6"/>
      <c r="AJ1438" s="6"/>
      <c r="AK1438" s="6"/>
      <c r="AL1438" s="6"/>
    </row>
    <row r="1439" spans="1:38">
      <c r="A1439" s="96">
        <f ca="1">IFERROR(__xludf.DUMMYFUNCTION("""COMPUTED_VALUE"""),44921)</f>
        <v>44921</v>
      </c>
      <c r="B1439" s="6" t="str">
        <f ca="1">IFERROR(__xludf.DUMMYFUNCTION("""COMPUTED_VALUE"""),"Brinda")</f>
        <v>Brinda</v>
      </c>
      <c r="C1439" s="6" t="str">
        <f ca="1">IFERROR(__xludf.DUMMYFUNCTION("""COMPUTED_VALUE"""),"worktogether778@gmail.com")</f>
        <v>worktogether778@gmail.com</v>
      </c>
      <c r="D1439" s="6">
        <f ca="1">IFERROR(__xludf.DUMMYFUNCTION("""COMPUTED_VALUE"""),7093646158)</f>
        <v>7093646158</v>
      </c>
      <c r="E1439" s="6" t="str">
        <f ca="1">IFERROR(__xludf.DUMMYFUNCTION("""COMPUTED_VALUE"""),"Tollfree")</f>
        <v>Tollfree</v>
      </c>
      <c r="F1439" s="6" t="str">
        <f ca="1">IFERROR(__xludf.DUMMYFUNCTION("""COMPUTED_VALUE"""),"PSPO")</f>
        <v>PSPO</v>
      </c>
      <c r="G1439" s="80">
        <f ca="1">IFERROR(__xludf.DUMMYFUNCTION("""COMPUTED_VALUE"""),44896)</f>
        <v>44896</v>
      </c>
      <c r="H1439" s="6" t="str">
        <f ca="1">IFERROR(__xludf.DUMMYFUNCTION("""COMPUTED_VALUE"""),"Won")</f>
        <v>Won</v>
      </c>
      <c r="I1439" s="6" t="str">
        <f ca="1">IFERROR(__xludf.DUMMYFUNCTION("""COMPUTED_VALUE"""),"7-8 Jan 2023")</f>
        <v>7-8 Jan 2023</v>
      </c>
      <c r="J1439" s="6">
        <f ca="1">IFERROR(__xludf.DUMMYFUNCTION("""COMPUTED_VALUE"""),1)</f>
        <v>1</v>
      </c>
      <c r="K1439" s="8">
        <f ca="1">IFERROR(__xludf.DUMMYFUNCTION("""COMPUTED_VALUE"""),21000)</f>
        <v>21000</v>
      </c>
      <c r="L1439" s="8">
        <f ca="1">IFERROR(__xludf.DUMMYFUNCTION("""COMPUTED_VALUE"""),240.494732020155)</f>
        <v>240.494732020155</v>
      </c>
      <c r="M1439" s="96">
        <f ca="1">IFERROR(__xludf.DUMMYFUNCTION("""COMPUTED_VALUE"""),44921)</f>
        <v>44921</v>
      </c>
      <c r="N1439" s="6" t="str">
        <f ca="1">IFERROR(__xludf.DUMMYFUNCTION("""COMPUTED_VALUE"""),"T10")</f>
        <v>T10</v>
      </c>
      <c r="O1439" s="97">
        <f ca="1">IFERROR(__xludf.DUMMYFUNCTION("""COMPUTED_VALUE"""),44921)</f>
        <v>44921</v>
      </c>
      <c r="P1439" s="6" t="str">
        <f ca="1">IFERROR(__xludf.DUMMYFUNCTION("""COMPUTED_VALUE"""),"CSTM_6EMF7CLKADB")</f>
        <v>CSTM_6EMF7CLKADB</v>
      </c>
      <c r="Q1439" s="6"/>
      <c r="R1439" s="6" t="str">
        <f ca="1">IFERROR(__xludf.DUMMYFUNCTION("""COMPUTED_VALUE"""),"Pending")</f>
        <v>Pending</v>
      </c>
      <c r="S1439" s="6" t="str">
        <f ca="1">IFERROR(__xludf.DUMMYFUNCTION("""COMPUTED_VALUE"""),"Category")</f>
        <v>Category</v>
      </c>
      <c r="T1439" s="6"/>
      <c r="U1439" s="6"/>
      <c r="V1439" s="6"/>
      <c r="W1439" s="6"/>
      <c r="X1439" s="6"/>
      <c r="Y1439" s="6"/>
      <c r="Z1439" s="6"/>
      <c r="AA1439" s="6"/>
      <c r="AB1439" s="6"/>
      <c r="AC1439" s="6"/>
      <c r="AD1439" s="6"/>
      <c r="AE1439" s="6"/>
      <c r="AF1439" s="6"/>
      <c r="AG1439" s="6"/>
      <c r="AH1439" s="6"/>
      <c r="AI1439" s="6"/>
      <c r="AJ1439" s="6"/>
      <c r="AK1439" s="6"/>
      <c r="AL1439" s="6"/>
    </row>
    <row r="1440" spans="1:38">
      <c r="A1440" s="96">
        <f ca="1">IFERROR(__xludf.DUMMYFUNCTION("""COMPUTED_VALUE"""),44921)</f>
        <v>44921</v>
      </c>
      <c r="B1440" s="6" t="str">
        <f ca="1">IFERROR(__xludf.DUMMYFUNCTION("""COMPUTED_VALUE"""),"Brinda")</f>
        <v>Brinda</v>
      </c>
      <c r="C1440" s="6" t="str">
        <f ca="1">IFERROR(__xludf.DUMMYFUNCTION("""COMPUTED_VALUE"""),"worktogether778@gmail.com")</f>
        <v>worktogether778@gmail.com</v>
      </c>
      <c r="D1440" s="6">
        <f ca="1">IFERROR(__xludf.DUMMYFUNCTION("""COMPUTED_VALUE"""),7093646158)</f>
        <v>7093646158</v>
      </c>
      <c r="E1440" s="6" t="str">
        <f ca="1">IFERROR(__xludf.DUMMYFUNCTION("""COMPUTED_VALUE"""),"Tollfree")</f>
        <v>Tollfree</v>
      </c>
      <c r="F1440" s="6" t="str">
        <f ca="1">IFERROR(__xludf.DUMMYFUNCTION("""COMPUTED_VALUE"""),"PSM")</f>
        <v>PSM</v>
      </c>
      <c r="G1440" s="80">
        <f ca="1">IFERROR(__xludf.DUMMYFUNCTION("""COMPUTED_VALUE"""),44896)</f>
        <v>44896</v>
      </c>
      <c r="H1440" s="6" t="str">
        <f ca="1">IFERROR(__xludf.DUMMYFUNCTION("""COMPUTED_VALUE"""),"Won")</f>
        <v>Won</v>
      </c>
      <c r="I1440" s="6" t="str">
        <f ca="1">IFERROR(__xludf.DUMMYFUNCTION("""COMPUTED_VALUE"""),"28-29 Jan 2023")</f>
        <v>28-29 Jan 2023</v>
      </c>
      <c r="J1440" s="6">
        <f ca="1">IFERROR(__xludf.DUMMYFUNCTION("""COMPUTED_VALUE"""),1)</f>
        <v>1</v>
      </c>
      <c r="K1440" s="8">
        <f ca="1">IFERROR(__xludf.DUMMYFUNCTION("""COMPUTED_VALUE"""),21000)</f>
        <v>21000</v>
      </c>
      <c r="L1440" s="8">
        <f ca="1">IFERROR(__xludf.DUMMYFUNCTION("""COMPUTED_VALUE"""),240.494732020155)</f>
        <v>240.494732020155</v>
      </c>
      <c r="M1440" s="96">
        <f ca="1">IFERROR(__xludf.DUMMYFUNCTION("""COMPUTED_VALUE"""),44921)</f>
        <v>44921</v>
      </c>
      <c r="N1440" s="6" t="str">
        <f ca="1">IFERROR(__xludf.DUMMYFUNCTION("""COMPUTED_VALUE"""),"T10")</f>
        <v>T10</v>
      </c>
      <c r="O1440" s="97">
        <f ca="1">IFERROR(__xludf.DUMMYFUNCTION("""COMPUTED_VALUE"""),44921)</f>
        <v>44921</v>
      </c>
      <c r="P1440" s="6" t="str">
        <f ca="1">IFERROR(__xludf.DUMMYFUNCTION("""COMPUTED_VALUE"""),"CSTM_DI92D8GT5XG")</f>
        <v>CSTM_DI92D8GT5XG</v>
      </c>
      <c r="Q1440" s="6"/>
      <c r="R1440" s="6" t="str">
        <f ca="1">IFERROR(__xludf.DUMMYFUNCTION("""COMPUTED_VALUE"""),"Pending")</f>
        <v>Pending</v>
      </c>
      <c r="S1440" s="6" t="str">
        <f ca="1">IFERROR(__xludf.DUMMYFUNCTION("""COMPUTED_VALUE"""),"Category")</f>
        <v>Category</v>
      </c>
      <c r="T1440" s="6"/>
      <c r="U1440" s="6"/>
      <c r="V1440" s="6"/>
      <c r="W1440" s="6"/>
      <c r="X1440" s="6"/>
      <c r="Y1440" s="6"/>
      <c r="Z1440" s="6"/>
      <c r="AA1440" s="6"/>
      <c r="AB1440" s="6"/>
      <c r="AC1440" s="6"/>
      <c r="AD1440" s="6"/>
      <c r="AE1440" s="6"/>
      <c r="AF1440" s="6"/>
      <c r="AG1440" s="6"/>
      <c r="AH1440" s="6"/>
      <c r="AI1440" s="6"/>
      <c r="AJ1440" s="6"/>
      <c r="AK1440" s="6"/>
      <c r="AL1440" s="6"/>
    </row>
    <row r="1441" spans="1:38">
      <c r="A1441" s="96">
        <f ca="1">IFERROR(__xludf.DUMMYFUNCTION("""COMPUTED_VALUE"""),44921)</f>
        <v>44921</v>
      </c>
      <c r="B1441" s="6" t="str">
        <f ca="1">IFERROR(__xludf.DUMMYFUNCTION("""COMPUTED_VALUE"""),"Jayasree Narayana")</f>
        <v>Jayasree Narayana</v>
      </c>
      <c r="C1441" s="6" t="str">
        <f ca="1">IFERROR(__xludf.DUMMYFUNCTION("""COMPUTED_VALUE"""),"jayasree.narayana@gmail.com")</f>
        <v>jayasree.narayana@gmail.com</v>
      </c>
      <c r="D1441" s="6">
        <f ca="1">IFERROR(__xludf.DUMMYFUNCTION("""COMPUTED_VALUE"""),9985876586)</f>
        <v>9985876586</v>
      </c>
      <c r="E1441" s="6" t="str">
        <f ca="1">IFERROR(__xludf.DUMMYFUNCTION("""COMPUTED_VALUE"""),"Chat_triggered")</f>
        <v>Chat_triggered</v>
      </c>
      <c r="F1441" s="6" t="str">
        <f ca="1">IFERROR(__xludf.DUMMYFUNCTION("""COMPUTED_VALUE"""),"PSM 2")</f>
        <v>PSM 2</v>
      </c>
      <c r="G1441" s="80">
        <f ca="1">IFERROR(__xludf.DUMMYFUNCTION("""COMPUTED_VALUE"""),44896)</f>
        <v>44896</v>
      </c>
      <c r="H1441" s="6" t="str">
        <f ca="1">IFERROR(__xludf.DUMMYFUNCTION("""COMPUTED_VALUE"""),"Won")</f>
        <v>Won</v>
      </c>
      <c r="I1441" s="6" t="str">
        <f ca="1">IFERROR(__xludf.DUMMYFUNCTION("""COMPUTED_VALUE"""),"28-29 Jan 2023")</f>
        <v>28-29 Jan 2023</v>
      </c>
      <c r="J1441" s="6">
        <f ca="1">IFERROR(__xludf.DUMMYFUNCTION("""COMPUTED_VALUE"""),1)</f>
        <v>1</v>
      </c>
      <c r="K1441" s="8">
        <f ca="1">IFERROR(__xludf.DUMMYFUNCTION("""COMPUTED_VALUE"""),24000)</f>
        <v>24000</v>
      </c>
      <c r="L1441" s="8">
        <f ca="1">IFERROR(__xludf.DUMMYFUNCTION("""COMPUTED_VALUE"""),274.851122308749)</f>
        <v>274.85112230874898</v>
      </c>
      <c r="M1441" s="96">
        <f ca="1">IFERROR(__xludf.DUMMYFUNCTION("""COMPUTED_VALUE"""),44921)</f>
        <v>44921</v>
      </c>
      <c r="N1441" s="6" t="str">
        <f ca="1">IFERROR(__xludf.DUMMYFUNCTION("""COMPUTED_VALUE"""),"T10")</f>
        <v>T10</v>
      </c>
      <c r="O1441" s="97">
        <f ca="1">IFERROR(__xludf.DUMMYFUNCTION("""COMPUTED_VALUE"""),44921)</f>
        <v>44921</v>
      </c>
      <c r="P1441" s="6" t="str">
        <f ca="1">IFERROR(__xludf.DUMMYFUNCTION("""COMPUTED_VALUE"""),"CSTM_6G5DJO7G4D8")</f>
        <v>CSTM_6G5DJO7G4D8</v>
      </c>
      <c r="Q1441" s="6"/>
      <c r="R1441" s="6" t="str">
        <f ca="1">IFERROR(__xludf.DUMMYFUNCTION("""COMPUTED_VALUE"""),"Pending")</f>
        <v>Pending</v>
      </c>
      <c r="S1441" s="6" t="str">
        <f ca="1">IFERROR(__xludf.DUMMYFUNCTION("""COMPUTED_VALUE"""),"Category")</f>
        <v>Category</v>
      </c>
      <c r="T1441" s="6"/>
      <c r="U1441" s="6"/>
      <c r="V1441" s="6"/>
      <c r="W1441" s="6"/>
      <c r="X1441" s="6"/>
      <c r="Y1441" s="6"/>
      <c r="Z1441" s="6"/>
      <c r="AA1441" s="6"/>
      <c r="AB1441" s="6"/>
      <c r="AC1441" s="6"/>
      <c r="AD1441" s="6"/>
      <c r="AE1441" s="6"/>
      <c r="AF1441" s="6"/>
      <c r="AG1441" s="6"/>
      <c r="AH1441" s="6"/>
      <c r="AI1441" s="6"/>
      <c r="AJ1441" s="6"/>
      <c r="AK1441" s="6"/>
      <c r="AL1441" s="6"/>
    </row>
    <row r="1442" spans="1:38">
      <c r="A1442" s="96">
        <f ca="1">IFERROR(__xludf.DUMMYFUNCTION("""COMPUTED_VALUE"""),44921)</f>
        <v>44921</v>
      </c>
      <c r="B1442" s="6" t="str">
        <f ca="1">IFERROR(__xludf.DUMMYFUNCTION("""COMPUTED_VALUE"""),"Kiran Yakkala")</f>
        <v>Kiran Yakkala</v>
      </c>
      <c r="C1442" s="6" t="str">
        <f ca="1">IFERROR(__xludf.DUMMYFUNCTION("""COMPUTED_VALUE"""),"yakkala84@gmail.com")</f>
        <v>yakkala84@gmail.com</v>
      </c>
      <c r="D1442" s="6">
        <f ca="1">IFERROR(__xludf.DUMMYFUNCTION("""COMPUTED_VALUE"""),8125743760)</f>
        <v>8125743760</v>
      </c>
      <c r="E1442" s="6" t="str">
        <f ca="1">IFERROR(__xludf.DUMMYFUNCTION("""COMPUTED_VALUE"""),"Reference")</f>
        <v>Reference</v>
      </c>
      <c r="F1442" s="6" t="str">
        <f ca="1">IFERROR(__xludf.DUMMYFUNCTION("""COMPUTED_VALUE"""),"PSM 2")</f>
        <v>PSM 2</v>
      </c>
      <c r="G1442" s="80">
        <f ca="1">IFERROR(__xludf.DUMMYFUNCTION("""COMPUTED_VALUE"""),44896)</f>
        <v>44896</v>
      </c>
      <c r="H1442" s="6" t="str">
        <f ca="1">IFERROR(__xludf.DUMMYFUNCTION("""COMPUTED_VALUE"""),"Won")</f>
        <v>Won</v>
      </c>
      <c r="I1442" s="6" t="str">
        <f ca="1">IFERROR(__xludf.DUMMYFUNCTION("""COMPUTED_VALUE"""),"28-29 Jan 2023")</f>
        <v>28-29 Jan 2023</v>
      </c>
      <c r="J1442" s="6">
        <f ca="1">IFERROR(__xludf.DUMMYFUNCTION("""COMPUTED_VALUE"""),1)</f>
        <v>1</v>
      </c>
      <c r="K1442" s="8">
        <f ca="1">IFERROR(__xludf.DUMMYFUNCTION("""COMPUTED_VALUE"""),24000)</f>
        <v>24000</v>
      </c>
      <c r="L1442" s="8">
        <f ca="1">IFERROR(__xludf.DUMMYFUNCTION("""COMPUTED_VALUE"""),274.851122308749)</f>
        <v>274.85112230874898</v>
      </c>
      <c r="M1442" s="96">
        <f ca="1">IFERROR(__xludf.DUMMYFUNCTION("""COMPUTED_VALUE"""),44921)</f>
        <v>44921</v>
      </c>
      <c r="N1442" s="6" t="str">
        <f ca="1">IFERROR(__xludf.DUMMYFUNCTION("""COMPUTED_VALUE"""),"T10")</f>
        <v>T10</v>
      </c>
      <c r="O1442" s="97">
        <f ca="1">IFERROR(__xludf.DUMMYFUNCTION("""COMPUTED_VALUE"""),44921)</f>
        <v>44921</v>
      </c>
      <c r="P1442" s="6" t="str">
        <f ca="1">IFERROR(__xludf.DUMMYFUNCTION("""COMPUTED_VALUE"""),"CSTM_1ITR4SD2F6H")</f>
        <v>CSTM_1ITR4SD2F6H</v>
      </c>
      <c r="Q1442" s="6" t="str">
        <f ca="1">IFERROR(__xludf.DUMMYFUNCTION("""COMPUTED_VALUE"""),"Reference by yakkalak@gmail.com")</f>
        <v>Reference by yakkalak@gmail.com</v>
      </c>
      <c r="R1442" s="6" t="str">
        <f ca="1">IFERROR(__xludf.DUMMYFUNCTION("""COMPUTED_VALUE"""),"Pending")</f>
        <v>Pending</v>
      </c>
      <c r="S1442" s="6" t="str">
        <f ca="1">IFERROR(__xludf.DUMMYFUNCTION("""COMPUTED_VALUE"""),"Category")</f>
        <v>Category</v>
      </c>
      <c r="T1442" s="6"/>
      <c r="U1442" s="6"/>
      <c r="V1442" s="6"/>
      <c r="W1442" s="6"/>
      <c r="X1442" s="6"/>
      <c r="Y1442" s="6"/>
      <c r="Z1442" s="6"/>
      <c r="AA1442" s="6"/>
      <c r="AB1442" s="6"/>
      <c r="AC1442" s="6"/>
      <c r="AD1442" s="6"/>
      <c r="AE1442" s="6"/>
      <c r="AF1442" s="6"/>
      <c r="AG1442" s="6"/>
      <c r="AH1442" s="6"/>
      <c r="AI1442" s="6"/>
      <c r="AJ1442" s="6"/>
      <c r="AK1442" s="6"/>
      <c r="AL1442" s="6"/>
    </row>
    <row r="1443" spans="1:38">
      <c r="A1443" s="96">
        <f ca="1">IFERROR(__xludf.DUMMYFUNCTION("""COMPUTED_VALUE"""),44922)</f>
        <v>44922</v>
      </c>
      <c r="B1443" s="6" t="str">
        <f ca="1">IFERROR(__xludf.DUMMYFUNCTION("""COMPUTED_VALUE"""),"Anjurana")</f>
        <v>Anjurana</v>
      </c>
      <c r="C1443" s="6" t="str">
        <f ca="1">IFERROR(__xludf.DUMMYFUNCTION("""COMPUTED_VALUE"""),"anjurana15@gmail.com")</f>
        <v>anjurana15@gmail.com</v>
      </c>
      <c r="D1443" s="6">
        <f ca="1">IFERROR(__xludf.DUMMYFUNCTION("""COMPUTED_VALUE"""),9717008580)</f>
        <v>9717008580</v>
      </c>
      <c r="E1443" s="6" t="str">
        <f ca="1">IFERROR(__xludf.DUMMYFUNCTION("""COMPUTED_VALUE"""),"Existing Account")</f>
        <v>Existing Account</v>
      </c>
      <c r="F1443" s="6" t="str">
        <f ca="1">IFERROR(__xludf.DUMMYFUNCTION("""COMPUTED_VALUE"""),"PMP")</f>
        <v>PMP</v>
      </c>
      <c r="G1443" s="80">
        <f ca="1">IFERROR(__xludf.DUMMYFUNCTION("""COMPUTED_VALUE"""),44927)</f>
        <v>44927</v>
      </c>
      <c r="H1443" s="6" t="str">
        <f ca="1">IFERROR(__xludf.DUMMYFUNCTION("""COMPUTED_VALUE"""),"Won")</f>
        <v>Won</v>
      </c>
      <c r="I1443" s="6" t="str">
        <f ca="1">IFERROR(__xludf.DUMMYFUNCTION("""COMPUTED_VALUE"""),"23 Jan 2023")</f>
        <v>23 Jan 2023</v>
      </c>
      <c r="J1443" s="6">
        <f ca="1">IFERROR(__xludf.DUMMYFUNCTION("""COMPUTED_VALUE"""),1)</f>
        <v>1</v>
      </c>
      <c r="K1443" s="8">
        <f ca="1">IFERROR(__xludf.DUMMYFUNCTION("""COMPUTED_VALUE"""),46000)</f>
        <v>46000</v>
      </c>
      <c r="L1443" s="8">
        <f ca="1">IFERROR(__xludf.DUMMYFUNCTION("""COMPUTED_VALUE"""),526.797984425103)</f>
        <v>526.79798442510298</v>
      </c>
      <c r="M1443" s="96">
        <f ca="1">IFERROR(__xludf.DUMMYFUNCTION("""COMPUTED_VALUE"""),44922)</f>
        <v>44922</v>
      </c>
      <c r="N1443" s="6" t="str">
        <f ca="1">IFERROR(__xludf.DUMMYFUNCTION("""COMPUTED_VALUE"""),"S10")</f>
        <v>S10</v>
      </c>
      <c r="O1443" s="97">
        <f ca="1">IFERROR(__xludf.DUMMYFUNCTION("""COMPUTED_VALUE"""),44939)</f>
        <v>44939</v>
      </c>
      <c r="P1443" s="6" t="str">
        <f ca="1">IFERROR(__xludf.DUMMYFUNCTION("""COMPUTED_VALUE"""),"CSTM_88MP2UF8XRT")</f>
        <v>CSTM_88MP2UF8XRT</v>
      </c>
      <c r="Q1443" s="6"/>
      <c r="R1443" s="6" t="str">
        <f ca="1">IFERROR(__xludf.DUMMYFUNCTION("""COMPUTED_VALUE"""),"Pending")</f>
        <v>Pending</v>
      </c>
      <c r="S1443" s="6" t="str">
        <f ca="1">IFERROR(__xludf.DUMMYFUNCTION("""COMPUTED_VALUE"""),"NonCategory")</f>
        <v>NonCategory</v>
      </c>
      <c r="T1443" s="6"/>
      <c r="U1443" s="6"/>
      <c r="V1443" s="6"/>
      <c r="W1443" s="6"/>
      <c r="X1443" s="6"/>
      <c r="Y1443" s="6"/>
      <c r="Z1443" s="6"/>
      <c r="AA1443" s="6"/>
      <c r="AB1443" s="6"/>
      <c r="AC1443" s="6"/>
      <c r="AD1443" s="6"/>
      <c r="AE1443" s="6"/>
      <c r="AF1443" s="6"/>
      <c r="AG1443" s="6"/>
      <c r="AH1443" s="6"/>
      <c r="AI1443" s="6"/>
      <c r="AJ1443" s="6"/>
      <c r="AK1443" s="6"/>
      <c r="AL1443" s="6"/>
    </row>
    <row r="1444" spans="1:38">
      <c r="A1444" s="96">
        <f ca="1">IFERROR(__xludf.DUMMYFUNCTION("""COMPUTED_VALUE"""),44923)</f>
        <v>44923</v>
      </c>
      <c r="B1444" s="6" t="str">
        <f ca="1">IFERROR(__xludf.DUMMYFUNCTION("""COMPUTED_VALUE"""),"Mohammad Rouff")</f>
        <v>Mohammad Rouff</v>
      </c>
      <c r="C1444" s="6" t="str">
        <f ca="1">IFERROR(__xludf.DUMMYFUNCTION("""COMPUTED_VALUE"""),"mohd.rouff@gmail.com")</f>
        <v>mohd.rouff@gmail.com</v>
      </c>
      <c r="D1444" s="6">
        <f ca="1">IFERROR(__xludf.DUMMYFUNCTION("""COMPUTED_VALUE"""),9790745842)</f>
        <v>9790745842</v>
      </c>
      <c r="E1444" s="6" t="str">
        <f ca="1">IFERROR(__xludf.DUMMYFUNCTION("""COMPUTED_VALUE"""),"Tollfree")</f>
        <v>Tollfree</v>
      </c>
      <c r="F1444" s="6" t="str">
        <f ca="1">IFERROR(__xludf.DUMMYFUNCTION("""COMPUTED_VALUE"""),"PSPO 2")</f>
        <v>PSPO 2</v>
      </c>
      <c r="G1444" s="80">
        <f ca="1">IFERROR(__xludf.DUMMYFUNCTION("""COMPUTED_VALUE"""),44896)</f>
        <v>44896</v>
      </c>
      <c r="H1444" s="6" t="str">
        <f ca="1">IFERROR(__xludf.DUMMYFUNCTION("""COMPUTED_VALUE"""),"Won")</f>
        <v>Won</v>
      </c>
      <c r="I1444" s="6" t="str">
        <f ca="1">IFERROR(__xludf.DUMMYFUNCTION("""COMPUTED_VALUE"""),"14-15 Jan 2023")</f>
        <v>14-15 Jan 2023</v>
      </c>
      <c r="J1444" s="6">
        <f ca="1">IFERROR(__xludf.DUMMYFUNCTION("""COMPUTED_VALUE"""),1)</f>
        <v>1</v>
      </c>
      <c r="K1444" s="8">
        <f ca="1">IFERROR(__xludf.DUMMYFUNCTION("""COMPUTED_VALUE"""),24000)</f>
        <v>24000</v>
      </c>
      <c r="L1444" s="8">
        <f ca="1">IFERROR(__xludf.DUMMYFUNCTION("""COMPUTED_VALUE"""),274.851122308749)</f>
        <v>274.85112230874898</v>
      </c>
      <c r="M1444" s="96">
        <f ca="1">IFERROR(__xludf.DUMMYFUNCTION("""COMPUTED_VALUE"""),44923)</f>
        <v>44923</v>
      </c>
      <c r="N1444" s="6" t="str">
        <f ca="1">IFERROR(__xludf.DUMMYFUNCTION("""COMPUTED_VALUE"""),"T10")</f>
        <v>T10</v>
      </c>
      <c r="O1444" s="97">
        <f ca="1">IFERROR(__xludf.DUMMYFUNCTION("""COMPUTED_VALUE"""),44923)</f>
        <v>44923</v>
      </c>
      <c r="P1444" s="6" t="str">
        <f ca="1">IFERROR(__xludf.DUMMYFUNCTION("""COMPUTED_VALUE"""),"CSTM_3H9FHSCK3YD")</f>
        <v>CSTM_3H9FHSCK3YD</v>
      </c>
      <c r="Q1444" s="6"/>
      <c r="R1444" s="6" t="str">
        <f ca="1">IFERROR(__xludf.DUMMYFUNCTION("""COMPUTED_VALUE"""),"Pending")</f>
        <v>Pending</v>
      </c>
      <c r="S1444" s="6" t="str">
        <f ca="1">IFERROR(__xludf.DUMMYFUNCTION("""COMPUTED_VALUE"""),"NonCategory")</f>
        <v>NonCategory</v>
      </c>
      <c r="T1444" s="6"/>
      <c r="U1444" s="6"/>
      <c r="V1444" s="6"/>
      <c r="W1444" s="6"/>
      <c r="X1444" s="6"/>
      <c r="Y1444" s="6"/>
      <c r="Z1444" s="6"/>
      <c r="AA1444" s="6"/>
      <c r="AB1444" s="6"/>
      <c r="AC1444" s="6"/>
      <c r="AD1444" s="6"/>
      <c r="AE1444" s="6"/>
      <c r="AF1444" s="6"/>
      <c r="AG1444" s="6"/>
      <c r="AH1444" s="6"/>
      <c r="AI1444" s="6"/>
      <c r="AJ1444" s="6"/>
      <c r="AK1444" s="6"/>
      <c r="AL1444" s="6"/>
    </row>
    <row r="1445" spans="1:38">
      <c r="A1445" s="96">
        <f ca="1">IFERROR(__xludf.DUMMYFUNCTION("""COMPUTED_VALUE"""),44923)</f>
        <v>44923</v>
      </c>
      <c r="B1445" s="6" t="str">
        <f ca="1">IFERROR(__xludf.DUMMYFUNCTION("""COMPUTED_VALUE"""),"Achyuth Raju")</f>
        <v>Achyuth Raju</v>
      </c>
      <c r="C1445" s="6" t="str">
        <f ca="1">IFERROR(__xludf.DUMMYFUNCTION("""COMPUTED_VALUE"""),"achyuth2050@gmail.com")</f>
        <v>achyuth2050@gmail.com</v>
      </c>
      <c r="D1445" s="6">
        <f ca="1">IFERROR(__xludf.DUMMYFUNCTION("""COMPUTED_VALUE"""),9700319389)</f>
        <v>9700319389</v>
      </c>
      <c r="E1445" s="6" t="str">
        <f ca="1">IFERROR(__xludf.DUMMYFUNCTION("""COMPUTED_VALUE"""),"Reference")</f>
        <v>Reference</v>
      </c>
      <c r="F1445" s="6" t="str">
        <f ca="1">IFERROR(__xludf.DUMMYFUNCTION("""COMPUTED_VALUE"""),"CSM")</f>
        <v>CSM</v>
      </c>
      <c r="G1445" s="80">
        <f ca="1">IFERROR(__xludf.DUMMYFUNCTION("""COMPUTED_VALUE"""),44896)</f>
        <v>44896</v>
      </c>
      <c r="H1445" s="6" t="str">
        <f ca="1">IFERROR(__xludf.DUMMYFUNCTION("""COMPUTED_VALUE"""),"Won")</f>
        <v>Won</v>
      </c>
      <c r="I1445" s="6" t="str">
        <f ca="1">IFERROR(__xludf.DUMMYFUNCTION("""COMPUTED_VALUE"""),"31 Dec 2022 - 1 Jan 2023")</f>
        <v>31 Dec 2022 - 1 Jan 2023</v>
      </c>
      <c r="J1445" s="6">
        <f ca="1">IFERROR(__xludf.DUMMYFUNCTION("""COMPUTED_VALUE"""),1)</f>
        <v>1</v>
      </c>
      <c r="K1445" s="8">
        <f ca="1">IFERROR(__xludf.DUMMYFUNCTION("""COMPUTED_VALUE"""),19824)</f>
        <v>19824</v>
      </c>
      <c r="L1445" s="8">
        <f ca="1">IFERROR(__xludf.DUMMYFUNCTION("""COMPUTED_VALUE"""),227.027027027027)</f>
        <v>227.027027027027</v>
      </c>
      <c r="M1445" s="96">
        <f ca="1">IFERROR(__xludf.DUMMYFUNCTION("""COMPUTED_VALUE"""),44923)</f>
        <v>44923</v>
      </c>
      <c r="N1445" s="6" t="str">
        <f ca="1">IFERROR(__xludf.DUMMYFUNCTION("""COMPUTED_VALUE"""),"T10")</f>
        <v>T10</v>
      </c>
      <c r="O1445" s="97">
        <f ca="1">IFERROR(__xludf.DUMMYFUNCTION("""COMPUTED_VALUE"""),44923)</f>
        <v>44923</v>
      </c>
      <c r="P1445" s="6" t="str">
        <f ca="1">IFERROR(__xludf.DUMMYFUNCTION("""COMPUTED_VALUE"""),"CSTM_GJH72LF5YEI")</f>
        <v>CSTM_GJH72LF5YEI</v>
      </c>
      <c r="Q1445" s="6"/>
      <c r="R1445" s="6" t="str">
        <f ca="1">IFERROR(__xludf.DUMMYFUNCTION("""COMPUTED_VALUE"""),"Pending")</f>
        <v>Pending</v>
      </c>
      <c r="S1445" s="6" t="str">
        <f ca="1">IFERROR(__xludf.DUMMYFUNCTION("""COMPUTED_VALUE"""),"Category")</f>
        <v>Category</v>
      </c>
      <c r="T1445" s="6"/>
      <c r="U1445" s="6"/>
      <c r="V1445" s="6"/>
      <c r="W1445" s="6"/>
      <c r="X1445" s="6"/>
      <c r="Y1445" s="6"/>
      <c r="Z1445" s="6"/>
      <c r="AA1445" s="6"/>
      <c r="AB1445" s="6"/>
      <c r="AC1445" s="6"/>
      <c r="AD1445" s="6"/>
      <c r="AE1445" s="6"/>
      <c r="AF1445" s="6"/>
      <c r="AG1445" s="6"/>
      <c r="AH1445" s="6"/>
      <c r="AI1445" s="6"/>
      <c r="AJ1445" s="6"/>
      <c r="AK1445" s="6"/>
      <c r="AL1445" s="6"/>
    </row>
    <row r="1446" spans="1:38">
      <c r="A1446" s="96">
        <f ca="1">IFERROR(__xludf.DUMMYFUNCTION("""COMPUTED_VALUE"""),44928)</f>
        <v>44928</v>
      </c>
      <c r="B1446" s="6" t="str">
        <f ca="1">IFERROR(__xludf.DUMMYFUNCTION("""COMPUTED_VALUE"""),"Anant Gupta")</f>
        <v>Anant Gupta</v>
      </c>
      <c r="C1446" s="6" t="str">
        <f ca="1">IFERROR(__xludf.DUMMYFUNCTION("""COMPUTED_VALUE"""),"anantgupta.anant@gmail.com")</f>
        <v>anantgupta.anant@gmail.com</v>
      </c>
      <c r="D1446" s="6">
        <f ca="1">IFERROR(__xludf.DUMMYFUNCTION("""COMPUTED_VALUE"""),9045876560)</f>
        <v>9045876560</v>
      </c>
      <c r="E1446" s="6" t="str">
        <f ca="1">IFERROR(__xludf.DUMMYFUNCTION("""COMPUTED_VALUE"""),"Existing Account")</f>
        <v>Existing Account</v>
      </c>
      <c r="F1446" s="6" t="str">
        <f ca="1">IFERROR(__xludf.DUMMYFUNCTION("""COMPUTED_VALUE"""),"PMP")</f>
        <v>PMP</v>
      </c>
      <c r="G1446" s="80">
        <f ca="1">IFERROR(__xludf.DUMMYFUNCTION("""COMPUTED_VALUE"""),44927)</f>
        <v>44927</v>
      </c>
      <c r="H1446" s="6" t="str">
        <f ca="1">IFERROR(__xludf.DUMMYFUNCTION("""COMPUTED_VALUE"""),"Won")</f>
        <v>Won</v>
      </c>
      <c r="I1446" s="6" t="str">
        <f ca="1">IFERROR(__xludf.DUMMYFUNCTION("""COMPUTED_VALUE"""),"7 Dec 2023")</f>
        <v>7 Dec 2023</v>
      </c>
      <c r="J1446" s="6">
        <f ca="1">IFERROR(__xludf.DUMMYFUNCTION("""COMPUTED_VALUE"""),1)</f>
        <v>1</v>
      </c>
      <c r="K1446" s="8">
        <f ca="1">IFERROR(__xludf.DUMMYFUNCTION("""COMPUTED_VALUE"""),48567)</f>
        <v>48567</v>
      </c>
      <c r="L1446" s="8">
        <f ca="1">IFERROR(__xludf.DUMMYFUNCTION("""COMPUTED_VALUE"""),556.195602382043)</f>
        <v>556.19560238204303</v>
      </c>
      <c r="M1446" s="96">
        <f ca="1">IFERROR(__xludf.DUMMYFUNCTION("""COMPUTED_VALUE"""),44928)</f>
        <v>44928</v>
      </c>
      <c r="N1446" s="6" t="str">
        <f ca="1">IFERROR(__xludf.DUMMYFUNCTION("""COMPUTED_VALUE"""),"F10")</f>
        <v>F10</v>
      </c>
      <c r="O1446" s="97">
        <f ca="1">IFERROR(__xludf.DUMMYFUNCTION("""COMPUTED_VALUE"""),44928)</f>
        <v>44928</v>
      </c>
      <c r="P1446" s="6" t="str">
        <f ca="1">IFERROR(__xludf.DUMMYFUNCTION("""COMPUTED_VALUE"""),"CSTM_GYDHI3AVWUJ")</f>
        <v>CSTM_GYDHI3AVWUJ</v>
      </c>
      <c r="Q1446" s="6"/>
      <c r="R1446" s="6" t="str">
        <f ca="1">IFERROR(__xludf.DUMMYFUNCTION("""COMPUTED_VALUE"""),"Pending")</f>
        <v>Pending</v>
      </c>
      <c r="S1446" s="6" t="str">
        <f ca="1">IFERROR(__xludf.DUMMYFUNCTION("""COMPUTED_VALUE"""),"NonCategory")</f>
        <v>NonCategory</v>
      </c>
      <c r="T1446" s="6"/>
      <c r="U1446" s="6"/>
      <c r="V1446" s="6"/>
      <c r="W1446" s="6"/>
      <c r="X1446" s="6"/>
      <c r="Y1446" s="6"/>
      <c r="Z1446" s="6"/>
      <c r="AA1446" s="6"/>
      <c r="AB1446" s="6"/>
      <c r="AC1446" s="6"/>
      <c r="AD1446" s="6"/>
      <c r="AE1446" s="6"/>
      <c r="AF1446" s="6"/>
      <c r="AG1446" s="6"/>
      <c r="AH1446" s="6"/>
      <c r="AI1446" s="6"/>
      <c r="AJ1446" s="6"/>
      <c r="AK1446" s="6"/>
      <c r="AL1446" s="6"/>
    </row>
    <row r="1447" spans="1:38">
      <c r="A1447" s="96">
        <f ca="1">IFERROR(__xludf.DUMMYFUNCTION("""COMPUTED_VALUE"""),44928)</f>
        <v>44928</v>
      </c>
      <c r="B1447" s="6" t="str">
        <f ca="1">IFERROR(__xludf.DUMMYFUNCTION("""COMPUTED_VALUE"""),"Sneha Poduri")</f>
        <v>Sneha Poduri</v>
      </c>
      <c r="C1447" s="6" t="str">
        <f ca="1">IFERROR(__xludf.DUMMYFUNCTION("""COMPUTED_VALUE"""),"poduri.sneha@gmail.com")</f>
        <v>poduri.sneha@gmail.com</v>
      </c>
      <c r="D1447" s="6">
        <f ca="1">IFERROR(__xludf.DUMMYFUNCTION("""COMPUTED_VALUE"""),9440827474)</f>
        <v>9440827474</v>
      </c>
      <c r="E1447" s="6" t="str">
        <f ca="1">IFERROR(__xludf.DUMMYFUNCTION("""COMPUTED_VALUE"""),"Existing Account")</f>
        <v>Existing Account</v>
      </c>
      <c r="F1447" s="6" t="str">
        <f ca="1">IFERROR(__xludf.DUMMYFUNCTION("""COMPUTED_VALUE"""),"SAFe POPM")</f>
        <v>SAFe POPM</v>
      </c>
      <c r="G1447" s="80">
        <f ca="1">IFERROR(__xludf.DUMMYFUNCTION("""COMPUTED_VALUE"""),44927)</f>
        <v>44927</v>
      </c>
      <c r="H1447" s="6" t="str">
        <f ca="1">IFERROR(__xludf.DUMMYFUNCTION("""COMPUTED_VALUE"""),"Won")</f>
        <v>Won</v>
      </c>
      <c r="I1447" s="6" t="str">
        <f ca="1">IFERROR(__xludf.DUMMYFUNCTION("""COMPUTED_VALUE"""),"7-8 Jan 2023")</f>
        <v>7-8 Jan 2023</v>
      </c>
      <c r="J1447" s="6">
        <f ca="1">IFERROR(__xludf.DUMMYFUNCTION("""COMPUTED_VALUE"""),1)</f>
        <v>1</v>
      </c>
      <c r="K1447" s="8">
        <f ca="1">IFERROR(__xludf.DUMMYFUNCTION("""COMPUTED_VALUE"""),40061)</f>
        <v>40061</v>
      </c>
      <c r="L1447" s="8">
        <f ca="1">IFERROR(__xludf.DUMMYFUNCTION("""COMPUTED_VALUE"""),458.783783783783)</f>
        <v>458.78378378378301</v>
      </c>
      <c r="M1447" s="96">
        <f ca="1">IFERROR(__xludf.DUMMYFUNCTION("""COMPUTED_VALUE"""),44928)</f>
        <v>44928</v>
      </c>
      <c r="N1447" s="6" t="str">
        <f ca="1">IFERROR(__xludf.DUMMYFUNCTION("""COMPUTED_VALUE"""),"F10")</f>
        <v>F10</v>
      </c>
      <c r="O1447" s="97">
        <f ca="1">IFERROR(__xludf.DUMMYFUNCTION("""COMPUTED_VALUE"""),44928)</f>
        <v>44928</v>
      </c>
      <c r="P1447" s="6" t="str">
        <f ca="1">IFERROR(__xludf.DUMMYFUNCTION("""COMPUTED_VALUE"""),"CSTM_A6WWYCLTCIN")</f>
        <v>CSTM_A6WWYCLTCIN</v>
      </c>
      <c r="Q1447" s="6"/>
      <c r="R1447" s="6" t="str">
        <f ca="1">IFERROR(__xludf.DUMMYFUNCTION("""COMPUTED_VALUE"""),"Pending")</f>
        <v>Pending</v>
      </c>
      <c r="S1447" s="6" t="str">
        <f ca="1">IFERROR(__xludf.DUMMYFUNCTION("""COMPUTED_VALUE"""),"SAFe")</f>
        <v>SAFe</v>
      </c>
      <c r="T1447" s="6"/>
      <c r="U1447" s="6"/>
      <c r="V1447" s="6"/>
      <c r="W1447" s="6"/>
      <c r="X1447" s="6"/>
      <c r="Y1447" s="6"/>
      <c r="Z1447" s="6"/>
      <c r="AA1447" s="6"/>
      <c r="AB1447" s="6"/>
      <c r="AC1447" s="6"/>
      <c r="AD1447" s="6"/>
      <c r="AE1447" s="6"/>
      <c r="AF1447" s="6"/>
      <c r="AG1447" s="6"/>
      <c r="AH1447" s="6"/>
      <c r="AI1447" s="6"/>
      <c r="AJ1447" s="6"/>
      <c r="AK1447" s="6"/>
      <c r="AL1447" s="6"/>
    </row>
    <row r="1448" spans="1:38">
      <c r="A1448" s="96">
        <f ca="1">IFERROR(__xludf.DUMMYFUNCTION("""COMPUTED_VALUE"""),44929)</f>
        <v>44929</v>
      </c>
      <c r="B1448" s="6" t="str">
        <f ca="1">IFERROR(__xludf.DUMMYFUNCTION("""COMPUTED_VALUE"""),"Mukesh Karod")</f>
        <v>Mukesh Karod</v>
      </c>
      <c r="C1448" s="6" t="str">
        <f ca="1">IFERROR(__xludf.DUMMYFUNCTION("""COMPUTED_VALUE"""),"mukesh.karode1@gmail.com")</f>
        <v>mukesh.karode1@gmail.com</v>
      </c>
      <c r="D1448" s="6">
        <f ca="1">IFERROR(__xludf.DUMMYFUNCTION("""COMPUTED_VALUE"""),7000628067)</f>
        <v>7000628067</v>
      </c>
      <c r="E1448" s="6" t="str">
        <f ca="1">IFERROR(__xludf.DUMMYFUNCTION("""COMPUTED_VALUE"""),"Reference")</f>
        <v>Reference</v>
      </c>
      <c r="F1448" s="6" t="str">
        <f ca="1">IFERROR(__xludf.DUMMYFUNCTION("""COMPUTED_VALUE"""),"ITIL v4")</f>
        <v>ITIL v4</v>
      </c>
      <c r="G1448" s="80">
        <f ca="1">IFERROR(__xludf.DUMMYFUNCTION("""COMPUTED_VALUE"""),44927)</f>
        <v>44927</v>
      </c>
      <c r="H1448" s="6" t="str">
        <f ca="1">IFERROR(__xludf.DUMMYFUNCTION("""COMPUTED_VALUE"""),"Won")</f>
        <v>Won</v>
      </c>
      <c r="I1448" s="6" t="str">
        <f ca="1">IFERROR(__xludf.DUMMYFUNCTION("""COMPUTED_VALUE"""),"OSL")</f>
        <v>OSL</v>
      </c>
      <c r="J1448" s="6">
        <f ca="1">IFERROR(__xludf.DUMMYFUNCTION("""COMPUTED_VALUE"""),1)</f>
        <v>1</v>
      </c>
      <c r="K1448" s="8">
        <f ca="1">IFERROR(__xludf.DUMMYFUNCTION("""COMPUTED_VALUE"""),21000)</f>
        <v>21000</v>
      </c>
      <c r="L1448" s="8">
        <f ca="1">IFERROR(__xludf.DUMMYFUNCTION("""COMPUTED_VALUE"""),240.494732020155)</f>
        <v>240.494732020155</v>
      </c>
      <c r="M1448" s="96">
        <f ca="1">IFERROR(__xludf.DUMMYFUNCTION("""COMPUTED_VALUE"""),44929)</f>
        <v>44929</v>
      </c>
      <c r="N1448" s="6" t="str">
        <f ca="1">IFERROR(__xludf.DUMMYFUNCTION("""COMPUTED_VALUE"""),"F10")</f>
        <v>F10</v>
      </c>
      <c r="O1448" s="97">
        <f ca="1">IFERROR(__xludf.DUMMYFUNCTION("""COMPUTED_VALUE"""),44929)</f>
        <v>44929</v>
      </c>
      <c r="P1448" s="6" t="str">
        <f ca="1">IFERROR(__xludf.DUMMYFUNCTION("""COMPUTED_VALUE"""),"CSTM_G29I5S484PO")</f>
        <v>CSTM_G29I5S484PO</v>
      </c>
      <c r="Q1448" s="6" t="str">
        <f ca="1">IFERROR(__xludf.DUMMYFUNCTION("""COMPUTED_VALUE"""),"Reference by amrapaliashoka@gmail.com (Sanjit Desai)")</f>
        <v>Reference by amrapaliashoka@gmail.com (Sanjit Desai)</v>
      </c>
      <c r="R1448" s="6" t="str">
        <f ca="1">IFERROR(__xludf.DUMMYFUNCTION("""COMPUTED_VALUE"""),"Pending")</f>
        <v>Pending</v>
      </c>
      <c r="S1448" s="6" t="str">
        <f ca="1">IFERROR(__xludf.DUMMYFUNCTION("""COMPUTED_VALUE"""),"NonCategory")</f>
        <v>NonCategory</v>
      </c>
      <c r="T1448" s="6"/>
      <c r="U1448" s="6"/>
      <c r="V1448" s="6"/>
      <c r="W1448" s="6"/>
      <c r="X1448" s="6"/>
      <c r="Y1448" s="6"/>
      <c r="Z1448" s="6"/>
      <c r="AA1448" s="6"/>
      <c r="AB1448" s="6"/>
      <c r="AC1448" s="6"/>
      <c r="AD1448" s="6"/>
      <c r="AE1448" s="6"/>
      <c r="AF1448" s="6"/>
      <c r="AG1448" s="6"/>
      <c r="AH1448" s="6"/>
      <c r="AI1448" s="6"/>
      <c r="AJ1448" s="6"/>
      <c r="AK1448" s="6"/>
      <c r="AL1448" s="6"/>
    </row>
    <row r="1449" spans="1:38">
      <c r="A1449" s="96">
        <f ca="1">IFERROR(__xludf.DUMMYFUNCTION("""COMPUTED_VALUE"""),44929)</f>
        <v>44929</v>
      </c>
      <c r="B1449" s="6" t="str">
        <f ca="1">IFERROR(__xludf.DUMMYFUNCTION("""COMPUTED_VALUE"""),"Bijayini Sahoo")</f>
        <v>Bijayini Sahoo</v>
      </c>
      <c r="C1449" s="6" t="str">
        <f ca="1">IFERROR(__xludf.DUMMYFUNCTION("""COMPUTED_VALUE"""),"bijayini.sahoo89@gmail.com")</f>
        <v>bijayini.sahoo89@gmail.com</v>
      </c>
      <c r="D1449" s="6">
        <f ca="1">IFERROR(__xludf.DUMMYFUNCTION("""COMPUTED_VALUE"""),8861307251)</f>
        <v>8861307251</v>
      </c>
      <c r="E1449" s="6" t="str">
        <f ca="1">IFERROR(__xludf.DUMMYFUNCTION("""COMPUTED_VALUE"""),"chat_initiated")</f>
        <v>chat_initiated</v>
      </c>
      <c r="F1449" s="6" t="str">
        <f ca="1">IFERROR(__xludf.DUMMYFUNCTION("""COMPUTED_VALUE"""),"SAFe POPM")</f>
        <v>SAFe POPM</v>
      </c>
      <c r="G1449" s="80">
        <f ca="1">IFERROR(__xludf.DUMMYFUNCTION("""COMPUTED_VALUE"""),44927)</f>
        <v>44927</v>
      </c>
      <c r="H1449" s="6" t="str">
        <f ca="1">IFERROR(__xludf.DUMMYFUNCTION("""COMPUTED_VALUE"""),"Won")</f>
        <v>Won</v>
      </c>
      <c r="I1449" s="6" t="str">
        <f ca="1">IFERROR(__xludf.DUMMYFUNCTION("""COMPUTED_VALUE"""),"7-8 Jan 2023")</f>
        <v>7-8 Jan 2023</v>
      </c>
      <c r="J1449" s="6">
        <f ca="1">IFERROR(__xludf.DUMMYFUNCTION("""COMPUTED_VALUE"""),1)</f>
        <v>1</v>
      </c>
      <c r="K1449" s="8">
        <f ca="1">IFERROR(__xludf.DUMMYFUNCTION("""COMPUTED_VALUE"""),40061)</f>
        <v>40061</v>
      </c>
      <c r="L1449" s="8">
        <f ca="1">IFERROR(__xludf.DUMMYFUNCTION("""COMPUTED_VALUE"""),458.783783783783)</f>
        <v>458.78378378378301</v>
      </c>
      <c r="M1449" s="96">
        <f ca="1">IFERROR(__xludf.DUMMYFUNCTION("""COMPUTED_VALUE"""),44929)</f>
        <v>44929</v>
      </c>
      <c r="N1449" s="6" t="str">
        <f ca="1">IFERROR(__xludf.DUMMYFUNCTION("""COMPUTED_VALUE"""),"F10")</f>
        <v>F10</v>
      </c>
      <c r="O1449" s="97">
        <f ca="1">IFERROR(__xludf.DUMMYFUNCTION("""COMPUTED_VALUE"""),44929)</f>
        <v>44929</v>
      </c>
      <c r="P1449" s="6" t="str">
        <f ca="1">IFERROR(__xludf.DUMMYFUNCTION("""COMPUTED_VALUE"""),"CSTM_FRTEFWYIH7N")</f>
        <v>CSTM_FRTEFWYIH7N</v>
      </c>
      <c r="Q1449" s="6"/>
      <c r="R1449" s="6" t="str">
        <f ca="1">IFERROR(__xludf.DUMMYFUNCTION("""COMPUTED_VALUE"""),"Pending")</f>
        <v>Pending</v>
      </c>
      <c r="S1449" s="6" t="str">
        <f ca="1">IFERROR(__xludf.DUMMYFUNCTION("""COMPUTED_VALUE"""),"SAFe")</f>
        <v>SAFe</v>
      </c>
      <c r="T1449" s="6"/>
      <c r="U1449" s="6"/>
      <c r="V1449" s="6"/>
      <c r="W1449" s="6"/>
      <c r="X1449" s="6"/>
      <c r="Y1449" s="6"/>
      <c r="Z1449" s="6"/>
      <c r="AA1449" s="6"/>
      <c r="AB1449" s="6"/>
      <c r="AC1449" s="6"/>
      <c r="AD1449" s="6"/>
      <c r="AE1449" s="6"/>
      <c r="AF1449" s="6"/>
      <c r="AG1449" s="6"/>
      <c r="AH1449" s="6"/>
      <c r="AI1449" s="6"/>
      <c r="AJ1449" s="6"/>
      <c r="AK1449" s="6"/>
      <c r="AL1449" s="6"/>
    </row>
    <row r="1450" spans="1:38">
      <c r="A1450" s="96">
        <f ca="1">IFERROR(__xludf.DUMMYFUNCTION("""COMPUTED_VALUE"""),44929)</f>
        <v>44929</v>
      </c>
      <c r="B1450" s="6" t="str">
        <f ca="1">IFERROR(__xludf.DUMMYFUNCTION("""COMPUTED_VALUE"""),"Himanshu Aggarwal")</f>
        <v>Himanshu Aggarwal</v>
      </c>
      <c r="C1450" s="6" t="str">
        <f ca="1">IFERROR(__xludf.DUMMYFUNCTION("""COMPUTED_VALUE"""),"himanshu.agg1988@gmail.com")</f>
        <v>himanshu.agg1988@gmail.com</v>
      </c>
      <c r="D1450" s="6">
        <f ca="1">IFERROR(__xludf.DUMMYFUNCTION("""COMPUTED_VALUE"""),9910664770)</f>
        <v>9910664770</v>
      </c>
      <c r="E1450" s="6" t="str">
        <f ca="1">IFERROR(__xludf.DUMMYFUNCTION("""COMPUTED_VALUE"""),"Reference")</f>
        <v>Reference</v>
      </c>
      <c r="F1450" s="6" t="str">
        <f ca="1">IFERROR(__xludf.DUMMYFUNCTION("""COMPUTED_VALUE"""),"PSM")</f>
        <v>PSM</v>
      </c>
      <c r="G1450" s="80">
        <f ca="1">IFERROR(__xludf.DUMMYFUNCTION("""COMPUTED_VALUE"""),44927)</f>
        <v>44927</v>
      </c>
      <c r="H1450" s="6" t="str">
        <f ca="1">IFERROR(__xludf.DUMMYFUNCTION("""COMPUTED_VALUE"""),"Won")</f>
        <v>Won</v>
      </c>
      <c r="I1450" s="6" t="str">
        <f ca="1">IFERROR(__xludf.DUMMYFUNCTION("""COMPUTED_VALUE"""),"7-8 Jan 2023")</f>
        <v>7-8 Jan 2023</v>
      </c>
      <c r="J1450" s="6">
        <f ca="1">IFERROR(__xludf.DUMMYFUNCTION("""COMPUTED_VALUE"""),1)</f>
        <v>1</v>
      </c>
      <c r="K1450" s="8">
        <f ca="1">IFERROR(__xludf.DUMMYFUNCTION("""COMPUTED_VALUE"""),21000)</f>
        <v>21000</v>
      </c>
      <c r="L1450" s="8">
        <f ca="1">IFERROR(__xludf.DUMMYFUNCTION("""COMPUTED_VALUE"""),240.494732020155)</f>
        <v>240.494732020155</v>
      </c>
      <c r="M1450" s="96">
        <f ca="1">IFERROR(__xludf.DUMMYFUNCTION("""COMPUTED_VALUE"""),44929)</f>
        <v>44929</v>
      </c>
      <c r="N1450" s="6" t="str">
        <f ca="1">IFERROR(__xludf.DUMMYFUNCTION("""COMPUTED_VALUE"""),"F10")</f>
        <v>F10</v>
      </c>
      <c r="O1450" s="97">
        <f ca="1">IFERROR(__xludf.DUMMYFUNCTION("""COMPUTED_VALUE"""),44929)</f>
        <v>44929</v>
      </c>
      <c r="P1450" s="6" t="str">
        <f ca="1">IFERROR(__xludf.DUMMYFUNCTION("""COMPUTED_VALUE"""),"CSTM_6PQAUTBK2ZR")</f>
        <v>CSTM_6PQAUTBK2ZR</v>
      </c>
      <c r="Q1450" s="6" t="str">
        <f ca="1">IFERROR(__xludf.DUMMYFUNCTION("""COMPUTED_VALUE"""),"Reference by amrapaliashoka@gmail.com")</f>
        <v>Reference by amrapaliashoka@gmail.com</v>
      </c>
      <c r="R1450" s="6" t="str">
        <f ca="1">IFERROR(__xludf.DUMMYFUNCTION("""COMPUTED_VALUE"""),"Pending")</f>
        <v>Pending</v>
      </c>
      <c r="S1450" s="6" t="str">
        <f ca="1">IFERROR(__xludf.DUMMYFUNCTION("""COMPUTED_VALUE"""),"Category")</f>
        <v>Category</v>
      </c>
      <c r="T1450" s="6"/>
      <c r="U1450" s="6"/>
      <c r="V1450" s="6"/>
      <c r="W1450" s="6"/>
      <c r="X1450" s="6"/>
      <c r="Y1450" s="6"/>
      <c r="Z1450" s="6"/>
      <c r="AA1450" s="6"/>
      <c r="AB1450" s="6"/>
      <c r="AC1450" s="6"/>
      <c r="AD1450" s="6"/>
      <c r="AE1450" s="6"/>
      <c r="AF1450" s="6"/>
      <c r="AG1450" s="6"/>
      <c r="AH1450" s="6"/>
      <c r="AI1450" s="6"/>
      <c r="AJ1450" s="6"/>
      <c r="AK1450" s="6"/>
      <c r="AL1450" s="6"/>
    </row>
    <row r="1451" spans="1:38">
      <c r="A1451" s="96">
        <f ca="1">IFERROR(__xludf.DUMMYFUNCTION("""COMPUTED_VALUE"""),44929)</f>
        <v>44929</v>
      </c>
      <c r="B1451" s="6" t="str">
        <f ca="1">IFERROR(__xludf.DUMMYFUNCTION("""COMPUTED_VALUE"""),"Poomica")</f>
        <v>Poomica</v>
      </c>
      <c r="C1451" s="6" t="str">
        <f ca="1">IFERROR(__xludf.DUMMYFUNCTION("""COMPUTED_VALUE"""),"poomica1001@gmail.com")</f>
        <v>poomica1001@gmail.com</v>
      </c>
      <c r="D1451" s="6">
        <f ca="1">IFERROR(__xludf.DUMMYFUNCTION("""COMPUTED_VALUE"""),8610087583)</f>
        <v>8610087583</v>
      </c>
      <c r="E1451" s="6" t="str">
        <f ca="1">IFERROR(__xludf.DUMMYFUNCTION("""COMPUTED_VALUE"""),"Existing Account")</f>
        <v>Existing Account</v>
      </c>
      <c r="F1451" s="6" t="str">
        <f ca="1">IFERROR(__xludf.DUMMYFUNCTION("""COMPUTED_VALUE"""),"PSM")</f>
        <v>PSM</v>
      </c>
      <c r="G1451" s="80">
        <f ca="1">IFERROR(__xludf.DUMMYFUNCTION("""COMPUTED_VALUE"""),44927)</f>
        <v>44927</v>
      </c>
      <c r="H1451" s="6" t="str">
        <f ca="1">IFERROR(__xludf.DUMMYFUNCTION("""COMPUTED_VALUE"""),"Won")</f>
        <v>Won</v>
      </c>
      <c r="I1451" s="6" t="str">
        <f ca="1">IFERROR(__xludf.DUMMYFUNCTION("""COMPUTED_VALUE"""),"18-19 Feb 2023")</f>
        <v>18-19 Feb 2023</v>
      </c>
      <c r="J1451" s="6">
        <f ca="1">IFERROR(__xludf.DUMMYFUNCTION("""COMPUTED_VALUE"""),1)</f>
        <v>1</v>
      </c>
      <c r="K1451" s="8">
        <f ca="1">IFERROR(__xludf.DUMMYFUNCTION("""COMPUTED_VALUE"""),21000)</f>
        <v>21000</v>
      </c>
      <c r="L1451" s="8">
        <f ca="1">IFERROR(__xludf.DUMMYFUNCTION("""COMPUTED_VALUE"""),240.494732020155)</f>
        <v>240.494732020155</v>
      </c>
      <c r="M1451" s="96">
        <f ca="1">IFERROR(__xludf.DUMMYFUNCTION("""COMPUTED_VALUE"""),44929)</f>
        <v>44929</v>
      </c>
      <c r="N1451" s="6" t="str">
        <f ca="1">IFERROR(__xludf.DUMMYFUNCTION("""COMPUTED_VALUE"""),"F10")</f>
        <v>F10</v>
      </c>
      <c r="O1451" s="97">
        <f ca="1">IFERROR(__xludf.DUMMYFUNCTION("""COMPUTED_VALUE"""),44929)</f>
        <v>44929</v>
      </c>
      <c r="P1451" s="6" t="str">
        <f ca="1">IFERROR(__xludf.DUMMYFUNCTION("""COMPUTED_VALUE"""),"CSTM_E4RQH8IMB13")</f>
        <v>CSTM_E4RQH8IMB13</v>
      </c>
      <c r="Q1451" s="6"/>
      <c r="R1451" s="6" t="str">
        <f ca="1">IFERROR(__xludf.DUMMYFUNCTION("""COMPUTED_VALUE"""),"Pending")</f>
        <v>Pending</v>
      </c>
      <c r="S1451" s="6" t="str">
        <f ca="1">IFERROR(__xludf.DUMMYFUNCTION("""COMPUTED_VALUE"""),"Category")</f>
        <v>Category</v>
      </c>
      <c r="T1451" s="6"/>
      <c r="U1451" s="6"/>
      <c r="V1451" s="6"/>
      <c r="W1451" s="6"/>
      <c r="X1451" s="6"/>
      <c r="Y1451" s="6"/>
      <c r="Z1451" s="6"/>
      <c r="AA1451" s="6"/>
      <c r="AB1451" s="6"/>
      <c r="AC1451" s="6"/>
      <c r="AD1451" s="6"/>
      <c r="AE1451" s="6"/>
      <c r="AF1451" s="6"/>
      <c r="AG1451" s="6"/>
      <c r="AH1451" s="6"/>
      <c r="AI1451" s="6"/>
      <c r="AJ1451" s="6"/>
      <c r="AK1451" s="6"/>
      <c r="AL1451" s="6"/>
    </row>
    <row r="1452" spans="1:38">
      <c r="A1452" s="96">
        <f ca="1">IFERROR(__xludf.DUMMYFUNCTION("""COMPUTED_VALUE"""),44929)</f>
        <v>44929</v>
      </c>
      <c r="B1452" s="6" t="str">
        <f ca="1">IFERROR(__xludf.DUMMYFUNCTION("""COMPUTED_VALUE"""),"Anish Bhandari")</f>
        <v>Anish Bhandari</v>
      </c>
      <c r="C1452" s="6" t="str">
        <f ca="1">IFERROR(__xludf.DUMMYFUNCTION("""COMPUTED_VALUE"""),"anishbhandari88@gmail.com")</f>
        <v>anishbhandari88@gmail.com</v>
      </c>
      <c r="D1452" s="6">
        <f ca="1">IFERROR(__xludf.DUMMYFUNCTION("""COMPUTED_VALUE"""),9972522889)</f>
        <v>9972522889</v>
      </c>
      <c r="E1452" s="6" t="str">
        <f ca="1">IFERROR(__xludf.DUMMYFUNCTION("""COMPUTED_VALUE"""),"Chat_triggered")</f>
        <v>Chat_triggered</v>
      </c>
      <c r="F1452" s="6" t="str">
        <f ca="1">IFERROR(__xludf.DUMMYFUNCTION("""COMPUTED_VALUE"""),"PSM 2")</f>
        <v>PSM 2</v>
      </c>
      <c r="G1452" s="80">
        <f ca="1">IFERROR(__xludf.DUMMYFUNCTION("""COMPUTED_VALUE"""),44927)</f>
        <v>44927</v>
      </c>
      <c r="H1452" s="6" t="str">
        <f ca="1">IFERROR(__xludf.DUMMYFUNCTION("""COMPUTED_VALUE"""),"Won")</f>
        <v>Won</v>
      </c>
      <c r="I1452" s="6" t="str">
        <f ca="1">IFERROR(__xludf.DUMMYFUNCTION("""COMPUTED_VALUE"""),"14-15 Jan 2023")</f>
        <v>14-15 Jan 2023</v>
      </c>
      <c r="J1452" s="6">
        <f ca="1">IFERROR(__xludf.DUMMYFUNCTION("""COMPUTED_VALUE"""),1)</f>
        <v>1</v>
      </c>
      <c r="K1452" s="8">
        <f ca="1">IFERROR(__xludf.DUMMYFUNCTION("""COMPUTED_VALUE"""),24000)</f>
        <v>24000</v>
      </c>
      <c r="L1452" s="8">
        <f ca="1">IFERROR(__xludf.DUMMYFUNCTION("""COMPUTED_VALUE"""),274.851122308749)</f>
        <v>274.85112230874898</v>
      </c>
      <c r="M1452" s="96">
        <f ca="1">IFERROR(__xludf.DUMMYFUNCTION("""COMPUTED_VALUE"""),44929)</f>
        <v>44929</v>
      </c>
      <c r="N1452" s="6" t="str">
        <f ca="1">IFERROR(__xludf.DUMMYFUNCTION("""COMPUTED_VALUE"""),"F10")</f>
        <v>F10</v>
      </c>
      <c r="O1452" s="97">
        <f ca="1">IFERROR(__xludf.DUMMYFUNCTION("""COMPUTED_VALUE"""),44929)</f>
        <v>44929</v>
      </c>
      <c r="P1452" s="6" t="str">
        <f ca="1">IFERROR(__xludf.DUMMYFUNCTION("""COMPUTED_VALUE"""),"CSTM_B30I9JX5FY6")</f>
        <v>CSTM_B30I9JX5FY6</v>
      </c>
      <c r="Q1452" s="6"/>
      <c r="R1452" s="6" t="str">
        <f ca="1">IFERROR(__xludf.DUMMYFUNCTION("""COMPUTED_VALUE"""),"Pending")</f>
        <v>Pending</v>
      </c>
      <c r="S1452" s="6" t="str">
        <f ca="1">IFERROR(__xludf.DUMMYFUNCTION("""COMPUTED_VALUE"""),"Category")</f>
        <v>Category</v>
      </c>
      <c r="T1452" s="6"/>
      <c r="U1452" s="6"/>
      <c r="V1452" s="6"/>
      <c r="W1452" s="6"/>
      <c r="X1452" s="6"/>
      <c r="Y1452" s="6"/>
      <c r="Z1452" s="6"/>
      <c r="AA1452" s="6"/>
      <c r="AB1452" s="6"/>
      <c r="AC1452" s="6"/>
      <c r="AD1452" s="6"/>
      <c r="AE1452" s="6"/>
      <c r="AF1452" s="6"/>
      <c r="AG1452" s="6"/>
      <c r="AH1452" s="6"/>
      <c r="AI1452" s="6"/>
      <c r="AJ1452" s="6"/>
      <c r="AK1452" s="6"/>
      <c r="AL1452" s="6"/>
    </row>
    <row r="1453" spans="1:38">
      <c r="A1453" s="96">
        <f ca="1">IFERROR(__xludf.DUMMYFUNCTION("""COMPUTED_VALUE"""),44931)</f>
        <v>44931</v>
      </c>
      <c r="B1453" s="6" t="str">
        <f ca="1">IFERROR(__xludf.DUMMYFUNCTION("""COMPUTED_VALUE"""),"Megha Satish")</f>
        <v>Megha Satish</v>
      </c>
      <c r="C1453" s="6" t="str">
        <f ca="1">IFERROR(__xludf.DUMMYFUNCTION("""COMPUTED_VALUE"""),"meghasatish.14@gmail.com")</f>
        <v>meghasatish.14@gmail.com</v>
      </c>
      <c r="D1453" s="6">
        <f ca="1">IFERROR(__xludf.DUMMYFUNCTION("""COMPUTED_VALUE"""),9972317538)</f>
        <v>9972317538</v>
      </c>
      <c r="E1453" s="6" t="str">
        <f ca="1">IFERROR(__xludf.DUMMYFUNCTION("""COMPUTED_VALUE"""),"Existing Account")</f>
        <v>Existing Account</v>
      </c>
      <c r="F1453" s="6" t="str">
        <f ca="1">IFERROR(__xludf.DUMMYFUNCTION("""COMPUTED_VALUE"""),"ITIL v4")</f>
        <v>ITIL v4</v>
      </c>
      <c r="G1453" s="80">
        <f ca="1">IFERROR(__xludf.DUMMYFUNCTION("""COMPUTED_VALUE"""),44927)</f>
        <v>44927</v>
      </c>
      <c r="H1453" s="6" t="str">
        <f ca="1">IFERROR(__xludf.DUMMYFUNCTION("""COMPUTED_VALUE"""),"Won")</f>
        <v>Won</v>
      </c>
      <c r="I1453" s="6" t="str">
        <f ca="1">IFERROR(__xludf.DUMMYFUNCTION("""COMPUTED_VALUE"""),"7 Jan 2023")</f>
        <v>7 Jan 2023</v>
      </c>
      <c r="J1453" s="6">
        <f ca="1">IFERROR(__xludf.DUMMYFUNCTION("""COMPUTED_VALUE"""),1)</f>
        <v>1</v>
      </c>
      <c r="K1453" s="8">
        <f ca="1">IFERROR(__xludf.DUMMYFUNCTION("""COMPUTED_VALUE"""),21200)</f>
        <v>21200</v>
      </c>
      <c r="L1453" s="8">
        <f ca="1">IFERROR(__xludf.DUMMYFUNCTION("""COMPUTED_VALUE"""),242.785158039395)</f>
        <v>242.78515803939499</v>
      </c>
      <c r="M1453" s="96">
        <f ca="1">IFERROR(__xludf.DUMMYFUNCTION("""COMPUTED_VALUE"""),44931)</f>
        <v>44931</v>
      </c>
      <c r="N1453" s="6" t="str">
        <f ca="1">IFERROR(__xludf.DUMMYFUNCTION("""COMPUTED_VALUE"""),"F10")</f>
        <v>F10</v>
      </c>
      <c r="O1453" s="97">
        <f ca="1">IFERROR(__xludf.DUMMYFUNCTION("""COMPUTED_VALUE"""),44931)</f>
        <v>44931</v>
      </c>
      <c r="P1453" s="6" t="str">
        <f ca="1">IFERROR(__xludf.DUMMYFUNCTION("""COMPUTED_VALUE"""),"CSTM_4TL90US4JBE")</f>
        <v>CSTM_4TL90US4JBE</v>
      </c>
      <c r="Q1453" s="6"/>
      <c r="R1453" s="6" t="str">
        <f ca="1">IFERROR(__xludf.DUMMYFUNCTION("""COMPUTED_VALUE"""),"Pending")</f>
        <v>Pending</v>
      </c>
      <c r="S1453" s="6" t="str">
        <f ca="1">IFERROR(__xludf.DUMMYFUNCTION("""COMPUTED_VALUE"""),"NonCategory")</f>
        <v>NonCategory</v>
      </c>
      <c r="T1453" s="6"/>
      <c r="U1453" s="6"/>
      <c r="V1453" s="6"/>
      <c r="W1453" s="6"/>
      <c r="X1453" s="6"/>
      <c r="Y1453" s="6"/>
      <c r="Z1453" s="6"/>
      <c r="AA1453" s="6"/>
      <c r="AB1453" s="6"/>
      <c r="AC1453" s="6"/>
      <c r="AD1453" s="6"/>
      <c r="AE1453" s="6"/>
      <c r="AF1453" s="6"/>
      <c r="AG1453" s="6"/>
      <c r="AH1453" s="6"/>
      <c r="AI1453" s="6"/>
      <c r="AJ1453" s="6"/>
      <c r="AK1453" s="6"/>
      <c r="AL1453" s="6"/>
    </row>
    <row r="1454" spans="1:38">
      <c r="A1454" s="96">
        <f ca="1">IFERROR(__xludf.DUMMYFUNCTION("""COMPUTED_VALUE"""),44932)</f>
        <v>44932</v>
      </c>
      <c r="B1454" s="6" t="str">
        <f ca="1">IFERROR(__xludf.DUMMYFUNCTION("""COMPUTED_VALUE"""),"Reena Kotian")</f>
        <v>Reena Kotian</v>
      </c>
      <c r="C1454" s="6" t="str">
        <f ca="1">IFERROR(__xludf.DUMMYFUNCTION("""COMPUTED_VALUE"""),"reenaallenkotian@gmail.com")</f>
        <v>reenaallenkotian@gmail.com</v>
      </c>
      <c r="D1454" s="6">
        <f ca="1">IFERROR(__xludf.DUMMYFUNCTION("""COMPUTED_VALUE"""),9167900673)</f>
        <v>9167900673</v>
      </c>
      <c r="E1454" s="6" t="str">
        <f ca="1">IFERROR(__xludf.DUMMYFUNCTION("""COMPUTED_VALUE"""),"Reference")</f>
        <v>Reference</v>
      </c>
      <c r="F1454" s="6" t="str">
        <f ca="1">IFERROR(__xludf.DUMMYFUNCTION("""COMPUTED_VALUE"""),"ITIL v4")</f>
        <v>ITIL v4</v>
      </c>
      <c r="G1454" s="80">
        <f ca="1">IFERROR(__xludf.DUMMYFUNCTION("""COMPUTED_VALUE"""),44927)</f>
        <v>44927</v>
      </c>
      <c r="H1454" s="6" t="str">
        <f ca="1">IFERROR(__xludf.DUMMYFUNCTION("""COMPUTED_VALUE"""),"Won")</f>
        <v>Won</v>
      </c>
      <c r="I1454" s="6" t="str">
        <f ca="1">IFERROR(__xludf.DUMMYFUNCTION("""COMPUTED_VALUE"""),"7 Jan 2023")</f>
        <v>7 Jan 2023</v>
      </c>
      <c r="J1454" s="6">
        <f ca="1">IFERROR(__xludf.DUMMYFUNCTION("""COMPUTED_VALUE"""),1)</f>
        <v>1</v>
      </c>
      <c r="K1454" s="8">
        <f ca="1">IFERROR(__xludf.DUMMYFUNCTION("""COMPUTED_VALUE"""),22000)</f>
        <v>22000</v>
      </c>
      <c r="L1454" s="8">
        <f ca="1">IFERROR(__xludf.DUMMYFUNCTION("""COMPUTED_VALUE"""),251.946862116353)</f>
        <v>251.946862116353</v>
      </c>
      <c r="M1454" s="96">
        <f ca="1">IFERROR(__xludf.DUMMYFUNCTION("""COMPUTED_VALUE"""),44932)</f>
        <v>44932</v>
      </c>
      <c r="N1454" s="6" t="str">
        <f ca="1">IFERROR(__xludf.DUMMYFUNCTION("""COMPUTED_VALUE"""),"F10")</f>
        <v>F10</v>
      </c>
      <c r="O1454" s="97">
        <f ca="1">IFERROR(__xludf.DUMMYFUNCTION("""COMPUTED_VALUE"""),44932)</f>
        <v>44932</v>
      </c>
      <c r="P1454" s="6" t="str">
        <f ca="1">IFERROR(__xludf.DUMMYFUNCTION("""COMPUTED_VALUE"""),"CSTM_DJH3WHJDSIR")</f>
        <v>CSTM_DJH3WHJDSIR</v>
      </c>
      <c r="Q1454" s="6"/>
      <c r="R1454" s="6" t="str">
        <f ca="1">IFERROR(__xludf.DUMMYFUNCTION("""COMPUTED_VALUE"""),"Pending")</f>
        <v>Pending</v>
      </c>
      <c r="S1454" s="6" t="str">
        <f ca="1">IFERROR(__xludf.DUMMYFUNCTION("""COMPUTED_VALUE"""),"NonCategory")</f>
        <v>NonCategory</v>
      </c>
      <c r="T1454" s="6"/>
      <c r="U1454" s="6"/>
      <c r="V1454" s="6"/>
      <c r="W1454" s="6"/>
      <c r="X1454" s="6"/>
      <c r="Y1454" s="6"/>
      <c r="Z1454" s="6"/>
      <c r="AA1454" s="6"/>
      <c r="AB1454" s="6"/>
      <c r="AC1454" s="6"/>
      <c r="AD1454" s="6"/>
      <c r="AE1454" s="6"/>
      <c r="AF1454" s="6"/>
      <c r="AG1454" s="6"/>
      <c r="AH1454" s="6"/>
      <c r="AI1454" s="6"/>
      <c r="AJ1454" s="6"/>
      <c r="AK1454" s="6"/>
      <c r="AL1454" s="6"/>
    </row>
    <row r="1455" spans="1:38">
      <c r="A1455" s="96">
        <f ca="1">IFERROR(__xludf.DUMMYFUNCTION("""COMPUTED_VALUE"""),44932)</f>
        <v>44932</v>
      </c>
      <c r="B1455" s="6" t="str">
        <f ca="1">IFERROR(__xludf.DUMMYFUNCTION("""COMPUTED_VALUE"""),"Gaurav Helix")</f>
        <v>Gaurav Helix</v>
      </c>
      <c r="C1455" s="6" t="str">
        <f ca="1">IFERROR(__xludf.DUMMYFUNCTION("""COMPUTED_VALUE"""),"gaurav.helix@gmail.com")</f>
        <v>gaurav.helix@gmail.com</v>
      </c>
      <c r="D1455" s="6">
        <f ca="1">IFERROR(__xludf.DUMMYFUNCTION("""COMPUTED_VALUE"""),8744081575)</f>
        <v>8744081575</v>
      </c>
      <c r="E1455" s="6" t="str">
        <f ca="1">IFERROR(__xludf.DUMMYFUNCTION("""COMPUTED_VALUE"""),"Existing Account")</f>
        <v>Existing Account</v>
      </c>
      <c r="F1455" s="6" t="str">
        <f ca="1">IFERROR(__xludf.DUMMYFUNCTION("""COMPUTED_VALUE"""),"CSPO")</f>
        <v>CSPO</v>
      </c>
      <c r="G1455" s="80">
        <f ca="1">IFERROR(__xludf.DUMMYFUNCTION("""COMPUTED_VALUE"""),44927)</f>
        <v>44927</v>
      </c>
      <c r="H1455" s="6" t="str">
        <f ca="1">IFERROR(__xludf.DUMMYFUNCTION("""COMPUTED_VALUE"""),"Won")</f>
        <v>Won</v>
      </c>
      <c r="I1455" s="6" t="str">
        <f ca="1">IFERROR(__xludf.DUMMYFUNCTION("""COMPUTED_VALUE"""),"7-8 Jan 2023")</f>
        <v>7-8 Jan 2023</v>
      </c>
      <c r="J1455" s="6">
        <f ca="1">IFERROR(__xludf.DUMMYFUNCTION("""COMPUTED_VALUE"""),1)</f>
        <v>1</v>
      </c>
      <c r="K1455" s="8">
        <f ca="1">IFERROR(__xludf.DUMMYFUNCTION("""COMPUTED_VALUE"""),20000)</f>
        <v>20000</v>
      </c>
      <c r="L1455" s="8">
        <f ca="1">IFERROR(__xludf.DUMMYFUNCTION("""COMPUTED_VALUE"""),229.042601923957)</f>
        <v>229.04260192395699</v>
      </c>
      <c r="M1455" s="96">
        <f ca="1">IFERROR(__xludf.DUMMYFUNCTION("""COMPUTED_VALUE"""),44932)</f>
        <v>44932</v>
      </c>
      <c r="N1455" s="6" t="str">
        <f ca="1">IFERROR(__xludf.DUMMYFUNCTION("""COMPUTED_VALUE"""),"F10")</f>
        <v>F10</v>
      </c>
      <c r="O1455" s="97">
        <f ca="1">IFERROR(__xludf.DUMMYFUNCTION("""COMPUTED_VALUE"""),44932)</f>
        <v>44932</v>
      </c>
      <c r="P1455" s="6" t="str">
        <f ca="1">IFERROR(__xludf.DUMMYFUNCTION("""COMPUTED_VALUE"""),"CSTM_1JR9U3SWTBF")</f>
        <v>CSTM_1JR9U3SWTBF</v>
      </c>
      <c r="Q1455" s="6"/>
      <c r="R1455" s="6" t="str">
        <f ca="1">IFERROR(__xludf.DUMMYFUNCTION("""COMPUTED_VALUE"""),"Pending")</f>
        <v>Pending</v>
      </c>
      <c r="S1455" s="6" t="str">
        <f ca="1">IFERROR(__xludf.DUMMYFUNCTION("""COMPUTED_VALUE"""),"Category")</f>
        <v>Category</v>
      </c>
      <c r="T1455" s="6"/>
      <c r="U1455" s="6"/>
      <c r="V1455" s="6"/>
      <c r="W1455" s="6"/>
      <c r="X1455" s="6"/>
      <c r="Y1455" s="6"/>
      <c r="Z1455" s="6"/>
      <c r="AA1455" s="6"/>
      <c r="AB1455" s="6"/>
      <c r="AC1455" s="6"/>
      <c r="AD1455" s="6"/>
      <c r="AE1455" s="6"/>
      <c r="AF1455" s="6"/>
      <c r="AG1455" s="6"/>
      <c r="AH1455" s="6"/>
      <c r="AI1455" s="6"/>
      <c r="AJ1455" s="6"/>
      <c r="AK1455" s="6"/>
      <c r="AL1455" s="6"/>
    </row>
    <row r="1456" spans="1:38">
      <c r="A1456" s="96">
        <f ca="1">IFERROR(__xludf.DUMMYFUNCTION("""COMPUTED_VALUE"""),44932)</f>
        <v>44932</v>
      </c>
      <c r="B1456" s="6" t="str">
        <f ca="1">IFERROR(__xludf.DUMMYFUNCTION("""COMPUTED_VALUE"""),"Ashwini Poonacha")</f>
        <v>Ashwini Poonacha</v>
      </c>
      <c r="C1456" s="6" t="str">
        <f ca="1">IFERROR(__xludf.DUMMYFUNCTION("""COMPUTED_VALUE"""),"ashwinipoonacha@gmail.com")</f>
        <v>ashwinipoonacha@gmail.com</v>
      </c>
      <c r="D1456" s="6">
        <f ca="1">IFERROR(__xludf.DUMMYFUNCTION("""COMPUTED_VALUE"""),9901332263)</f>
        <v>9901332263</v>
      </c>
      <c r="E1456" s="6" t="str">
        <f ca="1">IFERROR(__xludf.DUMMYFUNCTION("""COMPUTED_VALUE"""),"App Quey box")</f>
        <v>App Quey box</v>
      </c>
      <c r="F1456" s="6" t="str">
        <f ca="1">IFERROR(__xludf.DUMMYFUNCTION("""COMPUTED_VALUE"""),"SAFe POPM")</f>
        <v>SAFe POPM</v>
      </c>
      <c r="G1456" s="80">
        <f ca="1">IFERROR(__xludf.DUMMYFUNCTION("""COMPUTED_VALUE"""),44927)</f>
        <v>44927</v>
      </c>
      <c r="H1456" s="6" t="str">
        <f ca="1">IFERROR(__xludf.DUMMYFUNCTION("""COMPUTED_VALUE"""),"Won")</f>
        <v>Won</v>
      </c>
      <c r="I1456" s="6" t="str">
        <f ca="1">IFERROR(__xludf.DUMMYFUNCTION("""COMPUTED_VALUE"""),"28-29 Jan 2023")</f>
        <v>28-29 Jan 2023</v>
      </c>
      <c r="J1456" s="6">
        <f ca="1">IFERROR(__xludf.DUMMYFUNCTION("""COMPUTED_VALUE"""),1)</f>
        <v>1</v>
      </c>
      <c r="K1456" s="8">
        <f ca="1">IFERROR(__xludf.DUMMYFUNCTION("""COMPUTED_VALUE"""),42000)</f>
        <v>42000</v>
      </c>
      <c r="L1456" s="8">
        <f ca="1">IFERROR(__xludf.DUMMYFUNCTION("""COMPUTED_VALUE"""),480.989464040311)</f>
        <v>480.98946404031102</v>
      </c>
      <c r="M1456" s="96">
        <f ca="1">IFERROR(__xludf.DUMMYFUNCTION("""COMPUTED_VALUE"""),44932)</f>
        <v>44932</v>
      </c>
      <c r="N1456" s="6" t="str">
        <f ca="1">IFERROR(__xludf.DUMMYFUNCTION("""COMPUTED_VALUE"""),"F10")</f>
        <v>F10</v>
      </c>
      <c r="O1456" s="97">
        <f ca="1">IFERROR(__xludf.DUMMYFUNCTION("""COMPUTED_VALUE"""),44933)</f>
        <v>44933</v>
      </c>
      <c r="P1456" s="6" t="str">
        <f ca="1">IFERROR(__xludf.DUMMYFUNCTION("""COMPUTED_VALUE"""),"CSTM_71IQE5N4BUR")</f>
        <v>CSTM_71IQE5N4BUR</v>
      </c>
      <c r="Q1456" s="6"/>
      <c r="R1456" s="6" t="str">
        <f ca="1">IFERROR(__xludf.DUMMYFUNCTION("""COMPUTED_VALUE"""),"Pending")</f>
        <v>Pending</v>
      </c>
      <c r="S1456" s="6" t="str">
        <f ca="1">IFERROR(__xludf.DUMMYFUNCTION("""COMPUTED_VALUE"""),"SAFe")</f>
        <v>SAFe</v>
      </c>
      <c r="T1456" s="6"/>
      <c r="U1456" s="6"/>
      <c r="V1456" s="6"/>
      <c r="W1456" s="6"/>
      <c r="X1456" s="6"/>
      <c r="Y1456" s="6"/>
      <c r="Z1456" s="6"/>
      <c r="AA1456" s="6"/>
      <c r="AB1456" s="6"/>
      <c r="AC1456" s="6"/>
      <c r="AD1456" s="6"/>
      <c r="AE1456" s="6"/>
      <c r="AF1456" s="6"/>
      <c r="AG1456" s="6"/>
      <c r="AH1456" s="6"/>
      <c r="AI1456" s="6"/>
      <c r="AJ1456" s="6"/>
      <c r="AK1456" s="6"/>
      <c r="AL1456" s="6"/>
    </row>
    <row r="1457" spans="1:38">
      <c r="A1457" s="96">
        <f ca="1">IFERROR(__xludf.DUMMYFUNCTION("""COMPUTED_VALUE"""),44933)</f>
        <v>44933</v>
      </c>
      <c r="B1457" s="6" t="str">
        <f ca="1">IFERROR(__xludf.DUMMYFUNCTION("""COMPUTED_VALUE"""),"Prathap Suriaprakash")</f>
        <v>Prathap Suriaprakash</v>
      </c>
      <c r="C1457" s="6" t="str">
        <f ca="1">IFERROR(__xludf.DUMMYFUNCTION("""COMPUTED_VALUE"""),"prathap.suriaprakash@gmail.com")</f>
        <v>prathap.suriaprakash@gmail.com</v>
      </c>
      <c r="D1457" s="6">
        <f ca="1">IFERROR(__xludf.DUMMYFUNCTION("""COMPUTED_VALUE"""),8667601334)</f>
        <v>8667601334</v>
      </c>
      <c r="E1457" s="6" t="str">
        <f ca="1">IFERROR(__xludf.DUMMYFUNCTION("""COMPUTED_VALUE"""),"Chat_triggered")</f>
        <v>Chat_triggered</v>
      </c>
      <c r="F1457" s="6" t="str">
        <f ca="1">IFERROR(__xludf.DUMMYFUNCTION("""COMPUTED_VALUE"""),"SAFe POPM")</f>
        <v>SAFe POPM</v>
      </c>
      <c r="G1457" s="80">
        <f ca="1">IFERROR(__xludf.DUMMYFUNCTION("""COMPUTED_VALUE"""),44927)</f>
        <v>44927</v>
      </c>
      <c r="H1457" s="6" t="str">
        <f ca="1">IFERROR(__xludf.DUMMYFUNCTION("""COMPUTED_VALUE"""),"Won")</f>
        <v>Won</v>
      </c>
      <c r="I1457" s="6" t="str">
        <f ca="1">IFERROR(__xludf.DUMMYFUNCTION("""COMPUTED_VALUE"""),"21-22 Jan 2023")</f>
        <v>21-22 Jan 2023</v>
      </c>
      <c r="J1457" s="6">
        <f ca="1">IFERROR(__xludf.DUMMYFUNCTION("""COMPUTED_VALUE"""),1)</f>
        <v>1</v>
      </c>
      <c r="K1457" s="8">
        <f ca="1">IFERROR(__xludf.DUMMYFUNCTION("""COMPUTED_VALUE"""),40061)</f>
        <v>40061</v>
      </c>
      <c r="L1457" s="8">
        <f ca="1">IFERROR(__xludf.DUMMYFUNCTION("""COMPUTED_VALUE"""),458.783783783783)</f>
        <v>458.78378378378301</v>
      </c>
      <c r="M1457" s="96">
        <f ca="1">IFERROR(__xludf.DUMMYFUNCTION("""COMPUTED_VALUE"""),44933)</f>
        <v>44933</v>
      </c>
      <c r="N1457" s="6" t="str">
        <f ca="1">IFERROR(__xludf.DUMMYFUNCTION("""COMPUTED_VALUE"""),"F10")</f>
        <v>F10</v>
      </c>
      <c r="O1457" s="97">
        <f ca="1">IFERROR(__xludf.DUMMYFUNCTION("""COMPUTED_VALUE"""),44933)</f>
        <v>44933</v>
      </c>
      <c r="P1457" s="6" t="str">
        <f ca="1">IFERROR(__xludf.DUMMYFUNCTION("""COMPUTED_VALUE"""),"CSTM_ED8IK7UGJMX")</f>
        <v>CSTM_ED8IK7UGJMX</v>
      </c>
      <c r="Q1457" s="6" t="str">
        <f ca="1">IFERROR(__xludf.DUMMYFUNCTION("""COMPUTED_VALUE"""),"Reference by Siddharth - Lalit")</f>
        <v>Reference by Siddharth - Lalit</v>
      </c>
      <c r="R1457" s="6" t="str">
        <f ca="1">IFERROR(__xludf.DUMMYFUNCTION("""COMPUTED_VALUE"""),"Pending")</f>
        <v>Pending</v>
      </c>
      <c r="S1457" s="6" t="str">
        <f ca="1">IFERROR(__xludf.DUMMYFUNCTION("""COMPUTED_VALUE"""),"SAFe")</f>
        <v>SAFe</v>
      </c>
      <c r="T1457" s="6"/>
      <c r="U1457" s="6"/>
      <c r="V1457" s="6"/>
      <c r="W1457" s="6"/>
      <c r="X1457" s="6"/>
      <c r="Y1457" s="6"/>
      <c r="Z1457" s="6"/>
      <c r="AA1457" s="6"/>
      <c r="AB1457" s="6"/>
      <c r="AC1457" s="6"/>
      <c r="AD1457" s="6"/>
      <c r="AE1457" s="6"/>
      <c r="AF1457" s="6"/>
      <c r="AG1457" s="6"/>
      <c r="AH1457" s="6"/>
      <c r="AI1457" s="6"/>
      <c r="AJ1457" s="6"/>
      <c r="AK1457" s="6"/>
      <c r="AL1457" s="6"/>
    </row>
    <row r="1458" spans="1:38">
      <c r="A1458" s="96">
        <f ca="1">IFERROR(__xludf.DUMMYFUNCTION("""COMPUTED_VALUE"""),44935)</f>
        <v>44935</v>
      </c>
      <c r="B1458" s="6" t="str">
        <f ca="1">IFERROR(__xludf.DUMMYFUNCTION("""COMPUTED_VALUE"""),"Nidhi Jauhari")</f>
        <v>Nidhi Jauhari</v>
      </c>
      <c r="C1458" s="6" t="str">
        <f ca="1">IFERROR(__xludf.DUMMYFUNCTION("""COMPUTED_VALUE"""),"nidhi.jauhari@gmail.com")</f>
        <v>nidhi.jauhari@gmail.com</v>
      </c>
      <c r="D1458" s="6">
        <f ca="1">IFERROR(__xludf.DUMMYFUNCTION("""COMPUTED_VALUE"""),8411004250)</f>
        <v>8411004250</v>
      </c>
      <c r="E1458" s="6" t="str">
        <f ca="1">IFERROR(__xludf.DUMMYFUNCTION("""COMPUTED_VALUE"""),"Reference")</f>
        <v>Reference</v>
      </c>
      <c r="F1458" s="6" t="str">
        <f ca="1">IFERROR(__xludf.DUMMYFUNCTION("""COMPUTED_VALUE"""),"PSM 2")</f>
        <v>PSM 2</v>
      </c>
      <c r="G1458" s="80">
        <f ca="1">IFERROR(__xludf.DUMMYFUNCTION("""COMPUTED_VALUE"""),44927)</f>
        <v>44927</v>
      </c>
      <c r="H1458" s="6" t="str">
        <f ca="1">IFERROR(__xludf.DUMMYFUNCTION("""COMPUTED_VALUE"""),"Won")</f>
        <v>Won</v>
      </c>
      <c r="I1458" s="6" t="str">
        <f ca="1">IFERROR(__xludf.DUMMYFUNCTION("""COMPUTED_VALUE"""),"14-15 Jan 2023")</f>
        <v>14-15 Jan 2023</v>
      </c>
      <c r="J1458" s="6">
        <f ca="1">IFERROR(__xludf.DUMMYFUNCTION("""COMPUTED_VALUE"""),1)</f>
        <v>1</v>
      </c>
      <c r="K1458" s="8">
        <f ca="1">IFERROR(__xludf.DUMMYFUNCTION("""COMPUTED_VALUE"""),24000)</f>
        <v>24000</v>
      </c>
      <c r="L1458" s="8">
        <f ca="1">IFERROR(__xludf.DUMMYFUNCTION("""COMPUTED_VALUE"""),274.851122308749)</f>
        <v>274.85112230874898</v>
      </c>
      <c r="M1458" s="96">
        <f ca="1">IFERROR(__xludf.DUMMYFUNCTION("""COMPUTED_VALUE"""),44935)</f>
        <v>44935</v>
      </c>
      <c r="N1458" s="6" t="str">
        <f ca="1">IFERROR(__xludf.DUMMYFUNCTION("""COMPUTED_VALUE"""),"F10")</f>
        <v>F10</v>
      </c>
      <c r="O1458" s="97">
        <f ca="1">IFERROR(__xludf.DUMMYFUNCTION("""COMPUTED_VALUE"""),44935)</f>
        <v>44935</v>
      </c>
      <c r="P1458" s="6" t="str">
        <f ca="1">IFERROR(__xludf.DUMMYFUNCTION("""COMPUTED_VALUE"""),"CSTM_7DWZNL126U2")</f>
        <v>CSTM_7DWZNL126U2</v>
      </c>
      <c r="Q1458" s="6" t="str">
        <f ca="1">IFERROR(__xludf.DUMMYFUNCTION("""COMPUTED_VALUE"""),"Reference by ashishawandkar@gmail.com")</f>
        <v>Reference by ashishawandkar@gmail.com</v>
      </c>
      <c r="R1458" s="6" t="str">
        <f ca="1">IFERROR(__xludf.DUMMYFUNCTION("""COMPUTED_VALUE"""),"Pending")</f>
        <v>Pending</v>
      </c>
      <c r="S1458" s="6" t="str">
        <f ca="1">IFERROR(__xludf.DUMMYFUNCTION("""COMPUTED_VALUE"""),"Category")</f>
        <v>Category</v>
      </c>
      <c r="T1458" s="6"/>
      <c r="U1458" s="6"/>
      <c r="V1458" s="6"/>
      <c r="W1458" s="6"/>
      <c r="X1458" s="6"/>
      <c r="Y1458" s="6"/>
      <c r="Z1458" s="6"/>
      <c r="AA1458" s="6"/>
      <c r="AB1458" s="6"/>
      <c r="AC1458" s="6"/>
      <c r="AD1458" s="6"/>
      <c r="AE1458" s="6"/>
      <c r="AF1458" s="6"/>
      <c r="AG1458" s="6"/>
      <c r="AH1458" s="6"/>
      <c r="AI1458" s="6"/>
      <c r="AJ1458" s="6"/>
      <c r="AK1458" s="6"/>
      <c r="AL1458" s="6"/>
    </row>
    <row r="1459" spans="1:38">
      <c r="A1459" s="96">
        <f ca="1">IFERROR(__xludf.DUMMYFUNCTION("""COMPUTED_VALUE"""),44935)</f>
        <v>44935</v>
      </c>
      <c r="B1459" s="6" t="str">
        <f ca="1">IFERROR(__xludf.DUMMYFUNCTION("""COMPUTED_VALUE"""),"Shantaram Dhumal")</f>
        <v>Shantaram Dhumal</v>
      </c>
      <c r="C1459" s="6" t="str">
        <f ca="1">IFERROR(__xludf.DUMMYFUNCTION("""COMPUTED_VALUE"""),"shantaram.dhumal11@gmail.com")</f>
        <v>shantaram.dhumal11@gmail.com</v>
      </c>
      <c r="D1459" s="6">
        <f ca="1">IFERROR(__xludf.DUMMYFUNCTION("""COMPUTED_VALUE"""),8898292424)</f>
        <v>8898292424</v>
      </c>
      <c r="E1459" s="6" t="str">
        <f ca="1">IFERROR(__xludf.DUMMYFUNCTION("""COMPUTED_VALUE"""),"Tollfree")</f>
        <v>Tollfree</v>
      </c>
      <c r="F1459" s="6" t="str">
        <f ca="1">IFERROR(__xludf.DUMMYFUNCTION("""COMPUTED_VALUE"""),"PSM 2")</f>
        <v>PSM 2</v>
      </c>
      <c r="G1459" s="80">
        <f ca="1">IFERROR(__xludf.DUMMYFUNCTION("""COMPUTED_VALUE"""),44927)</f>
        <v>44927</v>
      </c>
      <c r="H1459" s="6" t="str">
        <f ca="1">IFERROR(__xludf.DUMMYFUNCTION("""COMPUTED_VALUE"""),"Won")</f>
        <v>Won</v>
      </c>
      <c r="I1459" s="6" t="str">
        <f ca="1">IFERROR(__xludf.DUMMYFUNCTION("""COMPUTED_VALUE"""),"14-15 Jan 2023")</f>
        <v>14-15 Jan 2023</v>
      </c>
      <c r="J1459" s="6">
        <f ca="1">IFERROR(__xludf.DUMMYFUNCTION("""COMPUTED_VALUE"""),1)</f>
        <v>1</v>
      </c>
      <c r="K1459" s="8">
        <f ca="1">IFERROR(__xludf.DUMMYFUNCTION("""COMPUTED_VALUE"""),24000)</f>
        <v>24000</v>
      </c>
      <c r="L1459" s="8">
        <f ca="1">IFERROR(__xludf.DUMMYFUNCTION("""COMPUTED_VALUE"""),274.851122308749)</f>
        <v>274.85112230874898</v>
      </c>
      <c r="M1459" s="96">
        <f ca="1">IFERROR(__xludf.DUMMYFUNCTION("""COMPUTED_VALUE"""),44935)</f>
        <v>44935</v>
      </c>
      <c r="N1459" s="6" t="str">
        <f ca="1">IFERROR(__xludf.DUMMYFUNCTION("""COMPUTED_VALUE"""),"F10")</f>
        <v>F10</v>
      </c>
      <c r="O1459" s="97">
        <f ca="1">IFERROR(__xludf.DUMMYFUNCTION("""COMPUTED_VALUE"""),44935)</f>
        <v>44935</v>
      </c>
      <c r="P1459" s="6" t="str">
        <f ca="1">IFERROR(__xludf.DUMMYFUNCTION("""COMPUTED_VALUE"""),"CSTM_DI03PPKBI3Y")</f>
        <v>CSTM_DI03PPKBI3Y</v>
      </c>
      <c r="Q1459" s="6"/>
      <c r="R1459" s="6" t="str">
        <f ca="1">IFERROR(__xludf.DUMMYFUNCTION("""COMPUTED_VALUE"""),"Pending")</f>
        <v>Pending</v>
      </c>
      <c r="S1459" s="6" t="str">
        <f ca="1">IFERROR(__xludf.DUMMYFUNCTION("""COMPUTED_VALUE"""),"Category")</f>
        <v>Category</v>
      </c>
      <c r="T1459" s="6"/>
      <c r="U1459" s="6"/>
      <c r="V1459" s="6"/>
      <c r="W1459" s="6"/>
      <c r="X1459" s="6"/>
      <c r="Y1459" s="6"/>
      <c r="Z1459" s="6"/>
      <c r="AA1459" s="6"/>
      <c r="AB1459" s="6"/>
      <c r="AC1459" s="6"/>
      <c r="AD1459" s="6"/>
      <c r="AE1459" s="6"/>
      <c r="AF1459" s="6"/>
      <c r="AG1459" s="6"/>
      <c r="AH1459" s="6"/>
      <c r="AI1459" s="6"/>
      <c r="AJ1459" s="6"/>
      <c r="AK1459" s="6"/>
      <c r="AL1459" s="6"/>
    </row>
    <row r="1460" spans="1:38">
      <c r="A1460" s="96">
        <f ca="1">IFERROR(__xludf.DUMMYFUNCTION("""COMPUTED_VALUE"""),44935)</f>
        <v>44935</v>
      </c>
      <c r="B1460" s="6" t="str">
        <f ca="1">IFERROR(__xludf.DUMMYFUNCTION("""COMPUTED_VALUE"""),"Jyoti Jayprakash")</f>
        <v>Jyoti Jayprakash</v>
      </c>
      <c r="C1460" s="6" t="str">
        <f ca="1">IFERROR(__xludf.DUMMYFUNCTION("""COMPUTED_VALUE"""),"joti_p@rediffmail.com")</f>
        <v>joti_p@rediffmail.com</v>
      </c>
      <c r="D1460" s="6">
        <f ca="1">IFERROR(__xludf.DUMMYFUNCTION("""COMPUTED_VALUE"""),7738526179)</f>
        <v>7738526179</v>
      </c>
      <c r="E1460" s="6" t="str">
        <f ca="1">IFERROR(__xludf.DUMMYFUNCTION("""COMPUTED_VALUE"""),"Reference")</f>
        <v>Reference</v>
      </c>
      <c r="F1460" s="6" t="str">
        <f ca="1">IFERROR(__xludf.DUMMYFUNCTION("""COMPUTED_VALUE"""),"PSM 2")</f>
        <v>PSM 2</v>
      </c>
      <c r="G1460" s="80">
        <f ca="1">IFERROR(__xludf.DUMMYFUNCTION("""COMPUTED_VALUE"""),44927)</f>
        <v>44927</v>
      </c>
      <c r="H1460" s="6" t="str">
        <f ca="1">IFERROR(__xludf.DUMMYFUNCTION("""COMPUTED_VALUE"""),"Won")</f>
        <v>Won</v>
      </c>
      <c r="I1460" s="6" t="str">
        <f ca="1">IFERROR(__xludf.DUMMYFUNCTION("""COMPUTED_VALUE"""),"14-15 Jan 2023")</f>
        <v>14-15 Jan 2023</v>
      </c>
      <c r="J1460" s="6">
        <f ca="1">IFERROR(__xludf.DUMMYFUNCTION("""COMPUTED_VALUE"""),1)</f>
        <v>1</v>
      </c>
      <c r="K1460" s="8">
        <f ca="1">IFERROR(__xludf.DUMMYFUNCTION("""COMPUTED_VALUE"""),24000)</f>
        <v>24000</v>
      </c>
      <c r="L1460" s="8">
        <f ca="1">IFERROR(__xludf.DUMMYFUNCTION("""COMPUTED_VALUE"""),274.851122308749)</f>
        <v>274.85112230874898</v>
      </c>
      <c r="M1460" s="96">
        <f ca="1">IFERROR(__xludf.DUMMYFUNCTION("""COMPUTED_VALUE"""),44935)</f>
        <v>44935</v>
      </c>
      <c r="N1460" s="6" t="str">
        <f ca="1">IFERROR(__xludf.DUMMYFUNCTION("""COMPUTED_VALUE"""),"F10")</f>
        <v>F10</v>
      </c>
      <c r="O1460" s="97">
        <f ca="1">IFERROR(__xludf.DUMMYFUNCTION("""COMPUTED_VALUE"""),44935)</f>
        <v>44935</v>
      </c>
      <c r="P1460" s="6" t="str">
        <f ca="1">IFERROR(__xludf.DUMMYFUNCTION("""COMPUTED_VALUE"""),"CSTM_C4ZRA4MK59")</f>
        <v>CSTM_C4ZRA4MK59</v>
      </c>
      <c r="Q1460" s="6" t="str">
        <f ca="1">IFERROR(__xludf.DUMMYFUNCTION("""COMPUTED_VALUE"""),"Reference by shantaram.dhumal11@gmail.com")</f>
        <v>Reference by shantaram.dhumal11@gmail.com</v>
      </c>
      <c r="R1460" s="6" t="str">
        <f ca="1">IFERROR(__xludf.DUMMYFUNCTION("""COMPUTED_VALUE"""),"Pending")</f>
        <v>Pending</v>
      </c>
      <c r="S1460" s="6" t="str">
        <f ca="1">IFERROR(__xludf.DUMMYFUNCTION("""COMPUTED_VALUE"""),"Category")</f>
        <v>Category</v>
      </c>
      <c r="T1460" s="6"/>
      <c r="U1460" s="6"/>
      <c r="V1460" s="6"/>
      <c r="W1460" s="6"/>
      <c r="X1460" s="6"/>
      <c r="Y1460" s="6"/>
      <c r="Z1460" s="6"/>
      <c r="AA1460" s="6"/>
      <c r="AB1460" s="6"/>
      <c r="AC1460" s="6"/>
      <c r="AD1460" s="6"/>
      <c r="AE1460" s="6"/>
      <c r="AF1460" s="6"/>
      <c r="AG1460" s="6"/>
      <c r="AH1460" s="6"/>
      <c r="AI1460" s="6"/>
      <c r="AJ1460" s="6"/>
      <c r="AK1460" s="6"/>
      <c r="AL1460" s="6"/>
    </row>
    <row r="1461" spans="1:38">
      <c r="A1461" s="96">
        <f ca="1">IFERROR(__xludf.DUMMYFUNCTION("""COMPUTED_VALUE"""),44935)</f>
        <v>44935</v>
      </c>
      <c r="B1461" s="6" t="str">
        <f ca="1">IFERROR(__xludf.DUMMYFUNCTION("""COMPUTED_VALUE"""),"Lakshmi Priya Nataraj")</f>
        <v>Lakshmi Priya Nataraj</v>
      </c>
      <c r="C1461" s="6" t="str">
        <f ca="1">IFERROR(__xludf.DUMMYFUNCTION("""COMPUTED_VALUE"""),"nataraj.priya@gmail.com")</f>
        <v>nataraj.priya@gmail.com</v>
      </c>
      <c r="D1461" s="6">
        <f ca="1">IFERROR(__xludf.DUMMYFUNCTION("""COMPUTED_VALUE"""),9500069796)</f>
        <v>9500069796</v>
      </c>
      <c r="E1461" s="6" t="str">
        <f ca="1">IFERROR(__xludf.DUMMYFUNCTION("""COMPUTED_VALUE"""),"Reference")</f>
        <v>Reference</v>
      </c>
      <c r="F1461" s="6" t="str">
        <f ca="1">IFERROR(__xludf.DUMMYFUNCTION("""COMPUTED_VALUE"""),"PSM 2")</f>
        <v>PSM 2</v>
      </c>
      <c r="G1461" s="80">
        <f ca="1">IFERROR(__xludf.DUMMYFUNCTION("""COMPUTED_VALUE"""),44927)</f>
        <v>44927</v>
      </c>
      <c r="H1461" s="6" t="str">
        <f ca="1">IFERROR(__xludf.DUMMYFUNCTION("""COMPUTED_VALUE"""),"Won")</f>
        <v>Won</v>
      </c>
      <c r="I1461" s="6" t="str">
        <f ca="1">IFERROR(__xludf.DUMMYFUNCTION("""COMPUTED_VALUE"""),"14-15 Jan 2023")</f>
        <v>14-15 Jan 2023</v>
      </c>
      <c r="J1461" s="6">
        <f ca="1">IFERROR(__xludf.DUMMYFUNCTION("""COMPUTED_VALUE"""),1)</f>
        <v>1</v>
      </c>
      <c r="K1461" s="8">
        <f ca="1">IFERROR(__xludf.DUMMYFUNCTION("""COMPUTED_VALUE"""),24000)</f>
        <v>24000</v>
      </c>
      <c r="L1461" s="8">
        <f ca="1">IFERROR(__xludf.DUMMYFUNCTION("""COMPUTED_VALUE"""),274.851122308749)</f>
        <v>274.85112230874898</v>
      </c>
      <c r="M1461" s="96">
        <f ca="1">IFERROR(__xludf.DUMMYFUNCTION("""COMPUTED_VALUE"""),44935)</f>
        <v>44935</v>
      </c>
      <c r="N1461" s="6" t="str">
        <f ca="1">IFERROR(__xludf.DUMMYFUNCTION("""COMPUTED_VALUE"""),"F10")</f>
        <v>F10</v>
      </c>
      <c r="O1461" s="97">
        <f ca="1">IFERROR(__xludf.DUMMYFUNCTION("""COMPUTED_VALUE"""),44935)</f>
        <v>44935</v>
      </c>
      <c r="P1461" s="6" t="str">
        <f ca="1">IFERROR(__xludf.DUMMYFUNCTION("""COMPUTED_VALUE"""),"CSTM_3O26W05TWAG")</f>
        <v>CSTM_3O26W05TWAG</v>
      </c>
      <c r="Q1461" s="6" t="str">
        <f ca="1">IFERROR(__xludf.DUMMYFUNCTION("""COMPUTED_VALUE"""),"Ashoka Amrapali")</f>
        <v>Ashoka Amrapali</v>
      </c>
      <c r="R1461" s="6" t="str">
        <f ca="1">IFERROR(__xludf.DUMMYFUNCTION("""COMPUTED_VALUE"""),"Pending")</f>
        <v>Pending</v>
      </c>
      <c r="S1461" s="6" t="str">
        <f ca="1">IFERROR(__xludf.DUMMYFUNCTION("""COMPUTED_VALUE"""),"Category")</f>
        <v>Category</v>
      </c>
      <c r="T1461" s="6"/>
      <c r="U1461" s="6"/>
      <c r="V1461" s="6"/>
      <c r="W1461" s="6"/>
      <c r="X1461" s="6"/>
      <c r="Y1461" s="6"/>
      <c r="Z1461" s="6"/>
      <c r="AA1461" s="6"/>
      <c r="AB1461" s="6"/>
      <c r="AC1461" s="6"/>
      <c r="AD1461" s="6"/>
      <c r="AE1461" s="6"/>
      <c r="AF1461" s="6"/>
      <c r="AG1461" s="6"/>
      <c r="AH1461" s="6"/>
      <c r="AI1461" s="6"/>
      <c r="AJ1461" s="6"/>
      <c r="AK1461" s="6"/>
      <c r="AL1461" s="6"/>
    </row>
    <row r="1462" spans="1:38">
      <c r="A1462" s="96">
        <f ca="1">IFERROR(__xludf.DUMMYFUNCTION("""COMPUTED_VALUE"""),44935)</f>
        <v>44935</v>
      </c>
      <c r="B1462" s="6" t="str">
        <f ca="1">IFERROR(__xludf.DUMMYFUNCTION("""COMPUTED_VALUE"""),"Monica Garg")</f>
        <v>Monica Garg</v>
      </c>
      <c r="C1462" s="6" t="str">
        <f ca="1">IFERROR(__xludf.DUMMYFUNCTION("""COMPUTED_VALUE"""),"monigarg@gmail.com")</f>
        <v>monigarg@gmail.com</v>
      </c>
      <c r="D1462" s="6">
        <f ca="1">IFERROR(__xludf.DUMMYFUNCTION("""COMPUTED_VALUE"""),9212337145)</f>
        <v>9212337145</v>
      </c>
      <c r="E1462" s="6" t="str">
        <f ca="1">IFERROR(__xludf.DUMMYFUNCTION("""COMPUTED_VALUE"""),"Tollfree")</f>
        <v>Tollfree</v>
      </c>
      <c r="F1462" s="6" t="str">
        <f ca="1">IFERROR(__xludf.DUMMYFUNCTION("""COMPUTED_VALUE"""),"PSM 2")</f>
        <v>PSM 2</v>
      </c>
      <c r="G1462" s="80">
        <f ca="1">IFERROR(__xludf.DUMMYFUNCTION("""COMPUTED_VALUE"""),44927)</f>
        <v>44927</v>
      </c>
      <c r="H1462" s="6" t="str">
        <f ca="1">IFERROR(__xludf.DUMMYFUNCTION("""COMPUTED_VALUE"""),"Won")</f>
        <v>Won</v>
      </c>
      <c r="I1462" s="6" t="str">
        <f ca="1">IFERROR(__xludf.DUMMYFUNCTION("""COMPUTED_VALUE"""),"14-15 Jan 2023")</f>
        <v>14-15 Jan 2023</v>
      </c>
      <c r="J1462" s="6">
        <f ca="1">IFERROR(__xludf.DUMMYFUNCTION("""COMPUTED_VALUE"""),1)</f>
        <v>1</v>
      </c>
      <c r="K1462" s="8">
        <f ca="1">IFERROR(__xludf.DUMMYFUNCTION("""COMPUTED_VALUE"""),24000)</f>
        <v>24000</v>
      </c>
      <c r="L1462" s="8">
        <f ca="1">IFERROR(__xludf.DUMMYFUNCTION("""COMPUTED_VALUE"""),274.851122308749)</f>
        <v>274.85112230874898</v>
      </c>
      <c r="M1462" s="96">
        <f ca="1">IFERROR(__xludf.DUMMYFUNCTION("""COMPUTED_VALUE"""),44936)</f>
        <v>44936</v>
      </c>
      <c r="N1462" s="6" t="str">
        <f ca="1">IFERROR(__xludf.DUMMYFUNCTION("""COMPUTED_VALUE"""),"F10")</f>
        <v>F10</v>
      </c>
      <c r="O1462" s="97">
        <f ca="1">IFERROR(__xludf.DUMMYFUNCTION("""COMPUTED_VALUE"""),44936)</f>
        <v>44936</v>
      </c>
      <c r="P1462" s="6" t="str">
        <f ca="1">IFERROR(__xludf.DUMMYFUNCTION("""COMPUTED_VALUE"""),"CSTM_ALY9QAMSH7I")</f>
        <v>CSTM_ALY9QAMSH7I</v>
      </c>
      <c r="Q1462" s="6"/>
      <c r="R1462" s="6" t="str">
        <f ca="1">IFERROR(__xludf.DUMMYFUNCTION("""COMPUTED_VALUE"""),"Pending")</f>
        <v>Pending</v>
      </c>
      <c r="S1462" s="6" t="str">
        <f ca="1">IFERROR(__xludf.DUMMYFUNCTION("""COMPUTED_VALUE"""),"Category")</f>
        <v>Category</v>
      </c>
      <c r="T1462" s="6"/>
      <c r="U1462" s="6"/>
      <c r="V1462" s="6"/>
      <c r="W1462" s="6"/>
      <c r="X1462" s="6"/>
      <c r="Y1462" s="6"/>
      <c r="Z1462" s="6"/>
      <c r="AA1462" s="6"/>
      <c r="AB1462" s="6"/>
      <c r="AC1462" s="6"/>
      <c r="AD1462" s="6"/>
      <c r="AE1462" s="6"/>
      <c r="AF1462" s="6"/>
      <c r="AG1462" s="6"/>
      <c r="AH1462" s="6"/>
      <c r="AI1462" s="6"/>
      <c r="AJ1462" s="6"/>
      <c r="AK1462" s="6"/>
      <c r="AL1462" s="6"/>
    </row>
    <row r="1463" spans="1:38">
      <c r="A1463" s="96">
        <f ca="1">IFERROR(__xludf.DUMMYFUNCTION("""COMPUTED_VALUE"""),44936)</f>
        <v>44936</v>
      </c>
      <c r="B1463" s="6" t="str">
        <f ca="1">IFERROR(__xludf.DUMMYFUNCTION("""COMPUTED_VALUE"""),"Shriram Shrivastava")</f>
        <v>Shriram Shrivastava</v>
      </c>
      <c r="C1463" s="6" t="str">
        <f ca="1">IFERROR(__xludf.DUMMYFUNCTION("""COMPUTED_VALUE"""),"shriram.datar@tcs.com")</f>
        <v>shriram.datar@tcs.com</v>
      </c>
      <c r="D1463" s="6">
        <f ca="1">IFERROR(__xludf.DUMMYFUNCTION("""COMPUTED_VALUE"""),9916256006)</f>
        <v>9916256006</v>
      </c>
      <c r="E1463" s="6" t="str">
        <f ca="1">IFERROR(__xludf.DUMMYFUNCTION("""COMPUTED_VALUE"""),"Query box")</f>
        <v>Query box</v>
      </c>
      <c r="F1463" s="6" t="str">
        <f ca="1">IFERROR(__xludf.DUMMYFUNCTION("""COMPUTED_VALUE"""),"SAFe POPM")</f>
        <v>SAFe POPM</v>
      </c>
      <c r="G1463" s="80">
        <f ca="1">IFERROR(__xludf.DUMMYFUNCTION("""COMPUTED_VALUE"""),44927)</f>
        <v>44927</v>
      </c>
      <c r="H1463" s="6" t="str">
        <f ca="1">IFERROR(__xludf.DUMMYFUNCTION("""COMPUTED_VALUE"""),"Opportunity")</f>
        <v>Opportunity</v>
      </c>
      <c r="I1463" s="6" t="str">
        <f ca="1">IFERROR(__xludf.DUMMYFUNCTION("""COMPUTED_VALUE"""),"21-22 Jan 2023")</f>
        <v>21-22 Jan 2023</v>
      </c>
      <c r="J1463" s="6">
        <f ca="1">IFERROR(__xludf.DUMMYFUNCTION("""COMPUTED_VALUE"""),1)</f>
        <v>1</v>
      </c>
      <c r="K1463" s="8">
        <f ca="1">IFERROR(__xludf.DUMMYFUNCTION("""COMPUTED_VALUE"""),40061)</f>
        <v>40061</v>
      </c>
      <c r="L1463" s="8">
        <f ca="1">IFERROR(__xludf.DUMMYFUNCTION("""COMPUTED_VALUE"""),458.783783783783)</f>
        <v>458.78378378378301</v>
      </c>
      <c r="M1463" s="96">
        <f ca="1">IFERROR(__xludf.DUMMYFUNCTION("""COMPUTED_VALUE"""),44936)</f>
        <v>44936</v>
      </c>
      <c r="N1463" s="6"/>
      <c r="O1463" s="97"/>
      <c r="P1463" s="6"/>
      <c r="Q1463" s="6"/>
      <c r="R1463" s="6"/>
      <c r="S1463" s="6" t="str">
        <f ca="1">IFERROR(__xludf.DUMMYFUNCTION("""COMPUTED_VALUE"""),"SAFe")</f>
        <v>SAFe</v>
      </c>
      <c r="T1463" s="6"/>
      <c r="U1463" s="6"/>
      <c r="V1463" s="6"/>
      <c r="W1463" s="6"/>
      <c r="X1463" s="6"/>
      <c r="Y1463" s="6"/>
      <c r="Z1463" s="6"/>
      <c r="AA1463" s="6"/>
      <c r="AB1463" s="6"/>
      <c r="AC1463" s="6"/>
      <c r="AD1463" s="6"/>
      <c r="AE1463" s="6"/>
      <c r="AF1463" s="6"/>
      <c r="AG1463" s="6"/>
      <c r="AH1463" s="6"/>
      <c r="AI1463" s="6"/>
      <c r="AJ1463" s="6"/>
      <c r="AK1463" s="6"/>
      <c r="AL1463" s="6"/>
    </row>
    <row r="1464" spans="1:38">
      <c r="A1464" s="96">
        <f ca="1">IFERROR(__xludf.DUMMYFUNCTION("""COMPUTED_VALUE"""),44936)</f>
        <v>44936</v>
      </c>
      <c r="B1464" s="6" t="str">
        <f ca="1">IFERROR(__xludf.DUMMYFUNCTION("""COMPUTED_VALUE"""),"Linsha Saulfeer")</f>
        <v>Linsha Saulfeer</v>
      </c>
      <c r="C1464" s="6" t="str">
        <f ca="1">IFERROR(__xludf.DUMMYFUNCTION("""COMPUTED_VALUE"""),"linshasulfeer@gmail.com")</f>
        <v>linshasulfeer@gmail.com</v>
      </c>
      <c r="D1464" s="6">
        <f ca="1">IFERROR(__xludf.DUMMYFUNCTION("""COMPUTED_VALUE"""),9605968969)</f>
        <v>9605968969</v>
      </c>
      <c r="E1464" s="6" t="str">
        <f ca="1">IFERROR(__xludf.DUMMYFUNCTION("""COMPUTED_VALUE"""),"Chat_triggered")</f>
        <v>Chat_triggered</v>
      </c>
      <c r="F1464" s="6" t="str">
        <f ca="1">IFERROR(__xludf.DUMMYFUNCTION("""COMPUTED_VALUE"""),"CSM")</f>
        <v>CSM</v>
      </c>
      <c r="G1464" s="80">
        <f ca="1">IFERROR(__xludf.DUMMYFUNCTION("""COMPUTED_VALUE"""),44927)</f>
        <v>44927</v>
      </c>
      <c r="H1464" s="6" t="str">
        <f ca="1">IFERROR(__xludf.DUMMYFUNCTION("""COMPUTED_VALUE"""),"Won")</f>
        <v>Won</v>
      </c>
      <c r="I1464" s="6" t="str">
        <f ca="1">IFERROR(__xludf.DUMMYFUNCTION("""COMPUTED_VALUE"""),"17-18 Jan 2023")</f>
        <v>17-18 Jan 2023</v>
      </c>
      <c r="J1464" s="6">
        <f ca="1">IFERROR(__xludf.DUMMYFUNCTION("""COMPUTED_VALUE"""),1)</f>
        <v>1</v>
      </c>
      <c r="K1464" s="8">
        <f ca="1">IFERROR(__xludf.DUMMYFUNCTION("""COMPUTED_VALUE"""),20000)</f>
        <v>20000</v>
      </c>
      <c r="L1464" s="8">
        <f ca="1">IFERROR(__xludf.DUMMYFUNCTION("""COMPUTED_VALUE"""),229.042601923957)</f>
        <v>229.04260192395699</v>
      </c>
      <c r="M1464" s="96">
        <f ca="1">IFERROR(__xludf.DUMMYFUNCTION("""COMPUTED_VALUE"""),44936)</f>
        <v>44936</v>
      </c>
      <c r="N1464" s="6" t="str">
        <f ca="1">IFERROR(__xludf.DUMMYFUNCTION("""COMPUTED_VALUE"""),"F10")</f>
        <v>F10</v>
      </c>
      <c r="O1464" s="97">
        <f ca="1">IFERROR(__xludf.DUMMYFUNCTION("""COMPUTED_VALUE"""),44936)</f>
        <v>44936</v>
      </c>
      <c r="P1464" s="6" t="str">
        <f ca="1">IFERROR(__xludf.DUMMYFUNCTION("""COMPUTED_VALUE"""),"CSTM_3KIQTGXLEFW")</f>
        <v>CSTM_3KIQTGXLEFW</v>
      </c>
      <c r="Q1464" s="6"/>
      <c r="R1464" s="6" t="str">
        <f ca="1">IFERROR(__xludf.DUMMYFUNCTION("""COMPUTED_VALUE"""),"Pending")</f>
        <v>Pending</v>
      </c>
      <c r="S1464" s="6" t="str">
        <f ca="1">IFERROR(__xludf.DUMMYFUNCTION("""COMPUTED_VALUE"""),"Category")</f>
        <v>Category</v>
      </c>
      <c r="T1464" s="6"/>
      <c r="U1464" s="6"/>
      <c r="V1464" s="6"/>
      <c r="W1464" s="6"/>
      <c r="X1464" s="6"/>
      <c r="Y1464" s="6"/>
      <c r="Z1464" s="6"/>
      <c r="AA1464" s="6"/>
      <c r="AB1464" s="6"/>
      <c r="AC1464" s="6"/>
      <c r="AD1464" s="6"/>
      <c r="AE1464" s="6"/>
      <c r="AF1464" s="6"/>
      <c r="AG1464" s="6"/>
      <c r="AH1464" s="6"/>
      <c r="AI1464" s="6"/>
      <c r="AJ1464" s="6"/>
      <c r="AK1464" s="6"/>
      <c r="AL1464" s="6"/>
    </row>
    <row r="1465" spans="1:38">
      <c r="A1465" s="96">
        <f ca="1">IFERROR(__xludf.DUMMYFUNCTION("""COMPUTED_VALUE"""),44936)</f>
        <v>44936</v>
      </c>
      <c r="B1465" s="6" t="str">
        <f ca="1">IFERROR(__xludf.DUMMYFUNCTION("""COMPUTED_VALUE"""),"Aayush Mathur")</f>
        <v>Aayush Mathur</v>
      </c>
      <c r="C1465" s="6" t="str">
        <f ca="1">IFERROR(__xludf.DUMMYFUNCTION("""COMPUTED_VALUE"""),"aayush.mathur4@gmail.com")</f>
        <v>aayush.mathur4@gmail.com</v>
      </c>
      <c r="D1465" s="6">
        <f ca="1">IFERROR(__xludf.DUMMYFUNCTION("""COMPUTED_VALUE"""),9784626631)</f>
        <v>9784626631</v>
      </c>
      <c r="E1465" s="6" t="str">
        <f ca="1">IFERROR(__xludf.DUMMYFUNCTION("""COMPUTED_VALUE"""),"Existing Account")</f>
        <v>Existing Account</v>
      </c>
      <c r="F1465" s="6" t="str">
        <f ca="1">IFERROR(__xludf.DUMMYFUNCTION("""COMPUTED_VALUE"""),"ICP ACC")</f>
        <v>ICP ACC</v>
      </c>
      <c r="G1465" s="80">
        <f ca="1">IFERROR(__xludf.DUMMYFUNCTION("""COMPUTED_VALUE"""),44927)</f>
        <v>44927</v>
      </c>
      <c r="H1465" s="6" t="str">
        <f ca="1">IFERROR(__xludf.DUMMYFUNCTION("""COMPUTED_VALUE"""),"Won")</f>
        <v>Won</v>
      </c>
      <c r="I1465" s="6" t="str">
        <f ca="1">IFERROR(__xludf.DUMMYFUNCTION("""COMPUTED_VALUE"""),"10-12 Jan 2023")</f>
        <v>10-12 Jan 2023</v>
      </c>
      <c r="J1465" s="6">
        <f ca="1">IFERROR(__xludf.DUMMYFUNCTION("""COMPUTED_VALUE"""),1)</f>
        <v>1</v>
      </c>
      <c r="K1465" s="8">
        <f ca="1">IFERROR(__xludf.DUMMYFUNCTION("""COMPUTED_VALUE"""),31000)</f>
        <v>31000</v>
      </c>
      <c r="L1465" s="8">
        <f ca="1">IFERROR(__xludf.DUMMYFUNCTION("""COMPUTED_VALUE"""),355.016032982134)</f>
        <v>355.01603298213399</v>
      </c>
      <c r="M1465" s="96">
        <f ca="1">IFERROR(__xludf.DUMMYFUNCTION("""COMPUTED_VALUE"""),44936)</f>
        <v>44936</v>
      </c>
      <c r="N1465" s="6" t="str">
        <f ca="1">IFERROR(__xludf.DUMMYFUNCTION("""COMPUTED_VALUE"""),"F10")</f>
        <v>F10</v>
      </c>
      <c r="O1465" s="97">
        <f ca="1">IFERROR(__xludf.DUMMYFUNCTION("""COMPUTED_VALUE"""),44936)</f>
        <v>44936</v>
      </c>
      <c r="P1465" s="6" t="str">
        <f ca="1">IFERROR(__xludf.DUMMYFUNCTION("""COMPUTED_VALUE"""),"CSTM_DMXTR9HOGBT")</f>
        <v>CSTM_DMXTR9HOGBT</v>
      </c>
      <c r="Q1465" s="6"/>
      <c r="R1465" s="6" t="str">
        <f ca="1">IFERROR(__xludf.DUMMYFUNCTION("""COMPUTED_VALUE"""),"Pending")</f>
        <v>Pending</v>
      </c>
      <c r="S1465" s="6" t="str">
        <f ca="1">IFERROR(__xludf.DUMMYFUNCTION("""COMPUTED_VALUE"""),"NonCategory")</f>
        <v>NonCategory</v>
      </c>
      <c r="T1465" s="6"/>
      <c r="U1465" s="6"/>
      <c r="V1465" s="6"/>
      <c r="W1465" s="6"/>
      <c r="X1465" s="6"/>
      <c r="Y1465" s="6"/>
      <c r="Z1465" s="6"/>
      <c r="AA1465" s="6"/>
      <c r="AB1465" s="6"/>
      <c r="AC1465" s="6"/>
      <c r="AD1465" s="6"/>
      <c r="AE1465" s="6"/>
      <c r="AF1465" s="6"/>
      <c r="AG1465" s="6"/>
      <c r="AH1465" s="6"/>
      <c r="AI1465" s="6"/>
      <c r="AJ1465" s="6"/>
      <c r="AK1465" s="6"/>
      <c r="AL1465" s="6"/>
    </row>
    <row r="1466" spans="1:38">
      <c r="A1466" s="96">
        <f ca="1">IFERROR(__xludf.DUMMYFUNCTION("""COMPUTED_VALUE"""),44936)</f>
        <v>44936</v>
      </c>
      <c r="B1466" s="6" t="str">
        <f ca="1">IFERROR(__xludf.DUMMYFUNCTION("""COMPUTED_VALUE"""),"Mamata Kulk")</f>
        <v>Mamata Kulk</v>
      </c>
      <c r="C1466" s="6" t="str">
        <f ca="1">IFERROR(__xludf.DUMMYFUNCTION("""COMPUTED_VALUE"""),"mam.kulk@gmail.com")</f>
        <v>mam.kulk@gmail.com</v>
      </c>
      <c r="D1466" s="6">
        <f ca="1">IFERROR(__xludf.DUMMYFUNCTION("""COMPUTED_VALUE"""),9972049008)</f>
        <v>9972049008</v>
      </c>
      <c r="E1466" s="6" t="str">
        <f ca="1">IFERROR(__xludf.DUMMYFUNCTION("""COMPUTED_VALUE"""),"Reference")</f>
        <v>Reference</v>
      </c>
      <c r="F1466" s="6" t="str">
        <f ca="1">IFERROR(__xludf.DUMMYFUNCTION("""COMPUTED_VALUE"""),"PSM 2")</f>
        <v>PSM 2</v>
      </c>
      <c r="G1466" s="80">
        <f ca="1">IFERROR(__xludf.DUMMYFUNCTION("""COMPUTED_VALUE"""),44927)</f>
        <v>44927</v>
      </c>
      <c r="H1466" s="6" t="str">
        <f ca="1">IFERROR(__xludf.DUMMYFUNCTION("""COMPUTED_VALUE"""),"Won")</f>
        <v>Won</v>
      </c>
      <c r="I1466" s="6" t="str">
        <f ca="1">IFERROR(__xludf.DUMMYFUNCTION("""COMPUTED_VALUE"""),"14-15 Jan 2023")</f>
        <v>14-15 Jan 2023</v>
      </c>
      <c r="J1466" s="6">
        <f ca="1">IFERROR(__xludf.DUMMYFUNCTION("""COMPUTED_VALUE"""),1)</f>
        <v>1</v>
      </c>
      <c r="K1466" s="8">
        <f ca="1">IFERROR(__xludf.DUMMYFUNCTION("""COMPUTED_VALUE"""),24000)</f>
        <v>24000</v>
      </c>
      <c r="L1466" s="8">
        <f ca="1">IFERROR(__xludf.DUMMYFUNCTION("""COMPUTED_VALUE"""),274.851122308749)</f>
        <v>274.85112230874898</v>
      </c>
      <c r="M1466" s="96">
        <f ca="1">IFERROR(__xludf.DUMMYFUNCTION("""COMPUTED_VALUE"""),44936)</f>
        <v>44936</v>
      </c>
      <c r="N1466" s="6" t="str">
        <f ca="1">IFERROR(__xludf.DUMMYFUNCTION("""COMPUTED_VALUE"""),"F10")</f>
        <v>F10</v>
      </c>
      <c r="O1466" s="97">
        <f ca="1">IFERROR(__xludf.DUMMYFUNCTION("""COMPUTED_VALUE"""),44936)</f>
        <v>44936</v>
      </c>
      <c r="P1466" s="6" t="str">
        <f ca="1">IFERROR(__xludf.DUMMYFUNCTION("""COMPUTED_VALUE"""),"CSTM_U36TGD8QDR")</f>
        <v>CSTM_U36TGD8QDR</v>
      </c>
      <c r="Q1466" s="6"/>
      <c r="R1466" s="6" t="str">
        <f ca="1">IFERROR(__xludf.DUMMYFUNCTION("""COMPUTED_VALUE"""),"Pending")</f>
        <v>Pending</v>
      </c>
      <c r="S1466" s="6" t="str">
        <f ca="1">IFERROR(__xludf.DUMMYFUNCTION("""COMPUTED_VALUE"""),"Category")</f>
        <v>Category</v>
      </c>
      <c r="T1466" s="6"/>
      <c r="U1466" s="6"/>
      <c r="V1466" s="6"/>
      <c r="W1466" s="6"/>
      <c r="X1466" s="6"/>
      <c r="Y1466" s="6"/>
      <c r="Z1466" s="6"/>
      <c r="AA1466" s="6"/>
      <c r="AB1466" s="6"/>
      <c r="AC1466" s="6"/>
      <c r="AD1466" s="6"/>
      <c r="AE1466" s="6"/>
      <c r="AF1466" s="6"/>
      <c r="AG1466" s="6"/>
      <c r="AH1466" s="6"/>
      <c r="AI1466" s="6"/>
      <c r="AJ1466" s="6"/>
      <c r="AK1466" s="6"/>
      <c r="AL1466" s="6"/>
    </row>
    <row r="1467" spans="1:38">
      <c r="A1467" s="96">
        <f ca="1">IFERROR(__xludf.DUMMYFUNCTION("""COMPUTED_VALUE"""),44936)</f>
        <v>44936</v>
      </c>
      <c r="B1467" s="6" t="str">
        <f ca="1">IFERROR(__xludf.DUMMYFUNCTION("""COMPUTED_VALUE"""),"Neeraj Bhatt")</f>
        <v>Neeraj Bhatt</v>
      </c>
      <c r="C1467" s="6" t="str">
        <f ca="1">IFERROR(__xludf.DUMMYFUNCTION("""COMPUTED_VALUE"""),"neeraj78bhatt190@gmail.com")</f>
        <v>neeraj78bhatt190@gmail.com</v>
      </c>
      <c r="D1467" s="6">
        <f ca="1">IFERROR(__xludf.DUMMYFUNCTION("""COMPUTED_VALUE"""),9819100529)</f>
        <v>9819100529</v>
      </c>
      <c r="E1467" s="6" t="str">
        <f ca="1">IFERROR(__xludf.DUMMYFUNCTION("""COMPUTED_VALUE"""),"Reference")</f>
        <v>Reference</v>
      </c>
      <c r="F1467" s="6" t="str">
        <f ca="1">IFERROR(__xludf.DUMMYFUNCTION("""COMPUTED_VALUE"""),"PSPO")</f>
        <v>PSPO</v>
      </c>
      <c r="G1467" s="80">
        <f ca="1">IFERROR(__xludf.DUMMYFUNCTION("""COMPUTED_VALUE"""),44927)</f>
        <v>44927</v>
      </c>
      <c r="H1467" s="6" t="str">
        <f ca="1">IFERROR(__xludf.DUMMYFUNCTION("""COMPUTED_VALUE"""),"Won")</f>
        <v>Won</v>
      </c>
      <c r="I1467" s="6" t="str">
        <f ca="1">IFERROR(__xludf.DUMMYFUNCTION("""COMPUTED_VALUE"""),"14-15 Jan 2023")</f>
        <v>14-15 Jan 2023</v>
      </c>
      <c r="J1467" s="6">
        <f ca="1">IFERROR(__xludf.DUMMYFUNCTION("""COMPUTED_VALUE"""),1)</f>
        <v>1</v>
      </c>
      <c r="K1467" s="8">
        <f ca="1">IFERROR(__xludf.DUMMYFUNCTION("""COMPUTED_VALUE"""),21000)</f>
        <v>21000</v>
      </c>
      <c r="L1467" s="8">
        <f ca="1">IFERROR(__xludf.DUMMYFUNCTION("""COMPUTED_VALUE"""),240.494732020155)</f>
        <v>240.494732020155</v>
      </c>
      <c r="M1467" s="96">
        <f ca="1">IFERROR(__xludf.DUMMYFUNCTION("""COMPUTED_VALUE"""),44936)</f>
        <v>44936</v>
      </c>
      <c r="N1467" s="6" t="str">
        <f ca="1">IFERROR(__xludf.DUMMYFUNCTION("""COMPUTED_VALUE"""),"F10")</f>
        <v>F10</v>
      </c>
      <c r="O1467" s="97">
        <f ca="1">IFERROR(__xludf.DUMMYFUNCTION("""COMPUTED_VALUE"""),44936)</f>
        <v>44936</v>
      </c>
      <c r="P1467" s="6" t="str">
        <f ca="1">IFERROR(__xludf.DUMMYFUNCTION("""COMPUTED_VALUE"""),"CSTM_FM3N5XFB5O")</f>
        <v>CSTM_FM3N5XFB5O</v>
      </c>
      <c r="Q1467" s="6" t="str">
        <f ca="1">IFERROR(__xludf.DUMMYFUNCTION("""COMPUTED_VALUE"""),"Reference by samir_nov122002@yahoo.co.in")</f>
        <v>Reference by samir_nov122002@yahoo.co.in</v>
      </c>
      <c r="R1467" s="6" t="str">
        <f ca="1">IFERROR(__xludf.DUMMYFUNCTION("""COMPUTED_VALUE"""),"Pending")</f>
        <v>Pending</v>
      </c>
      <c r="S1467" s="6" t="str">
        <f ca="1">IFERROR(__xludf.DUMMYFUNCTION("""COMPUTED_VALUE"""),"Category")</f>
        <v>Category</v>
      </c>
      <c r="T1467" s="6"/>
      <c r="U1467" s="6"/>
      <c r="V1467" s="6"/>
      <c r="W1467" s="6"/>
      <c r="X1467" s="6"/>
      <c r="Y1467" s="6"/>
      <c r="Z1467" s="6"/>
      <c r="AA1467" s="6"/>
      <c r="AB1467" s="6"/>
      <c r="AC1467" s="6"/>
      <c r="AD1467" s="6"/>
      <c r="AE1467" s="6"/>
      <c r="AF1467" s="6"/>
      <c r="AG1467" s="6"/>
      <c r="AH1467" s="6"/>
      <c r="AI1467" s="6"/>
      <c r="AJ1467" s="6"/>
      <c r="AK1467" s="6"/>
      <c r="AL1467" s="6"/>
    </row>
    <row r="1468" spans="1:38">
      <c r="A1468" s="96">
        <f ca="1">IFERROR(__xludf.DUMMYFUNCTION("""COMPUTED_VALUE"""),44937)</f>
        <v>44937</v>
      </c>
      <c r="B1468" s="6" t="str">
        <f ca="1">IFERROR(__xludf.DUMMYFUNCTION("""COMPUTED_VALUE"""),"Komala Nijaguna")</f>
        <v>Komala Nijaguna</v>
      </c>
      <c r="C1468" s="6" t="str">
        <f ca="1">IFERROR(__xludf.DUMMYFUNCTION("""COMPUTED_VALUE"""),"komasterix@gmail.com")</f>
        <v>komasterix@gmail.com</v>
      </c>
      <c r="D1468" s="6">
        <f ca="1">IFERROR(__xludf.DUMMYFUNCTION("""COMPUTED_VALUE"""),9880597372)</f>
        <v>9880597372</v>
      </c>
      <c r="E1468" s="6" t="str">
        <f ca="1">IFERROR(__xludf.DUMMYFUNCTION("""COMPUTED_VALUE"""),"chat_initiated")</f>
        <v>chat_initiated</v>
      </c>
      <c r="F1468" s="6" t="str">
        <f ca="1">IFERROR(__xludf.DUMMYFUNCTION("""COMPUTED_VALUE"""),"ITIL v4")</f>
        <v>ITIL v4</v>
      </c>
      <c r="G1468" s="80">
        <f ca="1">IFERROR(__xludf.DUMMYFUNCTION("""COMPUTED_VALUE"""),44927)</f>
        <v>44927</v>
      </c>
      <c r="H1468" s="6" t="str">
        <f ca="1">IFERROR(__xludf.DUMMYFUNCTION("""COMPUTED_VALUE"""),"Opportunity")</f>
        <v>Opportunity</v>
      </c>
      <c r="I1468" s="6" t="str">
        <f ca="1">IFERROR(__xludf.DUMMYFUNCTION("""COMPUTED_VALUE"""),"OSL")</f>
        <v>OSL</v>
      </c>
      <c r="J1468" s="6">
        <f ca="1">IFERROR(__xludf.DUMMYFUNCTION("""COMPUTED_VALUE"""),1)</f>
        <v>1</v>
      </c>
      <c r="K1468" s="8">
        <f ca="1">IFERROR(__xludf.DUMMYFUNCTION("""COMPUTED_VALUE"""),19500)</f>
        <v>19500</v>
      </c>
      <c r="L1468" s="8">
        <f ca="1">IFERROR(__xludf.DUMMYFUNCTION("""COMPUTED_VALUE"""),223.316536875858)</f>
        <v>223.31653687585799</v>
      </c>
      <c r="M1468" s="96">
        <f ca="1">IFERROR(__xludf.DUMMYFUNCTION("""COMPUTED_VALUE"""),44937)</f>
        <v>44937</v>
      </c>
      <c r="N1468" s="6"/>
      <c r="O1468" s="97"/>
      <c r="P1468" s="6"/>
      <c r="Q1468" s="6"/>
      <c r="R1468" s="6"/>
      <c r="S1468" s="6" t="str">
        <f ca="1">IFERROR(__xludf.DUMMYFUNCTION("""COMPUTED_VALUE"""),"NonCategory")</f>
        <v>NonCategory</v>
      </c>
      <c r="T1468" s="6"/>
      <c r="U1468" s="6"/>
      <c r="V1468" s="6"/>
      <c r="W1468" s="6"/>
      <c r="X1468" s="6"/>
      <c r="Y1468" s="6"/>
      <c r="Z1468" s="6"/>
      <c r="AA1468" s="6"/>
      <c r="AB1468" s="6"/>
      <c r="AC1468" s="6"/>
      <c r="AD1468" s="6"/>
      <c r="AE1468" s="6"/>
      <c r="AF1468" s="6"/>
      <c r="AG1468" s="6"/>
      <c r="AH1468" s="6"/>
      <c r="AI1468" s="6"/>
      <c r="AJ1468" s="6"/>
      <c r="AK1468" s="6"/>
      <c r="AL1468" s="6"/>
    </row>
    <row r="1469" spans="1:38">
      <c r="A1469" s="96">
        <f ca="1">IFERROR(__xludf.DUMMYFUNCTION("""COMPUTED_VALUE"""),44937)</f>
        <v>44937</v>
      </c>
      <c r="B1469" s="6" t="str">
        <f ca="1">IFERROR(__xludf.DUMMYFUNCTION("""COMPUTED_VALUE"""),"Aman Jainer")</f>
        <v>Aman Jainer</v>
      </c>
      <c r="C1469" s="6" t="str">
        <f ca="1">IFERROR(__xludf.DUMMYFUNCTION("""COMPUTED_VALUE"""),"amanjainer@gmail.com")</f>
        <v>amanjainer@gmail.com</v>
      </c>
      <c r="D1469" s="6">
        <f ca="1">IFERROR(__xludf.DUMMYFUNCTION("""COMPUTED_VALUE"""),9511854195)</f>
        <v>9511854195</v>
      </c>
      <c r="E1469" s="6" t="str">
        <f ca="1">IFERROR(__xludf.DUMMYFUNCTION("""COMPUTED_VALUE"""),"course agenda")</f>
        <v>course agenda</v>
      </c>
      <c r="F1469" s="6" t="str">
        <f ca="1">IFERROR(__xludf.DUMMYFUNCTION("""COMPUTED_VALUE"""),"PSPO")</f>
        <v>PSPO</v>
      </c>
      <c r="G1469" s="80">
        <f ca="1">IFERROR(__xludf.DUMMYFUNCTION("""COMPUTED_VALUE"""),44927)</f>
        <v>44927</v>
      </c>
      <c r="H1469" s="6" t="str">
        <f ca="1">IFERROR(__xludf.DUMMYFUNCTION("""COMPUTED_VALUE"""),"Opportunity")</f>
        <v>Opportunity</v>
      </c>
      <c r="I1469" s="6" t="str">
        <f ca="1">IFERROR(__xludf.DUMMYFUNCTION("""COMPUTED_VALUE"""),"14-15 Jan 2023")</f>
        <v>14-15 Jan 2023</v>
      </c>
      <c r="J1469" s="6">
        <f ca="1">IFERROR(__xludf.DUMMYFUNCTION("""COMPUTED_VALUE"""),1)</f>
        <v>1</v>
      </c>
      <c r="K1469" s="8">
        <f ca="1">IFERROR(__xludf.DUMMYFUNCTION("""COMPUTED_VALUE"""),21000)</f>
        <v>21000</v>
      </c>
      <c r="L1469" s="8">
        <f ca="1">IFERROR(__xludf.DUMMYFUNCTION("""COMPUTED_VALUE"""),240.494732020155)</f>
        <v>240.494732020155</v>
      </c>
      <c r="M1469" s="96">
        <f ca="1">IFERROR(__xludf.DUMMYFUNCTION("""COMPUTED_VALUE"""),44937)</f>
        <v>44937</v>
      </c>
      <c r="N1469" s="6"/>
      <c r="O1469" s="97"/>
      <c r="P1469" s="6"/>
      <c r="Q1469" s="6"/>
      <c r="R1469" s="6"/>
      <c r="S1469" s="6" t="str">
        <f ca="1">IFERROR(__xludf.DUMMYFUNCTION("""COMPUTED_VALUE"""),"Category")</f>
        <v>Category</v>
      </c>
      <c r="T1469" s="6"/>
      <c r="U1469" s="6"/>
      <c r="V1469" s="6"/>
      <c r="W1469" s="6"/>
      <c r="X1469" s="6"/>
      <c r="Y1469" s="6"/>
      <c r="Z1469" s="6"/>
      <c r="AA1469" s="6"/>
      <c r="AB1469" s="6"/>
      <c r="AC1469" s="6"/>
      <c r="AD1469" s="6"/>
      <c r="AE1469" s="6"/>
      <c r="AF1469" s="6"/>
      <c r="AG1469" s="6"/>
      <c r="AH1469" s="6"/>
      <c r="AI1469" s="6"/>
      <c r="AJ1469" s="6"/>
      <c r="AK1469" s="6"/>
      <c r="AL1469" s="6"/>
    </row>
    <row r="1470" spans="1:38">
      <c r="A1470" s="96">
        <f ca="1">IFERROR(__xludf.DUMMYFUNCTION("""COMPUTED_VALUE"""),44937)</f>
        <v>44937</v>
      </c>
      <c r="B1470" s="6" t="str">
        <f ca="1">IFERROR(__xludf.DUMMYFUNCTION("""COMPUTED_VALUE"""),"Prasanna Sesh")</f>
        <v>Prasanna Sesh</v>
      </c>
      <c r="C1470" s="6" t="str">
        <f ca="1">IFERROR(__xludf.DUMMYFUNCTION("""COMPUTED_VALUE"""),"prasannasesh.2009@gmail.com")</f>
        <v>prasannasesh.2009@gmail.com</v>
      </c>
      <c r="D1470" s="6">
        <f ca="1">IFERROR(__xludf.DUMMYFUNCTION("""COMPUTED_VALUE"""),9019048805)</f>
        <v>9019048805</v>
      </c>
      <c r="E1470" s="6" t="str">
        <f ca="1">IFERROR(__xludf.DUMMYFUNCTION("""COMPUTED_VALUE"""),"na-payment")</f>
        <v>na-payment</v>
      </c>
      <c r="F1470" s="6" t="str">
        <f ca="1">IFERROR(__xludf.DUMMYFUNCTION("""COMPUTED_VALUE"""),"SAFe POPM")</f>
        <v>SAFe POPM</v>
      </c>
      <c r="G1470" s="80">
        <f ca="1">IFERROR(__xludf.DUMMYFUNCTION("""COMPUTED_VALUE"""),44927)</f>
        <v>44927</v>
      </c>
      <c r="H1470" s="6" t="str">
        <f ca="1">IFERROR(__xludf.DUMMYFUNCTION("""COMPUTED_VALUE"""),"Won")</f>
        <v>Won</v>
      </c>
      <c r="I1470" s="6" t="str">
        <f ca="1">IFERROR(__xludf.DUMMYFUNCTION("""COMPUTED_VALUE"""),"4-5 Feb 2023")</f>
        <v>4-5 Feb 2023</v>
      </c>
      <c r="J1470" s="6">
        <f ca="1">IFERROR(__xludf.DUMMYFUNCTION("""COMPUTED_VALUE"""),1)</f>
        <v>1</v>
      </c>
      <c r="K1470" s="8">
        <f ca="1">IFERROR(__xludf.DUMMYFUNCTION("""COMPUTED_VALUE"""),42000)</f>
        <v>42000</v>
      </c>
      <c r="L1470" s="8">
        <f ca="1">IFERROR(__xludf.DUMMYFUNCTION("""COMPUTED_VALUE"""),480.989464040311)</f>
        <v>480.98946404031102</v>
      </c>
      <c r="M1470" s="96">
        <f ca="1">IFERROR(__xludf.DUMMYFUNCTION("""COMPUTED_VALUE"""),44937)</f>
        <v>44937</v>
      </c>
      <c r="N1470" s="6" t="str">
        <f ca="1">IFERROR(__xludf.DUMMYFUNCTION("""COMPUTED_VALUE"""),"S10")</f>
        <v>S10</v>
      </c>
      <c r="O1470" s="97">
        <f ca="1">IFERROR(__xludf.DUMMYFUNCTION("""COMPUTED_VALUE"""),44937)</f>
        <v>44937</v>
      </c>
      <c r="P1470" s="6" t="str">
        <f ca="1">IFERROR(__xludf.DUMMYFUNCTION("""COMPUTED_VALUE"""),"CSTM_HDJWOG8FPCP")</f>
        <v>CSTM_HDJWOG8FPCP</v>
      </c>
      <c r="Q1470" s="6"/>
      <c r="R1470" s="6" t="str">
        <f ca="1">IFERROR(__xludf.DUMMYFUNCTION("""COMPUTED_VALUE"""),"Pending")</f>
        <v>Pending</v>
      </c>
      <c r="S1470" s="6" t="str">
        <f ca="1">IFERROR(__xludf.DUMMYFUNCTION("""COMPUTED_VALUE"""),"SAFe")</f>
        <v>SAFe</v>
      </c>
      <c r="T1470" s="6"/>
      <c r="U1470" s="6"/>
      <c r="V1470" s="6"/>
      <c r="W1470" s="6"/>
      <c r="X1470" s="6"/>
      <c r="Y1470" s="6"/>
      <c r="Z1470" s="6"/>
      <c r="AA1470" s="6"/>
      <c r="AB1470" s="6"/>
      <c r="AC1470" s="6"/>
      <c r="AD1470" s="6"/>
      <c r="AE1470" s="6"/>
      <c r="AF1470" s="6"/>
      <c r="AG1470" s="6"/>
      <c r="AH1470" s="6"/>
      <c r="AI1470" s="6"/>
      <c r="AJ1470" s="6"/>
      <c r="AK1470" s="6"/>
      <c r="AL1470" s="6"/>
    </row>
    <row r="1471" spans="1:38">
      <c r="A1471" s="96">
        <f ca="1">IFERROR(__xludf.DUMMYFUNCTION("""COMPUTED_VALUE"""),44937)</f>
        <v>44937</v>
      </c>
      <c r="B1471" s="6" t="str">
        <f ca="1">IFERROR(__xludf.DUMMYFUNCTION("""COMPUTED_VALUE"""),"Deepsikha Ghose")</f>
        <v>Deepsikha Ghose</v>
      </c>
      <c r="C1471" s="6" t="str">
        <f ca="1">IFERROR(__xludf.DUMMYFUNCTION("""COMPUTED_VALUE"""),"deepsikhaghose1905@gmail.com")</f>
        <v>deepsikhaghose1905@gmail.com</v>
      </c>
      <c r="D1471" s="6">
        <f ca="1">IFERROR(__xludf.DUMMYFUNCTION("""COMPUTED_VALUE"""),9052622488)</f>
        <v>9052622488</v>
      </c>
      <c r="E1471" s="6" t="str">
        <f ca="1">IFERROR(__xludf.DUMMYFUNCTION("""COMPUTED_VALUE"""),"Chat_triggered")</f>
        <v>Chat_triggered</v>
      </c>
      <c r="F1471" s="6" t="str">
        <f ca="1">IFERROR(__xludf.DUMMYFUNCTION("""COMPUTED_VALUE"""),"PSM")</f>
        <v>PSM</v>
      </c>
      <c r="G1471" s="80">
        <f ca="1">IFERROR(__xludf.DUMMYFUNCTION("""COMPUTED_VALUE"""),44927)</f>
        <v>44927</v>
      </c>
      <c r="H1471" s="6" t="str">
        <f ca="1">IFERROR(__xludf.DUMMYFUNCTION("""COMPUTED_VALUE"""),"Won")</f>
        <v>Won</v>
      </c>
      <c r="I1471" s="6" t="str">
        <f ca="1">IFERROR(__xludf.DUMMYFUNCTION("""COMPUTED_VALUE"""),"14-15 Jan 2023")</f>
        <v>14-15 Jan 2023</v>
      </c>
      <c r="J1471" s="6">
        <f ca="1">IFERROR(__xludf.DUMMYFUNCTION("""COMPUTED_VALUE"""),1)</f>
        <v>1</v>
      </c>
      <c r="K1471" s="8">
        <f ca="1">IFERROR(__xludf.DUMMYFUNCTION("""COMPUTED_VALUE"""),21000)</f>
        <v>21000</v>
      </c>
      <c r="L1471" s="8">
        <f ca="1">IFERROR(__xludf.DUMMYFUNCTION("""COMPUTED_VALUE"""),240.494732020155)</f>
        <v>240.494732020155</v>
      </c>
      <c r="M1471" s="96">
        <f ca="1">IFERROR(__xludf.DUMMYFUNCTION("""COMPUTED_VALUE"""),44937)</f>
        <v>44937</v>
      </c>
      <c r="N1471" s="6" t="str">
        <f ca="1">IFERROR(__xludf.DUMMYFUNCTION("""COMPUTED_VALUE"""),"S10")</f>
        <v>S10</v>
      </c>
      <c r="O1471" s="97">
        <f ca="1">IFERROR(__xludf.DUMMYFUNCTION("""COMPUTED_VALUE"""),44937)</f>
        <v>44937</v>
      </c>
      <c r="P1471" s="6" t="str">
        <f ca="1">IFERROR(__xludf.DUMMYFUNCTION("""COMPUTED_VALUE"""),"CSTM_7PZ5YN4PEG5")</f>
        <v>CSTM_7PZ5YN4PEG5</v>
      </c>
      <c r="Q1471" s="6"/>
      <c r="R1471" s="6" t="str">
        <f ca="1">IFERROR(__xludf.DUMMYFUNCTION("""COMPUTED_VALUE"""),"Pending")</f>
        <v>Pending</v>
      </c>
      <c r="S1471" s="6" t="str">
        <f ca="1">IFERROR(__xludf.DUMMYFUNCTION("""COMPUTED_VALUE"""),"Category")</f>
        <v>Category</v>
      </c>
      <c r="T1471" s="6"/>
      <c r="U1471" s="6"/>
      <c r="V1471" s="6"/>
      <c r="W1471" s="6"/>
      <c r="X1471" s="6"/>
      <c r="Y1471" s="6"/>
      <c r="Z1471" s="6"/>
      <c r="AA1471" s="6"/>
      <c r="AB1471" s="6"/>
      <c r="AC1471" s="6"/>
      <c r="AD1471" s="6"/>
      <c r="AE1471" s="6"/>
      <c r="AF1471" s="6"/>
      <c r="AG1471" s="6"/>
      <c r="AH1471" s="6"/>
      <c r="AI1471" s="6"/>
      <c r="AJ1471" s="6"/>
      <c r="AK1471" s="6"/>
      <c r="AL1471" s="6"/>
    </row>
    <row r="1472" spans="1:38">
      <c r="A1472" s="96">
        <f ca="1">IFERROR(__xludf.DUMMYFUNCTION("""COMPUTED_VALUE"""),44937)</f>
        <v>44937</v>
      </c>
      <c r="B1472" s="6" t="str">
        <f ca="1">IFERROR(__xludf.DUMMYFUNCTION("""COMPUTED_VALUE"""),"Rajarshi Datta")</f>
        <v>Rajarshi Datta</v>
      </c>
      <c r="C1472" s="6" t="str">
        <f ca="1">IFERROR(__xludf.DUMMYFUNCTION("""COMPUTED_VALUE"""),"rajarshi.datta@bt.com")</f>
        <v>rajarshi.datta@bt.com</v>
      </c>
      <c r="D1472" s="6">
        <f ca="1">IFERROR(__xludf.DUMMYFUNCTION("""COMPUTED_VALUE"""),9674322822)</f>
        <v>9674322822</v>
      </c>
      <c r="E1472" s="6" t="str">
        <f ca="1">IFERROR(__xludf.DUMMYFUNCTION("""COMPUTED_VALUE"""),"Reference")</f>
        <v>Reference</v>
      </c>
      <c r="F1472" s="6" t="str">
        <f ca="1">IFERROR(__xludf.DUMMYFUNCTION("""COMPUTED_VALUE"""),"PSM 2")</f>
        <v>PSM 2</v>
      </c>
      <c r="G1472" s="80">
        <f ca="1">IFERROR(__xludf.DUMMYFUNCTION("""COMPUTED_VALUE"""),44927)</f>
        <v>44927</v>
      </c>
      <c r="H1472" s="6" t="str">
        <f ca="1">IFERROR(__xludf.DUMMYFUNCTION("""COMPUTED_VALUE"""),"Won")</f>
        <v>Won</v>
      </c>
      <c r="I1472" s="6" t="str">
        <f ca="1">IFERROR(__xludf.DUMMYFUNCTION("""COMPUTED_VALUE"""),"11-12 Feb 2023")</f>
        <v>11-12 Feb 2023</v>
      </c>
      <c r="J1472" s="6">
        <f ca="1">IFERROR(__xludf.DUMMYFUNCTION("""COMPUTED_VALUE"""),1)</f>
        <v>1</v>
      </c>
      <c r="K1472" s="8">
        <f ca="1">IFERROR(__xludf.DUMMYFUNCTION("""COMPUTED_VALUE"""),24000)</f>
        <v>24000</v>
      </c>
      <c r="L1472" s="8">
        <f ca="1">IFERROR(__xludf.DUMMYFUNCTION("""COMPUTED_VALUE"""),274.851122308749)</f>
        <v>274.85112230874898</v>
      </c>
      <c r="M1472" s="96">
        <f ca="1">IFERROR(__xludf.DUMMYFUNCTION("""COMPUTED_VALUE"""),44937)</f>
        <v>44937</v>
      </c>
      <c r="N1472" s="6" t="str">
        <f ca="1">IFERROR(__xludf.DUMMYFUNCTION("""COMPUTED_VALUE"""),"S10")</f>
        <v>S10</v>
      </c>
      <c r="O1472" s="97">
        <f ca="1">IFERROR(__xludf.DUMMYFUNCTION("""COMPUTED_VALUE"""),44938)</f>
        <v>44938</v>
      </c>
      <c r="P1472" s="6" t="str">
        <f ca="1">IFERROR(__xludf.DUMMYFUNCTION("""COMPUTED_VALUE"""),"CSTM_FNWBAKZ8TK1")</f>
        <v>CSTM_FNWBAKZ8TK1</v>
      </c>
      <c r="Q1472" s="6" t="str">
        <f ca="1">IFERROR(__xludf.DUMMYFUNCTION("""COMPUTED_VALUE"""),"Reference by swatranjan.lahiri@bt.com")</f>
        <v>Reference by swatranjan.lahiri@bt.com</v>
      </c>
      <c r="R1472" s="6" t="str">
        <f ca="1">IFERROR(__xludf.DUMMYFUNCTION("""COMPUTED_VALUE"""),"Pending")</f>
        <v>Pending</v>
      </c>
      <c r="S1472" s="6" t="str">
        <f ca="1">IFERROR(__xludf.DUMMYFUNCTION("""COMPUTED_VALUE"""),"Category")</f>
        <v>Category</v>
      </c>
      <c r="T1472" s="6"/>
      <c r="U1472" s="6"/>
      <c r="V1472" s="6"/>
      <c r="W1472" s="6"/>
      <c r="X1472" s="6"/>
      <c r="Y1472" s="6"/>
      <c r="Z1472" s="6"/>
      <c r="AA1472" s="6"/>
      <c r="AB1472" s="6"/>
      <c r="AC1472" s="6"/>
      <c r="AD1472" s="6"/>
      <c r="AE1472" s="6"/>
      <c r="AF1472" s="6"/>
      <c r="AG1472" s="6"/>
      <c r="AH1472" s="6"/>
      <c r="AI1472" s="6"/>
      <c r="AJ1472" s="6"/>
      <c r="AK1472" s="6"/>
      <c r="AL1472" s="6"/>
    </row>
    <row r="1473" spans="1:38">
      <c r="A1473" s="96">
        <f ca="1">IFERROR(__xludf.DUMMYFUNCTION("""COMPUTED_VALUE"""),44937)</f>
        <v>44937</v>
      </c>
      <c r="B1473" s="6" t="str">
        <f ca="1">IFERROR(__xludf.DUMMYFUNCTION("""COMPUTED_VALUE"""),"Sripunya Mishra")</f>
        <v>Sripunya Mishra</v>
      </c>
      <c r="C1473" s="6" t="str">
        <f ca="1">IFERROR(__xludf.DUMMYFUNCTION("""COMPUTED_VALUE"""),"sripunya.mishra@gmail.com")</f>
        <v>sripunya.mishra@gmail.com</v>
      </c>
      <c r="D1473" s="6">
        <f ca="1">IFERROR(__xludf.DUMMYFUNCTION("""COMPUTED_VALUE"""),8886197315)</f>
        <v>8886197315</v>
      </c>
      <c r="E1473" s="6" t="str">
        <f ca="1">IFERROR(__xludf.DUMMYFUNCTION("""COMPUTED_VALUE"""),"Reference")</f>
        <v>Reference</v>
      </c>
      <c r="F1473" s="6" t="str">
        <f ca="1">IFERROR(__xludf.DUMMYFUNCTION("""COMPUTED_VALUE"""),"SAFe SSM")</f>
        <v>SAFe SSM</v>
      </c>
      <c r="G1473" s="80">
        <f ca="1">IFERROR(__xludf.DUMMYFUNCTION("""COMPUTED_VALUE"""),44927)</f>
        <v>44927</v>
      </c>
      <c r="H1473" s="6" t="str">
        <f ca="1">IFERROR(__xludf.DUMMYFUNCTION("""COMPUTED_VALUE"""),"Opportunity")</f>
        <v>Opportunity</v>
      </c>
      <c r="I1473" s="6" t="str">
        <f ca="1">IFERROR(__xludf.DUMMYFUNCTION("""COMPUTED_VALUE"""),"14-15 Jan 2023")</f>
        <v>14-15 Jan 2023</v>
      </c>
      <c r="J1473" s="6">
        <f ca="1">IFERROR(__xludf.DUMMYFUNCTION("""COMPUTED_VALUE"""),1)</f>
        <v>1</v>
      </c>
      <c r="K1473" s="8">
        <f ca="1">IFERROR(__xludf.DUMMYFUNCTION("""COMPUTED_VALUE"""),40061)</f>
        <v>40061</v>
      </c>
      <c r="L1473" s="8">
        <f ca="1">IFERROR(__xludf.DUMMYFUNCTION("""COMPUTED_VALUE"""),458.783783783783)</f>
        <v>458.78378378378301</v>
      </c>
      <c r="M1473" s="96">
        <f ca="1">IFERROR(__xludf.DUMMYFUNCTION("""COMPUTED_VALUE"""),44937)</f>
        <v>44937</v>
      </c>
      <c r="N1473" s="6"/>
      <c r="O1473" s="97"/>
      <c r="P1473" s="6"/>
      <c r="Q1473" s="6" t="str">
        <f ca="1">IFERROR(__xludf.DUMMYFUNCTION("""COMPUTED_VALUE"""),"Reference by harshad.saluja@gmail.com")</f>
        <v>Reference by harshad.saluja@gmail.com</v>
      </c>
      <c r="R1473" s="6"/>
      <c r="S1473" s="6" t="str">
        <f ca="1">IFERROR(__xludf.DUMMYFUNCTION("""COMPUTED_VALUE"""),"SAFe")</f>
        <v>SAFe</v>
      </c>
      <c r="T1473" s="6"/>
      <c r="U1473" s="6"/>
      <c r="V1473" s="6"/>
      <c r="W1473" s="6"/>
      <c r="X1473" s="6"/>
      <c r="Y1473" s="6"/>
      <c r="Z1473" s="6"/>
      <c r="AA1473" s="6"/>
      <c r="AB1473" s="6"/>
      <c r="AC1473" s="6"/>
      <c r="AD1473" s="6"/>
      <c r="AE1473" s="6"/>
      <c r="AF1473" s="6"/>
      <c r="AG1473" s="6"/>
      <c r="AH1473" s="6"/>
      <c r="AI1473" s="6"/>
      <c r="AJ1473" s="6"/>
      <c r="AK1473" s="6"/>
      <c r="AL1473" s="6"/>
    </row>
    <row r="1474" spans="1:38">
      <c r="A1474" s="96">
        <f ca="1">IFERROR(__xludf.DUMMYFUNCTION("""COMPUTED_VALUE"""),44938)</f>
        <v>44938</v>
      </c>
      <c r="B1474" s="6" t="str">
        <f ca="1">IFERROR(__xludf.DUMMYFUNCTION("""COMPUTED_VALUE"""),"Nisha Iyer")</f>
        <v>Nisha Iyer</v>
      </c>
      <c r="C1474" s="6" t="str">
        <f ca="1">IFERROR(__xludf.DUMMYFUNCTION("""COMPUTED_VALUE"""),"nishpower@gmail.com")</f>
        <v>nishpower@gmail.com</v>
      </c>
      <c r="D1474" s="6">
        <f ca="1">IFERROR(__xludf.DUMMYFUNCTION("""COMPUTED_VALUE"""),8197216300)</f>
        <v>8197216300</v>
      </c>
      <c r="E1474" s="6" t="str">
        <f ca="1">IFERROR(__xludf.DUMMYFUNCTION("""COMPUTED_VALUE"""),"Reference")</f>
        <v>Reference</v>
      </c>
      <c r="F1474" s="6" t="str">
        <f ca="1">IFERROR(__xludf.DUMMYFUNCTION("""COMPUTED_VALUE"""),"PSM 2")</f>
        <v>PSM 2</v>
      </c>
      <c r="G1474" s="80">
        <f ca="1">IFERROR(__xludf.DUMMYFUNCTION("""COMPUTED_VALUE"""),44927)</f>
        <v>44927</v>
      </c>
      <c r="H1474" s="6" t="str">
        <f ca="1">IFERROR(__xludf.DUMMYFUNCTION("""COMPUTED_VALUE"""),"Won")</f>
        <v>Won</v>
      </c>
      <c r="I1474" s="6" t="str">
        <f ca="1">IFERROR(__xludf.DUMMYFUNCTION("""COMPUTED_VALUE"""),"28-29 Jan 2023")</f>
        <v>28-29 Jan 2023</v>
      </c>
      <c r="J1474" s="6">
        <f ca="1">IFERROR(__xludf.DUMMYFUNCTION("""COMPUTED_VALUE"""),1)</f>
        <v>1</v>
      </c>
      <c r="K1474" s="8">
        <f ca="1">IFERROR(__xludf.DUMMYFUNCTION("""COMPUTED_VALUE"""),24000)</f>
        <v>24000</v>
      </c>
      <c r="L1474" s="8">
        <f ca="1">IFERROR(__xludf.DUMMYFUNCTION("""COMPUTED_VALUE"""),274.851122308749)</f>
        <v>274.85112230874898</v>
      </c>
      <c r="M1474" s="96">
        <f ca="1">IFERROR(__xludf.DUMMYFUNCTION("""COMPUTED_VALUE"""),44938)</f>
        <v>44938</v>
      </c>
      <c r="N1474" s="6" t="str">
        <f ca="1">IFERROR(__xludf.DUMMYFUNCTION("""COMPUTED_VALUE"""),"S10")</f>
        <v>S10</v>
      </c>
      <c r="O1474" s="97">
        <f ca="1">IFERROR(__xludf.DUMMYFUNCTION("""COMPUTED_VALUE"""),44938)</f>
        <v>44938</v>
      </c>
      <c r="P1474" s="6" t="str">
        <f ca="1">IFERROR(__xludf.DUMMYFUNCTION("""COMPUTED_VALUE"""),"CSTM_4TTFO539SZ5")</f>
        <v>CSTM_4TTFO539SZ5</v>
      </c>
      <c r="Q1474" s="6" t="str">
        <f ca="1">IFERROR(__xludf.DUMMYFUNCTION("""COMPUTED_VALUE"""),"Reference by sheela.hegde@gmail.com")</f>
        <v>Reference by sheela.hegde@gmail.com</v>
      </c>
      <c r="R1474" s="6" t="str">
        <f ca="1">IFERROR(__xludf.DUMMYFUNCTION("""COMPUTED_VALUE"""),"Pending")</f>
        <v>Pending</v>
      </c>
      <c r="S1474" s="6" t="str">
        <f ca="1">IFERROR(__xludf.DUMMYFUNCTION("""COMPUTED_VALUE"""),"Category")</f>
        <v>Category</v>
      </c>
      <c r="T1474" s="6"/>
      <c r="U1474" s="6"/>
      <c r="V1474" s="6"/>
      <c r="W1474" s="6"/>
      <c r="X1474" s="6"/>
      <c r="Y1474" s="6"/>
      <c r="Z1474" s="6"/>
      <c r="AA1474" s="6"/>
      <c r="AB1474" s="6"/>
      <c r="AC1474" s="6"/>
      <c r="AD1474" s="6"/>
      <c r="AE1474" s="6"/>
      <c r="AF1474" s="6"/>
      <c r="AG1474" s="6"/>
      <c r="AH1474" s="6"/>
      <c r="AI1474" s="6"/>
      <c r="AJ1474" s="6"/>
      <c r="AK1474" s="6"/>
      <c r="AL1474" s="6"/>
    </row>
    <row r="1475" spans="1:38">
      <c r="A1475" s="96">
        <f ca="1">IFERROR(__xludf.DUMMYFUNCTION("""COMPUTED_VALUE"""),44939)</f>
        <v>44939</v>
      </c>
      <c r="B1475" s="6" t="str">
        <f ca="1">IFERROR(__xludf.DUMMYFUNCTION("""COMPUTED_VALUE"""),"Kush Maheshwari")</f>
        <v>Kush Maheshwari</v>
      </c>
      <c r="C1475" s="6" t="str">
        <f ca="1">IFERROR(__xludf.DUMMYFUNCTION("""COMPUTED_VALUE"""),"kushmaheshwari01@gmail.com")</f>
        <v>kushmaheshwari01@gmail.com</v>
      </c>
      <c r="D1475" s="6">
        <f ca="1">IFERROR(__xludf.DUMMYFUNCTION("""COMPUTED_VALUE"""),9819022105)</f>
        <v>9819022105</v>
      </c>
      <c r="E1475" s="6" t="str">
        <f ca="1">IFERROR(__xludf.DUMMYFUNCTION("""COMPUTED_VALUE"""),"course agenda")</f>
        <v>course agenda</v>
      </c>
      <c r="F1475" s="6" t="str">
        <f ca="1">IFERROR(__xludf.DUMMYFUNCTION("""COMPUTED_VALUE"""),"PSPO")</f>
        <v>PSPO</v>
      </c>
      <c r="G1475" s="80">
        <f ca="1">IFERROR(__xludf.DUMMYFUNCTION("""COMPUTED_VALUE"""),44927)</f>
        <v>44927</v>
      </c>
      <c r="H1475" s="6" t="str">
        <f ca="1">IFERROR(__xludf.DUMMYFUNCTION("""COMPUTED_VALUE"""),"Won")</f>
        <v>Won</v>
      </c>
      <c r="I1475" s="6" t="str">
        <f ca="1">IFERROR(__xludf.DUMMYFUNCTION("""COMPUTED_VALUE"""),"14-15 Jan 2023")</f>
        <v>14-15 Jan 2023</v>
      </c>
      <c r="J1475" s="6">
        <f ca="1">IFERROR(__xludf.DUMMYFUNCTION("""COMPUTED_VALUE"""),1)</f>
        <v>1</v>
      </c>
      <c r="K1475" s="8">
        <f ca="1">IFERROR(__xludf.DUMMYFUNCTION("""COMPUTED_VALUE"""),21000)</f>
        <v>21000</v>
      </c>
      <c r="L1475" s="8">
        <f ca="1">IFERROR(__xludf.DUMMYFUNCTION("""COMPUTED_VALUE"""),240.494732020155)</f>
        <v>240.494732020155</v>
      </c>
      <c r="M1475" s="96">
        <f ca="1">IFERROR(__xludf.DUMMYFUNCTION("""COMPUTED_VALUE"""),44939)</f>
        <v>44939</v>
      </c>
      <c r="N1475" s="6" t="str">
        <f ca="1">IFERROR(__xludf.DUMMYFUNCTION("""COMPUTED_VALUE"""),"S10")</f>
        <v>S10</v>
      </c>
      <c r="O1475" s="97">
        <f ca="1">IFERROR(__xludf.DUMMYFUNCTION("""COMPUTED_VALUE"""),44939)</f>
        <v>44939</v>
      </c>
      <c r="P1475" s="6" t="str">
        <f ca="1">IFERROR(__xludf.DUMMYFUNCTION("""COMPUTED_VALUE"""),"CSTM_DAU3DQM2I4I")</f>
        <v>CSTM_DAU3DQM2I4I</v>
      </c>
      <c r="Q1475" s="6"/>
      <c r="R1475" s="6" t="str">
        <f ca="1">IFERROR(__xludf.DUMMYFUNCTION("""COMPUTED_VALUE"""),"Pending")</f>
        <v>Pending</v>
      </c>
      <c r="S1475" s="6" t="str">
        <f ca="1">IFERROR(__xludf.DUMMYFUNCTION("""COMPUTED_VALUE"""),"Category")</f>
        <v>Category</v>
      </c>
      <c r="T1475" s="6"/>
      <c r="U1475" s="6"/>
      <c r="V1475" s="6"/>
      <c r="W1475" s="6"/>
      <c r="X1475" s="6"/>
      <c r="Y1475" s="6"/>
      <c r="Z1475" s="6"/>
      <c r="AA1475" s="6"/>
      <c r="AB1475" s="6"/>
      <c r="AC1475" s="6"/>
      <c r="AD1475" s="6"/>
      <c r="AE1475" s="6"/>
      <c r="AF1475" s="6"/>
      <c r="AG1475" s="6"/>
      <c r="AH1475" s="6"/>
      <c r="AI1475" s="6"/>
      <c r="AJ1475" s="6"/>
      <c r="AK1475" s="6"/>
      <c r="AL1475" s="6"/>
    </row>
    <row r="1476" spans="1:38">
      <c r="A1476" s="96">
        <f ca="1">IFERROR(__xludf.DUMMYFUNCTION("""COMPUTED_VALUE"""),44939)</f>
        <v>44939</v>
      </c>
      <c r="B1476" s="6" t="str">
        <f ca="1">IFERROR(__xludf.DUMMYFUNCTION("""COMPUTED_VALUE"""),"Rohan Erande")</f>
        <v>Rohan Erande</v>
      </c>
      <c r="C1476" s="6" t="str">
        <f ca="1">IFERROR(__xludf.DUMMYFUNCTION("""COMPUTED_VALUE"""),"rohan.erande@gmail.com")</f>
        <v>rohan.erande@gmail.com</v>
      </c>
      <c r="D1476" s="6">
        <f ca="1">IFERROR(__xludf.DUMMYFUNCTION("""COMPUTED_VALUE"""),8446811102)</f>
        <v>8446811102</v>
      </c>
      <c r="E1476" s="6" t="str">
        <f ca="1">IFERROR(__xludf.DUMMYFUNCTION("""COMPUTED_VALUE"""),"Reference")</f>
        <v>Reference</v>
      </c>
      <c r="F1476" s="6" t="str">
        <f ca="1">IFERROR(__xludf.DUMMYFUNCTION("""COMPUTED_VALUE"""),"SAFe Agile")</f>
        <v>SAFe Agile</v>
      </c>
      <c r="G1476" s="80">
        <f ca="1">IFERROR(__xludf.DUMMYFUNCTION("""COMPUTED_VALUE"""),44927)</f>
        <v>44927</v>
      </c>
      <c r="H1476" s="6" t="str">
        <f ca="1">IFERROR(__xludf.DUMMYFUNCTION("""COMPUTED_VALUE"""),"Won")</f>
        <v>Won</v>
      </c>
      <c r="I1476" s="6" t="str">
        <f ca="1">IFERROR(__xludf.DUMMYFUNCTION("""COMPUTED_VALUE"""),"21-22 Jan 2023")</f>
        <v>21-22 Jan 2023</v>
      </c>
      <c r="J1476" s="6">
        <f ca="1">IFERROR(__xludf.DUMMYFUNCTION("""COMPUTED_VALUE"""),1)</f>
        <v>1</v>
      </c>
      <c r="K1476" s="8">
        <f ca="1">IFERROR(__xludf.DUMMYFUNCTION("""COMPUTED_VALUE"""),42000)</f>
        <v>42000</v>
      </c>
      <c r="L1476" s="8">
        <f ca="1">IFERROR(__xludf.DUMMYFUNCTION("""COMPUTED_VALUE"""),480.989464040311)</f>
        <v>480.98946404031102</v>
      </c>
      <c r="M1476" s="96">
        <f ca="1">IFERROR(__xludf.DUMMYFUNCTION("""COMPUTED_VALUE"""),44939)</f>
        <v>44939</v>
      </c>
      <c r="N1476" s="6" t="str">
        <f ca="1">IFERROR(__xludf.DUMMYFUNCTION("""COMPUTED_VALUE"""),"S10")</f>
        <v>S10</v>
      </c>
      <c r="O1476" s="97">
        <f ca="1">IFERROR(__xludf.DUMMYFUNCTION("""COMPUTED_VALUE"""),44939)</f>
        <v>44939</v>
      </c>
      <c r="P1476" s="6" t="str">
        <f ca="1">IFERROR(__xludf.DUMMYFUNCTION("""COMPUTED_VALUE"""),"CSTM_46347WLR14J")</f>
        <v>CSTM_46347WLR14J</v>
      </c>
      <c r="Q1476" s="6" t="str">
        <f ca="1">IFERROR(__xludf.DUMMYFUNCTION("""COMPUTED_VALUE"""),"Reference by ashishawandkar@gmail.com")</f>
        <v>Reference by ashishawandkar@gmail.com</v>
      </c>
      <c r="R1476" s="6" t="str">
        <f ca="1">IFERROR(__xludf.DUMMYFUNCTION("""COMPUTED_VALUE"""),"Pending")</f>
        <v>Pending</v>
      </c>
      <c r="S1476" s="6" t="str">
        <f ca="1">IFERROR(__xludf.DUMMYFUNCTION("""COMPUTED_VALUE"""),"SAFe")</f>
        <v>SAFe</v>
      </c>
      <c r="T1476" s="6"/>
      <c r="U1476" s="6"/>
      <c r="V1476" s="6"/>
      <c r="W1476" s="6"/>
      <c r="X1476" s="6"/>
      <c r="Y1476" s="6"/>
      <c r="Z1476" s="6"/>
      <c r="AA1476" s="6"/>
      <c r="AB1476" s="6"/>
      <c r="AC1476" s="6"/>
      <c r="AD1476" s="6"/>
      <c r="AE1476" s="6"/>
      <c r="AF1476" s="6"/>
      <c r="AG1476" s="6"/>
      <c r="AH1476" s="6"/>
      <c r="AI1476" s="6"/>
      <c r="AJ1476" s="6"/>
      <c r="AK1476" s="6"/>
      <c r="AL1476" s="6"/>
    </row>
    <row r="1477" spans="1:38">
      <c r="A1477" s="96">
        <f ca="1">IFERROR(__xludf.DUMMYFUNCTION("""COMPUTED_VALUE"""),44939)</f>
        <v>44939</v>
      </c>
      <c r="B1477" s="6" t="str">
        <f ca="1">IFERROR(__xludf.DUMMYFUNCTION("""COMPUTED_VALUE"""),"Aparna Gupta")</f>
        <v>Aparna Gupta</v>
      </c>
      <c r="C1477" s="6" t="str">
        <f ca="1">IFERROR(__xludf.DUMMYFUNCTION("""COMPUTED_VALUE"""),"aparna.ap@gmail.com")</f>
        <v>aparna.ap@gmail.com</v>
      </c>
      <c r="D1477" s="6">
        <f ca="1">IFERROR(__xludf.DUMMYFUNCTION("""COMPUTED_VALUE"""),8887912330)</f>
        <v>8887912330</v>
      </c>
      <c r="E1477" s="6" t="str">
        <f ca="1">IFERROR(__xludf.DUMMYFUNCTION("""COMPUTED_VALUE"""),"Reference")</f>
        <v>Reference</v>
      </c>
      <c r="F1477" s="6" t="str">
        <f ca="1">IFERROR(__xludf.DUMMYFUNCTION("""COMPUTED_VALUE"""),"PSM 2")</f>
        <v>PSM 2</v>
      </c>
      <c r="G1477" s="80">
        <f ca="1">IFERROR(__xludf.DUMMYFUNCTION("""COMPUTED_VALUE"""),44927)</f>
        <v>44927</v>
      </c>
      <c r="H1477" s="6" t="str">
        <f ca="1">IFERROR(__xludf.DUMMYFUNCTION("""COMPUTED_VALUE"""),"Won")</f>
        <v>Won</v>
      </c>
      <c r="I1477" s="6" t="str">
        <f ca="1">IFERROR(__xludf.DUMMYFUNCTION("""COMPUTED_VALUE"""),"11-12 Feb 2023")</f>
        <v>11-12 Feb 2023</v>
      </c>
      <c r="J1477" s="6">
        <f ca="1">IFERROR(__xludf.DUMMYFUNCTION("""COMPUTED_VALUE"""),1)</f>
        <v>1</v>
      </c>
      <c r="K1477" s="8">
        <f ca="1">IFERROR(__xludf.DUMMYFUNCTION("""COMPUTED_VALUE"""),24000)</f>
        <v>24000</v>
      </c>
      <c r="L1477" s="8">
        <f ca="1">IFERROR(__xludf.DUMMYFUNCTION("""COMPUTED_VALUE"""),274.851122308749)</f>
        <v>274.85112230874898</v>
      </c>
      <c r="M1477" s="96">
        <f ca="1">IFERROR(__xludf.DUMMYFUNCTION("""COMPUTED_VALUE"""),44939)</f>
        <v>44939</v>
      </c>
      <c r="N1477" s="6" t="str">
        <f ca="1">IFERROR(__xludf.DUMMYFUNCTION("""COMPUTED_VALUE"""),"S10")</f>
        <v>S10</v>
      </c>
      <c r="O1477" s="97">
        <f ca="1">IFERROR(__xludf.DUMMYFUNCTION("""COMPUTED_VALUE"""),44942)</f>
        <v>44942</v>
      </c>
      <c r="P1477" s="6" t="str">
        <f ca="1">IFERROR(__xludf.DUMMYFUNCTION("""COMPUTED_VALUE"""),"CSTM_97IUC31FPQS")</f>
        <v>CSTM_97IUC31FPQS</v>
      </c>
      <c r="Q1477" s="6" t="str">
        <f ca="1">IFERROR(__xludf.DUMMYFUNCTION("""COMPUTED_VALUE"""),"Reference by keerti1895@gmail.com")</f>
        <v>Reference by keerti1895@gmail.com</v>
      </c>
      <c r="R1477" s="6" t="str">
        <f ca="1">IFERROR(__xludf.DUMMYFUNCTION("""COMPUTED_VALUE"""),"Pending")</f>
        <v>Pending</v>
      </c>
      <c r="S1477" s="6" t="str">
        <f ca="1">IFERROR(__xludf.DUMMYFUNCTION("""COMPUTED_VALUE"""),"Category")</f>
        <v>Category</v>
      </c>
      <c r="T1477" s="6"/>
      <c r="U1477" s="6"/>
      <c r="V1477" s="6"/>
      <c r="W1477" s="6"/>
      <c r="X1477" s="6"/>
      <c r="Y1477" s="6"/>
      <c r="Z1477" s="6"/>
      <c r="AA1477" s="6"/>
      <c r="AB1477" s="6"/>
      <c r="AC1477" s="6"/>
      <c r="AD1477" s="6"/>
      <c r="AE1477" s="6"/>
      <c r="AF1477" s="6"/>
      <c r="AG1477" s="6"/>
      <c r="AH1477" s="6"/>
      <c r="AI1477" s="6"/>
      <c r="AJ1477" s="6"/>
      <c r="AK1477" s="6"/>
      <c r="AL1477" s="6"/>
    </row>
    <row r="1478" spans="1:38">
      <c r="A1478" s="96">
        <f ca="1">IFERROR(__xludf.DUMMYFUNCTION("""COMPUTED_VALUE"""),44939)</f>
        <v>44939</v>
      </c>
      <c r="B1478" s="6" t="str">
        <f ca="1">IFERROR(__xludf.DUMMYFUNCTION("""COMPUTED_VALUE"""),"Amey Tambe")</f>
        <v>Amey Tambe</v>
      </c>
      <c r="C1478" s="6" t="str">
        <f ca="1">IFERROR(__xludf.DUMMYFUNCTION("""COMPUTED_VALUE"""),"amey_iaf@yahoo.co.in")</f>
        <v>amey_iaf@yahoo.co.in</v>
      </c>
      <c r="D1478" s="6">
        <f ca="1">IFERROR(__xludf.DUMMYFUNCTION("""COMPUTED_VALUE"""),7507200775)</f>
        <v>7507200775</v>
      </c>
      <c r="E1478" s="6" t="str">
        <f ca="1">IFERROR(__xludf.DUMMYFUNCTION("""COMPUTED_VALUE"""),"course agenda")</f>
        <v>course agenda</v>
      </c>
      <c r="F1478" s="6" t="str">
        <f ca="1">IFERROR(__xludf.DUMMYFUNCTION("""COMPUTED_VALUE"""),"PSPO")</f>
        <v>PSPO</v>
      </c>
      <c r="G1478" s="80">
        <f ca="1">IFERROR(__xludf.DUMMYFUNCTION("""COMPUTED_VALUE"""),44927)</f>
        <v>44927</v>
      </c>
      <c r="H1478" s="6" t="str">
        <f ca="1">IFERROR(__xludf.DUMMYFUNCTION("""COMPUTED_VALUE"""),"Won")</f>
        <v>Won</v>
      </c>
      <c r="I1478" s="6" t="str">
        <f ca="1">IFERROR(__xludf.DUMMYFUNCTION("""COMPUTED_VALUE"""),"14-15 Jan 2023")</f>
        <v>14-15 Jan 2023</v>
      </c>
      <c r="J1478" s="6">
        <f ca="1">IFERROR(__xludf.DUMMYFUNCTION("""COMPUTED_VALUE"""),1)</f>
        <v>1</v>
      </c>
      <c r="K1478" s="8">
        <f ca="1">IFERROR(__xludf.DUMMYFUNCTION("""COMPUTED_VALUE"""),21000)</f>
        <v>21000</v>
      </c>
      <c r="L1478" s="8">
        <f ca="1">IFERROR(__xludf.DUMMYFUNCTION("""COMPUTED_VALUE"""),240.494732020155)</f>
        <v>240.494732020155</v>
      </c>
      <c r="M1478" s="96">
        <f ca="1">IFERROR(__xludf.DUMMYFUNCTION("""COMPUTED_VALUE"""),44939)</f>
        <v>44939</v>
      </c>
      <c r="N1478" s="6" t="str">
        <f ca="1">IFERROR(__xludf.DUMMYFUNCTION("""COMPUTED_VALUE"""),"S10")</f>
        <v>S10</v>
      </c>
      <c r="O1478" s="97">
        <f ca="1">IFERROR(__xludf.DUMMYFUNCTION("""COMPUTED_VALUE"""),44939)</f>
        <v>44939</v>
      </c>
      <c r="P1478" s="6" t="str">
        <f ca="1">IFERROR(__xludf.DUMMYFUNCTION("""COMPUTED_VALUE"""),"CSTM_H5NE937UWNR")</f>
        <v>CSTM_H5NE937UWNR</v>
      </c>
      <c r="Q1478" s="6"/>
      <c r="R1478" s="6" t="str">
        <f ca="1">IFERROR(__xludf.DUMMYFUNCTION("""COMPUTED_VALUE"""),"Pending")</f>
        <v>Pending</v>
      </c>
      <c r="S1478" s="6" t="str">
        <f ca="1">IFERROR(__xludf.DUMMYFUNCTION("""COMPUTED_VALUE"""),"Category")</f>
        <v>Category</v>
      </c>
      <c r="T1478" s="6"/>
      <c r="U1478" s="6"/>
      <c r="V1478" s="6"/>
      <c r="W1478" s="6"/>
      <c r="X1478" s="6"/>
      <c r="Y1478" s="6"/>
      <c r="Z1478" s="6"/>
      <c r="AA1478" s="6"/>
      <c r="AB1478" s="6"/>
      <c r="AC1478" s="6"/>
      <c r="AD1478" s="6"/>
      <c r="AE1478" s="6"/>
      <c r="AF1478" s="6"/>
      <c r="AG1478" s="6"/>
      <c r="AH1478" s="6"/>
      <c r="AI1478" s="6"/>
      <c r="AJ1478" s="6"/>
      <c r="AK1478" s="6"/>
      <c r="AL1478" s="6"/>
    </row>
    <row r="1479" spans="1:38">
      <c r="A1479" s="96">
        <f ca="1">IFERROR(__xludf.DUMMYFUNCTION("""COMPUTED_VALUE"""),44937)</f>
        <v>44937</v>
      </c>
      <c r="B1479" s="6" t="str">
        <f ca="1">IFERROR(__xludf.DUMMYFUNCTION("""COMPUTED_VALUE"""),"Siddhika Mathur")</f>
        <v>Siddhika Mathur</v>
      </c>
      <c r="C1479" s="6" t="str">
        <f ca="1">IFERROR(__xludf.DUMMYFUNCTION("""COMPUTED_VALUE"""),"s.mathur0211@gmail.com")</f>
        <v>s.mathur0211@gmail.com</v>
      </c>
      <c r="D1479" s="6">
        <f ca="1">IFERROR(__xludf.DUMMYFUNCTION("""COMPUTED_VALUE"""),9343221111)</f>
        <v>9343221111</v>
      </c>
      <c r="E1479" s="6" t="str">
        <f ca="1">IFERROR(__xludf.DUMMYFUNCTION("""COMPUTED_VALUE"""),"Reference")</f>
        <v>Reference</v>
      </c>
      <c r="F1479" s="6" t="str">
        <f ca="1">IFERROR(__xludf.DUMMYFUNCTION("""COMPUTED_VALUE"""),"PMP Plus with Exam 2nd Partial")</f>
        <v>PMP Plus with Exam 2nd Partial</v>
      </c>
      <c r="G1479" s="80">
        <f ca="1">IFERROR(__xludf.DUMMYFUNCTION("""COMPUTED_VALUE"""),44927)</f>
        <v>44927</v>
      </c>
      <c r="H1479" s="6" t="str">
        <f ca="1">IFERROR(__xludf.DUMMYFUNCTION("""COMPUTED_VALUE"""),"Won")</f>
        <v>Won</v>
      </c>
      <c r="I1479" s="6" t="str">
        <f ca="1">IFERROR(__xludf.DUMMYFUNCTION("""COMPUTED_VALUE"""),"LVC")</f>
        <v>LVC</v>
      </c>
      <c r="J1479" s="6">
        <f ca="1">IFERROR(__xludf.DUMMYFUNCTION("""COMPUTED_VALUE"""),1)</f>
        <v>1</v>
      </c>
      <c r="K1479" s="8">
        <f ca="1">IFERROR(__xludf.DUMMYFUNCTION("""COMPUTED_VALUE"""),27000)</f>
        <v>27000</v>
      </c>
      <c r="L1479" s="8">
        <f ca="1">IFERROR(__xludf.DUMMYFUNCTION("""COMPUTED_VALUE"""),309.207512597343)</f>
        <v>309.207512597343</v>
      </c>
      <c r="M1479" s="96">
        <f ca="1">IFERROR(__xludf.DUMMYFUNCTION("""COMPUTED_VALUE"""),44937)</f>
        <v>44937</v>
      </c>
      <c r="N1479" s="6" t="str">
        <f ca="1">IFERROR(__xludf.DUMMYFUNCTION("""COMPUTED_VALUE"""),"S10")</f>
        <v>S10</v>
      </c>
      <c r="O1479" s="97">
        <f ca="1">IFERROR(__xludf.DUMMYFUNCTION("""COMPUTED_VALUE"""),44937)</f>
        <v>44937</v>
      </c>
      <c r="P1479" s="6" t="str">
        <f ca="1">IFERROR(__xludf.DUMMYFUNCTION("""COMPUTED_VALUE"""),"CSTM_PARTIAL_SUBS_HSIJ8MKYSXG")</f>
        <v>CSTM_PARTIAL_SUBS_HSIJ8MKYSXG</v>
      </c>
      <c r="Q1479" s="6"/>
      <c r="R1479" s="6" t="str">
        <f ca="1">IFERROR(__xludf.DUMMYFUNCTION("""COMPUTED_VALUE"""),"Pending")</f>
        <v>Pending</v>
      </c>
      <c r="S1479" s="6" t="str">
        <f ca="1">IFERROR(__xludf.DUMMYFUNCTION("""COMPUTED_VALUE"""),"NonCategory")</f>
        <v>NonCategory</v>
      </c>
      <c r="T1479" s="6"/>
      <c r="U1479" s="6"/>
      <c r="V1479" s="6"/>
      <c r="W1479" s="6"/>
      <c r="X1479" s="6"/>
      <c r="Y1479" s="6"/>
      <c r="Z1479" s="6"/>
      <c r="AA1479" s="6"/>
      <c r="AB1479" s="6"/>
      <c r="AC1479" s="6"/>
      <c r="AD1479" s="6"/>
      <c r="AE1479" s="6"/>
      <c r="AF1479" s="6"/>
      <c r="AG1479" s="6"/>
      <c r="AH1479" s="6"/>
      <c r="AI1479" s="6"/>
      <c r="AJ1479" s="6"/>
      <c r="AK1479" s="6"/>
      <c r="AL1479" s="6"/>
    </row>
    <row r="1480" spans="1:38">
      <c r="A1480" s="96">
        <f ca="1">IFERROR(__xludf.DUMMYFUNCTION("""COMPUTED_VALUE"""),44940)</f>
        <v>44940</v>
      </c>
      <c r="B1480" s="6" t="str">
        <f ca="1">IFERROR(__xludf.DUMMYFUNCTION("""COMPUTED_VALUE"""),"Sushil Nair")</f>
        <v>Sushil Nair</v>
      </c>
      <c r="C1480" s="6" t="str">
        <f ca="1">IFERROR(__xludf.DUMMYFUNCTION("""COMPUTED_VALUE"""),"nair.sushil54@gmail.com")</f>
        <v>nair.sushil54@gmail.com</v>
      </c>
      <c r="D1480" s="6">
        <f ca="1">IFERROR(__xludf.DUMMYFUNCTION("""COMPUTED_VALUE"""),9930393957)</f>
        <v>9930393957</v>
      </c>
      <c r="E1480" s="6" t="str">
        <f ca="1">IFERROR(__xludf.DUMMYFUNCTION("""COMPUTED_VALUE"""),"App Quey box")</f>
        <v>App Quey box</v>
      </c>
      <c r="F1480" s="6" t="str">
        <f ca="1">IFERROR(__xludf.DUMMYFUNCTION("""COMPUTED_VALUE"""),"PSPO")</f>
        <v>PSPO</v>
      </c>
      <c r="G1480" s="80">
        <f ca="1">IFERROR(__xludf.DUMMYFUNCTION("""COMPUTED_VALUE"""),44927)</f>
        <v>44927</v>
      </c>
      <c r="H1480" s="6" t="str">
        <f ca="1">IFERROR(__xludf.DUMMYFUNCTION("""COMPUTED_VALUE"""),"Opportunity")</f>
        <v>Opportunity</v>
      </c>
      <c r="I1480" s="6" t="str">
        <f ca="1">IFERROR(__xludf.DUMMYFUNCTION("""COMPUTED_VALUE"""),"4-5 Feb 2023")</f>
        <v>4-5 Feb 2023</v>
      </c>
      <c r="J1480" s="6">
        <f ca="1">IFERROR(__xludf.DUMMYFUNCTION("""COMPUTED_VALUE"""),1)</f>
        <v>1</v>
      </c>
      <c r="K1480" s="8">
        <f ca="1">IFERROR(__xludf.DUMMYFUNCTION("""COMPUTED_VALUE"""),21000)</f>
        <v>21000</v>
      </c>
      <c r="L1480" s="8">
        <f ca="1">IFERROR(__xludf.DUMMYFUNCTION("""COMPUTED_VALUE"""),240.494732020155)</f>
        <v>240.494732020155</v>
      </c>
      <c r="M1480" s="96">
        <f ca="1">IFERROR(__xludf.DUMMYFUNCTION("""COMPUTED_VALUE"""),44940)</f>
        <v>44940</v>
      </c>
      <c r="N1480" s="6"/>
      <c r="O1480" s="97"/>
      <c r="P1480" s="6"/>
      <c r="Q1480" s="6"/>
      <c r="R1480" s="6"/>
      <c r="S1480" s="6" t="str">
        <f ca="1">IFERROR(__xludf.DUMMYFUNCTION("""COMPUTED_VALUE"""),"Category")</f>
        <v>Category</v>
      </c>
      <c r="T1480" s="6"/>
      <c r="U1480" s="6"/>
      <c r="V1480" s="6"/>
      <c r="W1480" s="6"/>
      <c r="X1480" s="6"/>
      <c r="Y1480" s="6"/>
      <c r="Z1480" s="6"/>
      <c r="AA1480" s="6"/>
      <c r="AB1480" s="6"/>
      <c r="AC1480" s="6"/>
      <c r="AD1480" s="6"/>
      <c r="AE1480" s="6"/>
      <c r="AF1480" s="6"/>
      <c r="AG1480" s="6"/>
      <c r="AH1480" s="6"/>
      <c r="AI1480" s="6"/>
      <c r="AJ1480" s="6"/>
      <c r="AK1480" s="6"/>
      <c r="AL1480" s="6"/>
    </row>
    <row r="1481" spans="1:38">
      <c r="A1481" s="96">
        <f ca="1">IFERROR(__xludf.DUMMYFUNCTION("""COMPUTED_VALUE"""),44943)</f>
        <v>44943</v>
      </c>
      <c r="B1481" s="6" t="str">
        <f ca="1">IFERROR(__xludf.DUMMYFUNCTION("""COMPUTED_VALUE"""),"Rinisha")</f>
        <v>Rinisha</v>
      </c>
      <c r="C1481" s="6" t="str">
        <f ca="1">IFERROR(__xludf.DUMMYFUNCTION("""COMPUTED_VALUE"""),"rinisha_v@yahoo.co.in")</f>
        <v>rinisha_v@yahoo.co.in</v>
      </c>
      <c r="D1481" s="6">
        <f ca="1">IFERROR(__xludf.DUMMYFUNCTION("""COMPUTED_VALUE"""),9820270057)</f>
        <v>9820270057</v>
      </c>
      <c r="E1481" s="6" t="str">
        <f ca="1">IFERROR(__xludf.DUMMYFUNCTION("""COMPUTED_VALUE"""),"Existing Account")</f>
        <v>Existing Account</v>
      </c>
      <c r="F1481" s="6" t="str">
        <f ca="1">IFERROR(__xludf.DUMMYFUNCTION("""COMPUTED_VALUE"""),"CSPO")</f>
        <v>CSPO</v>
      </c>
      <c r="G1481" s="80">
        <f ca="1">IFERROR(__xludf.DUMMYFUNCTION("""COMPUTED_VALUE"""),44927)</f>
        <v>44927</v>
      </c>
      <c r="H1481" s="6" t="str">
        <f ca="1">IFERROR(__xludf.DUMMYFUNCTION("""COMPUTED_VALUE"""),"Won")</f>
        <v>Won</v>
      </c>
      <c r="I1481" s="6" t="str">
        <f ca="1">IFERROR(__xludf.DUMMYFUNCTION("""COMPUTED_VALUE"""),"21-22 Jan 2023")</f>
        <v>21-22 Jan 2023</v>
      </c>
      <c r="J1481" s="6">
        <f ca="1">IFERROR(__xludf.DUMMYFUNCTION("""COMPUTED_VALUE"""),1)</f>
        <v>1</v>
      </c>
      <c r="K1481" s="8">
        <f ca="1">IFERROR(__xludf.DUMMYFUNCTION("""COMPUTED_VALUE"""),20000)</f>
        <v>20000</v>
      </c>
      <c r="L1481" s="8">
        <f ca="1">IFERROR(__xludf.DUMMYFUNCTION("""COMPUTED_VALUE"""),229.042601923957)</f>
        <v>229.04260192395699</v>
      </c>
      <c r="M1481" s="96">
        <f ca="1">IFERROR(__xludf.DUMMYFUNCTION("""COMPUTED_VALUE"""),44943)</f>
        <v>44943</v>
      </c>
      <c r="N1481" s="6" t="str">
        <f ca="1">IFERROR(__xludf.DUMMYFUNCTION("""COMPUTED_VALUE"""),"S10")</f>
        <v>S10</v>
      </c>
      <c r="O1481" s="97">
        <f ca="1">IFERROR(__xludf.DUMMYFUNCTION("""COMPUTED_VALUE"""),44943)</f>
        <v>44943</v>
      </c>
      <c r="P1481" s="6" t="str">
        <f ca="1">IFERROR(__xludf.DUMMYFUNCTION("""COMPUTED_VALUE"""),"CSTM_DZROB07H9QB")</f>
        <v>CSTM_DZROB07H9QB</v>
      </c>
      <c r="Q1481" s="6"/>
      <c r="R1481" s="6" t="str">
        <f ca="1">IFERROR(__xludf.DUMMYFUNCTION("""COMPUTED_VALUE"""),"Pending")</f>
        <v>Pending</v>
      </c>
      <c r="S1481" s="6" t="str">
        <f ca="1">IFERROR(__xludf.DUMMYFUNCTION("""COMPUTED_VALUE"""),"Category")</f>
        <v>Category</v>
      </c>
      <c r="T1481" s="6"/>
      <c r="U1481" s="6"/>
      <c r="V1481" s="6"/>
      <c r="W1481" s="6"/>
      <c r="X1481" s="6"/>
      <c r="Y1481" s="6"/>
      <c r="Z1481" s="6"/>
      <c r="AA1481" s="6"/>
      <c r="AB1481" s="6"/>
      <c r="AC1481" s="6"/>
      <c r="AD1481" s="6"/>
      <c r="AE1481" s="6"/>
      <c r="AF1481" s="6"/>
      <c r="AG1481" s="6"/>
      <c r="AH1481" s="6"/>
      <c r="AI1481" s="6"/>
      <c r="AJ1481" s="6"/>
      <c r="AK1481" s="6"/>
      <c r="AL1481" s="6"/>
    </row>
    <row r="1482" spans="1:38">
      <c r="A1482" s="96">
        <f ca="1">IFERROR(__xludf.DUMMYFUNCTION("""COMPUTED_VALUE"""),44943)</f>
        <v>44943</v>
      </c>
      <c r="B1482" s="6" t="str">
        <f ca="1">IFERROR(__xludf.DUMMYFUNCTION("""COMPUTED_VALUE"""),"Atul Khare")</f>
        <v>Atul Khare</v>
      </c>
      <c r="C1482" s="6" t="str">
        <f ca="1">IFERROR(__xludf.DUMMYFUNCTION("""COMPUTED_VALUE"""),"er.atulkhare@gmail.com")</f>
        <v>er.atulkhare@gmail.com</v>
      </c>
      <c r="D1482" s="6">
        <f ca="1">IFERROR(__xludf.DUMMYFUNCTION("""COMPUTED_VALUE"""),9990645333)</f>
        <v>9990645333</v>
      </c>
      <c r="E1482" s="6" t="str">
        <f ca="1">IFERROR(__xludf.DUMMYFUNCTION("""COMPUTED_VALUE"""),"Query box")</f>
        <v>Query box</v>
      </c>
      <c r="F1482" s="6" t="str">
        <f ca="1">IFERROR(__xludf.DUMMYFUNCTION("""COMPUTED_VALUE"""),"PSM")</f>
        <v>PSM</v>
      </c>
      <c r="G1482" s="80">
        <f ca="1">IFERROR(__xludf.DUMMYFUNCTION("""COMPUTED_VALUE"""),44927)</f>
        <v>44927</v>
      </c>
      <c r="H1482" s="6" t="str">
        <f ca="1">IFERROR(__xludf.DUMMYFUNCTION("""COMPUTED_VALUE"""),"Won")</f>
        <v>Won</v>
      </c>
      <c r="I1482" s="6" t="str">
        <f ca="1">IFERROR(__xludf.DUMMYFUNCTION("""COMPUTED_VALUE"""),"21-22 Jan 2023")</f>
        <v>21-22 Jan 2023</v>
      </c>
      <c r="J1482" s="6">
        <f ca="1">IFERROR(__xludf.DUMMYFUNCTION("""COMPUTED_VALUE"""),1)</f>
        <v>1</v>
      </c>
      <c r="K1482" s="8">
        <f ca="1">IFERROR(__xludf.DUMMYFUNCTION("""COMPUTED_VALUE"""),21000)</f>
        <v>21000</v>
      </c>
      <c r="L1482" s="8">
        <f ca="1">IFERROR(__xludf.DUMMYFUNCTION("""COMPUTED_VALUE"""),240.494732020155)</f>
        <v>240.494732020155</v>
      </c>
      <c r="M1482" s="96">
        <f ca="1">IFERROR(__xludf.DUMMYFUNCTION("""COMPUTED_VALUE"""),44943)</f>
        <v>44943</v>
      </c>
      <c r="N1482" s="6" t="str">
        <f ca="1">IFERROR(__xludf.DUMMYFUNCTION("""COMPUTED_VALUE"""),"S10")</f>
        <v>S10</v>
      </c>
      <c r="O1482" s="97">
        <f ca="1">IFERROR(__xludf.DUMMYFUNCTION("""COMPUTED_VALUE"""),44943)</f>
        <v>44943</v>
      </c>
      <c r="P1482" s="6" t="str">
        <f ca="1">IFERROR(__xludf.DUMMYFUNCTION("""COMPUTED_VALUE"""),"CSTM_2DLSSODXL6C")</f>
        <v>CSTM_2DLSSODXL6C</v>
      </c>
      <c r="Q1482" s="6"/>
      <c r="R1482" s="6" t="str">
        <f ca="1">IFERROR(__xludf.DUMMYFUNCTION("""COMPUTED_VALUE"""),"Pending")</f>
        <v>Pending</v>
      </c>
      <c r="S1482" s="6" t="str">
        <f ca="1">IFERROR(__xludf.DUMMYFUNCTION("""COMPUTED_VALUE"""),"Category")</f>
        <v>Category</v>
      </c>
      <c r="T1482" s="6"/>
      <c r="U1482" s="6"/>
      <c r="V1482" s="6"/>
      <c r="W1482" s="6"/>
      <c r="X1482" s="6"/>
      <c r="Y1482" s="6"/>
      <c r="Z1482" s="6"/>
      <c r="AA1482" s="6"/>
      <c r="AB1482" s="6"/>
      <c r="AC1482" s="6"/>
      <c r="AD1482" s="6"/>
      <c r="AE1482" s="6"/>
      <c r="AF1482" s="6"/>
      <c r="AG1482" s="6"/>
      <c r="AH1482" s="6"/>
      <c r="AI1482" s="6"/>
      <c r="AJ1482" s="6"/>
      <c r="AK1482" s="6"/>
      <c r="AL1482" s="6"/>
    </row>
    <row r="1483" spans="1:38">
      <c r="A1483" s="96">
        <f ca="1">IFERROR(__xludf.DUMMYFUNCTION("""COMPUTED_VALUE"""),44943)</f>
        <v>44943</v>
      </c>
      <c r="B1483" s="6" t="str">
        <f ca="1">IFERROR(__xludf.DUMMYFUNCTION("""COMPUTED_VALUE"""),"Rajeev Jha")</f>
        <v>Rajeev Jha</v>
      </c>
      <c r="C1483" s="6" t="str">
        <f ca="1">IFERROR(__xludf.DUMMYFUNCTION("""COMPUTED_VALUE"""),"static.virtue@gmail.com")</f>
        <v>static.virtue@gmail.com</v>
      </c>
      <c r="D1483" s="6">
        <f ca="1">IFERROR(__xludf.DUMMYFUNCTION("""COMPUTED_VALUE"""),9798820150)</f>
        <v>9798820150</v>
      </c>
      <c r="E1483" s="6" t="str">
        <f ca="1">IFERROR(__xludf.DUMMYFUNCTION("""COMPUTED_VALUE"""),"Tollfree")</f>
        <v>Tollfree</v>
      </c>
      <c r="F1483" s="6" t="str">
        <f ca="1">IFERROR(__xludf.DUMMYFUNCTION("""COMPUTED_VALUE"""),"PSPO")</f>
        <v>PSPO</v>
      </c>
      <c r="G1483" s="80">
        <f ca="1">IFERROR(__xludf.DUMMYFUNCTION("""COMPUTED_VALUE"""),44927)</f>
        <v>44927</v>
      </c>
      <c r="H1483" s="6" t="str">
        <f ca="1">IFERROR(__xludf.DUMMYFUNCTION("""COMPUTED_VALUE"""),"Won")</f>
        <v>Won</v>
      </c>
      <c r="I1483" s="6" t="str">
        <f ca="1">IFERROR(__xludf.DUMMYFUNCTION("""COMPUTED_VALUE"""),"21-22 Jan 2023")</f>
        <v>21-22 Jan 2023</v>
      </c>
      <c r="J1483" s="6">
        <f ca="1">IFERROR(__xludf.DUMMYFUNCTION("""COMPUTED_VALUE"""),1)</f>
        <v>1</v>
      </c>
      <c r="K1483" s="8">
        <f ca="1">IFERROR(__xludf.DUMMYFUNCTION("""COMPUTED_VALUE"""),21000)</f>
        <v>21000</v>
      </c>
      <c r="L1483" s="8">
        <f ca="1">IFERROR(__xludf.DUMMYFUNCTION("""COMPUTED_VALUE"""),240.494732020155)</f>
        <v>240.494732020155</v>
      </c>
      <c r="M1483" s="96">
        <f ca="1">IFERROR(__xludf.DUMMYFUNCTION("""COMPUTED_VALUE"""),44943)</f>
        <v>44943</v>
      </c>
      <c r="N1483" s="6" t="str">
        <f ca="1">IFERROR(__xludf.DUMMYFUNCTION("""COMPUTED_VALUE"""),"S10")</f>
        <v>S10</v>
      </c>
      <c r="O1483" s="97">
        <f ca="1">IFERROR(__xludf.DUMMYFUNCTION("""COMPUTED_VALUE"""),44943)</f>
        <v>44943</v>
      </c>
      <c r="P1483" s="6" t="str">
        <f ca="1">IFERROR(__xludf.DUMMYFUNCTION("""COMPUTED_VALUE"""),"CSTM_CSLRIQS350X")</f>
        <v>CSTM_CSLRIQS350X</v>
      </c>
      <c r="Q1483" s="6"/>
      <c r="R1483" s="6" t="str">
        <f ca="1">IFERROR(__xludf.DUMMYFUNCTION("""COMPUTED_VALUE"""),"Pending")</f>
        <v>Pending</v>
      </c>
      <c r="S1483" s="6" t="str">
        <f ca="1">IFERROR(__xludf.DUMMYFUNCTION("""COMPUTED_VALUE"""),"Category")</f>
        <v>Category</v>
      </c>
      <c r="T1483" s="6"/>
      <c r="U1483" s="6"/>
      <c r="V1483" s="6"/>
      <c r="W1483" s="6"/>
      <c r="X1483" s="6"/>
      <c r="Y1483" s="6"/>
      <c r="Z1483" s="6"/>
      <c r="AA1483" s="6"/>
      <c r="AB1483" s="6"/>
      <c r="AC1483" s="6"/>
      <c r="AD1483" s="6"/>
      <c r="AE1483" s="6"/>
      <c r="AF1483" s="6"/>
      <c r="AG1483" s="6"/>
      <c r="AH1483" s="6"/>
      <c r="AI1483" s="6"/>
      <c r="AJ1483" s="6"/>
      <c r="AK1483" s="6"/>
      <c r="AL1483" s="6"/>
    </row>
    <row r="1484" spans="1:38">
      <c r="A1484" s="96">
        <f ca="1">IFERROR(__xludf.DUMMYFUNCTION("""COMPUTED_VALUE"""),44943)</f>
        <v>44943</v>
      </c>
      <c r="B1484" s="6" t="str">
        <f ca="1">IFERROR(__xludf.DUMMYFUNCTION("""COMPUTED_VALUE"""),"Sandeep Verma")</f>
        <v>Sandeep Verma</v>
      </c>
      <c r="C1484" s="6" t="str">
        <f ca="1">IFERROR(__xludf.DUMMYFUNCTION("""COMPUTED_VALUE"""),"verma.sandeep01@yahoo.com")</f>
        <v>verma.sandeep01@yahoo.com</v>
      </c>
      <c r="D1484" s="6">
        <f ca="1">IFERROR(__xludf.DUMMYFUNCTION("""COMPUTED_VALUE"""),9999838424)</f>
        <v>9999838424</v>
      </c>
      <c r="E1484" s="6" t="str">
        <f ca="1">IFERROR(__xludf.DUMMYFUNCTION("""COMPUTED_VALUE"""),"Tollfree")</f>
        <v>Tollfree</v>
      </c>
      <c r="F1484" s="6" t="str">
        <f ca="1">IFERROR(__xludf.DUMMYFUNCTION("""COMPUTED_VALUE"""),"PSM 2")</f>
        <v>PSM 2</v>
      </c>
      <c r="G1484" s="80">
        <f ca="1">IFERROR(__xludf.DUMMYFUNCTION("""COMPUTED_VALUE"""),44927)</f>
        <v>44927</v>
      </c>
      <c r="H1484" s="6" t="str">
        <f ca="1">IFERROR(__xludf.DUMMYFUNCTION("""COMPUTED_VALUE"""),"Won")</f>
        <v>Won</v>
      </c>
      <c r="I1484" s="6" t="str">
        <f ca="1">IFERROR(__xludf.DUMMYFUNCTION("""COMPUTED_VALUE"""),"28-29 Jan 2023")</f>
        <v>28-29 Jan 2023</v>
      </c>
      <c r="J1484" s="6">
        <f ca="1">IFERROR(__xludf.DUMMYFUNCTION("""COMPUTED_VALUE"""),1)</f>
        <v>1</v>
      </c>
      <c r="K1484" s="8">
        <f ca="1">IFERROR(__xludf.DUMMYFUNCTION("""COMPUTED_VALUE"""),24000)</f>
        <v>24000</v>
      </c>
      <c r="L1484" s="8">
        <f ca="1">IFERROR(__xludf.DUMMYFUNCTION("""COMPUTED_VALUE"""),274.851122308749)</f>
        <v>274.85112230874898</v>
      </c>
      <c r="M1484" s="96">
        <f ca="1">IFERROR(__xludf.DUMMYFUNCTION("""COMPUTED_VALUE"""),44943)</f>
        <v>44943</v>
      </c>
      <c r="N1484" s="6" t="str">
        <f ca="1">IFERROR(__xludf.DUMMYFUNCTION("""COMPUTED_VALUE"""),"S10")</f>
        <v>S10</v>
      </c>
      <c r="O1484" s="97">
        <f ca="1">IFERROR(__xludf.DUMMYFUNCTION("""COMPUTED_VALUE"""),44943)</f>
        <v>44943</v>
      </c>
      <c r="P1484" s="6" t="str">
        <f ca="1">IFERROR(__xludf.DUMMYFUNCTION("""COMPUTED_VALUE"""),"CSTM_6735VNT6BF7")</f>
        <v>CSTM_6735VNT6BF7</v>
      </c>
      <c r="Q1484" s="6"/>
      <c r="R1484" s="6" t="str">
        <f ca="1">IFERROR(__xludf.DUMMYFUNCTION("""COMPUTED_VALUE"""),"Pending")</f>
        <v>Pending</v>
      </c>
      <c r="S1484" s="6" t="str">
        <f ca="1">IFERROR(__xludf.DUMMYFUNCTION("""COMPUTED_VALUE"""),"Category")</f>
        <v>Category</v>
      </c>
      <c r="T1484" s="6"/>
      <c r="U1484" s="6"/>
      <c r="V1484" s="6"/>
      <c r="W1484" s="6"/>
      <c r="X1484" s="6"/>
      <c r="Y1484" s="6"/>
      <c r="Z1484" s="6"/>
      <c r="AA1484" s="6"/>
      <c r="AB1484" s="6"/>
      <c r="AC1484" s="6"/>
      <c r="AD1484" s="6"/>
      <c r="AE1484" s="6"/>
      <c r="AF1484" s="6"/>
      <c r="AG1484" s="6"/>
      <c r="AH1484" s="6"/>
      <c r="AI1484" s="6"/>
      <c r="AJ1484" s="6"/>
      <c r="AK1484" s="6"/>
      <c r="AL1484" s="6"/>
    </row>
    <row r="1485" spans="1:38">
      <c r="A1485" s="96">
        <f ca="1">IFERROR(__xludf.DUMMYFUNCTION("""COMPUTED_VALUE"""),44943)</f>
        <v>44943</v>
      </c>
      <c r="B1485" s="6" t="str">
        <f ca="1">IFERROR(__xludf.DUMMYFUNCTION("""COMPUTED_VALUE"""),"Shaily Soni")</f>
        <v>Shaily Soni</v>
      </c>
      <c r="C1485" s="6" t="str">
        <f ca="1">IFERROR(__xludf.DUMMYFUNCTION("""COMPUTED_VALUE"""),"shailysoni00@gmail.com")</f>
        <v>shailysoni00@gmail.com</v>
      </c>
      <c r="D1485" s="6">
        <f ca="1">IFERROR(__xludf.DUMMYFUNCTION("""COMPUTED_VALUE"""),8860168939)</f>
        <v>8860168939</v>
      </c>
      <c r="E1485" s="6" t="str">
        <f ca="1">IFERROR(__xludf.DUMMYFUNCTION("""COMPUTED_VALUE"""),"Chat_triggered")</f>
        <v>Chat_triggered</v>
      </c>
      <c r="F1485" s="6" t="str">
        <f ca="1">IFERROR(__xludf.DUMMYFUNCTION("""COMPUTED_VALUE"""),"SAFe POPM")</f>
        <v>SAFe POPM</v>
      </c>
      <c r="G1485" s="80">
        <f ca="1">IFERROR(__xludf.DUMMYFUNCTION("""COMPUTED_VALUE"""),44927)</f>
        <v>44927</v>
      </c>
      <c r="H1485" s="6" t="str">
        <f ca="1">IFERROR(__xludf.DUMMYFUNCTION("""COMPUTED_VALUE"""),"Won")</f>
        <v>Won</v>
      </c>
      <c r="I1485" s="6" t="str">
        <f ca="1">IFERROR(__xludf.DUMMYFUNCTION("""COMPUTED_VALUE"""),"21-22 Jan 2023")</f>
        <v>21-22 Jan 2023</v>
      </c>
      <c r="J1485" s="6">
        <f ca="1">IFERROR(__xludf.DUMMYFUNCTION("""COMPUTED_VALUE"""),1)</f>
        <v>1</v>
      </c>
      <c r="K1485" s="8">
        <f ca="1">IFERROR(__xludf.DUMMYFUNCTION("""COMPUTED_VALUE"""),40061)</f>
        <v>40061</v>
      </c>
      <c r="L1485" s="8">
        <f ca="1">IFERROR(__xludf.DUMMYFUNCTION("""COMPUTED_VALUE"""),458.783783783783)</f>
        <v>458.78378378378301</v>
      </c>
      <c r="M1485" s="96">
        <f ca="1">IFERROR(__xludf.DUMMYFUNCTION("""COMPUTED_VALUE"""),44943)</f>
        <v>44943</v>
      </c>
      <c r="N1485" s="6" t="str">
        <f ca="1">IFERROR(__xludf.DUMMYFUNCTION("""COMPUTED_VALUE"""),"S10")</f>
        <v>S10</v>
      </c>
      <c r="O1485" s="97">
        <f ca="1">IFERROR(__xludf.DUMMYFUNCTION("""COMPUTED_VALUE"""),44943)</f>
        <v>44943</v>
      </c>
      <c r="P1485" s="6" t="str">
        <f ca="1">IFERROR(__xludf.DUMMYFUNCTION("""COMPUTED_VALUE"""),"CSTM_JE0UVUJJB5L")</f>
        <v>CSTM_JE0UVUJJB5L</v>
      </c>
      <c r="Q1485" s="6"/>
      <c r="R1485" s="6" t="str">
        <f ca="1">IFERROR(__xludf.DUMMYFUNCTION("""COMPUTED_VALUE"""),"Pending")</f>
        <v>Pending</v>
      </c>
      <c r="S1485" s="6" t="str">
        <f ca="1">IFERROR(__xludf.DUMMYFUNCTION("""COMPUTED_VALUE"""),"SAFe")</f>
        <v>SAFe</v>
      </c>
      <c r="T1485" s="6"/>
      <c r="U1485" s="6"/>
      <c r="V1485" s="6"/>
      <c r="W1485" s="6"/>
      <c r="X1485" s="6"/>
      <c r="Y1485" s="6"/>
      <c r="Z1485" s="6"/>
      <c r="AA1485" s="6"/>
      <c r="AB1485" s="6"/>
      <c r="AC1485" s="6"/>
      <c r="AD1485" s="6"/>
      <c r="AE1485" s="6"/>
      <c r="AF1485" s="6"/>
      <c r="AG1485" s="6"/>
      <c r="AH1485" s="6"/>
      <c r="AI1485" s="6"/>
      <c r="AJ1485" s="6"/>
      <c r="AK1485" s="6"/>
      <c r="AL1485" s="6"/>
    </row>
    <row r="1486" spans="1:38">
      <c r="A1486" s="96">
        <f ca="1">IFERROR(__xludf.DUMMYFUNCTION("""COMPUTED_VALUE"""),44945)</f>
        <v>44945</v>
      </c>
      <c r="B1486" s="6" t="str">
        <f ca="1">IFERROR(__xludf.DUMMYFUNCTION("""COMPUTED_VALUE"""),"Moonmoon")</f>
        <v>Moonmoon</v>
      </c>
      <c r="C1486" s="6" t="str">
        <f ca="1">IFERROR(__xludf.DUMMYFUNCTION("""COMPUTED_VALUE"""),"moonshinee6@gmail.com")</f>
        <v>moonshinee6@gmail.com</v>
      </c>
      <c r="D1486" s="6">
        <f ca="1">IFERROR(__xludf.DUMMYFUNCTION("""COMPUTED_VALUE"""),9819539326)</f>
        <v>9819539326</v>
      </c>
      <c r="E1486" s="6" t="str">
        <f ca="1">IFERROR(__xludf.DUMMYFUNCTION("""COMPUTED_VALUE"""),"Reference")</f>
        <v>Reference</v>
      </c>
      <c r="F1486" s="6" t="str">
        <f ca="1">IFERROR(__xludf.DUMMYFUNCTION("""COMPUTED_VALUE"""),"SAFe Agile")</f>
        <v>SAFe Agile</v>
      </c>
      <c r="G1486" s="80">
        <f ca="1">IFERROR(__xludf.DUMMYFUNCTION("""COMPUTED_VALUE"""),44927)</f>
        <v>44927</v>
      </c>
      <c r="H1486" s="6" t="str">
        <f ca="1">IFERROR(__xludf.DUMMYFUNCTION("""COMPUTED_VALUE"""),"Won")</f>
        <v>Won</v>
      </c>
      <c r="I1486" s="6" t="str">
        <f ca="1">IFERROR(__xludf.DUMMYFUNCTION("""COMPUTED_VALUE"""),"21-22 Jan 2023")</f>
        <v>21-22 Jan 2023</v>
      </c>
      <c r="J1486" s="6">
        <f ca="1">IFERROR(__xludf.DUMMYFUNCTION("""COMPUTED_VALUE"""),1)</f>
        <v>1</v>
      </c>
      <c r="K1486" s="8">
        <f ca="1">IFERROR(__xludf.DUMMYFUNCTION("""COMPUTED_VALUE"""),41000)</f>
        <v>41000</v>
      </c>
      <c r="L1486" s="8">
        <f ca="1">IFERROR(__xludf.DUMMYFUNCTION("""COMPUTED_VALUE"""),469.537333944113)</f>
        <v>469.53733394411302</v>
      </c>
      <c r="M1486" s="96">
        <f ca="1">IFERROR(__xludf.DUMMYFUNCTION("""COMPUTED_VALUE"""),44945)</f>
        <v>44945</v>
      </c>
      <c r="N1486" s="6" t="str">
        <f ca="1">IFERROR(__xludf.DUMMYFUNCTION("""COMPUTED_VALUE"""),"S10")</f>
        <v>S10</v>
      </c>
      <c r="O1486" s="97">
        <f ca="1">IFERROR(__xludf.DUMMYFUNCTION("""COMPUTED_VALUE"""),44945)</f>
        <v>44945</v>
      </c>
      <c r="P1486" s="6" t="str">
        <f ca="1">IFERROR(__xludf.DUMMYFUNCTION("""COMPUTED_VALUE"""),"CSTM_ER3E1ABRI3P")</f>
        <v>CSTM_ER3E1ABRI3P</v>
      </c>
      <c r="Q1486" s="6"/>
      <c r="R1486" s="6" t="str">
        <f ca="1">IFERROR(__xludf.DUMMYFUNCTION("""COMPUTED_VALUE"""),"Pending")</f>
        <v>Pending</v>
      </c>
      <c r="S1486" s="6" t="str">
        <f ca="1">IFERROR(__xludf.DUMMYFUNCTION("""COMPUTED_VALUE"""),"SAFe")</f>
        <v>SAFe</v>
      </c>
      <c r="T1486" s="6"/>
      <c r="U1486" s="6"/>
      <c r="V1486" s="6"/>
      <c r="W1486" s="6"/>
      <c r="X1486" s="6"/>
      <c r="Y1486" s="6"/>
      <c r="Z1486" s="6"/>
      <c r="AA1486" s="6"/>
      <c r="AB1486" s="6"/>
      <c r="AC1486" s="6"/>
      <c r="AD1486" s="6"/>
      <c r="AE1486" s="6"/>
      <c r="AF1486" s="6"/>
      <c r="AG1486" s="6"/>
      <c r="AH1486" s="6"/>
      <c r="AI1486" s="6"/>
      <c r="AJ1486" s="6"/>
      <c r="AK1486" s="6"/>
      <c r="AL1486" s="6"/>
    </row>
    <row r="1487" spans="1:38">
      <c r="A1487" s="96">
        <f ca="1">IFERROR(__xludf.DUMMYFUNCTION("""COMPUTED_VALUE"""),44945)</f>
        <v>44945</v>
      </c>
      <c r="B1487" s="6" t="str">
        <f ca="1">IFERROR(__xludf.DUMMYFUNCTION("""COMPUTED_VALUE"""),"Riaz")</f>
        <v>Riaz</v>
      </c>
      <c r="C1487" s="6" t="str">
        <f ca="1">IFERROR(__xludf.DUMMYFUNCTION("""COMPUTED_VALUE"""),"riazdude@gmail.com")</f>
        <v>riazdude@gmail.com</v>
      </c>
      <c r="D1487" s="6">
        <f ca="1">IFERROR(__xludf.DUMMYFUNCTION("""COMPUTED_VALUE"""),9619006462)</f>
        <v>9619006462</v>
      </c>
      <c r="E1487" s="6" t="str">
        <f ca="1">IFERROR(__xludf.DUMMYFUNCTION("""COMPUTED_VALUE"""),"Existing Account")</f>
        <v>Existing Account</v>
      </c>
      <c r="F1487" s="6" t="str">
        <f ca="1">IFERROR(__xludf.DUMMYFUNCTION("""COMPUTED_VALUE"""),"ITIL v4")</f>
        <v>ITIL v4</v>
      </c>
      <c r="G1487" s="80">
        <f ca="1">IFERROR(__xludf.DUMMYFUNCTION("""COMPUTED_VALUE"""),44927)</f>
        <v>44927</v>
      </c>
      <c r="H1487" s="6" t="str">
        <f ca="1">IFERROR(__xludf.DUMMYFUNCTION("""COMPUTED_VALUE"""),"Won")</f>
        <v>Won</v>
      </c>
      <c r="I1487" s="6" t="str">
        <f ca="1">IFERROR(__xludf.DUMMYFUNCTION("""COMPUTED_VALUE"""),"OSL")</f>
        <v>OSL</v>
      </c>
      <c r="J1487" s="6">
        <f ca="1">IFERROR(__xludf.DUMMYFUNCTION("""COMPUTED_VALUE"""),1)</f>
        <v>1</v>
      </c>
      <c r="K1487" s="8">
        <f ca="1">IFERROR(__xludf.DUMMYFUNCTION("""COMPUTED_VALUE"""),20000)</f>
        <v>20000</v>
      </c>
      <c r="L1487" s="8">
        <f ca="1">IFERROR(__xludf.DUMMYFUNCTION("""COMPUTED_VALUE"""),229.042601923957)</f>
        <v>229.04260192395699</v>
      </c>
      <c r="M1487" s="96">
        <f ca="1">IFERROR(__xludf.DUMMYFUNCTION("""COMPUTED_VALUE"""),44945)</f>
        <v>44945</v>
      </c>
      <c r="N1487" s="6" t="str">
        <f ca="1">IFERROR(__xludf.DUMMYFUNCTION("""COMPUTED_VALUE"""),"T10")</f>
        <v>T10</v>
      </c>
      <c r="O1487" s="97">
        <f ca="1">IFERROR(__xludf.DUMMYFUNCTION("""COMPUTED_VALUE"""),44951)</f>
        <v>44951</v>
      </c>
      <c r="P1487" s="6" t="str">
        <f ca="1">IFERROR(__xludf.DUMMYFUNCTION("""COMPUTED_VALUE"""),"CSTM_7GVE480GA4Y")</f>
        <v>CSTM_7GVE480GA4Y</v>
      </c>
      <c r="Q1487" s="6"/>
      <c r="R1487" s="6" t="str">
        <f ca="1">IFERROR(__xludf.DUMMYFUNCTION("""COMPUTED_VALUE"""),"Pending")</f>
        <v>Pending</v>
      </c>
      <c r="S1487" s="6" t="str">
        <f ca="1">IFERROR(__xludf.DUMMYFUNCTION("""COMPUTED_VALUE"""),"NonCategory")</f>
        <v>NonCategory</v>
      </c>
      <c r="T1487" s="6"/>
      <c r="U1487" s="6"/>
      <c r="V1487" s="6"/>
      <c r="W1487" s="6"/>
      <c r="X1487" s="6"/>
      <c r="Y1487" s="6"/>
      <c r="Z1487" s="6"/>
      <c r="AA1487" s="6"/>
      <c r="AB1487" s="6"/>
      <c r="AC1487" s="6"/>
      <c r="AD1487" s="6"/>
      <c r="AE1487" s="6"/>
      <c r="AF1487" s="6"/>
      <c r="AG1487" s="6"/>
      <c r="AH1487" s="6"/>
      <c r="AI1487" s="6"/>
      <c r="AJ1487" s="6"/>
      <c r="AK1487" s="6"/>
      <c r="AL1487" s="6"/>
    </row>
    <row r="1488" spans="1:38">
      <c r="A1488" s="96">
        <f ca="1">IFERROR(__xludf.DUMMYFUNCTION("""COMPUTED_VALUE"""),44946)</f>
        <v>44946</v>
      </c>
      <c r="B1488" s="6" t="str">
        <f ca="1">IFERROR(__xludf.DUMMYFUNCTION("""COMPUTED_VALUE"""),"Nidhi Arora")</f>
        <v>Nidhi Arora</v>
      </c>
      <c r="C1488" s="6" t="str">
        <f ca="1">IFERROR(__xludf.DUMMYFUNCTION("""COMPUTED_VALUE"""),"nidhiaroralp@gmail.com")</f>
        <v>nidhiaroralp@gmail.com</v>
      </c>
      <c r="D1488" s="6">
        <f ca="1">IFERROR(__xludf.DUMMYFUNCTION("""COMPUTED_VALUE"""),9999466222)</f>
        <v>9999466222</v>
      </c>
      <c r="E1488" s="6" t="str">
        <f ca="1">IFERROR(__xludf.DUMMYFUNCTION("""COMPUTED_VALUE"""),"Reference")</f>
        <v>Reference</v>
      </c>
      <c r="F1488" s="6" t="str">
        <f ca="1">IFERROR(__xludf.DUMMYFUNCTION("""COMPUTED_VALUE"""),"SAFe Agile")</f>
        <v>SAFe Agile</v>
      </c>
      <c r="G1488" s="80">
        <f ca="1">IFERROR(__xludf.DUMMYFUNCTION("""COMPUTED_VALUE"""),44927)</f>
        <v>44927</v>
      </c>
      <c r="H1488" s="6" t="str">
        <f ca="1">IFERROR(__xludf.DUMMYFUNCTION("""COMPUTED_VALUE"""),"Won")</f>
        <v>Won</v>
      </c>
      <c r="I1488" s="6" t="str">
        <f ca="1">IFERROR(__xludf.DUMMYFUNCTION("""COMPUTED_VALUE"""),"4-5 Feb 2023")</f>
        <v>4-5 Feb 2023</v>
      </c>
      <c r="J1488" s="6">
        <f ca="1">IFERROR(__xludf.DUMMYFUNCTION("""COMPUTED_VALUE"""),1)</f>
        <v>1</v>
      </c>
      <c r="K1488" s="8">
        <f ca="1">IFERROR(__xludf.DUMMYFUNCTION("""COMPUTED_VALUE"""),42000)</f>
        <v>42000</v>
      </c>
      <c r="L1488" s="8">
        <f ca="1">IFERROR(__xludf.DUMMYFUNCTION("""COMPUTED_VALUE"""),480.989464040311)</f>
        <v>480.98946404031102</v>
      </c>
      <c r="M1488" s="96">
        <f ca="1">IFERROR(__xludf.DUMMYFUNCTION("""COMPUTED_VALUE"""),44946)</f>
        <v>44946</v>
      </c>
      <c r="N1488" s="6" t="str">
        <f ca="1">IFERROR(__xludf.DUMMYFUNCTION("""COMPUTED_VALUE"""),"S10")</f>
        <v>S10</v>
      </c>
      <c r="O1488" s="97">
        <f ca="1">IFERROR(__xludf.DUMMYFUNCTION("""COMPUTED_VALUE"""),44946)</f>
        <v>44946</v>
      </c>
      <c r="P1488" s="6" t="str">
        <f ca="1">IFERROR(__xludf.DUMMYFUNCTION("""COMPUTED_VALUE"""),"CSTM_6GQFBHJ1DYA")</f>
        <v>CSTM_6GQFBHJ1DYA</v>
      </c>
      <c r="Q1488" s="6"/>
      <c r="R1488" s="6" t="str">
        <f ca="1">IFERROR(__xludf.DUMMYFUNCTION("""COMPUTED_VALUE"""),"Pending")</f>
        <v>Pending</v>
      </c>
      <c r="S1488" s="6" t="str">
        <f ca="1">IFERROR(__xludf.DUMMYFUNCTION("""COMPUTED_VALUE"""),"SAFe")</f>
        <v>SAFe</v>
      </c>
      <c r="T1488" s="6"/>
      <c r="U1488" s="6"/>
      <c r="V1488" s="6"/>
      <c r="W1488" s="6"/>
      <c r="X1488" s="6"/>
      <c r="Y1488" s="6"/>
      <c r="Z1488" s="6"/>
      <c r="AA1488" s="6"/>
      <c r="AB1488" s="6"/>
      <c r="AC1488" s="6"/>
      <c r="AD1488" s="6"/>
      <c r="AE1488" s="6"/>
      <c r="AF1488" s="6"/>
      <c r="AG1488" s="6"/>
      <c r="AH1488" s="6"/>
      <c r="AI1488" s="6"/>
      <c r="AJ1488" s="6"/>
      <c r="AK1488" s="6"/>
      <c r="AL1488" s="6"/>
    </row>
    <row r="1489" spans="1:38">
      <c r="A1489" s="96">
        <f ca="1">IFERROR(__xludf.DUMMYFUNCTION("""COMPUTED_VALUE"""),44946)</f>
        <v>44946</v>
      </c>
      <c r="B1489" s="6" t="str">
        <f ca="1">IFERROR(__xludf.DUMMYFUNCTION("""COMPUTED_VALUE"""),"Nandhini PS")</f>
        <v>Nandhini PS</v>
      </c>
      <c r="C1489" s="6" t="str">
        <f ca="1">IFERROR(__xludf.DUMMYFUNCTION("""COMPUTED_VALUE"""),"psnandhinimay7@gmail.com")</f>
        <v>psnandhinimay7@gmail.com</v>
      </c>
      <c r="D1489" s="6">
        <f ca="1">IFERROR(__xludf.DUMMYFUNCTION("""COMPUTED_VALUE"""),9600512657)</f>
        <v>9600512657</v>
      </c>
      <c r="E1489" s="6" t="str">
        <f ca="1">IFERROR(__xludf.DUMMYFUNCTION("""COMPUTED_VALUE"""),"Query box")</f>
        <v>Query box</v>
      </c>
      <c r="F1489" s="6" t="str">
        <f ca="1">IFERROR(__xludf.DUMMYFUNCTION("""COMPUTED_VALUE"""),"SAFe Agile")</f>
        <v>SAFe Agile</v>
      </c>
      <c r="G1489" s="80">
        <f ca="1">IFERROR(__xludf.DUMMYFUNCTION("""COMPUTED_VALUE"""),44927)</f>
        <v>44927</v>
      </c>
      <c r="H1489" s="6" t="str">
        <f ca="1">IFERROR(__xludf.DUMMYFUNCTION("""COMPUTED_VALUE"""),"Won")</f>
        <v>Won</v>
      </c>
      <c r="I1489" s="6" t="str">
        <f ca="1">IFERROR(__xludf.DUMMYFUNCTION("""COMPUTED_VALUE"""),"4-5 Feb 2023")</f>
        <v>4-5 Feb 2023</v>
      </c>
      <c r="J1489" s="6">
        <f ca="1">IFERROR(__xludf.DUMMYFUNCTION("""COMPUTED_VALUE"""),1)</f>
        <v>1</v>
      </c>
      <c r="K1489" s="8">
        <f ca="1">IFERROR(__xludf.DUMMYFUNCTION("""COMPUTED_VALUE"""),42000)</f>
        <v>42000</v>
      </c>
      <c r="L1489" s="8">
        <f ca="1">IFERROR(__xludf.DUMMYFUNCTION("""COMPUTED_VALUE"""),480.989464040311)</f>
        <v>480.98946404031102</v>
      </c>
      <c r="M1489" s="96">
        <f ca="1">IFERROR(__xludf.DUMMYFUNCTION("""COMPUTED_VALUE"""),44946)</f>
        <v>44946</v>
      </c>
      <c r="N1489" s="6" t="str">
        <f ca="1">IFERROR(__xludf.DUMMYFUNCTION("""COMPUTED_VALUE"""),"S10")</f>
        <v>S10</v>
      </c>
      <c r="O1489" s="97">
        <f ca="1">IFERROR(__xludf.DUMMYFUNCTION("""COMPUTED_VALUE"""),44946)</f>
        <v>44946</v>
      </c>
      <c r="P1489" s="6" t="str">
        <f ca="1">IFERROR(__xludf.DUMMYFUNCTION("""COMPUTED_VALUE"""),"CSTM_HQTCGJHCU7K")</f>
        <v>CSTM_HQTCGJHCU7K</v>
      </c>
      <c r="Q1489" s="6"/>
      <c r="R1489" s="6" t="str">
        <f ca="1">IFERROR(__xludf.DUMMYFUNCTION("""COMPUTED_VALUE"""),"Pending")</f>
        <v>Pending</v>
      </c>
      <c r="S1489" s="6" t="str">
        <f ca="1">IFERROR(__xludf.DUMMYFUNCTION("""COMPUTED_VALUE"""),"SAFe")</f>
        <v>SAFe</v>
      </c>
      <c r="T1489" s="6"/>
      <c r="U1489" s="6"/>
      <c r="V1489" s="6"/>
      <c r="W1489" s="6"/>
      <c r="X1489" s="6"/>
      <c r="Y1489" s="6"/>
      <c r="Z1489" s="6"/>
      <c r="AA1489" s="6"/>
      <c r="AB1489" s="6"/>
      <c r="AC1489" s="6"/>
      <c r="AD1489" s="6"/>
      <c r="AE1489" s="6"/>
      <c r="AF1489" s="6"/>
      <c r="AG1489" s="6"/>
      <c r="AH1489" s="6"/>
      <c r="AI1489" s="6"/>
      <c r="AJ1489" s="6"/>
      <c r="AK1489" s="6"/>
      <c r="AL1489" s="6"/>
    </row>
    <row r="1490" spans="1:38">
      <c r="A1490" s="96">
        <f ca="1">IFERROR(__xludf.DUMMYFUNCTION("""COMPUTED_VALUE"""),44946)</f>
        <v>44946</v>
      </c>
      <c r="B1490" s="6" t="str">
        <f ca="1">IFERROR(__xludf.DUMMYFUNCTION("""COMPUTED_VALUE"""),"Renu Sharma")</f>
        <v>Renu Sharma</v>
      </c>
      <c r="C1490" s="6" t="str">
        <f ca="1">IFERROR(__xludf.DUMMYFUNCTION("""COMPUTED_VALUE"""),"renu.sharma934@gmail.com")</f>
        <v>renu.sharma934@gmail.com</v>
      </c>
      <c r="D1490" s="6">
        <f ca="1">IFERROR(__xludf.DUMMYFUNCTION("""COMPUTED_VALUE"""),9990724705)</f>
        <v>9990724705</v>
      </c>
      <c r="E1490" s="6" t="str">
        <f ca="1">IFERROR(__xludf.DUMMYFUNCTION("""COMPUTED_VALUE"""),"Chat_triggered")</f>
        <v>Chat_triggered</v>
      </c>
      <c r="F1490" s="6" t="str">
        <f ca="1">IFERROR(__xludf.DUMMYFUNCTION("""COMPUTED_VALUE"""),"PMP with Exam")</f>
        <v>PMP with Exam</v>
      </c>
      <c r="G1490" s="80">
        <f ca="1">IFERROR(__xludf.DUMMYFUNCTION("""COMPUTED_VALUE"""),44927)</f>
        <v>44927</v>
      </c>
      <c r="H1490" s="6" t="str">
        <f ca="1">IFERROR(__xludf.DUMMYFUNCTION("""COMPUTED_VALUE"""),"Won")</f>
        <v>Won</v>
      </c>
      <c r="I1490" s="6" t="str">
        <f ca="1">IFERROR(__xludf.DUMMYFUNCTION("""COMPUTED_VALUE"""),"28 Jan 2023")</f>
        <v>28 Jan 2023</v>
      </c>
      <c r="J1490" s="6">
        <f ca="1">IFERROR(__xludf.DUMMYFUNCTION("""COMPUTED_VALUE"""),1)</f>
        <v>1</v>
      </c>
      <c r="K1490" s="8">
        <f ca="1">IFERROR(__xludf.DUMMYFUNCTION("""COMPUTED_VALUE"""),45000)</f>
        <v>45000</v>
      </c>
      <c r="L1490" s="8">
        <f ca="1">IFERROR(__xludf.DUMMYFUNCTION("""COMPUTED_VALUE"""),515.345854328905)</f>
        <v>515.34585432890503</v>
      </c>
      <c r="M1490" s="96">
        <f ca="1">IFERROR(__xludf.DUMMYFUNCTION("""COMPUTED_VALUE"""),44946)</f>
        <v>44946</v>
      </c>
      <c r="N1490" s="6" t="str">
        <f ca="1">IFERROR(__xludf.DUMMYFUNCTION("""COMPUTED_VALUE"""),"S10")</f>
        <v>S10</v>
      </c>
      <c r="O1490" s="97">
        <f ca="1">IFERROR(__xludf.DUMMYFUNCTION("""COMPUTED_VALUE"""),44946)</f>
        <v>44946</v>
      </c>
      <c r="P1490" s="6" t="str">
        <f ca="1">IFERROR(__xludf.DUMMYFUNCTION("""COMPUTED_VALUE"""),"CSTM_HLW0G3HMIFL")</f>
        <v>CSTM_HLW0G3HMIFL</v>
      </c>
      <c r="Q1490" s="6"/>
      <c r="R1490" s="6" t="str">
        <f ca="1">IFERROR(__xludf.DUMMYFUNCTION("""COMPUTED_VALUE"""),"Pending")</f>
        <v>Pending</v>
      </c>
      <c r="S1490" s="6" t="str">
        <f ca="1">IFERROR(__xludf.DUMMYFUNCTION("""COMPUTED_VALUE"""),"NonCategory")</f>
        <v>NonCategory</v>
      </c>
      <c r="T1490" s="6"/>
      <c r="U1490" s="6"/>
      <c r="V1490" s="6"/>
      <c r="W1490" s="6"/>
      <c r="X1490" s="6"/>
      <c r="Y1490" s="6"/>
      <c r="Z1490" s="6"/>
      <c r="AA1490" s="6"/>
      <c r="AB1490" s="6"/>
      <c r="AC1490" s="6"/>
      <c r="AD1490" s="6"/>
      <c r="AE1490" s="6"/>
      <c r="AF1490" s="6"/>
      <c r="AG1490" s="6"/>
      <c r="AH1490" s="6"/>
      <c r="AI1490" s="6"/>
      <c r="AJ1490" s="6"/>
      <c r="AK1490" s="6"/>
      <c r="AL1490" s="6"/>
    </row>
    <row r="1491" spans="1:38">
      <c r="A1491" s="96">
        <f ca="1">IFERROR(__xludf.DUMMYFUNCTION("""COMPUTED_VALUE"""),44947)</f>
        <v>44947</v>
      </c>
      <c r="B1491" s="6" t="str">
        <f ca="1">IFERROR(__xludf.DUMMYFUNCTION("""COMPUTED_VALUE"""),"Anu Apoorva")</f>
        <v>Anu Apoorva</v>
      </c>
      <c r="C1491" s="6" t="str">
        <f ca="1">IFERROR(__xludf.DUMMYFUNCTION("""COMPUTED_VALUE"""),"anu.apoorva@gmail.com")</f>
        <v>anu.apoorva@gmail.com</v>
      </c>
      <c r="D1491" s="6">
        <f ca="1">IFERROR(__xludf.DUMMYFUNCTION("""COMPUTED_VALUE"""),9953989884)</f>
        <v>9953989884</v>
      </c>
      <c r="E1491" s="6" t="str">
        <f ca="1">IFERROR(__xludf.DUMMYFUNCTION("""COMPUTED_VALUE"""),"Chat_triggered")</f>
        <v>Chat_triggered</v>
      </c>
      <c r="F1491" s="6" t="str">
        <f ca="1">IFERROR(__xludf.DUMMYFUNCTION("""COMPUTED_VALUE"""),"PSPO")</f>
        <v>PSPO</v>
      </c>
      <c r="G1491" s="80">
        <f ca="1">IFERROR(__xludf.DUMMYFUNCTION("""COMPUTED_VALUE"""),44927)</f>
        <v>44927</v>
      </c>
      <c r="H1491" s="6" t="str">
        <f ca="1">IFERROR(__xludf.DUMMYFUNCTION("""COMPUTED_VALUE"""),"Won")</f>
        <v>Won</v>
      </c>
      <c r="I1491" s="6" t="str">
        <f ca="1">IFERROR(__xludf.DUMMYFUNCTION("""COMPUTED_VALUE"""),"18-19 Feb 2023")</f>
        <v>18-19 Feb 2023</v>
      </c>
      <c r="J1491" s="6">
        <f ca="1">IFERROR(__xludf.DUMMYFUNCTION("""COMPUTED_VALUE"""),1)</f>
        <v>1</v>
      </c>
      <c r="K1491" s="8">
        <f ca="1">IFERROR(__xludf.DUMMYFUNCTION("""COMPUTED_VALUE"""),21000)</f>
        <v>21000</v>
      </c>
      <c r="L1491" s="8">
        <f ca="1">IFERROR(__xludf.DUMMYFUNCTION("""COMPUTED_VALUE"""),240.494732020155)</f>
        <v>240.494732020155</v>
      </c>
      <c r="M1491" s="96">
        <f ca="1">IFERROR(__xludf.DUMMYFUNCTION("""COMPUTED_VALUE"""),44947)</f>
        <v>44947</v>
      </c>
      <c r="N1491" s="6" t="str">
        <f ca="1">IFERROR(__xludf.DUMMYFUNCTION("""COMPUTED_VALUE"""),"T10")</f>
        <v>T10</v>
      </c>
      <c r="O1491" s="97">
        <f ca="1">IFERROR(__xludf.DUMMYFUNCTION("""COMPUTED_VALUE"""),44947)</f>
        <v>44947</v>
      </c>
      <c r="P1491" s="6" t="str">
        <f ca="1">IFERROR(__xludf.DUMMYFUNCTION("""COMPUTED_VALUE"""),"CSTM_DL9T2I1A85S")</f>
        <v>CSTM_DL9T2I1A85S</v>
      </c>
      <c r="Q1491" s="6"/>
      <c r="R1491" s="6" t="str">
        <f ca="1">IFERROR(__xludf.DUMMYFUNCTION("""COMPUTED_VALUE"""),"Pending")</f>
        <v>Pending</v>
      </c>
      <c r="S1491" s="6" t="str">
        <f ca="1">IFERROR(__xludf.DUMMYFUNCTION("""COMPUTED_VALUE"""),"Category")</f>
        <v>Category</v>
      </c>
      <c r="T1491" s="6"/>
      <c r="U1491" s="6"/>
      <c r="V1491" s="6"/>
      <c r="W1491" s="6"/>
      <c r="X1491" s="6"/>
      <c r="Y1491" s="6"/>
      <c r="Z1491" s="6"/>
      <c r="AA1491" s="6"/>
      <c r="AB1491" s="6"/>
      <c r="AC1491" s="6"/>
      <c r="AD1491" s="6"/>
      <c r="AE1491" s="6"/>
      <c r="AF1491" s="6"/>
      <c r="AG1491" s="6"/>
      <c r="AH1491" s="6"/>
      <c r="AI1491" s="6"/>
      <c r="AJ1491" s="6"/>
      <c r="AK1491" s="6"/>
      <c r="AL1491" s="6"/>
    </row>
    <row r="1492" spans="1:38">
      <c r="A1492" s="96">
        <f ca="1">IFERROR(__xludf.DUMMYFUNCTION("""COMPUTED_VALUE"""),44947)</f>
        <v>44947</v>
      </c>
      <c r="B1492" s="6" t="str">
        <f ca="1">IFERROR(__xludf.DUMMYFUNCTION("""COMPUTED_VALUE"""),"Deepti Mishra")</f>
        <v>Deepti Mishra</v>
      </c>
      <c r="C1492" s="6" t="str">
        <f ca="1">IFERROR(__xludf.DUMMYFUNCTION("""COMPUTED_VALUE"""),"deeptimishra_84@yahoo.com")</f>
        <v>deeptimishra_84@yahoo.com</v>
      </c>
      <c r="D1492" s="6">
        <f ca="1">IFERROR(__xludf.DUMMYFUNCTION("""COMPUTED_VALUE"""),8588817264)</f>
        <v>8588817264</v>
      </c>
      <c r="E1492" s="6" t="str">
        <f ca="1">IFERROR(__xludf.DUMMYFUNCTION("""COMPUTED_VALUE"""),"Chat_triggered")</f>
        <v>Chat_triggered</v>
      </c>
      <c r="F1492" s="6" t="str">
        <f ca="1">IFERROR(__xludf.DUMMYFUNCTION("""COMPUTED_VALUE"""),"PSM 2")</f>
        <v>PSM 2</v>
      </c>
      <c r="G1492" s="80">
        <f ca="1">IFERROR(__xludf.DUMMYFUNCTION("""COMPUTED_VALUE"""),44927)</f>
        <v>44927</v>
      </c>
      <c r="H1492" s="6" t="str">
        <f ca="1">IFERROR(__xludf.DUMMYFUNCTION("""COMPUTED_VALUE"""),"Won")</f>
        <v>Won</v>
      </c>
      <c r="I1492" s="6" t="str">
        <f ca="1">IFERROR(__xludf.DUMMYFUNCTION("""COMPUTED_VALUE"""),"28-29 Jan 2023")</f>
        <v>28-29 Jan 2023</v>
      </c>
      <c r="J1492" s="6">
        <f ca="1">IFERROR(__xludf.DUMMYFUNCTION("""COMPUTED_VALUE"""),1)</f>
        <v>1</v>
      </c>
      <c r="K1492" s="8">
        <f ca="1">IFERROR(__xludf.DUMMYFUNCTION("""COMPUTED_VALUE"""),24000)</f>
        <v>24000</v>
      </c>
      <c r="L1492" s="8">
        <f ca="1">IFERROR(__xludf.DUMMYFUNCTION("""COMPUTED_VALUE"""),274.851122308749)</f>
        <v>274.85112230874898</v>
      </c>
      <c r="M1492" s="96">
        <f ca="1">IFERROR(__xludf.DUMMYFUNCTION("""COMPUTED_VALUE"""),44947)</f>
        <v>44947</v>
      </c>
      <c r="N1492" s="6" t="str">
        <f ca="1">IFERROR(__xludf.DUMMYFUNCTION("""COMPUTED_VALUE"""),"T10")</f>
        <v>T10</v>
      </c>
      <c r="O1492" s="97">
        <f ca="1">IFERROR(__xludf.DUMMYFUNCTION("""COMPUTED_VALUE"""),44949)</f>
        <v>44949</v>
      </c>
      <c r="P1492" s="6" t="str">
        <f ca="1">IFERROR(__xludf.DUMMYFUNCTION("""COMPUTED_VALUE"""),"CSTM_AKC772R9CVB")</f>
        <v>CSTM_AKC772R9CVB</v>
      </c>
      <c r="Q1492" s="6"/>
      <c r="R1492" s="6" t="str">
        <f ca="1">IFERROR(__xludf.DUMMYFUNCTION("""COMPUTED_VALUE"""),"Pending")</f>
        <v>Pending</v>
      </c>
      <c r="S1492" s="6" t="str">
        <f ca="1">IFERROR(__xludf.DUMMYFUNCTION("""COMPUTED_VALUE"""),"Category")</f>
        <v>Category</v>
      </c>
      <c r="T1492" s="6"/>
      <c r="U1492" s="6"/>
      <c r="V1492" s="6"/>
      <c r="W1492" s="6"/>
      <c r="X1492" s="6"/>
      <c r="Y1492" s="6"/>
      <c r="Z1492" s="6"/>
      <c r="AA1492" s="6"/>
      <c r="AB1492" s="6"/>
      <c r="AC1492" s="6"/>
      <c r="AD1492" s="6"/>
      <c r="AE1492" s="6"/>
      <c r="AF1492" s="6"/>
      <c r="AG1492" s="6"/>
      <c r="AH1492" s="6"/>
      <c r="AI1492" s="6"/>
      <c r="AJ1492" s="6"/>
      <c r="AK1492" s="6"/>
      <c r="AL1492" s="6"/>
    </row>
    <row r="1493" spans="1:38">
      <c r="A1493" s="96">
        <f ca="1">IFERROR(__xludf.DUMMYFUNCTION("""COMPUTED_VALUE"""),44947)</f>
        <v>44947</v>
      </c>
      <c r="B1493" s="6" t="str">
        <f ca="1">IFERROR(__xludf.DUMMYFUNCTION("""COMPUTED_VALUE"""),"Krupa Padmanaban")</f>
        <v>Krupa Padmanaban</v>
      </c>
      <c r="C1493" s="6" t="str">
        <f ca="1">IFERROR(__xludf.DUMMYFUNCTION("""COMPUTED_VALUE"""),"krupa.padmanaban@gmail.com")</f>
        <v>krupa.padmanaban@gmail.com</v>
      </c>
      <c r="D1493" s="6">
        <f ca="1">IFERROR(__xludf.DUMMYFUNCTION("""COMPUTED_VALUE"""),8892133156)</f>
        <v>8892133156</v>
      </c>
      <c r="E1493" s="6" t="str">
        <f ca="1">IFERROR(__xludf.DUMMYFUNCTION("""COMPUTED_VALUE"""),"refer&amp;earn")</f>
        <v>refer&amp;earn</v>
      </c>
      <c r="F1493" s="6" t="str">
        <f ca="1">IFERROR(__xludf.DUMMYFUNCTION("""COMPUTED_VALUE"""),"PSM 2")</f>
        <v>PSM 2</v>
      </c>
      <c r="G1493" s="80">
        <f ca="1">IFERROR(__xludf.DUMMYFUNCTION("""COMPUTED_VALUE"""),44927)</f>
        <v>44927</v>
      </c>
      <c r="H1493" s="6" t="str">
        <f ca="1">IFERROR(__xludf.DUMMYFUNCTION("""COMPUTED_VALUE"""),"Won")</f>
        <v>Won</v>
      </c>
      <c r="I1493" s="6" t="str">
        <f ca="1">IFERROR(__xludf.DUMMYFUNCTION("""COMPUTED_VALUE"""),"28-29 Jan 2023")</f>
        <v>28-29 Jan 2023</v>
      </c>
      <c r="J1493" s="6">
        <f ca="1">IFERROR(__xludf.DUMMYFUNCTION("""COMPUTED_VALUE"""),1)</f>
        <v>1</v>
      </c>
      <c r="K1493" s="8">
        <f ca="1">IFERROR(__xludf.DUMMYFUNCTION("""COMPUTED_VALUE"""),24000)</f>
        <v>24000</v>
      </c>
      <c r="L1493" s="8">
        <f ca="1">IFERROR(__xludf.DUMMYFUNCTION("""COMPUTED_VALUE"""),274.851122308749)</f>
        <v>274.85112230874898</v>
      </c>
      <c r="M1493" s="96">
        <f ca="1">IFERROR(__xludf.DUMMYFUNCTION("""COMPUTED_VALUE"""),44947)</f>
        <v>44947</v>
      </c>
      <c r="N1493" s="6" t="str">
        <f ca="1">IFERROR(__xludf.DUMMYFUNCTION("""COMPUTED_VALUE"""),"T10")</f>
        <v>T10</v>
      </c>
      <c r="O1493" s="97">
        <f ca="1">IFERROR(__xludf.DUMMYFUNCTION("""COMPUTED_VALUE"""),44949)</f>
        <v>44949</v>
      </c>
      <c r="P1493" s="6" t="str">
        <f ca="1">IFERROR(__xludf.DUMMYFUNCTION("""COMPUTED_VALUE"""),"CSTM_5UC1LNH6WVM")</f>
        <v>CSTM_5UC1LNH6WVM</v>
      </c>
      <c r="Q1493" s="6"/>
      <c r="R1493" s="6" t="str">
        <f ca="1">IFERROR(__xludf.DUMMYFUNCTION("""COMPUTED_VALUE"""),"Pending")</f>
        <v>Pending</v>
      </c>
      <c r="S1493" s="6" t="str">
        <f ca="1">IFERROR(__xludf.DUMMYFUNCTION("""COMPUTED_VALUE"""),"Category")</f>
        <v>Category</v>
      </c>
      <c r="T1493" s="6"/>
      <c r="U1493" s="6"/>
      <c r="V1493" s="6"/>
      <c r="W1493" s="6"/>
      <c r="X1493" s="6"/>
      <c r="Y1493" s="6"/>
      <c r="Z1493" s="6"/>
      <c r="AA1493" s="6"/>
      <c r="AB1493" s="6"/>
      <c r="AC1493" s="6"/>
      <c r="AD1493" s="6"/>
      <c r="AE1493" s="6"/>
      <c r="AF1493" s="6"/>
      <c r="AG1493" s="6"/>
      <c r="AH1493" s="6"/>
      <c r="AI1493" s="6"/>
      <c r="AJ1493" s="6"/>
      <c r="AK1493" s="6"/>
      <c r="AL1493" s="6"/>
    </row>
    <row r="1494" spans="1:38">
      <c r="A1494" s="96">
        <f ca="1">IFERROR(__xludf.DUMMYFUNCTION("""COMPUTED_VALUE"""),44948)</f>
        <v>44948</v>
      </c>
      <c r="B1494" s="6" t="str">
        <f ca="1">IFERROR(__xludf.DUMMYFUNCTION("""COMPUTED_VALUE"""),"Lazarus Imanuel")</f>
        <v>Lazarus Imanuel</v>
      </c>
      <c r="C1494" s="6" t="str">
        <f ca="1">IFERROR(__xludf.DUMMYFUNCTION("""COMPUTED_VALUE"""),"lazar2manuel@yahoo.co.in")</f>
        <v>lazar2manuel@yahoo.co.in</v>
      </c>
      <c r="D1494" s="6">
        <f ca="1">IFERROR(__xludf.DUMMYFUNCTION("""COMPUTED_VALUE"""),9886727222)</f>
        <v>9886727222</v>
      </c>
      <c r="E1494" s="6" t="str">
        <f ca="1">IFERROR(__xludf.DUMMYFUNCTION("""COMPUTED_VALUE"""),"Reference")</f>
        <v>Reference</v>
      </c>
      <c r="F1494" s="6" t="str">
        <f ca="1">IFERROR(__xludf.DUMMYFUNCTION("""COMPUTED_VALUE"""),"CSM")</f>
        <v>CSM</v>
      </c>
      <c r="G1494" s="80">
        <f ca="1">IFERROR(__xludf.DUMMYFUNCTION("""COMPUTED_VALUE"""),44927)</f>
        <v>44927</v>
      </c>
      <c r="H1494" s="6" t="str">
        <f ca="1">IFERROR(__xludf.DUMMYFUNCTION("""COMPUTED_VALUE"""),"Won")</f>
        <v>Won</v>
      </c>
      <c r="I1494" s="6" t="str">
        <f ca="1">IFERROR(__xludf.DUMMYFUNCTION("""COMPUTED_VALUE"""),"23-25 Jan 2023")</f>
        <v>23-25 Jan 2023</v>
      </c>
      <c r="J1494" s="6">
        <f ca="1">IFERROR(__xludf.DUMMYFUNCTION("""COMPUTED_VALUE"""),1)</f>
        <v>1</v>
      </c>
      <c r="K1494" s="8">
        <f ca="1">IFERROR(__xludf.DUMMYFUNCTION("""COMPUTED_VALUE"""),20000)</f>
        <v>20000</v>
      </c>
      <c r="L1494" s="8">
        <f ca="1">IFERROR(__xludf.DUMMYFUNCTION("""COMPUTED_VALUE"""),229.042601923957)</f>
        <v>229.04260192395699</v>
      </c>
      <c r="M1494" s="96">
        <f ca="1">IFERROR(__xludf.DUMMYFUNCTION("""COMPUTED_VALUE"""),44948)</f>
        <v>44948</v>
      </c>
      <c r="N1494" s="6" t="str">
        <f ca="1">IFERROR(__xludf.DUMMYFUNCTION("""COMPUTED_VALUE"""),"T10")</f>
        <v>T10</v>
      </c>
      <c r="O1494" s="97">
        <f ca="1">IFERROR(__xludf.DUMMYFUNCTION("""COMPUTED_VALUE"""),44948)</f>
        <v>44948</v>
      </c>
      <c r="P1494" s="6" t="str">
        <f ca="1">IFERROR(__xludf.DUMMYFUNCTION("""COMPUTED_VALUE"""),"CSTM_CBUTVMX6IMY")</f>
        <v>CSTM_CBUTVMX6IMY</v>
      </c>
      <c r="Q1494" s="6" t="str">
        <f ca="1">IFERROR(__xludf.DUMMYFUNCTION("""COMPUTED_VALUE"""),"Reference by pragyak491@gmail.com")</f>
        <v>Reference by pragyak491@gmail.com</v>
      </c>
      <c r="R1494" s="6" t="str">
        <f ca="1">IFERROR(__xludf.DUMMYFUNCTION("""COMPUTED_VALUE"""),"Pending")</f>
        <v>Pending</v>
      </c>
      <c r="S1494" s="6" t="str">
        <f ca="1">IFERROR(__xludf.DUMMYFUNCTION("""COMPUTED_VALUE"""),"Category")</f>
        <v>Category</v>
      </c>
      <c r="T1494" s="6"/>
      <c r="U1494" s="6"/>
      <c r="V1494" s="6"/>
      <c r="W1494" s="6"/>
      <c r="X1494" s="6"/>
      <c r="Y1494" s="6"/>
      <c r="Z1494" s="6"/>
      <c r="AA1494" s="6"/>
      <c r="AB1494" s="6"/>
      <c r="AC1494" s="6"/>
      <c r="AD1494" s="6"/>
      <c r="AE1494" s="6"/>
      <c r="AF1494" s="6"/>
      <c r="AG1494" s="6"/>
      <c r="AH1494" s="6"/>
      <c r="AI1494" s="6"/>
      <c r="AJ1494" s="6"/>
      <c r="AK1494" s="6"/>
      <c r="AL1494" s="6"/>
    </row>
    <row r="1495" spans="1:38">
      <c r="A1495" s="96">
        <f ca="1">IFERROR(__xludf.DUMMYFUNCTION("""COMPUTED_VALUE"""),44949)</f>
        <v>44949</v>
      </c>
      <c r="B1495" s="6" t="str">
        <f ca="1">IFERROR(__xludf.DUMMYFUNCTION("""COMPUTED_VALUE"""),"Rakesh Anand")</f>
        <v>Rakesh Anand</v>
      </c>
      <c r="C1495" s="6" t="str">
        <f ca="1">IFERROR(__xludf.DUMMYFUNCTION("""COMPUTED_VALUE"""),"anandanrakesh@gmail.com")</f>
        <v>anandanrakesh@gmail.com</v>
      </c>
      <c r="D1495" s="6">
        <f ca="1">IFERROR(__xludf.DUMMYFUNCTION("""COMPUTED_VALUE"""),9962931044)</f>
        <v>9962931044</v>
      </c>
      <c r="E1495" s="6" t="str">
        <f ca="1">IFERROR(__xludf.DUMMYFUNCTION("""COMPUTED_VALUE"""),"Existing Account")</f>
        <v>Existing Account</v>
      </c>
      <c r="F1495" s="6" t="str">
        <f ca="1">IFERROR(__xludf.DUMMYFUNCTION("""COMPUTED_VALUE"""),"CSPO")</f>
        <v>CSPO</v>
      </c>
      <c r="G1495" s="80">
        <f ca="1">IFERROR(__xludf.DUMMYFUNCTION("""COMPUTED_VALUE"""),44927)</f>
        <v>44927</v>
      </c>
      <c r="H1495" s="6" t="str">
        <f ca="1">IFERROR(__xludf.DUMMYFUNCTION("""COMPUTED_VALUE"""),"Won")</f>
        <v>Won</v>
      </c>
      <c r="I1495" s="6" t="str">
        <f ca="1">IFERROR(__xludf.DUMMYFUNCTION("""COMPUTED_VALUE"""),"28-29 Jan 2023")</f>
        <v>28-29 Jan 2023</v>
      </c>
      <c r="J1495" s="6">
        <f ca="1">IFERROR(__xludf.DUMMYFUNCTION("""COMPUTED_VALUE"""),1)</f>
        <v>1</v>
      </c>
      <c r="K1495" s="8">
        <f ca="1">IFERROR(__xludf.DUMMYFUNCTION("""COMPUTED_VALUE"""),20000)</f>
        <v>20000</v>
      </c>
      <c r="L1495" s="8">
        <f ca="1">IFERROR(__xludf.DUMMYFUNCTION("""COMPUTED_VALUE"""),229.042601923957)</f>
        <v>229.04260192395699</v>
      </c>
      <c r="M1495" s="96">
        <f ca="1">IFERROR(__xludf.DUMMYFUNCTION("""COMPUTED_VALUE"""),44949)</f>
        <v>44949</v>
      </c>
      <c r="N1495" s="6" t="str">
        <f ca="1">IFERROR(__xludf.DUMMYFUNCTION("""COMPUTED_VALUE"""),"T10")</f>
        <v>T10</v>
      </c>
      <c r="O1495" s="97">
        <f ca="1">IFERROR(__xludf.DUMMYFUNCTION("""COMPUTED_VALUE"""),44949)</f>
        <v>44949</v>
      </c>
      <c r="P1495" s="6" t="str">
        <f ca="1">IFERROR(__xludf.DUMMYFUNCTION("""COMPUTED_VALUE"""),"CSTM_AGLQKL50B4N")</f>
        <v>CSTM_AGLQKL50B4N</v>
      </c>
      <c r="Q1495" s="6"/>
      <c r="R1495" s="6" t="str">
        <f ca="1">IFERROR(__xludf.DUMMYFUNCTION("""COMPUTED_VALUE"""),"Pending")</f>
        <v>Pending</v>
      </c>
      <c r="S1495" s="6" t="str">
        <f ca="1">IFERROR(__xludf.DUMMYFUNCTION("""COMPUTED_VALUE"""),"Category")</f>
        <v>Category</v>
      </c>
      <c r="T1495" s="6"/>
      <c r="U1495" s="6"/>
      <c r="V1495" s="6"/>
      <c r="W1495" s="6"/>
      <c r="X1495" s="6"/>
      <c r="Y1495" s="6"/>
      <c r="Z1495" s="6"/>
      <c r="AA1495" s="6"/>
      <c r="AB1495" s="6"/>
      <c r="AC1495" s="6"/>
      <c r="AD1495" s="6"/>
      <c r="AE1495" s="6"/>
      <c r="AF1495" s="6"/>
      <c r="AG1495" s="6"/>
      <c r="AH1495" s="6"/>
      <c r="AI1495" s="6"/>
      <c r="AJ1495" s="6"/>
      <c r="AK1495" s="6"/>
      <c r="AL1495" s="6"/>
    </row>
    <row r="1496" spans="1:38">
      <c r="A1496" s="96">
        <f ca="1">IFERROR(__xludf.DUMMYFUNCTION("""COMPUTED_VALUE"""),44950)</f>
        <v>44950</v>
      </c>
      <c r="B1496" s="6" t="str">
        <f ca="1">IFERROR(__xludf.DUMMYFUNCTION("""COMPUTED_VALUE"""),"Ben Lawrence")</f>
        <v>Ben Lawrence</v>
      </c>
      <c r="C1496" s="6" t="str">
        <f ca="1">IFERROR(__xludf.DUMMYFUNCTION("""COMPUTED_VALUE"""),"benlawrence4@gmail.com")</f>
        <v>benlawrence4@gmail.com</v>
      </c>
      <c r="D1496" s="6">
        <f ca="1">IFERROR(__xludf.DUMMYFUNCTION("""COMPUTED_VALUE"""),9884270984)</f>
        <v>9884270984</v>
      </c>
      <c r="E1496" s="6" t="str">
        <f ca="1">IFERROR(__xludf.DUMMYFUNCTION("""COMPUTED_VALUE"""),"Chat_triggered")</f>
        <v>Chat_triggered</v>
      </c>
      <c r="F1496" s="6" t="str">
        <f ca="1">IFERROR(__xludf.DUMMYFUNCTION("""COMPUTED_VALUE"""),"PSM 2")</f>
        <v>PSM 2</v>
      </c>
      <c r="G1496" s="80">
        <f ca="1">IFERROR(__xludf.DUMMYFUNCTION("""COMPUTED_VALUE"""),44927)</f>
        <v>44927</v>
      </c>
      <c r="H1496" s="6" t="str">
        <f ca="1">IFERROR(__xludf.DUMMYFUNCTION("""COMPUTED_VALUE"""),"Won")</f>
        <v>Won</v>
      </c>
      <c r="I1496" s="6" t="str">
        <f ca="1">IFERROR(__xludf.DUMMYFUNCTION("""COMPUTED_VALUE"""),"28-29 Jan 2023")</f>
        <v>28-29 Jan 2023</v>
      </c>
      <c r="J1496" s="6">
        <f ca="1">IFERROR(__xludf.DUMMYFUNCTION("""COMPUTED_VALUE"""),1)</f>
        <v>1</v>
      </c>
      <c r="K1496" s="8">
        <f ca="1">IFERROR(__xludf.DUMMYFUNCTION("""COMPUTED_VALUE"""),24000)</f>
        <v>24000</v>
      </c>
      <c r="L1496" s="8">
        <f ca="1">IFERROR(__xludf.DUMMYFUNCTION("""COMPUTED_VALUE"""),274.851122308749)</f>
        <v>274.85112230874898</v>
      </c>
      <c r="M1496" s="96">
        <f ca="1">IFERROR(__xludf.DUMMYFUNCTION("""COMPUTED_VALUE"""),44950)</f>
        <v>44950</v>
      </c>
      <c r="N1496" s="6" t="str">
        <f ca="1">IFERROR(__xludf.DUMMYFUNCTION("""COMPUTED_VALUE"""),"T10")</f>
        <v>T10</v>
      </c>
      <c r="O1496" s="97">
        <f ca="1">IFERROR(__xludf.DUMMYFUNCTION("""COMPUTED_VALUE"""),44950)</f>
        <v>44950</v>
      </c>
      <c r="P1496" s="6" t="str">
        <f ca="1">IFERROR(__xludf.DUMMYFUNCTION("""COMPUTED_VALUE"""),"CSTM_H83V8RI9PVC")</f>
        <v>CSTM_H83V8RI9PVC</v>
      </c>
      <c r="Q1496" s="6"/>
      <c r="R1496" s="6" t="str">
        <f ca="1">IFERROR(__xludf.DUMMYFUNCTION("""COMPUTED_VALUE"""),"Pending")</f>
        <v>Pending</v>
      </c>
      <c r="S1496" s="6" t="str">
        <f ca="1">IFERROR(__xludf.DUMMYFUNCTION("""COMPUTED_VALUE"""),"Category")</f>
        <v>Category</v>
      </c>
      <c r="T1496" s="6"/>
      <c r="U1496" s="6"/>
      <c r="V1496" s="6"/>
      <c r="W1496" s="6"/>
      <c r="X1496" s="6"/>
      <c r="Y1496" s="6"/>
      <c r="Z1496" s="6"/>
      <c r="AA1496" s="6"/>
      <c r="AB1496" s="6"/>
      <c r="AC1496" s="6"/>
      <c r="AD1496" s="6"/>
      <c r="AE1496" s="6"/>
      <c r="AF1496" s="6"/>
      <c r="AG1496" s="6"/>
      <c r="AH1496" s="6"/>
      <c r="AI1496" s="6"/>
      <c r="AJ1496" s="6"/>
      <c r="AK1496" s="6"/>
      <c r="AL1496" s="6"/>
    </row>
    <row r="1497" spans="1:38">
      <c r="A1497" s="96">
        <f ca="1">IFERROR(__xludf.DUMMYFUNCTION("""COMPUTED_VALUE"""),44950)</f>
        <v>44950</v>
      </c>
      <c r="B1497" s="6" t="str">
        <f ca="1">IFERROR(__xludf.DUMMYFUNCTION("""COMPUTED_VALUE"""),"Dharmendra")</f>
        <v>Dharmendra</v>
      </c>
      <c r="C1497" s="6" t="str">
        <f ca="1">IFERROR(__xludf.DUMMYFUNCTION("""COMPUTED_VALUE"""),"dharmendra.mca2006@gmail.com")</f>
        <v>dharmendra.mca2006@gmail.com</v>
      </c>
      <c r="D1497" s="6">
        <f ca="1">IFERROR(__xludf.DUMMYFUNCTION("""COMPUTED_VALUE"""),9370158268)</f>
        <v>9370158268</v>
      </c>
      <c r="E1497" s="6" t="str">
        <f ca="1">IFERROR(__xludf.DUMMYFUNCTION("""COMPUTED_VALUE"""),"Query box")</f>
        <v>Query box</v>
      </c>
      <c r="F1497" s="6" t="str">
        <f ca="1">IFERROR(__xludf.DUMMYFUNCTION("""COMPUTED_VALUE"""),"PSM 2")</f>
        <v>PSM 2</v>
      </c>
      <c r="G1497" s="80">
        <f ca="1">IFERROR(__xludf.DUMMYFUNCTION("""COMPUTED_VALUE"""),44927)</f>
        <v>44927</v>
      </c>
      <c r="H1497" s="6" t="str">
        <f ca="1">IFERROR(__xludf.DUMMYFUNCTION("""COMPUTED_VALUE"""),"Won")</f>
        <v>Won</v>
      </c>
      <c r="I1497" s="6" t="str">
        <f ca="1">IFERROR(__xludf.DUMMYFUNCTION("""COMPUTED_VALUE"""),"28-29 Jan 2023")</f>
        <v>28-29 Jan 2023</v>
      </c>
      <c r="J1497" s="6">
        <f ca="1">IFERROR(__xludf.DUMMYFUNCTION("""COMPUTED_VALUE"""),1)</f>
        <v>1</v>
      </c>
      <c r="K1497" s="8">
        <f ca="1">IFERROR(__xludf.DUMMYFUNCTION("""COMPUTED_VALUE"""),24000)</f>
        <v>24000</v>
      </c>
      <c r="L1497" s="8">
        <f ca="1">IFERROR(__xludf.DUMMYFUNCTION("""COMPUTED_VALUE"""),274.851122308749)</f>
        <v>274.85112230874898</v>
      </c>
      <c r="M1497" s="96">
        <f ca="1">IFERROR(__xludf.DUMMYFUNCTION("""COMPUTED_VALUE"""),44950)</f>
        <v>44950</v>
      </c>
      <c r="N1497" s="6" t="str">
        <f ca="1">IFERROR(__xludf.DUMMYFUNCTION("""COMPUTED_VALUE"""),"T10")</f>
        <v>T10</v>
      </c>
      <c r="O1497" s="97">
        <f ca="1">IFERROR(__xludf.DUMMYFUNCTION("""COMPUTED_VALUE"""),44950)</f>
        <v>44950</v>
      </c>
      <c r="P1497" s="6" t="str">
        <f ca="1">IFERROR(__xludf.DUMMYFUNCTION("""COMPUTED_VALUE"""),"CSTM_5Y9IS3MMWY9")</f>
        <v>CSTM_5Y9IS3MMWY9</v>
      </c>
      <c r="Q1497" s="6"/>
      <c r="R1497" s="6" t="str">
        <f ca="1">IFERROR(__xludf.DUMMYFUNCTION("""COMPUTED_VALUE"""),"Pending")</f>
        <v>Pending</v>
      </c>
      <c r="S1497" s="6" t="str">
        <f ca="1">IFERROR(__xludf.DUMMYFUNCTION("""COMPUTED_VALUE"""),"Category")</f>
        <v>Category</v>
      </c>
      <c r="T1497" s="6"/>
      <c r="U1497" s="6"/>
      <c r="V1497" s="6"/>
      <c r="W1497" s="6"/>
      <c r="X1497" s="6"/>
      <c r="Y1497" s="6"/>
      <c r="Z1497" s="6"/>
      <c r="AA1497" s="6"/>
      <c r="AB1497" s="6"/>
      <c r="AC1497" s="6"/>
      <c r="AD1497" s="6"/>
      <c r="AE1497" s="6"/>
      <c r="AF1497" s="6"/>
      <c r="AG1497" s="6"/>
      <c r="AH1497" s="6"/>
      <c r="AI1497" s="6"/>
      <c r="AJ1497" s="6"/>
      <c r="AK1497" s="6"/>
      <c r="AL1497" s="6"/>
    </row>
    <row r="1498" spans="1:38">
      <c r="A1498" s="96">
        <f ca="1">IFERROR(__xludf.DUMMYFUNCTION("""COMPUTED_VALUE"""),44950)</f>
        <v>44950</v>
      </c>
      <c r="B1498" s="6" t="str">
        <f ca="1">IFERROR(__xludf.DUMMYFUNCTION("""COMPUTED_VALUE"""),"Madhavi")</f>
        <v>Madhavi</v>
      </c>
      <c r="C1498" s="6" t="str">
        <f ca="1">IFERROR(__xludf.DUMMYFUNCTION("""COMPUTED_VALUE"""),"madhavi.507@gmail.com")</f>
        <v>madhavi.507@gmail.com</v>
      </c>
      <c r="D1498" s="6">
        <f ca="1">IFERROR(__xludf.DUMMYFUNCTION("""COMPUTED_VALUE"""),7892617492)</f>
        <v>7892617492</v>
      </c>
      <c r="E1498" s="6" t="str">
        <f ca="1">IFERROR(__xludf.DUMMYFUNCTION("""COMPUTED_VALUE"""),"Reference")</f>
        <v>Reference</v>
      </c>
      <c r="F1498" s="6" t="str">
        <f ca="1">IFERROR(__xludf.DUMMYFUNCTION("""COMPUTED_VALUE"""),"PSM 2")</f>
        <v>PSM 2</v>
      </c>
      <c r="G1498" s="80">
        <f ca="1">IFERROR(__xludf.DUMMYFUNCTION("""COMPUTED_VALUE"""),44927)</f>
        <v>44927</v>
      </c>
      <c r="H1498" s="6" t="str">
        <f ca="1">IFERROR(__xludf.DUMMYFUNCTION("""COMPUTED_VALUE"""),"Won")</f>
        <v>Won</v>
      </c>
      <c r="I1498" s="6" t="str">
        <f ca="1">IFERROR(__xludf.DUMMYFUNCTION("""COMPUTED_VALUE"""),"28-29 Jan 2023")</f>
        <v>28-29 Jan 2023</v>
      </c>
      <c r="J1498" s="6">
        <f ca="1">IFERROR(__xludf.DUMMYFUNCTION("""COMPUTED_VALUE"""),1)</f>
        <v>1</v>
      </c>
      <c r="K1498" s="8">
        <f ca="1">IFERROR(__xludf.DUMMYFUNCTION("""COMPUTED_VALUE"""),24000)</f>
        <v>24000</v>
      </c>
      <c r="L1498" s="8">
        <f ca="1">IFERROR(__xludf.DUMMYFUNCTION("""COMPUTED_VALUE"""),274.851122308749)</f>
        <v>274.85112230874898</v>
      </c>
      <c r="M1498" s="96">
        <f ca="1">IFERROR(__xludf.DUMMYFUNCTION("""COMPUTED_VALUE"""),44950)</f>
        <v>44950</v>
      </c>
      <c r="N1498" s="6" t="str">
        <f ca="1">IFERROR(__xludf.DUMMYFUNCTION("""COMPUTED_VALUE"""),"T10")</f>
        <v>T10</v>
      </c>
      <c r="O1498" s="97">
        <f ca="1">IFERROR(__xludf.DUMMYFUNCTION("""COMPUTED_VALUE"""),44950)</f>
        <v>44950</v>
      </c>
      <c r="P1498" s="6" t="str">
        <f ca="1">IFERROR(__xludf.DUMMYFUNCTION("""COMPUTED_VALUE"""),"CSTM_8AFE6W313KW")</f>
        <v>CSTM_8AFE6W313KW</v>
      </c>
      <c r="Q1498" s="6" t="str">
        <f ca="1">IFERROR(__xludf.DUMMYFUNCTION("""COMPUTED_VALUE"""),"Reference by suprava.cutee@gmail.com")</f>
        <v>Reference by suprava.cutee@gmail.com</v>
      </c>
      <c r="R1498" s="6" t="str">
        <f ca="1">IFERROR(__xludf.DUMMYFUNCTION("""COMPUTED_VALUE"""),"Pending")</f>
        <v>Pending</v>
      </c>
      <c r="S1498" s="6" t="str">
        <f ca="1">IFERROR(__xludf.DUMMYFUNCTION("""COMPUTED_VALUE"""),"Category")</f>
        <v>Category</v>
      </c>
      <c r="T1498" s="6"/>
      <c r="U1498" s="6"/>
      <c r="V1498" s="6"/>
      <c r="W1498" s="6"/>
      <c r="X1498" s="6"/>
      <c r="Y1498" s="6"/>
      <c r="Z1498" s="6"/>
      <c r="AA1498" s="6"/>
      <c r="AB1498" s="6"/>
      <c r="AC1498" s="6"/>
      <c r="AD1498" s="6"/>
      <c r="AE1498" s="6"/>
      <c r="AF1498" s="6"/>
      <c r="AG1498" s="6"/>
      <c r="AH1498" s="6"/>
      <c r="AI1498" s="6"/>
      <c r="AJ1498" s="6"/>
      <c r="AK1498" s="6"/>
      <c r="AL1498" s="6"/>
    </row>
    <row r="1499" spans="1:38">
      <c r="A1499" s="96">
        <f ca="1">IFERROR(__xludf.DUMMYFUNCTION("""COMPUTED_VALUE"""),44951)</f>
        <v>44951</v>
      </c>
      <c r="B1499" s="6" t="str">
        <f ca="1">IFERROR(__xludf.DUMMYFUNCTION("""COMPUTED_VALUE"""),"Subhashree Gururajan")</f>
        <v>Subhashree Gururajan</v>
      </c>
      <c r="C1499" s="6" t="str">
        <f ca="1">IFERROR(__xludf.DUMMYFUNCTION("""COMPUTED_VALUE"""),"subhashreegururajan@gmail.com")</f>
        <v>subhashreegururajan@gmail.com</v>
      </c>
      <c r="D1499" s="6">
        <f ca="1">IFERROR(__xludf.DUMMYFUNCTION("""COMPUTED_VALUE"""),9952040490)</f>
        <v>9952040490</v>
      </c>
      <c r="E1499" s="6" t="str">
        <f ca="1">IFERROR(__xludf.DUMMYFUNCTION("""COMPUTED_VALUE"""),"Reference")</f>
        <v>Reference</v>
      </c>
      <c r="F1499" s="6" t="str">
        <f ca="1">IFERROR(__xludf.DUMMYFUNCTION("""COMPUTED_VALUE"""),"PSM 2")</f>
        <v>PSM 2</v>
      </c>
      <c r="G1499" s="80">
        <f ca="1">IFERROR(__xludf.DUMMYFUNCTION("""COMPUTED_VALUE"""),44927)</f>
        <v>44927</v>
      </c>
      <c r="H1499" s="6" t="str">
        <f ca="1">IFERROR(__xludf.DUMMYFUNCTION("""COMPUTED_VALUE"""),"Won")</f>
        <v>Won</v>
      </c>
      <c r="I1499" s="6" t="str">
        <f ca="1">IFERROR(__xludf.DUMMYFUNCTION("""COMPUTED_VALUE"""),"11-12 Feb 2023")</f>
        <v>11-12 Feb 2023</v>
      </c>
      <c r="J1499" s="6">
        <f ca="1">IFERROR(__xludf.DUMMYFUNCTION("""COMPUTED_VALUE"""),1)</f>
        <v>1</v>
      </c>
      <c r="K1499" s="8">
        <f ca="1">IFERROR(__xludf.DUMMYFUNCTION("""COMPUTED_VALUE"""),24000)</f>
        <v>24000</v>
      </c>
      <c r="L1499" s="8">
        <f ca="1">IFERROR(__xludf.DUMMYFUNCTION("""COMPUTED_VALUE"""),274.851122308749)</f>
        <v>274.85112230874898</v>
      </c>
      <c r="M1499" s="96">
        <f ca="1">IFERROR(__xludf.DUMMYFUNCTION("""COMPUTED_VALUE"""),44951)</f>
        <v>44951</v>
      </c>
      <c r="N1499" s="6" t="str">
        <f ca="1">IFERROR(__xludf.DUMMYFUNCTION("""COMPUTED_VALUE"""),"T10")</f>
        <v>T10</v>
      </c>
      <c r="O1499" s="97">
        <f ca="1">IFERROR(__xludf.DUMMYFUNCTION("""COMPUTED_VALUE"""),44951)</f>
        <v>44951</v>
      </c>
      <c r="P1499" s="6" t="str">
        <f ca="1">IFERROR(__xludf.DUMMYFUNCTION("""COMPUTED_VALUE"""),"CSTM_IYEUJ49M1NR")</f>
        <v>CSTM_IYEUJ49M1NR</v>
      </c>
      <c r="Q1499" s="6" t="str">
        <f ca="1">IFERROR(__xludf.DUMMYFUNCTION("""COMPUTED_VALUE"""),"Reference by pragyak491@gmail.com")</f>
        <v>Reference by pragyak491@gmail.com</v>
      </c>
      <c r="R1499" s="6" t="str">
        <f ca="1">IFERROR(__xludf.DUMMYFUNCTION("""COMPUTED_VALUE"""),"Pending")</f>
        <v>Pending</v>
      </c>
      <c r="S1499" s="6" t="str">
        <f ca="1">IFERROR(__xludf.DUMMYFUNCTION("""COMPUTED_VALUE"""),"Category")</f>
        <v>Category</v>
      </c>
      <c r="T1499" s="6"/>
      <c r="U1499" s="6"/>
      <c r="V1499" s="6"/>
      <c r="W1499" s="6"/>
      <c r="X1499" s="6"/>
      <c r="Y1499" s="6"/>
      <c r="Z1499" s="6"/>
      <c r="AA1499" s="6"/>
      <c r="AB1499" s="6"/>
      <c r="AC1499" s="6"/>
      <c r="AD1499" s="6"/>
      <c r="AE1499" s="6"/>
      <c r="AF1499" s="6"/>
      <c r="AG1499" s="6"/>
      <c r="AH1499" s="6"/>
      <c r="AI1499" s="6"/>
      <c r="AJ1499" s="6"/>
      <c r="AK1499" s="6"/>
      <c r="AL1499" s="6"/>
    </row>
    <row r="1500" spans="1:38">
      <c r="A1500" s="96">
        <f ca="1">IFERROR(__xludf.DUMMYFUNCTION("""COMPUTED_VALUE"""),44951)</f>
        <v>44951</v>
      </c>
      <c r="B1500" s="6" t="str">
        <f ca="1">IFERROR(__xludf.DUMMYFUNCTION("""COMPUTED_VALUE"""),"Manoj Gosain")</f>
        <v>Manoj Gosain</v>
      </c>
      <c r="C1500" s="6" t="str">
        <f ca="1">IFERROR(__xludf.DUMMYFUNCTION("""COMPUTED_VALUE"""),"man_gosain@yahoo.co.in")</f>
        <v>man_gosain@yahoo.co.in</v>
      </c>
      <c r="D1500" s="6">
        <f ca="1">IFERROR(__xludf.DUMMYFUNCTION("""COMPUTED_VALUE"""),7738183585)</f>
        <v>7738183585</v>
      </c>
      <c r="E1500" s="6" t="str">
        <f ca="1">IFERROR(__xludf.DUMMYFUNCTION("""COMPUTED_VALUE"""),"Reference")</f>
        <v>Reference</v>
      </c>
      <c r="F1500" s="6" t="str">
        <f ca="1">IFERROR(__xludf.DUMMYFUNCTION("""COMPUTED_VALUE"""),"PSPO")</f>
        <v>PSPO</v>
      </c>
      <c r="G1500" s="80">
        <f ca="1">IFERROR(__xludf.DUMMYFUNCTION("""COMPUTED_VALUE"""),44927)</f>
        <v>44927</v>
      </c>
      <c r="H1500" s="6" t="str">
        <f ca="1">IFERROR(__xludf.DUMMYFUNCTION("""COMPUTED_VALUE"""),"Won")</f>
        <v>Won</v>
      </c>
      <c r="I1500" s="6" t="str">
        <f ca="1">IFERROR(__xludf.DUMMYFUNCTION("""COMPUTED_VALUE"""),"28-29 Jan 2023")</f>
        <v>28-29 Jan 2023</v>
      </c>
      <c r="J1500" s="6">
        <f ca="1">IFERROR(__xludf.DUMMYFUNCTION("""COMPUTED_VALUE"""),1)</f>
        <v>1</v>
      </c>
      <c r="K1500" s="8">
        <f ca="1">IFERROR(__xludf.DUMMYFUNCTION("""COMPUTED_VALUE"""),21000)</f>
        <v>21000</v>
      </c>
      <c r="L1500" s="8">
        <f ca="1">IFERROR(__xludf.DUMMYFUNCTION("""COMPUTED_VALUE"""),240.494732020155)</f>
        <v>240.494732020155</v>
      </c>
      <c r="M1500" s="96">
        <f ca="1">IFERROR(__xludf.DUMMYFUNCTION("""COMPUTED_VALUE"""),44951)</f>
        <v>44951</v>
      </c>
      <c r="N1500" s="6" t="str">
        <f ca="1">IFERROR(__xludf.DUMMYFUNCTION("""COMPUTED_VALUE"""),"T10")</f>
        <v>T10</v>
      </c>
      <c r="O1500" s="97">
        <f ca="1">IFERROR(__xludf.DUMMYFUNCTION("""COMPUTED_VALUE"""),44951)</f>
        <v>44951</v>
      </c>
      <c r="P1500" s="6" t="str">
        <f ca="1">IFERROR(__xludf.DUMMYFUNCTION("""COMPUTED_VALUE"""),"CSTM_5SYJQTHLTOG")</f>
        <v>CSTM_5SYJQTHLTOG</v>
      </c>
      <c r="Q1500" s="6" t="str">
        <f ca="1">IFERROR(__xludf.DUMMYFUNCTION("""COMPUTED_VALUE"""),"Reference by samir_nov122002@yahoo.co.in")</f>
        <v>Reference by samir_nov122002@yahoo.co.in</v>
      </c>
      <c r="R1500" s="6" t="str">
        <f ca="1">IFERROR(__xludf.DUMMYFUNCTION("""COMPUTED_VALUE"""),"Pending")</f>
        <v>Pending</v>
      </c>
      <c r="S1500" s="6" t="str">
        <f ca="1">IFERROR(__xludf.DUMMYFUNCTION("""COMPUTED_VALUE"""),"Category")</f>
        <v>Category</v>
      </c>
      <c r="T1500" s="6"/>
      <c r="U1500" s="6"/>
      <c r="V1500" s="6"/>
      <c r="W1500" s="6"/>
      <c r="X1500" s="6"/>
      <c r="Y1500" s="6"/>
      <c r="Z1500" s="6"/>
      <c r="AA1500" s="6"/>
      <c r="AB1500" s="6"/>
      <c r="AC1500" s="6"/>
      <c r="AD1500" s="6"/>
      <c r="AE1500" s="6"/>
      <c r="AF1500" s="6"/>
      <c r="AG1500" s="6"/>
      <c r="AH1500" s="6"/>
      <c r="AI1500" s="6"/>
      <c r="AJ1500" s="6"/>
      <c r="AK1500" s="6"/>
      <c r="AL1500" s="6"/>
    </row>
    <row r="1501" spans="1:38">
      <c r="A1501" s="96">
        <f ca="1">IFERROR(__xludf.DUMMYFUNCTION("""COMPUTED_VALUE"""),44951)</f>
        <v>44951</v>
      </c>
      <c r="B1501" s="6" t="str">
        <f ca="1">IFERROR(__xludf.DUMMYFUNCTION("""COMPUTED_VALUE"""),"Pushpita K")</f>
        <v>Pushpita K</v>
      </c>
      <c r="C1501" s="6" t="str">
        <f ca="1">IFERROR(__xludf.DUMMYFUNCTION("""COMPUTED_VALUE"""),"k.pushpita@gmail.com")</f>
        <v>k.pushpita@gmail.com</v>
      </c>
      <c r="D1501" s="6">
        <f ca="1">IFERROR(__xludf.DUMMYFUNCTION("""COMPUTED_VALUE"""),9908196075)</f>
        <v>9908196075</v>
      </c>
      <c r="E1501" s="6" t="str">
        <f ca="1">IFERROR(__xludf.DUMMYFUNCTION("""COMPUTED_VALUE"""),"Reference")</f>
        <v>Reference</v>
      </c>
      <c r="F1501" s="6" t="str">
        <f ca="1">IFERROR(__xludf.DUMMYFUNCTION("""COMPUTED_VALUE"""),"PSM 2")</f>
        <v>PSM 2</v>
      </c>
      <c r="G1501" s="80">
        <f ca="1">IFERROR(__xludf.DUMMYFUNCTION("""COMPUTED_VALUE"""),44927)</f>
        <v>44927</v>
      </c>
      <c r="H1501" s="6" t="str">
        <f ca="1">IFERROR(__xludf.DUMMYFUNCTION("""COMPUTED_VALUE"""),"Opportunity")</f>
        <v>Opportunity</v>
      </c>
      <c r="I1501" s="6" t="str">
        <f ca="1">IFERROR(__xludf.DUMMYFUNCTION("""COMPUTED_VALUE"""),"28-29 Jan 2023")</f>
        <v>28-29 Jan 2023</v>
      </c>
      <c r="J1501" s="6">
        <f ca="1">IFERROR(__xludf.DUMMYFUNCTION("""COMPUTED_VALUE"""),1)</f>
        <v>1</v>
      </c>
      <c r="K1501" s="8">
        <f ca="1">IFERROR(__xludf.DUMMYFUNCTION("""COMPUTED_VALUE"""),24000)</f>
        <v>24000</v>
      </c>
      <c r="L1501" s="8"/>
      <c r="M1501" s="96">
        <f ca="1">IFERROR(__xludf.DUMMYFUNCTION("""COMPUTED_VALUE"""),44951)</f>
        <v>44951</v>
      </c>
      <c r="N1501" s="6"/>
      <c r="O1501" s="97"/>
      <c r="P1501" s="6"/>
      <c r="Q1501" s="6" t="str">
        <f ca="1">IFERROR(__xludf.DUMMYFUNCTION("""COMPUTED_VALUE"""),"Reference by rakesh_bluemoon@yahoo.co.in")</f>
        <v>Reference by rakesh_bluemoon@yahoo.co.in</v>
      </c>
      <c r="R1501" s="6"/>
      <c r="S1501" s="6" t="str">
        <f ca="1">IFERROR(__xludf.DUMMYFUNCTION("""COMPUTED_VALUE"""),"Category")</f>
        <v>Category</v>
      </c>
      <c r="T1501" s="6"/>
      <c r="U1501" s="6"/>
      <c r="V1501" s="6"/>
      <c r="W1501" s="6"/>
      <c r="X1501" s="6"/>
      <c r="Y1501" s="6"/>
      <c r="Z1501" s="6"/>
      <c r="AA1501" s="6"/>
      <c r="AB1501" s="6"/>
      <c r="AC1501" s="6"/>
      <c r="AD1501" s="6"/>
      <c r="AE1501" s="6"/>
      <c r="AF1501" s="6"/>
      <c r="AG1501" s="6"/>
      <c r="AH1501" s="6"/>
      <c r="AI1501" s="6"/>
      <c r="AJ1501" s="6"/>
      <c r="AK1501" s="6"/>
      <c r="AL1501" s="6"/>
    </row>
    <row r="1502" spans="1:38">
      <c r="A1502" s="96">
        <f ca="1">IFERROR(__xludf.DUMMYFUNCTION("""COMPUTED_VALUE"""),44952)</f>
        <v>44952</v>
      </c>
      <c r="B1502" s="6" t="str">
        <f ca="1">IFERROR(__xludf.DUMMYFUNCTION("""COMPUTED_VALUE"""),"Lavanya Akkineni")</f>
        <v>Lavanya Akkineni</v>
      </c>
      <c r="C1502" s="6" t="str">
        <f ca="1">IFERROR(__xludf.DUMMYFUNCTION("""COMPUTED_VALUE"""),"akkineni28@gmail.com")</f>
        <v>akkineni28@gmail.com</v>
      </c>
      <c r="D1502" s="6">
        <f ca="1">IFERROR(__xludf.DUMMYFUNCTION("""COMPUTED_VALUE"""),9949556096)</f>
        <v>9949556096</v>
      </c>
      <c r="E1502" s="6" t="str">
        <f ca="1">IFERROR(__xludf.DUMMYFUNCTION("""COMPUTED_VALUE"""),"course agenda")</f>
        <v>course agenda</v>
      </c>
      <c r="F1502" s="6" t="str">
        <f ca="1">IFERROR(__xludf.DUMMYFUNCTION("""COMPUTED_VALUE"""),"PSPO")</f>
        <v>PSPO</v>
      </c>
      <c r="G1502" s="80">
        <f ca="1">IFERROR(__xludf.DUMMYFUNCTION("""COMPUTED_VALUE"""),44927)</f>
        <v>44927</v>
      </c>
      <c r="H1502" s="6" t="str">
        <f ca="1">IFERROR(__xludf.DUMMYFUNCTION("""COMPUTED_VALUE"""),"Won")</f>
        <v>Won</v>
      </c>
      <c r="I1502" s="6" t="str">
        <f ca="1">IFERROR(__xludf.DUMMYFUNCTION("""COMPUTED_VALUE"""),"28-29 Jan 2023")</f>
        <v>28-29 Jan 2023</v>
      </c>
      <c r="J1502" s="6">
        <f ca="1">IFERROR(__xludf.DUMMYFUNCTION("""COMPUTED_VALUE"""),1)</f>
        <v>1</v>
      </c>
      <c r="K1502" s="8">
        <f ca="1">IFERROR(__xludf.DUMMYFUNCTION("""COMPUTED_VALUE"""),21000)</f>
        <v>21000</v>
      </c>
      <c r="L1502" s="8">
        <f ca="1">IFERROR(__xludf.DUMMYFUNCTION("""COMPUTED_VALUE"""),240.494732020155)</f>
        <v>240.494732020155</v>
      </c>
      <c r="M1502" s="96">
        <f ca="1">IFERROR(__xludf.DUMMYFUNCTION("""COMPUTED_VALUE"""),44952)</f>
        <v>44952</v>
      </c>
      <c r="N1502" s="6" t="str">
        <f ca="1">IFERROR(__xludf.DUMMYFUNCTION("""COMPUTED_VALUE"""),"T10")</f>
        <v>T10</v>
      </c>
      <c r="O1502" s="97">
        <f ca="1">IFERROR(__xludf.DUMMYFUNCTION("""COMPUTED_VALUE"""),44952)</f>
        <v>44952</v>
      </c>
      <c r="P1502" s="6" t="str">
        <f ca="1">IFERROR(__xludf.DUMMYFUNCTION("""COMPUTED_VALUE"""),"CSTM_CBS3PUDGRM4")</f>
        <v>CSTM_CBS3PUDGRM4</v>
      </c>
      <c r="Q1502" s="6"/>
      <c r="R1502" s="6" t="str">
        <f ca="1">IFERROR(__xludf.DUMMYFUNCTION("""COMPUTED_VALUE"""),"Pending")</f>
        <v>Pending</v>
      </c>
      <c r="S1502" s="6" t="str">
        <f ca="1">IFERROR(__xludf.DUMMYFUNCTION("""COMPUTED_VALUE"""),"Category")</f>
        <v>Category</v>
      </c>
      <c r="T1502" s="6"/>
      <c r="U1502" s="6"/>
      <c r="V1502" s="6"/>
      <c r="W1502" s="6"/>
      <c r="X1502" s="6"/>
      <c r="Y1502" s="6"/>
      <c r="Z1502" s="6"/>
      <c r="AA1502" s="6"/>
      <c r="AB1502" s="6"/>
      <c r="AC1502" s="6"/>
      <c r="AD1502" s="6"/>
      <c r="AE1502" s="6"/>
      <c r="AF1502" s="6"/>
      <c r="AG1502" s="6"/>
      <c r="AH1502" s="6"/>
      <c r="AI1502" s="6"/>
      <c r="AJ1502" s="6"/>
      <c r="AK1502" s="6"/>
      <c r="AL1502" s="6"/>
    </row>
    <row r="1503" spans="1:38">
      <c r="A1503" s="96">
        <f ca="1">IFERROR(__xludf.DUMMYFUNCTION("""COMPUTED_VALUE"""),44953)</f>
        <v>44953</v>
      </c>
      <c r="B1503" s="6" t="str">
        <f ca="1">IFERROR(__xludf.DUMMYFUNCTION("""COMPUTED_VALUE"""),"Akash Saxena")</f>
        <v>Akash Saxena</v>
      </c>
      <c r="C1503" s="6" t="str">
        <f ca="1">IFERROR(__xludf.DUMMYFUNCTION("""COMPUTED_VALUE"""),"akashmay37@gmail.com")</f>
        <v>akashmay37@gmail.com</v>
      </c>
      <c r="D1503" s="6">
        <f ca="1">IFERROR(__xludf.DUMMYFUNCTION("""COMPUTED_VALUE"""),7037733331)</f>
        <v>7037733331</v>
      </c>
      <c r="E1503" s="6" t="str">
        <f ca="1">IFERROR(__xludf.DUMMYFUNCTION("""COMPUTED_VALUE"""),"Reference")</f>
        <v>Reference</v>
      </c>
      <c r="F1503" s="6" t="str">
        <f ca="1">IFERROR(__xludf.DUMMYFUNCTION("""COMPUTED_VALUE"""),"CSM")</f>
        <v>CSM</v>
      </c>
      <c r="G1503" s="80">
        <f ca="1">IFERROR(__xludf.DUMMYFUNCTION("""COMPUTED_VALUE"""),44927)</f>
        <v>44927</v>
      </c>
      <c r="H1503" s="6" t="str">
        <f ca="1">IFERROR(__xludf.DUMMYFUNCTION("""COMPUTED_VALUE"""),"Opportunity")</f>
        <v>Opportunity</v>
      </c>
      <c r="I1503" s="6" t="str">
        <f ca="1">IFERROR(__xludf.DUMMYFUNCTION("""COMPUTED_VALUE"""),"28-29 Jan 2023")</f>
        <v>28-29 Jan 2023</v>
      </c>
      <c r="J1503" s="6">
        <f ca="1">IFERROR(__xludf.DUMMYFUNCTION("""COMPUTED_VALUE"""),1)</f>
        <v>1</v>
      </c>
      <c r="K1503" s="8">
        <f ca="1">IFERROR(__xludf.DUMMYFUNCTION("""COMPUTED_VALUE"""),20000)</f>
        <v>20000</v>
      </c>
      <c r="L1503" s="8">
        <f ca="1">IFERROR(__xludf.DUMMYFUNCTION("""COMPUTED_VALUE"""),229.042601923957)</f>
        <v>229.04260192395699</v>
      </c>
      <c r="M1503" s="96">
        <f ca="1">IFERROR(__xludf.DUMMYFUNCTION("""COMPUTED_VALUE"""),44953)</f>
        <v>44953</v>
      </c>
      <c r="N1503" s="6"/>
      <c r="O1503" s="97"/>
      <c r="P1503" s="6"/>
      <c r="Q1503" s="6"/>
      <c r="R1503" s="6"/>
      <c r="S1503" s="6" t="str">
        <f ca="1">IFERROR(__xludf.DUMMYFUNCTION("""COMPUTED_VALUE"""),"Category")</f>
        <v>Category</v>
      </c>
      <c r="T1503" s="6"/>
      <c r="U1503" s="6"/>
      <c r="V1503" s="6"/>
      <c r="W1503" s="6"/>
      <c r="X1503" s="6"/>
      <c r="Y1503" s="6"/>
      <c r="Z1503" s="6"/>
      <c r="AA1503" s="6"/>
      <c r="AB1503" s="6"/>
      <c r="AC1503" s="6"/>
      <c r="AD1503" s="6"/>
      <c r="AE1503" s="6"/>
      <c r="AF1503" s="6"/>
      <c r="AG1503" s="6"/>
      <c r="AH1503" s="6"/>
      <c r="AI1503" s="6"/>
      <c r="AJ1503" s="6"/>
      <c r="AK1503" s="6"/>
      <c r="AL1503" s="6"/>
    </row>
    <row r="1504" spans="1:38">
      <c r="A1504" s="96">
        <f ca="1">IFERROR(__xludf.DUMMYFUNCTION("""COMPUTED_VALUE"""),44953)</f>
        <v>44953</v>
      </c>
      <c r="B1504" s="6" t="str">
        <f ca="1">IFERROR(__xludf.DUMMYFUNCTION("""COMPUTED_VALUE"""),"Devroop Moulik")</f>
        <v>Devroop Moulik</v>
      </c>
      <c r="C1504" s="6" t="str">
        <f ca="1">IFERROR(__xludf.DUMMYFUNCTION("""COMPUTED_VALUE"""),"devroop.moulik@gmail.com")</f>
        <v>devroop.moulik@gmail.com</v>
      </c>
      <c r="D1504" s="6">
        <f ca="1">IFERROR(__xludf.DUMMYFUNCTION("""COMPUTED_VALUE"""),9654215167)</f>
        <v>9654215167</v>
      </c>
      <c r="E1504" s="6" t="str">
        <f ca="1">IFERROR(__xludf.DUMMYFUNCTION("""COMPUTED_VALUE"""),"chat_initiated")</f>
        <v>chat_initiated</v>
      </c>
      <c r="F1504" s="6" t="str">
        <f ca="1">IFERROR(__xludf.DUMMYFUNCTION("""COMPUTED_VALUE"""),"PSPO")</f>
        <v>PSPO</v>
      </c>
      <c r="G1504" s="80">
        <f ca="1">IFERROR(__xludf.DUMMYFUNCTION("""COMPUTED_VALUE"""),44927)</f>
        <v>44927</v>
      </c>
      <c r="H1504" s="6" t="str">
        <f ca="1">IFERROR(__xludf.DUMMYFUNCTION("""COMPUTED_VALUE"""),"Won")</f>
        <v>Won</v>
      </c>
      <c r="I1504" s="6" t="str">
        <f ca="1">IFERROR(__xludf.DUMMYFUNCTION("""COMPUTED_VALUE"""),"28-29 Jan 2023")</f>
        <v>28-29 Jan 2023</v>
      </c>
      <c r="J1504" s="6">
        <f ca="1">IFERROR(__xludf.DUMMYFUNCTION("""COMPUTED_VALUE"""),1)</f>
        <v>1</v>
      </c>
      <c r="K1504" s="8">
        <f ca="1">IFERROR(__xludf.DUMMYFUNCTION("""COMPUTED_VALUE"""),21000)</f>
        <v>21000</v>
      </c>
      <c r="L1504" s="8">
        <f ca="1">IFERROR(__xludf.DUMMYFUNCTION("""COMPUTED_VALUE"""),240.494732020155)</f>
        <v>240.494732020155</v>
      </c>
      <c r="M1504" s="96">
        <f ca="1">IFERROR(__xludf.DUMMYFUNCTION("""COMPUTED_VALUE"""),44953)</f>
        <v>44953</v>
      </c>
      <c r="N1504" s="6" t="str">
        <f ca="1">IFERROR(__xludf.DUMMYFUNCTION("""COMPUTED_VALUE"""),"T10")</f>
        <v>T10</v>
      </c>
      <c r="O1504" s="97">
        <f ca="1">IFERROR(__xludf.DUMMYFUNCTION("""COMPUTED_VALUE"""),44953)</f>
        <v>44953</v>
      </c>
      <c r="P1504" s="6" t="str">
        <f ca="1">IFERROR(__xludf.DUMMYFUNCTION("""COMPUTED_VALUE"""),"CSTM_J559OPMCONE")</f>
        <v>CSTM_J559OPMCONE</v>
      </c>
      <c r="Q1504" s="6"/>
      <c r="R1504" s="6" t="str">
        <f ca="1">IFERROR(__xludf.DUMMYFUNCTION("""COMPUTED_VALUE"""),"Pending")</f>
        <v>Pending</v>
      </c>
      <c r="S1504" s="6" t="str">
        <f ca="1">IFERROR(__xludf.DUMMYFUNCTION("""COMPUTED_VALUE"""),"Category")</f>
        <v>Category</v>
      </c>
      <c r="T1504" s="6"/>
      <c r="U1504" s="6"/>
      <c r="V1504" s="6"/>
      <c r="W1504" s="6"/>
      <c r="X1504" s="6"/>
      <c r="Y1504" s="6"/>
      <c r="Z1504" s="6"/>
      <c r="AA1504" s="6"/>
      <c r="AB1504" s="6"/>
      <c r="AC1504" s="6"/>
      <c r="AD1504" s="6"/>
      <c r="AE1504" s="6"/>
      <c r="AF1504" s="6"/>
      <c r="AG1504" s="6"/>
      <c r="AH1504" s="6"/>
      <c r="AI1504" s="6"/>
      <c r="AJ1504" s="6"/>
      <c r="AK1504" s="6"/>
      <c r="AL1504" s="6"/>
    </row>
    <row r="1505" spans="1:38">
      <c r="A1505" s="96">
        <f ca="1">IFERROR(__xludf.DUMMYFUNCTION("""COMPUTED_VALUE"""),44953)</f>
        <v>44953</v>
      </c>
      <c r="B1505" s="6" t="str">
        <f ca="1">IFERROR(__xludf.DUMMYFUNCTION("""COMPUTED_VALUE"""),"Parth")</f>
        <v>Parth</v>
      </c>
      <c r="C1505" s="6" t="str">
        <f ca="1">IFERROR(__xludf.DUMMYFUNCTION("""COMPUTED_VALUE"""),"13202212@ksom.ac.in")</f>
        <v>13202212@ksom.ac.in</v>
      </c>
      <c r="D1505" s="6">
        <f ca="1">IFERROR(__xludf.DUMMYFUNCTION("""COMPUTED_VALUE"""),9438785916)</f>
        <v>9438785916</v>
      </c>
      <c r="E1505" s="6" t="str">
        <f ca="1">IFERROR(__xludf.DUMMYFUNCTION("""COMPUTED_VALUE"""),"Chat_triggered")</f>
        <v>Chat_triggered</v>
      </c>
      <c r="F1505" s="6" t="str">
        <f ca="1">IFERROR(__xludf.DUMMYFUNCTION("""COMPUTED_VALUE"""),"PSPO")</f>
        <v>PSPO</v>
      </c>
      <c r="G1505" s="80">
        <f ca="1">IFERROR(__xludf.DUMMYFUNCTION("""COMPUTED_VALUE"""),44927)</f>
        <v>44927</v>
      </c>
      <c r="H1505" s="6" t="str">
        <f ca="1">IFERROR(__xludf.DUMMYFUNCTION("""COMPUTED_VALUE"""),"Won")</f>
        <v>Won</v>
      </c>
      <c r="I1505" s="6" t="str">
        <f ca="1">IFERROR(__xludf.DUMMYFUNCTION("""COMPUTED_VALUE"""),"18-19 Feb 2023")</f>
        <v>18-19 Feb 2023</v>
      </c>
      <c r="J1505" s="6">
        <f ca="1">IFERROR(__xludf.DUMMYFUNCTION("""COMPUTED_VALUE"""),1)</f>
        <v>1</v>
      </c>
      <c r="K1505" s="8">
        <f ca="1">IFERROR(__xludf.DUMMYFUNCTION("""COMPUTED_VALUE"""),21000)</f>
        <v>21000</v>
      </c>
      <c r="L1505" s="8">
        <f ca="1">IFERROR(__xludf.DUMMYFUNCTION("""COMPUTED_VALUE"""),240.494732020155)</f>
        <v>240.494732020155</v>
      </c>
      <c r="M1505" s="96">
        <f ca="1">IFERROR(__xludf.DUMMYFUNCTION("""COMPUTED_VALUE"""),44953)</f>
        <v>44953</v>
      </c>
      <c r="N1505" s="6" t="str">
        <f ca="1">IFERROR(__xludf.DUMMYFUNCTION("""COMPUTED_VALUE"""),"T10")</f>
        <v>T10</v>
      </c>
      <c r="O1505" s="97">
        <f ca="1">IFERROR(__xludf.DUMMYFUNCTION("""COMPUTED_VALUE"""),44953)</f>
        <v>44953</v>
      </c>
      <c r="P1505" s="6" t="str">
        <f ca="1">IFERROR(__xludf.DUMMYFUNCTION("""COMPUTED_VALUE"""),"CSTM_8Z0W7R500QA")</f>
        <v>CSTM_8Z0W7R500QA</v>
      </c>
      <c r="Q1505" s="6"/>
      <c r="R1505" s="6" t="str">
        <f ca="1">IFERROR(__xludf.DUMMYFUNCTION("""COMPUTED_VALUE"""),"Pending")</f>
        <v>Pending</v>
      </c>
      <c r="S1505" s="6" t="str">
        <f ca="1">IFERROR(__xludf.DUMMYFUNCTION("""COMPUTED_VALUE"""),"Category")</f>
        <v>Category</v>
      </c>
      <c r="T1505" s="6"/>
      <c r="U1505" s="6"/>
      <c r="V1505" s="6"/>
      <c r="W1505" s="6"/>
      <c r="X1505" s="6"/>
      <c r="Y1505" s="6"/>
      <c r="Z1505" s="6"/>
      <c r="AA1505" s="6"/>
      <c r="AB1505" s="6"/>
      <c r="AC1505" s="6"/>
      <c r="AD1505" s="6"/>
      <c r="AE1505" s="6"/>
      <c r="AF1505" s="6"/>
      <c r="AG1505" s="6"/>
      <c r="AH1505" s="6"/>
      <c r="AI1505" s="6"/>
      <c r="AJ1505" s="6"/>
      <c r="AK1505" s="6"/>
      <c r="AL1505" s="6"/>
    </row>
    <row r="1506" spans="1:38">
      <c r="A1506" s="96">
        <f ca="1">IFERROR(__xludf.DUMMYFUNCTION("""COMPUTED_VALUE"""),44953)</f>
        <v>44953</v>
      </c>
      <c r="B1506" s="6" t="str">
        <f ca="1">IFERROR(__xludf.DUMMYFUNCTION("""COMPUTED_VALUE"""),"Krishanu")</f>
        <v>Krishanu</v>
      </c>
      <c r="C1506" s="6" t="str">
        <f ca="1">IFERROR(__xludf.DUMMYFUNCTION("""COMPUTED_VALUE"""),"krishanu.b@tcs.com")</f>
        <v>krishanu.b@tcs.com</v>
      </c>
      <c r="D1506" s="6">
        <f ca="1">IFERROR(__xludf.DUMMYFUNCTION("""COMPUTED_VALUE"""),9831005704)</f>
        <v>9831005704</v>
      </c>
      <c r="E1506" s="6" t="str">
        <f ca="1">IFERROR(__xludf.DUMMYFUNCTION("""COMPUTED_VALUE"""),"Reference")</f>
        <v>Reference</v>
      </c>
      <c r="F1506" s="6" t="str">
        <f ca="1">IFERROR(__xludf.DUMMYFUNCTION("""COMPUTED_VALUE"""),"PSPO")</f>
        <v>PSPO</v>
      </c>
      <c r="G1506" s="80">
        <f ca="1">IFERROR(__xludf.DUMMYFUNCTION("""COMPUTED_VALUE"""),44927)</f>
        <v>44927</v>
      </c>
      <c r="H1506" s="6" t="str">
        <f ca="1">IFERROR(__xludf.DUMMYFUNCTION("""COMPUTED_VALUE"""),"Won")</f>
        <v>Won</v>
      </c>
      <c r="I1506" s="6" t="str">
        <f ca="1">IFERROR(__xludf.DUMMYFUNCTION("""COMPUTED_VALUE"""),"18-19 Feb 2023")</f>
        <v>18-19 Feb 2023</v>
      </c>
      <c r="J1506" s="6">
        <f ca="1">IFERROR(__xludf.DUMMYFUNCTION("""COMPUTED_VALUE"""),1)</f>
        <v>1</v>
      </c>
      <c r="K1506" s="8">
        <f ca="1">IFERROR(__xludf.DUMMYFUNCTION("""COMPUTED_VALUE"""),21000)</f>
        <v>21000</v>
      </c>
      <c r="L1506" s="8">
        <f ca="1">IFERROR(__xludf.DUMMYFUNCTION("""COMPUTED_VALUE"""),240.494732020155)</f>
        <v>240.494732020155</v>
      </c>
      <c r="M1506" s="96">
        <f ca="1">IFERROR(__xludf.DUMMYFUNCTION("""COMPUTED_VALUE"""),44953)</f>
        <v>44953</v>
      </c>
      <c r="N1506" s="6" t="str">
        <f ca="1">IFERROR(__xludf.DUMMYFUNCTION("""COMPUTED_VALUE"""),"T10")</f>
        <v>T10</v>
      </c>
      <c r="O1506" s="97">
        <f ca="1">IFERROR(__xludf.DUMMYFUNCTION("""COMPUTED_VALUE"""),44953)</f>
        <v>44953</v>
      </c>
      <c r="P1506" s="6" t="str">
        <f ca="1">IFERROR(__xludf.DUMMYFUNCTION("""COMPUTED_VALUE"""),"CSTM_6IGE9QGVL2T")</f>
        <v>CSTM_6IGE9QGVL2T</v>
      </c>
      <c r="Q1506" s="6" t="str">
        <f ca="1">IFERROR(__xludf.DUMMYFUNCTION("""COMPUTED_VALUE"""),"Reference by 13202212@ksom.ac.in")</f>
        <v>Reference by 13202212@ksom.ac.in</v>
      </c>
      <c r="R1506" s="6" t="str">
        <f ca="1">IFERROR(__xludf.DUMMYFUNCTION("""COMPUTED_VALUE"""),"Pending")</f>
        <v>Pending</v>
      </c>
      <c r="S1506" s="6" t="str">
        <f ca="1">IFERROR(__xludf.DUMMYFUNCTION("""COMPUTED_VALUE"""),"Category")</f>
        <v>Category</v>
      </c>
      <c r="T1506" s="6"/>
      <c r="U1506" s="6"/>
      <c r="V1506" s="6"/>
      <c r="W1506" s="6"/>
      <c r="X1506" s="6"/>
      <c r="Y1506" s="6"/>
      <c r="Z1506" s="6"/>
      <c r="AA1506" s="6"/>
      <c r="AB1506" s="6"/>
      <c r="AC1506" s="6"/>
      <c r="AD1506" s="6"/>
      <c r="AE1506" s="6"/>
      <c r="AF1506" s="6"/>
      <c r="AG1506" s="6"/>
      <c r="AH1506" s="6"/>
      <c r="AI1506" s="6"/>
      <c r="AJ1506" s="6"/>
      <c r="AK1506" s="6"/>
      <c r="AL1506" s="6"/>
    </row>
    <row r="1507" spans="1:38">
      <c r="A1507" s="96">
        <f ca="1">IFERROR(__xludf.DUMMYFUNCTION("""COMPUTED_VALUE"""),44953)</f>
        <v>44953</v>
      </c>
      <c r="B1507" s="6" t="str">
        <f ca="1">IFERROR(__xludf.DUMMYFUNCTION("""COMPUTED_VALUE"""),"Trisha Sharma")</f>
        <v>Trisha Sharma</v>
      </c>
      <c r="C1507" s="6" t="str">
        <f ca="1">IFERROR(__xludf.DUMMYFUNCTION("""COMPUTED_VALUE"""),"trisharma2011@gmail.com")</f>
        <v>trisharma2011@gmail.com</v>
      </c>
      <c r="D1507" s="6">
        <f ca="1">IFERROR(__xludf.DUMMYFUNCTION("""COMPUTED_VALUE"""),9960459870)</f>
        <v>9960459870</v>
      </c>
      <c r="E1507" s="6" t="str">
        <f ca="1">IFERROR(__xludf.DUMMYFUNCTION("""COMPUTED_VALUE"""),"chat_initiated")</f>
        <v>chat_initiated</v>
      </c>
      <c r="F1507" s="6" t="str">
        <f ca="1">IFERROR(__xludf.DUMMYFUNCTION("""COMPUTED_VALUE"""),"SAFe Agile")</f>
        <v>SAFe Agile</v>
      </c>
      <c r="G1507" s="80">
        <f ca="1">IFERROR(__xludf.DUMMYFUNCTION("""COMPUTED_VALUE"""),44927)</f>
        <v>44927</v>
      </c>
      <c r="H1507" s="6" t="str">
        <f ca="1">IFERROR(__xludf.DUMMYFUNCTION("""COMPUTED_VALUE"""),"Won")</f>
        <v>Won</v>
      </c>
      <c r="I1507" s="6" t="str">
        <f ca="1">IFERROR(__xludf.DUMMYFUNCTION("""COMPUTED_VALUE"""),"4-5 Feb 2023")</f>
        <v>4-5 Feb 2023</v>
      </c>
      <c r="J1507" s="6">
        <f ca="1">IFERROR(__xludf.DUMMYFUNCTION("""COMPUTED_VALUE"""),1)</f>
        <v>1</v>
      </c>
      <c r="K1507" s="8">
        <f ca="1">IFERROR(__xludf.DUMMYFUNCTION("""COMPUTED_VALUE"""),40061)</f>
        <v>40061</v>
      </c>
      <c r="L1507" s="8">
        <f ca="1">IFERROR(__xludf.DUMMYFUNCTION("""COMPUTED_VALUE"""),458.783783783783)</f>
        <v>458.78378378378301</v>
      </c>
      <c r="M1507" s="96">
        <f ca="1">IFERROR(__xludf.DUMMYFUNCTION("""COMPUTED_VALUE"""),44953)</f>
        <v>44953</v>
      </c>
      <c r="N1507" s="6" t="str">
        <f ca="1">IFERROR(__xludf.DUMMYFUNCTION("""COMPUTED_VALUE"""),"T10")</f>
        <v>T10</v>
      </c>
      <c r="O1507" s="97">
        <f ca="1">IFERROR(__xludf.DUMMYFUNCTION("""COMPUTED_VALUE"""),44953)</f>
        <v>44953</v>
      </c>
      <c r="P1507" s="6" t="str">
        <f ca="1">IFERROR(__xludf.DUMMYFUNCTION("""COMPUTED_VALUE"""),"CSTM_DN58G9Q0IWL")</f>
        <v>CSTM_DN58G9Q0IWL</v>
      </c>
      <c r="Q1507" s="6"/>
      <c r="R1507" s="6" t="str">
        <f ca="1">IFERROR(__xludf.DUMMYFUNCTION("""COMPUTED_VALUE"""),"Pending")</f>
        <v>Pending</v>
      </c>
      <c r="S1507" s="6" t="str">
        <f ca="1">IFERROR(__xludf.DUMMYFUNCTION("""COMPUTED_VALUE"""),"SAFe")</f>
        <v>SAFe</v>
      </c>
      <c r="T1507" s="6"/>
      <c r="U1507" s="6"/>
      <c r="V1507" s="6"/>
      <c r="W1507" s="6"/>
      <c r="X1507" s="6"/>
      <c r="Y1507" s="6"/>
      <c r="Z1507" s="6"/>
      <c r="AA1507" s="6"/>
      <c r="AB1507" s="6"/>
      <c r="AC1507" s="6"/>
      <c r="AD1507" s="6"/>
      <c r="AE1507" s="6"/>
      <c r="AF1507" s="6"/>
      <c r="AG1507" s="6"/>
      <c r="AH1507" s="6"/>
      <c r="AI1507" s="6"/>
      <c r="AJ1507" s="6"/>
      <c r="AK1507" s="6"/>
      <c r="AL1507" s="6"/>
    </row>
    <row r="1508" spans="1:38">
      <c r="A1508" s="96">
        <f ca="1">IFERROR(__xludf.DUMMYFUNCTION("""COMPUTED_VALUE"""),44957)</f>
        <v>44957</v>
      </c>
      <c r="B1508" s="6" t="str">
        <f ca="1">IFERROR(__xludf.DUMMYFUNCTION("""COMPUTED_VALUE"""),"Nagaraj T D")</f>
        <v>Nagaraj T D</v>
      </c>
      <c r="C1508" s="6" t="str">
        <f ca="1">IFERROR(__xludf.DUMMYFUNCTION("""COMPUTED_VALUE"""),"nagarajtd8118@gmail.com")</f>
        <v>nagarajtd8118@gmail.com</v>
      </c>
      <c r="D1508" s="6">
        <f ca="1">IFERROR(__xludf.DUMMYFUNCTION("""COMPUTED_VALUE"""),9900143324)</f>
        <v>9900143324</v>
      </c>
      <c r="E1508" s="6" t="str">
        <f ca="1">IFERROR(__xludf.DUMMYFUNCTION("""COMPUTED_VALUE"""),"Reference")</f>
        <v>Reference</v>
      </c>
      <c r="F1508" s="6" t="str">
        <f ca="1">IFERROR(__xludf.DUMMYFUNCTION("""COMPUTED_VALUE"""),"ITIL v4")</f>
        <v>ITIL v4</v>
      </c>
      <c r="G1508" s="80">
        <f ca="1">IFERROR(__xludf.DUMMYFUNCTION("""COMPUTED_VALUE"""),44958)</f>
        <v>44958</v>
      </c>
      <c r="H1508" s="6" t="str">
        <f ca="1">IFERROR(__xludf.DUMMYFUNCTION("""COMPUTED_VALUE"""),"Won")</f>
        <v>Won</v>
      </c>
      <c r="I1508" s="6" t="str">
        <f ca="1">IFERROR(__xludf.DUMMYFUNCTION("""COMPUTED_VALUE"""),"4 Feb 2023")</f>
        <v>4 Feb 2023</v>
      </c>
      <c r="J1508" s="6">
        <f ca="1">IFERROR(__xludf.DUMMYFUNCTION("""COMPUTED_VALUE"""),1)</f>
        <v>1</v>
      </c>
      <c r="K1508" s="8">
        <f ca="1">IFERROR(__xludf.DUMMYFUNCTION("""COMPUTED_VALUE"""),21200)</f>
        <v>21200</v>
      </c>
      <c r="L1508" s="8">
        <f ca="1">IFERROR(__xludf.DUMMYFUNCTION("""COMPUTED_VALUE"""),242.785158039395)</f>
        <v>242.78515803939499</v>
      </c>
      <c r="M1508" s="96">
        <f ca="1">IFERROR(__xludf.DUMMYFUNCTION("""COMPUTED_VALUE"""),44957)</f>
        <v>44957</v>
      </c>
      <c r="N1508" s="6" t="str">
        <f ca="1">IFERROR(__xludf.DUMMYFUNCTION("""COMPUTED_VALUE"""),"F10")</f>
        <v>F10</v>
      </c>
      <c r="O1508" s="97">
        <f ca="1">IFERROR(__xludf.DUMMYFUNCTION("""COMPUTED_VALUE"""),44958)</f>
        <v>44958</v>
      </c>
      <c r="P1508" s="6" t="str">
        <f ca="1">IFERROR(__xludf.DUMMYFUNCTION("""COMPUTED_VALUE"""),"CSTM_5TN3OO3TBRF")</f>
        <v>CSTM_5TN3OO3TBRF</v>
      </c>
      <c r="Q1508" s="6" t="str">
        <f ca="1">IFERROR(__xludf.DUMMYFUNCTION("""COMPUTED_VALUE"""),"Reference by terdalravikumar@gmail.com")</f>
        <v>Reference by terdalravikumar@gmail.com</v>
      </c>
      <c r="R1508" s="6" t="str">
        <f ca="1">IFERROR(__xludf.DUMMYFUNCTION("""COMPUTED_VALUE"""),"Pending")</f>
        <v>Pending</v>
      </c>
      <c r="S1508" s="6" t="str">
        <f ca="1">IFERROR(__xludf.DUMMYFUNCTION("""COMPUTED_VALUE"""),"NonCategory")</f>
        <v>NonCategory</v>
      </c>
      <c r="T1508" s="6"/>
      <c r="U1508" s="6"/>
      <c r="V1508" s="6"/>
      <c r="W1508" s="6"/>
      <c r="X1508" s="6"/>
      <c r="Y1508" s="6"/>
      <c r="Z1508" s="6"/>
      <c r="AA1508" s="6"/>
      <c r="AB1508" s="6"/>
      <c r="AC1508" s="6"/>
      <c r="AD1508" s="6"/>
      <c r="AE1508" s="6"/>
      <c r="AF1508" s="6"/>
      <c r="AG1508" s="6"/>
      <c r="AH1508" s="6"/>
      <c r="AI1508" s="6"/>
      <c r="AJ1508" s="6"/>
      <c r="AK1508" s="6"/>
      <c r="AL1508" s="6"/>
    </row>
    <row r="1509" spans="1:38">
      <c r="A1509" s="96">
        <f ca="1">IFERROR(__xludf.DUMMYFUNCTION("""COMPUTED_VALUE"""),44957)</f>
        <v>44957</v>
      </c>
      <c r="B1509" s="6" t="str">
        <f ca="1">IFERROR(__xludf.DUMMYFUNCTION("""COMPUTED_VALUE"""),"Sukanya Misra")</f>
        <v>Sukanya Misra</v>
      </c>
      <c r="C1509" s="6" t="str">
        <f ca="1">IFERROR(__xludf.DUMMYFUNCTION("""COMPUTED_VALUE"""),"sukanya.misra@outlook.com")</f>
        <v>sukanya.misra@outlook.com</v>
      </c>
      <c r="D1509" s="6">
        <f ca="1">IFERROR(__xludf.DUMMYFUNCTION("""COMPUTED_VALUE"""),9007648289)</f>
        <v>9007648289</v>
      </c>
      <c r="E1509" s="6" t="str">
        <f ca="1">IFERROR(__xludf.DUMMYFUNCTION("""COMPUTED_VALUE"""),"Reference")</f>
        <v>Reference</v>
      </c>
      <c r="F1509" s="6" t="str">
        <f ca="1">IFERROR(__xludf.DUMMYFUNCTION("""COMPUTED_VALUE"""),"PSPO")</f>
        <v>PSPO</v>
      </c>
      <c r="G1509" s="80">
        <f ca="1">IFERROR(__xludf.DUMMYFUNCTION("""COMPUTED_VALUE"""),44927)</f>
        <v>44927</v>
      </c>
      <c r="H1509" s="6" t="str">
        <f ca="1">IFERROR(__xludf.DUMMYFUNCTION("""COMPUTED_VALUE"""),"Won")</f>
        <v>Won</v>
      </c>
      <c r="I1509" s="6" t="str">
        <f ca="1">IFERROR(__xludf.DUMMYFUNCTION("""COMPUTED_VALUE"""),"18-19 Feb 2023")</f>
        <v>18-19 Feb 2023</v>
      </c>
      <c r="J1509" s="6">
        <f ca="1">IFERROR(__xludf.DUMMYFUNCTION("""COMPUTED_VALUE"""),1)</f>
        <v>1</v>
      </c>
      <c r="K1509" s="8">
        <f ca="1">IFERROR(__xludf.DUMMYFUNCTION("""COMPUTED_VALUE"""),21000)</f>
        <v>21000</v>
      </c>
      <c r="L1509" s="8">
        <f ca="1">IFERROR(__xludf.DUMMYFUNCTION("""COMPUTED_VALUE"""),240.494732020155)</f>
        <v>240.494732020155</v>
      </c>
      <c r="M1509" s="96">
        <f ca="1">IFERROR(__xludf.DUMMYFUNCTION("""COMPUTED_VALUE"""),44957)</f>
        <v>44957</v>
      </c>
      <c r="N1509" s="6" t="str">
        <f ca="1">IFERROR(__xludf.DUMMYFUNCTION("""COMPUTED_VALUE"""),"T10")</f>
        <v>T10</v>
      </c>
      <c r="O1509" s="97">
        <f ca="1">IFERROR(__xludf.DUMMYFUNCTION("""COMPUTED_VALUE"""),44957)</f>
        <v>44957</v>
      </c>
      <c r="P1509" s="6" t="str">
        <f ca="1">IFERROR(__xludf.DUMMYFUNCTION("""COMPUTED_VALUE"""),"CSTM_C9S00QR9ALN")</f>
        <v>CSTM_C9S00QR9ALN</v>
      </c>
      <c r="Q1509" s="6" t="str">
        <f ca="1">IFERROR(__xludf.DUMMYFUNCTION("""COMPUTED_VALUE"""),"Reference by static.virtue@gmail.com")</f>
        <v>Reference by static.virtue@gmail.com</v>
      </c>
      <c r="R1509" s="6" t="str">
        <f ca="1">IFERROR(__xludf.DUMMYFUNCTION("""COMPUTED_VALUE"""),"Pending")</f>
        <v>Pending</v>
      </c>
      <c r="S1509" s="6" t="str">
        <f ca="1">IFERROR(__xludf.DUMMYFUNCTION("""COMPUTED_VALUE"""),"Category")</f>
        <v>Category</v>
      </c>
      <c r="T1509" s="6"/>
      <c r="U1509" s="6"/>
      <c r="V1509" s="6"/>
      <c r="W1509" s="6"/>
      <c r="X1509" s="6"/>
      <c r="Y1509" s="6"/>
      <c r="Z1509" s="6"/>
      <c r="AA1509" s="6"/>
      <c r="AB1509" s="6"/>
      <c r="AC1509" s="6"/>
      <c r="AD1509" s="6"/>
      <c r="AE1509" s="6"/>
      <c r="AF1509" s="6"/>
      <c r="AG1509" s="6"/>
      <c r="AH1509" s="6"/>
      <c r="AI1509" s="6"/>
      <c r="AJ1509" s="6"/>
      <c r="AK1509" s="6"/>
      <c r="AL1509" s="6"/>
    </row>
    <row r="1510" spans="1:38">
      <c r="A1510" s="96">
        <f ca="1">IFERROR(__xludf.DUMMYFUNCTION("""COMPUTED_VALUE"""),44957)</f>
        <v>44957</v>
      </c>
      <c r="B1510" s="6" t="str">
        <f ca="1">IFERROR(__xludf.DUMMYFUNCTION("""COMPUTED_VALUE"""),"Ganesh Shetty")</f>
        <v>Ganesh Shetty</v>
      </c>
      <c r="C1510" s="6" t="str">
        <f ca="1">IFERROR(__xludf.DUMMYFUNCTION("""COMPUTED_VALUE"""),"ganesh.shetty@smithsdetection.com")</f>
        <v>ganesh.shetty@smithsdetection.com</v>
      </c>
      <c r="D1510" s="6">
        <f ca="1">IFERROR(__xludf.DUMMYFUNCTION("""COMPUTED_VALUE"""),4917641713050)</f>
        <v>4917641713050</v>
      </c>
      <c r="E1510" s="6" t="str">
        <f ca="1">IFERROR(__xludf.DUMMYFUNCTION("""COMPUTED_VALUE"""),"Existing Account")</f>
        <v>Existing Account</v>
      </c>
      <c r="F1510" s="6" t="str">
        <f ca="1">IFERROR(__xludf.DUMMYFUNCTION("""COMPUTED_VALUE"""),"Implementing SAFe")</f>
        <v>Implementing SAFe</v>
      </c>
      <c r="G1510" s="80">
        <f ca="1">IFERROR(__xludf.DUMMYFUNCTION("""COMPUTED_VALUE"""),44927)</f>
        <v>44927</v>
      </c>
      <c r="H1510" s="6" t="str">
        <f ca="1">IFERROR(__xludf.DUMMYFUNCTION("""COMPUTED_VALUE"""),"Won")</f>
        <v>Won</v>
      </c>
      <c r="I1510" s="6" t="str">
        <f ca="1">IFERROR(__xludf.DUMMYFUNCTION("""COMPUTED_VALUE"""),"23-26 Feb 2023")</f>
        <v>23-26 Feb 2023</v>
      </c>
      <c r="J1510" s="6">
        <f ca="1">IFERROR(__xludf.DUMMYFUNCTION("""COMPUTED_VALUE"""),1)</f>
        <v>1</v>
      </c>
      <c r="K1510" s="8">
        <f ca="1">IFERROR(__xludf.DUMMYFUNCTION("""COMPUTED_VALUE"""),690000)</f>
        <v>690000</v>
      </c>
      <c r="L1510" s="8">
        <f ca="1">IFERROR(__xludf.DUMMYFUNCTION("""COMPUTED_VALUE"""),7901.96976637654)</f>
        <v>7901.9697663765401</v>
      </c>
      <c r="M1510" s="96">
        <f ca="1">IFERROR(__xludf.DUMMYFUNCTION("""COMPUTED_VALUE"""),44953)</f>
        <v>44953</v>
      </c>
      <c r="N1510" s="6" t="str">
        <f ca="1">IFERROR(__xludf.DUMMYFUNCTION("""COMPUTED_VALUE"""),"T10")</f>
        <v>T10</v>
      </c>
      <c r="O1510" s="97">
        <f ca="1">IFERROR(__xludf.DUMMYFUNCTION("""COMPUTED_VALUE"""),44957)</f>
        <v>44957</v>
      </c>
      <c r="P1510" s="6" t="str">
        <f ca="1">IFERROR(__xludf.DUMMYFUNCTION("""COMPUTED_VALUE"""),"64755/ 00064755_01")</f>
        <v>64755/ 00064755_01</v>
      </c>
      <c r="Q1510" s="6"/>
      <c r="R1510" s="6" t="str">
        <f ca="1">IFERROR(__xludf.DUMMYFUNCTION("""COMPUTED_VALUE"""),"Pending")</f>
        <v>Pending</v>
      </c>
      <c r="S1510" s="6" t="str">
        <f ca="1">IFERROR(__xludf.DUMMYFUNCTION("""COMPUTED_VALUE"""),"NonCategory")</f>
        <v>NonCategory</v>
      </c>
      <c r="T1510" s="6"/>
      <c r="U1510" s="6"/>
      <c r="V1510" s="6"/>
      <c r="W1510" s="6"/>
      <c r="X1510" s="6"/>
      <c r="Y1510" s="6"/>
      <c r="Z1510" s="6"/>
      <c r="AA1510" s="6"/>
      <c r="AB1510" s="6"/>
      <c r="AC1510" s="6"/>
      <c r="AD1510" s="6"/>
      <c r="AE1510" s="6"/>
      <c r="AF1510" s="6"/>
      <c r="AG1510" s="6"/>
      <c r="AH1510" s="6"/>
      <c r="AI1510" s="6"/>
      <c r="AJ1510" s="6"/>
      <c r="AK1510" s="6"/>
      <c r="AL1510" s="6"/>
    </row>
    <row r="1511" spans="1:38">
      <c r="A1511" s="96">
        <f ca="1">IFERROR(__xludf.DUMMYFUNCTION("""COMPUTED_VALUE"""),44957)</f>
        <v>44957</v>
      </c>
      <c r="B1511" s="6" t="str">
        <f ca="1">IFERROR(__xludf.DUMMYFUNCTION("""COMPUTED_VALUE"""),"Shashwat Kumar")</f>
        <v>Shashwat Kumar</v>
      </c>
      <c r="C1511" s="6" t="str">
        <f ca="1">IFERROR(__xludf.DUMMYFUNCTION("""COMPUTED_VALUE"""),"shashwatkumar@hotmail.com")</f>
        <v>shashwatkumar@hotmail.com</v>
      </c>
      <c r="D1511" s="6">
        <f ca="1">IFERROR(__xludf.DUMMYFUNCTION("""COMPUTED_VALUE"""),8884801188)</f>
        <v>8884801188</v>
      </c>
      <c r="E1511" s="6" t="str">
        <f ca="1">IFERROR(__xludf.DUMMYFUNCTION("""COMPUTED_VALUE"""),"Query box")</f>
        <v>Query box</v>
      </c>
      <c r="F1511" s="6" t="str">
        <f ca="1">IFERROR(__xludf.DUMMYFUNCTION("""COMPUTED_VALUE"""),"SAFe POPM")</f>
        <v>SAFe POPM</v>
      </c>
      <c r="G1511" s="80">
        <f ca="1">IFERROR(__xludf.DUMMYFUNCTION("""COMPUTED_VALUE"""),44927)</f>
        <v>44927</v>
      </c>
      <c r="H1511" s="6" t="str">
        <f ca="1">IFERROR(__xludf.DUMMYFUNCTION("""COMPUTED_VALUE"""),"Won")</f>
        <v>Won</v>
      </c>
      <c r="I1511" s="6" t="str">
        <f ca="1">IFERROR(__xludf.DUMMYFUNCTION("""COMPUTED_VALUE"""),"4-5 Feb 2023")</f>
        <v>4-5 Feb 2023</v>
      </c>
      <c r="J1511" s="6">
        <f ca="1">IFERROR(__xludf.DUMMYFUNCTION("""COMPUTED_VALUE"""),1)</f>
        <v>1</v>
      </c>
      <c r="K1511" s="8">
        <f ca="1">IFERROR(__xludf.DUMMYFUNCTION("""COMPUTED_VALUE"""),40061)</f>
        <v>40061</v>
      </c>
      <c r="L1511" s="8">
        <f ca="1">IFERROR(__xludf.DUMMYFUNCTION("""COMPUTED_VALUE"""),458.783783783783)</f>
        <v>458.78378378378301</v>
      </c>
      <c r="M1511" s="96">
        <f ca="1">IFERROR(__xludf.DUMMYFUNCTION("""COMPUTED_VALUE"""),44957)</f>
        <v>44957</v>
      </c>
      <c r="N1511" s="6" t="str">
        <f ca="1">IFERROR(__xludf.DUMMYFUNCTION("""COMPUTED_VALUE"""),"T10")</f>
        <v>T10</v>
      </c>
      <c r="O1511" s="97">
        <f ca="1">IFERROR(__xludf.DUMMYFUNCTION("""COMPUTED_VALUE"""),44957)</f>
        <v>44957</v>
      </c>
      <c r="P1511" s="6" t="str">
        <f ca="1">IFERROR(__xludf.DUMMYFUNCTION("""COMPUTED_VALUE"""),"CSTM_AJCQG5QW7QH")</f>
        <v>CSTM_AJCQG5QW7QH</v>
      </c>
      <c r="Q1511" s="6"/>
      <c r="R1511" s="6" t="str">
        <f ca="1">IFERROR(__xludf.DUMMYFUNCTION("""COMPUTED_VALUE"""),"Pending")</f>
        <v>Pending</v>
      </c>
      <c r="S1511" s="6" t="str">
        <f ca="1">IFERROR(__xludf.DUMMYFUNCTION("""COMPUTED_VALUE"""),"SAFe")</f>
        <v>SAFe</v>
      </c>
      <c r="T1511" s="6"/>
      <c r="U1511" s="6"/>
      <c r="V1511" s="6"/>
      <c r="W1511" s="6"/>
      <c r="X1511" s="6"/>
      <c r="Y1511" s="6"/>
      <c r="Z1511" s="6"/>
      <c r="AA1511" s="6"/>
      <c r="AB1511" s="6"/>
      <c r="AC1511" s="6"/>
      <c r="AD1511" s="6"/>
      <c r="AE1511" s="6"/>
      <c r="AF1511" s="6"/>
      <c r="AG1511" s="6"/>
      <c r="AH1511" s="6"/>
      <c r="AI1511" s="6"/>
      <c r="AJ1511" s="6"/>
      <c r="AK1511" s="6"/>
      <c r="AL1511" s="6"/>
    </row>
    <row r="1512" spans="1:38">
      <c r="A1512" s="96">
        <f ca="1">IFERROR(__xludf.DUMMYFUNCTION("""COMPUTED_VALUE"""),44958)</f>
        <v>44958</v>
      </c>
      <c r="B1512" s="6" t="str">
        <f ca="1">IFERROR(__xludf.DUMMYFUNCTION("""COMPUTED_VALUE"""),"Sumi Paramesh")</f>
        <v>Sumi Paramesh</v>
      </c>
      <c r="C1512" s="6" t="str">
        <f ca="1">IFERROR(__xludf.DUMMYFUNCTION("""COMPUTED_VALUE"""),"sumiparamesh@gmail.com")</f>
        <v>sumiparamesh@gmail.com</v>
      </c>
      <c r="D1512" s="6">
        <f ca="1">IFERROR(__xludf.DUMMYFUNCTION("""COMPUTED_VALUE"""),9841681400)</f>
        <v>9841681400</v>
      </c>
      <c r="E1512" s="6" t="str">
        <f ca="1">IFERROR(__xludf.DUMMYFUNCTION("""COMPUTED_VALUE"""),"chat_initiated")</f>
        <v>chat_initiated</v>
      </c>
      <c r="F1512" s="6" t="str">
        <f ca="1">IFERROR(__xludf.DUMMYFUNCTION("""COMPUTED_VALUE"""),"SAFe Agile")</f>
        <v>SAFe Agile</v>
      </c>
      <c r="G1512" s="80">
        <f ca="1">IFERROR(__xludf.DUMMYFUNCTION("""COMPUTED_VALUE"""),44958)</f>
        <v>44958</v>
      </c>
      <c r="H1512" s="6" t="str">
        <f ca="1">IFERROR(__xludf.DUMMYFUNCTION("""COMPUTED_VALUE"""),"Won")</f>
        <v>Won</v>
      </c>
      <c r="I1512" s="6" t="str">
        <f ca="1">IFERROR(__xludf.DUMMYFUNCTION("""COMPUTED_VALUE"""),"11-12 Feb 2023")</f>
        <v>11-12 Feb 2023</v>
      </c>
      <c r="J1512" s="6">
        <f ca="1">IFERROR(__xludf.DUMMYFUNCTION("""COMPUTED_VALUE"""),1)</f>
        <v>1</v>
      </c>
      <c r="K1512" s="8">
        <f ca="1">IFERROR(__xludf.DUMMYFUNCTION("""COMPUTED_VALUE"""),42000)</f>
        <v>42000</v>
      </c>
      <c r="L1512" s="8">
        <f ca="1">IFERROR(__xludf.DUMMYFUNCTION("""COMPUTED_VALUE"""),480.989464040311)</f>
        <v>480.98946404031102</v>
      </c>
      <c r="M1512" s="96">
        <f ca="1">IFERROR(__xludf.DUMMYFUNCTION("""COMPUTED_VALUE"""),44958)</f>
        <v>44958</v>
      </c>
      <c r="N1512" s="6" t="str">
        <f ca="1">IFERROR(__xludf.DUMMYFUNCTION("""COMPUTED_VALUE"""),"F10")</f>
        <v>F10</v>
      </c>
      <c r="O1512" s="97">
        <f ca="1">IFERROR(__xludf.DUMMYFUNCTION("""COMPUTED_VALUE"""),44958)</f>
        <v>44958</v>
      </c>
      <c r="P1512" s="6" t="str">
        <f ca="1">IFERROR(__xludf.DUMMYFUNCTION("""COMPUTED_VALUE"""),"CSTM_BCSU7QLME8D")</f>
        <v>CSTM_BCSU7QLME8D</v>
      </c>
      <c r="Q1512" s="6"/>
      <c r="R1512" s="6" t="str">
        <f ca="1">IFERROR(__xludf.DUMMYFUNCTION("""COMPUTED_VALUE"""),"Pending")</f>
        <v>Pending</v>
      </c>
      <c r="S1512" s="6" t="str">
        <f ca="1">IFERROR(__xludf.DUMMYFUNCTION("""COMPUTED_VALUE"""),"SAFe")</f>
        <v>SAFe</v>
      </c>
      <c r="T1512" s="6"/>
      <c r="U1512" s="6"/>
      <c r="V1512" s="6"/>
      <c r="W1512" s="6"/>
      <c r="X1512" s="6"/>
      <c r="Y1512" s="6"/>
      <c r="Z1512" s="6"/>
      <c r="AA1512" s="6"/>
      <c r="AB1512" s="6"/>
      <c r="AC1512" s="6"/>
      <c r="AD1512" s="6"/>
      <c r="AE1512" s="6"/>
      <c r="AF1512" s="6"/>
      <c r="AG1512" s="6"/>
      <c r="AH1512" s="6"/>
      <c r="AI1512" s="6"/>
      <c r="AJ1512" s="6"/>
      <c r="AK1512" s="6"/>
      <c r="AL1512" s="6"/>
    </row>
    <row r="1513" spans="1:38">
      <c r="A1513" s="96">
        <f ca="1">IFERROR(__xludf.DUMMYFUNCTION("""COMPUTED_VALUE"""),44958)</f>
        <v>44958</v>
      </c>
      <c r="B1513" s="6" t="str">
        <f ca="1">IFERROR(__xludf.DUMMYFUNCTION("""COMPUTED_VALUE"""),"Vaibhav Bhatia")</f>
        <v>Vaibhav Bhatia</v>
      </c>
      <c r="C1513" s="6" t="str">
        <f ca="1">IFERROR(__xludf.DUMMYFUNCTION("""COMPUTED_VALUE"""),"vaibhavbhatia89@gmail.com")</f>
        <v>vaibhavbhatia89@gmail.com</v>
      </c>
      <c r="D1513" s="6">
        <f ca="1">IFERROR(__xludf.DUMMYFUNCTION("""COMPUTED_VALUE"""),9811985943)</f>
        <v>9811985943</v>
      </c>
      <c r="E1513" s="6" t="str">
        <f ca="1">IFERROR(__xludf.DUMMYFUNCTION("""COMPUTED_VALUE"""),"course agenda")</f>
        <v>course agenda</v>
      </c>
      <c r="F1513" s="6" t="str">
        <f ca="1">IFERROR(__xludf.DUMMYFUNCTION("""COMPUTED_VALUE"""),"CSM")</f>
        <v>CSM</v>
      </c>
      <c r="G1513" s="80">
        <f ca="1">IFERROR(__xludf.DUMMYFUNCTION("""COMPUTED_VALUE"""),44958)</f>
        <v>44958</v>
      </c>
      <c r="H1513" s="6" t="str">
        <f ca="1">IFERROR(__xludf.DUMMYFUNCTION("""COMPUTED_VALUE"""),"Won")</f>
        <v>Won</v>
      </c>
      <c r="I1513" s="6" t="str">
        <f ca="1">IFERROR(__xludf.DUMMYFUNCTION("""COMPUTED_VALUE"""),"11-12 Feb 2023")</f>
        <v>11-12 Feb 2023</v>
      </c>
      <c r="J1513" s="6">
        <f ca="1">IFERROR(__xludf.DUMMYFUNCTION("""COMPUTED_VALUE"""),1)</f>
        <v>1</v>
      </c>
      <c r="K1513" s="8">
        <f ca="1">IFERROR(__xludf.DUMMYFUNCTION("""COMPUTED_VALUE"""),20000)</f>
        <v>20000</v>
      </c>
      <c r="L1513" s="8">
        <f ca="1">IFERROR(__xludf.DUMMYFUNCTION("""COMPUTED_VALUE"""),229.042601923957)</f>
        <v>229.04260192395699</v>
      </c>
      <c r="M1513" s="96">
        <f ca="1">IFERROR(__xludf.DUMMYFUNCTION("""COMPUTED_VALUE"""),44958)</f>
        <v>44958</v>
      </c>
      <c r="N1513" s="6" t="str">
        <f ca="1">IFERROR(__xludf.DUMMYFUNCTION("""COMPUTED_VALUE"""),"F10")</f>
        <v>F10</v>
      </c>
      <c r="O1513" s="97">
        <f ca="1">IFERROR(__xludf.DUMMYFUNCTION("""COMPUTED_VALUE"""),44958)</f>
        <v>44958</v>
      </c>
      <c r="P1513" s="6" t="str">
        <f ca="1">IFERROR(__xludf.DUMMYFUNCTION("""COMPUTED_VALUE"""),"CSTM_GGV9TBO3LFY")</f>
        <v>CSTM_GGV9TBO3LFY</v>
      </c>
      <c r="Q1513" s="6"/>
      <c r="R1513" s="6" t="str">
        <f ca="1">IFERROR(__xludf.DUMMYFUNCTION("""COMPUTED_VALUE"""),"Pending")</f>
        <v>Pending</v>
      </c>
      <c r="S1513" s="6" t="str">
        <f ca="1">IFERROR(__xludf.DUMMYFUNCTION("""COMPUTED_VALUE"""),"Category")</f>
        <v>Category</v>
      </c>
      <c r="T1513" s="6"/>
      <c r="U1513" s="6"/>
      <c r="V1513" s="6"/>
      <c r="W1513" s="6"/>
      <c r="X1513" s="6"/>
      <c r="Y1513" s="6"/>
      <c r="Z1513" s="6"/>
      <c r="AA1513" s="6"/>
      <c r="AB1513" s="6"/>
      <c r="AC1513" s="6"/>
      <c r="AD1513" s="6"/>
      <c r="AE1513" s="6"/>
      <c r="AF1513" s="6"/>
      <c r="AG1513" s="6"/>
      <c r="AH1513" s="6"/>
      <c r="AI1513" s="6"/>
      <c r="AJ1513" s="6"/>
      <c r="AK1513" s="6"/>
      <c r="AL1513" s="6"/>
    </row>
    <row r="1514" spans="1:38">
      <c r="A1514" s="96">
        <f ca="1">IFERROR(__xludf.DUMMYFUNCTION("""COMPUTED_VALUE"""),44958)</f>
        <v>44958</v>
      </c>
      <c r="B1514" s="6" t="str">
        <f ca="1">IFERROR(__xludf.DUMMYFUNCTION("""COMPUTED_VALUE"""),"Poornima")</f>
        <v>Poornima</v>
      </c>
      <c r="C1514" s="6" t="str">
        <f ca="1">IFERROR(__xludf.DUMMYFUNCTION("""COMPUTED_VALUE"""),"poornima2910@gmail.com")</f>
        <v>poornima2910@gmail.com</v>
      </c>
      <c r="D1514" s="6">
        <f ca="1">IFERROR(__xludf.DUMMYFUNCTION("""COMPUTED_VALUE"""),9654713977)</f>
        <v>9654713977</v>
      </c>
      <c r="E1514" s="6" t="str">
        <f ca="1">IFERROR(__xludf.DUMMYFUNCTION("""COMPUTED_VALUE"""),"Tollfree")</f>
        <v>Tollfree</v>
      </c>
      <c r="F1514" s="6" t="str">
        <f ca="1">IFERROR(__xludf.DUMMYFUNCTION("""COMPUTED_VALUE"""),"PSM 2")</f>
        <v>PSM 2</v>
      </c>
      <c r="G1514" s="80">
        <f ca="1">IFERROR(__xludf.DUMMYFUNCTION("""COMPUTED_VALUE"""),44958)</f>
        <v>44958</v>
      </c>
      <c r="H1514" s="6" t="str">
        <f ca="1">IFERROR(__xludf.DUMMYFUNCTION("""COMPUTED_VALUE"""),"Opportunity")</f>
        <v>Opportunity</v>
      </c>
      <c r="I1514" s="6" t="str">
        <f ca="1">IFERROR(__xludf.DUMMYFUNCTION("""COMPUTED_VALUE"""),"11-12 Feb 2023")</f>
        <v>11-12 Feb 2023</v>
      </c>
      <c r="J1514" s="6">
        <f ca="1">IFERROR(__xludf.DUMMYFUNCTION("""COMPUTED_VALUE"""),1)</f>
        <v>1</v>
      </c>
      <c r="K1514" s="8">
        <f ca="1">IFERROR(__xludf.DUMMYFUNCTION("""COMPUTED_VALUE"""),24000)</f>
        <v>24000</v>
      </c>
      <c r="L1514" s="8">
        <f ca="1">IFERROR(__xludf.DUMMYFUNCTION("""COMPUTED_VALUE"""),274.851122308749)</f>
        <v>274.85112230874898</v>
      </c>
      <c r="M1514" s="96">
        <f ca="1">IFERROR(__xludf.DUMMYFUNCTION("""COMPUTED_VALUE"""),44958)</f>
        <v>44958</v>
      </c>
      <c r="N1514" s="6"/>
      <c r="O1514" s="97"/>
      <c r="P1514" s="6"/>
      <c r="Q1514" s="6"/>
      <c r="R1514" s="6"/>
      <c r="S1514" s="6" t="str">
        <f ca="1">IFERROR(__xludf.DUMMYFUNCTION("""COMPUTED_VALUE"""),"Category")</f>
        <v>Category</v>
      </c>
      <c r="T1514" s="6"/>
      <c r="U1514" s="6"/>
      <c r="V1514" s="6"/>
      <c r="W1514" s="6"/>
      <c r="X1514" s="6"/>
      <c r="Y1514" s="6"/>
      <c r="Z1514" s="6"/>
      <c r="AA1514" s="6"/>
      <c r="AB1514" s="6"/>
      <c r="AC1514" s="6"/>
      <c r="AD1514" s="6"/>
      <c r="AE1514" s="6"/>
      <c r="AF1514" s="6"/>
      <c r="AG1514" s="6"/>
      <c r="AH1514" s="6"/>
      <c r="AI1514" s="6"/>
      <c r="AJ1514" s="6"/>
      <c r="AK1514" s="6"/>
      <c r="AL1514" s="6"/>
    </row>
    <row r="1515" spans="1:38">
      <c r="A1515" s="96">
        <f ca="1">IFERROR(__xludf.DUMMYFUNCTION("""COMPUTED_VALUE"""),44959)</f>
        <v>44959</v>
      </c>
      <c r="B1515" s="6" t="str">
        <f ca="1">IFERROR(__xludf.DUMMYFUNCTION("""COMPUTED_VALUE"""),"Sushil Nair")</f>
        <v>Sushil Nair</v>
      </c>
      <c r="C1515" s="6" t="str">
        <f ca="1">IFERROR(__xludf.DUMMYFUNCTION("""COMPUTED_VALUE"""),"nair.sushil54@gmail.com")</f>
        <v>nair.sushil54@gmail.com</v>
      </c>
      <c r="D1515" s="6">
        <f ca="1">IFERROR(__xludf.DUMMYFUNCTION("""COMPUTED_VALUE"""),9930393957)</f>
        <v>9930393957</v>
      </c>
      <c r="E1515" s="6" t="str">
        <f ca="1">IFERROR(__xludf.DUMMYFUNCTION("""COMPUTED_VALUE"""),"App Quey box")</f>
        <v>App Quey box</v>
      </c>
      <c r="F1515" s="6" t="str">
        <f ca="1">IFERROR(__xludf.DUMMYFUNCTION("""COMPUTED_VALUE"""),"PSM")</f>
        <v>PSM</v>
      </c>
      <c r="G1515" s="80">
        <f ca="1">IFERROR(__xludf.DUMMYFUNCTION("""COMPUTED_VALUE"""),44958)</f>
        <v>44958</v>
      </c>
      <c r="H1515" s="6" t="str">
        <f ca="1">IFERROR(__xludf.DUMMYFUNCTION("""COMPUTED_VALUE"""),"Won")</f>
        <v>Won</v>
      </c>
      <c r="I1515" s="6" t="str">
        <f ca="1">IFERROR(__xludf.DUMMYFUNCTION("""COMPUTED_VALUE"""),"4-5 Feb 2023")</f>
        <v>4-5 Feb 2023</v>
      </c>
      <c r="J1515" s="6">
        <f ca="1">IFERROR(__xludf.DUMMYFUNCTION("""COMPUTED_VALUE"""),1)</f>
        <v>1</v>
      </c>
      <c r="K1515" s="8">
        <f ca="1">IFERROR(__xludf.DUMMYFUNCTION("""COMPUTED_VALUE"""),21000)</f>
        <v>21000</v>
      </c>
      <c r="L1515" s="8">
        <f ca="1">IFERROR(__xludf.DUMMYFUNCTION("""COMPUTED_VALUE"""),240.494732020155)</f>
        <v>240.494732020155</v>
      </c>
      <c r="M1515" s="96">
        <f ca="1">IFERROR(__xludf.DUMMYFUNCTION("""COMPUTED_VALUE"""),44959)</f>
        <v>44959</v>
      </c>
      <c r="N1515" s="6" t="str">
        <f ca="1">IFERROR(__xludf.DUMMYFUNCTION("""COMPUTED_VALUE"""),"F10")</f>
        <v>F10</v>
      </c>
      <c r="O1515" s="97">
        <f ca="1">IFERROR(__xludf.DUMMYFUNCTION("""COMPUTED_VALUE"""),44959)</f>
        <v>44959</v>
      </c>
      <c r="P1515" s="6" t="str">
        <f ca="1">IFERROR(__xludf.DUMMYFUNCTION("""COMPUTED_VALUE"""),"CSTM_4LE7TJHQM5X")</f>
        <v>CSTM_4LE7TJHQM5X</v>
      </c>
      <c r="Q1515" s="6"/>
      <c r="R1515" s="6" t="str">
        <f ca="1">IFERROR(__xludf.DUMMYFUNCTION("""COMPUTED_VALUE"""),"Pending")</f>
        <v>Pending</v>
      </c>
      <c r="S1515" s="6" t="str">
        <f ca="1">IFERROR(__xludf.DUMMYFUNCTION("""COMPUTED_VALUE"""),"Category")</f>
        <v>Category</v>
      </c>
      <c r="T1515" s="6"/>
      <c r="U1515" s="6"/>
      <c r="V1515" s="6"/>
      <c r="W1515" s="6"/>
      <c r="X1515" s="6"/>
      <c r="Y1515" s="6"/>
      <c r="Z1515" s="6"/>
      <c r="AA1515" s="6"/>
      <c r="AB1515" s="6"/>
      <c r="AC1515" s="6"/>
      <c r="AD1515" s="6"/>
      <c r="AE1515" s="6"/>
      <c r="AF1515" s="6"/>
      <c r="AG1515" s="6"/>
      <c r="AH1515" s="6"/>
      <c r="AI1515" s="6"/>
      <c r="AJ1515" s="6"/>
      <c r="AK1515" s="6"/>
      <c r="AL1515" s="6"/>
    </row>
    <row r="1516" spans="1:38">
      <c r="A1516" s="96">
        <f ca="1">IFERROR(__xludf.DUMMYFUNCTION("""COMPUTED_VALUE"""),44959)</f>
        <v>44959</v>
      </c>
      <c r="B1516" s="6" t="str">
        <f ca="1">IFERROR(__xludf.DUMMYFUNCTION("""COMPUTED_VALUE"""),"Sreelakshmi Pillai")</f>
        <v>Sreelakshmi Pillai</v>
      </c>
      <c r="C1516" s="6" t="str">
        <f ca="1">IFERROR(__xludf.DUMMYFUNCTION("""COMPUTED_VALUE"""),"pillaisreelakshmi12@gmail.com")</f>
        <v>pillaisreelakshmi12@gmail.com</v>
      </c>
      <c r="D1516" s="6">
        <f ca="1">IFERROR(__xludf.DUMMYFUNCTION("""COMPUTED_VALUE"""),9846718565)</f>
        <v>9846718565</v>
      </c>
      <c r="E1516" s="6" t="str">
        <f ca="1">IFERROR(__xludf.DUMMYFUNCTION("""COMPUTED_VALUE"""),"Query box")</f>
        <v>Query box</v>
      </c>
      <c r="F1516" s="6" t="str">
        <f ca="1">IFERROR(__xludf.DUMMYFUNCTION("""COMPUTED_VALUE"""),"ICP ACC")</f>
        <v>ICP ACC</v>
      </c>
      <c r="G1516" s="80">
        <f ca="1">IFERROR(__xludf.DUMMYFUNCTION("""COMPUTED_VALUE"""),44958)</f>
        <v>44958</v>
      </c>
      <c r="H1516" s="6" t="str">
        <f ca="1">IFERROR(__xludf.DUMMYFUNCTION("""COMPUTED_VALUE"""),"Won")</f>
        <v>Won</v>
      </c>
      <c r="I1516" s="6" t="str">
        <f ca="1">IFERROR(__xludf.DUMMYFUNCTION("""COMPUTED_VALUE"""),"10-12 Feb 2023")</f>
        <v>10-12 Feb 2023</v>
      </c>
      <c r="J1516" s="6">
        <f ca="1">IFERROR(__xludf.DUMMYFUNCTION("""COMPUTED_VALUE"""),1)</f>
        <v>1</v>
      </c>
      <c r="K1516" s="8">
        <f ca="1">IFERROR(__xludf.DUMMYFUNCTION("""COMPUTED_VALUE"""),31000)</f>
        <v>31000</v>
      </c>
      <c r="L1516" s="8">
        <f ca="1">IFERROR(__xludf.DUMMYFUNCTION("""COMPUTED_VALUE"""),355.016032982134)</f>
        <v>355.01603298213399</v>
      </c>
      <c r="M1516" s="96">
        <f ca="1">IFERROR(__xludf.DUMMYFUNCTION("""COMPUTED_VALUE"""),44959)</f>
        <v>44959</v>
      </c>
      <c r="N1516" s="6" t="str">
        <f ca="1">IFERROR(__xludf.DUMMYFUNCTION("""COMPUTED_VALUE"""),"F10")</f>
        <v>F10</v>
      </c>
      <c r="O1516" s="97">
        <f ca="1">IFERROR(__xludf.DUMMYFUNCTION("""COMPUTED_VALUE"""),44959)</f>
        <v>44959</v>
      </c>
      <c r="P1516" s="6" t="str">
        <f ca="1">IFERROR(__xludf.DUMMYFUNCTION("""COMPUTED_VALUE"""),"CSTM_1WCXSJKVYKF")</f>
        <v>CSTM_1WCXSJKVYKF</v>
      </c>
      <c r="Q1516" s="6"/>
      <c r="R1516" s="6" t="str">
        <f ca="1">IFERROR(__xludf.DUMMYFUNCTION("""COMPUTED_VALUE"""),"Pending")</f>
        <v>Pending</v>
      </c>
      <c r="S1516" s="6" t="str">
        <f ca="1">IFERROR(__xludf.DUMMYFUNCTION("""COMPUTED_VALUE"""),"NonCategory")</f>
        <v>NonCategory</v>
      </c>
      <c r="T1516" s="6"/>
      <c r="U1516" s="6"/>
      <c r="V1516" s="6"/>
      <c r="W1516" s="6"/>
      <c r="X1516" s="6"/>
      <c r="Y1516" s="6"/>
      <c r="Z1516" s="6"/>
      <c r="AA1516" s="6"/>
      <c r="AB1516" s="6"/>
      <c r="AC1516" s="6"/>
      <c r="AD1516" s="6"/>
      <c r="AE1516" s="6"/>
      <c r="AF1516" s="6"/>
      <c r="AG1516" s="6"/>
      <c r="AH1516" s="6"/>
      <c r="AI1516" s="6"/>
      <c r="AJ1516" s="6"/>
      <c r="AK1516" s="6"/>
      <c r="AL1516" s="6"/>
    </row>
    <row r="1517" spans="1:38">
      <c r="A1517" s="96">
        <f ca="1">IFERROR(__xludf.DUMMYFUNCTION("""COMPUTED_VALUE"""),44959)</f>
        <v>44959</v>
      </c>
      <c r="B1517" s="6" t="str">
        <f ca="1">IFERROR(__xludf.DUMMYFUNCTION("""COMPUTED_VALUE"""),"Prem Ananth")</f>
        <v>Prem Ananth</v>
      </c>
      <c r="C1517" s="6" t="str">
        <f ca="1">IFERROR(__xludf.DUMMYFUNCTION("""COMPUTED_VALUE"""),"premananthc@gmail.com")</f>
        <v>premananthc@gmail.com</v>
      </c>
      <c r="D1517" s="6">
        <f ca="1">IFERROR(__xludf.DUMMYFUNCTION("""COMPUTED_VALUE"""),8754463540)</f>
        <v>8754463540</v>
      </c>
      <c r="E1517" s="6" t="str">
        <f ca="1">IFERROR(__xludf.DUMMYFUNCTION("""COMPUTED_VALUE"""),"Tollfree")</f>
        <v>Tollfree</v>
      </c>
      <c r="F1517" s="6" t="str">
        <f ca="1">IFERROR(__xludf.DUMMYFUNCTION("""COMPUTED_VALUE"""),"SAFe Agile")</f>
        <v>SAFe Agile</v>
      </c>
      <c r="G1517" s="80">
        <f ca="1">IFERROR(__xludf.DUMMYFUNCTION("""COMPUTED_VALUE"""),44958)</f>
        <v>44958</v>
      </c>
      <c r="H1517" s="6" t="str">
        <f ca="1">IFERROR(__xludf.DUMMYFUNCTION("""COMPUTED_VALUE"""),"Won")</f>
        <v>Won</v>
      </c>
      <c r="I1517" s="6" t="str">
        <f ca="1">IFERROR(__xludf.DUMMYFUNCTION("""COMPUTED_VALUE"""),"4-5 Feb 2023")</f>
        <v>4-5 Feb 2023</v>
      </c>
      <c r="J1517" s="6">
        <f ca="1">IFERROR(__xludf.DUMMYFUNCTION("""COMPUTED_VALUE"""),1)</f>
        <v>1</v>
      </c>
      <c r="K1517" s="8">
        <f ca="1">IFERROR(__xludf.DUMMYFUNCTION("""COMPUTED_VALUE"""),40061)</f>
        <v>40061</v>
      </c>
      <c r="L1517" s="8">
        <f ca="1">IFERROR(__xludf.DUMMYFUNCTION("""COMPUTED_VALUE"""),458.783783783783)</f>
        <v>458.78378378378301</v>
      </c>
      <c r="M1517" s="96">
        <f ca="1">IFERROR(__xludf.DUMMYFUNCTION("""COMPUTED_VALUE"""),44959)</f>
        <v>44959</v>
      </c>
      <c r="N1517" s="6" t="str">
        <f ca="1">IFERROR(__xludf.DUMMYFUNCTION("""COMPUTED_VALUE"""),"F10")</f>
        <v>F10</v>
      </c>
      <c r="O1517" s="97">
        <f ca="1">IFERROR(__xludf.DUMMYFUNCTION("""COMPUTED_VALUE"""),44959)</f>
        <v>44959</v>
      </c>
      <c r="P1517" s="6" t="str">
        <f ca="1">IFERROR(__xludf.DUMMYFUNCTION("""COMPUTED_VALUE"""),"CSTM_8OLKK3Y3JQV")</f>
        <v>CSTM_8OLKK3Y3JQV</v>
      </c>
      <c r="Q1517" s="6"/>
      <c r="R1517" s="6" t="str">
        <f ca="1">IFERROR(__xludf.DUMMYFUNCTION("""COMPUTED_VALUE"""),"Pending")</f>
        <v>Pending</v>
      </c>
      <c r="S1517" s="6" t="str">
        <f ca="1">IFERROR(__xludf.DUMMYFUNCTION("""COMPUTED_VALUE"""),"SAFe")</f>
        <v>SAFe</v>
      </c>
      <c r="T1517" s="6"/>
      <c r="U1517" s="6"/>
      <c r="V1517" s="6"/>
      <c r="W1517" s="6"/>
      <c r="X1517" s="6"/>
      <c r="Y1517" s="6"/>
      <c r="Z1517" s="6"/>
      <c r="AA1517" s="6"/>
      <c r="AB1517" s="6"/>
      <c r="AC1517" s="6"/>
      <c r="AD1517" s="6"/>
      <c r="AE1517" s="6"/>
      <c r="AF1517" s="6"/>
      <c r="AG1517" s="6"/>
      <c r="AH1517" s="6"/>
      <c r="AI1517" s="6"/>
      <c r="AJ1517" s="6"/>
      <c r="AK1517" s="6"/>
      <c r="AL1517" s="6"/>
    </row>
    <row r="1518" spans="1:38">
      <c r="A1518" s="96">
        <f ca="1">IFERROR(__xludf.DUMMYFUNCTION("""COMPUTED_VALUE"""),44960)</f>
        <v>44960</v>
      </c>
      <c r="B1518" s="6" t="str">
        <f ca="1">IFERROR(__xludf.DUMMYFUNCTION("""COMPUTED_VALUE"""),"Vidhya Soma")</f>
        <v>Vidhya Soma</v>
      </c>
      <c r="C1518" s="6" t="str">
        <f ca="1">IFERROR(__xludf.DUMMYFUNCTION("""COMPUTED_VALUE"""),"vidhya.soma@gmail.com")</f>
        <v>vidhya.soma@gmail.com</v>
      </c>
      <c r="D1518" s="6">
        <f ca="1">IFERROR(__xludf.DUMMYFUNCTION("""COMPUTED_VALUE"""),7795015798)</f>
        <v>7795015798</v>
      </c>
      <c r="E1518" s="6" t="str">
        <f ca="1">IFERROR(__xludf.DUMMYFUNCTION("""COMPUTED_VALUE"""),"Tollfree")</f>
        <v>Tollfree</v>
      </c>
      <c r="F1518" s="6" t="str">
        <f ca="1">IFERROR(__xludf.DUMMYFUNCTION("""COMPUTED_VALUE"""),"PSM")</f>
        <v>PSM</v>
      </c>
      <c r="G1518" s="80">
        <f ca="1">IFERROR(__xludf.DUMMYFUNCTION("""COMPUTED_VALUE"""),44958)</f>
        <v>44958</v>
      </c>
      <c r="H1518" s="6" t="str">
        <f ca="1">IFERROR(__xludf.DUMMYFUNCTION("""COMPUTED_VALUE"""),"Won")</f>
        <v>Won</v>
      </c>
      <c r="I1518" s="6" t="str">
        <f ca="1">IFERROR(__xludf.DUMMYFUNCTION("""COMPUTED_VALUE"""),"18-19 Feb 2023")</f>
        <v>18-19 Feb 2023</v>
      </c>
      <c r="J1518" s="6">
        <f ca="1">IFERROR(__xludf.DUMMYFUNCTION("""COMPUTED_VALUE"""),1)</f>
        <v>1</v>
      </c>
      <c r="K1518" s="8">
        <f ca="1">IFERROR(__xludf.DUMMYFUNCTION("""COMPUTED_VALUE"""),21000)</f>
        <v>21000</v>
      </c>
      <c r="L1518" s="8">
        <f ca="1">IFERROR(__xludf.DUMMYFUNCTION("""COMPUTED_VALUE"""),240.494732020155)</f>
        <v>240.494732020155</v>
      </c>
      <c r="M1518" s="96">
        <f ca="1">IFERROR(__xludf.DUMMYFUNCTION("""COMPUTED_VALUE"""),44960)</f>
        <v>44960</v>
      </c>
      <c r="N1518" s="6" t="str">
        <f ca="1">IFERROR(__xludf.DUMMYFUNCTION("""COMPUTED_VALUE"""),"F10")</f>
        <v>F10</v>
      </c>
      <c r="O1518" s="97">
        <f ca="1">IFERROR(__xludf.DUMMYFUNCTION("""COMPUTED_VALUE"""),44960)</f>
        <v>44960</v>
      </c>
      <c r="P1518" s="6" t="str">
        <f ca="1">IFERROR(__xludf.DUMMYFUNCTION("""COMPUTED_VALUE"""),"CSTM_787ZKDCUBJ3")</f>
        <v>CSTM_787ZKDCUBJ3</v>
      </c>
      <c r="Q1518" s="6"/>
      <c r="R1518" s="6" t="str">
        <f ca="1">IFERROR(__xludf.DUMMYFUNCTION("""COMPUTED_VALUE"""),"Pending")</f>
        <v>Pending</v>
      </c>
      <c r="S1518" s="6" t="str">
        <f ca="1">IFERROR(__xludf.DUMMYFUNCTION("""COMPUTED_VALUE"""),"Category")</f>
        <v>Category</v>
      </c>
      <c r="T1518" s="6"/>
      <c r="U1518" s="6"/>
      <c r="V1518" s="6"/>
      <c r="W1518" s="6"/>
      <c r="X1518" s="6"/>
      <c r="Y1518" s="6"/>
      <c r="Z1518" s="6"/>
      <c r="AA1518" s="6"/>
      <c r="AB1518" s="6"/>
      <c r="AC1518" s="6"/>
      <c r="AD1518" s="6"/>
      <c r="AE1518" s="6"/>
      <c r="AF1518" s="6"/>
      <c r="AG1518" s="6"/>
      <c r="AH1518" s="6"/>
      <c r="AI1518" s="6"/>
      <c r="AJ1518" s="6"/>
      <c r="AK1518" s="6"/>
      <c r="AL1518" s="6"/>
    </row>
    <row r="1519" spans="1:38">
      <c r="A1519" s="96">
        <f ca="1">IFERROR(__xludf.DUMMYFUNCTION("""COMPUTED_VALUE"""),44960)</f>
        <v>44960</v>
      </c>
      <c r="B1519" s="6" t="str">
        <f ca="1">IFERROR(__xludf.DUMMYFUNCTION("""COMPUTED_VALUE"""),"Gaurav Vipani")</f>
        <v>Gaurav Vipani</v>
      </c>
      <c r="C1519" s="6" t="str">
        <f ca="1">IFERROR(__xludf.DUMMYFUNCTION("""COMPUTED_VALUE"""),"gauravvipani@gmail.com")</f>
        <v>gauravvipani@gmail.com</v>
      </c>
      <c r="D1519" s="6">
        <f ca="1">IFERROR(__xludf.DUMMYFUNCTION("""COMPUTED_VALUE"""),6351358805)</f>
        <v>6351358805</v>
      </c>
      <c r="E1519" s="6" t="str">
        <f ca="1">IFERROR(__xludf.DUMMYFUNCTION("""COMPUTED_VALUE"""),"Query box")</f>
        <v>Query box</v>
      </c>
      <c r="F1519" s="6" t="str">
        <f ca="1">IFERROR(__xludf.DUMMYFUNCTION("""COMPUTED_VALUE"""),"PSPO")</f>
        <v>PSPO</v>
      </c>
      <c r="G1519" s="80">
        <f ca="1">IFERROR(__xludf.DUMMYFUNCTION("""COMPUTED_VALUE"""),44958)</f>
        <v>44958</v>
      </c>
      <c r="H1519" s="6" t="str">
        <f ca="1">IFERROR(__xludf.DUMMYFUNCTION("""COMPUTED_VALUE"""),"Won")</f>
        <v>Won</v>
      </c>
      <c r="I1519" s="6" t="str">
        <f ca="1">IFERROR(__xludf.DUMMYFUNCTION("""COMPUTED_VALUE"""),"4-5 Feb 2023")</f>
        <v>4-5 Feb 2023</v>
      </c>
      <c r="J1519" s="6">
        <f ca="1">IFERROR(__xludf.DUMMYFUNCTION("""COMPUTED_VALUE"""),1)</f>
        <v>1</v>
      </c>
      <c r="K1519" s="8">
        <f ca="1">IFERROR(__xludf.DUMMYFUNCTION("""COMPUTED_VALUE"""),21000)</f>
        <v>21000</v>
      </c>
      <c r="L1519" s="8">
        <f ca="1">IFERROR(__xludf.DUMMYFUNCTION("""COMPUTED_VALUE"""),240.494732020155)</f>
        <v>240.494732020155</v>
      </c>
      <c r="M1519" s="96">
        <f ca="1">IFERROR(__xludf.DUMMYFUNCTION("""COMPUTED_VALUE"""),44960)</f>
        <v>44960</v>
      </c>
      <c r="N1519" s="6" t="str">
        <f ca="1">IFERROR(__xludf.DUMMYFUNCTION("""COMPUTED_VALUE"""),"F10")</f>
        <v>F10</v>
      </c>
      <c r="O1519" s="97">
        <f ca="1">IFERROR(__xludf.DUMMYFUNCTION("""COMPUTED_VALUE"""),44960)</f>
        <v>44960</v>
      </c>
      <c r="P1519" s="6" t="str">
        <f ca="1">IFERROR(__xludf.DUMMYFUNCTION("""COMPUTED_VALUE"""),"CSTM_ENIRXEFZH1Z")</f>
        <v>CSTM_ENIRXEFZH1Z</v>
      </c>
      <c r="Q1519" s="6"/>
      <c r="R1519" s="6" t="str">
        <f ca="1">IFERROR(__xludf.DUMMYFUNCTION("""COMPUTED_VALUE"""),"Pending")</f>
        <v>Pending</v>
      </c>
      <c r="S1519" s="6" t="str">
        <f ca="1">IFERROR(__xludf.DUMMYFUNCTION("""COMPUTED_VALUE"""),"Category")</f>
        <v>Category</v>
      </c>
      <c r="T1519" s="6"/>
      <c r="U1519" s="6"/>
      <c r="V1519" s="6"/>
      <c r="W1519" s="6"/>
      <c r="X1519" s="6"/>
      <c r="Y1519" s="6"/>
      <c r="Z1519" s="6"/>
      <c r="AA1519" s="6"/>
      <c r="AB1519" s="6"/>
      <c r="AC1519" s="6"/>
      <c r="AD1519" s="6"/>
      <c r="AE1519" s="6"/>
      <c r="AF1519" s="6"/>
      <c r="AG1519" s="6"/>
      <c r="AH1519" s="6"/>
      <c r="AI1519" s="6"/>
      <c r="AJ1519" s="6"/>
      <c r="AK1519" s="6"/>
      <c r="AL1519" s="6"/>
    </row>
    <row r="1520" spans="1:38">
      <c r="A1520" s="96">
        <f ca="1">IFERROR(__xludf.DUMMYFUNCTION("""COMPUTED_VALUE"""),44960)</f>
        <v>44960</v>
      </c>
      <c r="B1520" s="6" t="str">
        <f ca="1">IFERROR(__xludf.DUMMYFUNCTION("""COMPUTED_VALUE"""),"Praveen")</f>
        <v>Praveen</v>
      </c>
      <c r="C1520" s="6" t="str">
        <f ca="1">IFERROR(__xludf.DUMMYFUNCTION("""COMPUTED_VALUE"""),"npraveen@msn.com")</f>
        <v>npraveen@msn.com</v>
      </c>
      <c r="D1520" s="6">
        <f ca="1">IFERROR(__xludf.DUMMYFUNCTION("""COMPUTED_VALUE"""),7899337416)</f>
        <v>7899337416</v>
      </c>
      <c r="E1520" s="6" t="str">
        <f ca="1">IFERROR(__xludf.DUMMYFUNCTION("""COMPUTED_VALUE"""),"Existing Account")</f>
        <v>Existing Account</v>
      </c>
      <c r="F1520" s="6" t="str">
        <f ca="1">IFERROR(__xludf.DUMMYFUNCTION("""COMPUTED_VALUE"""),"P2 P")</f>
        <v>P2 P</v>
      </c>
      <c r="G1520" s="80">
        <f ca="1">IFERROR(__xludf.DUMMYFUNCTION("""COMPUTED_VALUE"""),44958)</f>
        <v>44958</v>
      </c>
      <c r="H1520" s="6" t="str">
        <f ca="1">IFERROR(__xludf.DUMMYFUNCTION("""COMPUTED_VALUE"""),"Opportunity")</f>
        <v>Opportunity</v>
      </c>
      <c r="I1520" s="6" t="str">
        <f ca="1">IFERROR(__xludf.DUMMYFUNCTION("""COMPUTED_VALUE"""),"OSL")</f>
        <v>OSL</v>
      </c>
      <c r="J1520" s="6">
        <f ca="1">IFERROR(__xludf.DUMMYFUNCTION("""COMPUTED_VALUE"""),1)</f>
        <v>1</v>
      </c>
      <c r="K1520" s="8">
        <f ca="1">IFERROR(__xludf.DUMMYFUNCTION("""COMPUTED_VALUE"""),31146)</f>
        <v>31146</v>
      </c>
      <c r="L1520" s="8">
        <f ca="1">IFERROR(__xludf.DUMMYFUNCTION("""COMPUTED_VALUE"""),356.688043976179)</f>
        <v>356.68804397617902</v>
      </c>
      <c r="M1520" s="96">
        <f ca="1">IFERROR(__xludf.DUMMYFUNCTION("""COMPUTED_VALUE"""),44960)</f>
        <v>44960</v>
      </c>
      <c r="N1520" s="6"/>
      <c r="O1520" s="97"/>
      <c r="P1520" s="6"/>
      <c r="Q1520" s="6"/>
      <c r="R1520" s="6"/>
      <c r="S1520" s="6" t="str">
        <f ca="1">IFERROR(__xludf.DUMMYFUNCTION("""COMPUTED_VALUE"""),"NonCategory")</f>
        <v>NonCategory</v>
      </c>
      <c r="T1520" s="6"/>
      <c r="U1520" s="6"/>
      <c r="V1520" s="6"/>
      <c r="W1520" s="6"/>
      <c r="X1520" s="6"/>
      <c r="Y1520" s="6"/>
      <c r="Z1520" s="6"/>
      <c r="AA1520" s="6"/>
      <c r="AB1520" s="6"/>
      <c r="AC1520" s="6"/>
      <c r="AD1520" s="6"/>
      <c r="AE1520" s="6"/>
      <c r="AF1520" s="6"/>
      <c r="AG1520" s="6"/>
      <c r="AH1520" s="6"/>
      <c r="AI1520" s="6"/>
      <c r="AJ1520" s="6"/>
      <c r="AK1520" s="6"/>
      <c r="AL1520" s="6"/>
    </row>
    <row r="1521" spans="1:38">
      <c r="A1521" s="96">
        <f ca="1">IFERROR(__xludf.DUMMYFUNCTION("""COMPUTED_VALUE"""),44961)</f>
        <v>44961</v>
      </c>
      <c r="B1521" s="6" t="str">
        <f ca="1">IFERROR(__xludf.DUMMYFUNCTION("""COMPUTED_VALUE"""),"Shivakumar Manju")</f>
        <v>Shivakumar Manju</v>
      </c>
      <c r="C1521" s="6" t="str">
        <f ca="1">IFERROR(__xludf.DUMMYFUNCTION("""COMPUTED_VALUE"""),"kumarmanju.shiva@yahoo.com")</f>
        <v>kumarmanju.shiva@yahoo.com</v>
      </c>
      <c r="D1521" s="6">
        <f ca="1">IFERROR(__xludf.DUMMYFUNCTION("""COMPUTED_VALUE"""),9986009213)</f>
        <v>9986009213</v>
      </c>
      <c r="E1521" s="6" t="str">
        <f ca="1">IFERROR(__xludf.DUMMYFUNCTION("""COMPUTED_VALUE"""),"Reference")</f>
        <v>Reference</v>
      </c>
      <c r="F1521" s="6" t="str">
        <f ca="1">IFERROR(__xludf.DUMMYFUNCTION("""COMPUTED_VALUE"""),"PSM 2")</f>
        <v>PSM 2</v>
      </c>
      <c r="G1521" s="80">
        <f ca="1">IFERROR(__xludf.DUMMYFUNCTION("""COMPUTED_VALUE"""),44958)</f>
        <v>44958</v>
      </c>
      <c r="H1521" s="6" t="str">
        <f ca="1">IFERROR(__xludf.DUMMYFUNCTION("""COMPUTED_VALUE"""),"Won")</f>
        <v>Won</v>
      </c>
      <c r="I1521" s="6" t="str">
        <f ca="1">IFERROR(__xludf.DUMMYFUNCTION("""COMPUTED_VALUE"""),"11-12 Feb 2023")</f>
        <v>11-12 Feb 2023</v>
      </c>
      <c r="J1521" s="6">
        <f ca="1">IFERROR(__xludf.DUMMYFUNCTION("""COMPUTED_VALUE"""),1)</f>
        <v>1</v>
      </c>
      <c r="K1521" s="8">
        <f ca="1">IFERROR(__xludf.DUMMYFUNCTION("""COMPUTED_VALUE"""),24000)</f>
        <v>24000</v>
      </c>
      <c r="L1521" s="8">
        <f ca="1">IFERROR(__xludf.DUMMYFUNCTION("""COMPUTED_VALUE"""),274.851122308749)</f>
        <v>274.85112230874898</v>
      </c>
      <c r="M1521" s="96">
        <f ca="1">IFERROR(__xludf.DUMMYFUNCTION("""COMPUTED_VALUE"""),44961)</f>
        <v>44961</v>
      </c>
      <c r="N1521" s="6" t="str">
        <f ca="1">IFERROR(__xludf.DUMMYFUNCTION("""COMPUTED_VALUE"""),"F10")</f>
        <v>F10</v>
      </c>
      <c r="O1521" s="97">
        <f ca="1">IFERROR(__xludf.DUMMYFUNCTION("""COMPUTED_VALUE"""),44961)</f>
        <v>44961</v>
      </c>
      <c r="P1521" s="6" t="str">
        <f ca="1">IFERROR(__xludf.DUMMYFUNCTION("""COMPUTED_VALUE"""),"CSTM_3H7HI5WZJFG")</f>
        <v>CSTM_3H7HI5WZJFG</v>
      </c>
      <c r="Q1521" s="6" t="str">
        <f ca="1">IFERROR(__xludf.DUMMYFUNCTION("""COMPUTED_VALUE"""),"Reference by amrapaliashoka@gmail.com - aks.rec05@gmail.com")</f>
        <v>Reference by amrapaliashoka@gmail.com - aks.rec05@gmail.com</v>
      </c>
      <c r="R1521" s="6" t="str">
        <f ca="1">IFERROR(__xludf.DUMMYFUNCTION("""COMPUTED_VALUE"""),"Pending")</f>
        <v>Pending</v>
      </c>
      <c r="S1521" s="6" t="str">
        <f ca="1">IFERROR(__xludf.DUMMYFUNCTION("""COMPUTED_VALUE"""),"Category")</f>
        <v>Category</v>
      </c>
      <c r="T1521" s="6"/>
      <c r="U1521" s="6"/>
      <c r="V1521" s="6"/>
      <c r="W1521" s="6"/>
      <c r="X1521" s="6"/>
      <c r="Y1521" s="6"/>
      <c r="Z1521" s="6"/>
      <c r="AA1521" s="6"/>
      <c r="AB1521" s="6"/>
      <c r="AC1521" s="6"/>
      <c r="AD1521" s="6"/>
      <c r="AE1521" s="6"/>
      <c r="AF1521" s="6"/>
      <c r="AG1521" s="6"/>
      <c r="AH1521" s="6"/>
      <c r="AI1521" s="6"/>
      <c r="AJ1521" s="6"/>
      <c r="AK1521" s="6"/>
      <c r="AL1521" s="6"/>
    </row>
    <row r="1522" spans="1:38">
      <c r="A1522" s="96">
        <f ca="1">IFERROR(__xludf.DUMMYFUNCTION("""COMPUTED_VALUE"""),44963)</f>
        <v>44963</v>
      </c>
      <c r="B1522" s="6" t="str">
        <f ca="1">IFERROR(__xludf.DUMMYFUNCTION("""COMPUTED_VALUE"""),"Akanksha")</f>
        <v>Akanksha</v>
      </c>
      <c r="C1522" s="6" t="str">
        <f ca="1">IFERROR(__xludf.DUMMYFUNCTION("""COMPUTED_VALUE"""),"123akancha@gmail.com")</f>
        <v>123akancha@gmail.com</v>
      </c>
      <c r="D1522" s="6">
        <f ca="1">IFERROR(__xludf.DUMMYFUNCTION("""COMPUTED_VALUE"""),9620323109)</f>
        <v>9620323109</v>
      </c>
      <c r="E1522" s="6" t="str">
        <f ca="1">IFERROR(__xludf.DUMMYFUNCTION("""COMPUTED_VALUE"""),"Reference")</f>
        <v>Reference</v>
      </c>
      <c r="F1522" s="6" t="str">
        <f ca="1">IFERROR(__xludf.DUMMYFUNCTION("""COMPUTED_VALUE"""),"SAFe Agile")</f>
        <v>SAFe Agile</v>
      </c>
      <c r="G1522" s="80">
        <f ca="1">IFERROR(__xludf.DUMMYFUNCTION("""COMPUTED_VALUE"""),44958)</f>
        <v>44958</v>
      </c>
      <c r="H1522" s="6" t="str">
        <f ca="1">IFERROR(__xludf.DUMMYFUNCTION("""COMPUTED_VALUE"""),"Won")</f>
        <v>Won</v>
      </c>
      <c r="I1522" s="6" t="str">
        <f ca="1">IFERROR(__xludf.DUMMYFUNCTION("""COMPUTED_VALUE"""),"18-19 Feb 2023")</f>
        <v>18-19 Feb 2023</v>
      </c>
      <c r="J1522" s="6">
        <f ca="1">IFERROR(__xludf.DUMMYFUNCTION("""COMPUTED_VALUE"""),1)</f>
        <v>1</v>
      </c>
      <c r="K1522" s="8">
        <f ca="1">IFERROR(__xludf.DUMMYFUNCTION("""COMPUTED_VALUE"""),41000)</f>
        <v>41000</v>
      </c>
      <c r="L1522" s="8">
        <f ca="1">IFERROR(__xludf.DUMMYFUNCTION("""COMPUTED_VALUE"""),469.537333944113)</f>
        <v>469.53733394411302</v>
      </c>
      <c r="M1522" s="96">
        <f ca="1">IFERROR(__xludf.DUMMYFUNCTION("""COMPUTED_VALUE"""),44963)</f>
        <v>44963</v>
      </c>
      <c r="N1522" s="6" t="str">
        <f ca="1">IFERROR(__xludf.DUMMYFUNCTION("""COMPUTED_VALUE"""),"F10")</f>
        <v>F10</v>
      </c>
      <c r="O1522" s="97">
        <f ca="1">IFERROR(__xludf.DUMMYFUNCTION("""COMPUTED_VALUE"""),44963)</f>
        <v>44963</v>
      </c>
      <c r="P1522" s="6" t="str">
        <f ca="1">IFERROR(__xludf.DUMMYFUNCTION("""COMPUTED_VALUE"""),"CSTM_11PYOZ984OX")</f>
        <v>CSTM_11PYOZ984OX</v>
      </c>
      <c r="Q1522" s="6"/>
      <c r="R1522" s="6" t="str">
        <f ca="1">IFERROR(__xludf.DUMMYFUNCTION("""COMPUTED_VALUE"""),"Pending")</f>
        <v>Pending</v>
      </c>
      <c r="S1522" s="6" t="str">
        <f ca="1">IFERROR(__xludf.DUMMYFUNCTION("""COMPUTED_VALUE"""),"SAFe")</f>
        <v>SAFe</v>
      </c>
      <c r="T1522" s="6"/>
      <c r="U1522" s="6"/>
      <c r="V1522" s="6"/>
      <c r="W1522" s="6"/>
      <c r="X1522" s="6"/>
      <c r="Y1522" s="6"/>
      <c r="Z1522" s="6"/>
      <c r="AA1522" s="6"/>
      <c r="AB1522" s="6"/>
      <c r="AC1522" s="6"/>
      <c r="AD1522" s="6"/>
      <c r="AE1522" s="6"/>
      <c r="AF1522" s="6"/>
      <c r="AG1522" s="6"/>
      <c r="AH1522" s="6"/>
      <c r="AI1522" s="6"/>
      <c r="AJ1522" s="6"/>
      <c r="AK1522" s="6"/>
      <c r="AL1522" s="6"/>
    </row>
    <row r="1523" spans="1:38">
      <c r="A1523" s="96">
        <f ca="1">IFERROR(__xludf.DUMMYFUNCTION("""COMPUTED_VALUE"""),44963)</f>
        <v>44963</v>
      </c>
      <c r="B1523" s="6" t="str">
        <f ca="1">IFERROR(__xludf.DUMMYFUNCTION("""COMPUTED_VALUE"""),"Pooja Subramanian")</f>
        <v>Pooja Subramanian</v>
      </c>
      <c r="C1523" s="6" t="str">
        <f ca="1">IFERROR(__xludf.DUMMYFUNCTION("""COMPUTED_VALUE"""),"poojasubramanian0526@gmail.com")</f>
        <v>poojasubramanian0526@gmail.com</v>
      </c>
      <c r="D1523" s="6">
        <f ca="1">IFERROR(__xludf.DUMMYFUNCTION("""COMPUTED_VALUE"""),9600285973)</f>
        <v>9600285973</v>
      </c>
      <c r="E1523" s="6" t="str">
        <f ca="1">IFERROR(__xludf.DUMMYFUNCTION("""COMPUTED_VALUE"""),"Reference")</f>
        <v>Reference</v>
      </c>
      <c r="F1523" s="6" t="str">
        <f ca="1">IFERROR(__xludf.DUMMYFUNCTION("""COMPUTED_VALUE"""),"CSM")</f>
        <v>CSM</v>
      </c>
      <c r="G1523" s="80">
        <f ca="1">IFERROR(__xludf.DUMMYFUNCTION("""COMPUTED_VALUE"""),44958)</f>
        <v>44958</v>
      </c>
      <c r="H1523" s="6" t="str">
        <f ca="1">IFERROR(__xludf.DUMMYFUNCTION("""COMPUTED_VALUE"""),"Won")</f>
        <v>Won</v>
      </c>
      <c r="I1523" s="6" t="str">
        <f ca="1">IFERROR(__xludf.DUMMYFUNCTION("""COMPUTED_VALUE"""),"11-12 Feb 2023")</f>
        <v>11-12 Feb 2023</v>
      </c>
      <c r="J1523" s="6">
        <f ca="1">IFERROR(__xludf.DUMMYFUNCTION("""COMPUTED_VALUE"""),1)</f>
        <v>1</v>
      </c>
      <c r="K1523" s="8">
        <f ca="1">IFERROR(__xludf.DUMMYFUNCTION("""COMPUTED_VALUE"""),20000)</f>
        <v>20000</v>
      </c>
      <c r="L1523" s="8">
        <f ca="1">IFERROR(__xludf.DUMMYFUNCTION("""COMPUTED_VALUE"""),229.042601923957)</f>
        <v>229.04260192395699</v>
      </c>
      <c r="M1523" s="96">
        <f ca="1">IFERROR(__xludf.DUMMYFUNCTION("""COMPUTED_VALUE"""),44963)</f>
        <v>44963</v>
      </c>
      <c r="N1523" s="6" t="str">
        <f ca="1">IFERROR(__xludf.DUMMYFUNCTION("""COMPUTED_VALUE"""),"F10")</f>
        <v>F10</v>
      </c>
      <c r="O1523" s="97">
        <f ca="1">IFERROR(__xludf.DUMMYFUNCTION("""COMPUTED_VALUE"""),44963)</f>
        <v>44963</v>
      </c>
      <c r="P1523" s="6" t="str">
        <f ca="1">IFERROR(__xludf.DUMMYFUNCTION("""COMPUTED_VALUE"""),"CSTM_B094KRDNJSP")</f>
        <v>CSTM_B094KRDNJSP</v>
      </c>
      <c r="Q1523" s="6" t="str">
        <f ca="1">IFERROR(__xludf.DUMMYFUNCTION("""COMPUTED_VALUE"""),"Reference by amrapaliashoka@gmail.com - divyapriya0194@gmail.com")</f>
        <v>Reference by amrapaliashoka@gmail.com - divyapriya0194@gmail.com</v>
      </c>
      <c r="R1523" s="6" t="str">
        <f ca="1">IFERROR(__xludf.DUMMYFUNCTION("""COMPUTED_VALUE"""),"Pending")</f>
        <v>Pending</v>
      </c>
      <c r="S1523" s="6" t="str">
        <f ca="1">IFERROR(__xludf.DUMMYFUNCTION("""COMPUTED_VALUE"""),"Category")</f>
        <v>Category</v>
      </c>
      <c r="T1523" s="6"/>
      <c r="U1523" s="6"/>
      <c r="V1523" s="6"/>
      <c r="W1523" s="6"/>
      <c r="X1523" s="6"/>
      <c r="Y1523" s="6"/>
      <c r="Z1523" s="6"/>
      <c r="AA1523" s="6"/>
      <c r="AB1523" s="6"/>
      <c r="AC1523" s="6"/>
      <c r="AD1523" s="6"/>
      <c r="AE1523" s="6"/>
      <c r="AF1523" s="6"/>
      <c r="AG1523" s="6"/>
      <c r="AH1523" s="6"/>
      <c r="AI1523" s="6"/>
      <c r="AJ1523" s="6"/>
      <c r="AK1523" s="6"/>
      <c r="AL1523" s="6"/>
    </row>
    <row r="1524" spans="1:38">
      <c r="A1524" s="96">
        <f ca="1">IFERROR(__xludf.DUMMYFUNCTION("""COMPUTED_VALUE"""),44963)</f>
        <v>44963</v>
      </c>
      <c r="B1524" s="6" t="str">
        <f ca="1">IFERROR(__xludf.DUMMYFUNCTION("""COMPUTED_VALUE"""),"Swati Jain")</f>
        <v>Swati Jain</v>
      </c>
      <c r="C1524" s="6" t="str">
        <f ca="1">IFERROR(__xludf.DUMMYFUNCTION("""COMPUTED_VALUE"""),"swatijain0788@gmail.com")</f>
        <v>swatijain0788@gmail.com</v>
      </c>
      <c r="D1524" s="6">
        <f ca="1">IFERROR(__xludf.DUMMYFUNCTION("""COMPUTED_VALUE"""),9000259507)</f>
        <v>9000259507</v>
      </c>
      <c r="E1524" s="6" t="str">
        <f ca="1">IFERROR(__xludf.DUMMYFUNCTION("""COMPUTED_VALUE"""),"Tollfree")</f>
        <v>Tollfree</v>
      </c>
      <c r="F1524" s="6" t="str">
        <f ca="1">IFERROR(__xludf.DUMMYFUNCTION("""COMPUTED_VALUE"""),"SAFe Agile")</f>
        <v>SAFe Agile</v>
      </c>
      <c r="G1524" s="80">
        <f ca="1">IFERROR(__xludf.DUMMYFUNCTION("""COMPUTED_VALUE"""),44958)</f>
        <v>44958</v>
      </c>
      <c r="H1524" s="6" t="str">
        <f ca="1">IFERROR(__xludf.DUMMYFUNCTION("""COMPUTED_VALUE"""),"Won")</f>
        <v>Won</v>
      </c>
      <c r="I1524" s="6" t="str">
        <f ca="1">IFERROR(__xludf.DUMMYFUNCTION("""COMPUTED_VALUE"""),"11-12 Feb 2023")</f>
        <v>11-12 Feb 2023</v>
      </c>
      <c r="J1524" s="6">
        <f ca="1">IFERROR(__xludf.DUMMYFUNCTION("""COMPUTED_VALUE"""),1)</f>
        <v>1</v>
      </c>
      <c r="K1524" s="8">
        <f ca="1">IFERROR(__xludf.DUMMYFUNCTION("""COMPUTED_VALUE"""),42000)</f>
        <v>42000</v>
      </c>
      <c r="L1524" s="8">
        <f ca="1">IFERROR(__xludf.DUMMYFUNCTION("""COMPUTED_VALUE"""),480.989464040311)</f>
        <v>480.98946404031102</v>
      </c>
      <c r="M1524" s="96">
        <f ca="1">IFERROR(__xludf.DUMMYFUNCTION("""COMPUTED_VALUE"""),44963)</f>
        <v>44963</v>
      </c>
      <c r="N1524" s="6" t="str">
        <f ca="1">IFERROR(__xludf.DUMMYFUNCTION("""COMPUTED_VALUE"""),"F10")</f>
        <v>F10</v>
      </c>
      <c r="O1524" s="97">
        <f ca="1">IFERROR(__xludf.DUMMYFUNCTION("""COMPUTED_VALUE"""),44963)</f>
        <v>44963</v>
      </c>
      <c r="P1524" s="6" t="str">
        <f ca="1">IFERROR(__xludf.DUMMYFUNCTION("""COMPUTED_VALUE"""),"CSTM_DOGS9HZ148C")</f>
        <v>CSTM_DOGS9HZ148C</v>
      </c>
      <c r="Q1524" s="6"/>
      <c r="R1524" s="6" t="str">
        <f ca="1">IFERROR(__xludf.DUMMYFUNCTION("""COMPUTED_VALUE"""),"Pending")</f>
        <v>Pending</v>
      </c>
      <c r="S1524" s="6" t="str">
        <f ca="1">IFERROR(__xludf.DUMMYFUNCTION("""COMPUTED_VALUE"""),"SAFe")</f>
        <v>SAFe</v>
      </c>
      <c r="T1524" s="6"/>
      <c r="U1524" s="6"/>
      <c r="V1524" s="6"/>
      <c r="W1524" s="6"/>
      <c r="X1524" s="6"/>
      <c r="Y1524" s="6"/>
      <c r="Z1524" s="6"/>
      <c r="AA1524" s="6"/>
      <c r="AB1524" s="6"/>
      <c r="AC1524" s="6"/>
      <c r="AD1524" s="6"/>
      <c r="AE1524" s="6"/>
      <c r="AF1524" s="6"/>
      <c r="AG1524" s="6"/>
      <c r="AH1524" s="6"/>
      <c r="AI1524" s="6"/>
      <c r="AJ1524" s="6"/>
      <c r="AK1524" s="6"/>
      <c r="AL1524" s="6"/>
    </row>
    <row r="1525" spans="1:38">
      <c r="A1525" s="96">
        <f ca="1">IFERROR(__xludf.DUMMYFUNCTION("""COMPUTED_VALUE"""),44964)</f>
        <v>44964</v>
      </c>
      <c r="B1525" s="6" t="str">
        <f ca="1">IFERROR(__xludf.DUMMYFUNCTION("""COMPUTED_VALUE"""),"Imran Shak")</f>
        <v>Imran Shak</v>
      </c>
      <c r="C1525" s="6" t="str">
        <f ca="1">IFERROR(__xludf.DUMMYFUNCTION("""COMPUTED_VALUE"""),"imrank.shaikh@tcs.com")</f>
        <v>imrank.shaikh@tcs.com</v>
      </c>
      <c r="D1525" s="6">
        <f ca="1">IFERROR(__xludf.DUMMYFUNCTION("""COMPUTED_VALUE"""),8454833015)</f>
        <v>8454833015</v>
      </c>
      <c r="E1525" s="6" t="str">
        <f ca="1">IFERROR(__xludf.DUMMYFUNCTION("""COMPUTED_VALUE"""),"Reference")</f>
        <v>Reference</v>
      </c>
      <c r="F1525" s="6" t="str">
        <f ca="1">IFERROR(__xludf.DUMMYFUNCTION("""COMPUTED_VALUE"""),"PSPO 2")</f>
        <v>PSPO 2</v>
      </c>
      <c r="G1525" s="80">
        <f ca="1">IFERROR(__xludf.DUMMYFUNCTION("""COMPUTED_VALUE"""),44958)</f>
        <v>44958</v>
      </c>
      <c r="H1525" s="6" t="str">
        <f ca="1">IFERROR(__xludf.DUMMYFUNCTION("""COMPUTED_VALUE"""),"Won")</f>
        <v>Won</v>
      </c>
      <c r="I1525" s="6" t="str">
        <f ca="1">IFERROR(__xludf.DUMMYFUNCTION("""COMPUTED_VALUE"""),"11-12 Feb 2023")</f>
        <v>11-12 Feb 2023</v>
      </c>
      <c r="J1525" s="6">
        <f ca="1">IFERROR(__xludf.DUMMYFUNCTION("""COMPUTED_VALUE"""),1)</f>
        <v>1</v>
      </c>
      <c r="K1525" s="8">
        <f ca="1">IFERROR(__xludf.DUMMYFUNCTION("""COMPUTED_VALUE"""),24000)</f>
        <v>24000</v>
      </c>
      <c r="L1525" s="8">
        <f ca="1">IFERROR(__xludf.DUMMYFUNCTION("""COMPUTED_VALUE"""),274.851122308749)</f>
        <v>274.85112230874898</v>
      </c>
      <c r="M1525" s="96">
        <f ca="1">IFERROR(__xludf.DUMMYFUNCTION("""COMPUTED_VALUE"""),44964)</f>
        <v>44964</v>
      </c>
      <c r="N1525" s="6" t="str">
        <f ca="1">IFERROR(__xludf.DUMMYFUNCTION("""COMPUTED_VALUE"""),"F10")</f>
        <v>F10</v>
      </c>
      <c r="O1525" s="97">
        <f ca="1">IFERROR(__xludf.DUMMYFUNCTION("""COMPUTED_VALUE"""),44964)</f>
        <v>44964</v>
      </c>
      <c r="P1525" s="6" t="str">
        <f ca="1">IFERROR(__xludf.DUMMYFUNCTION("""COMPUTED_VALUE"""),"CSTM_IH8BPMUQOGY")</f>
        <v>CSTM_IH8BPMUQOGY</v>
      </c>
      <c r="Q1525" s="6" t="str">
        <f ca="1">IFERROR(__xludf.DUMMYFUNCTION("""COMPUTED_VALUE"""),"Reference by amrapaliashoka@gmail.com")</f>
        <v>Reference by amrapaliashoka@gmail.com</v>
      </c>
      <c r="R1525" s="6" t="str">
        <f ca="1">IFERROR(__xludf.DUMMYFUNCTION("""COMPUTED_VALUE"""),"Pending")</f>
        <v>Pending</v>
      </c>
      <c r="S1525" s="6" t="str">
        <f ca="1">IFERROR(__xludf.DUMMYFUNCTION("""COMPUTED_VALUE"""),"NonCategory")</f>
        <v>NonCategory</v>
      </c>
      <c r="T1525" s="6"/>
      <c r="U1525" s="6"/>
      <c r="V1525" s="6"/>
      <c r="W1525" s="6"/>
      <c r="X1525" s="6"/>
      <c r="Y1525" s="6"/>
      <c r="Z1525" s="6"/>
      <c r="AA1525" s="6"/>
      <c r="AB1525" s="6"/>
      <c r="AC1525" s="6"/>
      <c r="AD1525" s="6"/>
      <c r="AE1525" s="6"/>
      <c r="AF1525" s="6"/>
      <c r="AG1525" s="6"/>
      <c r="AH1525" s="6"/>
      <c r="AI1525" s="6"/>
      <c r="AJ1525" s="6"/>
      <c r="AK1525" s="6"/>
      <c r="AL1525" s="6"/>
    </row>
    <row r="1526" spans="1:38">
      <c r="A1526" s="96">
        <f ca="1">IFERROR(__xludf.DUMMYFUNCTION("""COMPUTED_VALUE"""),44964)</f>
        <v>44964</v>
      </c>
      <c r="B1526" s="6" t="str">
        <f ca="1">IFERROR(__xludf.DUMMYFUNCTION("""COMPUTED_VALUE"""),"Abdul S K")</f>
        <v>Abdul S K</v>
      </c>
      <c r="C1526" s="6" t="str">
        <f ca="1">IFERROR(__xludf.DUMMYFUNCTION("""COMPUTED_VALUE"""),"abdul.sk257@gmail.com")</f>
        <v>abdul.sk257@gmail.com</v>
      </c>
      <c r="D1526" s="6">
        <f ca="1">IFERROR(__xludf.DUMMYFUNCTION("""COMPUTED_VALUE"""),9121801740)</f>
        <v>9121801740</v>
      </c>
      <c r="E1526" s="6" t="str">
        <f ca="1">IFERROR(__xludf.DUMMYFUNCTION("""COMPUTED_VALUE"""),"Existing Account")</f>
        <v>Existing Account</v>
      </c>
      <c r="F1526" s="6" t="str">
        <f ca="1">IFERROR(__xludf.DUMMYFUNCTION("""COMPUTED_VALUE"""),"ITIL v4")</f>
        <v>ITIL v4</v>
      </c>
      <c r="G1526" s="80">
        <f ca="1">IFERROR(__xludf.DUMMYFUNCTION("""COMPUTED_VALUE"""),44958)</f>
        <v>44958</v>
      </c>
      <c r="H1526" s="6" t="str">
        <f ca="1">IFERROR(__xludf.DUMMYFUNCTION("""COMPUTED_VALUE"""),"Won")</f>
        <v>Won</v>
      </c>
      <c r="I1526" s="6" t="str">
        <f ca="1">IFERROR(__xludf.DUMMYFUNCTION("""COMPUTED_VALUE"""),"11-12 Feb 2023")</f>
        <v>11-12 Feb 2023</v>
      </c>
      <c r="J1526" s="6">
        <f ca="1">IFERROR(__xludf.DUMMYFUNCTION("""COMPUTED_VALUE"""),1)</f>
        <v>1</v>
      </c>
      <c r="K1526" s="8">
        <f ca="1">IFERROR(__xludf.DUMMYFUNCTION("""COMPUTED_VALUE"""),21100)</f>
        <v>21100</v>
      </c>
      <c r="L1526" s="8">
        <f ca="1">IFERROR(__xludf.DUMMYFUNCTION("""COMPUTED_VALUE"""),241.639945029775)</f>
        <v>241.63994502977499</v>
      </c>
      <c r="M1526" s="96">
        <f ca="1">IFERROR(__xludf.DUMMYFUNCTION("""COMPUTED_VALUE"""),44964)</f>
        <v>44964</v>
      </c>
      <c r="N1526" s="6" t="str">
        <f ca="1">IFERROR(__xludf.DUMMYFUNCTION("""COMPUTED_VALUE"""),"F10")</f>
        <v>F10</v>
      </c>
      <c r="O1526" s="97">
        <f ca="1">IFERROR(__xludf.DUMMYFUNCTION("""COMPUTED_VALUE"""),44964)</f>
        <v>44964</v>
      </c>
      <c r="P1526" s="6" t="str">
        <f ca="1">IFERROR(__xludf.DUMMYFUNCTION("""COMPUTED_VALUE"""),"CSTM_4DAOU84GXT0")</f>
        <v>CSTM_4DAOU84GXT0</v>
      </c>
      <c r="Q1526" s="6"/>
      <c r="R1526" s="6" t="str">
        <f ca="1">IFERROR(__xludf.DUMMYFUNCTION("""COMPUTED_VALUE"""),"Pending")</f>
        <v>Pending</v>
      </c>
      <c r="S1526" s="6" t="str">
        <f ca="1">IFERROR(__xludf.DUMMYFUNCTION("""COMPUTED_VALUE"""),"NonCategory")</f>
        <v>NonCategory</v>
      </c>
      <c r="T1526" s="6"/>
      <c r="U1526" s="6"/>
      <c r="V1526" s="6"/>
      <c r="W1526" s="6"/>
      <c r="X1526" s="6"/>
      <c r="Y1526" s="6"/>
      <c r="Z1526" s="6"/>
      <c r="AA1526" s="6"/>
      <c r="AB1526" s="6"/>
      <c r="AC1526" s="6"/>
      <c r="AD1526" s="6"/>
      <c r="AE1526" s="6"/>
      <c r="AF1526" s="6"/>
      <c r="AG1526" s="6"/>
      <c r="AH1526" s="6"/>
      <c r="AI1526" s="6"/>
      <c r="AJ1526" s="6"/>
      <c r="AK1526" s="6"/>
      <c r="AL1526" s="6"/>
    </row>
    <row r="1527" spans="1:38">
      <c r="A1527" s="96">
        <f ca="1">IFERROR(__xludf.DUMMYFUNCTION("""COMPUTED_VALUE"""),44964)</f>
        <v>44964</v>
      </c>
      <c r="B1527" s="6" t="str">
        <f ca="1">IFERROR(__xludf.DUMMYFUNCTION("""COMPUTED_VALUE"""),"Bibhu Mohan")</f>
        <v>Bibhu Mohan</v>
      </c>
      <c r="C1527" s="6" t="str">
        <f ca="1">IFERROR(__xludf.DUMMYFUNCTION("""COMPUTED_VALUE"""),"like2bibhu@gmail.com")</f>
        <v>like2bibhu@gmail.com</v>
      </c>
      <c r="D1527" s="6">
        <f ca="1">IFERROR(__xludf.DUMMYFUNCTION("""COMPUTED_VALUE"""),9673869455)</f>
        <v>9673869455</v>
      </c>
      <c r="E1527" s="6" t="str">
        <f ca="1">IFERROR(__xludf.DUMMYFUNCTION("""COMPUTED_VALUE"""),"Reference")</f>
        <v>Reference</v>
      </c>
      <c r="F1527" s="6" t="str">
        <f ca="1">IFERROR(__xludf.DUMMYFUNCTION("""COMPUTED_VALUE"""),"PSPO 2")</f>
        <v>PSPO 2</v>
      </c>
      <c r="G1527" s="80">
        <f ca="1">IFERROR(__xludf.DUMMYFUNCTION("""COMPUTED_VALUE"""),44958)</f>
        <v>44958</v>
      </c>
      <c r="H1527" s="6" t="str">
        <f ca="1">IFERROR(__xludf.DUMMYFUNCTION("""COMPUTED_VALUE"""),"Won")</f>
        <v>Won</v>
      </c>
      <c r="I1527" s="6" t="str">
        <f ca="1">IFERROR(__xludf.DUMMYFUNCTION("""COMPUTED_VALUE"""),"11-12 Feb 2023")</f>
        <v>11-12 Feb 2023</v>
      </c>
      <c r="J1527" s="6">
        <f ca="1">IFERROR(__xludf.DUMMYFUNCTION("""COMPUTED_VALUE"""),1)</f>
        <v>1</v>
      </c>
      <c r="K1527" s="8">
        <f ca="1">IFERROR(__xludf.DUMMYFUNCTION("""COMPUTED_VALUE"""),24000)</f>
        <v>24000</v>
      </c>
      <c r="L1527" s="8">
        <f ca="1">IFERROR(__xludf.DUMMYFUNCTION("""COMPUTED_VALUE"""),274.851122308749)</f>
        <v>274.85112230874898</v>
      </c>
      <c r="M1527" s="96">
        <f ca="1">IFERROR(__xludf.DUMMYFUNCTION("""COMPUTED_VALUE"""),44964)</f>
        <v>44964</v>
      </c>
      <c r="N1527" s="6" t="str">
        <f ca="1">IFERROR(__xludf.DUMMYFUNCTION("""COMPUTED_VALUE"""),"F10")</f>
        <v>F10</v>
      </c>
      <c r="O1527" s="97">
        <f ca="1">IFERROR(__xludf.DUMMYFUNCTION("""COMPUTED_VALUE"""),44965)</f>
        <v>44965</v>
      </c>
      <c r="P1527" s="6" t="str">
        <f ca="1">IFERROR(__xludf.DUMMYFUNCTION("""COMPUTED_VALUE"""),"CSTM_9329R9CEMO6")</f>
        <v>CSTM_9329R9CEMO6</v>
      </c>
      <c r="Q1527" s="6" t="str">
        <f ca="1">IFERROR(__xludf.DUMMYFUNCTION("""COMPUTED_VALUE"""),"Reference by sahoo.subha1024@gmail.com")</f>
        <v>Reference by sahoo.subha1024@gmail.com</v>
      </c>
      <c r="R1527" s="6" t="str">
        <f ca="1">IFERROR(__xludf.DUMMYFUNCTION("""COMPUTED_VALUE"""),"Pending")</f>
        <v>Pending</v>
      </c>
      <c r="S1527" s="6" t="str">
        <f ca="1">IFERROR(__xludf.DUMMYFUNCTION("""COMPUTED_VALUE"""),"NonCategory")</f>
        <v>NonCategory</v>
      </c>
      <c r="T1527" s="6"/>
      <c r="U1527" s="6"/>
      <c r="V1527" s="6"/>
      <c r="W1527" s="6"/>
      <c r="X1527" s="6"/>
      <c r="Y1527" s="6"/>
      <c r="Z1527" s="6"/>
      <c r="AA1527" s="6"/>
      <c r="AB1527" s="6"/>
      <c r="AC1527" s="6"/>
      <c r="AD1527" s="6"/>
      <c r="AE1527" s="6"/>
      <c r="AF1527" s="6"/>
      <c r="AG1527" s="6"/>
      <c r="AH1527" s="6"/>
      <c r="AI1527" s="6"/>
      <c r="AJ1527" s="6"/>
      <c r="AK1527" s="6"/>
      <c r="AL1527" s="6"/>
    </row>
    <row r="1528" spans="1:38">
      <c r="A1528" s="96">
        <f ca="1">IFERROR(__xludf.DUMMYFUNCTION("""COMPUTED_VALUE"""),44964)</f>
        <v>44964</v>
      </c>
      <c r="B1528" s="6" t="str">
        <f ca="1">IFERROR(__xludf.DUMMYFUNCTION("""COMPUTED_VALUE"""),"Subhashree Sahoo")</f>
        <v>Subhashree Sahoo</v>
      </c>
      <c r="C1528" s="6" t="str">
        <f ca="1">IFERROR(__xludf.DUMMYFUNCTION("""COMPUTED_VALUE"""),"sahoo.subha1024@gmail.com")</f>
        <v>sahoo.subha1024@gmail.com</v>
      </c>
      <c r="D1528" s="6">
        <f ca="1">IFERROR(__xludf.DUMMYFUNCTION("""COMPUTED_VALUE"""),8904816300)</f>
        <v>8904816300</v>
      </c>
      <c r="E1528" s="6" t="str">
        <f ca="1">IFERROR(__xludf.DUMMYFUNCTION("""COMPUTED_VALUE"""),"Reference")</f>
        <v>Reference</v>
      </c>
      <c r="F1528" s="6" t="str">
        <f ca="1">IFERROR(__xludf.DUMMYFUNCTION("""COMPUTED_VALUE"""),"PSPO 2")</f>
        <v>PSPO 2</v>
      </c>
      <c r="G1528" s="80">
        <f ca="1">IFERROR(__xludf.DUMMYFUNCTION("""COMPUTED_VALUE"""),44958)</f>
        <v>44958</v>
      </c>
      <c r="H1528" s="6" t="str">
        <f ca="1">IFERROR(__xludf.DUMMYFUNCTION("""COMPUTED_VALUE"""),"Won")</f>
        <v>Won</v>
      </c>
      <c r="I1528" s="6" t="str">
        <f ca="1">IFERROR(__xludf.DUMMYFUNCTION("""COMPUTED_VALUE"""),"11-12 Feb 2023")</f>
        <v>11-12 Feb 2023</v>
      </c>
      <c r="J1528" s="6">
        <f ca="1">IFERROR(__xludf.DUMMYFUNCTION("""COMPUTED_VALUE"""),1)</f>
        <v>1</v>
      </c>
      <c r="K1528" s="8">
        <f ca="1">IFERROR(__xludf.DUMMYFUNCTION("""COMPUTED_VALUE"""),24000)</f>
        <v>24000</v>
      </c>
      <c r="L1528" s="8">
        <f ca="1">IFERROR(__xludf.DUMMYFUNCTION("""COMPUTED_VALUE"""),274.851122308749)</f>
        <v>274.85112230874898</v>
      </c>
      <c r="M1528" s="96">
        <f ca="1">IFERROR(__xludf.DUMMYFUNCTION("""COMPUTED_VALUE"""),44964)</f>
        <v>44964</v>
      </c>
      <c r="N1528" s="6" t="str">
        <f ca="1">IFERROR(__xludf.DUMMYFUNCTION("""COMPUTED_VALUE"""),"F10")</f>
        <v>F10</v>
      </c>
      <c r="O1528" s="97">
        <f ca="1">IFERROR(__xludf.DUMMYFUNCTION("""COMPUTED_VALUE"""),44965)</f>
        <v>44965</v>
      </c>
      <c r="P1528" s="6" t="str">
        <f ca="1">IFERROR(__xludf.DUMMYFUNCTION("""COMPUTED_VALUE"""),"CSTM_I676BWGDK2Z")</f>
        <v>CSTM_I676BWGDK2Z</v>
      </c>
      <c r="Q1528" s="6" t="str">
        <f ca="1">IFERROR(__xludf.DUMMYFUNCTION("""COMPUTED_VALUE"""),"Reference by mail2bibhu@gmail.com")</f>
        <v>Reference by mail2bibhu@gmail.com</v>
      </c>
      <c r="R1528" s="6" t="str">
        <f ca="1">IFERROR(__xludf.DUMMYFUNCTION("""COMPUTED_VALUE"""),"Pending")</f>
        <v>Pending</v>
      </c>
      <c r="S1528" s="6" t="str">
        <f ca="1">IFERROR(__xludf.DUMMYFUNCTION("""COMPUTED_VALUE"""),"NonCategory")</f>
        <v>NonCategory</v>
      </c>
      <c r="T1528" s="6"/>
      <c r="U1528" s="6"/>
      <c r="V1528" s="6"/>
      <c r="W1528" s="6"/>
      <c r="X1528" s="6"/>
      <c r="Y1528" s="6"/>
      <c r="Z1528" s="6"/>
      <c r="AA1528" s="6"/>
      <c r="AB1528" s="6"/>
      <c r="AC1528" s="6"/>
      <c r="AD1528" s="6"/>
      <c r="AE1528" s="6"/>
      <c r="AF1528" s="6"/>
      <c r="AG1528" s="6"/>
      <c r="AH1528" s="6"/>
      <c r="AI1528" s="6"/>
      <c r="AJ1528" s="6"/>
      <c r="AK1528" s="6"/>
      <c r="AL1528" s="6"/>
    </row>
    <row r="1529" spans="1:38">
      <c r="A1529" s="96">
        <f ca="1">IFERROR(__xludf.DUMMYFUNCTION("""COMPUTED_VALUE"""),44965)</f>
        <v>44965</v>
      </c>
      <c r="B1529" s="6" t="str">
        <f ca="1">IFERROR(__xludf.DUMMYFUNCTION("""COMPUTED_VALUE"""),"Anindita Biswas")</f>
        <v>Anindita Biswas</v>
      </c>
      <c r="C1529" s="6" t="str">
        <f ca="1">IFERROR(__xludf.DUMMYFUNCTION("""COMPUTED_VALUE"""),"anee.s.biswas@gmail.com")</f>
        <v>anee.s.biswas@gmail.com</v>
      </c>
      <c r="D1529" s="6">
        <f ca="1">IFERROR(__xludf.DUMMYFUNCTION("""COMPUTED_VALUE"""),9836690685)</f>
        <v>9836690685</v>
      </c>
      <c r="E1529" s="6" t="str">
        <f ca="1">IFERROR(__xludf.DUMMYFUNCTION("""COMPUTED_VALUE"""),"Tollfree")</f>
        <v>Tollfree</v>
      </c>
      <c r="F1529" s="6" t="str">
        <f ca="1">IFERROR(__xludf.DUMMYFUNCTION("""COMPUTED_VALUE"""),"SAFe Agile")</f>
        <v>SAFe Agile</v>
      </c>
      <c r="G1529" s="80">
        <f ca="1">IFERROR(__xludf.DUMMYFUNCTION("""COMPUTED_VALUE"""),44958)</f>
        <v>44958</v>
      </c>
      <c r="H1529" s="6" t="str">
        <f ca="1">IFERROR(__xludf.DUMMYFUNCTION("""COMPUTED_VALUE"""),"Won")</f>
        <v>Won</v>
      </c>
      <c r="I1529" s="6" t="str">
        <f ca="1">IFERROR(__xludf.DUMMYFUNCTION("""COMPUTED_VALUE"""),"18-19 Feb 2023")</f>
        <v>18-19 Feb 2023</v>
      </c>
      <c r="J1529" s="6">
        <f ca="1">IFERROR(__xludf.DUMMYFUNCTION("""COMPUTED_VALUE"""),1)</f>
        <v>1</v>
      </c>
      <c r="K1529" s="8">
        <f ca="1">IFERROR(__xludf.DUMMYFUNCTION("""COMPUTED_VALUE"""),40061)</f>
        <v>40061</v>
      </c>
      <c r="L1529" s="8">
        <f ca="1">IFERROR(__xludf.DUMMYFUNCTION("""COMPUTED_VALUE"""),458.783783783783)</f>
        <v>458.78378378378301</v>
      </c>
      <c r="M1529" s="96">
        <f ca="1">IFERROR(__xludf.DUMMYFUNCTION("""COMPUTED_VALUE"""),44965)</f>
        <v>44965</v>
      </c>
      <c r="N1529" s="6" t="str">
        <f ca="1">IFERROR(__xludf.DUMMYFUNCTION("""COMPUTED_VALUE"""),"F10")</f>
        <v>F10</v>
      </c>
      <c r="O1529" s="97">
        <f ca="1">IFERROR(__xludf.DUMMYFUNCTION("""COMPUTED_VALUE"""),44965)</f>
        <v>44965</v>
      </c>
      <c r="P1529" s="6" t="str">
        <f ca="1">IFERROR(__xludf.DUMMYFUNCTION("""COMPUTED_VALUE"""),"CSTM_D5GE6OEVRKT")</f>
        <v>CSTM_D5GE6OEVRKT</v>
      </c>
      <c r="Q1529" s="6"/>
      <c r="R1529" s="6" t="str">
        <f ca="1">IFERROR(__xludf.DUMMYFUNCTION("""COMPUTED_VALUE"""),"Pending")</f>
        <v>Pending</v>
      </c>
      <c r="S1529" s="6" t="str">
        <f ca="1">IFERROR(__xludf.DUMMYFUNCTION("""COMPUTED_VALUE"""),"SAFe")</f>
        <v>SAFe</v>
      </c>
      <c r="T1529" s="6"/>
      <c r="U1529" s="6"/>
      <c r="V1529" s="6"/>
      <c r="W1529" s="6"/>
      <c r="X1529" s="6"/>
      <c r="Y1529" s="6"/>
      <c r="Z1529" s="6"/>
      <c r="AA1529" s="6"/>
      <c r="AB1529" s="6"/>
      <c r="AC1529" s="6"/>
      <c r="AD1529" s="6"/>
      <c r="AE1529" s="6"/>
      <c r="AF1529" s="6"/>
      <c r="AG1529" s="6"/>
      <c r="AH1529" s="6"/>
      <c r="AI1529" s="6"/>
      <c r="AJ1529" s="6"/>
      <c r="AK1529" s="6"/>
      <c r="AL1529" s="6"/>
    </row>
    <row r="1530" spans="1:38">
      <c r="A1530" s="96">
        <f ca="1">IFERROR(__xludf.DUMMYFUNCTION("""COMPUTED_VALUE"""),44965)</f>
        <v>44965</v>
      </c>
      <c r="B1530" s="6" t="str">
        <f ca="1">IFERROR(__xludf.DUMMYFUNCTION("""COMPUTED_VALUE"""),"Swarnendu Kundu")</f>
        <v>Swarnendu Kundu</v>
      </c>
      <c r="C1530" s="6" t="str">
        <f ca="1">IFERROR(__xludf.DUMMYFUNCTION("""COMPUTED_VALUE"""),"kundu.swarnendu.87@gmail.com")</f>
        <v>kundu.swarnendu.87@gmail.com</v>
      </c>
      <c r="D1530" s="6">
        <f ca="1">IFERROR(__xludf.DUMMYFUNCTION("""COMPUTED_VALUE"""),8792030365)</f>
        <v>8792030365</v>
      </c>
      <c r="E1530" s="6" t="str">
        <f ca="1">IFERROR(__xludf.DUMMYFUNCTION("""COMPUTED_VALUE"""),"Chat_triggered")</f>
        <v>Chat_triggered</v>
      </c>
      <c r="F1530" s="6" t="str">
        <f ca="1">IFERROR(__xludf.DUMMYFUNCTION("""COMPUTED_VALUE"""),"SAFe Agile")</f>
        <v>SAFe Agile</v>
      </c>
      <c r="G1530" s="80">
        <f ca="1">IFERROR(__xludf.DUMMYFUNCTION("""COMPUTED_VALUE"""),44958)</f>
        <v>44958</v>
      </c>
      <c r="H1530" s="6" t="str">
        <f ca="1">IFERROR(__xludf.DUMMYFUNCTION("""COMPUTED_VALUE"""),"Won")</f>
        <v>Won</v>
      </c>
      <c r="I1530" s="6" t="str">
        <f ca="1">IFERROR(__xludf.DUMMYFUNCTION("""COMPUTED_VALUE"""),"11-12 Feb 2023")</f>
        <v>11-12 Feb 2023</v>
      </c>
      <c r="J1530" s="6">
        <f ca="1">IFERROR(__xludf.DUMMYFUNCTION("""COMPUTED_VALUE"""),1)</f>
        <v>1</v>
      </c>
      <c r="K1530" s="8">
        <f ca="1">IFERROR(__xludf.DUMMYFUNCTION("""COMPUTED_VALUE"""),42000)</f>
        <v>42000</v>
      </c>
      <c r="L1530" s="8">
        <f ca="1">IFERROR(__xludf.DUMMYFUNCTION("""COMPUTED_VALUE"""),480.989464040311)</f>
        <v>480.98946404031102</v>
      </c>
      <c r="M1530" s="96">
        <f ca="1">IFERROR(__xludf.DUMMYFUNCTION("""COMPUTED_VALUE"""),44965)</f>
        <v>44965</v>
      </c>
      <c r="N1530" s="6" t="str">
        <f ca="1">IFERROR(__xludf.DUMMYFUNCTION("""COMPUTED_VALUE"""),"F10")</f>
        <v>F10</v>
      </c>
      <c r="O1530" s="97">
        <f ca="1">IFERROR(__xludf.DUMMYFUNCTION("""COMPUTED_VALUE"""),44965)</f>
        <v>44965</v>
      </c>
      <c r="P1530" s="6" t="str">
        <f ca="1">IFERROR(__xludf.DUMMYFUNCTION("""COMPUTED_VALUE"""),"CSTM_9KSO79C6952")</f>
        <v>CSTM_9KSO79C6952</v>
      </c>
      <c r="Q1530" s="6"/>
      <c r="R1530" s="6" t="str">
        <f ca="1">IFERROR(__xludf.DUMMYFUNCTION("""COMPUTED_VALUE"""),"Pending")</f>
        <v>Pending</v>
      </c>
      <c r="S1530" s="6" t="str">
        <f ca="1">IFERROR(__xludf.DUMMYFUNCTION("""COMPUTED_VALUE"""),"SAFe")</f>
        <v>SAFe</v>
      </c>
      <c r="T1530" s="6"/>
      <c r="U1530" s="6"/>
      <c r="V1530" s="6"/>
      <c r="W1530" s="6"/>
      <c r="X1530" s="6"/>
      <c r="Y1530" s="6"/>
      <c r="Z1530" s="6"/>
      <c r="AA1530" s="6"/>
      <c r="AB1530" s="6"/>
      <c r="AC1530" s="6"/>
      <c r="AD1530" s="6"/>
      <c r="AE1530" s="6"/>
      <c r="AF1530" s="6"/>
      <c r="AG1530" s="6"/>
      <c r="AH1530" s="6"/>
      <c r="AI1530" s="6"/>
      <c r="AJ1530" s="6"/>
      <c r="AK1530" s="6"/>
      <c r="AL1530" s="6"/>
    </row>
    <row r="1531" spans="1:38">
      <c r="A1531" s="96">
        <f ca="1">IFERROR(__xludf.DUMMYFUNCTION("""COMPUTED_VALUE"""),44965)</f>
        <v>44965</v>
      </c>
      <c r="B1531" s="6" t="str">
        <f ca="1">IFERROR(__xludf.DUMMYFUNCTION("""COMPUTED_VALUE"""),"Spandana Gaddam")</f>
        <v>Spandana Gaddam</v>
      </c>
      <c r="C1531" s="6" t="str">
        <f ca="1">IFERROR(__xludf.DUMMYFUNCTION("""COMPUTED_VALUE"""),"gaddamspandana18@gmail.com")</f>
        <v>gaddamspandana18@gmail.com</v>
      </c>
      <c r="D1531" s="6">
        <f ca="1">IFERROR(__xludf.DUMMYFUNCTION("""COMPUTED_VALUE"""),9059598202)</f>
        <v>9059598202</v>
      </c>
      <c r="E1531" s="6" t="str">
        <f ca="1">IFERROR(__xludf.DUMMYFUNCTION("""COMPUTED_VALUE"""),"Tollfree")</f>
        <v>Tollfree</v>
      </c>
      <c r="F1531" s="6" t="str">
        <f ca="1">IFERROR(__xludf.DUMMYFUNCTION("""COMPUTED_VALUE"""),"PSPO 2")</f>
        <v>PSPO 2</v>
      </c>
      <c r="G1531" s="80">
        <f ca="1">IFERROR(__xludf.DUMMYFUNCTION("""COMPUTED_VALUE"""),44958)</f>
        <v>44958</v>
      </c>
      <c r="H1531" s="6" t="str">
        <f ca="1">IFERROR(__xludf.DUMMYFUNCTION("""COMPUTED_VALUE"""),"Won")</f>
        <v>Won</v>
      </c>
      <c r="I1531" s="6" t="str">
        <f ca="1">IFERROR(__xludf.DUMMYFUNCTION("""COMPUTED_VALUE"""),"27-28 Feb 2023")</f>
        <v>27-28 Feb 2023</v>
      </c>
      <c r="J1531" s="6">
        <f ca="1">IFERROR(__xludf.DUMMYFUNCTION("""COMPUTED_VALUE"""),1)</f>
        <v>1</v>
      </c>
      <c r="K1531" s="8">
        <f ca="1">IFERROR(__xludf.DUMMYFUNCTION("""COMPUTED_VALUE"""),24000)</f>
        <v>24000</v>
      </c>
      <c r="L1531" s="8">
        <f ca="1">IFERROR(__xludf.DUMMYFUNCTION("""COMPUTED_VALUE"""),274.851122308749)</f>
        <v>274.85112230874898</v>
      </c>
      <c r="M1531" s="96">
        <f ca="1">IFERROR(__xludf.DUMMYFUNCTION("""COMPUTED_VALUE"""),44965)</f>
        <v>44965</v>
      </c>
      <c r="N1531" s="6" t="str">
        <f ca="1">IFERROR(__xludf.DUMMYFUNCTION("""COMPUTED_VALUE"""),"F10")</f>
        <v>F10</v>
      </c>
      <c r="O1531" s="97">
        <f ca="1">IFERROR(__xludf.DUMMYFUNCTION("""COMPUTED_VALUE"""),44965)</f>
        <v>44965</v>
      </c>
      <c r="P1531" s="6" t="str">
        <f ca="1">IFERROR(__xludf.DUMMYFUNCTION("""COMPUTED_VALUE"""),"CSTM_22TM8DZ3OAY")</f>
        <v>CSTM_22TM8DZ3OAY</v>
      </c>
      <c r="Q1531" s="6"/>
      <c r="R1531" s="6" t="str">
        <f ca="1">IFERROR(__xludf.DUMMYFUNCTION("""COMPUTED_VALUE"""),"Pending")</f>
        <v>Pending</v>
      </c>
      <c r="S1531" s="6" t="str">
        <f ca="1">IFERROR(__xludf.DUMMYFUNCTION("""COMPUTED_VALUE"""),"NonCategory")</f>
        <v>NonCategory</v>
      </c>
      <c r="T1531" s="6"/>
      <c r="U1531" s="6"/>
      <c r="V1531" s="6"/>
      <c r="W1531" s="6"/>
      <c r="X1531" s="6"/>
      <c r="Y1531" s="6"/>
      <c r="Z1531" s="6"/>
      <c r="AA1531" s="6"/>
      <c r="AB1531" s="6"/>
      <c r="AC1531" s="6"/>
      <c r="AD1531" s="6"/>
      <c r="AE1531" s="6"/>
      <c r="AF1531" s="6"/>
      <c r="AG1531" s="6"/>
      <c r="AH1531" s="6"/>
      <c r="AI1531" s="6"/>
      <c r="AJ1531" s="6"/>
      <c r="AK1531" s="6"/>
      <c r="AL1531" s="6"/>
    </row>
    <row r="1532" spans="1:38">
      <c r="A1532" s="96">
        <f ca="1">IFERROR(__xludf.DUMMYFUNCTION("""COMPUTED_VALUE"""),44965)</f>
        <v>44965</v>
      </c>
      <c r="B1532" s="6" t="str">
        <f ca="1">IFERROR(__xludf.DUMMYFUNCTION("""COMPUTED_VALUE"""),"Pratyusha Chakrabarti")</f>
        <v>Pratyusha Chakrabarti</v>
      </c>
      <c r="C1532" s="6" t="str">
        <f ca="1">IFERROR(__xludf.DUMMYFUNCTION("""COMPUTED_VALUE"""),"pratyusha.chakrabarti@gmail.com")</f>
        <v>pratyusha.chakrabarti@gmail.com</v>
      </c>
      <c r="D1532" s="6">
        <f ca="1">IFERROR(__xludf.DUMMYFUNCTION("""COMPUTED_VALUE"""),8050697092)</f>
        <v>8050697092</v>
      </c>
      <c r="E1532" s="6" t="str">
        <f ca="1">IFERROR(__xludf.DUMMYFUNCTION("""COMPUTED_VALUE"""),"Query box")</f>
        <v>Query box</v>
      </c>
      <c r="F1532" s="6" t="str">
        <f ca="1">IFERROR(__xludf.DUMMYFUNCTION("""COMPUTED_VALUE"""),"PSM 2")</f>
        <v>PSM 2</v>
      </c>
      <c r="G1532" s="80">
        <f ca="1">IFERROR(__xludf.DUMMYFUNCTION("""COMPUTED_VALUE"""),44958)</f>
        <v>44958</v>
      </c>
      <c r="H1532" s="6" t="str">
        <f ca="1">IFERROR(__xludf.DUMMYFUNCTION("""COMPUTED_VALUE"""),"Won")</f>
        <v>Won</v>
      </c>
      <c r="I1532" s="6" t="str">
        <f ca="1">IFERROR(__xludf.DUMMYFUNCTION("""COMPUTED_VALUE"""),"11-12 Feb 2023")</f>
        <v>11-12 Feb 2023</v>
      </c>
      <c r="J1532" s="6">
        <f ca="1">IFERROR(__xludf.DUMMYFUNCTION("""COMPUTED_VALUE"""),1)</f>
        <v>1</v>
      </c>
      <c r="K1532" s="8">
        <f ca="1">IFERROR(__xludf.DUMMYFUNCTION("""COMPUTED_VALUE"""),24000)</f>
        <v>24000</v>
      </c>
      <c r="L1532" s="8">
        <f ca="1">IFERROR(__xludf.DUMMYFUNCTION("""COMPUTED_VALUE"""),274.851122308749)</f>
        <v>274.85112230874898</v>
      </c>
      <c r="M1532" s="96">
        <f ca="1">IFERROR(__xludf.DUMMYFUNCTION("""COMPUTED_VALUE"""),44965)</f>
        <v>44965</v>
      </c>
      <c r="N1532" s="6" t="str">
        <f ca="1">IFERROR(__xludf.DUMMYFUNCTION("""COMPUTED_VALUE"""),"F10")</f>
        <v>F10</v>
      </c>
      <c r="O1532" s="97">
        <f ca="1">IFERROR(__xludf.DUMMYFUNCTION("""COMPUTED_VALUE"""),44965)</f>
        <v>44965</v>
      </c>
      <c r="P1532" s="6" t="str">
        <f ca="1">IFERROR(__xludf.DUMMYFUNCTION("""COMPUTED_VALUE"""),"CSTM_ISQ8F1HYTH9")</f>
        <v>CSTM_ISQ8F1HYTH9</v>
      </c>
      <c r="Q1532" s="6"/>
      <c r="R1532" s="6" t="str">
        <f ca="1">IFERROR(__xludf.DUMMYFUNCTION("""COMPUTED_VALUE"""),"Pending")</f>
        <v>Pending</v>
      </c>
      <c r="S1532" s="6" t="str">
        <f ca="1">IFERROR(__xludf.DUMMYFUNCTION("""COMPUTED_VALUE"""),"Category")</f>
        <v>Category</v>
      </c>
      <c r="T1532" s="6"/>
      <c r="U1532" s="6"/>
      <c r="V1532" s="6"/>
      <c r="W1532" s="6"/>
      <c r="X1532" s="6"/>
      <c r="Y1532" s="6"/>
      <c r="Z1532" s="6"/>
      <c r="AA1532" s="6"/>
      <c r="AB1532" s="6"/>
      <c r="AC1532" s="6"/>
      <c r="AD1532" s="6"/>
      <c r="AE1532" s="6"/>
      <c r="AF1532" s="6"/>
      <c r="AG1532" s="6"/>
      <c r="AH1532" s="6"/>
      <c r="AI1532" s="6"/>
      <c r="AJ1532" s="6"/>
      <c r="AK1532" s="6"/>
      <c r="AL1532" s="6"/>
    </row>
    <row r="1533" spans="1:38">
      <c r="A1533" s="96">
        <f ca="1">IFERROR(__xludf.DUMMYFUNCTION("""COMPUTED_VALUE"""),44966)</f>
        <v>44966</v>
      </c>
      <c r="B1533" s="6" t="str">
        <f ca="1">IFERROR(__xludf.DUMMYFUNCTION("""COMPUTED_VALUE"""),"Shishir Shrivastava")</f>
        <v>Shishir Shrivastava</v>
      </c>
      <c r="C1533" s="6" t="str">
        <f ca="1">IFERROR(__xludf.DUMMYFUNCTION("""COMPUTED_VALUE"""),"shrivastava.shishir10@gmail.com")</f>
        <v>shrivastava.shishir10@gmail.com</v>
      </c>
      <c r="D1533" s="6">
        <f ca="1">IFERROR(__xludf.DUMMYFUNCTION("""COMPUTED_VALUE"""),9713875067)</f>
        <v>9713875067</v>
      </c>
      <c r="E1533" s="6" t="str">
        <f ca="1">IFERROR(__xludf.DUMMYFUNCTION("""COMPUTED_VALUE"""),"Reference")</f>
        <v>Reference</v>
      </c>
      <c r="F1533" s="6" t="str">
        <f ca="1">IFERROR(__xludf.DUMMYFUNCTION("""COMPUTED_VALUE"""),"CSM")</f>
        <v>CSM</v>
      </c>
      <c r="G1533" s="80">
        <f ca="1">IFERROR(__xludf.DUMMYFUNCTION("""COMPUTED_VALUE"""),44958)</f>
        <v>44958</v>
      </c>
      <c r="H1533" s="6" t="str">
        <f ca="1">IFERROR(__xludf.DUMMYFUNCTION("""COMPUTED_VALUE"""),"Won")</f>
        <v>Won</v>
      </c>
      <c r="I1533" s="6" t="str">
        <f ca="1">IFERROR(__xludf.DUMMYFUNCTION("""COMPUTED_VALUE"""),"11-12 Feb 2023")</f>
        <v>11-12 Feb 2023</v>
      </c>
      <c r="J1533" s="6">
        <f ca="1">IFERROR(__xludf.DUMMYFUNCTION("""COMPUTED_VALUE"""),1)</f>
        <v>1</v>
      </c>
      <c r="K1533" s="8">
        <f ca="1">IFERROR(__xludf.DUMMYFUNCTION("""COMPUTED_VALUE"""),20000)</f>
        <v>20000</v>
      </c>
      <c r="L1533" s="8">
        <f ca="1">IFERROR(__xludf.DUMMYFUNCTION("""COMPUTED_VALUE"""),229.042601923957)</f>
        <v>229.04260192395699</v>
      </c>
      <c r="M1533" s="96">
        <f ca="1">IFERROR(__xludf.DUMMYFUNCTION("""COMPUTED_VALUE"""),44966)</f>
        <v>44966</v>
      </c>
      <c r="N1533" s="6" t="str">
        <f ca="1">IFERROR(__xludf.DUMMYFUNCTION("""COMPUTED_VALUE"""),"F10")</f>
        <v>F10</v>
      </c>
      <c r="O1533" s="97">
        <f ca="1">IFERROR(__xludf.DUMMYFUNCTION("""COMPUTED_VALUE"""),44966)</f>
        <v>44966</v>
      </c>
      <c r="P1533" s="6" t="str">
        <f ca="1">IFERROR(__xludf.DUMMYFUNCTION("""COMPUTED_VALUE"""),"CSTM_15WEKXDSTV4")</f>
        <v>CSTM_15WEKXDSTV4</v>
      </c>
      <c r="Q1533" s="6" t="str">
        <f ca="1">IFERROR(__xludf.DUMMYFUNCTION("""COMPUTED_VALUE"""),"Reference by Mihir - keerti1895@gmail.com")</f>
        <v>Reference by Mihir - keerti1895@gmail.com</v>
      </c>
      <c r="R1533" s="6" t="str">
        <f ca="1">IFERROR(__xludf.DUMMYFUNCTION("""COMPUTED_VALUE"""),"Pending")</f>
        <v>Pending</v>
      </c>
      <c r="S1533" s="6" t="str">
        <f ca="1">IFERROR(__xludf.DUMMYFUNCTION("""COMPUTED_VALUE"""),"Category")</f>
        <v>Category</v>
      </c>
      <c r="T1533" s="6"/>
      <c r="U1533" s="6"/>
      <c r="V1533" s="6"/>
      <c r="W1533" s="6"/>
      <c r="X1533" s="6"/>
      <c r="Y1533" s="6"/>
      <c r="Z1533" s="6"/>
      <c r="AA1533" s="6"/>
      <c r="AB1533" s="6"/>
      <c r="AC1533" s="6"/>
      <c r="AD1533" s="6"/>
      <c r="AE1533" s="6"/>
      <c r="AF1533" s="6"/>
      <c r="AG1533" s="6"/>
      <c r="AH1533" s="6"/>
      <c r="AI1533" s="6"/>
      <c r="AJ1533" s="6"/>
      <c r="AK1533" s="6"/>
      <c r="AL1533" s="6"/>
    </row>
    <row r="1534" spans="1:38">
      <c r="A1534" s="96">
        <f ca="1">IFERROR(__xludf.DUMMYFUNCTION("""COMPUTED_VALUE"""),44966)</f>
        <v>44966</v>
      </c>
      <c r="B1534" s="6" t="str">
        <f ca="1">IFERROR(__xludf.DUMMYFUNCTION("""COMPUTED_VALUE"""),"Arti Wagh")</f>
        <v>Arti Wagh</v>
      </c>
      <c r="C1534" s="6" t="str">
        <f ca="1">IFERROR(__xludf.DUMMYFUNCTION("""COMPUTED_VALUE"""),"arti.wagh@yahoo.com")</f>
        <v>arti.wagh@yahoo.com</v>
      </c>
      <c r="D1534" s="6">
        <f ca="1">IFERROR(__xludf.DUMMYFUNCTION("""COMPUTED_VALUE"""),9408350442)</f>
        <v>9408350442</v>
      </c>
      <c r="E1534" s="6" t="str">
        <f ca="1">IFERROR(__xludf.DUMMYFUNCTION("""COMPUTED_VALUE"""),"Chat_triggered")</f>
        <v>Chat_triggered</v>
      </c>
      <c r="F1534" s="6" t="str">
        <f ca="1">IFERROR(__xludf.DUMMYFUNCTION("""COMPUTED_VALUE"""),"PSM 2")</f>
        <v>PSM 2</v>
      </c>
      <c r="G1534" s="80">
        <f ca="1">IFERROR(__xludf.DUMMYFUNCTION("""COMPUTED_VALUE"""),44958)</f>
        <v>44958</v>
      </c>
      <c r="H1534" s="6" t="str">
        <f ca="1">IFERROR(__xludf.DUMMYFUNCTION("""COMPUTED_VALUE"""),"Opportunity")</f>
        <v>Opportunity</v>
      </c>
      <c r="I1534" s="6" t="str">
        <f ca="1">IFERROR(__xludf.DUMMYFUNCTION("""COMPUTED_VALUE"""),"11-12 Feb 2023")</f>
        <v>11-12 Feb 2023</v>
      </c>
      <c r="J1534" s="6">
        <f ca="1">IFERROR(__xludf.DUMMYFUNCTION("""COMPUTED_VALUE"""),1)</f>
        <v>1</v>
      </c>
      <c r="K1534" s="8">
        <f ca="1">IFERROR(__xludf.DUMMYFUNCTION("""COMPUTED_VALUE"""),24000)</f>
        <v>24000</v>
      </c>
      <c r="L1534" s="8">
        <f ca="1">IFERROR(__xludf.DUMMYFUNCTION("""COMPUTED_VALUE"""),274.851122308749)</f>
        <v>274.85112230874898</v>
      </c>
      <c r="M1534" s="96">
        <f ca="1">IFERROR(__xludf.DUMMYFUNCTION("""COMPUTED_VALUE"""),44966)</f>
        <v>44966</v>
      </c>
      <c r="N1534" s="6"/>
      <c r="O1534" s="97"/>
      <c r="P1534" s="6"/>
      <c r="Q1534" s="6"/>
      <c r="R1534" s="6"/>
      <c r="S1534" s="6" t="str">
        <f ca="1">IFERROR(__xludf.DUMMYFUNCTION("""COMPUTED_VALUE"""),"Category")</f>
        <v>Category</v>
      </c>
      <c r="T1534" s="6"/>
      <c r="U1534" s="6"/>
      <c r="V1534" s="6"/>
      <c r="W1534" s="6"/>
      <c r="X1534" s="6"/>
      <c r="Y1534" s="6"/>
      <c r="Z1534" s="6"/>
      <c r="AA1534" s="6"/>
      <c r="AB1534" s="6"/>
      <c r="AC1534" s="6"/>
      <c r="AD1534" s="6"/>
      <c r="AE1534" s="6"/>
      <c r="AF1534" s="6"/>
      <c r="AG1534" s="6"/>
      <c r="AH1534" s="6"/>
      <c r="AI1534" s="6"/>
      <c r="AJ1534" s="6"/>
      <c r="AK1534" s="6"/>
      <c r="AL1534" s="6"/>
    </row>
    <row r="1535" spans="1:38">
      <c r="A1535" s="96">
        <f ca="1">IFERROR(__xludf.DUMMYFUNCTION("""COMPUTED_VALUE"""),44966)</f>
        <v>44966</v>
      </c>
      <c r="B1535" s="6" t="str">
        <f ca="1">IFERROR(__xludf.DUMMYFUNCTION("""COMPUTED_VALUE"""),"Shailesh Junghare")</f>
        <v>Shailesh Junghare</v>
      </c>
      <c r="C1535" s="6" t="str">
        <f ca="1">IFERROR(__xludf.DUMMYFUNCTION("""COMPUTED_VALUE"""),"shaileshjunghare@yahoo.com")</f>
        <v>shaileshjunghare@yahoo.com</v>
      </c>
      <c r="D1535" s="6">
        <f ca="1">IFERROR(__xludf.DUMMYFUNCTION("""COMPUTED_VALUE"""),9890316215)</f>
        <v>9890316215</v>
      </c>
      <c r="E1535" s="6" t="str">
        <f ca="1">IFERROR(__xludf.DUMMYFUNCTION("""COMPUTED_VALUE"""),"Reference")</f>
        <v>Reference</v>
      </c>
      <c r="F1535" s="6" t="str">
        <f ca="1">IFERROR(__xludf.DUMMYFUNCTION("""COMPUTED_VALUE"""),"SAFe Agile")</f>
        <v>SAFe Agile</v>
      </c>
      <c r="G1535" s="80">
        <f ca="1">IFERROR(__xludf.DUMMYFUNCTION("""COMPUTED_VALUE"""),44958)</f>
        <v>44958</v>
      </c>
      <c r="H1535" s="6" t="str">
        <f ca="1">IFERROR(__xludf.DUMMYFUNCTION("""COMPUTED_VALUE"""),"Won")</f>
        <v>Won</v>
      </c>
      <c r="I1535" s="6" t="str">
        <f ca="1">IFERROR(__xludf.DUMMYFUNCTION("""COMPUTED_VALUE"""),"18-19 Feb 2023")</f>
        <v>18-19 Feb 2023</v>
      </c>
      <c r="J1535" s="6">
        <f ca="1">IFERROR(__xludf.DUMMYFUNCTION("""COMPUTED_VALUE"""),1)</f>
        <v>1</v>
      </c>
      <c r="K1535" s="8">
        <f ca="1">IFERROR(__xludf.DUMMYFUNCTION("""COMPUTED_VALUE"""),40061)</f>
        <v>40061</v>
      </c>
      <c r="L1535" s="8">
        <f ca="1">IFERROR(__xludf.DUMMYFUNCTION("""COMPUTED_VALUE"""),458.783783783783)</f>
        <v>458.78378378378301</v>
      </c>
      <c r="M1535" s="96">
        <f ca="1">IFERROR(__xludf.DUMMYFUNCTION("""COMPUTED_VALUE"""),44966)</f>
        <v>44966</v>
      </c>
      <c r="N1535" s="6" t="str">
        <f ca="1">IFERROR(__xludf.DUMMYFUNCTION("""COMPUTED_VALUE"""),"F10")</f>
        <v>F10</v>
      </c>
      <c r="O1535" s="97">
        <f ca="1">IFERROR(__xludf.DUMMYFUNCTION("""COMPUTED_VALUE"""),44966)</f>
        <v>44966</v>
      </c>
      <c r="P1535" s="6" t="str">
        <f ca="1">IFERROR(__xludf.DUMMYFUNCTION("""COMPUTED_VALUE"""),"CSTM_6T8Z11UQUEM")</f>
        <v>CSTM_6T8Z11UQUEM</v>
      </c>
      <c r="Q1535" s="6" t="str">
        <f ca="1">IFERROR(__xludf.DUMMYFUNCTION("""COMPUTED_VALUE"""),"Reference by Shailesh - pragyak491@gmail.com")</f>
        <v>Reference by Shailesh - pragyak491@gmail.com</v>
      </c>
      <c r="R1535" s="6" t="str">
        <f ca="1">IFERROR(__xludf.DUMMYFUNCTION("""COMPUTED_VALUE"""),"Pending")</f>
        <v>Pending</v>
      </c>
      <c r="S1535" s="6" t="str">
        <f ca="1">IFERROR(__xludf.DUMMYFUNCTION("""COMPUTED_VALUE"""),"SAFe")</f>
        <v>SAFe</v>
      </c>
      <c r="T1535" s="6"/>
      <c r="U1535" s="6"/>
      <c r="V1535" s="6"/>
      <c r="W1535" s="6"/>
      <c r="X1535" s="6"/>
      <c r="Y1535" s="6"/>
      <c r="Z1535" s="6"/>
      <c r="AA1535" s="6"/>
      <c r="AB1535" s="6"/>
      <c r="AC1535" s="6"/>
      <c r="AD1535" s="6"/>
      <c r="AE1535" s="6"/>
      <c r="AF1535" s="6"/>
      <c r="AG1535" s="6"/>
      <c r="AH1535" s="6"/>
      <c r="AI1535" s="6"/>
      <c r="AJ1535" s="6"/>
      <c r="AK1535" s="6"/>
      <c r="AL1535" s="6"/>
    </row>
    <row r="1536" spans="1:38">
      <c r="A1536" s="96">
        <f ca="1">IFERROR(__xludf.DUMMYFUNCTION("""COMPUTED_VALUE"""),44966)</f>
        <v>44966</v>
      </c>
      <c r="B1536" s="6" t="str">
        <f ca="1">IFERROR(__xludf.DUMMYFUNCTION("""COMPUTED_VALUE"""),"Arun Kumar Arumughan")</f>
        <v>Arun Kumar Arumughan</v>
      </c>
      <c r="C1536" s="6" t="str">
        <f ca="1">IFERROR(__xludf.DUMMYFUNCTION("""COMPUTED_VALUE"""),"athiaru18@gmail.com")</f>
        <v>athiaru18@gmail.com</v>
      </c>
      <c r="D1536" s="6">
        <f ca="1">IFERROR(__xludf.DUMMYFUNCTION("""COMPUTED_VALUE"""),9833241731)</f>
        <v>9833241731</v>
      </c>
      <c r="E1536" s="6" t="str">
        <f ca="1">IFERROR(__xludf.DUMMYFUNCTION("""COMPUTED_VALUE"""),"Reference")</f>
        <v>Reference</v>
      </c>
      <c r="F1536" s="6" t="str">
        <f ca="1">IFERROR(__xludf.DUMMYFUNCTION("""COMPUTED_VALUE"""),"PSM 2")</f>
        <v>PSM 2</v>
      </c>
      <c r="G1536" s="80">
        <f ca="1">IFERROR(__xludf.DUMMYFUNCTION("""COMPUTED_VALUE"""),44958)</f>
        <v>44958</v>
      </c>
      <c r="H1536" s="6" t="str">
        <f ca="1">IFERROR(__xludf.DUMMYFUNCTION("""COMPUTED_VALUE"""),"Won")</f>
        <v>Won</v>
      </c>
      <c r="I1536" s="6" t="str">
        <f ca="1">IFERROR(__xludf.DUMMYFUNCTION("""COMPUTED_VALUE"""),"11-12 Feb 2023")</f>
        <v>11-12 Feb 2023</v>
      </c>
      <c r="J1536" s="6">
        <f ca="1">IFERROR(__xludf.DUMMYFUNCTION("""COMPUTED_VALUE"""),1)</f>
        <v>1</v>
      </c>
      <c r="K1536" s="8">
        <f ca="1">IFERROR(__xludf.DUMMYFUNCTION("""COMPUTED_VALUE"""),24000)</f>
        <v>24000</v>
      </c>
      <c r="L1536" s="8">
        <f ca="1">IFERROR(__xludf.DUMMYFUNCTION("""COMPUTED_VALUE"""),274.851122308749)</f>
        <v>274.85112230874898</v>
      </c>
      <c r="M1536" s="96">
        <f ca="1">IFERROR(__xludf.DUMMYFUNCTION("""COMPUTED_VALUE"""),44966)</f>
        <v>44966</v>
      </c>
      <c r="N1536" s="6" t="str">
        <f ca="1">IFERROR(__xludf.DUMMYFUNCTION("""COMPUTED_VALUE"""),"F10")</f>
        <v>F10</v>
      </c>
      <c r="O1536" s="97">
        <f ca="1">IFERROR(__xludf.DUMMYFUNCTION("""COMPUTED_VALUE"""),44966)</f>
        <v>44966</v>
      </c>
      <c r="P1536" s="6" t="str">
        <f ca="1">IFERROR(__xludf.DUMMYFUNCTION("""COMPUTED_VALUE"""),"CSTM_6KYFFT7K3A7")</f>
        <v>CSTM_6KYFFT7K3A7</v>
      </c>
      <c r="Q1536" s="6" t="str">
        <f ca="1">IFERROR(__xludf.DUMMYFUNCTION("""COMPUTED_VALUE"""),"Reference by arunkumar.arumughan@gmail.com")</f>
        <v>Reference by arunkumar.arumughan@gmail.com</v>
      </c>
      <c r="R1536" s="6" t="str">
        <f ca="1">IFERROR(__xludf.DUMMYFUNCTION("""COMPUTED_VALUE"""),"Pending")</f>
        <v>Pending</v>
      </c>
      <c r="S1536" s="6" t="str">
        <f ca="1">IFERROR(__xludf.DUMMYFUNCTION("""COMPUTED_VALUE"""),"Category")</f>
        <v>Category</v>
      </c>
      <c r="T1536" s="6"/>
      <c r="U1536" s="6"/>
      <c r="V1536" s="6"/>
      <c r="W1536" s="6"/>
      <c r="X1536" s="6"/>
      <c r="Y1536" s="6"/>
      <c r="Z1536" s="6"/>
      <c r="AA1536" s="6"/>
      <c r="AB1536" s="6"/>
      <c r="AC1536" s="6"/>
      <c r="AD1536" s="6"/>
      <c r="AE1536" s="6"/>
      <c r="AF1536" s="6"/>
      <c r="AG1536" s="6"/>
      <c r="AH1536" s="6"/>
      <c r="AI1536" s="6"/>
      <c r="AJ1536" s="6"/>
      <c r="AK1536" s="6"/>
      <c r="AL1536" s="6"/>
    </row>
    <row r="1537" spans="1:38">
      <c r="A1537" s="96">
        <f ca="1">IFERROR(__xludf.DUMMYFUNCTION("""COMPUTED_VALUE"""),44966)</f>
        <v>44966</v>
      </c>
      <c r="B1537" s="6" t="str">
        <f ca="1">IFERROR(__xludf.DUMMYFUNCTION("""COMPUTED_VALUE"""),"Vipin Tripathi")</f>
        <v>Vipin Tripathi</v>
      </c>
      <c r="C1537" s="6" t="str">
        <f ca="1">IFERROR(__xludf.DUMMYFUNCTION("""COMPUTED_VALUE"""),"vipin.tripathi@tcs.com")</f>
        <v>vipin.tripathi@tcs.com</v>
      </c>
      <c r="D1537" s="6">
        <f ca="1">IFERROR(__xludf.DUMMYFUNCTION("""COMPUTED_VALUE"""),9819908183)</f>
        <v>9819908183</v>
      </c>
      <c r="E1537" s="6" t="str">
        <f ca="1">IFERROR(__xludf.DUMMYFUNCTION("""COMPUTED_VALUE"""),"Reference")</f>
        <v>Reference</v>
      </c>
      <c r="F1537" s="6" t="str">
        <f ca="1">IFERROR(__xludf.DUMMYFUNCTION("""COMPUTED_VALUE"""),"PSPO")</f>
        <v>PSPO</v>
      </c>
      <c r="G1537" s="80">
        <f ca="1">IFERROR(__xludf.DUMMYFUNCTION("""COMPUTED_VALUE"""),44958)</f>
        <v>44958</v>
      </c>
      <c r="H1537" s="6" t="str">
        <f ca="1">IFERROR(__xludf.DUMMYFUNCTION("""COMPUTED_VALUE"""),"Won")</f>
        <v>Won</v>
      </c>
      <c r="I1537" s="6" t="str">
        <f ca="1">IFERROR(__xludf.DUMMYFUNCTION("""COMPUTED_VALUE"""),"18-19 Feb 2023")</f>
        <v>18-19 Feb 2023</v>
      </c>
      <c r="J1537" s="6">
        <f ca="1">IFERROR(__xludf.DUMMYFUNCTION("""COMPUTED_VALUE"""),1)</f>
        <v>1</v>
      </c>
      <c r="K1537" s="8">
        <f ca="1">IFERROR(__xludf.DUMMYFUNCTION("""COMPUTED_VALUE"""),21000)</f>
        <v>21000</v>
      </c>
      <c r="L1537" s="8">
        <f ca="1">IFERROR(__xludf.DUMMYFUNCTION("""COMPUTED_VALUE"""),240.494732020155)</f>
        <v>240.494732020155</v>
      </c>
      <c r="M1537" s="96">
        <f ca="1">IFERROR(__xludf.DUMMYFUNCTION("""COMPUTED_VALUE"""),44966)</f>
        <v>44966</v>
      </c>
      <c r="N1537" s="6" t="str">
        <f ca="1">IFERROR(__xludf.DUMMYFUNCTION("""COMPUTED_VALUE"""),"F10")</f>
        <v>F10</v>
      </c>
      <c r="O1537" s="97">
        <f ca="1">IFERROR(__xludf.DUMMYFUNCTION("""COMPUTED_VALUE"""),44966)</f>
        <v>44966</v>
      </c>
      <c r="P1537" s="6" t="str">
        <f ca="1">IFERROR(__xludf.DUMMYFUNCTION("""COMPUTED_VALUE"""),"CSTM_FRK8LN8N2Y")</f>
        <v>CSTM_FRK8LN8N2Y</v>
      </c>
      <c r="Q1537" s="6" t="str">
        <f ca="1">IFERROR(__xludf.DUMMYFUNCTION("""COMPUTED_VALUE"""),"Reference by samir_nov122002@yahoo.co.in")</f>
        <v>Reference by samir_nov122002@yahoo.co.in</v>
      </c>
      <c r="R1537" s="6" t="str">
        <f ca="1">IFERROR(__xludf.DUMMYFUNCTION("""COMPUTED_VALUE"""),"Pending")</f>
        <v>Pending</v>
      </c>
      <c r="S1537" s="6" t="str">
        <f ca="1">IFERROR(__xludf.DUMMYFUNCTION("""COMPUTED_VALUE"""),"Category")</f>
        <v>Category</v>
      </c>
      <c r="T1537" s="6"/>
      <c r="U1537" s="6"/>
      <c r="V1537" s="6"/>
      <c r="W1537" s="6"/>
      <c r="X1537" s="6"/>
      <c r="Y1537" s="6"/>
      <c r="Z1537" s="6"/>
      <c r="AA1537" s="6"/>
      <c r="AB1537" s="6"/>
      <c r="AC1537" s="6"/>
      <c r="AD1537" s="6"/>
      <c r="AE1537" s="6"/>
      <c r="AF1537" s="6"/>
      <c r="AG1537" s="6"/>
      <c r="AH1537" s="6"/>
      <c r="AI1537" s="6"/>
      <c r="AJ1537" s="6"/>
      <c r="AK1537" s="6"/>
      <c r="AL1537" s="6"/>
    </row>
    <row r="1538" spans="1:38">
      <c r="A1538" s="96">
        <f ca="1">IFERROR(__xludf.DUMMYFUNCTION("""COMPUTED_VALUE"""),44967)</f>
        <v>44967</v>
      </c>
      <c r="B1538" s="6" t="str">
        <f ca="1">IFERROR(__xludf.DUMMYFUNCTION("""COMPUTED_VALUE"""),"Prashant Saduwale")</f>
        <v>Prashant Saduwale</v>
      </c>
      <c r="C1538" s="6" t="str">
        <f ca="1">IFERROR(__xludf.DUMMYFUNCTION("""COMPUTED_VALUE"""),"psaduwale@gmail.com")</f>
        <v>psaduwale@gmail.com</v>
      </c>
      <c r="D1538" s="6">
        <f ca="1">IFERROR(__xludf.DUMMYFUNCTION("""COMPUTED_VALUE"""),9975622681)</f>
        <v>9975622681</v>
      </c>
      <c r="E1538" s="6" t="str">
        <f ca="1">IFERROR(__xludf.DUMMYFUNCTION("""COMPUTED_VALUE"""),"Existing Account")</f>
        <v>Existing Account</v>
      </c>
      <c r="F1538" s="6" t="str">
        <f ca="1">IFERROR(__xludf.DUMMYFUNCTION("""COMPUTED_VALUE"""),"PSM 2")</f>
        <v>PSM 2</v>
      </c>
      <c r="G1538" s="80">
        <f ca="1">IFERROR(__xludf.DUMMYFUNCTION("""COMPUTED_VALUE"""),44958)</f>
        <v>44958</v>
      </c>
      <c r="H1538" s="6" t="str">
        <f ca="1">IFERROR(__xludf.DUMMYFUNCTION("""COMPUTED_VALUE"""),"Opportunity")</f>
        <v>Opportunity</v>
      </c>
      <c r="I1538" s="6" t="str">
        <f ca="1">IFERROR(__xludf.DUMMYFUNCTION("""COMPUTED_VALUE"""),"11-12 Feb 2023")</f>
        <v>11-12 Feb 2023</v>
      </c>
      <c r="J1538" s="6">
        <f ca="1">IFERROR(__xludf.DUMMYFUNCTION("""COMPUTED_VALUE"""),1)</f>
        <v>1</v>
      </c>
      <c r="K1538" s="8">
        <f ca="1">IFERROR(__xludf.DUMMYFUNCTION("""COMPUTED_VALUE"""),24000)</f>
        <v>24000</v>
      </c>
      <c r="L1538" s="8">
        <f ca="1">IFERROR(__xludf.DUMMYFUNCTION("""COMPUTED_VALUE"""),274.851122308749)</f>
        <v>274.85112230874898</v>
      </c>
      <c r="M1538" s="96">
        <f ca="1">IFERROR(__xludf.DUMMYFUNCTION("""COMPUTED_VALUE"""),44967)</f>
        <v>44967</v>
      </c>
      <c r="N1538" s="6"/>
      <c r="O1538" s="97"/>
      <c r="P1538" s="6"/>
      <c r="Q1538" s="6"/>
      <c r="R1538" s="6"/>
      <c r="S1538" s="6" t="str">
        <f ca="1">IFERROR(__xludf.DUMMYFUNCTION("""COMPUTED_VALUE"""),"Category")</f>
        <v>Category</v>
      </c>
      <c r="T1538" s="6"/>
      <c r="U1538" s="6"/>
      <c r="V1538" s="6"/>
      <c r="W1538" s="6"/>
      <c r="X1538" s="6"/>
      <c r="Y1538" s="6"/>
      <c r="Z1538" s="6"/>
      <c r="AA1538" s="6"/>
      <c r="AB1538" s="6"/>
      <c r="AC1538" s="6"/>
      <c r="AD1538" s="6"/>
      <c r="AE1538" s="6"/>
      <c r="AF1538" s="6"/>
      <c r="AG1538" s="6"/>
      <c r="AH1538" s="6"/>
      <c r="AI1538" s="6"/>
      <c r="AJ1538" s="6"/>
      <c r="AK1538" s="6"/>
      <c r="AL1538" s="6"/>
    </row>
    <row r="1539" spans="1:38">
      <c r="A1539" s="96">
        <f ca="1">IFERROR(__xludf.DUMMYFUNCTION("""COMPUTED_VALUE"""),44966)</f>
        <v>44966</v>
      </c>
      <c r="B1539" s="6" t="str">
        <f ca="1">IFERROR(__xludf.DUMMYFUNCTION("""COMPUTED_VALUE"""),"Vipin Tripathi")</f>
        <v>Vipin Tripathi</v>
      </c>
      <c r="C1539" s="6" t="str">
        <f ca="1">IFERROR(__xludf.DUMMYFUNCTION("""COMPUTED_VALUE"""),"vipin.tripathi@tcs.com")</f>
        <v>vipin.tripathi@tcs.com</v>
      </c>
      <c r="D1539" s="6">
        <f ca="1">IFERROR(__xludf.DUMMYFUNCTION("""COMPUTED_VALUE"""),9819908183)</f>
        <v>9819908183</v>
      </c>
      <c r="E1539" s="6" t="str">
        <f ca="1">IFERROR(__xludf.DUMMYFUNCTION("""COMPUTED_VALUE"""),"Reference")</f>
        <v>Reference</v>
      </c>
      <c r="F1539" s="6" t="str">
        <f ca="1">IFERROR(__xludf.DUMMYFUNCTION("""COMPUTED_VALUE"""),"PSPO")</f>
        <v>PSPO</v>
      </c>
      <c r="G1539" s="80">
        <f ca="1">IFERROR(__xludf.DUMMYFUNCTION("""COMPUTED_VALUE"""),44958)</f>
        <v>44958</v>
      </c>
      <c r="H1539" s="6" t="str">
        <f ca="1">IFERROR(__xludf.DUMMYFUNCTION("""COMPUTED_VALUE"""),"Won")</f>
        <v>Won</v>
      </c>
      <c r="I1539" s="6" t="str">
        <f ca="1">IFERROR(__xludf.DUMMYFUNCTION("""COMPUTED_VALUE"""),"18-19 Feb 2023")</f>
        <v>18-19 Feb 2023</v>
      </c>
      <c r="J1539" s="6">
        <f ca="1">IFERROR(__xludf.DUMMYFUNCTION("""COMPUTED_VALUE"""),1)</f>
        <v>1</v>
      </c>
      <c r="K1539" s="8">
        <f ca="1">IFERROR(__xludf.DUMMYFUNCTION("""COMPUTED_VALUE"""),21000)</f>
        <v>21000</v>
      </c>
      <c r="L1539" s="8">
        <f ca="1">IFERROR(__xludf.DUMMYFUNCTION("""COMPUTED_VALUE"""),240.494732020155)</f>
        <v>240.494732020155</v>
      </c>
      <c r="M1539" s="96">
        <f ca="1">IFERROR(__xludf.DUMMYFUNCTION("""COMPUTED_VALUE"""),44966)</f>
        <v>44966</v>
      </c>
      <c r="N1539" s="6" t="str">
        <f ca="1">IFERROR(__xludf.DUMMYFUNCTION("""COMPUTED_VALUE"""),"F10")</f>
        <v>F10</v>
      </c>
      <c r="O1539" s="97">
        <f ca="1">IFERROR(__xludf.DUMMYFUNCTION("""COMPUTED_VALUE"""),44966)</f>
        <v>44966</v>
      </c>
      <c r="P1539" s="6" t="str">
        <f ca="1">IFERROR(__xludf.DUMMYFUNCTION("""COMPUTED_VALUE"""),"CSTM_FRK8LN8N2Y")</f>
        <v>CSTM_FRK8LN8N2Y</v>
      </c>
      <c r="Q1539" s="6" t="str">
        <f ca="1">IFERROR(__xludf.DUMMYFUNCTION("""COMPUTED_VALUE"""),"Reference by samir_nov122002@yahoo.co.in")</f>
        <v>Reference by samir_nov122002@yahoo.co.in</v>
      </c>
      <c r="R1539" s="6" t="str">
        <f ca="1">IFERROR(__xludf.DUMMYFUNCTION("""COMPUTED_VALUE"""),"Pending")</f>
        <v>Pending</v>
      </c>
      <c r="S1539" s="6" t="str">
        <f ca="1">IFERROR(__xludf.DUMMYFUNCTION("""COMPUTED_VALUE"""),"Category")</f>
        <v>Category</v>
      </c>
      <c r="T1539" s="6"/>
      <c r="U1539" s="6"/>
      <c r="V1539" s="6"/>
      <c r="W1539" s="6"/>
      <c r="X1539" s="6"/>
      <c r="Y1539" s="6"/>
      <c r="Z1539" s="6"/>
      <c r="AA1539" s="6"/>
      <c r="AB1539" s="6"/>
      <c r="AC1539" s="6"/>
      <c r="AD1539" s="6"/>
      <c r="AE1539" s="6"/>
      <c r="AF1539" s="6"/>
      <c r="AG1539" s="6"/>
      <c r="AH1539" s="6"/>
      <c r="AI1539" s="6"/>
      <c r="AJ1539" s="6"/>
      <c r="AK1539" s="6"/>
      <c r="AL1539" s="6"/>
    </row>
    <row r="1540" spans="1:38">
      <c r="A1540" s="96">
        <f ca="1">IFERROR(__xludf.DUMMYFUNCTION("""COMPUTED_VALUE"""),44967)</f>
        <v>44967</v>
      </c>
      <c r="B1540" s="6" t="str">
        <f ca="1">IFERROR(__xludf.DUMMYFUNCTION("""COMPUTED_VALUE"""),"Prashant Saduwale")</f>
        <v>Prashant Saduwale</v>
      </c>
      <c r="C1540" s="6" t="str">
        <f ca="1">IFERROR(__xludf.DUMMYFUNCTION("""COMPUTED_VALUE"""),"psaduwale@gmail.com")</f>
        <v>psaduwale@gmail.com</v>
      </c>
      <c r="D1540" s="6">
        <f ca="1">IFERROR(__xludf.DUMMYFUNCTION("""COMPUTED_VALUE"""),9975622681)</f>
        <v>9975622681</v>
      </c>
      <c r="E1540" s="6" t="str">
        <f ca="1">IFERROR(__xludf.DUMMYFUNCTION("""COMPUTED_VALUE"""),"Existing Account")</f>
        <v>Existing Account</v>
      </c>
      <c r="F1540" s="6" t="str">
        <f ca="1">IFERROR(__xludf.DUMMYFUNCTION("""COMPUTED_VALUE"""),"PSM 2")</f>
        <v>PSM 2</v>
      </c>
      <c r="G1540" s="80">
        <f ca="1">IFERROR(__xludf.DUMMYFUNCTION("""COMPUTED_VALUE"""),44958)</f>
        <v>44958</v>
      </c>
      <c r="H1540" s="6" t="str">
        <f ca="1">IFERROR(__xludf.DUMMYFUNCTION("""COMPUTED_VALUE"""),"Won")</f>
        <v>Won</v>
      </c>
      <c r="I1540" s="6" t="str">
        <f ca="1">IFERROR(__xludf.DUMMYFUNCTION("""COMPUTED_VALUE"""),"25-26 Feb 2023")</f>
        <v>25-26 Feb 2023</v>
      </c>
      <c r="J1540" s="6">
        <f ca="1">IFERROR(__xludf.DUMMYFUNCTION("""COMPUTED_VALUE"""),1)</f>
        <v>1</v>
      </c>
      <c r="K1540" s="8">
        <f ca="1">IFERROR(__xludf.DUMMYFUNCTION("""COMPUTED_VALUE"""),24000)</f>
        <v>24000</v>
      </c>
      <c r="L1540" s="8">
        <f ca="1">IFERROR(__xludf.DUMMYFUNCTION("""COMPUTED_VALUE"""),274.851122308749)</f>
        <v>274.85112230874898</v>
      </c>
      <c r="M1540" s="96">
        <f ca="1">IFERROR(__xludf.DUMMYFUNCTION("""COMPUTED_VALUE"""),44967)</f>
        <v>44967</v>
      </c>
      <c r="N1540" s="6" t="str">
        <f ca="1">IFERROR(__xludf.DUMMYFUNCTION("""COMPUTED_VALUE"""),"S10")</f>
        <v>S10</v>
      </c>
      <c r="O1540" s="97">
        <f ca="1">IFERROR(__xludf.DUMMYFUNCTION("""COMPUTED_VALUE"""),44968)</f>
        <v>44968</v>
      </c>
      <c r="P1540" s="6" t="str">
        <f ca="1">IFERROR(__xludf.DUMMYFUNCTION("""COMPUTED_VALUE"""),"CSTM_7EOO07T0745")</f>
        <v>CSTM_7EOO07T0745</v>
      </c>
      <c r="Q1540" s="6"/>
      <c r="R1540" s="6" t="str">
        <f ca="1">IFERROR(__xludf.DUMMYFUNCTION("""COMPUTED_VALUE"""),"Pending")</f>
        <v>Pending</v>
      </c>
      <c r="S1540" s="6" t="str">
        <f ca="1">IFERROR(__xludf.DUMMYFUNCTION("""COMPUTED_VALUE"""),"Category")</f>
        <v>Category</v>
      </c>
      <c r="T1540" s="6"/>
      <c r="U1540" s="6"/>
      <c r="V1540" s="6"/>
      <c r="W1540" s="6"/>
      <c r="X1540" s="6"/>
      <c r="Y1540" s="6"/>
      <c r="Z1540" s="6"/>
      <c r="AA1540" s="6"/>
      <c r="AB1540" s="6"/>
      <c r="AC1540" s="6"/>
      <c r="AD1540" s="6"/>
      <c r="AE1540" s="6"/>
      <c r="AF1540" s="6"/>
      <c r="AG1540" s="6"/>
      <c r="AH1540" s="6"/>
      <c r="AI1540" s="6"/>
      <c r="AJ1540" s="6"/>
      <c r="AK1540" s="6"/>
      <c r="AL1540" s="6"/>
    </row>
    <row r="1541" spans="1:38">
      <c r="A1541" s="96">
        <f ca="1">IFERROR(__xludf.DUMMYFUNCTION("""COMPUTED_VALUE"""),44968)</f>
        <v>44968</v>
      </c>
      <c r="B1541" s="6" t="str">
        <f ca="1">IFERROR(__xludf.DUMMYFUNCTION("""COMPUTED_VALUE"""),"Sunil Kumar")</f>
        <v>Sunil Kumar</v>
      </c>
      <c r="C1541" s="6" t="str">
        <f ca="1">IFERROR(__xludf.DUMMYFUNCTION("""COMPUTED_VALUE"""),"ricardo.sunilkumar03@gmail.com")</f>
        <v>ricardo.sunilkumar03@gmail.com</v>
      </c>
      <c r="D1541" s="6">
        <f ca="1">IFERROR(__xludf.DUMMYFUNCTION("""COMPUTED_VALUE"""),8892582401)</f>
        <v>8892582401</v>
      </c>
      <c r="E1541" s="6" t="str">
        <f ca="1">IFERROR(__xludf.DUMMYFUNCTION("""COMPUTED_VALUE"""),"Existing Account")</f>
        <v>Existing Account</v>
      </c>
      <c r="F1541" s="6" t="str">
        <f ca="1">IFERROR(__xludf.DUMMYFUNCTION("""COMPUTED_VALUE"""),"PSM 2")</f>
        <v>PSM 2</v>
      </c>
      <c r="G1541" s="80">
        <f ca="1">IFERROR(__xludf.DUMMYFUNCTION("""COMPUTED_VALUE"""),44958)</f>
        <v>44958</v>
      </c>
      <c r="H1541" s="6" t="str">
        <f ca="1">IFERROR(__xludf.DUMMYFUNCTION("""COMPUTED_VALUE"""),"Won")</f>
        <v>Won</v>
      </c>
      <c r="I1541" s="6" t="str">
        <f ca="1">IFERROR(__xludf.DUMMYFUNCTION("""COMPUTED_VALUE"""),"25-26 Feb 2023")</f>
        <v>25-26 Feb 2023</v>
      </c>
      <c r="J1541" s="6">
        <f ca="1">IFERROR(__xludf.DUMMYFUNCTION("""COMPUTED_VALUE"""),1)</f>
        <v>1</v>
      </c>
      <c r="K1541" s="8">
        <f ca="1">IFERROR(__xludf.DUMMYFUNCTION("""COMPUTED_VALUE"""),24000)</f>
        <v>24000</v>
      </c>
      <c r="L1541" s="8">
        <f ca="1">IFERROR(__xludf.DUMMYFUNCTION("""COMPUTED_VALUE"""),274.851122308749)</f>
        <v>274.85112230874898</v>
      </c>
      <c r="M1541" s="96">
        <f ca="1">IFERROR(__xludf.DUMMYFUNCTION("""COMPUTED_VALUE"""),44968)</f>
        <v>44968</v>
      </c>
      <c r="N1541" s="6" t="str">
        <f ca="1">IFERROR(__xludf.DUMMYFUNCTION("""COMPUTED_VALUE"""),"S10")</f>
        <v>S10</v>
      </c>
      <c r="O1541" s="97">
        <f ca="1">IFERROR(__xludf.DUMMYFUNCTION("""COMPUTED_VALUE"""),44968)</f>
        <v>44968</v>
      </c>
      <c r="P1541" s="6" t="str">
        <f ca="1">IFERROR(__xludf.DUMMYFUNCTION("""COMPUTED_VALUE"""),"CSTM_FSDO7HJFE5A")</f>
        <v>CSTM_FSDO7HJFE5A</v>
      </c>
      <c r="Q1541" s="6"/>
      <c r="R1541" s="6" t="str">
        <f ca="1">IFERROR(__xludf.DUMMYFUNCTION("""COMPUTED_VALUE"""),"Pending")</f>
        <v>Pending</v>
      </c>
      <c r="S1541" s="6" t="str">
        <f ca="1">IFERROR(__xludf.DUMMYFUNCTION("""COMPUTED_VALUE"""),"Category")</f>
        <v>Category</v>
      </c>
      <c r="T1541" s="6"/>
      <c r="U1541" s="6"/>
      <c r="V1541" s="6"/>
      <c r="W1541" s="6"/>
      <c r="X1541" s="6"/>
      <c r="Y1541" s="6"/>
      <c r="Z1541" s="6"/>
      <c r="AA1541" s="6"/>
      <c r="AB1541" s="6"/>
      <c r="AC1541" s="6"/>
      <c r="AD1541" s="6"/>
      <c r="AE1541" s="6"/>
      <c r="AF1541" s="6"/>
      <c r="AG1541" s="6"/>
      <c r="AH1541" s="6"/>
      <c r="AI1541" s="6"/>
      <c r="AJ1541" s="6"/>
      <c r="AK1541" s="6"/>
      <c r="AL1541" s="6"/>
    </row>
    <row r="1542" spans="1:38">
      <c r="A1542" s="96">
        <f ca="1">IFERROR(__xludf.DUMMYFUNCTION("""COMPUTED_VALUE"""),44970)</f>
        <v>44970</v>
      </c>
      <c r="B1542" s="6" t="str">
        <f ca="1">IFERROR(__xludf.DUMMYFUNCTION("""COMPUTED_VALUE"""),"Hari Krishna")</f>
        <v>Hari Krishna</v>
      </c>
      <c r="C1542" s="6" t="str">
        <f ca="1">IFERROR(__xludf.DUMMYFUNCTION("""COMPUTED_VALUE"""),"harikrishna1014@gmail.com")</f>
        <v>harikrishna1014@gmail.com</v>
      </c>
      <c r="D1542" s="6">
        <f ca="1">IFERROR(__xludf.DUMMYFUNCTION("""COMPUTED_VALUE"""),9561118831)</f>
        <v>9561118831</v>
      </c>
      <c r="E1542" s="6" t="str">
        <f ca="1">IFERROR(__xludf.DUMMYFUNCTION("""COMPUTED_VALUE"""),"course agenda")</f>
        <v>course agenda</v>
      </c>
      <c r="F1542" s="6" t="str">
        <f ca="1">IFERROR(__xludf.DUMMYFUNCTION("""COMPUTED_VALUE"""),"PSPO")</f>
        <v>PSPO</v>
      </c>
      <c r="G1542" s="80">
        <f ca="1">IFERROR(__xludf.DUMMYFUNCTION("""COMPUTED_VALUE"""),44958)</f>
        <v>44958</v>
      </c>
      <c r="H1542" s="6" t="str">
        <f ca="1">IFERROR(__xludf.DUMMYFUNCTION("""COMPUTED_VALUE"""),"Won")</f>
        <v>Won</v>
      </c>
      <c r="I1542" s="6" t="str">
        <f ca="1">IFERROR(__xludf.DUMMYFUNCTION("""COMPUTED_VALUE"""),"18-19 Feb 2023")</f>
        <v>18-19 Feb 2023</v>
      </c>
      <c r="J1542" s="6">
        <f ca="1">IFERROR(__xludf.DUMMYFUNCTION("""COMPUTED_VALUE"""),1)</f>
        <v>1</v>
      </c>
      <c r="K1542" s="8">
        <f ca="1">IFERROR(__xludf.DUMMYFUNCTION("""COMPUTED_VALUE"""),21000)</f>
        <v>21000</v>
      </c>
      <c r="L1542" s="8">
        <f ca="1">IFERROR(__xludf.DUMMYFUNCTION("""COMPUTED_VALUE"""),240.494732020155)</f>
        <v>240.494732020155</v>
      </c>
      <c r="M1542" s="96">
        <f ca="1">IFERROR(__xludf.DUMMYFUNCTION("""COMPUTED_VALUE"""),44970)</f>
        <v>44970</v>
      </c>
      <c r="N1542" s="6" t="str">
        <f ca="1">IFERROR(__xludf.DUMMYFUNCTION("""COMPUTED_VALUE"""),"S10")</f>
        <v>S10</v>
      </c>
      <c r="O1542" s="97">
        <f ca="1">IFERROR(__xludf.DUMMYFUNCTION("""COMPUTED_VALUE"""),44970)</f>
        <v>44970</v>
      </c>
      <c r="P1542" s="6" t="str">
        <f ca="1">IFERROR(__xludf.DUMMYFUNCTION("""COMPUTED_VALUE"""),"CSTM_9XT57VRKBZ3")</f>
        <v>CSTM_9XT57VRKBZ3</v>
      </c>
      <c r="Q1542" s="6"/>
      <c r="R1542" s="6" t="str">
        <f ca="1">IFERROR(__xludf.DUMMYFUNCTION("""COMPUTED_VALUE"""),"Pending")</f>
        <v>Pending</v>
      </c>
      <c r="S1542" s="6" t="str">
        <f ca="1">IFERROR(__xludf.DUMMYFUNCTION("""COMPUTED_VALUE"""),"Category")</f>
        <v>Category</v>
      </c>
      <c r="T1542" s="6"/>
      <c r="U1542" s="6"/>
      <c r="V1542" s="6"/>
      <c r="W1542" s="6"/>
      <c r="X1542" s="6"/>
      <c r="Y1542" s="6"/>
      <c r="Z1542" s="6"/>
      <c r="AA1542" s="6"/>
      <c r="AB1542" s="6"/>
      <c r="AC1542" s="6"/>
      <c r="AD1542" s="6"/>
      <c r="AE1542" s="6"/>
      <c r="AF1542" s="6"/>
      <c r="AG1542" s="6"/>
      <c r="AH1542" s="6"/>
      <c r="AI1542" s="6"/>
      <c r="AJ1542" s="6"/>
      <c r="AK1542" s="6"/>
      <c r="AL1542" s="6"/>
    </row>
    <row r="1543" spans="1:38">
      <c r="A1543" s="96">
        <f ca="1">IFERROR(__xludf.DUMMYFUNCTION("""COMPUTED_VALUE"""),44970)</f>
        <v>44970</v>
      </c>
      <c r="B1543" s="6" t="str">
        <f ca="1">IFERROR(__xludf.DUMMYFUNCTION("""COMPUTED_VALUE"""),"Sachin Prasanna")</f>
        <v>Sachin Prasanna</v>
      </c>
      <c r="C1543" s="6" t="str">
        <f ca="1">IFERROR(__xludf.DUMMYFUNCTION("""COMPUTED_VALUE"""),"sachinprasanna@gmail.com")</f>
        <v>sachinprasanna@gmail.com</v>
      </c>
      <c r="D1543" s="6">
        <f ca="1">IFERROR(__xludf.DUMMYFUNCTION("""COMPUTED_VALUE"""),9840180381)</f>
        <v>9840180381</v>
      </c>
      <c r="E1543" s="6" t="str">
        <f ca="1">IFERROR(__xludf.DUMMYFUNCTION("""COMPUTED_VALUE"""),"Query box")</f>
        <v>Query box</v>
      </c>
      <c r="F1543" s="6" t="str">
        <f ca="1">IFERROR(__xludf.DUMMYFUNCTION("""COMPUTED_VALUE"""),"PSM")</f>
        <v>PSM</v>
      </c>
      <c r="G1543" s="80">
        <f ca="1">IFERROR(__xludf.DUMMYFUNCTION("""COMPUTED_VALUE"""),44958)</f>
        <v>44958</v>
      </c>
      <c r="H1543" s="6" t="str">
        <f ca="1">IFERROR(__xludf.DUMMYFUNCTION("""COMPUTED_VALUE"""),"Won")</f>
        <v>Won</v>
      </c>
      <c r="I1543" s="6" t="str">
        <f ca="1">IFERROR(__xludf.DUMMYFUNCTION("""COMPUTED_VALUE"""),"18-19 Feb 2023")</f>
        <v>18-19 Feb 2023</v>
      </c>
      <c r="J1543" s="6">
        <f ca="1">IFERROR(__xludf.DUMMYFUNCTION("""COMPUTED_VALUE"""),1)</f>
        <v>1</v>
      </c>
      <c r="K1543" s="8">
        <f ca="1">IFERROR(__xludf.DUMMYFUNCTION("""COMPUTED_VALUE"""),21000)</f>
        <v>21000</v>
      </c>
      <c r="L1543" s="8">
        <f ca="1">IFERROR(__xludf.DUMMYFUNCTION("""COMPUTED_VALUE"""),240.494732020155)</f>
        <v>240.494732020155</v>
      </c>
      <c r="M1543" s="96">
        <f ca="1">IFERROR(__xludf.DUMMYFUNCTION("""COMPUTED_VALUE"""),44970)</f>
        <v>44970</v>
      </c>
      <c r="N1543" s="6" t="str">
        <f ca="1">IFERROR(__xludf.DUMMYFUNCTION("""COMPUTED_VALUE"""),"S10")</f>
        <v>S10</v>
      </c>
      <c r="O1543" s="97">
        <f ca="1">IFERROR(__xludf.DUMMYFUNCTION("""COMPUTED_VALUE"""),44970)</f>
        <v>44970</v>
      </c>
      <c r="P1543" s="6" t="str">
        <f ca="1">IFERROR(__xludf.DUMMYFUNCTION("""COMPUTED_VALUE"""),"CSTM_74XI9B2IVBW")</f>
        <v>CSTM_74XI9B2IVBW</v>
      </c>
      <c r="Q1543" s="6"/>
      <c r="R1543" s="6" t="str">
        <f ca="1">IFERROR(__xludf.DUMMYFUNCTION("""COMPUTED_VALUE"""),"Pending")</f>
        <v>Pending</v>
      </c>
      <c r="S1543" s="6" t="str">
        <f ca="1">IFERROR(__xludf.DUMMYFUNCTION("""COMPUTED_VALUE"""),"Category")</f>
        <v>Category</v>
      </c>
      <c r="T1543" s="6"/>
      <c r="U1543" s="6"/>
      <c r="V1543" s="6"/>
      <c r="W1543" s="6"/>
      <c r="X1543" s="6"/>
      <c r="Y1543" s="6"/>
      <c r="Z1543" s="6"/>
      <c r="AA1543" s="6"/>
      <c r="AB1543" s="6"/>
      <c r="AC1543" s="6"/>
      <c r="AD1543" s="6"/>
      <c r="AE1543" s="6"/>
      <c r="AF1543" s="6"/>
      <c r="AG1543" s="6"/>
      <c r="AH1543" s="6"/>
      <c r="AI1543" s="6"/>
      <c r="AJ1543" s="6"/>
      <c r="AK1543" s="6"/>
      <c r="AL1543" s="6"/>
    </row>
    <row r="1544" spans="1:38">
      <c r="A1544" s="96">
        <f ca="1">IFERROR(__xludf.DUMMYFUNCTION("""COMPUTED_VALUE"""),44970)</f>
        <v>44970</v>
      </c>
      <c r="B1544" s="6" t="str">
        <f ca="1">IFERROR(__xludf.DUMMYFUNCTION("""COMPUTED_VALUE"""),"Geetha")</f>
        <v>Geetha</v>
      </c>
      <c r="C1544" s="6" t="str">
        <f ca="1">IFERROR(__xludf.DUMMYFUNCTION("""COMPUTED_VALUE"""),"geetha0806@gmail.com")</f>
        <v>geetha0806@gmail.com</v>
      </c>
      <c r="D1544" s="6">
        <f ca="1">IFERROR(__xludf.DUMMYFUNCTION("""COMPUTED_VALUE"""),9886791846)</f>
        <v>9886791846</v>
      </c>
      <c r="E1544" s="6" t="str">
        <f ca="1">IFERROR(__xludf.DUMMYFUNCTION("""COMPUTED_VALUE"""),"chat_initiated")</f>
        <v>chat_initiated</v>
      </c>
      <c r="F1544" s="6" t="str">
        <f ca="1">IFERROR(__xludf.DUMMYFUNCTION("""COMPUTED_VALUE"""),"PSM 2")</f>
        <v>PSM 2</v>
      </c>
      <c r="G1544" s="80">
        <f ca="1">IFERROR(__xludf.DUMMYFUNCTION("""COMPUTED_VALUE"""),44958)</f>
        <v>44958</v>
      </c>
      <c r="H1544" s="6" t="str">
        <f ca="1">IFERROR(__xludf.DUMMYFUNCTION("""COMPUTED_VALUE"""),"Won")</f>
        <v>Won</v>
      </c>
      <c r="I1544" s="6" t="str">
        <f ca="1">IFERROR(__xludf.DUMMYFUNCTION("""COMPUTED_VALUE"""),"25-26 Feb 2023")</f>
        <v>25-26 Feb 2023</v>
      </c>
      <c r="J1544" s="6">
        <f ca="1">IFERROR(__xludf.DUMMYFUNCTION("""COMPUTED_VALUE"""),1)</f>
        <v>1</v>
      </c>
      <c r="K1544" s="8">
        <f ca="1">IFERROR(__xludf.DUMMYFUNCTION("""COMPUTED_VALUE"""),24000)</f>
        <v>24000</v>
      </c>
      <c r="L1544" s="8">
        <f ca="1">IFERROR(__xludf.DUMMYFUNCTION("""COMPUTED_VALUE"""),274.851122308749)</f>
        <v>274.85112230874898</v>
      </c>
      <c r="M1544" s="96">
        <f ca="1">IFERROR(__xludf.DUMMYFUNCTION("""COMPUTED_VALUE"""),44970)</f>
        <v>44970</v>
      </c>
      <c r="N1544" s="6" t="str">
        <f ca="1">IFERROR(__xludf.DUMMYFUNCTION("""COMPUTED_VALUE"""),"S10")</f>
        <v>S10</v>
      </c>
      <c r="O1544" s="97">
        <f ca="1">IFERROR(__xludf.DUMMYFUNCTION("""COMPUTED_VALUE"""),44970)</f>
        <v>44970</v>
      </c>
      <c r="P1544" s="6" t="str">
        <f ca="1">IFERROR(__xludf.DUMMYFUNCTION("""COMPUTED_VALUE"""),"CSTM_8XDNL7N6IT2")</f>
        <v>CSTM_8XDNL7N6IT2</v>
      </c>
      <c r="Q1544" s="6"/>
      <c r="R1544" s="6" t="str">
        <f ca="1">IFERROR(__xludf.DUMMYFUNCTION("""COMPUTED_VALUE"""),"Pending")</f>
        <v>Pending</v>
      </c>
      <c r="S1544" s="6" t="str">
        <f ca="1">IFERROR(__xludf.DUMMYFUNCTION("""COMPUTED_VALUE"""),"Category")</f>
        <v>Category</v>
      </c>
      <c r="T1544" s="6"/>
      <c r="U1544" s="6"/>
      <c r="V1544" s="6"/>
      <c r="W1544" s="6"/>
      <c r="X1544" s="6"/>
      <c r="Y1544" s="6"/>
      <c r="Z1544" s="6"/>
      <c r="AA1544" s="6"/>
      <c r="AB1544" s="6"/>
      <c r="AC1544" s="6"/>
      <c r="AD1544" s="6"/>
      <c r="AE1544" s="6"/>
      <c r="AF1544" s="6"/>
      <c r="AG1544" s="6"/>
      <c r="AH1544" s="6"/>
      <c r="AI1544" s="6"/>
      <c r="AJ1544" s="6"/>
      <c r="AK1544" s="6"/>
      <c r="AL1544" s="6"/>
    </row>
    <row r="1545" spans="1:38">
      <c r="A1545" s="96">
        <f ca="1">IFERROR(__xludf.DUMMYFUNCTION("""COMPUTED_VALUE"""),44971)</f>
        <v>44971</v>
      </c>
      <c r="B1545" s="6" t="str">
        <f ca="1">IFERROR(__xludf.DUMMYFUNCTION("""COMPUTED_VALUE"""),"Balaji T K")</f>
        <v>Balaji T K</v>
      </c>
      <c r="C1545" s="6" t="str">
        <f ca="1">IFERROR(__xludf.DUMMYFUNCTION("""COMPUTED_VALUE"""),"balajitk1983@gmail.com")</f>
        <v>balajitk1983@gmail.com</v>
      </c>
      <c r="D1545" s="6">
        <f ca="1">IFERROR(__xludf.DUMMYFUNCTION("""COMPUTED_VALUE"""),9941062060)</f>
        <v>9941062060</v>
      </c>
      <c r="E1545" s="6" t="str">
        <f ca="1">IFERROR(__xludf.DUMMYFUNCTION("""COMPUTED_VALUE"""),"Reference")</f>
        <v>Reference</v>
      </c>
      <c r="F1545" s="6" t="str">
        <f ca="1">IFERROR(__xludf.DUMMYFUNCTION("""COMPUTED_VALUE"""),"PSM 2")</f>
        <v>PSM 2</v>
      </c>
      <c r="G1545" s="80">
        <f ca="1">IFERROR(__xludf.DUMMYFUNCTION("""COMPUTED_VALUE"""),44958)</f>
        <v>44958</v>
      </c>
      <c r="H1545" s="6" t="str">
        <f ca="1">IFERROR(__xludf.DUMMYFUNCTION("""COMPUTED_VALUE"""),"Won")</f>
        <v>Won</v>
      </c>
      <c r="I1545" s="6" t="str">
        <f ca="1">IFERROR(__xludf.DUMMYFUNCTION("""COMPUTED_VALUE"""),"25-26 Feb 2023")</f>
        <v>25-26 Feb 2023</v>
      </c>
      <c r="J1545" s="6">
        <f ca="1">IFERROR(__xludf.DUMMYFUNCTION("""COMPUTED_VALUE"""),1)</f>
        <v>1</v>
      </c>
      <c r="K1545" s="8">
        <f ca="1">IFERROR(__xludf.DUMMYFUNCTION("""COMPUTED_VALUE"""),24000)</f>
        <v>24000</v>
      </c>
      <c r="L1545" s="8">
        <f ca="1">IFERROR(__xludf.DUMMYFUNCTION("""COMPUTED_VALUE"""),274.851122308749)</f>
        <v>274.85112230874898</v>
      </c>
      <c r="M1545" s="96">
        <f ca="1">IFERROR(__xludf.DUMMYFUNCTION("""COMPUTED_VALUE"""),44971)</f>
        <v>44971</v>
      </c>
      <c r="N1545" s="6" t="str">
        <f ca="1">IFERROR(__xludf.DUMMYFUNCTION("""COMPUTED_VALUE"""),"S10")</f>
        <v>S10</v>
      </c>
      <c r="O1545" s="97">
        <f ca="1">IFERROR(__xludf.DUMMYFUNCTION("""COMPUTED_VALUE"""),44971)</f>
        <v>44971</v>
      </c>
      <c r="P1545" s="6" t="str">
        <f ca="1">IFERROR(__xludf.DUMMYFUNCTION("""COMPUTED_VALUE"""),"CSTM_87816O3BMCZ")</f>
        <v>CSTM_87816O3BMCZ</v>
      </c>
      <c r="Q1545" s="6" t="str">
        <f ca="1">IFERROR(__xludf.DUMMYFUNCTION("""COMPUTED_VALUE"""),"Reference by verma.sandeep01@yahoo.com")</f>
        <v>Reference by verma.sandeep01@yahoo.com</v>
      </c>
      <c r="R1545" s="6" t="str">
        <f ca="1">IFERROR(__xludf.DUMMYFUNCTION("""COMPUTED_VALUE"""),"Pending")</f>
        <v>Pending</v>
      </c>
      <c r="S1545" s="6" t="str">
        <f ca="1">IFERROR(__xludf.DUMMYFUNCTION("""COMPUTED_VALUE"""),"Category")</f>
        <v>Category</v>
      </c>
      <c r="T1545" s="6"/>
      <c r="U1545" s="6"/>
      <c r="V1545" s="6"/>
      <c r="W1545" s="6"/>
      <c r="X1545" s="6"/>
      <c r="Y1545" s="6"/>
      <c r="Z1545" s="6"/>
      <c r="AA1545" s="6"/>
      <c r="AB1545" s="6"/>
      <c r="AC1545" s="6"/>
      <c r="AD1545" s="6"/>
      <c r="AE1545" s="6"/>
      <c r="AF1545" s="6"/>
      <c r="AG1545" s="6"/>
      <c r="AH1545" s="6"/>
      <c r="AI1545" s="6"/>
      <c r="AJ1545" s="6"/>
      <c r="AK1545" s="6"/>
      <c r="AL1545" s="6"/>
    </row>
    <row r="1546" spans="1:38">
      <c r="A1546" s="96">
        <f ca="1">IFERROR(__xludf.DUMMYFUNCTION("""COMPUTED_VALUE"""),44971)</f>
        <v>44971</v>
      </c>
      <c r="B1546" s="6" t="str">
        <f ca="1">IFERROR(__xludf.DUMMYFUNCTION("""COMPUTED_VALUE"""),"Annal Metilda")</f>
        <v>Annal Metilda</v>
      </c>
      <c r="C1546" s="6" t="str">
        <f ca="1">IFERROR(__xludf.DUMMYFUNCTION("""COMPUTED_VALUE"""),"metil.david@gmail.com")</f>
        <v>metil.david@gmail.com</v>
      </c>
      <c r="D1546" s="6">
        <f ca="1">IFERROR(__xludf.DUMMYFUNCTION("""COMPUTED_VALUE"""),9789952838)</f>
        <v>9789952838</v>
      </c>
      <c r="E1546" s="6" t="str">
        <f ca="1">IFERROR(__xludf.DUMMYFUNCTION("""COMPUTED_VALUE"""),"Tollfree")</f>
        <v>Tollfree</v>
      </c>
      <c r="F1546" s="6" t="str">
        <f ca="1">IFERROR(__xludf.DUMMYFUNCTION("""COMPUTED_VALUE"""),"SAFe Agile")</f>
        <v>SAFe Agile</v>
      </c>
      <c r="G1546" s="80">
        <f ca="1">IFERROR(__xludf.DUMMYFUNCTION("""COMPUTED_VALUE"""),44958)</f>
        <v>44958</v>
      </c>
      <c r="H1546" s="6" t="str">
        <f ca="1">IFERROR(__xludf.DUMMYFUNCTION("""COMPUTED_VALUE"""),"Won")</f>
        <v>Won</v>
      </c>
      <c r="I1546" s="6" t="str">
        <f ca="1">IFERROR(__xludf.DUMMYFUNCTION("""COMPUTED_VALUE"""),"25-26 Feb 2023")</f>
        <v>25-26 Feb 2023</v>
      </c>
      <c r="J1546" s="6">
        <f ca="1">IFERROR(__xludf.DUMMYFUNCTION("""COMPUTED_VALUE"""),1)</f>
        <v>1</v>
      </c>
      <c r="K1546" s="8">
        <f ca="1">IFERROR(__xludf.DUMMYFUNCTION("""COMPUTED_VALUE"""),42000)</f>
        <v>42000</v>
      </c>
      <c r="L1546" s="8">
        <f ca="1">IFERROR(__xludf.DUMMYFUNCTION("""COMPUTED_VALUE"""),480.989464040311)</f>
        <v>480.98946404031102</v>
      </c>
      <c r="M1546" s="96">
        <f ca="1">IFERROR(__xludf.DUMMYFUNCTION("""COMPUTED_VALUE"""),44971)</f>
        <v>44971</v>
      </c>
      <c r="N1546" s="6" t="str">
        <f ca="1">IFERROR(__xludf.DUMMYFUNCTION("""COMPUTED_VALUE"""),"S10")</f>
        <v>S10</v>
      </c>
      <c r="O1546" s="97">
        <f ca="1">IFERROR(__xludf.DUMMYFUNCTION("""COMPUTED_VALUE"""),44971)</f>
        <v>44971</v>
      </c>
      <c r="P1546" s="6" t="str">
        <f ca="1">IFERROR(__xludf.DUMMYFUNCTION("""COMPUTED_VALUE"""),"CSTM_FJJ91PG3HDS")</f>
        <v>CSTM_FJJ91PG3HDS</v>
      </c>
      <c r="Q1546" s="6"/>
      <c r="R1546" s="6" t="str">
        <f ca="1">IFERROR(__xludf.DUMMYFUNCTION("""COMPUTED_VALUE"""),"Pending")</f>
        <v>Pending</v>
      </c>
      <c r="S1546" s="6" t="str">
        <f ca="1">IFERROR(__xludf.DUMMYFUNCTION("""COMPUTED_VALUE"""),"SAFe")</f>
        <v>SAFe</v>
      </c>
      <c r="T1546" s="6"/>
      <c r="U1546" s="6"/>
      <c r="V1546" s="6"/>
      <c r="W1546" s="6"/>
      <c r="X1546" s="6"/>
      <c r="Y1546" s="6"/>
      <c r="Z1546" s="6"/>
      <c r="AA1546" s="6"/>
      <c r="AB1546" s="6"/>
      <c r="AC1546" s="6"/>
      <c r="AD1546" s="6"/>
      <c r="AE1546" s="6"/>
      <c r="AF1546" s="6"/>
      <c r="AG1546" s="6"/>
      <c r="AH1546" s="6"/>
      <c r="AI1546" s="6"/>
      <c r="AJ1546" s="6"/>
      <c r="AK1546" s="6"/>
      <c r="AL1546" s="6"/>
    </row>
    <row r="1547" spans="1:38">
      <c r="A1547" s="96">
        <f ca="1">IFERROR(__xludf.DUMMYFUNCTION("""COMPUTED_VALUE"""),44971)</f>
        <v>44971</v>
      </c>
      <c r="B1547" s="6" t="str">
        <f ca="1">IFERROR(__xludf.DUMMYFUNCTION("""COMPUTED_VALUE"""),"Vikram Sujith")</f>
        <v>Vikram Sujith</v>
      </c>
      <c r="C1547" s="6" t="str">
        <f ca="1">IFERROR(__xludf.DUMMYFUNCTION("""COMPUTED_VALUE"""),"vikram.sujith@gmail.com")</f>
        <v>vikram.sujith@gmail.com</v>
      </c>
      <c r="D1547" s="6">
        <f ca="1">IFERROR(__xludf.DUMMYFUNCTION("""COMPUTED_VALUE"""),8939767672)</f>
        <v>8939767672</v>
      </c>
      <c r="E1547" s="6" t="str">
        <f ca="1">IFERROR(__xludf.DUMMYFUNCTION("""COMPUTED_VALUE"""),"Chat_triggered")</f>
        <v>Chat_triggered</v>
      </c>
      <c r="F1547" s="6" t="str">
        <f ca="1">IFERROR(__xludf.DUMMYFUNCTION("""COMPUTED_VALUE"""),"SAFe Agile")</f>
        <v>SAFe Agile</v>
      </c>
      <c r="G1547" s="80">
        <f ca="1">IFERROR(__xludf.DUMMYFUNCTION("""COMPUTED_VALUE"""),44958)</f>
        <v>44958</v>
      </c>
      <c r="H1547" s="6" t="str">
        <f ca="1">IFERROR(__xludf.DUMMYFUNCTION("""COMPUTED_VALUE"""),"Won")</f>
        <v>Won</v>
      </c>
      <c r="I1547" s="6" t="str">
        <f ca="1">IFERROR(__xludf.DUMMYFUNCTION("""COMPUTED_VALUE"""),"25-26 Feb 2023")</f>
        <v>25-26 Feb 2023</v>
      </c>
      <c r="J1547" s="6">
        <f ca="1">IFERROR(__xludf.DUMMYFUNCTION("""COMPUTED_VALUE"""),1)</f>
        <v>1</v>
      </c>
      <c r="K1547" s="8">
        <f ca="1">IFERROR(__xludf.DUMMYFUNCTION("""COMPUTED_VALUE"""),40061)</f>
        <v>40061</v>
      </c>
      <c r="L1547" s="8">
        <f ca="1">IFERROR(__xludf.DUMMYFUNCTION("""COMPUTED_VALUE"""),458.783783783783)</f>
        <v>458.78378378378301</v>
      </c>
      <c r="M1547" s="96">
        <f ca="1">IFERROR(__xludf.DUMMYFUNCTION("""COMPUTED_VALUE"""),44971)</f>
        <v>44971</v>
      </c>
      <c r="N1547" s="6" t="str">
        <f ca="1">IFERROR(__xludf.DUMMYFUNCTION("""COMPUTED_VALUE"""),"S10")</f>
        <v>S10</v>
      </c>
      <c r="O1547" s="97">
        <f ca="1">IFERROR(__xludf.DUMMYFUNCTION("""COMPUTED_VALUE"""),44971)</f>
        <v>44971</v>
      </c>
      <c r="P1547" s="6" t="str">
        <f ca="1">IFERROR(__xludf.DUMMYFUNCTION("""COMPUTED_VALUE"""),"CSTM_6ZUPTCBYN1A")</f>
        <v>CSTM_6ZUPTCBYN1A</v>
      </c>
      <c r="Q1547" s="6"/>
      <c r="R1547" s="6" t="str">
        <f ca="1">IFERROR(__xludf.DUMMYFUNCTION("""COMPUTED_VALUE"""),"Pending")</f>
        <v>Pending</v>
      </c>
      <c r="S1547" s="6" t="str">
        <f ca="1">IFERROR(__xludf.DUMMYFUNCTION("""COMPUTED_VALUE"""),"SAFe")</f>
        <v>SAFe</v>
      </c>
      <c r="T1547" s="6"/>
      <c r="U1547" s="6"/>
      <c r="V1547" s="6"/>
      <c r="W1547" s="6"/>
      <c r="X1547" s="6"/>
      <c r="Y1547" s="6"/>
      <c r="Z1547" s="6"/>
      <c r="AA1547" s="6"/>
      <c r="AB1547" s="6"/>
      <c r="AC1547" s="6"/>
      <c r="AD1547" s="6"/>
      <c r="AE1547" s="6"/>
      <c r="AF1547" s="6"/>
      <c r="AG1547" s="6"/>
      <c r="AH1547" s="6"/>
      <c r="AI1547" s="6"/>
      <c r="AJ1547" s="6"/>
      <c r="AK1547" s="6"/>
      <c r="AL1547" s="6"/>
    </row>
    <row r="1548" spans="1:38">
      <c r="A1548" s="96">
        <f ca="1">IFERROR(__xludf.DUMMYFUNCTION("""COMPUTED_VALUE"""),44973)</f>
        <v>44973</v>
      </c>
      <c r="B1548" s="6" t="str">
        <f ca="1">IFERROR(__xludf.DUMMYFUNCTION("""COMPUTED_VALUE"""),"Sandeep")</f>
        <v>Sandeep</v>
      </c>
      <c r="C1548" s="6" t="str">
        <f ca="1">IFERROR(__xludf.DUMMYFUNCTION("""COMPUTED_VALUE"""),"sandeep180816@gmail.com")</f>
        <v>sandeep180816@gmail.com</v>
      </c>
      <c r="D1548" s="6">
        <f ca="1">IFERROR(__xludf.DUMMYFUNCTION("""COMPUTED_VALUE"""),9900611793)</f>
        <v>9900611793</v>
      </c>
      <c r="E1548" s="6" t="str">
        <f ca="1">IFERROR(__xludf.DUMMYFUNCTION("""COMPUTED_VALUE"""),"Reference")</f>
        <v>Reference</v>
      </c>
      <c r="F1548" s="6" t="str">
        <f ca="1">IFERROR(__xludf.DUMMYFUNCTION("""COMPUTED_VALUE"""),"CSM")</f>
        <v>CSM</v>
      </c>
      <c r="G1548" s="80">
        <f ca="1">IFERROR(__xludf.DUMMYFUNCTION("""COMPUTED_VALUE"""),44958)</f>
        <v>44958</v>
      </c>
      <c r="H1548" s="6" t="str">
        <f ca="1">IFERROR(__xludf.DUMMYFUNCTION("""COMPUTED_VALUE"""),"Won")</f>
        <v>Won</v>
      </c>
      <c r="I1548" s="6" t="str">
        <f ca="1">IFERROR(__xludf.DUMMYFUNCTION("""COMPUTED_VALUE"""),"25-26 Feb 2023")</f>
        <v>25-26 Feb 2023</v>
      </c>
      <c r="J1548" s="6">
        <f ca="1">IFERROR(__xludf.DUMMYFUNCTION("""COMPUTED_VALUE"""),1)</f>
        <v>1</v>
      </c>
      <c r="K1548" s="8">
        <f ca="1">IFERROR(__xludf.DUMMYFUNCTION("""COMPUTED_VALUE"""),20000)</f>
        <v>20000</v>
      </c>
      <c r="L1548" s="8">
        <f ca="1">IFERROR(__xludf.DUMMYFUNCTION("""COMPUTED_VALUE"""),229.042601923957)</f>
        <v>229.04260192395699</v>
      </c>
      <c r="M1548" s="96">
        <f ca="1">IFERROR(__xludf.DUMMYFUNCTION("""COMPUTED_VALUE"""),44973)</f>
        <v>44973</v>
      </c>
      <c r="N1548" s="6" t="str">
        <f ca="1">IFERROR(__xludf.DUMMYFUNCTION("""COMPUTED_VALUE"""),"S10")</f>
        <v>S10</v>
      </c>
      <c r="O1548" s="97">
        <f ca="1">IFERROR(__xludf.DUMMYFUNCTION("""COMPUTED_VALUE"""),44973)</f>
        <v>44973</v>
      </c>
      <c r="P1548" s="6" t="str">
        <f ca="1">IFERROR(__xludf.DUMMYFUNCTION("""COMPUTED_VALUE"""),"CSTM_7DU9LQRWN8K")</f>
        <v>CSTM_7DU9LQRWN8K</v>
      </c>
      <c r="Q1548" s="6" t="str">
        <f ca="1">IFERROR(__xludf.DUMMYFUNCTION("""COMPUTED_VALUE"""),"Reference by pranavbarve15@gmail.com")</f>
        <v>Reference by pranavbarve15@gmail.com</v>
      </c>
      <c r="R1548" s="6" t="str">
        <f ca="1">IFERROR(__xludf.DUMMYFUNCTION("""COMPUTED_VALUE"""),"Pending")</f>
        <v>Pending</v>
      </c>
      <c r="S1548" s="6" t="str">
        <f ca="1">IFERROR(__xludf.DUMMYFUNCTION("""COMPUTED_VALUE"""),"Category")</f>
        <v>Category</v>
      </c>
      <c r="T1548" s="6"/>
      <c r="U1548" s="6"/>
      <c r="V1548" s="6"/>
      <c r="W1548" s="6"/>
      <c r="X1548" s="6"/>
      <c r="Y1548" s="6"/>
      <c r="Z1548" s="6"/>
      <c r="AA1548" s="6"/>
      <c r="AB1548" s="6"/>
      <c r="AC1548" s="6"/>
      <c r="AD1548" s="6"/>
      <c r="AE1548" s="6"/>
      <c r="AF1548" s="6"/>
      <c r="AG1548" s="6"/>
      <c r="AH1548" s="6"/>
      <c r="AI1548" s="6"/>
      <c r="AJ1548" s="6"/>
      <c r="AK1548" s="6"/>
      <c r="AL1548" s="6"/>
    </row>
    <row r="1549" spans="1:38">
      <c r="A1549" s="96">
        <f ca="1">IFERROR(__xludf.DUMMYFUNCTION("""COMPUTED_VALUE"""),44973)</f>
        <v>44973</v>
      </c>
      <c r="B1549" s="6" t="str">
        <f ca="1">IFERROR(__xludf.DUMMYFUNCTION("""COMPUTED_VALUE"""),"Abubakkar Sithick")</f>
        <v>Abubakkar Sithick</v>
      </c>
      <c r="C1549" s="6" t="str">
        <f ca="1">IFERROR(__xludf.DUMMYFUNCTION("""COMPUTED_VALUE"""),"absithick@gmail.com")</f>
        <v>absithick@gmail.com</v>
      </c>
      <c r="D1549" s="6">
        <f ca="1">IFERROR(__xludf.DUMMYFUNCTION("""COMPUTED_VALUE"""),7867016011)</f>
        <v>7867016011</v>
      </c>
      <c r="E1549" s="6" t="str">
        <f ca="1">IFERROR(__xludf.DUMMYFUNCTION("""COMPUTED_VALUE"""),"course preview")</f>
        <v>course preview</v>
      </c>
      <c r="F1549" s="6" t="str">
        <f ca="1">IFERROR(__xludf.DUMMYFUNCTION("""COMPUTED_VALUE"""),"SAFe Agile")</f>
        <v>SAFe Agile</v>
      </c>
      <c r="G1549" s="80">
        <f ca="1">IFERROR(__xludf.DUMMYFUNCTION("""COMPUTED_VALUE"""),44958)</f>
        <v>44958</v>
      </c>
      <c r="H1549" s="6" t="str">
        <f ca="1">IFERROR(__xludf.DUMMYFUNCTION("""COMPUTED_VALUE"""),"Won")</f>
        <v>Won</v>
      </c>
      <c r="I1549" s="6" t="str">
        <f ca="1">IFERROR(__xludf.DUMMYFUNCTION("""COMPUTED_VALUE"""),"4-5 March 2023")</f>
        <v>4-5 March 2023</v>
      </c>
      <c r="J1549" s="6">
        <f ca="1">IFERROR(__xludf.DUMMYFUNCTION("""COMPUTED_VALUE"""),1)</f>
        <v>1</v>
      </c>
      <c r="K1549" s="8">
        <f ca="1">IFERROR(__xludf.DUMMYFUNCTION("""COMPUTED_VALUE"""),40061)</f>
        <v>40061</v>
      </c>
      <c r="L1549" s="8">
        <f ca="1">IFERROR(__xludf.DUMMYFUNCTION("""COMPUTED_VALUE"""),458.783783783783)</f>
        <v>458.78378378378301</v>
      </c>
      <c r="M1549" s="96">
        <f ca="1">IFERROR(__xludf.DUMMYFUNCTION("""COMPUTED_VALUE"""),44973)</f>
        <v>44973</v>
      </c>
      <c r="N1549" s="6" t="str">
        <f ca="1">IFERROR(__xludf.DUMMYFUNCTION("""COMPUTED_VALUE"""),"S10")</f>
        <v>S10</v>
      </c>
      <c r="O1549" s="97">
        <f ca="1">IFERROR(__xludf.DUMMYFUNCTION("""COMPUTED_VALUE"""),44973)</f>
        <v>44973</v>
      </c>
      <c r="P1549" s="6" t="str">
        <f ca="1">IFERROR(__xludf.DUMMYFUNCTION("""COMPUTED_VALUE"""),"CSTM_3TA8MVC0Y2")</f>
        <v>CSTM_3TA8MVC0Y2</v>
      </c>
      <c r="Q1549" s="6"/>
      <c r="R1549" s="6" t="str">
        <f ca="1">IFERROR(__xludf.DUMMYFUNCTION("""COMPUTED_VALUE"""),"Pending")</f>
        <v>Pending</v>
      </c>
      <c r="S1549" s="6" t="str">
        <f ca="1">IFERROR(__xludf.DUMMYFUNCTION("""COMPUTED_VALUE"""),"SAFe")</f>
        <v>SAFe</v>
      </c>
      <c r="T1549" s="6"/>
      <c r="U1549" s="6"/>
      <c r="V1549" s="6"/>
      <c r="W1549" s="6"/>
      <c r="X1549" s="6"/>
      <c r="Y1549" s="6"/>
      <c r="Z1549" s="6"/>
      <c r="AA1549" s="6"/>
      <c r="AB1549" s="6"/>
      <c r="AC1549" s="6"/>
      <c r="AD1549" s="6"/>
      <c r="AE1549" s="6"/>
      <c r="AF1549" s="6"/>
      <c r="AG1549" s="6"/>
      <c r="AH1549" s="6"/>
      <c r="AI1549" s="6"/>
      <c r="AJ1549" s="6"/>
      <c r="AK1549" s="6"/>
      <c r="AL1549" s="6"/>
    </row>
    <row r="1550" spans="1:38">
      <c r="A1550" s="96">
        <f ca="1">IFERROR(__xludf.DUMMYFUNCTION("""COMPUTED_VALUE"""),44973)</f>
        <v>44973</v>
      </c>
      <c r="B1550" s="6" t="str">
        <f ca="1">IFERROR(__xludf.DUMMYFUNCTION("""COMPUTED_VALUE"""),"Spandana Sidharth")</f>
        <v>Spandana Sidharth</v>
      </c>
      <c r="C1550" s="6" t="str">
        <f ca="1">IFERROR(__xludf.DUMMYFUNCTION("""COMPUTED_VALUE"""),"spandanasidharth@gmail.com")</f>
        <v>spandanasidharth@gmail.com</v>
      </c>
      <c r="D1550" s="6">
        <f ca="1">IFERROR(__xludf.DUMMYFUNCTION("""COMPUTED_VALUE"""),9985592828)</f>
        <v>9985592828</v>
      </c>
      <c r="E1550" s="6" t="str">
        <f ca="1">IFERROR(__xludf.DUMMYFUNCTION("""COMPUTED_VALUE"""),"Chat_triggered")</f>
        <v>Chat_triggered</v>
      </c>
      <c r="F1550" s="6" t="str">
        <f ca="1">IFERROR(__xludf.DUMMYFUNCTION("""COMPUTED_VALUE"""),"PSM")</f>
        <v>PSM</v>
      </c>
      <c r="G1550" s="80">
        <f ca="1">IFERROR(__xludf.DUMMYFUNCTION("""COMPUTED_VALUE"""),44958)</f>
        <v>44958</v>
      </c>
      <c r="H1550" s="6" t="str">
        <f ca="1">IFERROR(__xludf.DUMMYFUNCTION("""COMPUTED_VALUE"""),"Won")</f>
        <v>Won</v>
      </c>
      <c r="I1550" s="6" t="str">
        <f ca="1">IFERROR(__xludf.DUMMYFUNCTION("""COMPUTED_VALUE"""),"18-19 Feb 2023")</f>
        <v>18-19 Feb 2023</v>
      </c>
      <c r="J1550" s="6">
        <f ca="1">IFERROR(__xludf.DUMMYFUNCTION("""COMPUTED_VALUE"""),1)</f>
        <v>1</v>
      </c>
      <c r="K1550" s="8">
        <f ca="1">IFERROR(__xludf.DUMMYFUNCTION("""COMPUTED_VALUE"""),21000)</f>
        <v>21000</v>
      </c>
      <c r="L1550" s="8">
        <f ca="1">IFERROR(__xludf.DUMMYFUNCTION("""COMPUTED_VALUE"""),240.494732020155)</f>
        <v>240.494732020155</v>
      </c>
      <c r="M1550" s="96">
        <f ca="1">IFERROR(__xludf.DUMMYFUNCTION("""COMPUTED_VALUE"""),44973)</f>
        <v>44973</v>
      </c>
      <c r="N1550" s="6" t="str">
        <f ca="1">IFERROR(__xludf.DUMMYFUNCTION("""COMPUTED_VALUE"""),"S10")</f>
        <v>S10</v>
      </c>
      <c r="O1550" s="97">
        <f ca="1">IFERROR(__xludf.DUMMYFUNCTION("""COMPUTED_VALUE"""),44973)</f>
        <v>44973</v>
      </c>
      <c r="P1550" s="6" t="str">
        <f ca="1">IFERROR(__xludf.DUMMYFUNCTION("""COMPUTED_VALUE"""),"CSTM_950FATPXWQE")</f>
        <v>CSTM_950FATPXWQE</v>
      </c>
      <c r="Q1550" s="6"/>
      <c r="R1550" s="6" t="str">
        <f ca="1">IFERROR(__xludf.DUMMYFUNCTION("""COMPUTED_VALUE"""),"Pending")</f>
        <v>Pending</v>
      </c>
      <c r="S1550" s="6" t="str">
        <f ca="1">IFERROR(__xludf.DUMMYFUNCTION("""COMPUTED_VALUE"""),"Category")</f>
        <v>Category</v>
      </c>
      <c r="T1550" s="6"/>
      <c r="U1550" s="6"/>
      <c r="V1550" s="6"/>
      <c r="W1550" s="6"/>
      <c r="X1550" s="6"/>
      <c r="Y1550" s="6"/>
      <c r="Z1550" s="6"/>
      <c r="AA1550" s="6"/>
      <c r="AB1550" s="6"/>
      <c r="AC1550" s="6"/>
      <c r="AD1550" s="6"/>
      <c r="AE1550" s="6"/>
      <c r="AF1550" s="6"/>
      <c r="AG1550" s="6"/>
      <c r="AH1550" s="6"/>
      <c r="AI1550" s="6"/>
      <c r="AJ1550" s="6"/>
      <c r="AK1550" s="6"/>
      <c r="AL1550" s="6"/>
    </row>
    <row r="1551" spans="1:38">
      <c r="A1551" s="96">
        <f ca="1">IFERROR(__xludf.DUMMYFUNCTION("""COMPUTED_VALUE"""),44973)</f>
        <v>44973</v>
      </c>
      <c r="B1551" s="6" t="str">
        <f ca="1">IFERROR(__xludf.DUMMYFUNCTION("""COMPUTED_VALUE"""),"Pooja Bhardwaj")</f>
        <v>Pooja Bhardwaj</v>
      </c>
      <c r="C1551" s="6" t="str">
        <f ca="1">IFERROR(__xludf.DUMMYFUNCTION("""COMPUTED_VALUE"""),"pooja.201246@homecredit.co.in")</f>
        <v>pooja.201246@homecredit.co.in</v>
      </c>
      <c r="D1551" s="6">
        <f ca="1">IFERROR(__xludf.DUMMYFUNCTION("""COMPUTED_VALUE"""),7303483851)</f>
        <v>7303483851</v>
      </c>
      <c r="E1551" s="6" t="str">
        <f ca="1">IFERROR(__xludf.DUMMYFUNCTION("""COMPUTED_VALUE"""),"Reference")</f>
        <v>Reference</v>
      </c>
      <c r="F1551" s="6" t="str">
        <f ca="1">IFERROR(__xludf.DUMMYFUNCTION("""COMPUTED_VALUE"""),"CSPO")</f>
        <v>CSPO</v>
      </c>
      <c r="G1551" s="80">
        <f ca="1">IFERROR(__xludf.DUMMYFUNCTION("""COMPUTED_VALUE"""),44958)</f>
        <v>44958</v>
      </c>
      <c r="H1551" s="6" t="str">
        <f ca="1">IFERROR(__xludf.DUMMYFUNCTION("""COMPUTED_VALUE"""),"Won")</f>
        <v>Won</v>
      </c>
      <c r="I1551" s="6" t="str">
        <f ca="1">IFERROR(__xludf.DUMMYFUNCTION("""COMPUTED_VALUE"""),"4-5 March 2023")</f>
        <v>4-5 March 2023</v>
      </c>
      <c r="J1551" s="6">
        <f ca="1">IFERROR(__xludf.DUMMYFUNCTION("""COMPUTED_VALUE"""),1)</f>
        <v>1</v>
      </c>
      <c r="K1551" s="8">
        <f ca="1">IFERROR(__xludf.DUMMYFUNCTION("""COMPUTED_VALUE"""),20000)</f>
        <v>20000</v>
      </c>
      <c r="L1551" s="8">
        <f ca="1">IFERROR(__xludf.DUMMYFUNCTION("""COMPUTED_VALUE"""),229.042601923957)</f>
        <v>229.04260192395699</v>
      </c>
      <c r="M1551" s="96">
        <f ca="1">IFERROR(__xludf.DUMMYFUNCTION("""COMPUTED_VALUE"""),44973)</f>
        <v>44973</v>
      </c>
      <c r="N1551" s="6" t="str">
        <f ca="1">IFERROR(__xludf.DUMMYFUNCTION("""COMPUTED_VALUE"""),"S10")</f>
        <v>S10</v>
      </c>
      <c r="O1551" s="97">
        <f ca="1">IFERROR(__xludf.DUMMYFUNCTION("""COMPUTED_VALUE"""),44973)</f>
        <v>44973</v>
      </c>
      <c r="P1551" s="6" t="str">
        <f ca="1">IFERROR(__xludf.DUMMYFUNCTION("""COMPUTED_VALUE"""),"CSTM_8ETMSYF168X")</f>
        <v>CSTM_8ETMSYF168X</v>
      </c>
      <c r="Q1551" s="6" t="str">
        <f ca="1">IFERROR(__xludf.DUMMYFUNCTION("""COMPUTED_VALUE"""),"Reference by krishnendu.97274@homecredit.co.in")</f>
        <v>Reference by krishnendu.97274@homecredit.co.in</v>
      </c>
      <c r="R1551" s="6" t="str">
        <f ca="1">IFERROR(__xludf.DUMMYFUNCTION("""COMPUTED_VALUE"""),"Pending")</f>
        <v>Pending</v>
      </c>
      <c r="S1551" s="6" t="str">
        <f ca="1">IFERROR(__xludf.DUMMYFUNCTION("""COMPUTED_VALUE"""),"Category")</f>
        <v>Category</v>
      </c>
      <c r="T1551" s="6"/>
      <c r="U1551" s="6"/>
      <c r="V1551" s="6"/>
      <c r="W1551" s="6"/>
      <c r="X1551" s="6"/>
      <c r="Y1551" s="6"/>
      <c r="Z1551" s="6"/>
      <c r="AA1551" s="6"/>
      <c r="AB1551" s="6"/>
      <c r="AC1551" s="6"/>
      <c r="AD1551" s="6"/>
      <c r="AE1551" s="6"/>
      <c r="AF1551" s="6"/>
      <c r="AG1551" s="6"/>
      <c r="AH1551" s="6"/>
      <c r="AI1551" s="6"/>
      <c r="AJ1551" s="6"/>
      <c r="AK1551" s="6"/>
      <c r="AL1551" s="6"/>
    </row>
    <row r="1552" spans="1:38">
      <c r="A1552" s="96">
        <f ca="1">IFERROR(__xludf.DUMMYFUNCTION("""COMPUTED_VALUE"""),44973)</f>
        <v>44973</v>
      </c>
      <c r="B1552" s="6" t="str">
        <f ca="1">IFERROR(__xludf.DUMMYFUNCTION("""COMPUTED_VALUE"""),"Vinayak Jaksan")</f>
        <v>Vinayak Jaksan</v>
      </c>
      <c r="C1552" s="6" t="str">
        <f ca="1">IFERROR(__xludf.DUMMYFUNCTION("""COMPUTED_VALUE"""),"vinayak_j@hotmail.com")</f>
        <v>vinayak_j@hotmail.com</v>
      </c>
      <c r="D1552" s="6">
        <f ca="1">IFERROR(__xludf.DUMMYFUNCTION("""COMPUTED_VALUE"""),9823363355)</f>
        <v>9823363355</v>
      </c>
      <c r="E1552" s="6" t="str">
        <f ca="1">IFERROR(__xludf.DUMMYFUNCTION("""COMPUTED_VALUE"""),"chat_initiated")</f>
        <v>chat_initiated</v>
      </c>
      <c r="F1552" s="6" t="str">
        <f ca="1">IFERROR(__xludf.DUMMYFUNCTION("""COMPUTED_VALUE"""),"PSM")</f>
        <v>PSM</v>
      </c>
      <c r="G1552" s="80">
        <f ca="1">IFERROR(__xludf.DUMMYFUNCTION("""COMPUTED_VALUE"""),44958)</f>
        <v>44958</v>
      </c>
      <c r="H1552" s="6" t="str">
        <f ca="1">IFERROR(__xludf.DUMMYFUNCTION("""COMPUTED_VALUE"""),"Won")</f>
        <v>Won</v>
      </c>
      <c r="I1552" s="6" t="str">
        <f ca="1">IFERROR(__xludf.DUMMYFUNCTION("""COMPUTED_VALUE"""),"18-19 Feb 2023")</f>
        <v>18-19 Feb 2023</v>
      </c>
      <c r="J1552" s="6">
        <f ca="1">IFERROR(__xludf.DUMMYFUNCTION("""COMPUTED_VALUE"""),1)</f>
        <v>1</v>
      </c>
      <c r="K1552" s="8">
        <f ca="1">IFERROR(__xludf.DUMMYFUNCTION("""COMPUTED_VALUE"""),21000)</f>
        <v>21000</v>
      </c>
      <c r="L1552" s="8">
        <f ca="1">IFERROR(__xludf.DUMMYFUNCTION("""COMPUTED_VALUE"""),240.494732020155)</f>
        <v>240.494732020155</v>
      </c>
      <c r="M1552" s="96">
        <f ca="1">IFERROR(__xludf.DUMMYFUNCTION("""COMPUTED_VALUE"""),44973)</f>
        <v>44973</v>
      </c>
      <c r="N1552" s="6" t="str">
        <f ca="1">IFERROR(__xludf.DUMMYFUNCTION("""COMPUTED_VALUE"""),"S10")</f>
        <v>S10</v>
      </c>
      <c r="O1552" s="97">
        <f ca="1">IFERROR(__xludf.DUMMYFUNCTION("""COMPUTED_VALUE"""),44973)</f>
        <v>44973</v>
      </c>
      <c r="P1552" s="6" t="str">
        <f ca="1">IFERROR(__xludf.DUMMYFUNCTION("""COMPUTED_VALUE"""),"CSTM_H2DP2820YI5")</f>
        <v>CSTM_H2DP2820YI5</v>
      </c>
      <c r="Q1552" s="6"/>
      <c r="R1552" s="6" t="str">
        <f ca="1">IFERROR(__xludf.DUMMYFUNCTION("""COMPUTED_VALUE"""),"Pending")</f>
        <v>Pending</v>
      </c>
      <c r="S1552" s="6" t="str">
        <f ca="1">IFERROR(__xludf.DUMMYFUNCTION("""COMPUTED_VALUE"""),"Category")</f>
        <v>Category</v>
      </c>
      <c r="T1552" s="6"/>
      <c r="U1552" s="6"/>
      <c r="V1552" s="6"/>
      <c r="W1552" s="6"/>
      <c r="X1552" s="6"/>
      <c r="Y1552" s="6"/>
      <c r="Z1552" s="6"/>
      <c r="AA1552" s="6"/>
      <c r="AB1552" s="6"/>
      <c r="AC1552" s="6"/>
      <c r="AD1552" s="6"/>
      <c r="AE1552" s="6"/>
      <c r="AF1552" s="6"/>
      <c r="AG1552" s="6"/>
      <c r="AH1552" s="6"/>
      <c r="AI1552" s="6"/>
      <c r="AJ1552" s="6"/>
      <c r="AK1552" s="6"/>
      <c r="AL1552" s="6"/>
    </row>
    <row r="1553" spans="1:38">
      <c r="A1553" s="96">
        <f ca="1">IFERROR(__xludf.DUMMYFUNCTION("""COMPUTED_VALUE"""),44973)</f>
        <v>44973</v>
      </c>
      <c r="B1553" s="6" t="str">
        <f ca="1">IFERROR(__xludf.DUMMYFUNCTION("""COMPUTED_VALUE"""),"Arnab Kumar")</f>
        <v>Arnab Kumar</v>
      </c>
      <c r="C1553" s="6" t="str">
        <f ca="1">IFERROR(__xludf.DUMMYFUNCTION("""COMPUTED_VALUE"""),"arnabkumar0408@gmail.com")</f>
        <v>arnabkumar0408@gmail.com</v>
      </c>
      <c r="D1553" s="6">
        <f ca="1">IFERROR(__xludf.DUMMYFUNCTION("""COMPUTED_VALUE"""),9432137269)</f>
        <v>9432137269</v>
      </c>
      <c r="E1553" s="6" t="str">
        <f ca="1">IFERROR(__xludf.DUMMYFUNCTION("""COMPUTED_VALUE"""),"Reference")</f>
        <v>Reference</v>
      </c>
      <c r="F1553" s="6" t="str">
        <f ca="1">IFERROR(__xludf.DUMMYFUNCTION("""COMPUTED_VALUE"""),"PSM 2")</f>
        <v>PSM 2</v>
      </c>
      <c r="G1553" s="80">
        <f ca="1">IFERROR(__xludf.DUMMYFUNCTION("""COMPUTED_VALUE"""),44958)</f>
        <v>44958</v>
      </c>
      <c r="H1553" s="6" t="str">
        <f ca="1">IFERROR(__xludf.DUMMYFUNCTION("""COMPUTED_VALUE"""),"Won")</f>
        <v>Won</v>
      </c>
      <c r="I1553" s="6" t="str">
        <f ca="1">IFERROR(__xludf.DUMMYFUNCTION("""COMPUTED_VALUE"""),"25-26 Feb 2023")</f>
        <v>25-26 Feb 2023</v>
      </c>
      <c r="J1553" s="6">
        <f ca="1">IFERROR(__xludf.DUMMYFUNCTION("""COMPUTED_VALUE"""),1)</f>
        <v>1</v>
      </c>
      <c r="K1553" s="8">
        <f ca="1">IFERROR(__xludf.DUMMYFUNCTION("""COMPUTED_VALUE"""),24000)</f>
        <v>24000</v>
      </c>
      <c r="L1553" s="8">
        <f ca="1">IFERROR(__xludf.DUMMYFUNCTION("""COMPUTED_VALUE"""),274.851122308749)</f>
        <v>274.85112230874898</v>
      </c>
      <c r="M1553" s="96">
        <f ca="1">IFERROR(__xludf.DUMMYFUNCTION("""COMPUTED_VALUE"""),44973)</f>
        <v>44973</v>
      </c>
      <c r="N1553" s="6" t="str">
        <f ca="1">IFERROR(__xludf.DUMMYFUNCTION("""COMPUTED_VALUE"""),"S10")</f>
        <v>S10</v>
      </c>
      <c r="O1553" s="97">
        <f ca="1">IFERROR(__xludf.DUMMYFUNCTION("""COMPUTED_VALUE"""),44973)</f>
        <v>44973</v>
      </c>
      <c r="P1553" s="6" t="str">
        <f ca="1">IFERROR(__xludf.DUMMYFUNCTION("""COMPUTED_VALUE"""),"CSTM_CJIDRETX5F4")</f>
        <v>CSTM_CJIDRETX5F4</v>
      </c>
      <c r="Q1553" s="6"/>
      <c r="R1553" s="6" t="str">
        <f ca="1">IFERROR(__xludf.DUMMYFUNCTION("""COMPUTED_VALUE"""),"Pending")</f>
        <v>Pending</v>
      </c>
      <c r="S1553" s="6" t="str">
        <f ca="1">IFERROR(__xludf.DUMMYFUNCTION("""COMPUTED_VALUE"""),"Category")</f>
        <v>Category</v>
      </c>
      <c r="T1553" s="6"/>
      <c r="U1553" s="6"/>
      <c r="V1553" s="6"/>
      <c r="W1553" s="6"/>
      <c r="X1553" s="6"/>
      <c r="Y1553" s="6"/>
      <c r="Z1553" s="6"/>
      <c r="AA1553" s="6"/>
      <c r="AB1553" s="6"/>
      <c r="AC1553" s="6"/>
      <c r="AD1553" s="6"/>
      <c r="AE1553" s="6"/>
      <c r="AF1553" s="6"/>
      <c r="AG1553" s="6"/>
      <c r="AH1553" s="6"/>
      <c r="AI1553" s="6"/>
      <c r="AJ1553" s="6"/>
      <c r="AK1553" s="6"/>
      <c r="AL1553" s="6"/>
    </row>
    <row r="1554" spans="1:38">
      <c r="A1554" s="96">
        <f ca="1">IFERROR(__xludf.DUMMYFUNCTION("""COMPUTED_VALUE"""),44974)</f>
        <v>44974</v>
      </c>
      <c r="B1554" s="6" t="str">
        <f ca="1">IFERROR(__xludf.DUMMYFUNCTION("""COMPUTED_VALUE"""),"Pubalee Kalita")</f>
        <v>Pubalee Kalita</v>
      </c>
      <c r="C1554" s="6" t="str">
        <f ca="1">IFERROR(__xludf.DUMMYFUNCTION("""COMPUTED_VALUE"""),"pubalee1.kalita@gmail.com")</f>
        <v>pubalee1.kalita@gmail.com</v>
      </c>
      <c r="D1554" s="6">
        <f ca="1">IFERROR(__xludf.DUMMYFUNCTION("""COMPUTED_VALUE"""),9830312987)</f>
        <v>9830312987</v>
      </c>
      <c r="E1554" s="6" t="str">
        <f ca="1">IFERROR(__xludf.DUMMYFUNCTION("""COMPUTED_VALUE"""),"Reference")</f>
        <v>Reference</v>
      </c>
      <c r="F1554" s="6" t="str">
        <f ca="1">IFERROR(__xludf.DUMMYFUNCTION("""COMPUTED_VALUE"""),"PSM 2")</f>
        <v>PSM 2</v>
      </c>
      <c r="G1554" s="80">
        <f ca="1">IFERROR(__xludf.DUMMYFUNCTION("""COMPUTED_VALUE"""),44958)</f>
        <v>44958</v>
      </c>
      <c r="H1554" s="6" t="str">
        <f ca="1">IFERROR(__xludf.DUMMYFUNCTION("""COMPUTED_VALUE"""),"Won")</f>
        <v>Won</v>
      </c>
      <c r="I1554" s="6" t="str">
        <f ca="1">IFERROR(__xludf.DUMMYFUNCTION("""COMPUTED_VALUE"""),"25-26 Feb 2023")</f>
        <v>25-26 Feb 2023</v>
      </c>
      <c r="J1554" s="6">
        <f ca="1">IFERROR(__xludf.DUMMYFUNCTION("""COMPUTED_VALUE"""),1)</f>
        <v>1</v>
      </c>
      <c r="K1554" s="8">
        <f ca="1">IFERROR(__xludf.DUMMYFUNCTION("""COMPUTED_VALUE"""),24000)</f>
        <v>24000</v>
      </c>
      <c r="L1554" s="8">
        <f ca="1">IFERROR(__xludf.DUMMYFUNCTION("""COMPUTED_VALUE"""),274.851122308749)</f>
        <v>274.85112230874898</v>
      </c>
      <c r="M1554" s="96">
        <f ca="1">IFERROR(__xludf.DUMMYFUNCTION("""COMPUTED_VALUE"""),44974)</f>
        <v>44974</v>
      </c>
      <c r="N1554" s="6" t="str">
        <f ca="1">IFERROR(__xludf.DUMMYFUNCTION("""COMPUTED_VALUE"""),"S10")</f>
        <v>S10</v>
      </c>
      <c r="O1554" s="97">
        <f ca="1">IFERROR(__xludf.DUMMYFUNCTION("""COMPUTED_VALUE"""),44974)</f>
        <v>44974</v>
      </c>
      <c r="P1554" s="6" t="str">
        <f ca="1">IFERROR(__xludf.DUMMYFUNCTION("""COMPUTED_VALUE"""),"CSTM_38COD8W8NPT")</f>
        <v>CSTM_38COD8W8NPT</v>
      </c>
      <c r="Q1554" s="6" t="str">
        <f ca="1">IFERROR(__xludf.DUMMYFUNCTION("""COMPUTED_VALUE"""),"Reference by amrapaliashoka@gmail.com")</f>
        <v>Reference by amrapaliashoka@gmail.com</v>
      </c>
      <c r="R1554" s="6" t="str">
        <f ca="1">IFERROR(__xludf.DUMMYFUNCTION("""COMPUTED_VALUE"""),"Pending")</f>
        <v>Pending</v>
      </c>
      <c r="S1554" s="6" t="str">
        <f ca="1">IFERROR(__xludf.DUMMYFUNCTION("""COMPUTED_VALUE"""),"Category")</f>
        <v>Category</v>
      </c>
      <c r="T1554" s="6"/>
      <c r="U1554" s="6"/>
      <c r="V1554" s="6"/>
      <c r="W1554" s="6"/>
      <c r="X1554" s="6"/>
      <c r="Y1554" s="6"/>
      <c r="Z1554" s="6"/>
      <c r="AA1554" s="6"/>
      <c r="AB1554" s="6"/>
      <c r="AC1554" s="6"/>
      <c r="AD1554" s="6"/>
      <c r="AE1554" s="6"/>
      <c r="AF1554" s="6"/>
      <c r="AG1554" s="6"/>
      <c r="AH1554" s="6"/>
      <c r="AI1554" s="6"/>
      <c r="AJ1554" s="6"/>
      <c r="AK1554" s="6"/>
      <c r="AL1554" s="6"/>
    </row>
    <row r="1555" spans="1:38">
      <c r="A1555" s="96">
        <f ca="1">IFERROR(__xludf.DUMMYFUNCTION("""COMPUTED_VALUE"""),44974)</f>
        <v>44974</v>
      </c>
      <c r="B1555" s="6" t="str">
        <f ca="1">IFERROR(__xludf.DUMMYFUNCTION("""COMPUTED_VALUE"""),"Ayush Vyas")</f>
        <v>Ayush Vyas</v>
      </c>
      <c r="C1555" s="6" t="str">
        <f ca="1">IFERROR(__xludf.DUMMYFUNCTION("""COMPUTED_VALUE"""),"ayush.y.vyas@gmail.com")</f>
        <v>ayush.y.vyas@gmail.com</v>
      </c>
      <c r="D1555" s="6">
        <f ca="1">IFERROR(__xludf.DUMMYFUNCTION("""COMPUTED_VALUE"""),9930930248)</f>
        <v>9930930248</v>
      </c>
      <c r="E1555" s="6" t="str">
        <f ca="1">IFERROR(__xludf.DUMMYFUNCTION("""COMPUTED_VALUE"""),"App Quey box")</f>
        <v>App Quey box</v>
      </c>
      <c r="F1555" s="6" t="str">
        <f ca="1">IFERROR(__xludf.DUMMYFUNCTION("""COMPUTED_VALUE"""),"PSM")</f>
        <v>PSM</v>
      </c>
      <c r="G1555" s="80">
        <f ca="1">IFERROR(__xludf.DUMMYFUNCTION("""COMPUTED_VALUE"""),44958)</f>
        <v>44958</v>
      </c>
      <c r="H1555" s="6" t="str">
        <f ca="1">IFERROR(__xludf.DUMMYFUNCTION("""COMPUTED_VALUE"""),"Won")</f>
        <v>Won</v>
      </c>
      <c r="I1555" s="6" t="str">
        <f ca="1">IFERROR(__xludf.DUMMYFUNCTION("""COMPUTED_VALUE"""),"18-19 Feb 2023")</f>
        <v>18-19 Feb 2023</v>
      </c>
      <c r="J1555" s="6">
        <f ca="1">IFERROR(__xludf.DUMMYFUNCTION("""COMPUTED_VALUE"""),1)</f>
        <v>1</v>
      </c>
      <c r="K1555" s="8">
        <f ca="1">IFERROR(__xludf.DUMMYFUNCTION("""COMPUTED_VALUE"""),21000)</f>
        <v>21000</v>
      </c>
      <c r="L1555" s="8">
        <f ca="1">IFERROR(__xludf.DUMMYFUNCTION("""COMPUTED_VALUE"""),240.494732020155)</f>
        <v>240.494732020155</v>
      </c>
      <c r="M1555" s="96">
        <f ca="1">IFERROR(__xludf.DUMMYFUNCTION("""COMPUTED_VALUE"""),44974)</f>
        <v>44974</v>
      </c>
      <c r="N1555" s="6" t="str">
        <f ca="1">IFERROR(__xludf.DUMMYFUNCTION("""COMPUTED_VALUE"""),"S10")</f>
        <v>S10</v>
      </c>
      <c r="O1555" s="97">
        <f ca="1">IFERROR(__xludf.DUMMYFUNCTION("""COMPUTED_VALUE"""),44974)</f>
        <v>44974</v>
      </c>
      <c r="P1555" s="6" t="str">
        <f ca="1">IFERROR(__xludf.DUMMYFUNCTION("""COMPUTED_VALUE"""),"CSTM_5UDZV55W78G")</f>
        <v>CSTM_5UDZV55W78G</v>
      </c>
      <c r="Q1555" s="6"/>
      <c r="R1555" s="6" t="str">
        <f ca="1">IFERROR(__xludf.DUMMYFUNCTION("""COMPUTED_VALUE"""),"Pending")</f>
        <v>Pending</v>
      </c>
      <c r="S1555" s="6" t="str">
        <f ca="1">IFERROR(__xludf.DUMMYFUNCTION("""COMPUTED_VALUE"""),"Category")</f>
        <v>Category</v>
      </c>
      <c r="T1555" s="6"/>
      <c r="U1555" s="6"/>
      <c r="V1555" s="6"/>
      <c r="W1555" s="6"/>
      <c r="X1555" s="6"/>
      <c r="Y1555" s="6"/>
      <c r="Z1555" s="6"/>
      <c r="AA1555" s="6"/>
      <c r="AB1555" s="6"/>
      <c r="AC1555" s="6"/>
      <c r="AD1555" s="6"/>
      <c r="AE1555" s="6"/>
      <c r="AF1555" s="6"/>
      <c r="AG1555" s="6"/>
      <c r="AH1555" s="6"/>
      <c r="AI1555" s="6"/>
      <c r="AJ1555" s="6"/>
      <c r="AK1555" s="6"/>
      <c r="AL1555" s="6"/>
    </row>
    <row r="1556" spans="1:38">
      <c r="A1556" s="96">
        <f ca="1">IFERROR(__xludf.DUMMYFUNCTION("""COMPUTED_VALUE"""),44977)</f>
        <v>44977</v>
      </c>
      <c r="B1556" s="6" t="str">
        <f ca="1">IFERROR(__xludf.DUMMYFUNCTION("""COMPUTED_VALUE"""),"Vibha Yadav")</f>
        <v>Vibha Yadav</v>
      </c>
      <c r="C1556" s="6" t="str">
        <f ca="1">IFERROR(__xludf.DUMMYFUNCTION("""COMPUTED_VALUE"""),"vibha_yadav2008@yahoo.com")</f>
        <v>vibha_yadav2008@yahoo.com</v>
      </c>
      <c r="D1556" s="6">
        <f ca="1">IFERROR(__xludf.DUMMYFUNCTION("""COMPUTED_VALUE"""),7893803472)</f>
        <v>7893803472</v>
      </c>
      <c r="E1556" s="6" t="str">
        <f ca="1">IFERROR(__xludf.DUMMYFUNCTION("""COMPUTED_VALUE"""),"Reference")</f>
        <v>Reference</v>
      </c>
      <c r="F1556" s="6" t="str">
        <f ca="1">IFERROR(__xludf.DUMMYFUNCTION("""COMPUTED_VALUE"""),"PSM 2")</f>
        <v>PSM 2</v>
      </c>
      <c r="G1556" s="80">
        <f ca="1">IFERROR(__xludf.DUMMYFUNCTION("""COMPUTED_VALUE"""),44958)</f>
        <v>44958</v>
      </c>
      <c r="H1556" s="6" t="str">
        <f ca="1">IFERROR(__xludf.DUMMYFUNCTION("""COMPUTED_VALUE"""),"Won")</f>
        <v>Won</v>
      </c>
      <c r="I1556" s="6" t="str">
        <f ca="1">IFERROR(__xludf.DUMMYFUNCTION("""COMPUTED_VALUE"""),"25-26 Feb 2023")</f>
        <v>25-26 Feb 2023</v>
      </c>
      <c r="J1556" s="6">
        <f ca="1">IFERROR(__xludf.DUMMYFUNCTION("""COMPUTED_VALUE"""),1)</f>
        <v>1</v>
      </c>
      <c r="K1556" s="8">
        <f ca="1">IFERROR(__xludf.DUMMYFUNCTION("""COMPUTED_VALUE"""),24000)</f>
        <v>24000</v>
      </c>
      <c r="L1556" s="8">
        <f ca="1">IFERROR(__xludf.DUMMYFUNCTION("""COMPUTED_VALUE"""),274.851122308749)</f>
        <v>274.85112230874898</v>
      </c>
      <c r="M1556" s="96">
        <f ca="1">IFERROR(__xludf.DUMMYFUNCTION("""COMPUTED_VALUE"""),44977)</f>
        <v>44977</v>
      </c>
      <c r="N1556" s="6" t="str">
        <f ca="1">IFERROR(__xludf.DUMMYFUNCTION("""COMPUTED_VALUE"""),"S10")</f>
        <v>S10</v>
      </c>
      <c r="O1556" s="97">
        <f ca="1">IFERROR(__xludf.DUMMYFUNCTION("""COMPUTED_VALUE"""),44977)</f>
        <v>44977</v>
      </c>
      <c r="P1556" s="6" t="str">
        <f ca="1">IFERROR(__xludf.DUMMYFUNCTION("""COMPUTED_VALUE"""),"CSTM_3QVJ459O5CS")</f>
        <v>CSTM_3QVJ459O5CS</v>
      </c>
      <c r="Q1556" s="6" t="str">
        <f ca="1">IFERROR(__xludf.DUMMYFUNCTION("""COMPUTED_VALUE"""),"Reference by hbhatia1987@hotmail.com")</f>
        <v>Reference by hbhatia1987@hotmail.com</v>
      </c>
      <c r="R1556" s="6" t="str">
        <f ca="1">IFERROR(__xludf.DUMMYFUNCTION("""COMPUTED_VALUE"""),"Pending")</f>
        <v>Pending</v>
      </c>
      <c r="S1556" s="6" t="str">
        <f ca="1">IFERROR(__xludf.DUMMYFUNCTION("""COMPUTED_VALUE"""),"Category")</f>
        <v>Category</v>
      </c>
      <c r="T1556" s="6"/>
      <c r="U1556" s="6"/>
      <c r="V1556" s="6"/>
      <c r="W1556" s="6"/>
      <c r="X1556" s="6"/>
      <c r="Y1556" s="6"/>
      <c r="Z1556" s="6"/>
      <c r="AA1556" s="6"/>
      <c r="AB1556" s="6"/>
      <c r="AC1556" s="6"/>
      <c r="AD1556" s="6"/>
      <c r="AE1556" s="6"/>
      <c r="AF1556" s="6"/>
      <c r="AG1556" s="6"/>
      <c r="AH1556" s="6"/>
      <c r="AI1556" s="6"/>
      <c r="AJ1556" s="6"/>
      <c r="AK1556" s="6"/>
      <c r="AL1556" s="6"/>
    </row>
    <row r="1557" spans="1:38">
      <c r="A1557" s="96">
        <f ca="1">IFERROR(__xludf.DUMMYFUNCTION("""COMPUTED_VALUE"""),44977)</f>
        <v>44977</v>
      </c>
      <c r="B1557" s="6" t="str">
        <f ca="1">IFERROR(__xludf.DUMMYFUNCTION("""COMPUTED_VALUE"""),"Kamaldeep Sharma")</f>
        <v>Kamaldeep Sharma</v>
      </c>
      <c r="C1557" s="6" t="str">
        <f ca="1">IFERROR(__xludf.DUMMYFUNCTION("""COMPUTED_VALUE"""),"kamalsharma14feb@gmail.com")</f>
        <v>kamalsharma14feb@gmail.com</v>
      </c>
      <c r="D1557" s="6">
        <f ca="1">IFERROR(__xludf.DUMMYFUNCTION("""COMPUTED_VALUE"""),8556891089)</f>
        <v>8556891089</v>
      </c>
      <c r="E1557" s="6" t="str">
        <f ca="1">IFERROR(__xludf.DUMMYFUNCTION("""COMPUTED_VALUE"""),"Chat_triggered")</f>
        <v>Chat_triggered</v>
      </c>
      <c r="F1557" s="6" t="str">
        <f ca="1">IFERROR(__xludf.DUMMYFUNCTION("""COMPUTED_VALUE"""),"CSPO")</f>
        <v>CSPO</v>
      </c>
      <c r="G1557" s="80">
        <f ca="1">IFERROR(__xludf.DUMMYFUNCTION("""COMPUTED_VALUE"""),44958)</f>
        <v>44958</v>
      </c>
      <c r="H1557" s="6" t="str">
        <f ca="1">IFERROR(__xludf.DUMMYFUNCTION("""COMPUTED_VALUE"""),"Won")</f>
        <v>Won</v>
      </c>
      <c r="I1557" s="6" t="str">
        <f ca="1">IFERROR(__xludf.DUMMYFUNCTION("""COMPUTED_VALUE"""),"4-5 March 2023")</f>
        <v>4-5 March 2023</v>
      </c>
      <c r="J1557" s="6">
        <f ca="1">IFERROR(__xludf.DUMMYFUNCTION("""COMPUTED_VALUE"""),1)</f>
        <v>1</v>
      </c>
      <c r="K1557" s="8">
        <f ca="1">IFERROR(__xludf.DUMMYFUNCTION("""COMPUTED_VALUE"""),20000)</f>
        <v>20000</v>
      </c>
      <c r="L1557" s="8">
        <f ca="1">IFERROR(__xludf.DUMMYFUNCTION("""COMPUTED_VALUE"""),229.042601923957)</f>
        <v>229.04260192395699</v>
      </c>
      <c r="M1557" s="96">
        <f ca="1">IFERROR(__xludf.DUMMYFUNCTION("""COMPUTED_VALUE"""),44977)</f>
        <v>44977</v>
      </c>
      <c r="N1557" s="6" t="str">
        <f ca="1">IFERROR(__xludf.DUMMYFUNCTION("""COMPUTED_VALUE"""),"S10")</f>
        <v>S10</v>
      </c>
      <c r="O1557" s="97">
        <f ca="1">IFERROR(__xludf.DUMMYFUNCTION("""COMPUTED_VALUE"""),44977)</f>
        <v>44977</v>
      </c>
      <c r="P1557" s="6" t="str">
        <f ca="1">IFERROR(__xludf.DUMMYFUNCTION("""COMPUTED_VALUE"""),"CSTM_5A9UP7CNYHS")</f>
        <v>CSTM_5A9UP7CNYHS</v>
      </c>
      <c r="Q1557" s="6"/>
      <c r="R1557" s="6" t="str">
        <f ca="1">IFERROR(__xludf.DUMMYFUNCTION("""COMPUTED_VALUE"""),"Pending")</f>
        <v>Pending</v>
      </c>
      <c r="S1557" s="6" t="str">
        <f ca="1">IFERROR(__xludf.DUMMYFUNCTION("""COMPUTED_VALUE"""),"Category")</f>
        <v>Category</v>
      </c>
      <c r="T1557" s="6"/>
      <c r="U1557" s="6"/>
      <c r="V1557" s="6"/>
      <c r="W1557" s="6"/>
      <c r="X1557" s="6"/>
      <c r="Y1557" s="6"/>
      <c r="Z1557" s="6"/>
      <c r="AA1557" s="6"/>
      <c r="AB1557" s="6"/>
      <c r="AC1557" s="6"/>
      <c r="AD1557" s="6"/>
      <c r="AE1557" s="6"/>
      <c r="AF1557" s="6"/>
      <c r="AG1557" s="6"/>
      <c r="AH1557" s="6"/>
      <c r="AI1557" s="6"/>
      <c r="AJ1557" s="6"/>
      <c r="AK1557" s="6"/>
      <c r="AL1557" s="6"/>
    </row>
    <row r="1558" spans="1:38">
      <c r="A1558" s="96">
        <f ca="1">IFERROR(__xludf.DUMMYFUNCTION("""COMPUTED_VALUE"""),44977)</f>
        <v>44977</v>
      </c>
      <c r="B1558" s="6" t="str">
        <f ca="1">IFERROR(__xludf.DUMMYFUNCTION("""COMPUTED_VALUE"""),"Sri Radhika")</f>
        <v>Sri Radhika</v>
      </c>
      <c r="C1558" s="6" t="str">
        <f ca="1">IFERROR(__xludf.DUMMYFUNCTION("""COMPUTED_VALUE"""),"sriradhika@gmail.com")</f>
        <v>sriradhika@gmail.com</v>
      </c>
      <c r="D1558" s="6">
        <f ca="1">IFERROR(__xludf.DUMMYFUNCTION("""COMPUTED_VALUE"""),7276005595)</f>
        <v>7276005595</v>
      </c>
      <c r="E1558" s="6" t="str">
        <f ca="1">IFERROR(__xludf.DUMMYFUNCTION("""COMPUTED_VALUE"""),"Existing Account")</f>
        <v>Existing Account</v>
      </c>
      <c r="F1558" s="6" t="str">
        <f ca="1">IFERROR(__xludf.DUMMYFUNCTION("""COMPUTED_VALUE"""),"PSM 2")</f>
        <v>PSM 2</v>
      </c>
      <c r="G1558" s="80">
        <f ca="1">IFERROR(__xludf.DUMMYFUNCTION("""COMPUTED_VALUE"""),44958)</f>
        <v>44958</v>
      </c>
      <c r="H1558" s="6" t="str">
        <f ca="1">IFERROR(__xludf.DUMMYFUNCTION("""COMPUTED_VALUE"""),"Won")</f>
        <v>Won</v>
      </c>
      <c r="I1558" s="6" t="str">
        <f ca="1">IFERROR(__xludf.DUMMYFUNCTION("""COMPUTED_VALUE"""),"25-26 Feb 2023")</f>
        <v>25-26 Feb 2023</v>
      </c>
      <c r="J1558" s="6">
        <f ca="1">IFERROR(__xludf.DUMMYFUNCTION("""COMPUTED_VALUE"""),1)</f>
        <v>1</v>
      </c>
      <c r="K1558" s="8">
        <f ca="1">IFERROR(__xludf.DUMMYFUNCTION("""COMPUTED_VALUE"""),24000)</f>
        <v>24000</v>
      </c>
      <c r="L1558" s="8">
        <f ca="1">IFERROR(__xludf.DUMMYFUNCTION("""COMPUTED_VALUE"""),274.851122308749)</f>
        <v>274.85112230874898</v>
      </c>
      <c r="M1558" s="96">
        <f ca="1">IFERROR(__xludf.DUMMYFUNCTION("""COMPUTED_VALUE"""),44977)</f>
        <v>44977</v>
      </c>
      <c r="N1558" s="6" t="str">
        <f ca="1">IFERROR(__xludf.DUMMYFUNCTION("""COMPUTED_VALUE"""),"S10")</f>
        <v>S10</v>
      </c>
      <c r="O1558" s="97">
        <f ca="1">IFERROR(__xludf.DUMMYFUNCTION("""COMPUTED_VALUE"""),44977)</f>
        <v>44977</v>
      </c>
      <c r="P1558" s="6" t="str">
        <f ca="1">IFERROR(__xludf.DUMMYFUNCTION("""COMPUTED_VALUE"""),"CSTM_HV0YLQ8TLBD")</f>
        <v>CSTM_HV0YLQ8TLBD</v>
      </c>
      <c r="Q1558" s="6"/>
      <c r="R1558" s="6" t="str">
        <f ca="1">IFERROR(__xludf.DUMMYFUNCTION("""COMPUTED_VALUE"""),"Pending")</f>
        <v>Pending</v>
      </c>
      <c r="S1558" s="6" t="str">
        <f ca="1">IFERROR(__xludf.DUMMYFUNCTION("""COMPUTED_VALUE"""),"Category")</f>
        <v>Category</v>
      </c>
      <c r="T1558" s="6"/>
      <c r="U1558" s="6"/>
      <c r="V1558" s="6"/>
      <c r="W1558" s="6"/>
      <c r="X1558" s="6"/>
      <c r="Y1558" s="6"/>
      <c r="Z1558" s="6"/>
      <c r="AA1558" s="6"/>
      <c r="AB1558" s="6"/>
      <c r="AC1558" s="6"/>
      <c r="AD1558" s="6"/>
      <c r="AE1558" s="6"/>
      <c r="AF1558" s="6"/>
      <c r="AG1558" s="6"/>
      <c r="AH1558" s="6"/>
      <c r="AI1558" s="6"/>
      <c r="AJ1558" s="6"/>
      <c r="AK1558" s="6"/>
      <c r="AL1558" s="6"/>
    </row>
    <row r="1559" spans="1:38">
      <c r="A1559" s="96">
        <f ca="1">IFERROR(__xludf.DUMMYFUNCTION("""COMPUTED_VALUE"""),44977)</f>
        <v>44977</v>
      </c>
      <c r="B1559" s="6" t="str">
        <f ca="1">IFERROR(__xludf.DUMMYFUNCTION("""COMPUTED_VALUE"""),"Shweta Patekar")</f>
        <v>Shweta Patekar</v>
      </c>
      <c r="C1559" s="6" t="str">
        <f ca="1">IFERROR(__xludf.DUMMYFUNCTION("""COMPUTED_VALUE"""),"shwepatekar@gmail.com")</f>
        <v>shwepatekar@gmail.com</v>
      </c>
      <c r="D1559" s="6">
        <f ca="1">IFERROR(__xludf.DUMMYFUNCTION("""COMPUTED_VALUE"""),9096696826)</f>
        <v>9096696826</v>
      </c>
      <c r="E1559" s="6" t="str">
        <f ca="1">IFERROR(__xludf.DUMMYFUNCTION("""COMPUTED_VALUE"""),"Tollfree")</f>
        <v>Tollfree</v>
      </c>
      <c r="F1559" s="6" t="str">
        <f ca="1">IFERROR(__xludf.DUMMYFUNCTION("""COMPUTED_VALUE"""),"PSPO")</f>
        <v>PSPO</v>
      </c>
      <c r="G1559" s="80">
        <f ca="1">IFERROR(__xludf.DUMMYFUNCTION("""COMPUTED_VALUE"""),44958)</f>
        <v>44958</v>
      </c>
      <c r="H1559" s="6" t="str">
        <f ca="1">IFERROR(__xludf.DUMMYFUNCTION("""COMPUTED_VALUE"""),"Won")</f>
        <v>Won</v>
      </c>
      <c r="I1559" s="6" t="str">
        <f ca="1">IFERROR(__xludf.DUMMYFUNCTION("""COMPUTED_VALUE"""),"25-26 Feb 2023")</f>
        <v>25-26 Feb 2023</v>
      </c>
      <c r="J1559" s="6">
        <f ca="1">IFERROR(__xludf.DUMMYFUNCTION("""COMPUTED_VALUE"""),1)</f>
        <v>1</v>
      </c>
      <c r="K1559" s="8">
        <f ca="1">IFERROR(__xludf.DUMMYFUNCTION("""COMPUTED_VALUE"""),21000)</f>
        <v>21000</v>
      </c>
      <c r="L1559" s="8">
        <f ca="1">IFERROR(__xludf.DUMMYFUNCTION("""COMPUTED_VALUE"""),240.494732020155)</f>
        <v>240.494732020155</v>
      </c>
      <c r="M1559" s="96">
        <f ca="1">IFERROR(__xludf.DUMMYFUNCTION("""COMPUTED_VALUE"""),44977)</f>
        <v>44977</v>
      </c>
      <c r="N1559" s="6" t="str">
        <f ca="1">IFERROR(__xludf.DUMMYFUNCTION("""COMPUTED_VALUE"""),"S10")</f>
        <v>S10</v>
      </c>
      <c r="O1559" s="97">
        <f ca="1">IFERROR(__xludf.DUMMYFUNCTION("""COMPUTED_VALUE"""),44977)</f>
        <v>44977</v>
      </c>
      <c r="P1559" s="6" t="str">
        <f ca="1">IFERROR(__xludf.DUMMYFUNCTION("""COMPUTED_VALUE"""),"CSTM_6NFOJO2OUAH")</f>
        <v>CSTM_6NFOJO2OUAH</v>
      </c>
      <c r="Q1559" s="6"/>
      <c r="R1559" s="6" t="str">
        <f ca="1">IFERROR(__xludf.DUMMYFUNCTION("""COMPUTED_VALUE"""),"Pending")</f>
        <v>Pending</v>
      </c>
      <c r="S1559" s="6" t="str">
        <f ca="1">IFERROR(__xludf.DUMMYFUNCTION("""COMPUTED_VALUE"""),"Category")</f>
        <v>Category</v>
      </c>
      <c r="T1559" s="6"/>
      <c r="U1559" s="6"/>
      <c r="V1559" s="6"/>
      <c r="W1559" s="6"/>
      <c r="X1559" s="6"/>
      <c r="Y1559" s="6"/>
      <c r="Z1559" s="6"/>
      <c r="AA1559" s="6"/>
      <c r="AB1559" s="6"/>
      <c r="AC1559" s="6"/>
      <c r="AD1559" s="6"/>
      <c r="AE1559" s="6"/>
      <c r="AF1559" s="6"/>
      <c r="AG1559" s="6"/>
      <c r="AH1559" s="6"/>
      <c r="AI1559" s="6"/>
      <c r="AJ1559" s="6"/>
      <c r="AK1559" s="6"/>
      <c r="AL1559" s="6"/>
    </row>
    <row r="1560" spans="1:38">
      <c r="A1560" s="96">
        <f ca="1">IFERROR(__xludf.DUMMYFUNCTION("""COMPUTED_VALUE"""),44977)</f>
        <v>44977</v>
      </c>
      <c r="B1560" s="6" t="str">
        <f ca="1">IFERROR(__xludf.DUMMYFUNCTION("""COMPUTED_VALUE"""),"Anand Chamy")</f>
        <v>Anand Chamy</v>
      </c>
      <c r="C1560" s="6" t="str">
        <f ca="1">IFERROR(__xludf.DUMMYFUNCTION("""COMPUTED_VALUE"""),"amarchamy@gmail.com")</f>
        <v>amarchamy@gmail.com</v>
      </c>
      <c r="D1560" s="6">
        <f ca="1">IFERROR(__xludf.DUMMYFUNCTION("""COMPUTED_VALUE"""),7601025330)</f>
        <v>7601025330</v>
      </c>
      <c r="E1560" s="6" t="str">
        <f ca="1">IFERROR(__xludf.DUMMYFUNCTION("""COMPUTED_VALUE"""),"Reference")</f>
        <v>Reference</v>
      </c>
      <c r="F1560" s="6" t="str">
        <f ca="1">IFERROR(__xludf.DUMMYFUNCTION("""COMPUTED_VALUE"""),"PSM 2")</f>
        <v>PSM 2</v>
      </c>
      <c r="G1560" s="80">
        <f ca="1">IFERROR(__xludf.DUMMYFUNCTION("""COMPUTED_VALUE"""),44958)</f>
        <v>44958</v>
      </c>
      <c r="H1560" s="6" t="str">
        <f ca="1">IFERROR(__xludf.DUMMYFUNCTION("""COMPUTED_VALUE"""),"Won")</f>
        <v>Won</v>
      </c>
      <c r="I1560" s="6" t="str">
        <f ca="1">IFERROR(__xludf.DUMMYFUNCTION("""COMPUTED_VALUE"""),"11-12 March 2023")</f>
        <v>11-12 March 2023</v>
      </c>
      <c r="J1560" s="6">
        <f ca="1">IFERROR(__xludf.DUMMYFUNCTION("""COMPUTED_VALUE"""),1)</f>
        <v>1</v>
      </c>
      <c r="K1560" s="8">
        <f ca="1">IFERROR(__xludf.DUMMYFUNCTION("""COMPUTED_VALUE"""),24000)</f>
        <v>24000</v>
      </c>
      <c r="L1560" s="8">
        <f ca="1">IFERROR(__xludf.DUMMYFUNCTION("""COMPUTED_VALUE"""),274.851122308749)</f>
        <v>274.85112230874898</v>
      </c>
      <c r="M1560" s="96">
        <f ca="1">IFERROR(__xludf.DUMMYFUNCTION("""COMPUTED_VALUE"""),44977)</f>
        <v>44977</v>
      </c>
      <c r="N1560" s="6" t="str">
        <f ca="1">IFERROR(__xludf.DUMMYFUNCTION("""COMPUTED_VALUE"""),"S10")</f>
        <v>S10</v>
      </c>
      <c r="O1560" s="97">
        <f ca="1">IFERROR(__xludf.DUMMYFUNCTION("""COMPUTED_VALUE"""),44977)</f>
        <v>44977</v>
      </c>
      <c r="P1560" s="6" t="str">
        <f ca="1">IFERROR(__xludf.DUMMYFUNCTION("""COMPUTED_VALUE"""),"CSTM_HC6EZJBT4G3")</f>
        <v>CSTM_HC6EZJBT4G3</v>
      </c>
      <c r="Q1560" s="6" t="str">
        <f ca="1">IFERROR(__xludf.DUMMYFUNCTION("""COMPUTED_VALUE"""),"Reference by nataraj.priya@gmail.com")</f>
        <v>Reference by nataraj.priya@gmail.com</v>
      </c>
      <c r="R1560" s="6" t="str">
        <f ca="1">IFERROR(__xludf.DUMMYFUNCTION("""COMPUTED_VALUE"""),"Pending")</f>
        <v>Pending</v>
      </c>
      <c r="S1560" s="6" t="str">
        <f ca="1">IFERROR(__xludf.DUMMYFUNCTION("""COMPUTED_VALUE"""),"Category")</f>
        <v>Category</v>
      </c>
      <c r="T1560" s="6"/>
      <c r="U1560" s="6"/>
      <c r="V1560" s="6"/>
      <c r="W1560" s="6"/>
      <c r="X1560" s="6"/>
      <c r="Y1560" s="6"/>
      <c r="Z1560" s="6"/>
      <c r="AA1560" s="6"/>
      <c r="AB1560" s="6"/>
      <c r="AC1560" s="6"/>
      <c r="AD1560" s="6"/>
      <c r="AE1560" s="6"/>
      <c r="AF1560" s="6"/>
      <c r="AG1560" s="6"/>
      <c r="AH1560" s="6"/>
      <c r="AI1560" s="6"/>
      <c r="AJ1560" s="6"/>
      <c r="AK1560" s="6"/>
      <c r="AL1560" s="6"/>
    </row>
    <row r="1561" spans="1:38">
      <c r="A1561" s="96">
        <f ca="1">IFERROR(__xludf.DUMMYFUNCTION("""COMPUTED_VALUE"""),44977)</f>
        <v>44977</v>
      </c>
      <c r="B1561" s="6" t="str">
        <f ca="1">IFERROR(__xludf.DUMMYFUNCTION("""COMPUTED_VALUE"""),"Shivani Jain")</f>
        <v>Shivani Jain</v>
      </c>
      <c r="C1561" s="6" t="str">
        <f ca="1">IFERROR(__xludf.DUMMYFUNCTION("""COMPUTED_VALUE"""),"shivanijain.1@gmail.com")</f>
        <v>shivanijain.1@gmail.com</v>
      </c>
      <c r="D1561" s="6">
        <f ca="1">IFERROR(__xludf.DUMMYFUNCTION("""COMPUTED_VALUE"""),7777055122)</f>
        <v>7777055122</v>
      </c>
      <c r="E1561" s="6" t="str">
        <f ca="1">IFERROR(__xludf.DUMMYFUNCTION("""COMPUTED_VALUE"""),"Query box")</f>
        <v>Query box</v>
      </c>
      <c r="F1561" s="6" t="str">
        <f ca="1">IFERROR(__xludf.DUMMYFUNCTION("""COMPUTED_VALUE"""),"CSPO")</f>
        <v>CSPO</v>
      </c>
      <c r="G1561" s="80">
        <f ca="1">IFERROR(__xludf.DUMMYFUNCTION("""COMPUTED_VALUE"""),44958)</f>
        <v>44958</v>
      </c>
      <c r="H1561" s="6" t="str">
        <f ca="1">IFERROR(__xludf.DUMMYFUNCTION("""COMPUTED_VALUE"""),"Won")</f>
        <v>Won</v>
      </c>
      <c r="I1561" s="6" t="str">
        <f ca="1">IFERROR(__xludf.DUMMYFUNCTION("""COMPUTED_VALUE"""),"25-26 Feb 2023")</f>
        <v>25-26 Feb 2023</v>
      </c>
      <c r="J1561" s="6">
        <f ca="1">IFERROR(__xludf.DUMMYFUNCTION("""COMPUTED_VALUE"""),1)</f>
        <v>1</v>
      </c>
      <c r="K1561" s="8">
        <f ca="1">IFERROR(__xludf.DUMMYFUNCTION("""COMPUTED_VALUE"""),20000)</f>
        <v>20000</v>
      </c>
      <c r="L1561" s="8">
        <f ca="1">IFERROR(__xludf.DUMMYFUNCTION("""COMPUTED_VALUE"""),229.042601923957)</f>
        <v>229.04260192395699</v>
      </c>
      <c r="M1561" s="96">
        <f ca="1">IFERROR(__xludf.DUMMYFUNCTION("""COMPUTED_VALUE"""),44977)</f>
        <v>44977</v>
      </c>
      <c r="N1561" s="6" t="str">
        <f ca="1">IFERROR(__xludf.DUMMYFUNCTION("""COMPUTED_VALUE"""),"S10")</f>
        <v>S10</v>
      </c>
      <c r="O1561" s="97">
        <f ca="1">IFERROR(__xludf.DUMMYFUNCTION("""COMPUTED_VALUE"""),44977)</f>
        <v>44977</v>
      </c>
      <c r="P1561" s="6" t="str">
        <f ca="1">IFERROR(__xludf.DUMMYFUNCTION("""COMPUTED_VALUE"""),"CSTM_A3N7VFAIL6Z")</f>
        <v>CSTM_A3N7VFAIL6Z</v>
      </c>
      <c r="Q1561" s="6"/>
      <c r="R1561" s="6" t="str">
        <f ca="1">IFERROR(__xludf.DUMMYFUNCTION("""COMPUTED_VALUE"""),"Pending")</f>
        <v>Pending</v>
      </c>
      <c r="S1561" s="6" t="str">
        <f ca="1">IFERROR(__xludf.DUMMYFUNCTION("""COMPUTED_VALUE"""),"Category")</f>
        <v>Category</v>
      </c>
      <c r="T1561" s="6"/>
      <c r="U1561" s="6"/>
      <c r="V1561" s="6"/>
      <c r="W1561" s="6"/>
      <c r="X1561" s="6"/>
      <c r="Y1561" s="6"/>
      <c r="Z1561" s="6"/>
      <c r="AA1561" s="6"/>
      <c r="AB1561" s="6"/>
      <c r="AC1561" s="6"/>
      <c r="AD1561" s="6"/>
      <c r="AE1561" s="6"/>
      <c r="AF1561" s="6"/>
      <c r="AG1561" s="6"/>
      <c r="AH1561" s="6"/>
      <c r="AI1561" s="6"/>
      <c r="AJ1561" s="6"/>
      <c r="AK1561" s="6"/>
      <c r="AL1561" s="6"/>
    </row>
    <row r="1562" spans="1:38">
      <c r="A1562" s="96">
        <f ca="1">IFERROR(__xludf.DUMMYFUNCTION("""COMPUTED_VALUE"""),44977)</f>
        <v>44977</v>
      </c>
      <c r="B1562" s="6" t="str">
        <f ca="1">IFERROR(__xludf.DUMMYFUNCTION("""COMPUTED_VALUE"""),"Kalyani Reddy")</f>
        <v>Kalyani Reddy</v>
      </c>
      <c r="C1562" s="6" t="str">
        <f ca="1">IFERROR(__xludf.DUMMYFUNCTION("""COMPUTED_VALUE"""),"kalyanireddyk@gmail.com")</f>
        <v>kalyanireddyk@gmail.com</v>
      </c>
      <c r="D1562" s="6">
        <f ca="1">IFERROR(__xludf.DUMMYFUNCTION("""COMPUTED_VALUE"""),9246509766)</f>
        <v>9246509766</v>
      </c>
      <c r="E1562" s="6" t="str">
        <f ca="1">IFERROR(__xludf.DUMMYFUNCTION("""COMPUTED_VALUE"""),"chat_initiated")</f>
        <v>chat_initiated</v>
      </c>
      <c r="F1562" s="6" t="str">
        <f ca="1">IFERROR(__xludf.DUMMYFUNCTION("""COMPUTED_VALUE"""),"PSM 2")</f>
        <v>PSM 2</v>
      </c>
      <c r="G1562" s="80">
        <f ca="1">IFERROR(__xludf.DUMMYFUNCTION("""COMPUTED_VALUE"""),44958)</f>
        <v>44958</v>
      </c>
      <c r="H1562" s="6" t="str">
        <f ca="1">IFERROR(__xludf.DUMMYFUNCTION("""COMPUTED_VALUE"""),"Won")</f>
        <v>Won</v>
      </c>
      <c r="I1562" s="6" t="str">
        <f ca="1">IFERROR(__xludf.DUMMYFUNCTION("""COMPUTED_VALUE"""),"25-26 Feb 2023")</f>
        <v>25-26 Feb 2023</v>
      </c>
      <c r="J1562" s="6">
        <f ca="1">IFERROR(__xludf.DUMMYFUNCTION("""COMPUTED_VALUE"""),1)</f>
        <v>1</v>
      </c>
      <c r="K1562" s="8">
        <f ca="1">IFERROR(__xludf.DUMMYFUNCTION("""COMPUTED_VALUE"""),24000)</f>
        <v>24000</v>
      </c>
      <c r="L1562" s="8">
        <f ca="1">IFERROR(__xludf.DUMMYFUNCTION("""COMPUTED_VALUE"""),274.851122308749)</f>
        <v>274.85112230874898</v>
      </c>
      <c r="M1562" s="96">
        <f ca="1">IFERROR(__xludf.DUMMYFUNCTION("""COMPUTED_VALUE"""),44977)</f>
        <v>44977</v>
      </c>
      <c r="N1562" s="6" t="str">
        <f ca="1">IFERROR(__xludf.DUMMYFUNCTION("""COMPUTED_VALUE"""),"S10")</f>
        <v>S10</v>
      </c>
      <c r="O1562" s="97">
        <f ca="1">IFERROR(__xludf.DUMMYFUNCTION("""COMPUTED_VALUE"""),44977)</f>
        <v>44977</v>
      </c>
      <c r="P1562" s="6" t="str">
        <f ca="1">IFERROR(__xludf.DUMMYFUNCTION("""COMPUTED_VALUE"""),"CSTM_X35KFYRVWQ")</f>
        <v>CSTM_X35KFYRVWQ</v>
      </c>
      <c r="Q1562" s="6"/>
      <c r="R1562" s="6" t="str">
        <f ca="1">IFERROR(__xludf.DUMMYFUNCTION("""COMPUTED_VALUE"""),"Pending")</f>
        <v>Pending</v>
      </c>
      <c r="S1562" s="6" t="str">
        <f ca="1">IFERROR(__xludf.DUMMYFUNCTION("""COMPUTED_VALUE"""),"Category")</f>
        <v>Category</v>
      </c>
      <c r="T1562" s="6"/>
      <c r="U1562" s="6"/>
      <c r="V1562" s="6"/>
      <c r="W1562" s="6"/>
      <c r="X1562" s="6"/>
      <c r="Y1562" s="6"/>
      <c r="Z1562" s="6"/>
      <c r="AA1562" s="6"/>
      <c r="AB1562" s="6"/>
      <c r="AC1562" s="6"/>
      <c r="AD1562" s="6"/>
      <c r="AE1562" s="6"/>
      <c r="AF1562" s="6"/>
      <c r="AG1562" s="6"/>
      <c r="AH1562" s="6"/>
      <c r="AI1562" s="6"/>
      <c r="AJ1562" s="6"/>
      <c r="AK1562" s="6"/>
      <c r="AL1562" s="6"/>
    </row>
    <row r="1563" spans="1:38">
      <c r="A1563" s="96">
        <f ca="1">IFERROR(__xludf.DUMMYFUNCTION("""COMPUTED_VALUE"""),44977)</f>
        <v>44977</v>
      </c>
      <c r="B1563" s="6" t="str">
        <f ca="1">IFERROR(__xludf.DUMMYFUNCTION("""COMPUTED_VALUE"""),"Anjum Naziya")</f>
        <v>Anjum Naziya</v>
      </c>
      <c r="C1563" s="6" t="str">
        <f ca="1">IFERROR(__xludf.DUMMYFUNCTION("""COMPUTED_VALUE"""),"anjumnaziya90@gmail.com")</f>
        <v>anjumnaziya90@gmail.com</v>
      </c>
      <c r="D1563" s="6">
        <f ca="1">IFERROR(__xludf.DUMMYFUNCTION("""COMPUTED_VALUE"""),9945882245)</f>
        <v>9945882245</v>
      </c>
      <c r="E1563" s="6" t="str">
        <f ca="1">IFERROR(__xludf.DUMMYFUNCTION("""COMPUTED_VALUE"""),"Request a call")</f>
        <v>Request a call</v>
      </c>
      <c r="F1563" s="6" t="str">
        <f ca="1">IFERROR(__xludf.DUMMYFUNCTION("""COMPUTED_VALUE"""),"PSM 2")</f>
        <v>PSM 2</v>
      </c>
      <c r="G1563" s="80">
        <f ca="1">IFERROR(__xludf.DUMMYFUNCTION("""COMPUTED_VALUE"""),44958)</f>
        <v>44958</v>
      </c>
      <c r="H1563" s="6" t="str">
        <f ca="1">IFERROR(__xludf.DUMMYFUNCTION("""COMPUTED_VALUE"""),"Won")</f>
        <v>Won</v>
      </c>
      <c r="I1563" s="6" t="str">
        <f ca="1">IFERROR(__xludf.DUMMYFUNCTION("""COMPUTED_VALUE"""),"25-26 Feb 2023")</f>
        <v>25-26 Feb 2023</v>
      </c>
      <c r="J1563" s="6">
        <f ca="1">IFERROR(__xludf.DUMMYFUNCTION("""COMPUTED_VALUE"""),1)</f>
        <v>1</v>
      </c>
      <c r="K1563" s="8">
        <f ca="1">IFERROR(__xludf.DUMMYFUNCTION("""COMPUTED_VALUE"""),24000)</f>
        <v>24000</v>
      </c>
      <c r="L1563" s="8">
        <f ca="1">IFERROR(__xludf.DUMMYFUNCTION("""COMPUTED_VALUE"""),274.851122308749)</f>
        <v>274.85112230874898</v>
      </c>
      <c r="M1563" s="96">
        <f ca="1">IFERROR(__xludf.DUMMYFUNCTION("""COMPUTED_VALUE"""),44977)</f>
        <v>44977</v>
      </c>
      <c r="N1563" s="6" t="str">
        <f ca="1">IFERROR(__xludf.DUMMYFUNCTION("""COMPUTED_VALUE"""),"T10")</f>
        <v>T10</v>
      </c>
      <c r="O1563" s="97">
        <f ca="1">IFERROR(__xludf.DUMMYFUNCTION("""COMPUTED_VALUE"""),44978)</f>
        <v>44978</v>
      </c>
      <c r="P1563" s="6" t="str">
        <f ca="1">IFERROR(__xludf.DUMMYFUNCTION("""COMPUTED_VALUE"""),"CSTM_FUJMF6X4U3L")</f>
        <v>CSTM_FUJMF6X4U3L</v>
      </c>
      <c r="Q1563" s="6"/>
      <c r="R1563" s="6" t="str">
        <f ca="1">IFERROR(__xludf.DUMMYFUNCTION("""COMPUTED_VALUE"""),"Pending")</f>
        <v>Pending</v>
      </c>
      <c r="S1563" s="6" t="str">
        <f ca="1">IFERROR(__xludf.DUMMYFUNCTION("""COMPUTED_VALUE"""),"Category")</f>
        <v>Category</v>
      </c>
      <c r="T1563" s="6"/>
      <c r="U1563" s="6"/>
      <c r="V1563" s="6"/>
      <c r="W1563" s="6"/>
      <c r="X1563" s="6"/>
      <c r="Y1563" s="6"/>
      <c r="Z1563" s="6"/>
      <c r="AA1563" s="6"/>
      <c r="AB1563" s="6"/>
      <c r="AC1563" s="6"/>
      <c r="AD1563" s="6"/>
      <c r="AE1563" s="6"/>
      <c r="AF1563" s="6"/>
      <c r="AG1563" s="6"/>
      <c r="AH1563" s="6"/>
      <c r="AI1563" s="6"/>
      <c r="AJ1563" s="6"/>
      <c r="AK1563" s="6"/>
      <c r="AL1563" s="6"/>
    </row>
    <row r="1564" spans="1:38">
      <c r="A1564" s="96">
        <f ca="1">IFERROR(__xludf.DUMMYFUNCTION("""COMPUTED_VALUE"""),44977)</f>
        <v>44977</v>
      </c>
      <c r="B1564" s="6" t="str">
        <f ca="1">IFERROR(__xludf.DUMMYFUNCTION("""COMPUTED_VALUE"""),"Sherin Mohamed")</f>
        <v>Sherin Mohamed</v>
      </c>
      <c r="C1564" s="6" t="str">
        <f ca="1">IFERROR(__xludf.DUMMYFUNCTION("""COMPUTED_VALUE"""),"sherin.mohamed@hotmail.com")</f>
        <v>sherin.mohamed@hotmail.com</v>
      </c>
      <c r="D1564" s="6">
        <f ca="1">IFERROR(__xludf.DUMMYFUNCTION("""COMPUTED_VALUE"""),9901977148)</f>
        <v>9901977148</v>
      </c>
      <c r="E1564" s="6" t="str">
        <f ca="1">IFERROR(__xludf.DUMMYFUNCTION("""COMPUTED_VALUE"""),"Reference")</f>
        <v>Reference</v>
      </c>
      <c r="F1564" s="6" t="str">
        <f ca="1">IFERROR(__xludf.DUMMYFUNCTION("""COMPUTED_VALUE"""),"PMP")</f>
        <v>PMP</v>
      </c>
      <c r="G1564" s="80">
        <f ca="1">IFERROR(__xludf.DUMMYFUNCTION("""COMPUTED_VALUE"""),44958)</f>
        <v>44958</v>
      </c>
      <c r="H1564" s="6" t="str">
        <f ca="1">IFERROR(__xludf.DUMMYFUNCTION("""COMPUTED_VALUE"""),"Won")</f>
        <v>Won</v>
      </c>
      <c r="I1564" s="6" t="str">
        <f ca="1">IFERROR(__xludf.DUMMYFUNCTION("""COMPUTED_VALUE"""),"25 Feb 2023")</f>
        <v>25 Feb 2023</v>
      </c>
      <c r="J1564" s="6">
        <f ca="1">IFERROR(__xludf.DUMMYFUNCTION("""COMPUTED_VALUE"""),1)</f>
        <v>1</v>
      </c>
      <c r="K1564" s="8">
        <f ca="1">IFERROR(__xludf.DUMMYFUNCTION("""COMPUTED_VALUE"""),10000)</f>
        <v>10000</v>
      </c>
      <c r="L1564" s="8">
        <f ca="1">IFERROR(__xludf.DUMMYFUNCTION("""COMPUTED_VALUE"""),114.521300961978)</f>
        <v>114.521300961978</v>
      </c>
      <c r="M1564" s="96">
        <f ca="1">IFERROR(__xludf.DUMMYFUNCTION("""COMPUTED_VALUE"""),44977)</f>
        <v>44977</v>
      </c>
      <c r="N1564" s="6" t="str">
        <f ca="1">IFERROR(__xludf.DUMMYFUNCTION("""COMPUTED_VALUE"""),"T10")</f>
        <v>T10</v>
      </c>
      <c r="O1564" s="97">
        <f ca="1">IFERROR(__xludf.DUMMYFUNCTION("""COMPUTED_VALUE"""),44979)</f>
        <v>44979</v>
      </c>
      <c r="P1564" s="6" t="str">
        <f ca="1">IFERROR(__xludf.DUMMYFUNCTION("""COMPUTED_VALUE"""),"CSTM_GS8I9DC3407")</f>
        <v>CSTM_GS8I9DC3407</v>
      </c>
      <c r="Q1564" s="6" t="str">
        <f ca="1">IFERROR(__xludf.DUMMYFUNCTION("""COMPUTED_VALUE"""),"Reference by amrapaliashoka@gmail.com")</f>
        <v>Reference by amrapaliashoka@gmail.com</v>
      </c>
      <c r="R1564" s="6" t="str">
        <f ca="1">IFERROR(__xludf.DUMMYFUNCTION("""COMPUTED_VALUE"""),"Pending")</f>
        <v>Pending</v>
      </c>
      <c r="S1564" s="6" t="str">
        <f ca="1">IFERROR(__xludf.DUMMYFUNCTION("""COMPUTED_VALUE"""),"NonCategory")</f>
        <v>NonCategory</v>
      </c>
      <c r="T1564" s="6"/>
      <c r="U1564" s="6"/>
      <c r="V1564" s="6"/>
      <c r="W1564" s="6"/>
      <c r="X1564" s="6"/>
      <c r="Y1564" s="6"/>
      <c r="Z1564" s="6"/>
      <c r="AA1564" s="6"/>
      <c r="AB1564" s="6"/>
      <c r="AC1564" s="6"/>
      <c r="AD1564" s="6"/>
      <c r="AE1564" s="6"/>
      <c r="AF1564" s="6"/>
      <c r="AG1564" s="6"/>
      <c r="AH1564" s="6"/>
      <c r="AI1564" s="6"/>
      <c r="AJ1564" s="6"/>
      <c r="AK1564" s="6"/>
      <c r="AL1564" s="6"/>
    </row>
    <row r="1565" spans="1:38">
      <c r="A1565" s="96">
        <f ca="1">IFERROR(__xludf.DUMMYFUNCTION("""COMPUTED_VALUE"""),44978)</f>
        <v>44978</v>
      </c>
      <c r="B1565" s="6" t="str">
        <f ca="1">IFERROR(__xludf.DUMMYFUNCTION("""COMPUTED_VALUE"""),"Shivaram Shastry")</f>
        <v>Shivaram Shastry</v>
      </c>
      <c r="C1565" s="6" t="str">
        <f ca="1">IFERROR(__xludf.DUMMYFUNCTION("""COMPUTED_VALUE"""),"shivaram.shastry@gmail.com")</f>
        <v>shivaram.shastry@gmail.com</v>
      </c>
      <c r="D1565" s="6">
        <f ca="1">IFERROR(__xludf.DUMMYFUNCTION("""COMPUTED_VALUE"""),9110432914)</f>
        <v>9110432914</v>
      </c>
      <c r="E1565" s="6" t="str">
        <f ca="1">IFERROR(__xludf.DUMMYFUNCTION("""COMPUTED_VALUE"""),"Reference")</f>
        <v>Reference</v>
      </c>
      <c r="F1565" s="6" t="str">
        <f ca="1">IFERROR(__xludf.DUMMYFUNCTION("""COMPUTED_VALUE"""),"PSM 2")</f>
        <v>PSM 2</v>
      </c>
      <c r="G1565" s="80">
        <f ca="1">IFERROR(__xludf.DUMMYFUNCTION("""COMPUTED_VALUE"""),44958)</f>
        <v>44958</v>
      </c>
      <c r="H1565" s="6" t="str">
        <f ca="1">IFERROR(__xludf.DUMMYFUNCTION("""COMPUTED_VALUE"""),"Won")</f>
        <v>Won</v>
      </c>
      <c r="I1565" s="6" t="str">
        <f ca="1">IFERROR(__xludf.DUMMYFUNCTION("""COMPUTED_VALUE"""),"25-26 Feb 2023")</f>
        <v>25-26 Feb 2023</v>
      </c>
      <c r="J1565" s="6">
        <f ca="1">IFERROR(__xludf.DUMMYFUNCTION("""COMPUTED_VALUE"""),1)</f>
        <v>1</v>
      </c>
      <c r="K1565" s="8">
        <f ca="1">IFERROR(__xludf.DUMMYFUNCTION("""COMPUTED_VALUE"""),24000)</f>
        <v>24000</v>
      </c>
      <c r="L1565" s="8">
        <f ca="1">IFERROR(__xludf.DUMMYFUNCTION("""COMPUTED_VALUE"""),274.851122308749)</f>
        <v>274.85112230874898</v>
      </c>
      <c r="M1565" s="96">
        <f ca="1">IFERROR(__xludf.DUMMYFUNCTION("""COMPUTED_VALUE"""),44978)</f>
        <v>44978</v>
      </c>
      <c r="N1565" s="6" t="str">
        <f ca="1">IFERROR(__xludf.DUMMYFUNCTION("""COMPUTED_VALUE"""),"T10")</f>
        <v>T10</v>
      </c>
      <c r="O1565" s="97">
        <f ca="1">IFERROR(__xludf.DUMMYFUNCTION("""COMPUTED_VALUE"""),44978)</f>
        <v>44978</v>
      </c>
      <c r="P1565" s="6" t="str">
        <f ca="1">IFERROR(__xludf.DUMMYFUNCTION("""COMPUTED_VALUE"""),"CSTM_52PT7CQRDXD")</f>
        <v>CSTM_52PT7CQRDXD</v>
      </c>
      <c r="Q1565" s="6" t="str">
        <f ca="1">IFERROR(__xludf.DUMMYFUNCTION("""COMPUTED_VALUE"""),"Reference by pubalee1.kalita@gmail.com")</f>
        <v>Reference by pubalee1.kalita@gmail.com</v>
      </c>
      <c r="R1565" s="6" t="str">
        <f ca="1">IFERROR(__xludf.DUMMYFUNCTION("""COMPUTED_VALUE"""),"Pending")</f>
        <v>Pending</v>
      </c>
      <c r="S1565" s="6" t="str">
        <f ca="1">IFERROR(__xludf.DUMMYFUNCTION("""COMPUTED_VALUE"""),"Category")</f>
        <v>Category</v>
      </c>
      <c r="T1565" s="6"/>
      <c r="U1565" s="6"/>
      <c r="V1565" s="6"/>
      <c r="W1565" s="6"/>
      <c r="X1565" s="6"/>
      <c r="Y1565" s="6"/>
      <c r="Z1565" s="6"/>
      <c r="AA1565" s="6"/>
      <c r="AB1565" s="6"/>
      <c r="AC1565" s="6"/>
      <c r="AD1565" s="6"/>
      <c r="AE1565" s="6"/>
      <c r="AF1565" s="6"/>
      <c r="AG1565" s="6"/>
      <c r="AH1565" s="6"/>
      <c r="AI1565" s="6"/>
      <c r="AJ1565" s="6"/>
      <c r="AK1565" s="6"/>
      <c r="AL1565" s="6"/>
    </row>
    <row r="1566" spans="1:38">
      <c r="A1566" s="96">
        <f ca="1">IFERROR(__xludf.DUMMYFUNCTION("""COMPUTED_VALUE"""),44979)</f>
        <v>44979</v>
      </c>
      <c r="B1566" s="6" t="str">
        <f ca="1">IFERROR(__xludf.DUMMYFUNCTION("""COMPUTED_VALUE"""),"Mrudula Menon")</f>
        <v>Mrudula Menon</v>
      </c>
      <c r="C1566" s="6" t="str">
        <f ca="1">IFERROR(__xludf.DUMMYFUNCTION("""COMPUTED_VALUE"""),"mrudulamenon1988@gmail.com")</f>
        <v>mrudulamenon1988@gmail.com</v>
      </c>
      <c r="D1566" s="6">
        <f ca="1">IFERROR(__xludf.DUMMYFUNCTION("""COMPUTED_VALUE"""),9495430200)</f>
        <v>9495430200</v>
      </c>
      <c r="E1566" s="6" t="str">
        <f ca="1">IFERROR(__xludf.DUMMYFUNCTION("""COMPUTED_VALUE"""),"Tollfree")</f>
        <v>Tollfree</v>
      </c>
      <c r="F1566" s="6" t="str">
        <f ca="1">IFERROR(__xludf.DUMMYFUNCTION("""COMPUTED_VALUE"""),"PSM")</f>
        <v>PSM</v>
      </c>
      <c r="G1566" s="80">
        <f ca="1">IFERROR(__xludf.DUMMYFUNCTION("""COMPUTED_VALUE"""),44958)</f>
        <v>44958</v>
      </c>
      <c r="H1566" s="6" t="str">
        <f ca="1">IFERROR(__xludf.DUMMYFUNCTION("""COMPUTED_VALUE"""),"Won")</f>
        <v>Won</v>
      </c>
      <c r="I1566" s="6" t="str">
        <f ca="1">IFERROR(__xludf.DUMMYFUNCTION("""COMPUTED_VALUE"""),"25-26 Feb 2023")</f>
        <v>25-26 Feb 2023</v>
      </c>
      <c r="J1566" s="6">
        <f ca="1">IFERROR(__xludf.DUMMYFUNCTION("""COMPUTED_VALUE"""),1)</f>
        <v>1</v>
      </c>
      <c r="K1566" s="8">
        <f ca="1">IFERROR(__xludf.DUMMYFUNCTION("""COMPUTED_VALUE"""),21000)</f>
        <v>21000</v>
      </c>
      <c r="L1566" s="8">
        <f ca="1">IFERROR(__xludf.DUMMYFUNCTION("""COMPUTED_VALUE"""),240.494732020155)</f>
        <v>240.494732020155</v>
      </c>
      <c r="M1566" s="96">
        <f ca="1">IFERROR(__xludf.DUMMYFUNCTION("""COMPUTED_VALUE"""),44979)</f>
        <v>44979</v>
      </c>
      <c r="N1566" s="6" t="str">
        <f ca="1">IFERROR(__xludf.DUMMYFUNCTION("""COMPUTED_VALUE"""),"T10")</f>
        <v>T10</v>
      </c>
      <c r="O1566" s="97">
        <f ca="1">IFERROR(__xludf.DUMMYFUNCTION("""COMPUTED_VALUE"""),44979)</f>
        <v>44979</v>
      </c>
      <c r="P1566" s="6" t="str">
        <f ca="1">IFERROR(__xludf.DUMMYFUNCTION("""COMPUTED_VALUE"""),"CSTM_ASX9S60SV57")</f>
        <v>CSTM_ASX9S60SV57</v>
      </c>
      <c r="Q1566" s="6"/>
      <c r="R1566" s="6" t="str">
        <f ca="1">IFERROR(__xludf.DUMMYFUNCTION("""COMPUTED_VALUE"""),"Pending")</f>
        <v>Pending</v>
      </c>
      <c r="S1566" s="6" t="str">
        <f ca="1">IFERROR(__xludf.DUMMYFUNCTION("""COMPUTED_VALUE"""),"Category")</f>
        <v>Category</v>
      </c>
      <c r="T1566" s="6"/>
      <c r="U1566" s="6"/>
      <c r="V1566" s="6"/>
      <c r="W1566" s="6"/>
      <c r="X1566" s="6"/>
      <c r="Y1566" s="6"/>
      <c r="Z1566" s="6"/>
      <c r="AA1566" s="6"/>
      <c r="AB1566" s="6"/>
      <c r="AC1566" s="6"/>
      <c r="AD1566" s="6"/>
      <c r="AE1566" s="6"/>
      <c r="AF1566" s="6"/>
      <c r="AG1566" s="6"/>
      <c r="AH1566" s="6"/>
      <c r="AI1566" s="6"/>
      <c r="AJ1566" s="6"/>
      <c r="AK1566" s="6"/>
      <c r="AL1566" s="6"/>
    </row>
    <row r="1567" spans="1:38">
      <c r="A1567" s="96">
        <f ca="1">IFERROR(__xludf.DUMMYFUNCTION("""COMPUTED_VALUE"""),44979)</f>
        <v>44979</v>
      </c>
      <c r="B1567" s="6" t="str">
        <f ca="1">IFERROR(__xludf.DUMMYFUNCTION("""COMPUTED_VALUE"""),"Saravanan")</f>
        <v>Saravanan</v>
      </c>
      <c r="C1567" s="6" t="str">
        <f ca="1">IFERROR(__xludf.DUMMYFUNCTION("""COMPUTED_VALUE"""),"saravanan.subbu@gmail.com")</f>
        <v>saravanan.subbu@gmail.com</v>
      </c>
      <c r="D1567" s="6">
        <f ca="1">IFERROR(__xludf.DUMMYFUNCTION("""COMPUTED_VALUE"""),9965642160)</f>
        <v>9965642160</v>
      </c>
      <c r="E1567" s="6" t="str">
        <f ca="1">IFERROR(__xludf.DUMMYFUNCTION("""COMPUTED_VALUE"""),"Reference")</f>
        <v>Reference</v>
      </c>
      <c r="F1567" s="6" t="str">
        <f ca="1">IFERROR(__xludf.DUMMYFUNCTION("""COMPUTED_VALUE"""),"CSPO")</f>
        <v>CSPO</v>
      </c>
      <c r="G1567" s="80">
        <f ca="1">IFERROR(__xludf.DUMMYFUNCTION("""COMPUTED_VALUE"""),44958)</f>
        <v>44958</v>
      </c>
      <c r="H1567" s="6" t="str">
        <f ca="1">IFERROR(__xludf.DUMMYFUNCTION("""COMPUTED_VALUE"""),"Won")</f>
        <v>Won</v>
      </c>
      <c r="I1567" s="6" t="str">
        <f ca="1">IFERROR(__xludf.DUMMYFUNCTION("""COMPUTED_VALUE"""),"25-26 Feb 2023")</f>
        <v>25-26 Feb 2023</v>
      </c>
      <c r="J1567" s="6">
        <f ca="1">IFERROR(__xludf.DUMMYFUNCTION("""COMPUTED_VALUE"""),1)</f>
        <v>1</v>
      </c>
      <c r="K1567" s="8">
        <f ca="1">IFERROR(__xludf.DUMMYFUNCTION("""COMPUTED_VALUE"""),20000)</f>
        <v>20000</v>
      </c>
      <c r="L1567" s="8">
        <f ca="1">IFERROR(__xludf.DUMMYFUNCTION("""COMPUTED_VALUE"""),229.042601923957)</f>
        <v>229.04260192395699</v>
      </c>
      <c r="M1567" s="96">
        <f ca="1">IFERROR(__xludf.DUMMYFUNCTION("""COMPUTED_VALUE"""),44979)</f>
        <v>44979</v>
      </c>
      <c r="N1567" s="6" t="str">
        <f ca="1">IFERROR(__xludf.DUMMYFUNCTION("""COMPUTED_VALUE"""),"T10")</f>
        <v>T10</v>
      </c>
      <c r="O1567" s="97">
        <f ca="1">IFERROR(__xludf.DUMMYFUNCTION("""COMPUTED_VALUE"""),44979)</f>
        <v>44979</v>
      </c>
      <c r="P1567" s="6" t="str">
        <f ca="1">IFERROR(__xludf.DUMMYFUNCTION("""COMPUTED_VALUE"""),"CSTM_5A0HYLIEWUI")</f>
        <v>CSTM_5A0HYLIEWUI</v>
      </c>
      <c r="Q1567" s="6" t="str">
        <f ca="1">IFERROR(__xludf.DUMMYFUNCTION("""COMPUTED_VALUE"""),"Reference by anandanrakesh@gmail.com")</f>
        <v>Reference by anandanrakesh@gmail.com</v>
      </c>
      <c r="R1567" s="6" t="str">
        <f ca="1">IFERROR(__xludf.DUMMYFUNCTION("""COMPUTED_VALUE"""),"Pending")</f>
        <v>Pending</v>
      </c>
      <c r="S1567" s="6" t="str">
        <f ca="1">IFERROR(__xludf.DUMMYFUNCTION("""COMPUTED_VALUE"""),"Category")</f>
        <v>Category</v>
      </c>
      <c r="T1567" s="6"/>
      <c r="U1567" s="6"/>
      <c r="V1567" s="6"/>
      <c r="W1567" s="6"/>
      <c r="X1567" s="6"/>
      <c r="Y1567" s="6"/>
      <c r="Z1567" s="6"/>
      <c r="AA1567" s="6"/>
      <c r="AB1567" s="6"/>
      <c r="AC1567" s="6"/>
      <c r="AD1567" s="6"/>
      <c r="AE1567" s="6"/>
      <c r="AF1567" s="6"/>
      <c r="AG1567" s="6"/>
      <c r="AH1567" s="6"/>
      <c r="AI1567" s="6"/>
      <c r="AJ1567" s="6"/>
      <c r="AK1567" s="6"/>
      <c r="AL1567" s="6"/>
    </row>
    <row r="1568" spans="1:38">
      <c r="A1568" s="96">
        <f ca="1">IFERROR(__xludf.DUMMYFUNCTION("""COMPUTED_VALUE"""),44979)</f>
        <v>44979</v>
      </c>
      <c r="B1568" s="6" t="str">
        <f ca="1">IFERROR(__xludf.DUMMYFUNCTION("""COMPUTED_VALUE"""),"Manpreet Singh")</f>
        <v>Manpreet Singh</v>
      </c>
      <c r="C1568" s="6" t="str">
        <f ca="1">IFERROR(__xludf.DUMMYFUNCTION("""COMPUTED_VALUE"""),"m4manpreet@gmail.com")</f>
        <v>m4manpreet@gmail.com</v>
      </c>
      <c r="D1568" s="6">
        <f ca="1">IFERROR(__xludf.DUMMYFUNCTION("""COMPUTED_VALUE"""),8558837589)</f>
        <v>8558837589</v>
      </c>
      <c r="E1568" s="6" t="str">
        <f ca="1">IFERROR(__xludf.DUMMYFUNCTION("""COMPUTED_VALUE"""),"Reference")</f>
        <v>Reference</v>
      </c>
      <c r="F1568" s="6" t="str">
        <f ca="1">IFERROR(__xludf.DUMMYFUNCTION("""COMPUTED_VALUE"""),"SAFe Agile")</f>
        <v>SAFe Agile</v>
      </c>
      <c r="G1568" s="80">
        <f ca="1">IFERROR(__xludf.DUMMYFUNCTION("""COMPUTED_VALUE"""),44958)</f>
        <v>44958</v>
      </c>
      <c r="H1568" s="6" t="str">
        <f ca="1">IFERROR(__xludf.DUMMYFUNCTION("""COMPUTED_VALUE"""),"Won")</f>
        <v>Won</v>
      </c>
      <c r="I1568" s="6" t="str">
        <f ca="1">IFERROR(__xludf.DUMMYFUNCTION("""COMPUTED_VALUE"""),"4-5 March 2023")</f>
        <v>4-5 March 2023</v>
      </c>
      <c r="J1568" s="6">
        <f ca="1">IFERROR(__xludf.DUMMYFUNCTION("""COMPUTED_VALUE"""),1)</f>
        <v>1</v>
      </c>
      <c r="K1568" s="8">
        <f ca="1">IFERROR(__xludf.DUMMYFUNCTION("""COMPUTED_VALUE"""),42000)</f>
        <v>42000</v>
      </c>
      <c r="L1568" s="8">
        <f ca="1">IFERROR(__xludf.DUMMYFUNCTION("""COMPUTED_VALUE"""),480.989464040311)</f>
        <v>480.98946404031102</v>
      </c>
      <c r="M1568" s="96">
        <f ca="1">IFERROR(__xludf.DUMMYFUNCTION("""COMPUTED_VALUE"""),44979)</f>
        <v>44979</v>
      </c>
      <c r="N1568" s="6" t="str">
        <f ca="1">IFERROR(__xludf.DUMMYFUNCTION("""COMPUTED_VALUE"""),"T10")</f>
        <v>T10</v>
      </c>
      <c r="O1568" s="97">
        <f ca="1">IFERROR(__xludf.DUMMYFUNCTION("""COMPUTED_VALUE"""),44984)</f>
        <v>44984</v>
      </c>
      <c r="P1568" s="6" t="str">
        <f ca="1">IFERROR(__xludf.DUMMYFUNCTION("""COMPUTED_VALUE"""),"CSTM_2ANEJXHDUJ9")</f>
        <v>CSTM_2ANEJXHDUJ9</v>
      </c>
      <c r="Q1568" s="6" t="str">
        <f ca="1">IFERROR(__xludf.DUMMYFUNCTION("""COMPUTED_VALUE"""),"Reference by amrapaliashoka@gmail.com")</f>
        <v>Reference by amrapaliashoka@gmail.com</v>
      </c>
      <c r="R1568" s="6" t="str">
        <f ca="1">IFERROR(__xludf.DUMMYFUNCTION("""COMPUTED_VALUE"""),"Pending")</f>
        <v>Pending</v>
      </c>
      <c r="S1568" s="6" t="str">
        <f ca="1">IFERROR(__xludf.DUMMYFUNCTION("""COMPUTED_VALUE"""),"SAFe")</f>
        <v>SAFe</v>
      </c>
      <c r="T1568" s="6"/>
      <c r="U1568" s="6"/>
      <c r="V1568" s="6"/>
      <c r="W1568" s="6"/>
      <c r="X1568" s="6"/>
      <c r="Y1568" s="6"/>
      <c r="Z1568" s="6"/>
      <c r="AA1568" s="6"/>
      <c r="AB1568" s="6"/>
      <c r="AC1568" s="6"/>
      <c r="AD1568" s="6"/>
      <c r="AE1568" s="6"/>
      <c r="AF1568" s="6"/>
      <c r="AG1568" s="6"/>
      <c r="AH1568" s="6"/>
      <c r="AI1568" s="6"/>
      <c r="AJ1568" s="6"/>
      <c r="AK1568" s="6"/>
      <c r="AL1568" s="6"/>
    </row>
    <row r="1569" spans="1:38">
      <c r="A1569" s="96">
        <f ca="1">IFERROR(__xludf.DUMMYFUNCTION("""COMPUTED_VALUE"""),44980)</f>
        <v>44980</v>
      </c>
      <c r="B1569" s="6" t="str">
        <f ca="1">IFERROR(__xludf.DUMMYFUNCTION("""COMPUTED_VALUE"""),"Shrinidhi")</f>
        <v>Shrinidhi</v>
      </c>
      <c r="C1569" s="6" t="str">
        <f ca="1">IFERROR(__xludf.DUMMYFUNCTION("""COMPUTED_VALUE"""),"coolshrinidhi8@gmail.com")</f>
        <v>coolshrinidhi8@gmail.com</v>
      </c>
      <c r="D1569" s="6">
        <f ca="1">IFERROR(__xludf.DUMMYFUNCTION("""COMPUTED_VALUE"""),8123557734)</f>
        <v>8123557734</v>
      </c>
      <c r="E1569" s="6" t="str">
        <f ca="1">IFERROR(__xludf.DUMMYFUNCTION("""COMPUTED_VALUE"""),"Reference")</f>
        <v>Reference</v>
      </c>
      <c r="F1569" s="6" t="str">
        <f ca="1">IFERROR(__xludf.DUMMYFUNCTION("""COMPUTED_VALUE"""),"PSM")</f>
        <v>PSM</v>
      </c>
      <c r="G1569" s="80">
        <f ca="1">IFERROR(__xludf.DUMMYFUNCTION("""COMPUTED_VALUE"""),44958)</f>
        <v>44958</v>
      </c>
      <c r="H1569" s="6" t="str">
        <f ca="1">IFERROR(__xludf.DUMMYFUNCTION("""COMPUTED_VALUE"""),"Won")</f>
        <v>Won</v>
      </c>
      <c r="I1569" s="6" t="str">
        <f ca="1">IFERROR(__xludf.DUMMYFUNCTION("""COMPUTED_VALUE"""),"25-26 Feb 2023")</f>
        <v>25-26 Feb 2023</v>
      </c>
      <c r="J1569" s="6">
        <f ca="1">IFERROR(__xludf.DUMMYFUNCTION("""COMPUTED_VALUE"""),1)</f>
        <v>1</v>
      </c>
      <c r="K1569" s="8">
        <f ca="1">IFERROR(__xludf.DUMMYFUNCTION("""COMPUTED_VALUE"""),21000)</f>
        <v>21000</v>
      </c>
      <c r="L1569" s="8">
        <f ca="1">IFERROR(__xludf.DUMMYFUNCTION("""COMPUTED_VALUE"""),240.494732020155)</f>
        <v>240.494732020155</v>
      </c>
      <c r="M1569" s="96">
        <f ca="1">IFERROR(__xludf.DUMMYFUNCTION("""COMPUTED_VALUE"""),44980)</f>
        <v>44980</v>
      </c>
      <c r="N1569" s="6" t="str">
        <f ca="1">IFERROR(__xludf.DUMMYFUNCTION("""COMPUTED_VALUE"""),"T10")</f>
        <v>T10</v>
      </c>
      <c r="O1569" s="97">
        <f ca="1">IFERROR(__xludf.DUMMYFUNCTION("""COMPUTED_VALUE"""),44980)</f>
        <v>44980</v>
      </c>
      <c r="P1569" s="6" t="str">
        <f ca="1">IFERROR(__xludf.DUMMYFUNCTION("""COMPUTED_VALUE"""),"CSTM_563SUD9OZIU")</f>
        <v>CSTM_563SUD9OZIU</v>
      </c>
      <c r="Q1569" s="6" t="str">
        <f ca="1">IFERROR(__xludf.DUMMYFUNCTION("""COMPUTED_VALUE"""),"Reference by amrapaliashoka@gmail.com")</f>
        <v>Reference by amrapaliashoka@gmail.com</v>
      </c>
      <c r="R1569" s="6" t="str">
        <f ca="1">IFERROR(__xludf.DUMMYFUNCTION("""COMPUTED_VALUE"""),"Pending")</f>
        <v>Pending</v>
      </c>
      <c r="S1569" s="6" t="str">
        <f ca="1">IFERROR(__xludf.DUMMYFUNCTION("""COMPUTED_VALUE"""),"Category")</f>
        <v>Category</v>
      </c>
      <c r="T1569" s="6"/>
      <c r="U1569" s="6"/>
      <c r="V1569" s="6"/>
      <c r="W1569" s="6"/>
      <c r="X1569" s="6"/>
      <c r="Y1569" s="6"/>
      <c r="Z1569" s="6"/>
      <c r="AA1569" s="6"/>
      <c r="AB1569" s="6"/>
      <c r="AC1569" s="6"/>
      <c r="AD1569" s="6"/>
      <c r="AE1569" s="6"/>
      <c r="AF1569" s="6"/>
      <c r="AG1569" s="6"/>
      <c r="AH1569" s="6"/>
      <c r="AI1569" s="6"/>
      <c r="AJ1569" s="6"/>
      <c r="AK1569" s="6"/>
      <c r="AL1569" s="6"/>
    </row>
    <row r="1570" spans="1:38">
      <c r="A1570" s="96">
        <f ca="1">IFERROR(__xludf.DUMMYFUNCTION("""COMPUTED_VALUE"""),44980)</f>
        <v>44980</v>
      </c>
      <c r="B1570" s="6" t="str">
        <f ca="1">IFERROR(__xludf.DUMMYFUNCTION("""COMPUTED_VALUE"""),"Ashish M")</f>
        <v>Ashish M</v>
      </c>
      <c r="C1570" s="6" t="str">
        <f ca="1">IFERROR(__xludf.DUMMYFUNCTION("""COMPUTED_VALUE"""),"aashish2k@gmail.com")</f>
        <v>aashish2k@gmail.com</v>
      </c>
      <c r="D1570" s="6">
        <f ca="1">IFERROR(__xludf.DUMMYFUNCTION("""COMPUTED_VALUE"""),9833424321)</f>
        <v>9833424321</v>
      </c>
      <c r="E1570" s="6" t="str">
        <f ca="1">IFERROR(__xludf.DUMMYFUNCTION("""COMPUTED_VALUE"""),"Reference")</f>
        <v>Reference</v>
      </c>
      <c r="F1570" s="6" t="str">
        <f ca="1">IFERROR(__xludf.DUMMYFUNCTION("""COMPUTED_VALUE"""),"PSM 2")</f>
        <v>PSM 2</v>
      </c>
      <c r="G1570" s="80">
        <f ca="1">IFERROR(__xludf.DUMMYFUNCTION("""COMPUTED_VALUE"""),44958)</f>
        <v>44958</v>
      </c>
      <c r="H1570" s="6" t="str">
        <f ca="1">IFERROR(__xludf.DUMMYFUNCTION("""COMPUTED_VALUE"""),"Won")</f>
        <v>Won</v>
      </c>
      <c r="I1570" s="6" t="str">
        <f ca="1">IFERROR(__xludf.DUMMYFUNCTION("""COMPUTED_VALUE"""),"25-26 Feb 2023")</f>
        <v>25-26 Feb 2023</v>
      </c>
      <c r="J1570" s="6">
        <f ca="1">IFERROR(__xludf.DUMMYFUNCTION("""COMPUTED_VALUE"""),1)</f>
        <v>1</v>
      </c>
      <c r="K1570" s="8">
        <f ca="1">IFERROR(__xludf.DUMMYFUNCTION("""COMPUTED_VALUE"""),24000)</f>
        <v>24000</v>
      </c>
      <c r="L1570" s="8">
        <f ca="1">IFERROR(__xludf.DUMMYFUNCTION("""COMPUTED_VALUE"""),274.851122308749)</f>
        <v>274.85112230874898</v>
      </c>
      <c r="M1570" s="96">
        <f ca="1">IFERROR(__xludf.DUMMYFUNCTION("""COMPUTED_VALUE"""),44980)</f>
        <v>44980</v>
      </c>
      <c r="N1570" s="6" t="str">
        <f ca="1">IFERROR(__xludf.DUMMYFUNCTION("""COMPUTED_VALUE"""),"T10")</f>
        <v>T10</v>
      </c>
      <c r="O1570" s="97">
        <f ca="1">IFERROR(__xludf.DUMMYFUNCTION("""COMPUTED_VALUE"""),44980)</f>
        <v>44980</v>
      </c>
      <c r="P1570" s="6" t="str">
        <f ca="1">IFERROR(__xludf.DUMMYFUNCTION("""COMPUTED_VALUE"""),"CSTM_9F76C1W8CCR")</f>
        <v>CSTM_9F76C1W8CCR</v>
      </c>
      <c r="Q1570" s="6" t="str">
        <f ca="1">IFERROR(__xludf.DUMMYFUNCTION("""COMPUTED_VALUE"""),"Reference by rakeshjiddewar@gmail.com")</f>
        <v>Reference by rakeshjiddewar@gmail.com</v>
      </c>
      <c r="R1570" s="6" t="str">
        <f ca="1">IFERROR(__xludf.DUMMYFUNCTION("""COMPUTED_VALUE"""),"Pending")</f>
        <v>Pending</v>
      </c>
      <c r="S1570" s="6" t="str">
        <f ca="1">IFERROR(__xludf.DUMMYFUNCTION("""COMPUTED_VALUE"""),"Category")</f>
        <v>Category</v>
      </c>
      <c r="T1570" s="6"/>
      <c r="U1570" s="6"/>
      <c r="V1570" s="6"/>
      <c r="W1570" s="6"/>
      <c r="X1570" s="6"/>
      <c r="Y1570" s="6"/>
      <c r="Z1570" s="6"/>
      <c r="AA1570" s="6"/>
      <c r="AB1570" s="6"/>
      <c r="AC1570" s="6"/>
      <c r="AD1570" s="6"/>
      <c r="AE1570" s="6"/>
      <c r="AF1570" s="6"/>
      <c r="AG1570" s="6"/>
      <c r="AH1570" s="6"/>
      <c r="AI1570" s="6"/>
      <c r="AJ1570" s="6"/>
      <c r="AK1570" s="6"/>
      <c r="AL1570" s="6"/>
    </row>
    <row r="1571" spans="1:38">
      <c r="A1571" s="96">
        <f ca="1">IFERROR(__xludf.DUMMYFUNCTION("""COMPUTED_VALUE"""),44981)</f>
        <v>44981</v>
      </c>
      <c r="B1571" s="6" t="str">
        <f ca="1">IFERROR(__xludf.DUMMYFUNCTION("""COMPUTED_VALUE"""),"Akshay Sasidharan")</f>
        <v>Akshay Sasidharan</v>
      </c>
      <c r="C1571" s="6" t="str">
        <f ca="1">IFERROR(__xludf.DUMMYFUNCTION("""COMPUTED_VALUE"""),"akshaysasidharank@gmail.com")</f>
        <v>akshaysasidharank@gmail.com</v>
      </c>
      <c r="D1571" s="6">
        <f ca="1">IFERROR(__xludf.DUMMYFUNCTION("""COMPUTED_VALUE"""),8281243186)</f>
        <v>8281243186</v>
      </c>
      <c r="E1571" s="6" t="str">
        <f ca="1">IFERROR(__xludf.DUMMYFUNCTION("""COMPUTED_VALUE"""),"Reference")</f>
        <v>Reference</v>
      </c>
      <c r="F1571" s="6" t="str">
        <f ca="1">IFERROR(__xludf.DUMMYFUNCTION("""COMPUTED_VALUE"""),"CSPO")</f>
        <v>CSPO</v>
      </c>
      <c r="G1571" s="80">
        <f ca="1">IFERROR(__xludf.DUMMYFUNCTION("""COMPUTED_VALUE"""),44958)</f>
        <v>44958</v>
      </c>
      <c r="H1571" s="6" t="str">
        <f ca="1">IFERROR(__xludf.DUMMYFUNCTION("""COMPUTED_VALUE"""),"Won")</f>
        <v>Won</v>
      </c>
      <c r="I1571" s="6" t="str">
        <f ca="1">IFERROR(__xludf.DUMMYFUNCTION("""COMPUTED_VALUE"""),"25-26 Feb 2023")</f>
        <v>25-26 Feb 2023</v>
      </c>
      <c r="J1571" s="6">
        <f ca="1">IFERROR(__xludf.DUMMYFUNCTION("""COMPUTED_VALUE"""),1)</f>
        <v>1</v>
      </c>
      <c r="K1571" s="8">
        <f ca="1">IFERROR(__xludf.DUMMYFUNCTION("""COMPUTED_VALUE"""),20000)</f>
        <v>20000</v>
      </c>
      <c r="L1571" s="8">
        <f ca="1">IFERROR(__xludf.DUMMYFUNCTION("""COMPUTED_VALUE"""),229.042601923957)</f>
        <v>229.04260192395699</v>
      </c>
      <c r="M1571" s="96">
        <f ca="1">IFERROR(__xludf.DUMMYFUNCTION("""COMPUTED_VALUE"""),44981)</f>
        <v>44981</v>
      </c>
      <c r="N1571" s="6" t="str">
        <f ca="1">IFERROR(__xludf.DUMMYFUNCTION("""COMPUTED_VALUE"""),"T10")</f>
        <v>T10</v>
      </c>
      <c r="O1571" s="97">
        <f ca="1">IFERROR(__xludf.DUMMYFUNCTION("""COMPUTED_VALUE"""),44981)</f>
        <v>44981</v>
      </c>
      <c r="P1571" s="6" t="str">
        <f ca="1">IFERROR(__xludf.DUMMYFUNCTION("""COMPUTED_VALUE"""),"CSTM_CGVOBZ4Q9AD")</f>
        <v>CSTM_CGVOBZ4Q9AD</v>
      </c>
      <c r="Q1571" s="6" t="str">
        <f ca="1">IFERROR(__xludf.DUMMYFUNCTION("""COMPUTED_VALUE"""),"Reference by amrapaliashoka@gmail.com")</f>
        <v>Reference by amrapaliashoka@gmail.com</v>
      </c>
      <c r="R1571" s="6" t="str">
        <f ca="1">IFERROR(__xludf.DUMMYFUNCTION("""COMPUTED_VALUE"""),"Pending")</f>
        <v>Pending</v>
      </c>
      <c r="S1571" s="6" t="str">
        <f ca="1">IFERROR(__xludf.DUMMYFUNCTION("""COMPUTED_VALUE"""),"Category")</f>
        <v>Category</v>
      </c>
      <c r="T1571" s="6"/>
      <c r="U1571" s="6"/>
      <c r="V1571" s="6"/>
      <c r="W1571" s="6"/>
      <c r="X1571" s="6"/>
      <c r="Y1571" s="6"/>
      <c r="Z1571" s="6"/>
      <c r="AA1571" s="6"/>
      <c r="AB1571" s="6"/>
      <c r="AC1571" s="6"/>
      <c r="AD1571" s="6"/>
      <c r="AE1571" s="6"/>
      <c r="AF1571" s="6"/>
      <c r="AG1571" s="6"/>
      <c r="AH1571" s="6"/>
      <c r="AI1571" s="6"/>
      <c r="AJ1571" s="6"/>
      <c r="AK1571" s="6"/>
      <c r="AL1571" s="6"/>
    </row>
    <row r="1572" spans="1:38">
      <c r="A1572" s="96">
        <f ca="1">IFERROR(__xludf.DUMMYFUNCTION("""COMPUTED_VALUE"""),44981)</f>
        <v>44981</v>
      </c>
      <c r="B1572" s="6" t="str">
        <f ca="1">IFERROR(__xludf.DUMMYFUNCTION("""COMPUTED_VALUE"""),"Greeshma")</f>
        <v>Greeshma</v>
      </c>
      <c r="C1572" s="6" t="str">
        <f ca="1">IFERROR(__xludf.DUMMYFUNCTION("""COMPUTED_VALUE"""),"greeshmas272@gmail.com")</f>
        <v>greeshmas272@gmail.com</v>
      </c>
      <c r="D1572" s="6">
        <f ca="1">IFERROR(__xludf.DUMMYFUNCTION("""COMPUTED_VALUE"""),9986982899)</f>
        <v>9986982899</v>
      </c>
      <c r="E1572" s="6" t="str">
        <f ca="1">IFERROR(__xludf.DUMMYFUNCTION("""COMPUTED_VALUE"""),"course agenda")</f>
        <v>course agenda</v>
      </c>
      <c r="F1572" s="6" t="str">
        <f ca="1">IFERROR(__xludf.DUMMYFUNCTION("""COMPUTED_VALUE"""),"SAFe Agile")</f>
        <v>SAFe Agile</v>
      </c>
      <c r="G1572" s="80">
        <f ca="1">IFERROR(__xludf.DUMMYFUNCTION("""COMPUTED_VALUE"""),44958)</f>
        <v>44958</v>
      </c>
      <c r="H1572" s="6" t="str">
        <f ca="1">IFERROR(__xludf.DUMMYFUNCTION("""COMPUTED_VALUE"""),"Won")</f>
        <v>Won</v>
      </c>
      <c r="I1572" s="6" t="str">
        <f ca="1">IFERROR(__xludf.DUMMYFUNCTION("""COMPUTED_VALUE"""),"4-5 March 2023")</f>
        <v>4-5 March 2023</v>
      </c>
      <c r="J1572" s="6">
        <f ca="1">IFERROR(__xludf.DUMMYFUNCTION("""COMPUTED_VALUE"""),1)</f>
        <v>1</v>
      </c>
      <c r="K1572" s="8">
        <f ca="1">IFERROR(__xludf.DUMMYFUNCTION("""COMPUTED_VALUE"""),40061)</f>
        <v>40061</v>
      </c>
      <c r="L1572" s="8">
        <f ca="1">IFERROR(__xludf.DUMMYFUNCTION("""COMPUTED_VALUE"""),458.783783783783)</f>
        <v>458.78378378378301</v>
      </c>
      <c r="M1572" s="96">
        <f ca="1">IFERROR(__xludf.DUMMYFUNCTION("""COMPUTED_VALUE"""),44981)</f>
        <v>44981</v>
      </c>
      <c r="N1572" s="6" t="str">
        <f ca="1">IFERROR(__xludf.DUMMYFUNCTION("""COMPUTED_VALUE"""),"T10")</f>
        <v>T10</v>
      </c>
      <c r="O1572" s="97">
        <f ca="1">IFERROR(__xludf.DUMMYFUNCTION("""COMPUTED_VALUE"""),44981)</f>
        <v>44981</v>
      </c>
      <c r="P1572" s="6" t="str">
        <f ca="1">IFERROR(__xludf.DUMMYFUNCTION("""COMPUTED_VALUE"""),"CSTM_75Y57HTELQV")</f>
        <v>CSTM_75Y57HTELQV</v>
      </c>
      <c r="Q1572" s="6"/>
      <c r="R1572" s="6" t="str">
        <f ca="1">IFERROR(__xludf.DUMMYFUNCTION("""COMPUTED_VALUE"""),"Pending")</f>
        <v>Pending</v>
      </c>
      <c r="S1572" s="6" t="str">
        <f ca="1">IFERROR(__xludf.DUMMYFUNCTION("""COMPUTED_VALUE"""),"SAFe")</f>
        <v>SAFe</v>
      </c>
      <c r="T1572" s="6"/>
      <c r="U1572" s="6"/>
      <c r="V1572" s="6"/>
      <c r="W1572" s="6"/>
      <c r="X1572" s="6"/>
      <c r="Y1572" s="6"/>
      <c r="Z1572" s="6"/>
      <c r="AA1572" s="6"/>
      <c r="AB1572" s="6"/>
      <c r="AC1572" s="6"/>
      <c r="AD1572" s="6"/>
      <c r="AE1572" s="6"/>
      <c r="AF1572" s="6"/>
      <c r="AG1572" s="6"/>
      <c r="AH1572" s="6"/>
      <c r="AI1572" s="6"/>
      <c r="AJ1572" s="6"/>
      <c r="AK1572" s="6"/>
      <c r="AL1572" s="6"/>
    </row>
    <row r="1573" spans="1:38">
      <c r="A1573" s="96">
        <f ca="1">IFERROR(__xludf.DUMMYFUNCTION("""COMPUTED_VALUE"""),44984)</f>
        <v>44984</v>
      </c>
      <c r="B1573" s="6" t="str">
        <f ca="1">IFERROR(__xludf.DUMMYFUNCTION("""COMPUTED_VALUE"""),"Kokila Sengottaian")</f>
        <v>Kokila Sengottaian</v>
      </c>
      <c r="C1573" s="6" t="str">
        <f ca="1">IFERROR(__xludf.DUMMYFUNCTION("""COMPUTED_VALUE"""),"koki.sengottaian@gmail.com")</f>
        <v>koki.sengottaian@gmail.com</v>
      </c>
      <c r="D1573" s="6">
        <f ca="1">IFERROR(__xludf.DUMMYFUNCTION("""COMPUTED_VALUE"""),9865347817)</f>
        <v>9865347817</v>
      </c>
      <c r="E1573" s="6" t="str">
        <f ca="1">IFERROR(__xludf.DUMMYFUNCTION("""COMPUTED_VALUE"""),"Reference")</f>
        <v>Reference</v>
      </c>
      <c r="F1573" s="6" t="str">
        <f ca="1">IFERROR(__xludf.DUMMYFUNCTION("""COMPUTED_VALUE"""),"PSPO 2")</f>
        <v>PSPO 2</v>
      </c>
      <c r="G1573" s="80">
        <f ca="1">IFERROR(__xludf.DUMMYFUNCTION("""COMPUTED_VALUE"""),44958)</f>
        <v>44958</v>
      </c>
      <c r="H1573" s="6" t="str">
        <f ca="1">IFERROR(__xludf.DUMMYFUNCTION("""COMPUTED_VALUE"""),"Won")</f>
        <v>Won</v>
      </c>
      <c r="I1573" s="6" t="str">
        <f ca="1">IFERROR(__xludf.DUMMYFUNCTION("""COMPUTED_VALUE"""),"11-12 March 2023")</f>
        <v>11-12 March 2023</v>
      </c>
      <c r="J1573" s="6">
        <f ca="1">IFERROR(__xludf.DUMMYFUNCTION("""COMPUTED_VALUE"""),1)</f>
        <v>1</v>
      </c>
      <c r="K1573" s="8">
        <f ca="1">IFERROR(__xludf.DUMMYFUNCTION("""COMPUTED_VALUE"""),24000)</f>
        <v>24000</v>
      </c>
      <c r="L1573" s="8">
        <f ca="1">IFERROR(__xludf.DUMMYFUNCTION("""COMPUTED_VALUE"""),274.851122308749)</f>
        <v>274.85112230874898</v>
      </c>
      <c r="M1573" s="96">
        <f ca="1">IFERROR(__xludf.DUMMYFUNCTION("""COMPUTED_VALUE"""),44984)</f>
        <v>44984</v>
      </c>
      <c r="N1573" s="6" t="str">
        <f ca="1">IFERROR(__xludf.DUMMYFUNCTION("""COMPUTED_VALUE"""),"T10")</f>
        <v>T10</v>
      </c>
      <c r="O1573" s="97">
        <f ca="1">IFERROR(__xludf.DUMMYFUNCTION("""COMPUTED_VALUE"""),44984)</f>
        <v>44984</v>
      </c>
      <c r="P1573" s="6" t="str">
        <f ca="1">IFERROR(__xludf.DUMMYFUNCTION("""COMPUTED_VALUE"""),"CSTM_8CEPZP0Z0W5")</f>
        <v>CSTM_8CEPZP0Z0W5</v>
      </c>
      <c r="Q1573" s="6" t="str">
        <f ca="1">IFERROR(__xludf.DUMMYFUNCTION("""COMPUTED_VALUE"""),"Referencey by vthillai89@gmail.com")</f>
        <v>Referencey by vthillai89@gmail.com</v>
      </c>
      <c r="R1573" s="6" t="str">
        <f ca="1">IFERROR(__xludf.DUMMYFUNCTION("""COMPUTED_VALUE"""),"Pending")</f>
        <v>Pending</v>
      </c>
      <c r="S1573" s="6" t="str">
        <f ca="1">IFERROR(__xludf.DUMMYFUNCTION("""COMPUTED_VALUE"""),"NonCategory")</f>
        <v>NonCategory</v>
      </c>
      <c r="T1573" s="6"/>
      <c r="U1573" s="6"/>
      <c r="V1573" s="6"/>
      <c r="W1573" s="6"/>
      <c r="X1573" s="6"/>
      <c r="Y1573" s="6"/>
      <c r="Z1573" s="6"/>
      <c r="AA1573" s="6"/>
      <c r="AB1573" s="6"/>
      <c r="AC1573" s="6"/>
      <c r="AD1573" s="6"/>
      <c r="AE1573" s="6"/>
      <c r="AF1573" s="6"/>
      <c r="AG1573" s="6"/>
      <c r="AH1573" s="6"/>
      <c r="AI1573" s="6"/>
      <c r="AJ1573" s="6"/>
      <c r="AK1573" s="6"/>
      <c r="AL1573" s="6"/>
    </row>
    <row r="1574" spans="1:38">
      <c r="A1574" s="96">
        <f ca="1">IFERROR(__xludf.DUMMYFUNCTION("""COMPUTED_VALUE"""),44984)</f>
        <v>44984</v>
      </c>
      <c r="B1574" s="6" t="str">
        <f ca="1">IFERROR(__xludf.DUMMYFUNCTION("""COMPUTED_VALUE"""),"Abhijeet Chakravorty")</f>
        <v>Abhijeet Chakravorty</v>
      </c>
      <c r="C1574" s="6" t="str">
        <f ca="1">IFERROR(__xludf.DUMMYFUNCTION("""COMPUTED_VALUE"""),"abhijeetchakravorty03@gmail.com")</f>
        <v>abhijeetchakravorty03@gmail.com</v>
      </c>
      <c r="D1574" s="6">
        <f ca="1">IFERROR(__xludf.DUMMYFUNCTION("""COMPUTED_VALUE"""),8697402680)</f>
        <v>8697402680</v>
      </c>
      <c r="E1574" s="6" t="str">
        <f ca="1">IFERROR(__xludf.DUMMYFUNCTION("""COMPUTED_VALUE"""),"Existing Account")</f>
        <v>Existing Account</v>
      </c>
      <c r="F1574" s="6" t="str">
        <f ca="1">IFERROR(__xludf.DUMMYFUNCTION("""COMPUTED_VALUE"""),"PSPO")</f>
        <v>PSPO</v>
      </c>
      <c r="G1574" s="80">
        <f ca="1">IFERROR(__xludf.DUMMYFUNCTION("""COMPUTED_VALUE"""),44958)</f>
        <v>44958</v>
      </c>
      <c r="H1574" s="6" t="str">
        <f ca="1">IFERROR(__xludf.DUMMYFUNCTION("""COMPUTED_VALUE"""),"Won")</f>
        <v>Won</v>
      </c>
      <c r="I1574" s="6" t="str">
        <f ca="1">IFERROR(__xludf.DUMMYFUNCTION("""COMPUTED_VALUE"""),"4-5 March 2023")</f>
        <v>4-5 March 2023</v>
      </c>
      <c r="J1574" s="6">
        <f ca="1">IFERROR(__xludf.DUMMYFUNCTION("""COMPUTED_VALUE"""),1)</f>
        <v>1</v>
      </c>
      <c r="K1574" s="8">
        <f ca="1">IFERROR(__xludf.DUMMYFUNCTION("""COMPUTED_VALUE"""),21000)</f>
        <v>21000</v>
      </c>
      <c r="L1574" s="8">
        <f ca="1">IFERROR(__xludf.DUMMYFUNCTION("""COMPUTED_VALUE"""),240.494732020155)</f>
        <v>240.494732020155</v>
      </c>
      <c r="M1574" s="96">
        <f ca="1">IFERROR(__xludf.DUMMYFUNCTION("""COMPUTED_VALUE"""),44984)</f>
        <v>44984</v>
      </c>
      <c r="N1574" s="6" t="str">
        <f ca="1">IFERROR(__xludf.DUMMYFUNCTION("""COMPUTED_VALUE"""),"T10")</f>
        <v>T10</v>
      </c>
      <c r="O1574" s="97">
        <f ca="1">IFERROR(__xludf.DUMMYFUNCTION("""COMPUTED_VALUE"""),44984)</f>
        <v>44984</v>
      </c>
      <c r="P1574" s="6" t="str">
        <f ca="1">IFERROR(__xludf.DUMMYFUNCTION("""COMPUTED_VALUE"""),"CSTM_2ISVQRDUEGY")</f>
        <v>CSTM_2ISVQRDUEGY</v>
      </c>
      <c r="Q1574" s="6"/>
      <c r="R1574" s="6" t="str">
        <f ca="1">IFERROR(__xludf.DUMMYFUNCTION("""COMPUTED_VALUE"""),"Pending")</f>
        <v>Pending</v>
      </c>
      <c r="S1574" s="6" t="str">
        <f ca="1">IFERROR(__xludf.DUMMYFUNCTION("""COMPUTED_VALUE"""),"Category")</f>
        <v>Category</v>
      </c>
      <c r="T1574" s="6"/>
      <c r="U1574" s="6"/>
      <c r="V1574" s="6"/>
      <c r="W1574" s="6"/>
      <c r="X1574" s="6"/>
      <c r="Y1574" s="6"/>
      <c r="Z1574" s="6"/>
      <c r="AA1574" s="6"/>
      <c r="AB1574" s="6"/>
      <c r="AC1574" s="6"/>
      <c r="AD1574" s="6"/>
      <c r="AE1574" s="6"/>
      <c r="AF1574" s="6"/>
      <c r="AG1574" s="6"/>
      <c r="AH1574" s="6"/>
      <c r="AI1574" s="6"/>
      <c r="AJ1574" s="6"/>
      <c r="AK1574" s="6"/>
      <c r="AL1574" s="6"/>
    </row>
    <row r="1575" spans="1:38">
      <c r="A1575" s="96">
        <f ca="1">IFERROR(__xludf.DUMMYFUNCTION("""COMPUTED_VALUE"""),44984)</f>
        <v>44984</v>
      </c>
      <c r="B1575" s="6" t="str">
        <f ca="1">IFERROR(__xludf.DUMMYFUNCTION("""COMPUTED_VALUE"""),"Sowbhagya Vallich")</f>
        <v>Sowbhagya Vallich</v>
      </c>
      <c r="C1575" s="6" t="str">
        <f ca="1">IFERROR(__xludf.DUMMYFUNCTION("""COMPUTED_VALUE"""),"sowbhagyavallich@gmail.com")</f>
        <v>sowbhagyavallich@gmail.com</v>
      </c>
      <c r="D1575" s="6">
        <f ca="1">IFERROR(__xludf.DUMMYFUNCTION("""COMPUTED_VALUE"""),7032068856)</f>
        <v>7032068856</v>
      </c>
      <c r="E1575" s="6" t="str">
        <f ca="1">IFERROR(__xludf.DUMMYFUNCTION("""COMPUTED_VALUE"""),"Query box")</f>
        <v>Query box</v>
      </c>
      <c r="F1575" s="6" t="str">
        <f ca="1">IFERROR(__xludf.DUMMYFUNCTION("""COMPUTED_VALUE"""),"PSM")</f>
        <v>PSM</v>
      </c>
      <c r="G1575" s="80">
        <f ca="1">IFERROR(__xludf.DUMMYFUNCTION("""COMPUTED_VALUE"""),44986)</f>
        <v>44986</v>
      </c>
      <c r="H1575" s="6" t="str">
        <f ca="1">IFERROR(__xludf.DUMMYFUNCTION("""COMPUTED_VALUE"""),"Won")</f>
        <v>Won</v>
      </c>
      <c r="I1575" s="6" t="str">
        <f ca="1">IFERROR(__xludf.DUMMYFUNCTION("""COMPUTED_VALUE"""),"4-5 March 2023")</f>
        <v>4-5 March 2023</v>
      </c>
      <c r="J1575" s="6">
        <f ca="1">IFERROR(__xludf.DUMMYFUNCTION("""COMPUTED_VALUE"""),1)</f>
        <v>1</v>
      </c>
      <c r="K1575" s="8">
        <f ca="1">IFERROR(__xludf.DUMMYFUNCTION("""COMPUTED_VALUE"""),21000)</f>
        <v>21000</v>
      </c>
      <c r="L1575" s="8">
        <f ca="1">IFERROR(__xludf.DUMMYFUNCTION("""COMPUTED_VALUE"""),240.494732020155)</f>
        <v>240.494732020155</v>
      </c>
      <c r="M1575" s="96">
        <f ca="1">IFERROR(__xludf.DUMMYFUNCTION("""COMPUTED_VALUE"""),44984)</f>
        <v>44984</v>
      </c>
      <c r="N1575" s="6" t="str">
        <f ca="1">IFERROR(__xludf.DUMMYFUNCTION("""COMPUTED_VALUE"""),"F10")</f>
        <v>F10</v>
      </c>
      <c r="O1575" s="97">
        <f ca="1">IFERROR(__xludf.DUMMYFUNCTION("""COMPUTED_VALUE"""),44986)</f>
        <v>44986</v>
      </c>
      <c r="P1575" s="6" t="str">
        <f ca="1">IFERROR(__xludf.DUMMYFUNCTION("""COMPUTED_VALUE"""),"CSTM_78XBODPCUEW")</f>
        <v>CSTM_78XBODPCUEW</v>
      </c>
      <c r="Q1575" s="6"/>
      <c r="R1575" s="6" t="str">
        <f ca="1">IFERROR(__xludf.DUMMYFUNCTION("""COMPUTED_VALUE"""),"Pending")</f>
        <v>Pending</v>
      </c>
      <c r="S1575" s="6" t="str">
        <f ca="1">IFERROR(__xludf.DUMMYFUNCTION("""COMPUTED_VALUE"""),"Category")</f>
        <v>Category</v>
      </c>
      <c r="T1575" s="6"/>
      <c r="U1575" s="6"/>
      <c r="V1575" s="6"/>
      <c r="W1575" s="6"/>
      <c r="X1575" s="6"/>
      <c r="Y1575" s="6"/>
      <c r="Z1575" s="6"/>
      <c r="AA1575" s="6"/>
      <c r="AB1575" s="6"/>
      <c r="AC1575" s="6"/>
      <c r="AD1575" s="6"/>
      <c r="AE1575" s="6"/>
      <c r="AF1575" s="6"/>
      <c r="AG1575" s="6"/>
      <c r="AH1575" s="6"/>
      <c r="AI1575" s="6"/>
      <c r="AJ1575" s="6"/>
      <c r="AK1575" s="6"/>
      <c r="AL1575" s="6"/>
    </row>
    <row r="1576" spans="1:38">
      <c r="A1576" s="96">
        <f ca="1">IFERROR(__xludf.DUMMYFUNCTION("""COMPUTED_VALUE"""),44985)</f>
        <v>44985</v>
      </c>
      <c r="B1576" s="6" t="str">
        <f ca="1">IFERROR(__xludf.DUMMYFUNCTION("""COMPUTED_VALUE"""),"Niladri Sekhar")</f>
        <v>Niladri Sekhar</v>
      </c>
      <c r="C1576" s="6" t="str">
        <f ca="1">IFERROR(__xludf.DUMMYFUNCTION("""COMPUTED_VALUE"""),"niladrisekhar2005@gmail.com")</f>
        <v>niladrisekhar2005@gmail.com</v>
      </c>
      <c r="D1576" s="6">
        <f ca="1">IFERROR(__xludf.DUMMYFUNCTION("""COMPUTED_VALUE"""),9830082803)</f>
        <v>9830082803</v>
      </c>
      <c r="E1576" s="6" t="str">
        <f ca="1">IFERROR(__xludf.DUMMYFUNCTION("""COMPUTED_VALUE"""),"Reference")</f>
        <v>Reference</v>
      </c>
      <c r="F1576" s="6" t="str">
        <f ca="1">IFERROR(__xludf.DUMMYFUNCTION("""COMPUTED_VALUE"""),"PSM 2")</f>
        <v>PSM 2</v>
      </c>
      <c r="G1576" s="80">
        <f ca="1">IFERROR(__xludf.DUMMYFUNCTION("""COMPUTED_VALUE"""),44958)</f>
        <v>44958</v>
      </c>
      <c r="H1576" s="6" t="str">
        <f ca="1">IFERROR(__xludf.DUMMYFUNCTION("""COMPUTED_VALUE"""),"Won")</f>
        <v>Won</v>
      </c>
      <c r="I1576" s="6" t="str">
        <f ca="1">IFERROR(__xludf.DUMMYFUNCTION("""COMPUTED_VALUE"""),"11-12 March 2023")</f>
        <v>11-12 March 2023</v>
      </c>
      <c r="J1576" s="6">
        <f ca="1">IFERROR(__xludf.DUMMYFUNCTION("""COMPUTED_VALUE"""),1)</f>
        <v>1</v>
      </c>
      <c r="K1576" s="8">
        <f ca="1">IFERROR(__xludf.DUMMYFUNCTION("""COMPUTED_VALUE"""),24000)</f>
        <v>24000</v>
      </c>
      <c r="L1576" s="8">
        <f ca="1">IFERROR(__xludf.DUMMYFUNCTION("""COMPUTED_VALUE"""),274.851122308749)</f>
        <v>274.85112230874898</v>
      </c>
      <c r="M1576" s="96">
        <f ca="1">IFERROR(__xludf.DUMMYFUNCTION("""COMPUTED_VALUE"""),44985)</f>
        <v>44985</v>
      </c>
      <c r="N1576" s="6" t="str">
        <f ca="1">IFERROR(__xludf.DUMMYFUNCTION("""COMPUTED_VALUE"""),"T10")</f>
        <v>T10</v>
      </c>
      <c r="O1576" s="97">
        <f ca="1">IFERROR(__xludf.DUMMYFUNCTION("""COMPUTED_VALUE"""),44985)</f>
        <v>44985</v>
      </c>
      <c r="P1576" s="6" t="str">
        <f ca="1">IFERROR(__xludf.DUMMYFUNCTION("""COMPUTED_VALUE"""),"CSTM_7WXRZEP2SPM")</f>
        <v>CSTM_7WXRZEP2SPM</v>
      </c>
      <c r="Q1576" s="6" t="str">
        <f ca="1">IFERROR(__xludf.DUMMYFUNCTION("""COMPUTED_VALUE"""),"Reference by ashif.tcs@gmail.com")</f>
        <v>Reference by ashif.tcs@gmail.com</v>
      </c>
      <c r="R1576" s="6" t="str">
        <f ca="1">IFERROR(__xludf.DUMMYFUNCTION("""COMPUTED_VALUE"""),"Pending")</f>
        <v>Pending</v>
      </c>
      <c r="S1576" s="6" t="str">
        <f ca="1">IFERROR(__xludf.DUMMYFUNCTION("""COMPUTED_VALUE"""),"Category")</f>
        <v>Category</v>
      </c>
      <c r="T1576" s="6"/>
      <c r="U1576" s="6"/>
      <c r="V1576" s="6"/>
      <c r="W1576" s="6"/>
      <c r="X1576" s="6"/>
      <c r="Y1576" s="6"/>
      <c r="Z1576" s="6"/>
      <c r="AA1576" s="6"/>
      <c r="AB1576" s="6"/>
      <c r="AC1576" s="6"/>
      <c r="AD1576" s="6"/>
      <c r="AE1576" s="6"/>
      <c r="AF1576" s="6"/>
      <c r="AG1576" s="6"/>
      <c r="AH1576" s="6"/>
      <c r="AI1576" s="6"/>
      <c r="AJ1576" s="6"/>
      <c r="AK1576" s="6"/>
      <c r="AL1576" s="6"/>
    </row>
    <row r="1577" spans="1:38">
      <c r="A1577" s="96">
        <f ca="1">IFERROR(__xludf.DUMMYFUNCTION("""COMPUTED_VALUE"""),44985)</f>
        <v>44985</v>
      </c>
      <c r="B1577" s="6" t="str">
        <f ca="1">IFERROR(__xludf.DUMMYFUNCTION("""COMPUTED_VALUE"""),"Saranya Mathiyalagan")</f>
        <v>Saranya Mathiyalagan</v>
      </c>
      <c r="C1577" s="6" t="str">
        <f ca="1">IFERROR(__xludf.DUMMYFUNCTION("""COMPUTED_VALUE"""),"saranya.mathiyalagan@gmail.com")</f>
        <v>saranya.mathiyalagan@gmail.com</v>
      </c>
      <c r="D1577" s="6">
        <f ca="1">IFERROR(__xludf.DUMMYFUNCTION("""COMPUTED_VALUE"""),9901913344)</f>
        <v>9901913344</v>
      </c>
      <c r="E1577" s="6" t="str">
        <f ca="1">IFERROR(__xludf.DUMMYFUNCTION("""COMPUTED_VALUE"""),"Existing Account")</f>
        <v>Existing Account</v>
      </c>
      <c r="F1577" s="6" t="str">
        <f ca="1">IFERROR(__xludf.DUMMYFUNCTION("""COMPUTED_VALUE"""),"PSM")</f>
        <v>PSM</v>
      </c>
      <c r="G1577" s="80">
        <f ca="1">IFERROR(__xludf.DUMMYFUNCTION("""COMPUTED_VALUE"""),44958)</f>
        <v>44958</v>
      </c>
      <c r="H1577" s="6" t="str">
        <f ca="1">IFERROR(__xludf.DUMMYFUNCTION("""COMPUTED_VALUE"""),"Won")</f>
        <v>Won</v>
      </c>
      <c r="I1577" s="6" t="str">
        <f ca="1">IFERROR(__xludf.DUMMYFUNCTION("""COMPUTED_VALUE"""),"4-5 March 2023")</f>
        <v>4-5 March 2023</v>
      </c>
      <c r="J1577" s="6">
        <f ca="1">IFERROR(__xludf.DUMMYFUNCTION("""COMPUTED_VALUE"""),1)</f>
        <v>1</v>
      </c>
      <c r="K1577" s="8">
        <f ca="1">IFERROR(__xludf.DUMMYFUNCTION("""COMPUTED_VALUE"""),21000)</f>
        <v>21000</v>
      </c>
      <c r="L1577" s="8">
        <f ca="1">IFERROR(__xludf.DUMMYFUNCTION("""COMPUTED_VALUE"""),240.494732020155)</f>
        <v>240.494732020155</v>
      </c>
      <c r="M1577" s="96">
        <f ca="1">IFERROR(__xludf.DUMMYFUNCTION("""COMPUTED_VALUE"""),44985)</f>
        <v>44985</v>
      </c>
      <c r="N1577" s="6" t="str">
        <f ca="1">IFERROR(__xludf.DUMMYFUNCTION("""COMPUTED_VALUE"""),"T10")</f>
        <v>T10</v>
      </c>
      <c r="O1577" s="97">
        <f ca="1">IFERROR(__xludf.DUMMYFUNCTION("""COMPUTED_VALUE"""),44985)</f>
        <v>44985</v>
      </c>
      <c r="P1577" s="6" t="str">
        <f ca="1">IFERROR(__xludf.DUMMYFUNCTION("""COMPUTED_VALUE"""),"CSTM_PM8BGT9CBS")</f>
        <v>CSTM_PM8BGT9CBS</v>
      </c>
      <c r="Q1577" s="6"/>
      <c r="R1577" s="6" t="str">
        <f ca="1">IFERROR(__xludf.DUMMYFUNCTION("""COMPUTED_VALUE"""),"Pending")</f>
        <v>Pending</v>
      </c>
      <c r="S1577" s="6" t="str">
        <f ca="1">IFERROR(__xludf.DUMMYFUNCTION("""COMPUTED_VALUE"""),"Category")</f>
        <v>Category</v>
      </c>
      <c r="T1577" s="6"/>
      <c r="U1577" s="6"/>
      <c r="V1577" s="6"/>
      <c r="W1577" s="6"/>
      <c r="X1577" s="6"/>
      <c r="Y1577" s="6"/>
      <c r="Z1577" s="6"/>
      <c r="AA1577" s="6"/>
      <c r="AB1577" s="6"/>
      <c r="AC1577" s="6"/>
      <c r="AD1577" s="6"/>
      <c r="AE1577" s="6"/>
      <c r="AF1577" s="6"/>
      <c r="AG1577" s="6"/>
      <c r="AH1577" s="6"/>
      <c r="AI1577" s="6"/>
      <c r="AJ1577" s="6"/>
      <c r="AK1577" s="6"/>
      <c r="AL1577" s="6"/>
    </row>
    <row r="1578" spans="1:38">
      <c r="A1578" s="96">
        <f ca="1">IFERROR(__xludf.DUMMYFUNCTION("""COMPUTED_VALUE"""),44985)</f>
        <v>44985</v>
      </c>
      <c r="B1578" s="6" t="str">
        <f ca="1">IFERROR(__xludf.DUMMYFUNCTION("""COMPUTED_VALUE"""),"Poornima")</f>
        <v>Poornima</v>
      </c>
      <c r="C1578" s="6" t="str">
        <f ca="1">IFERROR(__xludf.DUMMYFUNCTION("""COMPUTED_VALUE"""),"poornima2910@gmail.com")</f>
        <v>poornima2910@gmail.com</v>
      </c>
      <c r="D1578" s="6">
        <f ca="1">IFERROR(__xludf.DUMMYFUNCTION("""COMPUTED_VALUE"""),9654713977)</f>
        <v>9654713977</v>
      </c>
      <c r="E1578" s="6" t="str">
        <f ca="1">IFERROR(__xludf.DUMMYFUNCTION("""COMPUTED_VALUE"""),"Tollfree")</f>
        <v>Tollfree</v>
      </c>
      <c r="F1578" s="6" t="str">
        <f ca="1">IFERROR(__xludf.DUMMYFUNCTION("""COMPUTED_VALUE"""),"AWS Solutions Architect")</f>
        <v>AWS Solutions Architect</v>
      </c>
      <c r="G1578" s="80">
        <f ca="1">IFERROR(__xludf.DUMMYFUNCTION("""COMPUTED_VALUE"""),44958)</f>
        <v>44958</v>
      </c>
      <c r="H1578" s="6" t="str">
        <f ca="1">IFERROR(__xludf.DUMMYFUNCTION("""COMPUTED_VALUE"""),"Won")</f>
        <v>Won</v>
      </c>
      <c r="I1578" s="6" t="str">
        <f ca="1">IFERROR(__xludf.DUMMYFUNCTION("""COMPUTED_VALUE"""),"11 March 2023")</f>
        <v>11 March 2023</v>
      </c>
      <c r="J1578" s="6">
        <f ca="1">IFERROR(__xludf.DUMMYFUNCTION("""COMPUTED_VALUE"""),1)</f>
        <v>1</v>
      </c>
      <c r="K1578" s="8">
        <f ca="1">IFERROR(__xludf.DUMMYFUNCTION("""COMPUTED_VALUE"""),16911)</f>
        <v>16911</v>
      </c>
      <c r="L1578" s="8">
        <f ca="1">IFERROR(__xludf.DUMMYFUNCTION("""COMPUTED_VALUE"""),193.666972056802)</f>
        <v>193.666972056802</v>
      </c>
      <c r="M1578" s="96">
        <f ca="1">IFERROR(__xludf.DUMMYFUNCTION("""COMPUTED_VALUE"""),44985)</f>
        <v>44985</v>
      </c>
      <c r="N1578" s="6" t="str">
        <f ca="1">IFERROR(__xludf.DUMMYFUNCTION("""COMPUTED_VALUE"""),"T10")</f>
        <v>T10</v>
      </c>
      <c r="O1578" s="97">
        <f ca="1">IFERROR(__xludf.DUMMYFUNCTION("""COMPUTED_VALUE"""),44985)</f>
        <v>44985</v>
      </c>
      <c r="P1578" s="6" t="str">
        <f ca="1">IFERROR(__xludf.DUMMYFUNCTION("""COMPUTED_VALUE"""),"CSTM_EG6J5O4RS9N")</f>
        <v>CSTM_EG6J5O4RS9N</v>
      </c>
      <c r="Q1578" s="6"/>
      <c r="R1578" s="6" t="str">
        <f ca="1">IFERROR(__xludf.DUMMYFUNCTION("""COMPUTED_VALUE"""),"Pending")</f>
        <v>Pending</v>
      </c>
      <c r="S1578" s="6" t="str">
        <f ca="1">IFERROR(__xludf.DUMMYFUNCTION("""COMPUTED_VALUE"""),"NonCategory")</f>
        <v>NonCategory</v>
      </c>
      <c r="T1578" s="6"/>
      <c r="U1578" s="6"/>
      <c r="V1578" s="6"/>
      <c r="W1578" s="6"/>
      <c r="X1578" s="6"/>
      <c r="Y1578" s="6"/>
      <c r="Z1578" s="6"/>
      <c r="AA1578" s="6"/>
      <c r="AB1578" s="6"/>
      <c r="AC1578" s="6"/>
      <c r="AD1578" s="6"/>
      <c r="AE1578" s="6"/>
      <c r="AF1578" s="6"/>
      <c r="AG1578" s="6"/>
      <c r="AH1578" s="6"/>
      <c r="AI1578" s="6"/>
      <c r="AJ1578" s="6"/>
      <c r="AK1578" s="6"/>
      <c r="AL1578" s="6"/>
    </row>
    <row r="1579" spans="1:38">
      <c r="A1579" s="96">
        <f ca="1">IFERROR(__xludf.DUMMYFUNCTION("""COMPUTED_VALUE"""),44985)</f>
        <v>44985</v>
      </c>
      <c r="B1579" s="6" t="str">
        <f ca="1">IFERROR(__xludf.DUMMYFUNCTION("""COMPUTED_VALUE"""),"Sankar Balakrishnan")</f>
        <v>Sankar Balakrishnan</v>
      </c>
      <c r="C1579" s="6" t="str">
        <f ca="1">IFERROR(__xludf.DUMMYFUNCTION("""COMPUTED_VALUE"""),"snkr.ece@gmail.com")</f>
        <v>snkr.ece@gmail.com</v>
      </c>
      <c r="D1579" s="6">
        <f ca="1">IFERROR(__xludf.DUMMYFUNCTION("""COMPUTED_VALUE"""),7795510494)</f>
        <v>7795510494</v>
      </c>
      <c r="E1579" s="6" t="str">
        <f ca="1">IFERROR(__xludf.DUMMYFUNCTION("""COMPUTED_VALUE"""),"Reference")</f>
        <v>Reference</v>
      </c>
      <c r="F1579" s="6" t="str">
        <f ca="1">IFERROR(__xludf.DUMMYFUNCTION("""COMPUTED_VALUE"""),"PSM")</f>
        <v>PSM</v>
      </c>
      <c r="G1579" s="80">
        <f ca="1">IFERROR(__xludf.DUMMYFUNCTION("""COMPUTED_VALUE"""),44958)</f>
        <v>44958</v>
      </c>
      <c r="H1579" s="6" t="str">
        <f ca="1">IFERROR(__xludf.DUMMYFUNCTION("""COMPUTED_VALUE"""),"Won")</f>
        <v>Won</v>
      </c>
      <c r="I1579" s="6" t="str">
        <f ca="1">IFERROR(__xludf.DUMMYFUNCTION("""COMPUTED_VALUE"""),"11-12 March 2023")</f>
        <v>11-12 March 2023</v>
      </c>
      <c r="J1579" s="6">
        <f ca="1">IFERROR(__xludf.DUMMYFUNCTION("""COMPUTED_VALUE"""),1)</f>
        <v>1</v>
      </c>
      <c r="K1579" s="8">
        <f ca="1">IFERROR(__xludf.DUMMYFUNCTION("""COMPUTED_VALUE"""),21000)</f>
        <v>21000</v>
      </c>
      <c r="L1579" s="8">
        <f ca="1">IFERROR(__xludf.DUMMYFUNCTION("""COMPUTED_VALUE"""),240.494732020155)</f>
        <v>240.494732020155</v>
      </c>
      <c r="M1579" s="96">
        <f ca="1">IFERROR(__xludf.DUMMYFUNCTION("""COMPUTED_VALUE"""),44985)</f>
        <v>44985</v>
      </c>
      <c r="N1579" s="6" t="str">
        <f ca="1">IFERROR(__xludf.DUMMYFUNCTION("""COMPUTED_VALUE"""),"T10")</f>
        <v>T10</v>
      </c>
      <c r="O1579" s="97">
        <f ca="1">IFERROR(__xludf.DUMMYFUNCTION("""COMPUTED_VALUE"""),44985)</f>
        <v>44985</v>
      </c>
      <c r="P1579" s="6" t="str">
        <f ca="1">IFERROR(__xludf.DUMMYFUNCTION("""COMPUTED_VALUE"""),"CSTM_2D7RUORW0U8")</f>
        <v>CSTM_2D7RUORW0U8</v>
      </c>
      <c r="Q1579" s="6" t="str">
        <f ca="1">IFERROR(__xludf.DUMMYFUNCTION("""COMPUTED_VALUE"""),"Reference by balamaha007@gmail.com")</f>
        <v>Reference by balamaha007@gmail.com</v>
      </c>
      <c r="R1579" s="6" t="str">
        <f ca="1">IFERROR(__xludf.DUMMYFUNCTION("""COMPUTED_VALUE"""),"Pending")</f>
        <v>Pending</v>
      </c>
      <c r="S1579" s="6" t="str">
        <f ca="1">IFERROR(__xludf.DUMMYFUNCTION("""COMPUTED_VALUE"""),"Category")</f>
        <v>Category</v>
      </c>
      <c r="T1579" s="6"/>
      <c r="U1579" s="6"/>
      <c r="V1579" s="6"/>
      <c r="W1579" s="6"/>
      <c r="X1579" s="6"/>
      <c r="Y1579" s="6"/>
      <c r="Z1579" s="6"/>
      <c r="AA1579" s="6"/>
      <c r="AB1579" s="6"/>
      <c r="AC1579" s="6"/>
      <c r="AD1579" s="6"/>
      <c r="AE1579" s="6"/>
      <c r="AF1579" s="6"/>
      <c r="AG1579" s="6"/>
      <c r="AH1579" s="6"/>
      <c r="AI1579" s="6"/>
      <c r="AJ1579" s="6"/>
      <c r="AK1579" s="6"/>
      <c r="AL1579" s="6"/>
    </row>
    <row r="1580" spans="1:38">
      <c r="A1580" s="96">
        <f ca="1">IFERROR(__xludf.DUMMYFUNCTION("""COMPUTED_VALUE"""),44985)</f>
        <v>44985</v>
      </c>
      <c r="B1580" s="6" t="str">
        <f ca="1">IFERROR(__xludf.DUMMYFUNCTION("""COMPUTED_VALUE"""),"Abhianaya")</f>
        <v>Abhianaya</v>
      </c>
      <c r="C1580" s="6" t="str">
        <f ca="1">IFERROR(__xludf.DUMMYFUNCTION("""COMPUTED_VALUE"""),"abinayabio@gmail.com")</f>
        <v>abinayabio@gmail.com</v>
      </c>
      <c r="D1580" s="6">
        <f ca="1">IFERROR(__xludf.DUMMYFUNCTION("""COMPUTED_VALUE"""),9865456054)</f>
        <v>9865456054</v>
      </c>
      <c r="E1580" s="6" t="str">
        <f ca="1">IFERROR(__xludf.DUMMYFUNCTION("""COMPUTED_VALUE"""),"Reference")</f>
        <v>Reference</v>
      </c>
      <c r="F1580" s="6" t="str">
        <f ca="1">IFERROR(__xludf.DUMMYFUNCTION("""COMPUTED_VALUE"""),"PSPO 2")</f>
        <v>PSPO 2</v>
      </c>
      <c r="G1580" s="80">
        <f ca="1">IFERROR(__xludf.DUMMYFUNCTION("""COMPUTED_VALUE"""),44958)</f>
        <v>44958</v>
      </c>
      <c r="H1580" s="6" t="str">
        <f ca="1">IFERROR(__xludf.DUMMYFUNCTION("""COMPUTED_VALUE"""),"Won")</f>
        <v>Won</v>
      </c>
      <c r="I1580" s="6" t="str">
        <f ca="1">IFERROR(__xludf.DUMMYFUNCTION("""COMPUTED_VALUE"""),"11-12 March 2023")</f>
        <v>11-12 March 2023</v>
      </c>
      <c r="J1580" s="6">
        <f ca="1">IFERROR(__xludf.DUMMYFUNCTION("""COMPUTED_VALUE"""),1)</f>
        <v>1</v>
      </c>
      <c r="K1580" s="8">
        <f ca="1">IFERROR(__xludf.DUMMYFUNCTION("""COMPUTED_VALUE"""),24000)</f>
        <v>24000</v>
      </c>
      <c r="L1580" s="8">
        <f ca="1">IFERROR(__xludf.DUMMYFUNCTION("""COMPUTED_VALUE"""),274.851122308749)</f>
        <v>274.85112230874898</v>
      </c>
      <c r="M1580" s="96">
        <f ca="1">IFERROR(__xludf.DUMMYFUNCTION("""COMPUTED_VALUE"""),44985)</f>
        <v>44985</v>
      </c>
      <c r="N1580" s="6" t="str">
        <f ca="1">IFERROR(__xludf.DUMMYFUNCTION("""COMPUTED_VALUE"""),"T10")</f>
        <v>T10</v>
      </c>
      <c r="O1580" s="97">
        <f ca="1">IFERROR(__xludf.DUMMYFUNCTION("""COMPUTED_VALUE"""),44985)</f>
        <v>44985</v>
      </c>
      <c r="P1580" s="6" t="str">
        <f ca="1">IFERROR(__xludf.DUMMYFUNCTION("""COMPUTED_VALUE"""),"CSTM_2UG8VOSOETC")</f>
        <v>CSTM_2UG8VOSOETC</v>
      </c>
      <c r="Q1580" s="6" t="str">
        <f ca="1">IFERROR(__xludf.DUMMYFUNCTION("""COMPUTED_VALUE"""),"Reference by koki.sengottaian@gmail.com")</f>
        <v>Reference by koki.sengottaian@gmail.com</v>
      </c>
      <c r="R1580" s="6" t="str">
        <f ca="1">IFERROR(__xludf.DUMMYFUNCTION("""COMPUTED_VALUE"""),"Pending")</f>
        <v>Pending</v>
      </c>
      <c r="S1580" s="6" t="str">
        <f ca="1">IFERROR(__xludf.DUMMYFUNCTION("""COMPUTED_VALUE"""),"NonCategory")</f>
        <v>NonCategory</v>
      </c>
      <c r="T1580" s="6"/>
      <c r="U1580" s="6"/>
      <c r="V1580" s="6"/>
      <c r="W1580" s="6"/>
      <c r="X1580" s="6"/>
      <c r="Y1580" s="6"/>
      <c r="Z1580" s="6"/>
      <c r="AA1580" s="6"/>
      <c r="AB1580" s="6"/>
      <c r="AC1580" s="6"/>
      <c r="AD1580" s="6"/>
      <c r="AE1580" s="6"/>
      <c r="AF1580" s="6"/>
      <c r="AG1580" s="6"/>
      <c r="AH1580" s="6"/>
      <c r="AI1580" s="6"/>
      <c r="AJ1580" s="6"/>
      <c r="AK1580" s="6"/>
      <c r="AL1580" s="6"/>
    </row>
    <row r="1581" spans="1:38">
      <c r="A1581" s="96">
        <f ca="1">IFERROR(__xludf.DUMMYFUNCTION("""COMPUTED_VALUE"""),44986)</f>
        <v>44986</v>
      </c>
      <c r="B1581" s="6" t="str">
        <f ca="1">IFERROR(__xludf.DUMMYFUNCTION("""COMPUTED_VALUE"""),"Sameer")</f>
        <v>Sameer</v>
      </c>
      <c r="C1581" s="6" t="str">
        <f ca="1">IFERROR(__xludf.DUMMYFUNCTION("""COMPUTED_VALUE"""),"sameerthink@gmail.com")</f>
        <v>sameerthink@gmail.com</v>
      </c>
      <c r="D1581" s="6">
        <f ca="1">IFERROR(__xludf.DUMMYFUNCTION("""COMPUTED_VALUE"""),9890961355)</f>
        <v>9890961355</v>
      </c>
      <c r="E1581" s="6" t="str">
        <f ca="1">IFERROR(__xludf.DUMMYFUNCTION("""COMPUTED_VALUE"""),"Reference")</f>
        <v>Reference</v>
      </c>
      <c r="F1581" s="6" t="str">
        <f ca="1">IFERROR(__xludf.DUMMYFUNCTION("""COMPUTED_VALUE"""),"PSM 2")</f>
        <v>PSM 2</v>
      </c>
      <c r="G1581" s="80">
        <f ca="1">IFERROR(__xludf.DUMMYFUNCTION("""COMPUTED_VALUE"""),44986)</f>
        <v>44986</v>
      </c>
      <c r="H1581" s="6" t="str">
        <f ca="1">IFERROR(__xludf.DUMMYFUNCTION("""COMPUTED_VALUE"""),"Won")</f>
        <v>Won</v>
      </c>
      <c r="I1581" s="6" t="str">
        <f ca="1">IFERROR(__xludf.DUMMYFUNCTION("""COMPUTED_VALUE"""),"11-12 March 2023")</f>
        <v>11-12 March 2023</v>
      </c>
      <c r="J1581" s="6">
        <f ca="1">IFERROR(__xludf.DUMMYFUNCTION("""COMPUTED_VALUE"""),1)</f>
        <v>1</v>
      </c>
      <c r="K1581" s="8">
        <f ca="1">IFERROR(__xludf.DUMMYFUNCTION("""COMPUTED_VALUE"""),24000)</f>
        <v>24000</v>
      </c>
      <c r="L1581" s="8">
        <f ca="1">IFERROR(__xludf.DUMMYFUNCTION("""COMPUTED_VALUE"""),274.851122308749)</f>
        <v>274.85112230874898</v>
      </c>
      <c r="M1581" s="96">
        <f ca="1">IFERROR(__xludf.DUMMYFUNCTION("""COMPUTED_VALUE"""),44986)</f>
        <v>44986</v>
      </c>
      <c r="N1581" s="6" t="str">
        <f ca="1">IFERROR(__xludf.DUMMYFUNCTION("""COMPUTED_VALUE"""),"F10")</f>
        <v>F10</v>
      </c>
      <c r="O1581" s="97">
        <f ca="1">IFERROR(__xludf.DUMMYFUNCTION("""COMPUTED_VALUE"""),44986)</f>
        <v>44986</v>
      </c>
      <c r="P1581" s="6" t="str">
        <f ca="1">IFERROR(__xludf.DUMMYFUNCTION("""COMPUTED_VALUE"""),"CSTM_7GDGV58Y24O")</f>
        <v>CSTM_7GDGV58Y24O</v>
      </c>
      <c r="Q1581" s="6" t="str">
        <f ca="1">IFERROR(__xludf.DUMMYFUNCTION("""COMPUTED_VALUE"""),"Reference by kalyanireddyk@gmail.com")</f>
        <v>Reference by kalyanireddyk@gmail.com</v>
      </c>
      <c r="R1581" s="6" t="str">
        <f ca="1">IFERROR(__xludf.DUMMYFUNCTION("""COMPUTED_VALUE"""),"Pending")</f>
        <v>Pending</v>
      </c>
      <c r="S1581" s="6" t="str">
        <f ca="1">IFERROR(__xludf.DUMMYFUNCTION("""COMPUTED_VALUE"""),"Category")</f>
        <v>Category</v>
      </c>
      <c r="T1581" s="6"/>
      <c r="U1581" s="6"/>
      <c r="V1581" s="6"/>
      <c r="W1581" s="6"/>
      <c r="X1581" s="6"/>
      <c r="Y1581" s="6"/>
      <c r="Z1581" s="6"/>
      <c r="AA1581" s="6"/>
      <c r="AB1581" s="6"/>
      <c r="AC1581" s="6"/>
      <c r="AD1581" s="6"/>
      <c r="AE1581" s="6"/>
      <c r="AF1581" s="6"/>
      <c r="AG1581" s="6"/>
      <c r="AH1581" s="6"/>
      <c r="AI1581" s="6"/>
      <c r="AJ1581" s="6"/>
      <c r="AK1581" s="6"/>
      <c r="AL1581" s="6"/>
    </row>
    <row r="1582" spans="1:38">
      <c r="A1582" s="96">
        <f ca="1">IFERROR(__xludf.DUMMYFUNCTION("""COMPUTED_VALUE"""),44986)</f>
        <v>44986</v>
      </c>
      <c r="B1582" s="6" t="str">
        <f ca="1">IFERROR(__xludf.DUMMYFUNCTION("""COMPUTED_VALUE"""),"Praveen Kumar")</f>
        <v>Praveen Kumar</v>
      </c>
      <c r="C1582" s="6" t="str">
        <f ca="1">IFERROR(__xludf.DUMMYFUNCTION("""COMPUTED_VALUE"""),"kumarrai@gmail.com")</f>
        <v>kumarrai@gmail.com</v>
      </c>
      <c r="D1582" s="6">
        <f ca="1">IFERROR(__xludf.DUMMYFUNCTION("""COMPUTED_VALUE"""),9379095330)</f>
        <v>9379095330</v>
      </c>
      <c r="E1582" s="6" t="str">
        <f ca="1">IFERROR(__xludf.DUMMYFUNCTION("""COMPUTED_VALUE"""),"Chat_triggered")</f>
        <v>Chat_triggered</v>
      </c>
      <c r="F1582" s="6" t="str">
        <f ca="1">IFERROR(__xludf.DUMMYFUNCTION("""COMPUTED_VALUE"""),"SAFe Agile")</f>
        <v>SAFe Agile</v>
      </c>
      <c r="G1582" s="80">
        <f ca="1">IFERROR(__xludf.DUMMYFUNCTION("""COMPUTED_VALUE"""),44986)</f>
        <v>44986</v>
      </c>
      <c r="H1582" s="6" t="str">
        <f ca="1">IFERROR(__xludf.DUMMYFUNCTION("""COMPUTED_VALUE"""),"Won")</f>
        <v>Won</v>
      </c>
      <c r="I1582" s="6" t="str">
        <f ca="1">IFERROR(__xludf.DUMMYFUNCTION("""COMPUTED_VALUE"""),"4-5 March 2023")</f>
        <v>4-5 March 2023</v>
      </c>
      <c r="J1582" s="6">
        <f ca="1">IFERROR(__xludf.DUMMYFUNCTION("""COMPUTED_VALUE"""),1)</f>
        <v>1</v>
      </c>
      <c r="K1582" s="8">
        <f ca="1">IFERROR(__xludf.DUMMYFUNCTION("""COMPUTED_VALUE"""),40061)</f>
        <v>40061</v>
      </c>
      <c r="L1582" s="8">
        <f ca="1">IFERROR(__xludf.DUMMYFUNCTION("""COMPUTED_VALUE"""),458.783783783783)</f>
        <v>458.78378378378301</v>
      </c>
      <c r="M1582" s="96">
        <f ca="1">IFERROR(__xludf.DUMMYFUNCTION("""COMPUTED_VALUE"""),44986)</f>
        <v>44986</v>
      </c>
      <c r="N1582" s="6" t="str">
        <f ca="1">IFERROR(__xludf.DUMMYFUNCTION("""COMPUTED_VALUE"""),"F10")</f>
        <v>F10</v>
      </c>
      <c r="O1582" s="97">
        <f ca="1">IFERROR(__xludf.DUMMYFUNCTION("""COMPUTED_VALUE"""),44986)</f>
        <v>44986</v>
      </c>
      <c r="P1582" s="6" t="str">
        <f ca="1">IFERROR(__xludf.DUMMYFUNCTION("""COMPUTED_VALUE"""),"CSTM_EKS68USFOOO")</f>
        <v>CSTM_EKS68USFOOO</v>
      </c>
      <c r="Q1582" s="6"/>
      <c r="R1582" s="6" t="str">
        <f ca="1">IFERROR(__xludf.DUMMYFUNCTION("""COMPUTED_VALUE"""),"Pending")</f>
        <v>Pending</v>
      </c>
      <c r="S1582" s="6" t="str">
        <f ca="1">IFERROR(__xludf.DUMMYFUNCTION("""COMPUTED_VALUE"""),"SAFe")</f>
        <v>SAFe</v>
      </c>
      <c r="T1582" s="6"/>
      <c r="U1582" s="6"/>
      <c r="V1582" s="6"/>
      <c r="W1582" s="6"/>
      <c r="X1582" s="6"/>
      <c r="Y1582" s="6"/>
      <c r="Z1582" s="6"/>
      <c r="AA1582" s="6"/>
      <c r="AB1582" s="6"/>
      <c r="AC1582" s="6"/>
      <c r="AD1582" s="6"/>
      <c r="AE1582" s="6"/>
      <c r="AF1582" s="6"/>
      <c r="AG1582" s="6"/>
      <c r="AH1582" s="6"/>
      <c r="AI1582" s="6"/>
      <c r="AJ1582" s="6"/>
      <c r="AK1582" s="6"/>
      <c r="AL1582" s="6"/>
    </row>
    <row r="1583" spans="1:38">
      <c r="A1583" s="96">
        <f ca="1">IFERROR(__xludf.DUMMYFUNCTION("""COMPUTED_VALUE"""),44986)</f>
        <v>44986</v>
      </c>
      <c r="B1583" s="6" t="str">
        <f ca="1">IFERROR(__xludf.DUMMYFUNCTION("""COMPUTED_VALUE"""),"Subrat Kumar Pattnaik")</f>
        <v>Subrat Kumar Pattnaik</v>
      </c>
      <c r="C1583" s="6" t="str">
        <f ca="1">IFERROR(__xludf.DUMMYFUNCTION("""COMPUTED_VALUE"""),"subrat454@gmail.com")</f>
        <v>subrat454@gmail.com</v>
      </c>
      <c r="D1583" s="6">
        <f ca="1">IFERROR(__xludf.DUMMYFUNCTION("""COMPUTED_VALUE"""),9677187519)</f>
        <v>9677187519</v>
      </c>
      <c r="E1583" s="6" t="str">
        <f ca="1">IFERROR(__xludf.DUMMYFUNCTION("""COMPUTED_VALUE"""),"na-payment")</f>
        <v>na-payment</v>
      </c>
      <c r="F1583" s="6" t="str">
        <f ca="1">IFERROR(__xludf.DUMMYFUNCTION("""COMPUTED_VALUE"""),"PSM")</f>
        <v>PSM</v>
      </c>
      <c r="G1583" s="80">
        <f ca="1">IFERROR(__xludf.DUMMYFUNCTION("""COMPUTED_VALUE"""),44986)</f>
        <v>44986</v>
      </c>
      <c r="H1583" s="6" t="str">
        <f ca="1">IFERROR(__xludf.DUMMYFUNCTION("""COMPUTED_VALUE"""),"Won")</f>
        <v>Won</v>
      </c>
      <c r="I1583" s="6" t="str">
        <f ca="1">IFERROR(__xludf.DUMMYFUNCTION("""COMPUTED_VALUE"""),"4-5 March 2023")</f>
        <v>4-5 March 2023</v>
      </c>
      <c r="J1583" s="6">
        <f ca="1">IFERROR(__xludf.DUMMYFUNCTION("""COMPUTED_VALUE"""),1)</f>
        <v>1</v>
      </c>
      <c r="K1583" s="8">
        <f ca="1">IFERROR(__xludf.DUMMYFUNCTION("""COMPUTED_VALUE"""),21000)</f>
        <v>21000</v>
      </c>
      <c r="L1583" s="8">
        <f ca="1">IFERROR(__xludf.DUMMYFUNCTION("""COMPUTED_VALUE"""),240.494732020155)</f>
        <v>240.494732020155</v>
      </c>
      <c r="M1583" s="96">
        <f ca="1">IFERROR(__xludf.DUMMYFUNCTION("""COMPUTED_VALUE"""),44986)</f>
        <v>44986</v>
      </c>
      <c r="N1583" s="6" t="str">
        <f ca="1">IFERROR(__xludf.DUMMYFUNCTION("""COMPUTED_VALUE"""),"F10")</f>
        <v>F10</v>
      </c>
      <c r="O1583" s="97">
        <f ca="1">IFERROR(__xludf.DUMMYFUNCTION("""COMPUTED_VALUE"""),44986)</f>
        <v>44986</v>
      </c>
      <c r="P1583" s="6" t="str">
        <f ca="1">IFERROR(__xludf.DUMMYFUNCTION("""COMPUTED_VALUE"""),"CSTM_47N8THA3F4X")</f>
        <v>CSTM_47N8THA3F4X</v>
      </c>
      <c r="Q1583" s="6"/>
      <c r="R1583" s="6" t="str">
        <f ca="1">IFERROR(__xludf.DUMMYFUNCTION("""COMPUTED_VALUE"""),"Pending")</f>
        <v>Pending</v>
      </c>
      <c r="S1583" s="6" t="str">
        <f ca="1">IFERROR(__xludf.DUMMYFUNCTION("""COMPUTED_VALUE"""),"Category")</f>
        <v>Category</v>
      </c>
      <c r="T1583" s="6"/>
      <c r="U1583" s="6"/>
      <c r="V1583" s="6"/>
      <c r="W1583" s="6"/>
      <c r="X1583" s="6"/>
      <c r="Y1583" s="6"/>
      <c r="Z1583" s="6"/>
      <c r="AA1583" s="6"/>
      <c r="AB1583" s="6"/>
      <c r="AC1583" s="6"/>
      <c r="AD1583" s="6"/>
      <c r="AE1583" s="6"/>
      <c r="AF1583" s="6"/>
      <c r="AG1583" s="6"/>
      <c r="AH1583" s="6"/>
      <c r="AI1583" s="6"/>
      <c r="AJ1583" s="6"/>
      <c r="AK1583" s="6"/>
      <c r="AL1583" s="6"/>
    </row>
    <row r="1584" spans="1:38">
      <c r="A1584" s="96">
        <f ca="1">IFERROR(__xludf.DUMMYFUNCTION("""COMPUTED_VALUE"""),44986)</f>
        <v>44986</v>
      </c>
      <c r="B1584" s="6" t="str">
        <f ca="1">IFERROR(__xludf.DUMMYFUNCTION("""COMPUTED_VALUE"""),"Amit Nair")</f>
        <v>Amit Nair</v>
      </c>
      <c r="C1584" s="6" t="str">
        <f ca="1">IFERROR(__xludf.DUMMYFUNCTION("""COMPUTED_VALUE"""),"amitnairmailbox@gmail.com")</f>
        <v>amitnairmailbox@gmail.com</v>
      </c>
      <c r="D1584" s="6">
        <f ca="1">IFERROR(__xludf.DUMMYFUNCTION("""COMPUTED_VALUE"""),9654288616)</f>
        <v>9654288616</v>
      </c>
      <c r="E1584" s="6" t="str">
        <f ca="1">IFERROR(__xludf.DUMMYFUNCTION("""COMPUTED_VALUE"""),"Existing Account")</f>
        <v>Existing Account</v>
      </c>
      <c r="F1584" s="6" t="str">
        <f ca="1">IFERROR(__xludf.DUMMYFUNCTION("""COMPUTED_VALUE"""),"P2 F")</f>
        <v>P2 F</v>
      </c>
      <c r="G1584" s="80">
        <f ca="1">IFERROR(__xludf.DUMMYFUNCTION("""COMPUTED_VALUE"""),44986)</f>
        <v>44986</v>
      </c>
      <c r="H1584" s="6" t="str">
        <f ca="1">IFERROR(__xludf.DUMMYFUNCTION("""COMPUTED_VALUE"""),"Won")</f>
        <v>Won</v>
      </c>
      <c r="I1584" s="6" t="str">
        <f ca="1">IFERROR(__xludf.DUMMYFUNCTION("""COMPUTED_VALUE"""),"OSL")</f>
        <v>OSL</v>
      </c>
      <c r="J1584" s="6">
        <f ca="1">IFERROR(__xludf.DUMMYFUNCTION("""COMPUTED_VALUE"""),1)</f>
        <v>1</v>
      </c>
      <c r="K1584" s="8">
        <f ca="1">IFERROR(__xludf.DUMMYFUNCTION("""COMPUTED_VALUE"""),23714)</f>
        <v>23714</v>
      </c>
      <c r="L1584" s="8">
        <f ca="1">IFERROR(__xludf.DUMMYFUNCTION("""COMPUTED_VALUE"""),271.575813101236)</f>
        <v>271.57581310123601</v>
      </c>
      <c r="M1584" s="96">
        <f ca="1">IFERROR(__xludf.DUMMYFUNCTION("""COMPUTED_VALUE"""),44986)</f>
        <v>44986</v>
      </c>
      <c r="N1584" s="6" t="str">
        <f ca="1">IFERROR(__xludf.DUMMYFUNCTION("""COMPUTED_VALUE"""),"F10")</f>
        <v>F10</v>
      </c>
      <c r="O1584" s="97">
        <f ca="1">IFERROR(__xludf.DUMMYFUNCTION("""COMPUTED_VALUE"""),44986)</f>
        <v>44986</v>
      </c>
      <c r="P1584" s="6" t="str">
        <f ca="1">IFERROR(__xludf.DUMMYFUNCTION("""COMPUTED_VALUE"""),"CSTM_5P8VAHYEOZJ")</f>
        <v>CSTM_5P8VAHYEOZJ</v>
      </c>
      <c r="Q1584" s="6"/>
      <c r="R1584" s="6" t="str">
        <f ca="1">IFERROR(__xludf.DUMMYFUNCTION("""COMPUTED_VALUE"""),"Pending")</f>
        <v>Pending</v>
      </c>
      <c r="S1584" s="6" t="str">
        <f ca="1">IFERROR(__xludf.DUMMYFUNCTION("""COMPUTED_VALUE"""),"NonCategory")</f>
        <v>NonCategory</v>
      </c>
      <c r="T1584" s="6"/>
      <c r="U1584" s="6"/>
      <c r="V1584" s="6"/>
      <c r="W1584" s="6"/>
      <c r="X1584" s="6"/>
      <c r="Y1584" s="6"/>
      <c r="Z1584" s="6"/>
      <c r="AA1584" s="6"/>
      <c r="AB1584" s="6"/>
      <c r="AC1584" s="6"/>
      <c r="AD1584" s="6"/>
      <c r="AE1584" s="6"/>
      <c r="AF1584" s="6"/>
      <c r="AG1584" s="6"/>
      <c r="AH1584" s="6"/>
      <c r="AI1584" s="6"/>
      <c r="AJ1584" s="6"/>
      <c r="AK1584" s="6"/>
      <c r="AL1584" s="6"/>
    </row>
    <row r="1585" spans="1:38">
      <c r="A1585" s="96">
        <f ca="1">IFERROR(__xludf.DUMMYFUNCTION("""COMPUTED_VALUE"""),44986)</f>
        <v>44986</v>
      </c>
      <c r="B1585" s="6" t="str">
        <f ca="1">IFERROR(__xludf.DUMMYFUNCTION("""COMPUTED_VALUE"""),"Vijay Raman")</f>
        <v>Vijay Raman</v>
      </c>
      <c r="C1585" s="6" t="str">
        <f ca="1">IFERROR(__xludf.DUMMYFUNCTION("""COMPUTED_VALUE"""),"vijayanandks@me.com")</f>
        <v>vijayanandks@me.com</v>
      </c>
      <c r="D1585" s="6">
        <f ca="1">IFERROR(__xludf.DUMMYFUNCTION("""COMPUTED_VALUE"""),9080344231)</f>
        <v>9080344231</v>
      </c>
      <c r="E1585" s="6" t="str">
        <f ca="1">IFERROR(__xludf.DUMMYFUNCTION("""COMPUTED_VALUE"""),"Reference")</f>
        <v>Reference</v>
      </c>
      <c r="F1585" s="6" t="str">
        <f ca="1">IFERROR(__xludf.DUMMYFUNCTION("""COMPUTED_VALUE"""),"ITIL v4")</f>
        <v>ITIL v4</v>
      </c>
      <c r="G1585" s="80">
        <f ca="1">IFERROR(__xludf.DUMMYFUNCTION("""COMPUTED_VALUE"""),44986)</f>
        <v>44986</v>
      </c>
      <c r="H1585" s="6" t="str">
        <f ca="1">IFERROR(__xludf.DUMMYFUNCTION("""COMPUTED_VALUE"""),"Won")</f>
        <v>Won</v>
      </c>
      <c r="I1585" s="6" t="str">
        <f ca="1">IFERROR(__xludf.DUMMYFUNCTION("""COMPUTED_VALUE"""),"11 March 2023")</f>
        <v>11 March 2023</v>
      </c>
      <c r="J1585" s="6">
        <f ca="1">IFERROR(__xludf.DUMMYFUNCTION("""COMPUTED_VALUE"""),1)</f>
        <v>1</v>
      </c>
      <c r="K1585" s="8">
        <f ca="1">IFERROR(__xludf.DUMMYFUNCTION("""COMPUTED_VALUE"""),21100)</f>
        <v>21100</v>
      </c>
      <c r="L1585" s="8">
        <f ca="1">IFERROR(__xludf.DUMMYFUNCTION("""COMPUTED_VALUE"""),241.639945029775)</f>
        <v>241.63994502977499</v>
      </c>
      <c r="M1585" s="96">
        <f ca="1">IFERROR(__xludf.DUMMYFUNCTION("""COMPUTED_VALUE"""),44986)</f>
        <v>44986</v>
      </c>
      <c r="N1585" s="6" t="str">
        <f ca="1">IFERROR(__xludf.DUMMYFUNCTION("""COMPUTED_VALUE"""),"F10")</f>
        <v>F10</v>
      </c>
      <c r="O1585" s="97">
        <f ca="1">IFERROR(__xludf.DUMMYFUNCTION("""COMPUTED_VALUE"""),44986)</f>
        <v>44986</v>
      </c>
      <c r="P1585" s="6" t="str">
        <f ca="1">IFERROR(__xludf.DUMMYFUNCTION("""COMPUTED_VALUE"""),"CSTM_DNMDX043TQD")</f>
        <v>CSTM_DNMDX043TQD</v>
      </c>
      <c r="Q1585" s="6" t="str">
        <f ca="1">IFERROR(__xludf.DUMMYFUNCTION("""COMPUTED_VALUE"""),"Reference by Balaji - amrapaliashoka@gmail.com")</f>
        <v>Reference by Balaji - amrapaliashoka@gmail.com</v>
      </c>
      <c r="R1585" s="6" t="str">
        <f ca="1">IFERROR(__xludf.DUMMYFUNCTION("""COMPUTED_VALUE"""),"Pending")</f>
        <v>Pending</v>
      </c>
      <c r="S1585" s="6" t="str">
        <f ca="1">IFERROR(__xludf.DUMMYFUNCTION("""COMPUTED_VALUE"""),"NonCategory")</f>
        <v>NonCategory</v>
      </c>
      <c r="T1585" s="6"/>
      <c r="U1585" s="6"/>
      <c r="V1585" s="6"/>
      <c r="W1585" s="6"/>
      <c r="X1585" s="6"/>
      <c r="Y1585" s="6"/>
      <c r="Z1585" s="6"/>
      <c r="AA1585" s="6"/>
      <c r="AB1585" s="6"/>
      <c r="AC1585" s="6"/>
      <c r="AD1585" s="6"/>
      <c r="AE1585" s="6"/>
      <c r="AF1585" s="6"/>
      <c r="AG1585" s="6"/>
      <c r="AH1585" s="6"/>
      <c r="AI1585" s="6"/>
      <c r="AJ1585" s="6"/>
      <c r="AK1585" s="6"/>
      <c r="AL1585" s="6"/>
    </row>
    <row r="1586" spans="1:38">
      <c r="A1586" s="96">
        <f ca="1">IFERROR(__xludf.DUMMYFUNCTION("""COMPUTED_VALUE"""),44987)</f>
        <v>44987</v>
      </c>
      <c r="B1586" s="6" t="str">
        <f ca="1">IFERROR(__xludf.DUMMYFUNCTION("""COMPUTED_VALUE"""),"Shreedharan Nair")</f>
        <v>Shreedharan Nair</v>
      </c>
      <c r="C1586" s="6" t="str">
        <f ca="1">IFERROR(__xludf.DUMMYFUNCTION("""COMPUTED_VALUE"""),"shreedharan.nair@allianz.com")</f>
        <v>shreedharan.nair@allianz.com</v>
      </c>
      <c r="D1586" s="6">
        <f ca="1">IFERROR(__xludf.DUMMYFUNCTION("""COMPUTED_VALUE"""),9860580149)</f>
        <v>9860580149</v>
      </c>
      <c r="E1586" s="6" t="str">
        <f ca="1">IFERROR(__xludf.DUMMYFUNCTION("""COMPUTED_VALUE"""),"Reference")</f>
        <v>Reference</v>
      </c>
      <c r="F1586" s="6" t="str">
        <f ca="1">IFERROR(__xludf.DUMMYFUNCTION("""COMPUTED_VALUE"""),"SAFe RTE")</f>
        <v>SAFe RTE</v>
      </c>
      <c r="G1586" s="80">
        <f ca="1">IFERROR(__xludf.DUMMYFUNCTION("""COMPUTED_VALUE"""),44986)</f>
        <v>44986</v>
      </c>
      <c r="H1586" s="6" t="str">
        <f ca="1">IFERROR(__xludf.DUMMYFUNCTION("""COMPUTED_VALUE"""),"Won")</f>
        <v>Won</v>
      </c>
      <c r="I1586" s="6" t="str">
        <f ca="1">IFERROR(__xludf.DUMMYFUNCTION("""COMPUTED_VALUE"""),"3-5 March 2023")</f>
        <v>3-5 March 2023</v>
      </c>
      <c r="J1586" s="6">
        <f ca="1">IFERROR(__xludf.DUMMYFUNCTION("""COMPUTED_VALUE"""),1)</f>
        <v>1</v>
      </c>
      <c r="K1586" s="8">
        <f ca="1">IFERROR(__xludf.DUMMYFUNCTION("""COMPUTED_VALUE"""),57230)</f>
        <v>57230</v>
      </c>
      <c r="L1586" s="8">
        <f ca="1">IFERROR(__xludf.DUMMYFUNCTION("""COMPUTED_VALUE"""),655.405405405405)</f>
        <v>655.40540540540496</v>
      </c>
      <c r="M1586" s="96">
        <f ca="1">IFERROR(__xludf.DUMMYFUNCTION("""COMPUTED_VALUE"""),44987)</f>
        <v>44987</v>
      </c>
      <c r="N1586" s="6" t="str">
        <f ca="1">IFERROR(__xludf.DUMMYFUNCTION("""COMPUTED_VALUE"""),"F10")</f>
        <v>F10</v>
      </c>
      <c r="O1586" s="97">
        <f ca="1">IFERROR(__xludf.DUMMYFUNCTION("""COMPUTED_VALUE"""),44987)</f>
        <v>44987</v>
      </c>
      <c r="P1586" s="6" t="str">
        <f ca="1">IFERROR(__xludf.DUMMYFUNCTION("""COMPUTED_VALUE"""),"CSTM_F3ZKXLKX61Q")</f>
        <v>CSTM_F3ZKXLKX61Q</v>
      </c>
      <c r="Q1586" s="6" t="str">
        <f ca="1">IFERROR(__xludf.DUMMYFUNCTION("""COMPUTED_VALUE"""),"Reference by pragyak491@gmail.com")</f>
        <v>Reference by pragyak491@gmail.com</v>
      </c>
      <c r="R1586" s="6" t="str">
        <f ca="1">IFERROR(__xludf.DUMMYFUNCTION("""COMPUTED_VALUE"""),"Pending")</f>
        <v>Pending</v>
      </c>
      <c r="S1586" s="6" t="str">
        <f ca="1">IFERROR(__xludf.DUMMYFUNCTION("""COMPUTED_VALUE"""),"SAFe")</f>
        <v>SAFe</v>
      </c>
      <c r="T1586" s="6"/>
      <c r="U1586" s="6"/>
      <c r="V1586" s="6"/>
      <c r="W1586" s="6"/>
      <c r="X1586" s="6"/>
      <c r="Y1586" s="6"/>
      <c r="Z1586" s="6"/>
      <c r="AA1586" s="6"/>
      <c r="AB1586" s="6"/>
      <c r="AC1586" s="6"/>
      <c r="AD1586" s="6"/>
      <c r="AE1586" s="6"/>
      <c r="AF1586" s="6"/>
      <c r="AG1586" s="6"/>
      <c r="AH1586" s="6"/>
      <c r="AI1586" s="6"/>
      <c r="AJ1586" s="6"/>
      <c r="AK1586" s="6"/>
      <c r="AL1586" s="6"/>
    </row>
    <row r="1587" spans="1:38">
      <c r="A1587" s="96">
        <f ca="1">IFERROR(__xludf.DUMMYFUNCTION("""COMPUTED_VALUE"""),44987)</f>
        <v>44987</v>
      </c>
      <c r="B1587" s="6" t="str">
        <f ca="1">IFERROR(__xludf.DUMMYFUNCTION("""COMPUTED_VALUE"""),"Shreedharan Nair")</f>
        <v>Shreedharan Nair</v>
      </c>
      <c r="C1587" s="6" t="str">
        <f ca="1">IFERROR(__xludf.DUMMYFUNCTION("""COMPUTED_VALUE"""),"shreedharan.nair@allianz.com")</f>
        <v>shreedharan.nair@allianz.com</v>
      </c>
      <c r="D1587" s="6">
        <f ca="1">IFERROR(__xludf.DUMMYFUNCTION("""COMPUTED_VALUE"""),9860580149)</f>
        <v>9860580149</v>
      </c>
      <c r="E1587" s="6" t="str">
        <f ca="1">IFERROR(__xludf.DUMMYFUNCTION("""COMPUTED_VALUE"""),"Reference")</f>
        <v>Reference</v>
      </c>
      <c r="F1587" s="6" t="str">
        <f ca="1">IFERROR(__xludf.DUMMYFUNCTION("""COMPUTED_VALUE"""),"SAFe RTE")</f>
        <v>SAFe RTE</v>
      </c>
      <c r="G1587" s="80">
        <f ca="1">IFERROR(__xludf.DUMMYFUNCTION("""COMPUTED_VALUE"""),44986)</f>
        <v>44986</v>
      </c>
      <c r="H1587" s="6" t="str">
        <f ca="1">IFERROR(__xludf.DUMMYFUNCTION("""COMPUTED_VALUE"""),"Won")</f>
        <v>Won</v>
      </c>
      <c r="I1587" s="6" t="str">
        <f ca="1">IFERROR(__xludf.DUMMYFUNCTION("""COMPUTED_VALUE"""),"3-5 March 2023")</f>
        <v>3-5 March 2023</v>
      </c>
      <c r="J1587" s="6">
        <f ca="1">IFERROR(__xludf.DUMMYFUNCTION("""COMPUTED_VALUE"""),1)</f>
        <v>1</v>
      </c>
      <c r="K1587" s="8">
        <f ca="1">IFERROR(__xludf.DUMMYFUNCTION("""COMPUTED_VALUE"""),67770)</f>
        <v>67770</v>
      </c>
      <c r="L1587" s="8">
        <f ca="1">IFERROR(__xludf.DUMMYFUNCTION("""COMPUTED_VALUE"""),776.110856619331)</f>
        <v>776.110856619331</v>
      </c>
      <c r="M1587" s="96">
        <f ca="1">IFERROR(__xludf.DUMMYFUNCTION("""COMPUTED_VALUE"""),44987)</f>
        <v>44987</v>
      </c>
      <c r="N1587" s="6" t="str">
        <f ca="1">IFERROR(__xludf.DUMMYFUNCTION("""COMPUTED_VALUE"""),"F10")</f>
        <v>F10</v>
      </c>
      <c r="O1587" s="97">
        <f ca="1">IFERROR(__xludf.DUMMYFUNCTION("""COMPUTED_VALUE"""),44987)</f>
        <v>44987</v>
      </c>
      <c r="P1587" s="6" t="str">
        <f ca="1">IFERROR(__xludf.DUMMYFUNCTION("""COMPUTED_VALUE"""),"CSTM_6HNY6PX3EOM")</f>
        <v>CSTM_6HNY6PX3EOM</v>
      </c>
      <c r="Q1587" s="6"/>
      <c r="R1587" s="6" t="str">
        <f ca="1">IFERROR(__xludf.DUMMYFUNCTION("""COMPUTED_VALUE"""),"Pending")</f>
        <v>Pending</v>
      </c>
      <c r="S1587" s="6" t="str">
        <f ca="1">IFERROR(__xludf.DUMMYFUNCTION("""COMPUTED_VALUE"""),"SAFe")</f>
        <v>SAFe</v>
      </c>
      <c r="T1587" s="6"/>
      <c r="U1587" s="6"/>
      <c r="V1587" s="6"/>
      <c r="W1587" s="6"/>
      <c r="X1587" s="6"/>
      <c r="Y1587" s="6"/>
      <c r="Z1587" s="6"/>
      <c r="AA1587" s="6"/>
      <c r="AB1587" s="6"/>
      <c r="AC1587" s="6"/>
      <c r="AD1587" s="6"/>
      <c r="AE1587" s="6"/>
      <c r="AF1587" s="6"/>
      <c r="AG1587" s="6"/>
      <c r="AH1587" s="6"/>
      <c r="AI1587" s="6"/>
      <c r="AJ1587" s="6"/>
      <c r="AK1587" s="6"/>
      <c r="AL1587" s="6"/>
    </row>
    <row r="1588" spans="1:38">
      <c r="A1588" s="96">
        <f ca="1">IFERROR(__xludf.DUMMYFUNCTION("""COMPUTED_VALUE"""),44987)</f>
        <v>44987</v>
      </c>
      <c r="B1588" s="6" t="str">
        <f ca="1">IFERROR(__xludf.DUMMYFUNCTION("""COMPUTED_VALUE"""),"Neha")</f>
        <v>Neha</v>
      </c>
      <c r="C1588" s="6" t="str">
        <f ca="1">IFERROR(__xludf.DUMMYFUNCTION("""COMPUTED_VALUE"""),"nehadreams1@gmail.com")</f>
        <v>nehadreams1@gmail.com</v>
      </c>
      <c r="D1588" s="6">
        <f ca="1">IFERROR(__xludf.DUMMYFUNCTION("""COMPUTED_VALUE"""),9643800950)</f>
        <v>9643800950</v>
      </c>
      <c r="E1588" s="6" t="str">
        <f ca="1">IFERROR(__xludf.DUMMYFUNCTION("""COMPUTED_VALUE"""),"Chat_triggered")</f>
        <v>Chat_triggered</v>
      </c>
      <c r="F1588" s="6" t="str">
        <f ca="1">IFERROR(__xludf.DUMMYFUNCTION("""COMPUTED_VALUE"""),"PSPO")</f>
        <v>PSPO</v>
      </c>
      <c r="G1588" s="80">
        <f ca="1">IFERROR(__xludf.DUMMYFUNCTION("""COMPUTED_VALUE"""),44986)</f>
        <v>44986</v>
      </c>
      <c r="H1588" s="6" t="str">
        <f ca="1">IFERROR(__xludf.DUMMYFUNCTION("""COMPUTED_VALUE"""),"Won")</f>
        <v>Won</v>
      </c>
      <c r="I1588" s="6" t="str">
        <f ca="1">IFERROR(__xludf.DUMMYFUNCTION("""COMPUTED_VALUE"""),"4-5 March 2023")</f>
        <v>4-5 March 2023</v>
      </c>
      <c r="J1588" s="6">
        <f ca="1">IFERROR(__xludf.DUMMYFUNCTION("""COMPUTED_VALUE"""),1)</f>
        <v>1</v>
      </c>
      <c r="K1588" s="8">
        <f ca="1">IFERROR(__xludf.DUMMYFUNCTION("""COMPUTED_VALUE"""),21000)</f>
        <v>21000</v>
      </c>
      <c r="L1588" s="8">
        <f ca="1">IFERROR(__xludf.DUMMYFUNCTION("""COMPUTED_VALUE"""),240.494732020155)</f>
        <v>240.494732020155</v>
      </c>
      <c r="M1588" s="96">
        <f ca="1">IFERROR(__xludf.DUMMYFUNCTION("""COMPUTED_VALUE"""),44987)</f>
        <v>44987</v>
      </c>
      <c r="N1588" s="6" t="str">
        <f ca="1">IFERROR(__xludf.DUMMYFUNCTION("""COMPUTED_VALUE"""),"F10")</f>
        <v>F10</v>
      </c>
      <c r="O1588" s="97">
        <f ca="1">IFERROR(__xludf.DUMMYFUNCTION("""COMPUTED_VALUE"""),44987)</f>
        <v>44987</v>
      </c>
      <c r="P1588" s="6" t="str">
        <f ca="1">IFERROR(__xludf.DUMMYFUNCTION("""COMPUTED_VALUE"""),"CSTM_4IIJSJS0B6S")</f>
        <v>CSTM_4IIJSJS0B6S</v>
      </c>
      <c r="Q1588" s="6"/>
      <c r="R1588" s="6" t="str">
        <f ca="1">IFERROR(__xludf.DUMMYFUNCTION("""COMPUTED_VALUE"""),"Pending")</f>
        <v>Pending</v>
      </c>
      <c r="S1588" s="6" t="str">
        <f ca="1">IFERROR(__xludf.DUMMYFUNCTION("""COMPUTED_VALUE"""),"Category")</f>
        <v>Category</v>
      </c>
      <c r="T1588" s="6"/>
      <c r="U1588" s="6"/>
      <c r="V1588" s="6"/>
      <c r="W1588" s="6"/>
      <c r="X1588" s="6"/>
      <c r="Y1588" s="6"/>
      <c r="Z1588" s="6"/>
      <c r="AA1588" s="6"/>
      <c r="AB1588" s="6"/>
      <c r="AC1588" s="6"/>
      <c r="AD1588" s="6"/>
      <c r="AE1588" s="6"/>
      <c r="AF1588" s="6"/>
      <c r="AG1588" s="6"/>
      <c r="AH1588" s="6"/>
      <c r="AI1588" s="6"/>
      <c r="AJ1588" s="6"/>
      <c r="AK1588" s="6"/>
      <c r="AL1588" s="6"/>
    </row>
    <row r="1589" spans="1:38">
      <c r="A1589" s="96">
        <f ca="1">IFERROR(__xludf.DUMMYFUNCTION("""COMPUTED_VALUE"""),44987)</f>
        <v>44987</v>
      </c>
      <c r="B1589" s="6" t="str">
        <f ca="1">IFERROR(__xludf.DUMMYFUNCTION("""COMPUTED_VALUE"""),"Shrinidhi")</f>
        <v>Shrinidhi</v>
      </c>
      <c r="C1589" s="6" t="str">
        <f ca="1">IFERROR(__xludf.DUMMYFUNCTION("""COMPUTED_VALUE"""),"coolshrinidhi8@gmail.com")</f>
        <v>coolshrinidhi8@gmail.com</v>
      </c>
      <c r="D1589" s="6">
        <f ca="1">IFERROR(__xludf.DUMMYFUNCTION("""COMPUTED_VALUE"""),8123557734)</f>
        <v>8123557734</v>
      </c>
      <c r="E1589" s="6" t="str">
        <f ca="1">IFERROR(__xludf.DUMMYFUNCTION("""COMPUTED_VALUE"""),"Existing Account")</f>
        <v>Existing Account</v>
      </c>
      <c r="F1589" s="6" t="str">
        <f ca="1">IFERROR(__xludf.DUMMYFUNCTION("""COMPUTED_VALUE"""),"PSPO")</f>
        <v>PSPO</v>
      </c>
      <c r="G1589" s="80">
        <f ca="1">IFERROR(__xludf.DUMMYFUNCTION("""COMPUTED_VALUE"""),44986)</f>
        <v>44986</v>
      </c>
      <c r="H1589" s="6" t="str">
        <f ca="1">IFERROR(__xludf.DUMMYFUNCTION("""COMPUTED_VALUE"""),"Won")</f>
        <v>Won</v>
      </c>
      <c r="I1589" s="6" t="str">
        <f ca="1">IFERROR(__xludf.DUMMYFUNCTION("""COMPUTED_VALUE"""),"4-5 March 2023")</f>
        <v>4-5 March 2023</v>
      </c>
      <c r="J1589" s="6">
        <f ca="1">IFERROR(__xludf.DUMMYFUNCTION("""COMPUTED_VALUE"""),1)</f>
        <v>1</v>
      </c>
      <c r="K1589" s="8">
        <f ca="1">IFERROR(__xludf.DUMMYFUNCTION("""COMPUTED_VALUE"""),21000)</f>
        <v>21000</v>
      </c>
      <c r="L1589" s="8">
        <f ca="1">IFERROR(__xludf.DUMMYFUNCTION("""COMPUTED_VALUE"""),240.494732020155)</f>
        <v>240.494732020155</v>
      </c>
      <c r="M1589" s="96">
        <f ca="1">IFERROR(__xludf.DUMMYFUNCTION("""COMPUTED_VALUE"""),44987)</f>
        <v>44987</v>
      </c>
      <c r="N1589" s="6" t="str">
        <f ca="1">IFERROR(__xludf.DUMMYFUNCTION("""COMPUTED_VALUE"""),"F10")</f>
        <v>F10</v>
      </c>
      <c r="O1589" s="97">
        <f ca="1">IFERROR(__xludf.DUMMYFUNCTION("""COMPUTED_VALUE"""),44987)</f>
        <v>44987</v>
      </c>
      <c r="P1589" s="6" t="str">
        <f ca="1">IFERROR(__xludf.DUMMYFUNCTION("""COMPUTED_VALUE"""),"CSTM_4D4GGFKD6E5")</f>
        <v>CSTM_4D4GGFKD6E5</v>
      </c>
      <c r="Q1589" s="6"/>
      <c r="R1589" s="6" t="str">
        <f ca="1">IFERROR(__xludf.DUMMYFUNCTION("""COMPUTED_VALUE"""),"Pending")</f>
        <v>Pending</v>
      </c>
      <c r="S1589" s="6" t="str">
        <f ca="1">IFERROR(__xludf.DUMMYFUNCTION("""COMPUTED_VALUE"""),"Category")</f>
        <v>Category</v>
      </c>
      <c r="T1589" s="6"/>
      <c r="U1589" s="6"/>
      <c r="V1589" s="6"/>
      <c r="W1589" s="6"/>
      <c r="X1589" s="6"/>
      <c r="Y1589" s="6"/>
      <c r="Z1589" s="6"/>
      <c r="AA1589" s="6"/>
      <c r="AB1589" s="6"/>
      <c r="AC1589" s="6"/>
      <c r="AD1589" s="6"/>
      <c r="AE1589" s="6"/>
      <c r="AF1589" s="6"/>
      <c r="AG1589" s="6"/>
      <c r="AH1589" s="6"/>
      <c r="AI1589" s="6"/>
      <c r="AJ1589" s="6"/>
      <c r="AK1589" s="6"/>
      <c r="AL1589" s="6"/>
    </row>
    <row r="1590" spans="1:38">
      <c r="A1590" s="96">
        <f ca="1">IFERROR(__xludf.DUMMYFUNCTION("""COMPUTED_VALUE"""),44987)</f>
        <v>44987</v>
      </c>
      <c r="B1590" s="6" t="str">
        <f ca="1">IFERROR(__xludf.DUMMYFUNCTION("""COMPUTED_VALUE"""),"Astha Jain")</f>
        <v>Astha Jain</v>
      </c>
      <c r="C1590" s="6" t="str">
        <f ca="1">IFERROR(__xludf.DUMMYFUNCTION("""COMPUTED_VALUE"""),"jainastha09@gmail.com")</f>
        <v>jainastha09@gmail.com</v>
      </c>
      <c r="D1590" s="6">
        <f ca="1">IFERROR(__xludf.DUMMYFUNCTION("""COMPUTED_VALUE"""),7999618257)</f>
        <v>7999618257</v>
      </c>
      <c r="E1590" s="6" t="str">
        <f ca="1">IFERROR(__xludf.DUMMYFUNCTION("""COMPUTED_VALUE"""),"course agenda")</f>
        <v>course agenda</v>
      </c>
      <c r="F1590" s="6" t="str">
        <f ca="1">IFERROR(__xludf.DUMMYFUNCTION("""COMPUTED_VALUE"""),"PSM")</f>
        <v>PSM</v>
      </c>
      <c r="G1590" s="80">
        <f ca="1">IFERROR(__xludf.DUMMYFUNCTION("""COMPUTED_VALUE"""),44986)</f>
        <v>44986</v>
      </c>
      <c r="H1590" s="6" t="str">
        <f ca="1">IFERROR(__xludf.DUMMYFUNCTION("""COMPUTED_VALUE"""),"Won")</f>
        <v>Won</v>
      </c>
      <c r="I1590" s="6" t="str">
        <f ca="1">IFERROR(__xludf.DUMMYFUNCTION("""COMPUTED_VALUE"""),"4-5 March 2023")</f>
        <v>4-5 March 2023</v>
      </c>
      <c r="J1590" s="6">
        <f ca="1">IFERROR(__xludf.DUMMYFUNCTION("""COMPUTED_VALUE"""),1)</f>
        <v>1</v>
      </c>
      <c r="K1590" s="8">
        <f ca="1">IFERROR(__xludf.DUMMYFUNCTION("""COMPUTED_VALUE"""),21000)</f>
        <v>21000</v>
      </c>
      <c r="L1590" s="8">
        <f ca="1">IFERROR(__xludf.DUMMYFUNCTION("""COMPUTED_VALUE"""),240.494732020155)</f>
        <v>240.494732020155</v>
      </c>
      <c r="M1590" s="96">
        <f ca="1">IFERROR(__xludf.DUMMYFUNCTION("""COMPUTED_VALUE"""),44987)</f>
        <v>44987</v>
      </c>
      <c r="N1590" s="6" t="str">
        <f ca="1">IFERROR(__xludf.DUMMYFUNCTION("""COMPUTED_VALUE"""),"F10")</f>
        <v>F10</v>
      </c>
      <c r="O1590" s="97">
        <f ca="1">IFERROR(__xludf.DUMMYFUNCTION("""COMPUTED_VALUE"""),44987)</f>
        <v>44987</v>
      </c>
      <c r="P1590" s="6" t="str">
        <f ca="1">IFERROR(__xludf.DUMMYFUNCTION("""COMPUTED_VALUE"""),"CSTM_BOMQKS333L")</f>
        <v>CSTM_BOMQKS333L</v>
      </c>
      <c r="Q1590" s="6"/>
      <c r="R1590" s="6" t="str">
        <f ca="1">IFERROR(__xludf.DUMMYFUNCTION("""COMPUTED_VALUE"""),"Pending")</f>
        <v>Pending</v>
      </c>
      <c r="S1590" s="6" t="str">
        <f ca="1">IFERROR(__xludf.DUMMYFUNCTION("""COMPUTED_VALUE"""),"Category")</f>
        <v>Category</v>
      </c>
      <c r="T1590" s="6"/>
      <c r="U1590" s="6"/>
      <c r="V1590" s="6"/>
      <c r="W1590" s="6"/>
      <c r="X1590" s="6"/>
      <c r="Y1590" s="6"/>
      <c r="Z1590" s="6"/>
      <c r="AA1590" s="6"/>
      <c r="AB1590" s="6"/>
      <c r="AC1590" s="6"/>
      <c r="AD1590" s="6"/>
      <c r="AE1590" s="6"/>
      <c r="AF1590" s="6"/>
      <c r="AG1590" s="6"/>
      <c r="AH1590" s="6"/>
      <c r="AI1590" s="6"/>
      <c r="AJ1590" s="6"/>
      <c r="AK1590" s="6"/>
      <c r="AL1590" s="6"/>
    </row>
    <row r="1591" spans="1:38">
      <c r="A1591" s="96">
        <f ca="1">IFERROR(__xludf.DUMMYFUNCTION("""COMPUTED_VALUE"""),44988)</f>
        <v>44988</v>
      </c>
      <c r="B1591" s="6" t="str">
        <f ca="1">IFERROR(__xludf.DUMMYFUNCTION("""COMPUTED_VALUE"""),"Manish Dixit")</f>
        <v>Manish Dixit</v>
      </c>
      <c r="C1591" s="6" t="str">
        <f ca="1">IFERROR(__xludf.DUMMYFUNCTION("""COMPUTED_VALUE"""),"manish4984@gmail.com")</f>
        <v>manish4984@gmail.com</v>
      </c>
      <c r="D1591" s="6">
        <f ca="1">IFERROR(__xludf.DUMMYFUNCTION("""COMPUTED_VALUE"""),7798984766)</f>
        <v>7798984766</v>
      </c>
      <c r="E1591" s="6" t="str">
        <f ca="1">IFERROR(__xludf.DUMMYFUNCTION("""COMPUTED_VALUE"""),"Reference")</f>
        <v>Reference</v>
      </c>
      <c r="F1591" s="6" t="str">
        <f ca="1">IFERROR(__xludf.DUMMYFUNCTION("""COMPUTED_VALUE"""),"PSPO 2")</f>
        <v>PSPO 2</v>
      </c>
      <c r="G1591" s="80">
        <f ca="1">IFERROR(__xludf.DUMMYFUNCTION("""COMPUTED_VALUE"""),44986)</f>
        <v>44986</v>
      </c>
      <c r="H1591" s="6" t="str">
        <f ca="1">IFERROR(__xludf.DUMMYFUNCTION("""COMPUTED_VALUE"""),"Won")</f>
        <v>Won</v>
      </c>
      <c r="I1591" s="6" t="str">
        <f ca="1">IFERROR(__xludf.DUMMYFUNCTION("""COMPUTED_VALUE"""),"11-12 March 2023")</f>
        <v>11-12 March 2023</v>
      </c>
      <c r="J1591" s="6">
        <f ca="1">IFERROR(__xludf.DUMMYFUNCTION("""COMPUTED_VALUE"""),1)</f>
        <v>1</v>
      </c>
      <c r="K1591" s="8">
        <f ca="1">IFERROR(__xludf.DUMMYFUNCTION("""COMPUTED_VALUE"""),24000)</f>
        <v>24000</v>
      </c>
      <c r="L1591" s="8">
        <f ca="1">IFERROR(__xludf.DUMMYFUNCTION("""COMPUTED_VALUE"""),274.851122308749)</f>
        <v>274.85112230874898</v>
      </c>
      <c r="M1591" s="96">
        <f ca="1">IFERROR(__xludf.DUMMYFUNCTION("""COMPUTED_VALUE"""),44988)</f>
        <v>44988</v>
      </c>
      <c r="N1591" s="6" t="str">
        <f ca="1">IFERROR(__xludf.DUMMYFUNCTION("""COMPUTED_VALUE"""),"F10")</f>
        <v>F10</v>
      </c>
      <c r="O1591" s="97">
        <f ca="1">IFERROR(__xludf.DUMMYFUNCTION("""COMPUTED_VALUE"""),44988)</f>
        <v>44988</v>
      </c>
      <c r="P1591" s="6" t="str">
        <f ca="1">IFERROR(__xludf.DUMMYFUNCTION("""COMPUTED_VALUE"""),"CSTM_36NHN4IV8OC")</f>
        <v>CSTM_36NHN4IV8OC</v>
      </c>
      <c r="Q1591" s="6" t="str">
        <f ca="1">IFERROR(__xludf.DUMMYFUNCTION("""COMPUTED_VALUE"""),"Reference by abinayabio@gmail.com")</f>
        <v>Reference by abinayabio@gmail.com</v>
      </c>
      <c r="R1591" s="6" t="str">
        <f ca="1">IFERROR(__xludf.DUMMYFUNCTION("""COMPUTED_VALUE"""),"Pending")</f>
        <v>Pending</v>
      </c>
      <c r="S1591" s="6" t="str">
        <f ca="1">IFERROR(__xludf.DUMMYFUNCTION("""COMPUTED_VALUE"""),"NonCategory")</f>
        <v>NonCategory</v>
      </c>
      <c r="T1591" s="6"/>
      <c r="U1591" s="6"/>
      <c r="V1591" s="6"/>
      <c r="W1591" s="6"/>
      <c r="X1591" s="6"/>
      <c r="Y1591" s="6"/>
      <c r="Z1591" s="6"/>
      <c r="AA1591" s="6"/>
      <c r="AB1591" s="6"/>
      <c r="AC1591" s="6"/>
      <c r="AD1591" s="6"/>
      <c r="AE1591" s="6"/>
      <c r="AF1591" s="6"/>
      <c r="AG1591" s="6"/>
      <c r="AH1591" s="6"/>
      <c r="AI1591" s="6"/>
      <c r="AJ1591" s="6"/>
      <c r="AK1591" s="6"/>
      <c r="AL1591" s="6"/>
    </row>
    <row r="1592" spans="1:38">
      <c r="A1592" s="96">
        <f ca="1">IFERROR(__xludf.DUMMYFUNCTION("""COMPUTED_VALUE"""),44988)</f>
        <v>44988</v>
      </c>
      <c r="B1592" s="6" t="str">
        <f ca="1">IFERROR(__xludf.DUMMYFUNCTION("""COMPUTED_VALUE"""),"Humesh Kumar")</f>
        <v>Humesh Kumar</v>
      </c>
      <c r="C1592" s="6" t="str">
        <f ca="1">IFERROR(__xludf.DUMMYFUNCTION("""COMPUTED_VALUE"""),"ks_humessh_kumar@yahoo.in")</f>
        <v>ks_humessh_kumar@yahoo.in</v>
      </c>
      <c r="D1592" s="6">
        <f ca="1">IFERROR(__xludf.DUMMYFUNCTION("""COMPUTED_VALUE"""),9940698298)</f>
        <v>9940698298</v>
      </c>
      <c r="E1592" s="6" t="str">
        <f ca="1">IFERROR(__xludf.DUMMYFUNCTION("""COMPUTED_VALUE"""),"Existing Account")</f>
        <v>Existing Account</v>
      </c>
      <c r="F1592" s="6" t="str">
        <f ca="1">IFERROR(__xludf.DUMMYFUNCTION("""COMPUTED_VALUE"""),"CSPO")</f>
        <v>CSPO</v>
      </c>
      <c r="G1592" s="80">
        <f ca="1">IFERROR(__xludf.DUMMYFUNCTION("""COMPUTED_VALUE"""),44986)</f>
        <v>44986</v>
      </c>
      <c r="H1592" s="6" t="str">
        <f ca="1">IFERROR(__xludf.DUMMYFUNCTION("""COMPUTED_VALUE"""),"Won")</f>
        <v>Won</v>
      </c>
      <c r="I1592" s="6" t="str">
        <f ca="1">IFERROR(__xludf.DUMMYFUNCTION("""COMPUTED_VALUE"""),"4-5 March 2023")</f>
        <v>4-5 March 2023</v>
      </c>
      <c r="J1592" s="6">
        <f ca="1">IFERROR(__xludf.DUMMYFUNCTION("""COMPUTED_VALUE"""),1)</f>
        <v>1</v>
      </c>
      <c r="K1592" s="8">
        <f ca="1">IFERROR(__xludf.DUMMYFUNCTION("""COMPUTED_VALUE"""),20000)</f>
        <v>20000</v>
      </c>
      <c r="L1592" s="8">
        <f ca="1">IFERROR(__xludf.DUMMYFUNCTION("""COMPUTED_VALUE"""),229.042601923957)</f>
        <v>229.04260192395699</v>
      </c>
      <c r="M1592" s="96">
        <f ca="1">IFERROR(__xludf.DUMMYFUNCTION("""COMPUTED_VALUE"""),44988)</f>
        <v>44988</v>
      </c>
      <c r="N1592" s="6" t="str">
        <f ca="1">IFERROR(__xludf.DUMMYFUNCTION("""COMPUTED_VALUE"""),"F10")</f>
        <v>F10</v>
      </c>
      <c r="O1592" s="97">
        <f ca="1">IFERROR(__xludf.DUMMYFUNCTION("""COMPUTED_VALUE"""),44988)</f>
        <v>44988</v>
      </c>
      <c r="P1592" s="6" t="str">
        <f ca="1">IFERROR(__xludf.DUMMYFUNCTION("""COMPUTED_VALUE"""),"CSTM_CCAFBVBRJ8G")</f>
        <v>CSTM_CCAFBVBRJ8G</v>
      </c>
      <c r="Q1592" s="6"/>
      <c r="R1592" s="6" t="str">
        <f ca="1">IFERROR(__xludf.DUMMYFUNCTION("""COMPUTED_VALUE"""),"Pending")</f>
        <v>Pending</v>
      </c>
      <c r="S1592" s="6" t="str">
        <f ca="1">IFERROR(__xludf.DUMMYFUNCTION("""COMPUTED_VALUE"""),"Category")</f>
        <v>Category</v>
      </c>
      <c r="T1592" s="6"/>
      <c r="U1592" s="6"/>
      <c r="V1592" s="6"/>
      <c r="W1592" s="6"/>
      <c r="X1592" s="6"/>
      <c r="Y1592" s="6"/>
      <c r="Z1592" s="6"/>
      <c r="AA1592" s="6"/>
      <c r="AB1592" s="6"/>
      <c r="AC1592" s="6"/>
      <c r="AD1592" s="6"/>
      <c r="AE1592" s="6"/>
      <c r="AF1592" s="6"/>
      <c r="AG1592" s="6"/>
      <c r="AH1592" s="6"/>
      <c r="AI1592" s="6"/>
      <c r="AJ1592" s="6"/>
      <c r="AK1592" s="6"/>
      <c r="AL1592" s="6"/>
    </row>
    <row r="1593" spans="1:38">
      <c r="A1593" s="96">
        <f ca="1">IFERROR(__xludf.DUMMYFUNCTION("""COMPUTED_VALUE"""),44988)</f>
        <v>44988</v>
      </c>
      <c r="B1593" s="6" t="str">
        <f ca="1">IFERROR(__xludf.DUMMYFUNCTION("""COMPUTED_VALUE"""),"Shilpa Dixit")</f>
        <v>Shilpa Dixit</v>
      </c>
      <c r="C1593" s="6" t="str">
        <f ca="1">IFERROR(__xludf.DUMMYFUNCTION("""COMPUTED_VALUE"""),"shilpa.m.dixit@gmail.com")</f>
        <v>shilpa.m.dixit@gmail.com</v>
      </c>
      <c r="D1593" s="6">
        <f ca="1">IFERROR(__xludf.DUMMYFUNCTION("""COMPUTED_VALUE"""),7798984755)</f>
        <v>7798984755</v>
      </c>
      <c r="E1593" s="6" t="str">
        <f ca="1">IFERROR(__xludf.DUMMYFUNCTION("""COMPUTED_VALUE"""),"Reference")</f>
        <v>Reference</v>
      </c>
      <c r="F1593" s="6" t="str">
        <f ca="1">IFERROR(__xludf.DUMMYFUNCTION("""COMPUTED_VALUE"""),"PSPO 2")</f>
        <v>PSPO 2</v>
      </c>
      <c r="G1593" s="80">
        <f ca="1">IFERROR(__xludf.DUMMYFUNCTION("""COMPUTED_VALUE"""),44986)</f>
        <v>44986</v>
      </c>
      <c r="H1593" s="6" t="str">
        <f ca="1">IFERROR(__xludf.DUMMYFUNCTION("""COMPUTED_VALUE"""),"Won")</f>
        <v>Won</v>
      </c>
      <c r="I1593" s="6" t="str">
        <f ca="1">IFERROR(__xludf.DUMMYFUNCTION("""COMPUTED_VALUE"""),"11-12 March 2023")</f>
        <v>11-12 March 2023</v>
      </c>
      <c r="J1593" s="6">
        <f ca="1">IFERROR(__xludf.DUMMYFUNCTION("""COMPUTED_VALUE"""),1)</f>
        <v>1</v>
      </c>
      <c r="K1593" s="8">
        <f ca="1">IFERROR(__xludf.DUMMYFUNCTION("""COMPUTED_VALUE"""),24000)</f>
        <v>24000</v>
      </c>
      <c r="L1593" s="8">
        <f ca="1">IFERROR(__xludf.DUMMYFUNCTION("""COMPUTED_VALUE"""),274.851122308749)</f>
        <v>274.85112230874898</v>
      </c>
      <c r="M1593" s="96">
        <f ca="1">IFERROR(__xludf.DUMMYFUNCTION("""COMPUTED_VALUE"""),44988)</f>
        <v>44988</v>
      </c>
      <c r="N1593" s="6" t="str">
        <f ca="1">IFERROR(__xludf.DUMMYFUNCTION("""COMPUTED_VALUE"""),"F10")</f>
        <v>F10</v>
      </c>
      <c r="O1593" s="97">
        <f ca="1">IFERROR(__xludf.DUMMYFUNCTION("""COMPUTED_VALUE"""),44988)</f>
        <v>44988</v>
      </c>
      <c r="P1593" s="6" t="str">
        <f ca="1">IFERROR(__xludf.DUMMYFUNCTION("""COMPUTED_VALUE"""),"CSTM_1OGFH4OUWCP")</f>
        <v>CSTM_1OGFH4OUWCP</v>
      </c>
      <c r="Q1593" s="6" t="str">
        <f ca="1">IFERROR(__xludf.DUMMYFUNCTION("""COMPUTED_VALUE"""),"Reference by manish4984@gmail.com")</f>
        <v>Reference by manish4984@gmail.com</v>
      </c>
      <c r="R1593" s="6" t="str">
        <f ca="1">IFERROR(__xludf.DUMMYFUNCTION("""COMPUTED_VALUE"""),"Pending")</f>
        <v>Pending</v>
      </c>
      <c r="S1593" s="6" t="str">
        <f ca="1">IFERROR(__xludf.DUMMYFUNCTION("""COMPUTED_VALUE"""),"NonCategory")</f>
        <v>NonCategory</v>
      </c>
      <c r="T1593" s="6"/>
      <c r="U1593" s="6"/>
      <c r="V1593" s="6"/>
      <c r="W1593" s="6"/>
      <c r="X1593" s="6"/>
      <c r="Y1593" s="6"/>
      <c r="Z1593" s="6"/>
      <c r="AA1593" s="6"/>
      <c r="AB1593" s="6"/>
      <c r="AC1593" s="6"/>
      <c r="AD1593" s="6"/>
      <c r="AE1593" s="6"/>
      <c r="AF1593" s="6"/>
      <c r="AG1593" s="6"/>
      <c r="AH1593" s="6"/>
      <c r="AI1593" s="6"/>
      <c r="AJ1593" s="6"/>
      <c r="AK1593" s="6"/>
      <c r="AL1593" s="6"/>
    </row>
    <row r="1594" spans="1:38">
      <c r="A1594" s="96">
        <f ca="1">IFERROR(__xludf.DUMMYFUNCTION("""COMPUTED_VALUE"""),44988)</f>
        <v>44988</v>
      </c>
      <c r="B1594" s="6" t="str">
        <f ca="1">IFERROR(__xludf.DUMMYFUNCTION("""COMPUTED_VALUE"""),"Navin Nair")</f>
        <v>Navin Nair</v>
      </c>
      <c r="C1594" s="6" t="str">
        <f ca="1">IFERROR(__xludf.DUMMYFUNCTION("""COMPUTED_VALUE"""),"n3rules@gmail.com")</f>
        <v>n3rules@gmail.com</v>
      </c>
      <c r="D1594" s="6">
        <f ca="1">IFERROR(__xludf.DUMMYFUNCTION("""COMPUTED_VALUE"""),7042502512)</f>
        <v>7042502512</v>
      </c>
      <c r="E1594" s="6" t="str">
        <f ca="1">IFERROR(__xludf.DUMMYFUNCTION("""COMPUTED_VALUE"""),"Query box")</f>
        <v>Query box</v>
      </c>
      <c r="F1594" s="6" t="str">
        <f ca="1">IFERROR(__xludf.DUMMYFUNCTION("""COMPUTED_VALUE"""),"SAFe Agile")</f>
        <v>SAFe Agile</v>
      </c>
      <c r="G1594" s="80">
        <f ca="1">IFERROR(__xludf.DUMMYFUNCTION("""COMPUTED_VALUE"""),44986)</f>
        <v>44986</v>
      </c>
      <c r="H1594" s="6" t="str">
        <f ca="1">IFERROR(__xludf.DUMMYFUNCTION("""COMPUTED_VALUE"""),"Won")</f>
        <v>Won</v>
      </c>
      <c r="I1594" s="6" t="str">
        <f ca="1">IFERROR(__xludf.DUMMYFUNCTION("""COMPUTED_VALUE"""),"4-5 March 2023")</f>
        <v>4-5 March 2023</v>
      </c>
      <c r="J1594" s="6">
        <f ca="1">IFERROR(__xludf.DUMMYFUNCTION("""COMPUTED_VALUE"""),1)</f>
        <v>1</v>
      </c>
      <c r="K1594" s="8">
        <f ca="1">IFERROR(__xludf.DUMMYFUNCTION("""COMPUTED_VALUE"""),40061)</f>
        <v>40061</v>
      </c>
      <c r="L1594" s="8">
        <f ca="1">IFERROR(__xludf.DUMMYFUNCTION("""COMPUTED_VALUE"""),458.783783783783)</f>
        <v>458.78378378378301</v>
      </c>
      <c r="M1594" s="96">
        <f ca="1">IFERROR(__xludf.DUMMYFUNCTION("""COMPUTED_VALUE"""),44988)</f>
        <v>44988</v>
      </c>
      <c r="N1594" s="6" t="str">
        <f ca="1">IFERROR(__xludf.DUMMYFUNCTION("""COMPUTED_VALUE"""),"F10")</f>
        <v>F10</v>
      </c>
      <c r="O1594" s="97">
        <f ca="1">IFERROR(__xludf.DUMMYFUNCTION("""COMPUTED_VALUE"""),44988)</f>
        <v>44988</v>
      </c>
      <c r="P1594" s="6" t="str">
        <f ca="1">IFERROR(__xludf.DUMMYFUNCTION("""COMPUTED_VALUE"""),"CSTM_5PYZEQV8C6B")</f>
        <v>CSTM_5PYZEQV8C6B</v>
      </c>
      <c r="Q1594" s="6"/>
      <c r="R1594" s="6" t="str">
        <f ca="1">IFERROR(__xludf.DUMMYFUNCTION("""COMPUTED_VALUE"""),"Pending")</f>
        <v>Pending</v>
      </c>
      <c r="S1594" s="6" t="str">
        <f ca="1">IFERROR(__xludf.DUMMYFUNCTION("""COMPUTED_VALUE"""),"SAFe")</f>
        <v>SAFe</v>
      </c>
      <c r="T1594" s="6"/>
      <c r="U1594" s="6"/>
      <c r="V1594" s="6"/>
      <c r="W1594" s="6"/>
      <c r="X1594" s="6"/>
      <c r="Y1594" s="6"/>
      <c r="Z1594" s="6"/>
      <c r="AA1594" s="6"/>
      <c r="AB1594" s="6"/>
      <c r="AC1594" s="6"/>
      <c r="AD1594" s="6"/>
      <c r="AE1594" s="6"/>
      <c r="AF1594" s="6"/>
      <c r="AG1594" s="6"/>
      <c r="AH1594" s="6"/>
      <c r="AI1594" s="6"/>
      <c r="AJ1594" s="6"/>
      <c r="AK1594" s="6"/>
      <c r="AL1594" s="6"/>
    </row>
    <row r="1595" spans="1:38">
      <c r="A1595" s="96">
        <f ca="1">IFERROR(__xludf.DUMMYFUNCTION("""COMPUTED_VALUE"""),44988)</f>
        <v>44988</v>
      </c>
      <c r="B1595" s="6" t="str">
        <f ca="1">IFERROR(__xludf.DUMMYFUNCTION("""COMPUTED_VALUE"""),"Supriya")</f>
        <v>Supriya</v>
      </c>
      <c r="C1595" s="6" t="str">
        <f ca="1">IFERROR(__xludf.DUMMYFUNCTION("""COMPUTED_VALUE"""),"soupreeya@gmail.com")</f>
        <v>soupreeya@gmail.com</v>
      </c>
      <c r="D1595" s="6">
        <f ca="1">IFERROR(__xludf.DUMMYFUNCTION("""COMPUTED_VALUE"""),9818803666)</f>
        <v>9818803666</v>
      </c>
      <c r="E1595" s="6" t="str">
        <f ca="1">IFERROR(__xludf.DUMMYFUNCTION("""COMPUTED_VALUE"""),"Reference")</f>
        <v>Reference</v>
      </c>
      <c r="F1595" s="6" t="str">
        <f ca="1">IFERROR(__xludf.DUMMYFUNCTION("""COMPUTED_VALUE"""),"CSM")</f>
        <v>CSM</v>
      </c>
      <c r="G1595" s="80">
        <f ca="1">IFERROR(__xludf.DUMMYFUNCTION("""COMPUTED_VALUE"""),44986)</f>
        <v>44986</v>
      </c>
      <c r="H1595" s="6" t="str">
        <f ca="1">IFERROR(__xludf.DUMMYFUNCTION("""COMPUTED_VALUE"""),"Won")</f>
        <v>Won</v>
      </c>
      <c r="I1595" s="6" t="str">
        <f ca="1">IFERROR(__xludf.DUMMYFUNCTION("""COMPUTED_VALUE"""),"18-19 March 2023")</f>
        <v>18-19 March 2023</v>
      </c>
      <c r="J1595" s="6">
        <f ca="1">IFERROR(__xludf.DUMMYFUNCTION("""COMPUTED_VALUE"""),1)</f>
        <v>1</v>
      </c>
      <c r="K1595" s="8">
        <f ca="1">IFERROR(__xludf.DUMMYFUNCTION("""COMPUTED_VALUE"""),20000)</f>
        <v>20000</v>
      </c>
      <c r="L1595" s="8">
        <f ca="1">IFERROR(__xludf.DUMMYFUNCTION("""COMPUTED_VALUE"""),229.042601923957)</f>
        <v>229.04260192395699</v>
      </c>
      <c r="M1595" s="96">
        <f ca="1">IFERROR(__xludf.DUMMYFUNCTION("""COMPUTED_VALUE"""),44988)</f>
        <v>44988</v>
      </c>
      <c r="N1595" s="6" t="str">
        <f ca="1">IFERROR(__xludf.DUMMYFUNCTION("""COMPUTED_VALUE"""),"F10")</f>
        <v>F10</v>
      </c>
      <c r="O1595" s="97">
        <f ca="1">IFERROR(__xludf.DUMMYFUNCTION("""COMPUTED_VALUE"""),44991)</f>
        <v>44991</v>
      </c>
      <c r="P1595" s="6" t="str">
        <f ca="1">IFERROR(__xludf.DUMMYFUNCTION("""COMPUTED_VALUE"""),"CSTM_B5UMLW02DYC")</f>
        <v>CSTM_B5UMLW02DYC</v>
      </c>
      <c r="Q1595" s="6" t="str">
        <f ca="1">IFERROR(__xludf.DUMMYFUNCTION("""COMPUTED_VALUE"""),"Reference by pragyak491@gmail.com")</f>
        <v>Reference by pragyak491@gmail.com</v>
      </c>
      <c r="R1595" s="6" t="str">
        <f ca="1">IFERROR(__xludf.DUMMYFUNCTION("""COMPUTED_VALUE"""),"Pending")</f>
        <v>Pending</v>
      </c>
      <c r="S1595" s="6" t="str">
        <f ca="1">IFERROR(__xludf.DUMMYFUNCTION("""COMPUTED_VALUE"""),"Category")</f>
        <v>Category</v>
      </c>
      <c r="T1595" s="6"/>
      <c r="U1595" s="6"/>
      <c r="V1595" s="6"/>
      <c r="W1595" s="6"/>
      <c r="X1595" s="6"/>
      <c r="Y1595" s="6"/>
      <c r="Z1595" s="6"/>
      <c r="AA1595" s="6"/>
      <c r="AB1595" s="6"/>
      <c r="AC1595" s="6"/>
      <c r="AD1595" s="6"/>
      <c r="AE1595" s="6"/>
      <c r="AF1595" s="6"/>
      <c r="AG1595" s="6"/>
      <c r="AH1595" s="6"/>
      <c r="AI1595" s="6"/>
      <c r="AJ1595" s="6"/>
      <c r="AK1595" s="6"/>
      <c r="AL1595" s="6"/>
    </row>
    <row r="1596" spans="1:38">
      <c r="A1596" s="96">
        <f ca="1">IFERROR(__xludf.DUMMYFUNCTION("""COMPUTED_VALUE"""),44988)</f>
        <v>44988</v>
      </c>
      <c r="B1596" s="6" t="str">
        <f ca="1">IFERROR(__xludf.DUMMYFUNCTION("""COMPUTED_VALUE"""),"Vijayanath Ramesh")</f>
        <v>Vijayanath Ramesh</v>
      </c>
      <c r="C1596" s="6" t="str">
        <f ca="1">IFERROR(__xludf.DUMMYFUNCTION("""COMPUTED_VALUE"""),"r_vijaynath@yahoo.co.in")</f>
        <v>r_vijaynath@yahoo.co.in</v>
      </c>
      <c r="D1596" s="6">
        <f ca="1">IFERROR(__xludf.DUMMYFUNCTION("""COMPUTED_VALUE"""),9940388732)</f>
        <v>9940388732</v>
      </c>
      <c r="E1596" s="6" t="str">
        <f ca="1">IFERROR(__xludf.DUMMYFUNCTION("""COMPUTED_VALUE"""),"App Quey box")</f>
        <v>App Quey box</v>
      </c>
      <c r="F1596" s="6" t="str">
        <f ca="1">IFERROR(__xludf.DUMMYFUNCTION("""COMPUTED_VALUE"""),"CSM")</f>
        <v>CSM</v>
      </c>
      <c r="G1596" s="80">
        <f ca="1">IFERROR(__xludf.DUMMYFUNCTION("""COMPUTED_VALUE"""),44986)</f>
        <v>44986</v>
      </c>
      <c r="H1596" s="6" t="str">
        <f ca="1">IFERROR(__xludf.DUMMYFUNCTION("""COMPUTED_VALUE"""),"Won")</f>
        <v>Won</v>
      </c>
      <c r="I1596" s="6" t="str">
        <f ca="1">IFERROR(__xludf.DUMMYFUNCTION("""COMPUTED_VALUE"""),"6-7 March 2023")</f>
        <v>6-7 March 2023</v>
      </c>
      <c r="J1596" s="6">
        <f ca="1">IFERROR(__xludf.DUMMYFUNCTION("""COMPUTED_VALUE"""),1)</f>
        <v>1</v>
      </c>
      <c r="K1596" s="8">
        <f ca="1">IFERROR(__xludf.DUMMYFUNCTION("""COMPUTED_VALUE"""),20000)</f>
        <v>20000</v>
      </c>
      <c r="L1596" s="8">
        <f ca="1">IFERROR(__xludf.DUMMYFUNCTION("""COMPUTED_VALUE"""),229.042601923957)</f>
        <v>229.04260192395699</v>
      </c>
      <c r="M1596" s="96">
        <f ca="1">IFERROR(__xludf.DUMMYFUNCTION("""COMPUTED_VALUE"""),44988)</f>
        <v>44988</v>
      </c>
      <c r="N1596" s="6" t="str">
        <f ca="1">IFERROR(__xludf.DUMMYFUNCTION("""COMPUTED_VALUE"""),"F10")</f>
        <v>F10</v>
      </c>
      <c r="O1596" s="97">
        <f ca="1">IFERROR(__xludf.DUMMYFUNCTION("""COMPUTED_VALUE"""),44988)</f>
        <v>44988</v>
      </c>
      <c r="P1596" s="6" t="str">
        <f ca="1">IFERROR(__xludf.DUMMYFUNCTION("""COMPUTED_VALUE"""),"CSTM_FRQOI0P52S2")</f>
        <v>CSTM_FRQOI0P52S2</v>
      </c>
      <c r="Q1596" s="6"/>
      <c r="R1596" s="6" t="str">
        <f ca="1">IFERROR(__xludf.DUMMYFUNCTION("""COMPUTED_VALUE"""),"Pending")</f>
        <v>Pending</v>
      </c>
      <c r="S1596" s="6" t="str">
        <f ca="1">IFERROR(__xludf.DUMMYFUNCTION("""COMPUTED_VALUE"""),"Category")</f>
        <v>Category</v>
      </c>
      <c r="T1596" s="6"/>
      <c r="U1596" s="6"/>
      <c r="V1596" s="6"/>
      <c r="W1596" s="6"/>
      <c r="X1596" s="6"/>
      <c r="Y1596" s="6"/>
      <c r="Z1596" s="6"/>
      <c r="AA1596" s="6"/>
      <c r="AB1596" s="6"/>
      <c r="AC1596" s="6"/>
      <c r="AD1596" s="6"/>
      <c r="AE1596" s="6"/>
      <c r="AF1596" s="6"/>
      <c r="AG1596" s="6"/>
      <c r="AH1596" s="6"/>
      <c r="AI1596" s="6"/>
      <c r="AJ1596" s="6"/>
      <c r="AK1596" s="6"/>
      <c r="AL1596" s="6"/>
    </row>
    <row r="1597" spans="1:38">
      <c r="A1597" s="96">
        <f ca="1">IFERROR(__xludf.DUMMYFUNCTION("""COMPUTED_VALUE"""),44989)</f>
        <v>44989</v>
      </c>
      <c r="B1597" s="6" t="str">
        <f ca="1">IFERROR(__xludf.DUMMYFUNCTION("""COMPUTED_VALUE"""),"Jino Mathew")</f>
        <v>Jino Mathew</v>
      </c>
      <c r="C1597" s="6" t="str">
        <f ca="1">IFERROR(__xludf.DUMMYFUNCTION("""COMPUTED_VALUE"""),"jinokmathew@gmail.com")</f>
        <v>jinokmathew@gmail.com</v>
      </c>
      <c r="D1597" s="6">
        <f ca="1">IFERROR(__xludf.DUMMYFUNCTION("""COMPUTED_VALUE"""),8015758935)</f>
        <v>8015758935</v>
      </c>
      <c r="E1597" s="6" t="str">
        <f ca="1">IFERROR(__xludf.DUMMYFUNCTION("""COMPUTED_VALUE"""),"Existing Account")</f>
        <v>Existing Account</v>
      </c>
      <c r="F1597" s="6" t="str">
        <f ca="1">IFERROR(__xludf.DUMMYFUNCTION("""COMPUTED_VALUE"""),"PSPO")</f>
        <v>PSPO</v>
      </c>
      <c r="G1597" s="80">
        <f ca="1">IFERROR(__xludf.DUMMYFUNCTION("""COMPUTED_VALUE"""),44986)</f>
        <v>44986</v>
      </c>
      <c r="H1597" s="6" t="str">
        <f ca="1">IFERROR(__xludf.DUMMYFUNCTION("""COMPUTED_VALUE"""),"Won")</f>
        <v>Won</v>
      </c>
      <c r="I1597" s="6" t="str">
        <f ca="1">IFERROR(__xludf.DUMMYFUNCTION("""COMPUTED_VALUE"""),"18-19 March 2023")</f>
        <v>18-19 March 2023</v>
      </c>
      <c r="J1597" s="6">
        <f ca="1">IFERROR(__xludf.DUMMYFUNCTION("""COMPUTED_VALUE"""),1)</f>
        <v>1</v>
      </c>
      <c r="K1597" s="8">
        <f ca="1">IFERROR(__xludf.DUMMYFUNCTION("""COMPUTED_VALUE"""),21000)</f>
        <v>21000</v>
      </c>
      <c r="L1597" s="8">
        <f ca="1">IFERROR(__xludf.DUMMYFUNCTION("""COMPUTED_VALUE"""),240.494732020155)</f>
        <v>240.494732020155</v>
      </c>
      <c r="M1597" s="96">
        <f ca="1">IFERROR(__xludf.DUMMYFUNCTION("""COMPUTED_VALUE"""),44989)</f>
        <v>44989</v>
      </c>
      <c r="N1597" s="6" t="str">
        <f ca="1">IFERROR(__xludf.DUMMYFUNCTION("""COMPUTED_VALUE"""),"F10")</f>
        <v>F10</v>
      </c>
      <c r="O1597" s="97">
        <f ca="1">IFERROR(__xludf.DUMMYFUNCTION("""COMPUTED_VALUE"""),44989)</f>
        <v>44989</v>
      </c>
      <c r="P1597" s="6" t="str">
        <f ca="1">IFERROR(__xludf.DUMMYFUNCTION("""COMPUTED_VALUE"""),"CSTM_4CGOKSZ765S")</f>
        <v>CSTM_4CGOKSZ765S</v>
      </c>
      <c r="Q1597" s="6"/>
      <c r="R1597" s="6" t="str">
        <f ca="1">IFERROR(__xludf.DUMMYFUNCTION("""COMPUTED_VALUE"""),"Pending")</f>
        <v>Pending</v>
      </c>
      <c r="S1597" s="6" t="str">
        <f ca="1">IFERROR(__xludf.DUMMYFUNCTION("""COMPUTED_VALUE"""),"Category")</f>
        <v>Category</v>
      </c>
      <c r="T1597" s="6"/>
      <c r="U1597" s="6"/>
      <c r="V1597" s="6"/>
      <c r="W1597" s="6"/>
      <c r="X1597" s="6"/>
      <c r="Y1597" s="6"/>
      <c r="Z1597" s="6"/>
      <c r="AA1597" s="6"/>
      <c r="AB1597" s="6"/>
      <c r="AC1597" s="6"/>
      <c r="AD1597" s="6"/>
      <c r="AE1597" s="6"/>
      <c r="AF1597" s="6"/>
      <c r="AG1597" s="6"/>
      <c r="AH1597" s="6"/>
      <c r="AI1597" s="6"/>
      <c r="AJ1597" s="6"/>
      <c r="AK1597" s="6"/>
      <c r="AL1597" s="6"/>
    </row>
    <row r="1598" spans="1:38">
      <c r="A1598" s="96">
        <f ca="1">IFERROR(__xludf.DUMMYFUNCTION("""COMPUTED_VALUE"""),44992)</f>
        <v>44992</v>
      </c>
      <c r="B1598" s="6" t="str">
        <f ca="1">IFERROR(__xludf.DUMMYFUNCTION("""COMPUTED_VALUE"""),"Nithin")</f>
        <v>Nithin</v>
      </c>
      <c r="C1598" s="6" t="str">
        <f ca="1">IFERROR(__xludf.DUMMYFUNCTION("""COMPUTED_VALUE"""),"nithin265@gmail.com")</f>
        <v>nithin265@gmail.com</v>
      </c>
      <c r="D1598" s="6">
        <f ca="1">IFERROR(__xludf.DUMMYFUNCTION("""COMPUTED_VALUE"""),9591144302)</f>
        <v>9591144302</v>
      </c>
      <c r="E1598" s="6" t="str">
        <f ca="1">IFERROR(__xludf.DUMMYFUNCTION("""COMPUTED_VALUE"""),"chat_initiated")</f>
        <v>chat_initiated</v>
      </c>
      <c r="F1598" s="6" t="str">
        <f ca="1">IFERROR(__xludf.DUMMYFUNCTION("""COMPUTED_VALUE"""),"PSM")</f>
        <v>PSM</v>
      </c>
      <c r="G1598" s="80">
        <f ca="1">IFERROR(__xludf.DUMMYFUNCTION("""COMPUTED_VALUE"""),44986)</f>
        <v>44986</v>
      </c>
      <c r="H1598" s="6" t="str">
        <f ca="1">IFERROR(__xludf.DUMMYFUNCTION("""COMPUTED_VALUE"""),"Won")</f>
        <v>Won</v>
      </c>
      <c r="I1598" s="6" t="str">
        <f ca="1">IFERROR(__xludf.DUMMYFUNCTION("""COMPUTED_VALUE"""),"18-19 March 2023")</f>
        <v>18-19 March 2023</v>
      </c>
      <c r="J1598" s="6">
        <f ca="1">IFERROR(__xludf.DUMMYFUNCTION("""COMPUTED_VALUE"""),1)</f>
        <v>1</v>
      </c>
      <c r="K1598" s="8">
        <f ca="1">IFERROR(__xludf.DUMMYFUNCTION("""COMPUTED_VALUE"""),21000)</f>
        <v>21000</v>
      </c>
      <c r="L1598" s="8">
        <f ca="1">IFERROR(__xludf.DUMMYFUNCTION("""COMPUTED_VALUE"""),240.494732020155)</f>
        <v>240.494732020155</v>
      </c>
      <c r="M1598" s="96">
        <f ca="1">IFERROR(__xludf.DUMMYFUNCTION("""COMPUTED_VALUE"""),44992)</f>
        <v>44992</v>
      </c>
      <c r="N1598" s="6" t="str">
        <f ca="1">IFERROR(__xludf.DUMMYFUNCTION("""COMPUTED_VALUE"""),"F10")</f>
        <v>F10</v>
      </c>
      <c r="O1598" s="97">
        <f ca="1">IFERROR(__xludf.DUMMYFUNCTION("""COMPUTED_VALUE"""),44992)</f>
        <v>44992</v>
      </c>
      <c r="P1598" s="6" t="str">
        <f ca="1">IFERROR(__xludf.DUMMYFUNCTION("""COMPUTED_VALUE"""),"CSTM_B7V4C3QMFY3")</f>
        <v>CSTM_B7V4C3QMFY3</v>
      </c>
      <c r="Q1598" s="6"/>
      <c r="R1598" s="6" t="str">
        <f ca="1">IFERROR(__xludf.DUMMYFUNCTION("""COMPUTED_VALUE"""),"Pending")</f>
        <v>Pending</v>
      </c>
      <c r="S1598" s="6" t="str">
        <f ca="1">IFERROR(__xludf.DUMMYFUNCTION("""COMPUTED_VALUE"""),"Category")</f>
        <v>Category</v>
      </c>
      <c r="T1598" s="6"/>
      <c r="U1598" s="6"/>
      <c r="V1598" s="6"/>
      <c r="W1598" s="6"/>
      <c r="X1598" s="6"/>
      <c r="Y1598" s="6"/>
      <c r="Z1598" s="6"/>
      <c r="AA1598" s="6"/>
      <c r="AB1598" s="6"/>
      <c r="AC1598" s="6"/>
      <c r="AD1598" s="6"/>
      <c r="AE1598" s="6"/>
      <c r="AF1598" s="6"/>
      <c r="AG1598" s="6"/>
      <c r="AH1598" s="6"/>
      <c r="AI1598" s="6"/>
      <c r="AJ1598" s="6"/>
      <c r="AK1598" s="6"/>
      <c r="AL1598" s="6"/>
    </row>
    <row r="1599" spans="1:38">
      <c r="A1599" s="96">
        <f ca="1">IFERROR(__xludf.DUMMYFUNCTION("""COMPUTED_VALUE"""),44993)</f>
        <v>44993</v>
      </c>
      <c r="B1599" s="6" t="str">
        <f ca="1">IFERROR(__xludf.DUMMYFUNCTION("""COMPUTED_VALUE"""),"Rajkumar Rajarajan")</f>
        <v>Rajkumar Rajarajan</v>
      </c>
      <c r="C1599" s="6" t="str">
        <f ca="1">IFERROR(__xludf.DUMMYFUNCTION("""COMPUTED_VALUE"""),"rrajkumar1984@gmail.com")</f>
        <v>rrajkumar1984@gmail.com</v>
      </c>
      <c r="D1599" s="6">
        <f ca="1">IFERROR(__xludf.DUMMYFUNCTION("""COMPUTED_VALUE"""),9566993416)</f>
        <v>9566993416</v>
      </c>
      <c r="E1599" s="6" t="str">
        <f ca="1">IFERROR(__xludf.DUMMYFUNCTION("""COMPUTED_VALUE"""),"Reference")</f>
        <v>Reference</v>
      </c>
      <c r="F1599" s="6" t="str">
        <f ca="1">IFERROR(__xludf.DUMMYFUNCTION("""COMPUTED_VALUE"""),"PSM 2")</f>
        <v>PSM 2</v>
      </c>
      <c r="G1599" s="80">
        <f ca="1">IFERROR(__xludf.DUMMYFUNCTION("""COMPUTED_VALUE"""),44986)</f>
        <v>44986</v>
      </c>
      <c r="H1599" s="6" t="str">
        <f ca="1">IFERROR(__xludf.DUMMYFUNCTION("""COMPUTED_VALUE"""),"Won")</f>
        <v>Won</v>
      </c>
      <c r="I1599" s="6" t="str">
        <f ca="1">IFERROR(__xludf.DUMMYFUNCTION("""COMPUTED_VALUE"""),"11-12 March 2023")</f>
        <v>11-12 March 2023</v>
      </c>
      <c r="J1599" s="6">
        <f ca="1">IFERROR(__xludf.DUMMYFUNCTION("""COMPUTED_VALUE"""),1)</f>
        <v>1</v>
      </c>
      <c r="K1599" s="8">
        <f ca="1">IFERROR(__xludf.DUMMYFUNCTION("""COMPUTED_VALUE"""),24000)</f>
        <v>24000</v>
      </c>
      <c r="L1599" s="8">
        <f ca="1">IFERROR(__xludf.DUMMYFUNCTION("""COMPUTED_VALUE"""),274.851122308749)</f>
        <v>274.85112230874898</v>
      </c>
      <c r="M1599" s="96">
        <f ca="1">IFERROR(__xludf.DUMMYFUNCTION("""COMPUTED_VALUE"""),44993)</f>
        <v>44993</v>
      </c>
      <c r="N1599" s="6" t="str">
        <f ca="1">IFERROR(__xludf.DUMMYFUNCTION("""COMPUTED_VALUE"""),"F10")</f>
        <v>F10</v>
      </c>
      <c r="O1599" s="97">
        <f ca="1">IFERROR(__xludf.DUMMYFUNCTION("""COMPUTED_VALUE"""),44993)</f>
        <v>44993</v>
      </c>
      <c r="P1599" s="6" t="str">
        <f ca="1">IFERROR(__xludf.DUMMYFUNCTION("""COMPUTED_VALUE"""),"CSTM_31ID0IEH6WP")</f>
        <v>CSTM_31ID0IEH6WP</v>
      </c>
      <c r="Q1599" s="6" t="str">
        <f ca="1">IFERROR(__xludf.DUMMYFUNCTION("""COMPUTED_VALUE"""),"Reference by madhavi.507@gmail.com")</f>
        <v>Reference by madhavi.507@gmail.com</v>
      </c>
      <c r="R1599" s="6" t="str">
        <f ca="1">IFERROR(__xludf.DUMMYFUNCTION("""COMPUTED_VALUE"""),"Pending")</f>
        <v>Pending</v>
      </c>
      <c r="S1599" s="6" t="str">
        <f ca="1">IFERROR(__xludf.DUMMYFUNCTION("""COMPUTED_VALUE"""),"Category")</f>
        <v>Category</v>
      </c>
      <c r="T1599" s="6"/>
      <c r="U1599" s="6"/>
      <c r="V1599" s="6"/>
      <c r="W1599" s="6"/>
      <c r="X1599" s="6"/>
      <c r="Y1599" s="6"/>
      <c r="Z1599" s="6"/>
      <c r="AA1599" s="6"/>
      <c r="AB1599" s="6"/>
      <c r="AC1599" s="6"/>
      <c r="AD1599" s="6"/>
      <c r="AE1599" s="6"/>
      <c r="AF1599" s="6"/>
      <c r="AG1599" s="6"/>
      <c r="AH1599" s="6"/>
      <c r="AI1599" s="6"/>
      <c r="AJ1599" s="6"/>
      <c r="AK1599" s="6"/>
      <c r="AL1599" s="6"/>
    </row>
    <row r="1600" spans="1:38">
      <c r="A1600" s="96">
        <f ca="1">IFERROR(__xludf.DUMMYFUNCTION("""COMPUTED_VALUE"""),44994)</f>
        <v>44994</v>
      </c>
      <c r="B1600" s="6" t="str">
        <f ca="1">IFERROR(__xludf.DUMMYFUNCTION("""COMPUTED_VALUE"""),"Debabrata Das")</f>
        <v>Debabrata Das</v>
      </c>
      <c r="C1600" s="6" t="str">
        <f ca="1">IFERROR(__xludf.DUMMYFUNCTION("""COMPUTED_VALUE"""),"debabrata.d@tcs.com")</f>
        <v>debabrata.d@tcs.com</v>
      </c>
      <c r="D1600" s="6">
        <f ca="1">IFERROR(__xludf.DUMMYFUNCTION("""COMPUTED_VALUE"""),9734254717)</f>
        <v>9734254717</v>
      </c>
      <c r="E1600" s="6" t="str">
        <f ca="1">IFERROR(__xludf.DUMMYFUNCTION("""COMPUTED_VALUE"""),"Chat_triggered")</f>
        <v>Chat_triggered</v>
      </c>
      <c r="F1600" s="6" t="str">
        <f ca="1">IFERROR(__xludf.DUMMYFUNCTION("""COMPUTED_VALUE"""),"PSPO 2")</f>
        <v>PSPO 2</v>
      </c>
      <c r="G1600" s="80">
        <f ca="1">IFERROR(__xludf.DUMMYFUNCTION("""COMPUTED_VALUE"""),44986)</f>
        <v>44986</v>
      </c>
      <c r="H1600" s="6" t="str">
        <f ca="1">IFERROR(__xludf.DUMMYFUNCTION("""COMPUTED_VALUE"""),"Won")</f>
        <v>Won</v>
      </c>
      <c r="I1600" s="6" t="str">
        <f ca="1">IFERROR(__xludf.DUMMYFUNCTION("""COMPUTED_VALUE"""),"11-12 March 2023")</f>
        <v>11-12 March 2023</v>
      </c>
      <c r="J1600" s="6">
        <f ca="1">IFERROR(__xludf.DUMMYFUNCTION("""COMPUTED_VALUE"""),1)</f>
        <v>1</v>
      </c>
      <c r="K1600" s="8">
        <f ca="1">IFERROR(__xludf.DUMMYFUNCTION("""COMPUTED_VALUE"""),24000)</f>
        <v>24000</v>
      </c>
      <c r="L1600" s="8">
        <f ca="1">IFERROR(__xludf.DUMMYFUNCTION("""COMPUTED_VALUE"""),274.851122308749)</f>
        <v>274.85112230874898</v>
      </c>
      <c r="M1600" s="96">
        <f ca="1">IFERROR(__xludf.DUMMYFUNCTION("""COMPUTED_VALUE"""),44994)</f>
        <v>44994</v>
      </c>
      <c r="N1600" s="6" t="str">
        <f ca="1">IFERROR(__xludf.DUMMYFUNCTION("""COMPUTED_VALUE"""),"F10")</f>
        <v>F10</v>
      </c>
      <c r="O1600" s="97">
        <f ca="1">IFERROR(__xludf.DUMMYFUNCTION("""COMPUTED_VALUE"""),44994)</f>
        <v>44994</v>
      </c>
      <c r="P1600" s="6" t="str">
        <f ca="1">IFERROR(__xludf.DUMMYFUNCTION("""COMPUTED_VALUE"""),"CSTM_D7FPXIHTIQB")</f>
        <v>CSTM_D7FPXIHTIQB</v>
      </c>
      <c r="Q1600" s="6"/>
      <c r="R1600" s="6" t="str">
        <f ca="1">IFERROR(__xludf.DUMMYFUNCTION("""COMPUTED_VALUE"""),"Pending")</f>
        <v>Pending</v>
      </c>
      <c r="S1600" s="6" t="str">
        <f ca="1">IFERROR(__xludf.DUMMYFUNCTION("""COMPUTED_VALUE"""),"NonCategory")</f>
        <v>NonCategory</v>
      </c>
      <c r="T1600" s="6"/>
      <c r="U1600" s="6"/>
      <c r="V1600" s="6"/>
      <c r="W1600" s="6"/>
      <c r="X1600" s="6"/>
      <c r="Y1600" s="6"/>
      <c r="Z1600" s="6"/>
      <c r="AA1600" s="6"/>
      <c r="AB1600" s="6"/>
      <c r="AC1600" s="6"/>
      <c r="AD1600" s="6"/>
      <c r="AE1600" s="6"/>
      <c r="AF1600" s="6"/>
      <c r="AG1600" s="6"/>
      <c r="AH1600" s="6"/>
      <c r="AI1600" s="6"/>
      <c r="AJ1600" s="6"/>
      <c r="AK1600" s="6"/>
      <c r="AL1600" s="6"/>
    </row>
    <row r="1601" spans="1:38">
      <c r="A1601" s="96">
        <f ca="1">IFERROR(__xludf.DUMMYFUNCTION("""COMPUTED_VALUE"""),44994)</f>
        <v>44994</v>
      </c>
      <c r="B1601" s="6" t="str">
        <f ca="1">IFERROR(__xludf.DUMMYFUNCTION("""COMPUTED_VALUE"""),"Shikha Chugh")</f>
        <v>Shikha Chugh</v>
      </c>
      <c r="C1601" s="6" t="str">
        <f ca="1">IFERROR(__xludf.DUMMYFUNCTION("""COMPUTED_VALUE"""),"shikhachugh89@gmail.com")</f>
        <v>shikhachugh89@gmail.com</v>
      </c>
      <c r="D1601" s="6">
        <f ca="1">IFERROR(__xludf.DUMMYFUNCTION("""COMPUTED_VALUE"""),9553975007)</f>
        <v>9553975007</v>
      </c>
      <c r="E1601" s="6" t="str">
        <f ca="1">IFERROR(__xludf.DUMMYFUNCTION("""COMPUTED_VALUE"""),"Reference")</f>
        <v>Reference</v>
      </c>
      <c r="F1601" s="6" t="str">
        <f ca="1">IFERROR(__xludf.DUMMYFUNCTION("""COMPUTED_VALUE"""),"PSM 2")</f>
        <v>PSM 2</v>
      </c>
      <c r="G1601" s="80">
        <f ca="1">IFERROR(__xludf.DUMMYFUNCTION("""COMPUTED_VALUE"""),44986)</f>
        <v>44986</v>
      </c>
      <c r="H1601" s="6" t="str">
        <f ca="1">IFERROR(__xludf.DUMMYFUNCTION("""COMPUTED_VALUE"""),"Won")</f>
        <v>Won</v>
      </c>
      <c r="I1601" s="6" t="str">
        <f ca="1">IFERROR(__xludf.DUMMYFUNCTION("""COMPUTED_VALUE"""),"11-12 March 2023")</f>
        <v>11-12 March 2023</v>
      </c>
      <c r="J1601" s="6">
        <f ca="1">IFERROR(__xludf.DUMMYFUNCTION("""COMPUTED_VALUE"""),1)</f>
        <v>1</v>
      </c>
      <c r="K1601" s="8">
        <f ca="1">IFERROR(__xludf.DUMMYFUNCTION("""COMPUTED_VALUE"""),24000)</f>
        <v>24000</v>
      </c>
      <c r="L1601" s="8">
        <f ca="1">IFERROR(__xludf.DUMMYFUNCTION("""COMPUTED_VALUE"""),274.851122308749)</f>
        <v>274.85112230874898</v>
      </c>
      <c r="M1601" s="96">
        <f ca="1">IFERROR(__xludf.DUMMYFUNCTION("""COMPUTED_VALUE"""),44994)</f>
        <v>44994</v>
      </c>
      <c r="N1601" s="6" t="str">
        <f ca="1">IFERROR(__xludf.DUMMYFUNCTION("""COMPUTED_VALUE"""),"F10")</f>
        <v>F10</v>
      </c>
      <c r="O1601" s="97">
        <f ca="1">IFERROR(__xludf.DUMMYFUNCTION("""COMPUTED_VALUE"""),44994)</f>
        <v>44994</v>
      </c>
      <c r="P1601" s="6" t="str">
        <f ca="1">IFERROR(__xludf.DUMMYFUNCTION("""COMPUTED_VALUE"""),"CSTM_I56JJMWQK7Q")</f>
        <v>CSTM_I56JJMWQK7Q</v>
      </c>
      <c r="Q1601" s="6" t="str">
        <f ca="1">IFERROR(__xludf.DUMMYFUNCTION("""COMPUTED_VALUE"""),"Reference by nehchhabra@deloitte.com")</f>
        <v>Reference by nehchhabra@deloitte.com</v>
      </c>
      <c r="R1601" s="6" t="str">
        <f ca="1">IFERROR(__xludf.DUMMYFUNCTION("""COMPUTED_VALUE"""),"Pending")</f>
        <v>Pending</v>
      </c>
      <c r="S1601" s="6" t="str">
        <f ca="1">IFERROR(__xludf.DUMMYFUNCTION("""COMPUTED_VALUE"""),"Category")</f>
        <v>Category</v>
      </c>
      <c r="T1601" s="6"/>
      <c r="U1601" s="6"/>
      <c r="V1601" s="6"/>
      <c r="W1601" s="6"/>
      <c r="X1601" s="6"/>
      <c r="Y1601" s="6"/>
      <c r="Z1601" s="6"/>
      <c r="AA1601" s="6"/>
      <c r="AB1601" s="6"/>
      <c r="AC1601" s="6"/>
      <c r="AD1601" s="6"/>
      <c r="AE1601" s="6"/>
      <c r="AF1601" s="6"/>
      <c r="AG1601" s="6"/>
      <c r="AH1601" s="6"/>
      <c r="AI1601" s="6"/>
      <c r="AJ1601" s="6"/>
      <c r="AK1601" s="6"/>
      <c r="AL1601" s="6"/>
    </row>
    <row r="1602" spans="1:38">
      <c r="A1602" s="96">
        <f ca="1">IFERROR(__xludf.DUMMYFUNCTION("""COMPUTED_VALUE"""),44994)</f>
        <v>44994</v>
      </c>
      <c r="B1602" s="6" t="str">
        <f ca="1">IFERROR(__xludf.DUMMYFUNCTION("""COMPUTED_VALUE"""),"Kalpana Palaniappan")</f>
        <v>Kalpana Palaniappan</v>
      </c>
      <c r="C1602" s="6" t="str">
        <f ca="1">IFERROR(__xludf.DUMMYFUNCTION("""COMPUTED_VALUE"""),"kalpana.palania@gmail.com")</f>
        <v>kalpana.palania@gmail.com</v>
      </c>
      <c r="D1602" s="6">
        <f ca="1">IFERROR(__xludf.DUMMYFUNCTION("""COMPUTED_VALUE"""),9880261086)</f>
        <v>9880261086</v>
      </c>
      <c r="E1602" s="6" t="str">
        <f ca="1">IFERROR(__xludf.DUMMYFUNCTION("""COMPUTED_VALUE"""),"Reference")</f>
        <v>Reference</v>
      </c>
      <c r="F1602" s="6" t="str">
        <f ca="1">IFERROR(__xludf.DUMMYFUNCTION("""COMPUTED_VALUE"""),"PSPO 2")</f>
        <v>PSPO 2</v>
      </c>
      <c r="G1602" s="80">
        <f ca="1">IFERROR(__xludf.DUMMYFUNCTION("""COMPUTED_VALUE"""),44986)</f>
        <v>44986</v>
      </c>
      <c r="H1602" s="6" t="str">
        <f ca="1">IFERROR(__xludf.DUMMYFUNCTION("""COMPUTED_VALUE"""),"Won")</f>
        <v>Won</v>
      </c>
      <c r="I1602" s="6" t="str">
        <f ca="1">IFERROR(__xludf.DUMMYFUNCTION("""COMPUTED_VALUE"""),"11-12 March 2023")</f>
        <v>11-12 March 2023</v>
      </c>
      <c r="J1602" s="6">
        <f ca="1">IFERROR(__xludf.DUMMYFUNCTION("""COMPUTED_VALUE"""),1)</f>
        <v>1</v>
      </c>
      <c r="K1602" s="8">
        <f ca="1">IFERROR(__xludf.DUMMYFUNCTION("""COMPUTED_VALUE"""),24000)</f>
        <v>24000</v>
      </c>
      <c r="L1602" s="8">
        <f ca="1">IFERROR(__xludf.DUMMYFUNCTION("""COMPUTED_VALUE"""),274.851122308749)</f>
        <v>274.85112230874898</v>
      </c>
      <c r="M1602" s="96">
        <f ca="1">IFERROR(__xludf.DUMMYFUNCTION("""COMPUTED_VALUE"""),44994)</f>
        <v>44994</v>
      </c>
      <c r="N1602" s="6" t="str">
        <f ca="1">IFERROR(__xludf.DUMMYFUNCTION("""COMPUTED_VALUE"""),"F10")</f>
        <v>F10</v>
      </c>
      <c r="O1602" s="97">
        <f ca="1">IFERROR(__xludf.DUMMYFUNCTION("""COMPUTED_VALUE"""),44995)</f>
        <v>44995</v>
      </c>
      <c r="P1602" s="6" t="str">
        <f ca="1">IFERROR(__xludf.DUMMYFUNCTION("""COMPUTED_VALUE"""),"CSTM_BE0HTTUX03M")</f>
        <v>CSTM_BE0HTTUX03M</v>
      </c>
      <c r="Q1602" s="6" t="str">
        <f ca="1">IFERROR(__xludf.DUMMYFUNCTION("""COMPUTED_VALUE"""),"Reference by lakshmi_das25@yahoo.com")</f>
        <v>Reference by lakshmi_das25@yahoo.com</v>
      </c>
      <c r="R1602" s="6" t="str">
        <f ca="1">IFERROR(__xludf.DUMMYFUNCTION("""COMPUTED_VALUE"""),"Pending")</f>
        <v>Pending</v>
      </c>
      <c r="S1602" s="6" t="str">
        <f ca="1">IFERROR(__xludf.DUMMYFUNCTION("""COMPUTED_VALUE"""),"NonCategory")</f>
        <v>NonCategory</v>
      </c>
      <c r="T1602" s="6"/>
      <c r="U1602" s="6"/>
      <c r="V1602" s="6"/>
      <c r="W1602" s="6"/>
      <c r="X1602" s="6"/>
      <c r="Y1602" s="6"/>
      <c r="Z1602" s="6"/>
      <c r="AA1602" s="6"/>
      <c r="AB1602" s="6"/>
      <c r="AC1602" s="6"/>
      <c r="AD1602" s="6"/>
      <c r="AE1602" s="6"/>
      <c r="AF1602" s="6"/>
      <c r="AG1602" s="6"/>
      <c r="AH1602" s="6"/>
      <c r="AI1602" s="6"/>
      <c r="AJ1602" s="6"/>
      <c r="AK1602" s="6"/>
      <c r="AL1602" s="6"/>
    </row>
    <row r="1603" spans="1:38">
      <c r="A1603" s="96">
        <f ca="1">IFERROR(__xludf.DUMMYFUNCTION("""COMPUTED_VALUE"""),44994)</f>
        <v>44994</v>
      </c>
      <c r="B1603" s="6" t="str">
        <f ca="1">IFERROR(__xludf.DUMMYFUNCTION("""COMPUTED_VALUE"""),"Lakshmi Das")</f>
        <v>Lakshmi Das</v>
      </c>
      <c r="C1603" s="6" t="str">
        <f ca="1">IFERROR(__xludf.DUMMYFUNCTION("""COMPUTED_VALUE"""),"lakshmi_das25@yahoo.com")</f>
        <v>lakshmi_das25@yahoo.com</v>
      </c>
      <c r="D1603" s="6">
        <f ca="1">IFERROR(__xludf.DUMMYFUNCTION("""COMPUTED_VALUE"""),9611573820)</f>
        <v>9611573820</v>
      </c>
      <c r="E1603" s="6" t="str">
        <f ca="1">IFERROR(__xludf.DUMMYFUNCTION("""COMPUTED_VALUE"""),"Reference")</f>
        <v>Reference</v>
      </c>
      <c r="F1603" s="6" t="str">
        <f ca="1">IFERROR(__xludf.DUMMYFUNCTION("""COMPUTED_VALUE"""),"PSPO 2")</f>
        <v>PSPO 2</v>
      </c>
      <c r="G1603" s="80">
        <f ca="1">IFERROR(__xludf.DUMMYFUNCTION("""COMPUTED_VALUE"""),44986)</f>
        <v>44986</v>
      </c>
      <c r="H1603" s="6" t="str">
        <f ca="1">IFERROR(__xludf.DUMMYFUNCTION("""COMPUTED_VALUE"""),"Won")</f>
        <v>Won</v>
      </c>
      <c r="I1603" s="6" t="str">
        <f ca="1">IFERROR(__xludf.DUMMYFUNCTION("""COMPUTED_VALUE"""),"11-12 March 2023")</f>
        <v>11-12 March 2023</v>
      </c>
      <c r="J1603" s="6">
        <f ca="1">IFERROR(__xludf.DUMMYFUNCTION("""COMPUTED_VALUE"""),1)</f>
        <v>1</v>
      </c>
      <c r="K1603" s="8">
        <f ca="1">IFERROR(__xludf.DUMMYFUNCTION("""COMPUTED_VALUE"""),24000)</f>
        <v>24000</v>
      </c>
      <c r="L1603" s="8">
        <f ca="1">IFERROR(__xludf.DUMMYFUNCTION("""COMPUTED_VALUE"""),274.851122308749)</f>
        <v>274.85112230874898</v>
      </c>
      <c r="M1603" s="96">
        <f ca="1">IFERROR(__xludf.DUMMYFUNCTION("""COMPUTED_VALUE"""),44994)</f>
        <v>44994</v>
      </c>
      <c r="N1603" s="6" t="str">
        <f ca="1">IFERROR(__xludf.DUMMYFUNCTION("""COMPUTED_VALUE"""),"F10")</f>
        <v>F10</v>
      </c>
      <c r="O1603" s="97">
        <f ca="1">IFERROR(__xludf.DUMMYFUNCTION("""COMPUTED_VALUE"""),44994)</f>
        <v>44994</v>
      </c>
      <c r="P1603" s="6" t="str">
        <f ca="1">IFERROR(__xludf.DUMMYFUNCTION("""COMPUTED_VALUE"""),"CSTM_7FD820D6RIF")</f>
        <v>CSTM_7FD820D6RIF</v>
      </c>
      <c r="Q1603" s="6" t="str">
        <f ca="1">IFERROR(__xludf.DUMMYFUNCTION("""COMPUTED_VALUE"""),"Reference by kalpanappp@yahoo.co.in")</f>
        <v>Reference by kalpanappp@yahoo.co.in</v>
      </c>
      <c r="R1603" s="6" t="str">
        <f ca="1">IFERROR(__xludf.DUMMYFUNCTION("""COMPUTED_VALUE"""),"Pending")</f>
        <v>Pending</v>
      </c>
      <c r="S1603" s="6" t="str">
        <f ca="1">IFERROR(__xludf.DUMMYFUNCTION("""COMPUTED_VALUE"""),"NonCategory")</f>
        <v>NonCategory</v>
      </c>
      <c r="T1603" s="6"/>
      <c r="U1603" s="6"/>
      <c r="V1603" s="6"/>
      <c r="W1603" s="6"/>
      <c r="X1603" s="6"/>
      <c r="Y1603" s="6"/>
      <c r="Z1603" s="6"/>
      <c r="AA1603" s="6"/>
      <c r="AB1603" s="6"/>
      <c r="AC1603" s="6"/>
      <c r="AD1603" s="6"/>
      <c r="AE1603" s="6"/>
      <c r="AF1603" s="6"/>
      <c r="AG1603" s="6"/>
      <c r="AH1603" s="6"/>
      <c r="AI1603" s="6"/>
      <c r="AJ1603" s="6"/>
      <c r="AK1603" s="6"/>
      <c r="AL1603" s="6"/>
    </row>
    <row r="1604" spans="1:38">
      <c r="A1604" s="96">
        <f ca="1">IFERROR(__xludf.DUMMYFUNCTION("""COMPUTED_VALUE"""),44994)</f>
        <v>44994</v>
      </c>
      <c r="B1604" s="6" t="str">
        <f ca="1">IFERROR(__xludf.DUMMYFUNCTION("""COMPUTED_VALUE"""),"Zorawar Purohit")</f>
        <v>Zorawar Purohit</v>
      </c>
      <c r="C1604" s="6" t="str">
        <f ca="1">IFERROR(__xludf.DUMMYFUNCTION("""COMPUTED_VALUE"""),"zorawar.purohit@gmail.com")</f>
        <v>zorawar.purohit@gmail.com</v>
      </c>
      <c r="D1604" s="6">
        <f ca="1">IFERROR(__xludf.DUMMYFUNCTION("""COMPUTED_VALUE"""),9818933350)</f>
        <v>9818933350</v>
      </c>
      <c r="E1604" s="6" t="str">
        <f ca="1">IFERROR(__xludf.DUMMYFUNCTION("""COMPUTED_VALUE"""),"course agenda")</f>
        <v>course agenda</v>
      </c>
      <c r="F1604" s="6" t="str">
        <f ca="1">IFERROR(__xludf.DUMMYFUNCTION("""COMPUTED_VALUE"""),"SAFe Agile")</f>
        <v>SAFe Agile</v>
      </c>
      <c r="G1604" s="80">
        <f ca="1">IFERROR(__xludf.DUMMYFUNCTION("""COMPUTED_VALUE"""),44986)</f>
        <v>44986</v>
      </c>
      <c r="H1604" s="6" t="str">
        <f ca="1">IFERROR(__xludf.DUMMYFUNCTION("""COMPUTED_VALUE"""),"Won")</f>
        <v>Won</v>
      </c>
      <c r="I1604" s="6" t="str">
        <f ca="1">IFERROR(__xludf.DUMMYFUNCTION("""COMPUTED_VALUE"""),"11-12 March 2023")</f>
        <v>11-12 March 2023</v>
      </c>
      <c r="J1604" s="6">
        <f ca="1">IFERROR(__xludf.DUMMYFUNCTION("""COMPUTED_VALUE"""),1)</f>
        <v>1</v>
      </c>
      <c r="K1604" s="8">
        <f ca="1">IFERROR(__xludf.DUMMYFUNCTION("""COMPUTED_VALUE"""),42000)</f>
        <v>42000</v>
      </c>
      <c r="L1604" s="8">
        <f ca="1">IFERROR(__xludf.DUMMYFUNCTION("""COMPUTED_VALUE"""),480.989464040311)</f>
        <v>480.98946404031102</v>
      </c>
      <c r="M1604" s="96">
        <f ca="1">IFERROR(__xludf.DUMMYFUNCTION("""COMPUTED_VALUE"""),44994)</f>
        <v>44994</v>
      </c>
      <c r="N1604" s="6" t="str">
        <f ca="1">IFERROR(__xludf.DUMMYFUNCTION("""COMPUTED_VALUE"""),"F10")</f>
        <v>F10</v>
      </c>
      <c r="O1604" s="97">
        <f ca="1">IFERROR(__xludf.DUMMYFUNCTION("""COMPUTED_VALUE"""),44994)</f>
        <v>44994</v>
      </c>
      <c r="P1604" s="6" t="str">
        <f ca="1">IFERROR(__xludf.DUMMYFUNCTION("""COMPUTED_VALUE"""),"CSTM_5V9YHZX3MQV")</f>
        <v>CSTM_5V9YHZX3MQV</v>
      </c>
      <c r="Q1604" s="6"/>
      <c r="R1604" s="6" t="str">
        <f ca="1">IFERROR(__xludf.DUMMYFUNCTION("""COMPUTED_VALUE"""),"Pending")</f>
        <v>Pending</v>
      </c>
      <c r="S1604" s="6" t="str">
        <f ca="1">IFERROR(__xludf.DUMMYFUNCTION("""COMPUTED_VALUE"""),"SAFe")</f>
        <v>SAFe</v>
      </c>
      <c r="T1604" s="6"/>
      <c r="U1604" s="6"/>
      <c r="V1604" s="6"/>
      <c r="W1604" s="6"/>
      <c r="X1604" s="6"/>
      <c r="Y1604" s="6"/>
      <c r="Z1604" s="6"/>
      <c r="AA1604" s="6"/>
      <c r="AB1604" s="6"/>
      <c r="AC1604" s="6"/>
      <c r="AD1604" s="6"/>
      <c r="AE1604" s="6"/>
      <c r="AF1604" s="6"/>
      <c r="AG1604" s="6"/>
      <c r="AH1604" s="6"/>
      <c r="AI1604" s="6"/>
      <c r="AJ1604" s="6"/>
      <c r="AK1604" s="6"/>
      <c r="AL1604" s="6"/>
    </row>
    <row r="1605" spans="1:38">
      <c r="A1605" s="96">
        <f ca="1">IFERROR(__xludf.DUMMYFUNCTION("""COMPUTED_VALUE"""),44995)</f>
        <v>44995</v>
      </c>
      <c r="B1605" s="6" t="str">
        <f ca="1">IFERROR(__xludf.DUMMYFUNCTION("""COMPUTED_VALUE"""),"Monika Sharma")</f>
        <v>Monika Sharma</v>
      </c>
      <c r="C1605" s="6" t="str">
        <f ca="1">IFERROR(__xludf.DUMMYFUNCTION("""COMPUTED_VALUE"""),"sharma.monika.1986@gmail.com")</f>
        <v>sharma.monika.1986@gmail.com</v>
      </c>
      <c r="D1605" s="6">
        <f ca="1">IFERROR(__xludf.DUMMYFUNCTION("""COMPUTED_VALUE"""),9891647264)</f>
        <v>9891647264</v>
      </c>
      <c r="E1605" s="6" t="str">
        <f ca="1">IFERROR(__xludf.DUMMYFUNCTION("""COMPUTED_VALUE"""),"Reference")</f>
        <v>Reference</v>
      </c>
      <c r="F1605" s="6" t="str">
        <f ca="1">IFERROR(__xludf.DUMMYFUNCTION("""COMPUTED_VALUE"""),"PSPO")</f>
        <v>PSPO</v>
      </c>
      <c r="G1605" s="80">
        <f ca="1">IFERROR(__xludf.DUMMYFUNCTION("""COMPUTED_VALUE"""),44986)</f>
        <v>44986</v>
      </c>
      <c r="H1605" s="6" t="str">
        <f ca="1">IFERROR(__xludf.DUMMYFUNCTION("""COMPUTED_VALUE"""),"Won")</f>
        <v>Won</v>
      </c>
      <c r="I1605" s="6" t="str">
        <f ca="1">IFERROR(__xludf.DUMMYFUNCTION("""COMPUTED_VALUE"""),"18-19 March 2023")</f>
        <v>18-19 March 2023</v>
      </c>
      <c r="J1605" s="6">
        <f ca="1">IFERROR(__xludf.DUMMYFUNCTION("""COMPUTED_VALUE"""),1)</f>
        <v>1</v>
      </c>
      <c r="K1605" s="8">
        <f ca="1">IFERROR(__xludf.DUMMYFUNCTION("""COMPUTED_VALUE"""),21000)</f>
        <v>21000</v>
      </c>
      <c r="L1605" s="8">
        <f ca="1">IFERROR(__xludf.DUMMYFUNCTION("""COMPUTED_VALUE"""),240.494732020155)</f>
        <v>240.494732020155</v>
      </c>
      <c r="M1605" s="96">
        <f ca="1">IFERROR(__xludf.DUMMYFUNCTION("""COMPUTED_VALUE"""),44995)</f>
        <v>44995</v>
      </c>
      <c r="N1605" s="6" t="str">
        <f ca="1">IFERROR(__xludf.DUMMYFUNCTION("""COMPUTED_VALUE"""),"F10")</f>
        <v>F10</v>
      </c>
      <c r="O1605" s="97">
        <f ca="1">IFERROR(__xludf.DUMMYFUNCTION("""COMPUTED_VALUE"""),44995)</f>
        <v>44995</v>
      </c>
      <c r="P1605" s="6" t="str">
        <f ca="1">IFERROR(__xludf.DUMMYFUNCTION("""COMPUTED_VALUE"""),"CSTM_GDWHJGVAZGZ")</f>
        <v>CSTM_GDWHJGVAZGZ</v>
      </c>
      <c r="Q1605" s="6"/>
      <c r="R1605" s="6" t="str">
        <f ca="1">IFERROR(__xludf.DUMMYFUNCTION("""COMPUTED_VALUE"""),"Pending")</f>
        <v>Pending</v>
      </c>
      <c r="S1605" s="6" t="str">
        <f ca="1">IFERROR(__xludf.DUMMYFUNCTION("""COMPUTED_VALUE"""),"Category")</f>
        <v>Category</v>
      </c>
      <c r="T1605" s="6"/>
      <c r="U1605" s="6"/>
      <c r="V1605" s="6"/>
      <c r="W1605" s="6"/>
      <c r="X1605" s="6"/>
      <c r="Y1605" s="6"/>
      <c r="Z1605" s="6"/>
      <c r="AA1605" s="6"/>
      <c r="AB1605" s="6"/>
      <c r="AC1605" s="6"/>
      <c r="AD1605" s="6"/>
      <c r="AE1605" s="6"/>
      <c r="AF1605" s="6"/>
      <c r="AG1605" s="6"/>
      <c r="AH1605" s="6"/>
      <c r="AI1605" s="6"/>
      <c r="AJ1605" s="6"/>
      <c r="AK1605" s="6"/>
      <c r="AL1605" s="6"/>
    </row>
    <row r="1606" spans="1:38">
      <c r="A1606" s="96">
        <f ca="1">IFERROR(__xludf.DUMMYFUNCTION("""COMPUTED_VALUE"""),44995)</f>
        <v>44995</v>
      </c>
      <c r="B1606" s="6" t="str">
        <f ca="1">IFERROR(__xludf.DUMMYFUNCTION("""COMPUTED_VALUE"""),"Raghavender Annasarapu")</f>
        <v>Raghavender Annasarapu</v>
      </c>
      <c r="C1606" s="6" t="str">
        <f ca="1">IFERROR(__xludf.DUMMYFUNCTION("""COMPUTED_VALUE"""),"mailragannas@gmail.com")</f>
        <v>mailragannas@gmail.com</v>
      </c>
      <c r="D1606" s="6">
        <f ca="1">IFERROR(__xludf.DUMMYFUNCTION("""COMPUTED_VALUE"""),9030537547)</f>
        <v>9030537547</v>
      </c>
      <c r="E1606" s="6" t="str">
        <f ca="1">IFERROR(__xludf.DUMMYFUNCTION("""COMPUTED_VALUE"""),"Reference")</f>
        <v>Reference</v>
      </c>
      <c r="F1606" s="6" t="str">
        <f ca="1">IFERROR(__xludf.DUMMYFUNCTION("""COMPUTED_VALUE"""),"PSM 2")</f>
        <v>PSM 2</v>
      </c>
      <c r="G1606" s="80">
        <f ca="1">IFERROR(__xludf.DUMMYFUNCTION("""COMPUTED_VALUE"""),44986)</f>
        <v>44986</v>
      </c>
      <c r="H1606" s="6" t="str">
        <f ca="1">IFERROR(__xludf.DUMMYFUNCTION("""COMPUTED_VALUE"""),"Won")</f>
        <v>Won</v>
      </c>
      <c r="I1606" s="6" t="str">
        <f ca="1">IFERROR(__xludf.DUMMYFUNCTION("""COMPUTED_VALUE"""),"11-12 March 2023")</f>
        <v>11-12 March 2023</v>
      </c>
      <c r="J1606" s="6">
        <f ca="1">IFERROR(__xludf.DUMMYFUNCTION("""COMPUTED_VALUE"""),1)</f>
        <v>1</v>
      </c>
      <c r="K1606" s="8">
        <f ca="1">IFERROR(__xludf.DUMMYFUNCTION("""COMPUTED_VALUE"""),24000)</f>
        <v>24000</v>
      </c>
      <c r="L1606" s="8">
        <f ca="1">IFERROR(__xludf.DUMMYFUNCTION("""COMPUTED_VALUE"""),274.851122308749)</f>
        <v>274.85112230874898</v>
      </c>
      <c r="M1606" s="96">
        <f ca="1">IFERROR(__xludf.DUMMYFUNCTION("""COMPUTED_VALUE"""),44995)</f>
        <v>44995</v>
      </c>
      <c r="N1606" s="6" t="str">
        <f ca="1">IFERROR(__xludf.DUMMYFUNCTION("""COMPUTED_VALUE"""),"F10")</f>
        <v>F10</v>
      </c>
      <c r="O1606" s="97">
        <f ca="1">IFERROR(__xludf.DUMMYFUNCTION("""COMPUTED_VALUE"""),44995)</f>
        <v>44995</v>
      </c>
      <c r="P1606" s="6" t="str">
        <f ca="1">IFERROR(__xludf.DUMMYFUNCTION("""COMPUTED_VALUE"""),"CSTM_JH35THUYSO4")</f>
        <v>CSTM_JH35THUYSO4</v>
      </c>
      <c r="Q1606" s="6" t="str">
        <f ca="1">IFERROR(__xludf.DUMMYFUNCTION("""COMPUTED_VALUE"""),"Reference by balajitk1983@gmail.com")</f>
        <v>Reference by balajitk1983@gmail.com</v>
      </c>
      <c r="R1606" s="6" t="str">
        <f ca="1">IFERROR(__xludf.DUMMYFUNCTION("""COMPUTED_VALUE"""),"Pending")</f>
        <v>Pending</v>
      </c>
      <c r="S1606" s="6" t="str">
        <f ca="1">IFERROR(__xludf.DUMMYFUNCTION("""COMPUTED_VALUE"""),"Category")</f>
        <v>Category</v>
      </c>
      <c r="T1606" s="6"/>
      <c r="U1606" s="6"/>
      <c r="V1606" s="6"/>
      <c r="W1606" s="6"/>
      <c r="X1606" s="6"/>
      <c r="Y1606" s="6"/>
      <c r="Z1606" s="6"/>
      <c r="AA1606" s="6"/>
      <c r="AB1606" s="6"/>
      <c r="AC1606" s="6"/>
      <c r="AD1606" s="6"/>
      <c r="AE1606" s="6"/>
      <c r="AF1606" s="6"/>
      <c r="AG1606" s="6"/>
      <c r="AH1606" s="6"/>
      <c r="AI1606" s="6"/>
      <c r="AJ1606" s="6"/>
      <c r="AK1606" s="6"/>
      <c r="AL1606" s="6"/>
    </row>
    <row r="1607" spans="1:38">
      <c r="A1607" s="96">
        <f ca="1">IFERROR(__xludf.DUMMYFUNCTION("""COMPUTED_VALUE"""),44998)</f>
        <v>44998</v>
      </c>
      <c r="B1607" s="6" t="str">
        <f ca="1">IFERROR(__xludf.DUMMYFUNCTION("""COMPUTED_VALUE"""),"Shashank Segu")</f>
        <v>Shashank Segu</v>
      </c>
      <c r="C1607" s="6" t="str">
        <f ca="1">IFERROR(__xludf.DUMMYFUNCTION("""COMPUTED_VALUE"""),"shashanksegu@gmail.com")</f>
        <v>shashanksegu@gmail.com</v>
      </c>
      <c r="D1607" s="6">
        <f ca="1">IFERROR(__xludf.DUMMYFUNCTION("""COMPUTED_VALUE"""),9886189689)</f>
        <v>9886189689</v>
      </c>
      <c r="E1607" s="6" t="str">
        <f ca="1">IFERROR(__xludf.DUMMYFUNCTION("""COMPUTED_VALUE"""),"Reference")</f>
        <v>Reference</v>
      </c>
      <c r="F1607" s="6" t="str">
        <f ca="1">IFERROR(__xludf.DUMMYFUNCTION("""COMPUTED_VALUE"""),"PSPO")</f>
        <v>PSPO</v>
      </c>
      <c r="G1607" s="80">
        <f ca="1">IFERROR(__xludf.DUMMYFUNCTION("""COMPUTED_VALUE"""),44986)</f>
        <v>44986</v>
      </c>
      <c r="H1607" s="6" t="str">
        <f ca="1">IFERROR(__xludf.DUMMYFUNCTION("""COMPUTED_VALUE"""),"Won")</f>
        <v>Won</v>
      </c>
      <c r="I1607" s="6" t="str">
        <f ca="1">IFERROR(__xludf.DUMMYFUNCTION("""COMPUTED_VALUE"""),"18-19 March 2023")</f>
        <v>18-19 March 2023</v>
      </c>
      <c r="J1607" s="6">
        <f ca="1">IFERROR(__xludf.DUMMYFUNCTION("""COMPUTED_VALUE"""),1)</f>
        <v>1</v>
      </c>
      <c r="K1607" s="8">
        <f ca="1">IFERROR(__xludf.DUMMYFUNCTION("""COMPUTED_VALUE"""),21000)</f>
        <v>21000</v>
      </c>
      <c r="L1607" s="8">
        <f ca="1">IFERROR(__xludf.DUMMYFUNCTION("""COMPUTED_VALUE"""),240.494732020155)</f>
        <v>240.494732020155</v>
      </c>
      <c r="M1607" s="96">
        <f ca="1">IFERROR(__xludf.DUMMYFUNCTION("""COMPUTED_VALUE"""),44998)</f>
        <v>44998</v>
      </c>
      <c r="N1607" s="6" t="str">
        <f ca="1">IFERROR(__xludf.DUMMYFUNCTION("""COMPUTED_VALUE"""),"S10")</f>
        <v>S10</v>
      </c>
      <c r="O1607" s="97">
        <f ca="1">IFERROR(__xludf.DUMMYFUNCTION("""COMPUTED_VALUE"""),44998)</f>
        <v>44998</v>
      </c>
      <c r="P1607" s="6" t="str">
        <f ca="1">IFERROR(__xludf.DUMMYFUNCTION("""COMPUTED_VALUE"""),"CSTM_15WEOVMGMQZ")</f>
        <v>CSTM_15WEOVMGMQZ</v>
      </c>
      <c r="Q1607" s="6" t="str">
        <f ca="1">IFERROR(__xludf.DUMMYFUNCTION("""COMPUTED_VALUE"""),"Reference by Taheer")</f>
        <v>Reference by Taheer</v>
      </c>
      <c r="R1607" s="6" t="str">
        <f ca="1">IFERROR(__xludf.DUMMYFUNCTION("""COMPUTED_VALUE"""),"Pending")</f>
        <v>Pending</v>
      </c>
      <c r="S1607" s="6" t="str">
        <f ca="1">IFERROR(__xludf.DUMMYFUNCTION("""COMPUTED_VALUE"""),"Category")</f>
        <v>Category</v>
      </c>
      <c r="T1607" s="6"/>
      <c r="U1607" s="6"/>
      <c r="V1607" s="6"/>
      <c r="W1607" s="6"/>
      <c r="X1607" s="6"/>
      <c r="Y1607" s="6"/>
      <c r="Z1607" s="6"/>
      <c r="AA1607" s="6"/>
      <c r="AB1607" s="6"/>
      <c r="AC1607" s="6"/>
      <c r="AD1607" s="6"/>
      <c r="AE1607" s="6"/>
      <c r="AF1607" s="6"/>
      <c r="AG1607" s="6"/>
      <c r="AH1607" s="6"/>
      <c r="AI1607" s="6"/>
      <c r="AJ1607" s="6"/>
      <c r="AK1607" s="6"/>
      <c r="AL1607" s="6"/>
    </row>
    <row r="1608" spans="1:38">
      <c r="A1608" s="96">
        <f ca="1">IFERROR(__xludf.DUMMYFUNCTION("""COMPUTED_VALUE"""),44999)</f>
        <v>44999</v>
      </c>
      <c r="B1608" s="6" t="str">
        <f ca="1">IFERROR(__xludf.DUMMYFUNCTION("""COMPUTED_VALUE"""),"Nitin Jain")</f>
        <v>Nitin Jain</v>
      </c>
      <c r="C1608" s="6" t="str">
        <f ca="1">IFERROR(__xludf.DUMMYFUNCTION("""COMPUTED_VALUE"""),"nitin2402051@gmail.com")</f>
        <v>nitin2402051@gmail.com</v>
      </c>
      <c r="D1608" s="6">
        <f ca="1">IFERROR(__xludf.DUMMYFUNCTION("""COMPUTED_VALUE"""),9811959472)</f>
        <v>9811959472</v>
      </c>
      <c r="E1608" s="6" t="str">
        <f ca="1">IFERROR(__xludf.DUMMYFUNCTION("""COMPUTED_VALUE"""),"Tollfree")</f>
        <v>Tollfree</v>
      </c>
      <c r="F1608" s="6" t="str">
        <f ca="1">IFERROR(__xludf.DUMMYFUNCTION("""COMPUTED_VALUE"""),"PSM 2")</f>
        <v>PSM 2</v>
      </c>
      <c r="G1608" s="80">
        <f ca="1">IFERROR(__xludf.DUMMYFUNCTION("""COMPUTED_VALUE"""),44986)</f>
        <v>44986</v>
      </c>
      <c r="H1608" s="6" t="str">
        <f ca="1">IFERROR(__xludf.DUMMYFUNCTION("""COMPUTED_VALUE"""),"Won")</f>
        <v>Won</v>
      </c>
      <c r="I1608" s="6" t="str">
        <f ca="1">IFERROR(__xludf.DUMMYFUNCTION("""COMPUTED_VALUE"""),"25-26 March 2023")</f>
        <v>25-26 March 2023</v>
      </c>
      <c r="J1608" s="6">
        <f ca="1">IFERROR(__xludf.DUMMYFUNCTION("""COMPUTED_VALUE"""),1)</f>
        <v>1</v>
      </c>
      <c r="K1608" s="8">
        <f ca="1">IFERROR(__xludf.DUMMYFUNCTION("""COMPUTED_VALUE"""),24000)</f>
        <v>24000</v>
      </c>
      <c r="L1608" s="8">
        <f ca="1">IFERROR(__xludf.DUMMYFUNCTION("""COMPUTED_VALUE"""),274.851122308749)</f>
        <v>274.85112230874898</v>
      </c>
      <c r="M1608" s="96">
        <f ca="1">IFERROR(__xludf.DUMMYFUNCTION("""COMPUTED_VALUE"""),44999)</f>
        <v>44999</v>
      </c>
      <c r="N1608" s="6" t="str">
        <f ca="1">IFERROR(__xludf.DUMMYFUNCTION("""COMPUTED_VALUE"""),"S10")</f>
        <v>S10</v>
      </c>
      <c r="O1608" s="97">
        <f ca="1">IFERROR(__xludf.DUMMYFUNCTION("""COMPUTED_VALUE"""),44999)</f>
        <v>44999</v>
      </c>
      <c r="P1608" s="6" t="str">
        <f ca="1">IFERROR(__xludf.DUMMYFUNCTION("""COMPUTED_VALUE"""),"CSTM_7WDWIT0B867")</f>
        <v>CSTM_7WDWIT0B867</v>
      </c>
      <c r="Q1608" s="6"/>
      <c r="R1608" s="6" t="str">
        <f ca="1">IFERROR(__xludf.DUMMYFUNCTION("""COMPUTED_VALUE"""),"Pending")</f>
        <v>Pending</v>
      </c>
      <c r="S1608" s="6" t="str">
        <f ca="1">IFERROR(__xludf.DUMMYFUNCTION("""COMPUTED_VALUE"""),"Category")</f>
        <v>Category</v>
      </c>
      <c r="T1608" s="6"/>
      <c r="U1608" s="6"/>
      <c r="V1608" s="6"/>
      <c r="W1608" s="6"/>
      <c r="X1608" s="6"/>
      <c r="Y1608" s="6"/>
      <c r="Z1608" s="6"/>
      <c r="AA1608" s="6"/>
      <c r="AB1608" s="6"/>
      <c r="AC1608" s="6"/>
      <c r="AD1608" s="6"/>
      <c r="AE1608" s="6"/>
      <c r="AF1608" s="6"/>
      <c r="AG1608" s="6"/>
      <c r="AH1608" s="6"/>
      <c r="AI1608" s="6"/>
      <c r="AJ1608" s="6"/>
      <c r="AK1608" s="6"/>
      <c r="AL1608" s="6"/>
    </row>
    <row r="1609" spans="1:38">
      <c r="A1609" s="96">
        <f ca="1">IFERROR(__xludf.DUMMYFUNCTION("""COMPUTED_VALUE"""),44999)</f>
        <v>44999</v>
      </c>
      <c r="B1609" s="6" t="str">
        <f ca="1">IFERROR(__xludf.DUMMYFUNCTION("""COMPUTED_VALUE"""),"Gaurav Patnaik")</f>
        <v>Gaurav Patnaik</v>
      </c>
      <c r="C1609" s="6" t="str">
        <f ca="1">IFERROR(__xludf.DUMMYFUNCTION("""COMPUTED_VALUE"""),"gauravpatnaikcatoronto@gmail.com")</f>
        <v>gauravpatnaikcatoronto@gmail.com</v>
      </c>
      <c r="D1609" s="6">
        <f ca="1">IFERROR(__xludf.DUMMYFUNCTION("""COMPUTED_VALUE"""),9019799129)</f>
        <v>9019799129</v>
      </c>
      <c r="E1609" s="6" t="str">
        <f ca="1">IFERROR(__xludf.DUMMYFUNCTION("""COMPUTED_VALUE"""),"Reference")</f>
        <v>Reference</v>
      </c>
      <c r="F1609" s="6" t="str">
        <f ca="1">IFERROR(__xludf.DUMMYFUNCTION("""COMPUTED_VALUE"""),"PSPO")</f>
        <v>PSPO</v>
      </c>
      <c r="G1609" s="80">
        <f ca="1">IFERROR(__xludf.DUMMYFUNCTION("""COMPUTED_VALUE"""),44986)</f>
        <v>44986</v>
      </c>
      <c r="H1609" s="6" t="str">
        <f ca="1">IFERROR(__xludf.DUMMYFUNCTION("""COMPUTED_VALUE"""),"Won")</f>
        <v>Won</v>
      </c>
      <c r="I1609" s="6" t="str">
        <f ca="1">IFERROR(__xludf.DUMMYFUNCTION("""COMPUTED_VALUE"""),"18-19 March 2023")</f>
        <v>18-19 March 2023</v>
      </c>
      <c r="J1609" s="6">
        <f ca="1">IFERROR(__xludf.DUMMYFUNCTION("""COMPUTED_VALUE"""),1)</f>
        <v>1</v>
      </c>
      <c r="K1609" s="8">
        <f ca="1">IFERROR(__xludf.DUMMYFUNCTION("""COMPUTED_VALUE"""),21000)</f>
        <v>21000</v>
      </c>
      <c r="L1609" s="8">
        <f ca="1">IFERROR(__xludf.DUMMYFUNCTION("""COMPUTED_VALUE"""),240.494732020155)</f>
        <v>240.494732020155</v>
      </c>
      <c r="M1609" s="96">
        <f ca="1">IFERROR(__xludf.DUMMYFUNCTION("""COMPUTED_VALUE"""),44999)</f>
        <v>44999</v>
      </c>
      <c r="N1609" s="6" t="str">
        <f ca="1">IFERROR(__xludf.DUMMYFUNCTION("""COMPUTED_VALUE"""),"S10")</f>
        <v>S10</v>
      </c>
      <c r="O1609" s="97">
        <f ca="1">IFERROR(__xludf.DUMMYFUNCTION("""COMPUTED_VALUE"""),44999)</f>
        <v>44999</v>
      </c>
      <c r="P1609" s="6" t="str">
        <f ca="1">IFERROR(__xludf.DUMMYFUNCTION("""COMPUTED_VALUE"""),"CSTM_NLQP6ZXIG2")</f>
        <v>CSTM_NLQP6ZXIG2</v>
      </c>
      <c r="Q1609" s="6" t="str">
        <f ca="1">IFERROR(__xludf.DUMMYFUNCTION("""COMPUTED_VALUE"""),"Reference by amrita.jena91@gmail.com")</f>
        <v>Reference by amrita.jena91@gmail.com</v>
      </c>
      <c r="R1609" s="6" t="str">
        <f ca="1">IFERROR(__xludf.DUMMYFUNCTION("""COMPUTED_VALUE"""),"Pending")</f>
        <v>Pending</v>
      </c>
      <c r="S1609" s="6" t="str">
        <f ca="1">IFERROR(__xludf.DUMMYFUNCTION("""COMPUTED_VALUE"""),"Category")</f>
        <v>Category</v>
      </c>
      <c r="T1609" s="6"/>
      <c r="U1609" s="6"/>
      <c r="V1609" s="6"/>
      <c r="W1609" s="6"/>
      <c r="X1609" s="6"/>
      <c r="Y1609" s="6"/>
      <c r="Z1609" s="6"/>
      <c r="AA1609" s="6"/>
      <c r="AB1609" s="6"/>
      <c r="AC1609" s="6"/>
      <c r="AD1609" s="6"/>
      <c r="AE1609" s="6"/>
      <c r="AF1609" s="6"/>
      <c r="AG1609" s="6"/>
      <c r="AH1609" s="6"/>
      <c r="AI1609" s="6"/>
      <c r="AJ1609" s="6"/>
      <c r="AK1609" s="6"/>
      <c r="AL1609" s="6"/>
    </row>
    <row r="1610" spans="1:38">
      <c r="A1610" s="96">
        <f ca="1">IFERROR(__xludf.DUMMYFUNCTION("""COMPUTED_VALUE"""),44999)</f>
        <v>44999</v>
      </c>
      <c r="B1610" s="6" t="str">
        <f ca="1">IFERROR(__xludf.DUMMYFUNCTION("""COMPUTED_VALUE"""),"Amrita Jena")</f>
        <v>Amrita Jena</v>
      </c>
      <c r="C1610" s="6" t="str">
        <f ca="1">IFERROR(__xludf.DUMMYFUNCTION("""COMPUTED_VALUE"""),"amrita.jena91@gmail.com")</f>
        <v>amrita.jena91@gmail.com</v>
      </c>
      <c r="D1610" s="6">
        <f ca="1">IFERROR(__xludf.DUMMYFUNCTION("""COMPUTED_VALUE"""),9654430058)</f>
        <v>9654430058</v>
      </c>
      <c r="E1610" s="6" t="str">
        <f ca="1">IFERROR(__xludf.DUMMYFUNCTION("""COMPUTED_VALUE"""),"Tollfree")</f>
        <v>Tollfree</v>
      </c>
      <c r="F1610" s="6" t="str">
        <f ca="1">IFERROR(__xludf.DUMMYFUNCTION("""COMPUTED_VALUE"""),"PSPO")</f>
        <v>PSPO</v>
      </c>
      <c r="G1610" s="80">
        <f ca="1">IFERROR(__xludf.DUMMYFUNCTION("""COMPUTED_VALUE"""),44986)</f>
        <v>44986</v>
      </c>
      <c r="H1610" s="6" t="str">
        <f ca="1">IFERROR(__xludf.DUMMYFUNCTION("""COMPUTED_VALUE"""),"Won")</f>
        <v>Won</v>
      </c>
      <c r="I1610" s="6" t="str">
        <f ca="1">IFERROR(__xludf.DUMMYFUNCTION("""COMPUTED_VALUE"""),"18-19 March 2023")</f>
        <v>18-19 March 2023</v>
      </c>
      <c r="J1610" s="6">
        <f ca="1">IFERROR(__xludf.DUMMYFUNCTION("""COMPUTED_VALUE"""),1)</f>
        <v>1</v>
      </c>
      <c r="K1610" s="8">
        <f ca="1">IFERROR(__xludf.DUMMYFUNCTION("""COMPUTED_VALUE"""),21000)</f>
        <v>21000</v>
      </c>
      <c r="L1610" s="8">
        <f ca="1">IFERROR(__xludf.DUMMYFUNCTION("""COMPUTED_VALUE"""),240.494732020155)</f>
        <v>240.494732020155</v>
      </c>
      <c r="M1610" s="96">
        <f ca="1">IFERROR(__xludf.DUMMYFUNCTION("""COMPUTED_VALUE"""),44999)</f>
        <v>44999</v>
      </c>
      <c r="N1610" s="6" t="str">
        <f ca="1">IFERROR(__xludf.DUMMYFUNCTION("""COMPUTED_VALUE"""),"S10")</f>
        <v>S10</v>
      </c>
      <c r="O1610" s="97">
        <f ca="1">IFERROR(__xludf.DUMMYFUNCTION("""COMPUTED_VALUE"""),44999)</f>
        <v>44999</v>
      </c>
      <c r="P1610" s="6" t="str">
        <f ca="1">IFERROR(__xludf.DUMMYFUNCTION("""COMPUTED_VALUE"""),"CSTM_FOACQBQY13F")</f>
        <v>CSTM_FOACQBQY13F</v>
      </c>
      <c r="Q1610" s="6"/>
      <c r="R1610" s="6" t="str">
        <f ca="1">IFERROR(__xludf.DUMMYFUNCTION("""COMPUTED_VALUE"""),"Pending")</f>
        <v>Pending</v>
      </c>
      <c r="S1610" s="6" t="str">
        <f ca="1">IFERROR(__xludf.DUMMYFUNCTION("""COMPUTED_VALUE"""),"Category")</f>
        <v>Category</v>
      </c>
      <c r="T1610" s="6"/>
      <c r="U1610" s="6"/>
      <c r="V1610" s="6"/>
      <c r="W1610" s="6"/>
      <c r="X1610" s="6"/>
      <c r="Y1610" s="6"/>
      <c r="Z1610" s="6"/>
      <c r="AA1610" s="6"/>
      <c r="AB1610" s="6"/>
      <c r="AC1610" s="6"/>
      <c r="AD1610" s="6"/>
      <c r="AE1610" s="6"/>
      <c r="AF1610" s="6"/>
      <c r="AG1610" s="6"/>
      <c r="AH1610" s="6"/>
      <c r="AI1610" s="6"/>
      <c r="AJ1610" s="6"/>
      <c r="AK1610" s="6"/>
      <c r="AL1610" s="6"/>
    </row>
    <row r="1611" spans="1:38">
      <c r="A1611" s="96">
        <f ca="1">IFERROR(__xludf.DUMMYFUNCTION("""COMPUTED_VALUE"""),45001)</f>
        <v>45001</v>
      </c>
      <c r="B1611" s="6" t="str">
        <f ca="1">IFERROR(__xludf.DUMMYFUNCTION("""COMPUTED_VALUE"""),"Swati Chavan")</f>
        <v>Swati Chavan</v>
      </c>
      <c r="C1611" s="6" t="str">
        <f ca="1">IFERROR(__xludf.DUMMYFUNCTION("""COMPUTED_VALUE"""),"swat30@gmail.com")</f>
        <v>swat30@gmail.com</v>
      </c>
      <c r="D1611" s="6">
        <f ca="1">IFERROR(__xludf.DUMMYFUNCTION("""COMPUTED_VALUE"""),9892294475)</f>
        <v>9892294475</v>
      </c>
      <c r="E1611" s="6" t="str">
        <f ca="1">IFERROR(__xludf.DUMMYFUNCTION("""COMPUTED_VALUE"""),"Reference")</f>
        <v>Reference</v>
      </c>
      <c r="F1611" s="6" t="str">
        <f ca="1">IFERROR(__xludf.DUMMYFUNCTION("""COMPUTED_VALUE"""),"PSM 2")</f>
        <v>PSM 2</v>
      </c>
      <c r="G1611" s="80">
        <f ca="1">IFERROR(__xludf.DUMMYFUNCTION("""COMPUTED_VALUE"""),44986)</f>
        <v>44986</v>
      </c>
      <c r="H1611" s="6" t="str">
        <f ca="1">IFERROR(__xludf.DUMMYFUNCTION("""COMPUTED_VALUE"""),"Won")</f>
        <v>Won</v>
      </c>
      <c r="I1611" s="6" t="str">
        <f ca="1">IFERROR(__xludf.DUMMYFUNCTION("""COMPUTED_VALUE"""),"25-26 March 2023")</f>
        <v>25-26 March 2023</v>
      </c>
      <c r="J1611" s="6">
        <f ca="1">IFERROR(__xludf.DUMMYFUNCTION("""COMPUTED_VALUE"""),1)</f>
        <v>1</v>
      </c>
      <c r="K1611" s="8">
        <f ca="1">IFERROR(__xludf.DUMMYFUNCTION("""COMPUTED_VALUE"""),24000)</f>
        <v>24000</v>
      </c>
      <c r="L1611" s="8">
        <f ca="1">IFERROR(__xludf.DUMMYFUNCTION("""COMPUTED_VALUE"""),274.851122308749)</f>
        <v>274.85112230874898</v>
      </c>
      <c r="M1611" s="96">
        <f ca="1">IFERROR(__xludf.DUMMYFUNCTION("""COMPUTED_VALUE"""),45001)</f>
        <v>45001</v>
      </c>
      <c r="N1611" s="6" t="str">
        <f ca="1">IFERROR(__xludf.DUMMYFUNCTION("""COMPUTED_VALUE"""),"S10")</f>
        <v>S10</v>
      </c>
      <c r="O1611" s="97">
        <f ca="1">IFERROR(__xludf.DUMMYFUNCTION("""COMPUTED_VALUE"""),45001)</f>
        <v>45001</v>
      </c>
      <c r="P1611" s="6" t="str">
        <f ca="1">IFERROR(__xludf.DUMMYFUNCTION("""COMPUTED_VALUE"""),"CSTM_4GPUQHFXH6K")</f>
        <v>CSTM_4GPUQHFXH6K</v>
      </c>
      <c r="Q1611" s="6" t="str">
        <f ca="1">IFERROR(__xludf.DUMMYFUNCTION("""COMPUTED_VALUE"""),"Reference by amrapaliashoka@gmail.com - Someone else")</f>
        <v>Reference by amrapaliashoka@gmail.com - Someone else</v>
      </c>
      <c r="R1611" s="6" t="str">
        <f ca="1">IFERROR(__xludf.DUMMYFUNCTION("""COMPUTED_VALUE"""),"Pending")</f>
        <v>Pending</v>
      </c>
      <c r="S1611" s="6" t="str">
        <f ca="1">IFERROR(__xludf.DUMMYFUNCTION("""COMPUTED_VALUE"""),"Category")</f>
        <v>Category</v>
      </c>
      <c r="T1611" s="6"/>
      <c r="U1611" s="6"/>
      <c r="V1611" s="6"/>
      <c r="W1611" s="6"/>
      <c r="X1611" s="6"/>
      <c r="Y1611" s="6"/>
      <c r="Z1611" s="6"/>
      <c r="AA1611" s="6"/>
      <c r="AB1611" s="6"/>
      <c r="AC1611" s="6"/>
      <c r="AD1611" s="6"/>
      <c r="AE1611" s="6"/>
      <c r="AF1611" s="6"/>
      <c r="AG1611" s="6"/>
      <c r="AH1611" s="6"/>
      <c r="AI1611" s="6"/>
      <c r="AJ1611" s="6"/>
      <c r="AK1611" s="6"/>
      <c r="AL1611" s="6"/>
    </row>
    <row r="1612" spans="1:38">
      <c r="A1612" s="96">
        <f ca="1">IFERROR(__xludf.DUMMYFUNCTION("""COMPUTED_VALUE"""),45001)</f>
        <v>45001</v>
      </c>
      <c r="B1612" s="6" t="str">
        <f ca="1">IFERROR(__xludf.DUMMYFUNCTION("""COMPUTED_VALUE"""),"Snehal Kulkarni")</f>
        <v>Snehal Kulkarni</v>
      </c>
      <c r="C1612" s="6" t="str">
        <f ca="1">IFERROR(__xludf.DUMMYFUNCTION("""COMPUTED_VALUE"""),"snehal.kpit@gmail.com")</f>
        <v>snehal.kpit@gmail.com</v>
      </c>
      <c r="D1612" s="6">
        <f ca="1">IFERROR(__xludf.DUMMYFUNCTION("""COMPUTED_VALUE"""),9860460848)</f>
        <v>9860460848</v>
      </c>
      <c r="E1612" s="6" t="str">
        <f ca="1">IFERROR(__xludf.DUMMYFUNCTION("""COMPUTED_VALUE"""),"Reference")</f>
        <v>Reference</v>
      </c>
      <c r="F1612" s="6" t="str">
        <f ca="1">IFERROR(__xludf.DUMMYFUNCTION("""COMPUTED_VALUE"""),"PSM")</f>
        <v>PSM</v>
      </c>
      <c r="G1612" s="80">
        <f ca="1">IFERROR(__xludf.DUMMYFUNCTION("""COMPUTED_VALUE"""),44986)</f>
        <v>44986</v>
      </c>
      <c r="H1612" s="6" t="str">
        <f ca="1">IFERROR(__xludf.DUMMYFUNCTION("""COMPUTED_VALUE"""),"Won")</f>
        <v>Won</v>
      </c>
      <c r="I1612" s="6" t="str">
        <f ca="1">IFERROR(__xludf.DUMMYFUNCTION("""COMPUTED_VALUE"""),"18-19 March 2023")</f>
        <v>18-19 March 2023</v>
      </c>
      <c r="J1612" s="6">
        <f ca="1">IFERROR(__xludf.DUMMYFUNCTION("""COMPUTED_VALUE"""),1)</f>
        <v>1</v>
      </c>
      <c r="K1612" s="8">
        <f ca="1">IFERROR(__xludf.DUMMYFUNCTION("""COMPUTED_VALUE"""),21000)</f>
        <v>21000</v>
      </c>
      <c r="L1612" s="8">
        <f ca="1">IFERROR(__xludf.DUMMYFUNCTION("""COMPUTED_VALUE"""),240.494732020155)</f>
        <v>240.494732020155</v>
      </c>
      <c r="M1612" s="96">
        <f ca="1">IFERROR(__xludf.DUMMYFUNCTION("""COMPUTED_VALUE"""),45001)</f>
        <v>45001</v>
      </c>
      <c r="N1612" s="6" t="str">
        <f ca="1">IFERROR(__xludf.DUMMYFUNCTION("""COMPUTED_VALUE"""),"S10")</f>
        <v>S10</v>
      </c>
      <c r="O1612" s="97">
        <f ca="1">IFERROR(__xludf.DUMMYFUNCTION("""COMPUTED_VALUE"""),45001)</f>
        <v>45001</v>
      </c>
      <c r="P1612" s="6" t="str">
        <f ca="1">IFERROR(__xludf.DUMMYFUNCTION("""COMPUTED_VALUE"""),"CSTM_6K4F8D19AIM")</f>
        <v>CSTM_6K4F8D19AIM</v>
      </c>
      <c r="Q1612" s="6" t="str">
        <f ca="1">IFERROR(__xludf.DUMMYFUNCTION("""COMPUTED_VALUE"""),"Reference by amrapaliashoka@gmail.com")</f>
        <v>Reference by amrapaliashoka@gmail.com</v>
      </c>
      <c r="R1612" s="6" t="str">
        <f ca="1">IFERROR(__xludf.DUMMYFUNCTION("""COMPUTED_VALUE"""),"Pending")</f>
        <v>Pending</v>
      </c>
      <c r="S1612" s="6" t="str">
        <f ca="1">IFERROR(__xludf.DUMMYFUNCTION("""COMPUTED_VALUE"""),"Category")</f>
        <v>Category</v>
      </c>
      <c r="T1612" s="6"/>
      <c r="U1612" s="6"/>
      <c r="V1612" s="6"/>
      <c r="W1612" s="6"/>
      <c r="X1612" s="6"/>
      <c r="Y1612" s="6"/>
      <c r="Z1612" s="6"/>
      <c r="AA1612" s="6"/>
      <c r="AB1612" s="6"/>
      <c r="AC1612" s="6"/>
      <c r="AD1612" s="6"/>
      <c r="AE1612" s="6"/>
      <c r="AF1612" s="6"/>
      <c r="AG1612" s="6"/>
      <c r="AH1612" s="6"/>
      <c r="AI1612" s="6"/>
      <c r="AJ1612" s="6"/>
      <c r="AK1612" s="6"/>
      <c r="AL1612" s="6"/>
    </row>
    <row r="1613" spans="1:38">
      <c r="A1613" s="96">
        <f ca="1">IFERROR(__xludf.DUMMYFUNCTION("""COMPUTED_VALUE"""),45001)</f>
        <v>45001</v>
      </c>
      <c r="B1613" s="6" t="str">
        <f ca="1">IFERROR(__xludf.DUMMYFUNCTION("""COMPUTED_VALUE"""),"Kunal")</f>
        <v>Kunal</v>
      </c>
      <c r="C1613" s="6" t="str">
        <f ca="1">IFERROR(__xludf.DUMMYFUNCTION("""COMPUTED_VALUE"""),"kunals82@gmail.com")</f>
        <v>kunals82@gmail.com</v>
      </c>
      <c r="D1613" s="6">
        <f ca="1">IFERROR(__xludf.DUMMYFUNCTION("""COMPUTED_VALUE"""),9881722701)</f>
        <v>9881722701</v>
      </c>
      <c r="E1613" s="6" t="str">
        <f ca="1">IFERROR(__xludf.DUMMYFUNCTION("""COMPUTED_VALUE"""),"Existing Account")</f>
        <v>Existing Account</v>
      </c>
      <c r="F1613" s="6" t="str">
        <f ca="1">IFERROR(__xludf.DUMMYFUNCTION("""COMPUTED_VALUE"""),"PSPO")</f>
        <v>PSPO</v>
      </c>
      <c r="G1613" s="80">
        <f ca="1">IFERROR(__xludf.DUMMYFUNCTION("""COMPUTED_VALUE"""),44986)</f>
        <v>44986</v>
      </c>
      <c r="H1613" s="6" t="str">
        <f ca="1">IFERROR(__xludf.DUMMYFUNCTION("""COMPUTED_VALUE"""),"Won")</f>
        <v>Won</v>
      </c>
      <c r="I1613" s="6" t="str">
        <f ca="1">IFERROR(__xludf.DUMMYFUNCTION("""COMPUTED_VALUE"""),"18-19 March 2023")</f>
        <v>18-19 March 2023</v>
      </c>
      <c r="J1613" s="6">
        <f ca="1">IFERROR(__xludf.DUMMYFUNCTION("""COMPUTED_VALUE"""),1)</f>
        <v>1</v>
      </c>
      <c r="K1613" s="8">
        <f ca="1">IFERROR(__xludf.DUMMYFUNCTION("""COMPUTED_VALUE"""),21000)</f>
        <v>21000</v>
      </c>
      <c r="L1613" s="8">
        <f ca="1">IFERROR(__xludf.DUMMYFUNCTION("""COMPUTED_VALUE"""),240.494732020155)</f>
        <v>240.494732020155</v>
      </c>
      <c r="M1613" s="96">
        <f ca="1">IFERROR(__xludf.DUMMYFUNCTION("""COMPUTED_VALUE"""),45001)</f>
        <v>45001</v>
      </c>
      <c r="N1613" s="6" t="str">
        <f ca="1">IFERROR(__xludf.DUMMYFUNCTION("""COMPUTED_VALUE"""),"S10")</f>
        <v>S10</v>
      </c>
      <c r="O1613" s="97">
        <f ca="1">IFERROR(__xludf.DUMMYFUNCTION("""COMPUTED_VALUE"""),45001)</f>
        <v>45001</v>
      </c>
      <c r="P1613" s="6" t="str">
        <f ca="1">IFERROR(__xludf.DUMMYFUNCTION("""COMPUTED_VALUE"""),"CSTM_BL98HHXG2A3")</f>
        <v>CSTM_BL98HHXG2A3</v>
      </c>
      <c r="Q1613" s="6"/>
      <c r="R1613" s="6" t="str">
        <f ca="1">IFERROR(__xludf.DUMMYFUNCTION("""COMPUTED_VALUE"""),"Pending")</f>
        <v>Pending</v>
      </c>
      <c r="S1613" s="6" t="str">
        <f ca="1">IFERROR(__xludf.DUMMYFUNCTION("""COMPUTED_VALUE"""),"Category")</f>
        <v>Category</v>
      </c>
      <c r="T1613" s="6"/>
      <c r="U1613" s="6"/>
      <c r="V1613" s="6"/>
      <c r="W1613" s="6"/>
      <c r="X1613" s="6"/>
      <c r="Y1613" s="6"/>
      <c r="Z1613" s="6"/>
      <c r="AA1613" s="6"/>
      <c r="AB1613" s="6"/>
      <c r="AC1613" s="6"/>
      <c r="AD1613" s="6"/>
      <c r="AE1613" s="6"/>
      <c r="AF1613" s="6"/>
      <c r="AG1613" s="6"/>
      <c r="AH1613" s="6"/>
      <c r="AI1613" s="6"/>
      <c r="AJ1613" s="6"/>
      <c r="AK1613" s="6"/>
      <c r="AL1613" s="6"/>
    </row>
    <row r="1614" spans="1:38">
      <c r="A1614" s="96">
        <f ca="1">IFERROR(__xludf.DUMMYFUNCTION("""COMPUTED_VALUE"""),45001)</f>
        <v>45001</v>
      </c>
      <c r="B1614" s="6" t="str">
        <f ca="1">IFERROR(__xludf.DUMMYFUNCTION("""COMPUTED_VALUE"""),"Waseem Akhtar")</f>
        <v>Waseem Akhtar</v>
      </c>
      <c r="C1614" s="6" t="str">
        <f ca="1">IFERROR(__xludf.DUMMYFUNCTION("""COMPUTED_VALUE"""),"akhtar.waseem4@gmail.com")</f>
        <v>akhtar.waseem4@gmail.com</v>
      </c>
      <c r="D1614" s="6">
        <f ca="1">IFERROR(__xludf.DUMMYFUNCTION("""COMPUTED_VALUE"""),9958002904)</f>
        <v>9958002904</v>
      </c>
      <c r="E1614" s="6" t="str">
        <f ca="1">IFERROR(__xludf.DUMMYFUNCTION("""COMPUTED_VALUE"""),"Existing Account")</f>
        <v>Existing Account</v>
      </c>
      <c r="F1614" s="6" t="str">
        <f ca="1">IFERROR(__xludf.DUMMYFUNCTION("""COMPUTED_VALUE"""),"PSPO")</f>
        <v>PSPO</v>
      </c>
      <c r="G1614" s="80">
        <f ca="1">IFERROR(__xludf.DUMMYFUNCTION("""COMPUTED_VALUE"""),44986)</f>
        <v>44986</v>
      </c>
      <c r="H1614" s="6" t="str">
        <f ca="1">IFERROR(__xludf.DUMMYFUNCTION("""COMPUTED_VALUE"""),"Won")</f>
        <v>Won</v>
      </c>
      <c r="I1614" s="6" t="str">
        <f ca="1">IFERROR(__xludf.DUMMYFUNCTION("""COMPUTED_VALUE"""),"18-19 March 2023")</f>
        <v>18-19 March 2023</v>
      </c>
      <c r="J1614" s="6">
        <f ca="1">IFERROR(__xludf.DUMMYFUNCTION("""COMPUTED_VALUE"""),1)</f>
        <v>1</v>
      </c>
      <c r="K1614" s="8">
        <f ca="1">IFERROR(__xludf.DUMMYFUNCTION("""COMPUTED_VALUE"""),21000)</f>
        <v>21000</v>
      </c>
      <c r="L1614" s="8">
        <f ca="1">IFERROR(__xludf.DUMMYFUNCTION("""COMPUTED_VALUE"""),240.494732020155)</f>
        <v>240.494732020155</v>
      </c>
      <c r="M1614" s="96">
        <f ca="1">IFERROR(__xludf.DUMMYFUNCTION("""COMPUTED_VALUE"""),45001)</f>
        <v>45001</v>
      </c>
      <c r="N1614" s="6" t="str">
        <f ca="1">IFERROR(__xludf.DUMMYFUNCTION("""COMPUTED_VALUE"""),"S10")</f>
        <v>S10</v>
      </c>
      <c r="O1614" s="97">
        <f ca="1">IFERROR(__xludf.DUMMYFUNCTION("""COMPUTED_VALUE"""),45001)</f>
        <v>45001</v>
      </c>
      <c r="P1614" s="6" t="str">
        <f ca="1">IFERROR(__xludf.DUMMYFUNCTION("""COMPUTED_VALUE"""),"CSTM_F6DBRHBB6GO")</f>
        <v>CSTM_F6DBRHBB6GO</v>
      </c>
      <c r="Q1614" s="6"/>
      <c r="R1614" s="6" t="str">
        <f ca="1">IFERROR(__xludf.DUMMYFUNCTION("""COMPUTED_VALUE"""),"Pending")</f>
        <v>Pending</v>
      </c>
      <c r="S1614" s="6" t="str">
        <f ca="1">IFERROR(__xludf.DUMMYFUNCTION("""COMPUTED_VALUE"""),"Category")</f>
        <v>Category</v>
      </c>
      <c r="T1614" s="6"/>
      <c r="U1614" s="6"/>
      <c r="V1614" s="6"/>
      <c r="W1614" s="6"/>
      <c r="X1614" s="6"/>
      <c r="Y1614" s="6"/>
      <c r="Z1614" s="6"/>
      <c r="AA1614" s="6"/>
      <c r="AB1614" s="6"/>
      <c r="AC1614" s="6"/>
      <c r="AD1614" s="6"/>
      <c r="AE1614" s="6"/>
      <c r="AF1614" s="6"/>
      <c r="AG1614" s="6"/>
      <c r="AH1614" s="6"/>
      <c r="AI1614" s="6"/>
      <c r="AJ1614" s="6"/>
      <c r="AK1614" s="6"/>
      <c r="AL1614" s="6"/>
    </row>
    <row r="1615" spans="1:38">
      <c r="A1615" s="96">
        <f ca="1">IFERROR(__xludf.DUMMYFUNCTION("""COMPUTED_VALUE"""),45001)</f>
        <v>45001</v>
      </c>
      <c r="B1615" s="6" t="str">
        <f ca="1">IFERROR(__xludf.DUMMYFUNCTION("""COMPUTED_VALUE"""),"Tripti Jadli")</f>
        <v>Tripti Jadli</v>
      </c>
      <c r="C1615" s="6" t="str">
        <f ca="1">IFERROR(__xludf.DUMMYFUNCTION("""COMPUTED_VALUE"""),"triptijadli91@gmail.com")</f>
        <v>triptijadli91@gmail.com</v>
      </c>
      <c r="D1615" s="6">
        <f ca="1">IFERROR(__xludf.DUMMYFUNCTION("""COMPUTED_VALUE"""),9873482884)</f>
        <v>9873482884</v>
      </c>
      <c r="E1615" s="6" t="str">
        <f ca="1">IFERROR(__xludf.DUMMYFUNCTION("""COMPUTED_VALUE"""),"Existing Account")</f>
        <v>Existing Account</v>
      </c>
      <c r="F1615" s="6" t="str">
        <f ca="1">IFERROR(__xludf.DUMMYFUNCTION("""COMPUTED_VALUE"""),"PMP")</f>
        <v>PMP</v>
      </c>
      <c r="G1615" s="80">
        <f ca="1">IFERROR(__xludf.DUMMYFUNCTION("""COMPUTED_VALUE"""),44986)</f>
        <v>44986</v>
      </c>
      <c r="H1615" s="6" t="str">
        <f ca="1">IFERROR(__xludf.DUMMYFUNCTION("""COMPUTED_VALUE"""),"Won")</f>
        <v>Won</v>
      </c>
      <c r="I1615" s="6" t="str">
        <f ca="1">IFERROR(__xludf.DUMMYFUNCTION("""COMPUTED_VALUE"""),"20 March 2023")</f>
        <v>20 March 2023</v>
      </c>
      <c r="J1615" s="6">
        <f ca="1">IFERROR(__xludf.DUMMYFUNCTION("""COMPUTED_VALUE"""),1)</f>
        <v>1</v>
      </c>
      <c r="K1615" s="8">
        <f ca="1">IFERROR(__xludf.DUMMYFUNCTION("""COMPUTED_VALUE"""),45000)</f>
        <v>45000</v>
      </c>
      <c r="L1615" s="8">
        <f ca="1">IFERROR(__xludf.DUMMYFUNCTION("""COMPUTED_VALUE"""),515.345854328905)</f>
        <v>515.34585432890503</v>
      </c>
      <c r="M1615" s="96">
        <f ca="1">IFERROR(__xludf.DUMMYFUNCTION("""COMPUTED_VALUE"""),45001)</f>
        <v>45001</v>
      </c>
      <c r="N1615" s="6" t="str">
        <f ca="1">IFERROR(__xludf.DUMMYFUNCTION("""COMPUTED_VALUE"""),"S10")</f>
        <v>S10</v>
      </c>
      <c r="O1615" s="97">
        <f ca="1">IFERROR(__xludf.DUMMYFUNCTION("""COMPUTED_VALUE"""),45001)</f>
        <v>45001</v>
      </c>
      <c r="P1615" s="6" t="str">
        <f ca="1">IFERROR(__xludf.DUMMYFUNCTION("""COMPUTED_VALUE"""),"CSTM_33XNYTNE9TX")</f>
        <v>CSTM_33XNYTNE9TX</v>
      </c>
      <c r="Q1615" s="6"/>
      <c r="R1615" s="6" t="str">
        <f ca="1">IFERROR(__xludf.DUMMYFUNCTION("""COMPUTED_VALUE"""),"Pending")</f>
        <v>Pending</v>
      </c>
      <c r="S1615" s="6" t="str">
        <f ca="1">IFERROR(__xludf.DUMMYFUNCTION("""COMPUTED_VALUE"""),"NonCategory")</f>
        <v>NonCategory</v>
      </c>
      <c r="T1615" s="6"/>
      <c r="U1615" s="6"/>
      <c r="V1615" s="6"/>
      <c r="W1615" s="6"/>
      <c r="X1615" s="6"/>
      <c r="Y1615" s="6"/>
      <c r="Z1615" s="6"/>
      <c r="AA1615" s="6"/>
      <c r="AB1615" s="6"/>
      <c r="AC1615" s="6"/>
      <c r="AD1615" s="6"/>
      <c r="AE1615" s="6"/>
      <c r="AF1615" s="6"/>
      <c r="AG1615" s="6"/>
      <c r="AH1615" s="6"/>
      <c r="AI1615" s="6"/>
      <c r="AJ1615" s="6"/>
      <c r="AK1615" s="6"/>
      <c r="AL1615" s="6"/>
    </row>
    <row r="1616" spans="1:38">
      <c r="A1616" s="96">
        <f ca="1">IFERROR(__xludf.DUMMYFUNCTION("""COMPUTED_VALUE"""),45001)</f>
        <v>45001</v>
      </c>
      <c r="B1616" s="6" t="str">
        <f ca="1">IFERROR(__xludf.DUMMYFUNCTION("""COMPUTED_VALUE"""),"Ganga")</f>
        <v>Ganga</v>
      </c>
      <c r="C1616" s="6" t="str">
        <f ca="1">IFERROR(__xludf.DUMMYFUNCTION("""COMPUTED_VALUE"""),"gg2408k@gmail.com")</f>
        <v>gg2408k@gmail.com</v>
      </c>
      <c r="D1616" s="6">
        <f ca="1">IFERROR(__xludf.DUMMYFUNCTION("""COMPUTED_VALUE"""),9538949994)</f>
        <v>9538949994</v>
      </c>
      <c r="E1616" s="6" t="str">
        <f ca="1">IFERROR(__xludf.DUMMYFUNCTION("""COMPUTED_VALUE"""),"Reference")</f>
        <v>Reference</v>
      </c>
      <c r="F1616" s="6" t="str">
        <f ca="1">IFERROR(__xludf.DUMMYFUNCTION("""COMPUTED_VALUE"""),"PSPO")</f>
        <v>PSPO</v>
      </c>
      <c r="G1616" s="80">
        <f ca="1">IFERROR(__xludf.DUMMYFUNCTION("""COMPUTED_VALUE"""),44986)</f>
        <v>44986</v>
      </c>
      <c r="H1616" s="6" t="str">
        <f ca="1">IFERROR(__xludf.DUMMYFUNCTION("""COMPUTED_VALUE"""),"Won")</f>
        <v>Won</v>
      </c>
      <c r="I1616" s="6" t="str">
        <f ca="1">IFERROR(__xludf.DUMMYFUNCTION("""COMPUTED_VALUE"""),"18-19 March 2023")</f>
        <v>18-19 March 2023</v>
      </c>
      <c r="J1616" s="6">
        <f ca="1">IFERROR(__xludf.DUMMYFUNCTION("""COMPUTED_VALUE"""),1)</f>
        <v>1</v>
      </c>
      <c r="K1616" s="8">
        <f ca="1">IFERROR(__xludf.DUMMYFUNCTION("""COMPUTED_VALUE"""),21000)</f>
        <v>21000</v>
      </c>
      <c r="L1616" s="8">
        <f ca="1">IFERROR(__xludf.DUMMYFUNCTION("""COMPUTED_VALUE"""),240.494732020155)</f>
        <v>240.494732020155</v>
      </c>
      <c r="M1616" s="96">
        <f ca="1">IFERROR(__xludf.DUMMYFUNCTION("""COMPUTED_VALUE"""),45001)</f>
        <v>45001</v>
      </c>
      <c r="N1616" s="6" t="str">
        <f ca="1">IFERROR(__xludf.DUMMYFUNCTION("""COMPUTED_VALUE"""),"S10")</f>
        <v>S10</v>
      </c>
      <c r="O1616" s="97">
        <f ca="1">IFERROR(__xludf.DUMMYFUNCTION("""COMPUTED_VALUE"""),45001)</f>
        <v>45001</v>
      </c>
      <c r="P1616" s="6" t="str">
        <f ca="1">IFERROR(__xludf.DUMMYFUNCTION("""COMPUTED_VALUE"""),"CSTM_62ZUIG538UZ")</f>
        <v>CSTM_62ZUIG538UZ</v>
      </c>
      <c r="Q1616" s="6" t="str">
        <f ca="1">IFERROR(__xludf.DUMMYFUNCTION("""COMPUTED_VALUE"""),"Reference by t06adam25@gmail.com")</f>
        <v>Reference by t06adam25@gmail.com</v>
      </c>
      <c r="R1616" s="6" t="str">
        <f ca="1">IFERROR(__xludf.DUMMYFUNCTION("""COMPUTED_VALUE"""),"Pending")</f>
        <v>Pending</v>
      </c>
      <c r="S1616" s="6" t="str">
        <f ca="1">IFERROR(__xludf.DUMMYFUNCTION("""COMPUTED_VALUE"""),"Category")</f>
        <v>Category</v>
      </c>
      <c r="T1616" s="6"/>
      <c r="U1616" s="6"/>
      <c r="V1616" s="6"/>
      <c r="W1616" s="6"/>
      <c r="X1616" s="6"/>
      <c r="Y1616" s="6"/>
      <c r="Z1616" s="6"/>
      <c r="AA1616" s="6"/>
      <c r="AB1616" s="6"/>
      <c r="AC1616" s="6"/>
      <c r="AD1616" s="6"/>
      <c r="AE1616" s="6"/>
      <c r="AF1616" s="6"/>
      <c r="AG1616" s="6"/>
      <c r="AH1616" s="6"/>
      <c r="AI1616" s="6"/>
      <c r="AJ1616" s="6"/>
      <c r="AK1616" s="6"/>
      <c r="AL1616" s="6"/>
    </row>
    <row r="1617" spans="1:38">
      <c r="A1617" s="96">
        <f ca="1">IFERROR(__xludf.DUMMYFUNCTION("""COMPUTED_VALUE"""),45001)</f>
        <v>45001</v>
      </c>
      <c r="B1617" s="6" t="str">
        <f ca="1">IFERROR(__xludf.DUMMYFUNCTION("""COMPUTED_VALUE"""),"Sohrab Ahmad")</f>
        <v>Sohrab Ahmad</v>
      </c>
      <c r="C1617" s="6" t="str">
        <f ca="1">IFERROR(__xludf.DUMMYFUNCTION("""COMPUTED_VALUE"""),"sohrab.ahmad81@gmail.com")</f>
        <v>sohrab.ahmad81@gmail.com</v>
      </c>
      <c r="D1617" s="6">
        <f ca="1">IFERROR(__xludf.DUMMYFUNCTION("""COMPUTED_VALUE"""),9582104783)</f>
        <v>9582104783</v>
      </c>
      <c r="E1617" s="6" t="str">
        <f ca="1">IFERROR(__xludf.DUMMYFUNCTION("""COMPUTED_VALUE"""),"Query box")</f>
        <v>Query box</v>
      </c>
      <c r="F1617" s="6" t="str">
        <f ca="1">IFERROR(__xludf.DUMMYFUNCTION("""COMPUTED_VALUE"""),"CSM")</f>
        <v>CSM</v>
      </c>
      <c r="G1617" s="80">
        <f ca="1">IFERROR(__xludf.DUMMYFUNCTION("""COMPUTED_VALUE"""),44986)</f>
        <v>44986</v>
      </c>
      <c r="H1617" s="6" t="str">
        <f ca="1">IFERROR(__xludf.DUMMYFUNCTION("""COMPUTED_VALUE"""),"Won")</f>
        <v>Won</v>
      </c>
      <c r="I1617" s="6" t="str">
        <f ca="1">IFERROR(__xludf.DUMMYFUNCTION("""COMPUTED_VALUE"""),"25-26 March 2023")</f>
        <v>25-26 March 2023</v>
      </c>
      <c r="J1617" s="6">
        <f ca="1">IFERROR(__xludf.DUMMYFUNCTION("""COMPUTED_VALUE"""),1)</f>
        <v>1</v>
      </c>
      <c r="K1617" s="8">
        <f ca="1">IFERROR(__xludf.DUMMYFUNCTION("""COMPUTED_VALUE"""),20000)</f>
        <v>20000</v>
      </c>
      <c r="L1617" s="8">
        <f ca="1">IFERROR(__xludf.DUMMYFUNCTION("""COMPUTED_VALUE"""),229.042601923957)</f>
        <v>229.04260192395699</v>
      </c>
      <c r="M1617" s="96">
        <f ca="1">IFERROR(__xludf.DUMMYFUNCTION("""COMPUTED_VALUE"""),45001)</f>
        <v>45001</v>
      </c>
      <c r="N1617" s="6" t="str">
        <f ca="1">IFERROR(__xludf.DUMMYFUNCTION("""COMPUTED_VALUE"""),"S10")</f>
        <v>S10</v>
      </c>
      <c r="O1617" s="97">
        <f ca="1">IFERROR(__xludf.DUMMYFUNCTION("""COMPUTED_VALUE"""),45001)</f>
        <v>45001</v>
      </c>
      <c r="P1617" s="6" t="str">
        <f ca="1">IFERROR(__xludf.DUMMYFUNCTION("""COMPUTED_VALUE"""),"CSTM_VEQWJNHHVO")</f>
        <v>CSTM_VEQWJNHHVO</v>
      </c>
      <c r="Q1617" s="6"/>
      <c r="R1617" s="6" t="str">
        <f ca="1">IFERROR(__xludf.DUMMYFUNCTION("""COMPUTED_VALUE"""),"Pending")</f>
        <v>Pending</v>
      </c>
      <c r="S1617" s="6" t="str">
        <f ca="1">IFERROR(__xludf.DUMMYFUNCTION("""COMPUTED_VALUE"""),"Category")</f>
        <v>Category</v>
      </c>
      <c r="T1617" s="6"/>
      <c r="U1617" s="6"/>
      <c r="V1617" s="6"/>
      <c r="W1617" s="6"/>
      <c r="X1617" s="6"/>
      <c r="Y1617" s="6"/>
      <c r="Z1617" s="6"/>
      <c r="AA1617" s="6"/>
      <c r="AB1617" s="6"/>
      <c r="AC1617" s="6"/>
      <c r="AD1617" s="6"/>
      <c r="AE1617" s="6"/>
      <c r="AF1617" s="6"/>
      <c r="AG1617" s="6"/>
      <c r="AH1617" s="6"/>
      <c r="AI1617" s="6"/>
      <c r="AJ1617" s="6"/>
      <c r="AK1617" s="6"/>
      <c r="AL1617" s="6"/>
    </row>
    <row r="1618" spans="1:38">
      <c r="A1618" s="96">
        <f ca="1">IFERROR(__xludf.DUMMYFUNCTION("""COMPUTED_VALUE"""),45002)</f>
        <v>45002</v>
      </c>
      <c r="B1618" s="6" t="str">
        <f ca="1">IFERROR(__xludf.DUMMYFUNCTION("""COMPUTED_VALUE"""),"Snehal Tambe")</f>
        <v>Snehal Tambe</v>
      </c>
      <c r="C1618" s="6" t="str">
        <f ca="1">IFERROR(__xludf.DUMMYFUNCTION("""COMPUTED_VALUE"""),"snehal.m.tambe@gmail.com")</f>
        <v>snehal.m.tambe@gmail.com</v>
      </c>
      <c r="D1618" s="6">
        <f ca="1">IFERROR(__xludf.DUMMYFUNCTION("""COMPUTED_VALUE"""),9870896623)</f>
        <v>9870896623</v>
      </c>
      <c r="E1618" s="6" t="str">
        <f ca="1">IFERROR(__xludf.DUMMYFUNCTION("""COMPUTED_VALUE"""),"Reference")</f>
        <v>Reference</v>
      </c>
      <c r="F1618" s="6" t="str">
        <f ca="1">IFERROR(__xludf.DUMMYFUNCTION("""COMPUTED_VALUE"""),"CSM")</f>
        <v>CSM</v>
      </c>
      <c r="G1618" s="80">
        <f ca="1">IFERROR(__xludf.DUMMYFUNCTION("""COMPUTED_VALUE"""),44986)</f>
        <v>44986</v>
      </c>
      <c r="H1618" s="6" t="str">
        <f ca="1">IFERROR(__xludf.DUMMYFUNCTION("""COMPUTED_VALUE"""),"Won")</f>
        <v>Won</v>
      </c>
      <c r="I1618" s="6" t="str">
        <f ca="1">IFERROR(__xludf.DUMMYFUNCTION("""COMPUTED_VALUE"""),"18-19 March 2023")</f>
        <v>18-19 March 2023</v>
      </c>
      <c r="J1618" s="6">
        <f ca="1">IFERROR(__xludf.DUMMYFUNCTION("""COMPUTED_VALUE"""),1)</f>
        <v>1</v>
      </c>
      <c r="K1618" s="8">
        <f ca="1">IFERROR(__xludf.DUMMYFUNCTION("""COMPUTED_VALUE"""),20000)</f>
        <v>20000</v>
      </c>
      <c r="L1618" s="8">
        <f ca="1">IFERROR(__xludf.DUMMYFUNCTION("""COMPUTED_VALUE"""),229.042601923957)</f>
        <v>229.04260192395699</v>
      </c>
      <c r="M1618" s="96">
        <f ca="1">IFERROR(__xludf.DUMMYFUNCTION("""COMPUTED_VALUE"""),45002)</f>
        <v>45002</v>
      </c>
      <c r="N1618" s="6" t="str">
        <f ca="1">IFERROR(__xludf.DUMMYFUNCTION("""COMPUTED_VALUE"""),"S10")</f>
        <v>S10</v>
      </c>
      <c r="O1618" s="97">
        <f ca="1">IFERROR(__xludf.DUMMYFUNCTION("""COMPUTED_VALUE"""),45002)</f>
        <v>45002</v>
      </c>
      <c r="P1618" s="6" t="str">
        <f ca="1">IFERROR(__xludf.DUMMYFUNCTION("""COMPUTED_VALUE"""),"CSTM_FLLB29PRXCW")</f>
        <v>CSTM_FLLB29PRXCW</v>
      </c>
      <c r="Q1618" s="6" t="str">
        <f ca="1">IFERROR(__xludf.DUMMYFUNCTION("""COMPUTED_VALUE"""),"Reference by nid.sharma255@gmail.com")</f>
        <v>Reference by nid.sharma255@gmail.com</v>
      </c>
      <c r="R1618" s="6" t="str">
        <f ca="1">IFERROR(__xludf.DUMMYFUNCTION("""COMPUTED_VALUE"""),"Pending")</f>
        <v>Pending</v>
      </c>
      <c r="S1618" s="6" t="str">
        <f ca="1">IFERROR(__xludf.DUMMYFUNCTION("""COMPUTED_VALUE"""),"Category")</f>
        <v>Category</v>
      </c>
      <c r="T1618" s="6"/>
      <c r="U1618" s="6"/>
      <c r="V1618" s="6"/>
      <c r="W1618" s="6"/>
      <c r="X1618" s="6"/>
      <c r="Y1618" s="6"/>
      <c r="Z1618" s="6"/>
      <c r="AA1618" s="6"/>
      <c r="AB1618" s="6"/>
      <c r="AC1618" s="6"/>
      <c r="AD1618" s="6"/>
      <c r="AE1618" s="6"/>
      <c r="AF1618" s="6"/>
      <c r="AG1618" s="6"/>
      <c r="AH1618" s="6"/>
      <c r="AI1618" s="6"/>
      <c r="AJ1618" s="6"/>
      <c r="AK1618" s="6"/>
      <c r="AL1618" s="6"/>
    </row>
    <row r="1619" spans="1:38">
      <c r="A1619" s="96">
        <f ca="1">IFERROR(__xludf.DUMMYFUNCTION("""COMPUTED_VALUE"""),45003)</f>
        <v>45003</v>
      </c>
      <c r="B1619" s="6" t="str">
        <f ca="1">IFERROR(__xludf.DUMMYFUNCTION("""COMPUTED_VALUE"""),"Mrunmayee Deshpande")</f>
        <v>Mrunmayee Deshpande</v>
      </c>
      <c r="C1619" s="6" t="str">
        <f ca="1">IFERROR(__xludf.DUMMYFUNCTION("""COMPUTED_VALUE"""),"deshpande.mrunmayee@gmail.com")</f>
        <v>deshpande.mrunmayee@gmail.com</v>
      </c>
      <c r="D1619" s="6">
        <f ca="1">IFERROR(__xludf.DUMMYFUNCTION("""COMPUTED_VALUE"""),9096648946)</f>
        <v>9096648946</v>
      </c>
      <c r="E1619" s="6" t="str">
        <f ca="1">IFERROR(__xludf.DUMMYFUNCTION("""COMPUTED_VALUE"""),"Chat_triggered")</f>
        <v>Chat_triggered</v>
      </c>
      <c r="F1619" s="6" t="str">
        <f ca="1">IFERROR(__xludf.DUMMYFUNCTION("""COMPUTED_VALUE"""),"SAFe Agile")</f>
        <v>SAFe Agile</v>
      </c>
      <c r="G1619" s="80">
        <f ca="1">IFERROR(__xludf.DUMMYFUNCTION("""COMPUTED_VALUE"""),44986)</f>
        <v>44986</v>
      </c>
      <c r="H1619" s="6" t="str">
        <f ca="1">IFERROR(__xludf.DUMMYFUNCTION("""COMPUTED_VALUE"""),"Won")</f>
        <v>Won</v>
      </c>
      <c r="I1619" s="6" t="str">
        <f ca="1">IFERROR(__xludf.DUMMYFUNCTION("""COMPUTED_VALUE"""),"25-26 March 2023")</f>
        <v>25-26 March 2023</v>
      </c>
      <c r="J1619" s="6">
        <f ca="1">IFERROR(__xludf.DUMMYFUNCTION("""COMPUTED_VALUE"""),1)</f>
        <v>1</v>
      </c>
      <c r="K1619" s="8">
        <f ca="1">IFERROR(__xludf.DUMMYFUNCTION("""COMPUTED_VALUE"""),40061)</f>
        <v>40061</v>
      </c>
      <c r="L1619" s="8">
        <f ca="1">IFERROR(__xludf.DUMMYFUNCTION("""COMPUTED_VALUE"""),458.783783783783)</f>
        <v>458.78378378378301</v>
      </c>
      <c r="M1619" s="96">
        <f ca="1">IFERROR(__xludf.DUMMYFUNCTION("""COMPUTED_VALUE"""),45003)</f>
        <v>45003</v>
      </c>
      <c r="N1619" s="6" t="str">
        <f ca="1">IFERROR(__xludf.DUMMYFUNCTION("""COMPUTED_VALUE"""),"S10")</f>
        <v>S10</v>
      </c>
      <c r="O1619" s="97">
        <f ca="1">IFERROR(__xludf.DUMMYFUNCTION("""COMPUTED_VALUE"""),45003)</f>
        <v>45003</v>
      </c>
      <c r="P1619" s="6" t="str">
        <f ca="1">IFERROR(__xludf.DUMMYFUNCTION("""COMPUTED_VALUE"""),"CSTM_GMJI65MVXL2")</f>
        <v>CSTM_GMJI65MVXL2</v>
      </c>
      <c r="Q1619" s="6"/>
      <c r="R1619" s="6" t="str">
        <f ca="1">IFERROR(__xludf.DUMMYFUNCTION("""COMPUTED_VALUE"""),"Pending")</f>
        <v>Pending</v>
      </c>
      <c r="S1619" s="6" t="str">
        <f ca="1">IFERROR(__xludf.DUMMYFUNCTION("""COMPUTED_VALUE"""),"SAFe")</f>
        <v>SAFe</v>
      </c>
      <c r="T1619" s="6"/>
      <c r="U1619" s="6"/>
      <c r="V1619" s="6"/>
      <c r="W1619" s="6"/>
      <c r="X1619" s="6"/>
      <c r="Y1619" s="6"/>
      <c r="Z1619" s="6"/>
      <c r="AA1619" s="6"/>
      <c r="AB1619" s="6"/>
      <c r="AC1619" s="6"/>
      <c r="AD1619" s="6"/>
      <c r="AE1619" s="6"/>
      <c r="AF1619" s="6"/>
      <c r="AG1619" s="6"/>
      <c r="AH1619" s="6"/>
      <c r="AI1619" s="6"/>
      <c r="AJ1619" s="6"/>
      <c r="AK1619" s="6"/>
      <c r="AL1619" s="6"/>
    </row>
    <row r="1620" spans="1:38">
      <c r="A1620" s="96">
        <f ca="1">IFERROR(__xludf.DUMMYFUNCTION("""COMPUTED_VALUE"""),45003)</f>
        <v>45003</v>
      </c>
      <c r="B1620" s="6" t="str">
        <f ca="1">IFERROR(__xludf.DUMMYFUNCTION("""COMPUTED_VALUE"""),"Jatin K")</f>
        <v>Jatin K</v>
      </c>
      <c r="C1620" s="6" t="str">
        <f ca="1">IFERROR(__xludf.DUMMYFUNCTION("""COMPUTED_VALUE"""),"jatin.k.k@gmail.com")</f>
        <v>jatin.k.k@gmail.com</v>
      </c>
      <c r="D1620" s="6">
        <f ca="1">IFERROR(__xludf.DUMMYFUNCTION("""COMPUTED_VALUE"""),9990009933)</f>
        <v>9990009933</v>
      </c>
      <c r="E1620" s="6" t="str">
        <f ca="1">IFERROR(__xludf.DUMMYFUNCTION("""COMPUTED_VALUE"""),"Reference")</f>
        <v>Reference</v>
      </c>
      <c r="F1620" s="6" t="str">
        <f ca="1">IFERROR(__xludf.DUMMYFUNCTION("""COMPUTED_VALUE"""),"MBA IU LSBU")</f>
        <v>MBA IU LSBU</v>
      </c>
      <c r="G1620" s="80">
        <f ca="1">IFERROR(__xludf.DUMMYFUNCTION("""COMPUTED_VALUE"""),44986)</f>
        <v>44986</v>
      </c>
      <c r="H1620" s="6" t="str">
        <f ca="1">IFERROR(__xludf.DUMMYFUNCTION("""COMPUTED_VALUE"""),"Won")</f>
        <v>Won</v>
      </c>
      <c r="I1620" s="6" t="str">
        <f ca="1">IFERROR(__xludf.DUMMYFUNCTION("""COMPUTED_VALUE"""),"April 2023")</f>
        <v>April 2023</v>
      </c>
      <c r="J1620" s="6">
        <f ca="1">IFERROR(__xludf.DUMMYFUNCTION("""COMPUTED_VALUE"""),1)</f>
        <v>1</v>
      </c>
      <c r="K1620" s="8">
        <f ca="1">IFERROR(__xludf.DUMMYFUNCTION("""COMPUTED_VALUE"""),369750)</f>
        <v>369750</v>
      </c>
      <c r="L1620" s="8">
        <f ca="1">IFERROR(__xludf.DUMMYFUNCTION("""COMPUTED_VALUE"""),4234.42510306917)</f>
        <v>4234.4251030691703</v>
      </c>
      <c r="M1620" s="96">
        <f ca="1">IFERROR(__xludf.DUMMYFUNCTION("""COMPUTED_VALUE"""),45007)</f>
        <v>45007</v>
      </c>
      <c r="N1620" s="6" t="str">
        <f ca="1">IFERROR(__xludf.DUMMYFUNCTION("""COMPUTED_VALUE"""),"T10")</f>
        <v>T10</v>
      </c>
      <c r="O1620" s="97">
        <f ca="1">IFERROR(__xludf.DUMMYFUNCTION("""COMPUTED_VALUE"""),45006)</f>
        <v>45006</v>
      </c>
      <c r="P1620" s="6" t="str">
        <f ca="1">IFERROR(__xludf.DUMMYFUNCTION("""COMPUTED_VALUE"""),"CSTM_4SIA9TQKHDO")</f>
        <v>CSTM_4SIA9TQKHDO</v>
      </c>
      <c r="Q1620" s="6" t="str">
        <f ca="1">IFERROR(__xludf.DUMMYFUNCTION("""COMPUTED_VALUE"""),"Reference by priverma205@gmail.com")</f>
        <v>Reference by priverma205@gmail.com</v>
      </c>
      <c r="R1620" s="6" t="str">
        <f ca="1">IFERROR(__xludf.DUMMYFUNCTION("""COMPUTED_VALUE"""),"Pending")</f>
        <v>Pending</v>
      </c>
      <c r="S1620" s="6" t="str">
        <f ca="1">IFERROR(__xludf.DUMMYFUNCTION("""COMPUTED_VALUE"""),"NonCategory")</f>
        <v>NonCategory</v>
      </c>
      <c r="T1620" s="6"/>
      <c r="U1620" s="6"/>
      <c r="V1620" s="6"/>
      <c r="W1620" s="6"/>
      <c r="X1620" s="6"/>
      <c r="Y1620" s="6"/>
      <c r="Z1620" s="6"/>
      <c r="AA1620" s="6"/>
      <c r="AB1620" s="6"/>
      <c r="AC1620" s="6"/>
      <c r="AD1620" s="6"/>
      <c r="AE1620" s="6"/>
      <c r="AF1620" s="6"/>
      <c r="AG1620" s="6"/>
      <c r="AH1620" s="6"/>
      <c r="AI1620" s="6"/>
      <c r="AJ1620" s="6"/>
      <c r="AK1620" s="6"/>
      <c r="AL1620" s="6"/>
    </row>
    <row r="1621" spans="1:38">
      <c r="A1621" s="96">
        <f ca="1">IFERROR(__xludf.DUMMYFUNCTION("""COMPUTED_VALUE"""),45003)</f>
        <v>45003</v>
      </c>
      <c r="B1621" s="6" t="str">
        <f ca="1">IFERROR(__xludf.DUMMYFUNCTION("""COMPUTED_VALUE"""),"Priya Verma")</f>
        <v>Priya Verma</v>
      </c>
      <c r="C1621" s="6" t="str">
        <f ca="1">IFERROR(__xludf.DUMMYFUNCTION("""COMPUTED_VALUE"""),"priverma205@gmail.com")</f>
        <v>priverma205@gmail.com</v>
      </c>
      <c r="D1621" s="6">
        <f ca="1">IFERROR(__xludf.DUMMYFUNCTION("""COMPUTED_VALUE"""),9992201201)</f>
        <v>9992201201</v>
      </c>
      <c r="E1621" s="6" t="str">
        <f ca="1">IFERROR(__xludf.DUMMYFUNCTION("""COMPUTED_VALUE"""),"Reference")</f>
        <v>Reference</v>
      </c>
      <c r="F1621" s="6" t="str">
        <f ca="1">IFERROR(__xludf.DUMMYFUNCTION("""COMPUTED_VALUE"""),"Data Scientist")</f>
        <v>Data Scientist</v>
      </c>
      <c r="G1621" s="80">
        <f ca="1">IFERROR(__xludf.DUMMYFUNCTION("""COMPUTED_VALUE"""),44986)</f>
        <v>44986</v>
      </c>
      <c r="H1621" s="6" t="str">
        <f ca="1">IFERROR(__xludf.DUMMYFUNCTION("""COMPUTED_VALUE"""),"Won")</f>
        <v>Won</v>
      </c>
      <c r="I1621" s="6" t="str">
        <f ca="1">IFERROR(__xludf.DUMMYFUNCTION("""COMPUTED_VALUE"""),"March 2023")</f>
        <v>March 2023</v>
      </c>
      <c r="J1621" s="6">
        <f ca="1">IFERROR(__xludf.DUMMYFUNCTION("""COMPUTED_VALUE"""),1)</f>
        <v>1</v>
      </c>
      <c r="K1621" s="8">
        <f ca="1">IFERROR(__xludf.DUMMYFUNCTION("""COMPUTED_VALUE"""),38000)</f>
        <v>38000</v>
      </c>
      <c r="L1621" s="8">
        <f ca="1">IFERROR(__xludf.DUMMYFUNCTION("""COMPUTED_VALUE"""),435.180943655519)</f>
        <v>435.180943655519</v>
      </c>
      <c r="M1621" s="96">
        <f ca="1">IFERROR(__xludf.DUMMYFUNCTION("""COMPUTED_VALUE"""),45005)</f>
        <v>45005</v>
      </c>
      <c r="N1621" s="6" t="str">
        <f ca="1">IFERROR(__xludf.DUMMYFUNCTION("""COMPUTED_VALUE"""),"S10")</f>
        <v>S10</v>
      </c>
      <c r="O1621" s="97">
        <f ca="1">IFERROR(__xludf.DUMMYFUNCTION("""COMPUTED_VALUE"""),45003)</f>
        <v>45003</v>
      </c>
      <c r="P1621" s="6" t="str">
        <f ca="1">IFERROR(__xludf.DUMMYFUNCTION("""COMPUTED_VALUE"""),"CSTM_JHA6FF7RPOO")</f>
        <v>CSTM_JHA6FF7RPOO</v>
      </c>
      <c r="Q1621" s="6" t="str">
        <f ca="1">IFERROR(__xludf.DUMMYFUNCTION("""COMPUTED_VALUE"""),"Reference by coolshrinidhi8@gmail.com")</f>
        <v>Reference by coolshrinidhi8@gmail.com</v>
      </c>
      <c r="R1621" s="6" t="str">
        <f ca="1">IFERROR(__xludf.DUMMYFUNCTION("""COMPUTED_VALUE"""),"Pending")</f>
        <v>Pending</v>
      </c>
      <c r="S1621" s="6" t="str">
        <f ca="1">IFERROR(__xludf.DUMMYFUNCTION("""COMPUTED_VALUE"""),"NonCategory")</f>
        <v>NonCategory</v>
      </c>
      <c r="T1621" s="6"/>
      <c r="U1621" s="6"/>
      <c r="V1621" s="6"/>
      <c r="W1621" s="6"/>
      <c r="X1621" s="6"/>
      <c r="Y1621" s="6"/>
      <c r="Z1621" s="6"/>
      <c r="AA1621" s="6"/>
      <c r="AB1621" s="6"/>
      <c r="AC1621" s="6"/>
      <c r="AD1621" s="6"/>
      <c r="AE1621" s="6"/>
      <c r="AF1621" s="6"/>
      <c r="AG1621" s="6"/>
      <c r="AH1621" s="6"/>
      <c r="AI1621" s="6"/>
      <c r="AJ1621" s="6"/>
      <c r="AK1621" s="6"/>
      <c r="AL1621" s="6"/>
    </row>
    <row r="1622" spans="1:38">
      <c r="A1622" s="96">
        <f ca="1">IFERROR(__xludf.DUMMYFUNCTION("""COMPUTED_VALUE"""),45003)</f>
        <v>45003</v>
      </c>
      <c r="B1622" s="6" t="str">
        <f ca="1">IFERROR(__xludf.DUMMYFUNCTION("""COMPUTED_VALUE"""),"Pavani G")</f>
        <v>Pavani G</v>
      </c>
      <c r="C1622" s="6" t="str">
        <f ca="1">IFERROR(__xludf.DUMMYFUNCTION("""COMPUTED_VALUE"""),"g.pavani@tcs.com")</f>
        <v>g.pavani@tcs.com</v>
      </c>
      <c r="D1622" s="6">
        <f ca="1">IFERROR(__xludf.DUMMYFUNCTION("""COMPUTED_VALUE"""),8867592887)</f>
        <v>8867592887</v>
      </c>
      <c r="E1622" s="6" t="str">
        <f ca="1">IFERROR(__xludf.DUMMYFUNCTION("""COMPUTED_VALUE"""),"Reference")</f>
        <v>Reference</v>
      </c>
      <c r="F1622" s="6" t="str">
        <f ca="1">IFERROR(__xludf.DUMMYFUNCTION("""COMPUTED_VALUE"""),"PSM 2")</f>
        <v>PSM 2</v>
      </c>
      <c r="G1622" s="80">
        <f ca="1">IFERROR(__xludf.DUMMYFUNCTION("""COMPUTED_VALUE"""),44986)</f>
        <v>44986</v>
      </c>
      <c r="H1622" s="6" t="str">
        <f ca="1">IFERROR(__xludf.DUMMYFUNCTION("""COMPUTED_VALUE"""),"Won")</f>
        <v>Won</v>
      </c>
      <c r="I1622" s="6" t="str">
        <f ca="1">IFERROR(__xludf.DUMMYFUNCTION("""COMPUTED_VALUE"""),"25-26 March 2023")</f>
        <v>25-26 March 2023</v>
      </c>
      <c r="J1622" s="6">
        <f ca="1">IFERROR(__xludf.DUMMYFUNCTION("""COMPUTED_VALUE"""),1)</f>
        <v>1</v>
      </c>
      <c r="K1622" s="8">
        <f ca="1">IFERROR(__xludf.DUMMYFUNCTION("""COMPUTED_VALUE"""),24000)</f>
        <v>24000</v>
      </c>
      <c r="L1622" s="8">
        <f ca="1">IFERROR(__xludf.DUMMYFUNCTION("""COMPUTED_VALUE"""),274.851122308749)</f>
        <v>274.85112230874898</v>
      </c>
      <c r="M1622" s="96">
        <f ca="1">IFERROR(__xludf.DUMMYFUNCTION("""COMPUTED_VALUE"""),45003)</f>
        <v>45003</v>
      </c>
      <c r="N1622" s="6" t="str">
        <f ca="1">IFERROR(__xludf.DUMMYFUNCTION("""COMPUTED_VALUE"""),"S10")</f>
        <v>S10</v>
      </c>
      <c r="O1622" s="97">
        <f ca="1">IFERROR(__xludf.DUMMYFUNCTION("""COMPUTED_VALUE"""),45003)</f>
        <v>45003</v>
      </c>
      <c r="P1622" s="6" t="str">
        <f ca="1">IFERROR(__xludf.DUMMYFUNCTION("""COMPUTED_VALUE"""),"CSTM_E3ZOL928S0H")</f>
        <v>CSTM_E3ZOL928S0H</v>
      </c>
      <c r="Q1622" s="6" t="str">
        <f ca="1">IFERROR(__xludf.DUMMYFUNCTION("""COMPUTED_VALUE"""),"Reference by lucky.pav@gmail.com")</f>
        <v>Reference by lucky.pav@gmail.com</v>
      </c>
      <c r="R1622" s="6" t="str">
        <f ca="1">IFERROR(__xludf.DUMMYFUNCTION("""COMPUTED_VALUE"""),"Pending")</f>
        <v>Pending</v>
      </c>
      <c r="S1622" s="6" t="str">
        <f ca="1">IFERROR(__xludf.DUMMYFUNCTION("""COMPUTED_VALUE"""),"Category")</f>
        <v>Category</v>
      </c>
      <c r="T1622" s="6"/>
      <c r="U1622" s="6"/>
      <c r="V1622" s="6"/>
      <c r="W1622" s="6"/>
      <c r="X1622" s="6"/>
      <c r="Y1622" s="6"/>
      <c r="Z1622" s="6"/>
      <c r="AA1622" s="6"/>
      <c r="AB1622" s="6"/>
      <c r="AC1622" s="6"/>
      <c r="AD1622" s="6"/>
      <c r="AE1622" s="6"/>
      <c r="AF1622" s="6"/>
      <c r="AG1622" s="6"/>
      <c r="AH1622" s="6"/>
      <c r="AI1622" s="6"/>
      <c r="AJ1622" s="6"/>
      <c r="AK1622" s="6"/>
      <c r="AL1622" s="6"/>
    </row>
    <row r="1623" spans="1:38">
      <c r="A1623" s="96">
        <f ca="1">IFERROR(__xludf.DUMMYFUNCTION("""COMPUTED_VALUE"""),45005)</f>
        <v>45005</v>
      </c>
      <c r="B1623" s="6" t="str">
        <f ca="1">IFERROR(__xludf.DUMMYFUNCTION("""COMPUTED_VALUE"""),"Shinjhini Ghatak")</f>
        <v>Shinjhini Ghatak</v>
      </c>
      <c r="C1623" s="6" t="str">
        <f ca="1">IFERROR(__xludf.DUMMYFUNCTION("""COMPUTED_VALUE"""),"jinighatak@gmail.com")</f>
        <v>jinighatak@gmail.com</v>
      </c>
      <c r="D1623" s="6">
        <f ca="1">IFERROR(__xludf.DUMMYFUNCTION("""COMPUTED_VALUE"""),9738555933)</f>
        <v>9738555933</v>
      </c>
      <c r="E1623" s="6" t="str">
        <f ca="1">IFERROR(__xludf.DUMMYFUNCTION("""COMPUTED_VALUE"""),"App Quey box")</f>
        <v>App Quey box</v>
      </c>
      <c r="F1623" s="6" t="str">
        <f ca="1">IFERROR(__xludf.DUMMYFUNCTION("""COMPUTED_VALUE"""),"PSPO")</f>
        <v>PSPO</v>
      </c>
      <c r="G1623" s="80">
        <f ca="1">IFERROR(__xludf.DUMMYFUNCTION("""COMPUTED_VALUE"""),44986)</f>
        <v>44986</v>
      </c>
      <c r="H1623" s="6" t="str">
        <f ca="1">IFERROR(__xludf.DUMMYFUNCTION("""COMPUTED_VALUE"""),"Won")</f>
        <v>Won</v>
      </c>
      <c r="I1623" s="6" t="str">
        <f ca="1">IFERROR(__xludf.DUMMYFUNCTION("""COMPUTED_VALUE"""),"1-2 April 2023")</f>
        <v>1-2 April 2023</v>
      </c>
      <c r="J1623" s="6">
        <f ca="1">IFERROR(__xludf.DUMMYFUNCTION("""COMPUTED_VALUE"""),1)</f>
        <v>1</v>
      </c>
      <c r="K1623" s="8">
        <f ca="1">IFERROR(__xludf.DUMMYFUNCTION("""COMPUTED_VALUE"""),21000)</f>
        <v>21000</v>
      </c>
      <c r="L1623" s="8">
        <f ca="1">IFERROR(__xludf.DUMMYFUNCTION("""COMPUTED_VALUE"""),240.494732020155)</f>
        <v>240.494732020155</v>
      </c>
      <c r="M1623" s="96">
        <f ca="1">IFERROR(__xludf.DUMMYFUNCTION("""COMPUTED_VALUE"""),45005)</f>
        <v>45005</v>
      </c>
      <c r="N1623" s="6" t="str">
        <f ca="1">IFERROR(__xludf.DUMMYFUNCTION("""COMPUTED_VALUE"""),"S10")</f>
        <v>S10</v>
      </c>
      <c r="O1623" s="97">
        <f ca="1">IFERROR(__xludf.DUMMYFUNCTION("""COMPUTED_VALUE"""),45005)</f>
        <v>45005</v>
      </c>
      <c r="P1623" s="6" t="str">
        <f ca="1">IFERROR(__xludf.DUMMYFUNCTION("""COMPUTED_VALUE"""),"CSTM_6D67GLKRT1K")</f>
        <v>CSTM_6D67GLKRT1K</v>
      </c>
      <c r="Q1623" s="6"/>
      <c r="R1623" s="6" t="str">
        <f ca="1">IFERROR(__xludf.DUMMYFUNCTION("""COMPUTED_VALUE"""),"Pending")</f>
        <v>Pending</v>
      </c>
      <c r="S1623" s="6" t="str">
        <f ca="1">IFERROR(__xludf.DUMMYFUNCTION("""COMPUTED_VALUE"""),"Category")</f>
        <v>Category</v>
      </c>
      <c r="T1623" s="6"/>
      <c r="U1623" s="6"/>
      <c r="V1623" s="6"/>
      <c r="W1623" s="6"/>
      <c r="X1623" s="6"/>
      <c r="Y1623" s="6"/>
      <c r="Z1623" s="6"/>
      <c r="AA1623" s="6"/>
      <c r="AB1623" s="6"/>
      <c r="AC1623" s="6"/>
      <c r="AD1623" s="6"/>
      <c r="AE1623" s="6"/>
      <c r="AF1623" s="6"/>
      <c r="AG1623" s="6"/>
      <c r="AH1623" s="6"/>
      <c r="AI1623" s="6"/>
      <c r="AJ1623" s="6"/>
      <c r="AK1623" s="6"/>
      <c r="AL1623" s="6"/>
    </row>
    <row r="1624" spans="1:38">
      <c r="A1624" s="96">
        <f ca="1">IFERROR(__xludf.DUMMYFUNCTION("""COMPUTED_VALUE"""),45005)</f>
        <v>45005</v>
      </c>
      <c r="B1624" s="6" t="str">
        <f ca="1">IFERROR(__xludf.DUMMYFUNCTION("""COMPUTED_VALUE"""),"Nileema Reddy")</f>
        <v>Nileema Reddy</v>
      </c>
      <c r="C1624" s="6" t="str">
        <f ca="1">IFERROR(__xludf.DUMMYFUNCTION("""COMPUTED_VALUE"""),"nileema.reddy@gmail.com")</f>
        <v>nileema.reddy@gmail.com</v>
      </c>
      <c r="D1624" s="6">
        <f ca="1">IFERROR(__xludf.DUMMYFUNCTION("""COMPUTED_VALUE"""),9701717444)</f>
        <v>9701717444</v>
      </c>
      <c r="E1624" s="6" t="str">
        <f ca="1">IFERROR(__xludf.DUMMYFUNCTION("""COMPUTED_VALUE"""),"Query box")</f>
        <v>Query box</v>
      </c>
      <c r="F1624" s="6" t="str">
        <f ca="1">IFERROR(__xludf.DUMMYFUNCTION("""COMPUTED_VALUE"""),"PSM 2")</f>
        <v>PSM 2</v>
      </c>
      <c r="G1624" s="80">
        <f ca="1">IFERROR(__xludf.DUMMYFUNCTION("""COMPUTED_VALUE"""),44986)</f>
        <v>44986</v>
      </c>
      <c r="H1624" s="6" t="str">
        <f ca="1">IFERROR(__xludf.DUMMYFUNCTION("""COMPUTED_VALUE"""),"Won")</f>
        <v>Won</v>
      </c>
      <c r="I1624" s="6" t="str">
        <f ca="1">IFERROR(__xludf.DUMMYFUNCTION("""COMPUTED_VALUE"""),"25-26 March 2023")</f>
        <v>25-26 March 2023</v>
      </c>
      <c r="J1624" s="6">
        <f ca="1">IFERROR(__xludf.DUMMYFUNCTION("""COMPUTED_VALUE"""),1)</f>
        <v>1</v>
      </c>
      <c r="K1624" s="8">
        <f ca="1">IFERROR(__xludf.DUMMYFUNCTION("""COMPUTED_VALUE"""),24000)</f>
        <v>24000</v>
      </c>
      <c r="L1624" s="8">
        <f ca="1">IFERROR(__xludf.DUMMYFUNCTION("""COMPUTED_VALUE"""),274.851122308749)</f>
        <v>274.85112230874898</v>
      </c>
      <c r="M1624" s="96">
        <f ca="1">IFERROR(__xludf.DUMMYFUNCTION("""COMPUTED_VALUE"""),45005)</f>
        <v>45005</v>
      </c>
      <c r="N1624" s="6" t="str">
        <f ca="1">IFERROR(__xludf.DUMMYFUNCTION("""COMPUTED_VALUE"""),"S10")</f>
        <v>S10</v>
      </c>
      <c r="O1624" s="97">
        <f ca="1">IFERROR(__xludf.DUMMYFUNCTION("""COMPUTED_VALUE"""),45005)</f>
        <v>45005</v>
      </c>
      <c r="P1624" s="6" t="str">
        <f ca="1">IFERROR(__xludf.DUMMYFUNCTION("""COMPUTED_VALUE"""),"CSTM_82NKCQ8O0YM")</f>
        <v>CSTM_82NKCQ8O0YM</v>
      </c>
      <c r="Q1624" s="6"/>
      <c r="R1624" s="6" t="str">
        <f ca="1">IFERROR(__xludf.DUMMYFUNCTION("""COMPUTED_VALUE"""),"Pending")</f>
        <v>Pending</v>
      </c>
      <c r="S1624" s="6" t="str">
        <f ca="1">IFERROR(__xludf.DUMMYFUNCTION("""COMPUTED_VALUE"""),"Category")</f>
        <v>Category</v>
      </c>
      <c r="T1624" s="6"/>
      <c r="U1624" s="6"/>
      <c r="V1624" s="6"/>
      <c r="W1624" s="6"/>
      <c r="X1624" s="6"/>
      <c r="Y1624" s="6"/>
      <c r="Z1624" s="6"/>
      <c r="AA1624" s="6"/>
      <c r="AB1624" s="6"/>
      <c r="AC1624" s="6"/>
      <c r="AD1624" s="6"/>
      <c r="AE1624" s="6"/>
      <c r="AF1624" s="6"/>
      <c r="AG1624" s="6"/>
      <c r="AH1624" s="6"/>
      <c r="AI1624" s="6"/>
      <c r="AJ1624" s="6"/>
      <c r="AK1624" s="6"/>
      <c r="AL1624" s="6"/>
    </row>
    <row r="1625" spans="1:38">
      <c r="A1625" s="96">
        <f ca="1">IFERROR(__xludf.DUMMYFUNCTION("""COMPUTED_VALUE"""),45006)</f>
        <v>45006</v>
      </c>
      <c r="B1625" s="6" t="str">
        <f ca="1">IFERROR(__xludf.DUMMYFUNCTION("""COMPUTED_VALUE"""),"Arpana T G")</f>
        <v>Arpana T G</v>
      </c>
      <c r="C1625" s="6" t="str">
        <f ca="1">IFERROR(__xludf.DUMMYFUNCTION("""COMPUTED_VALUE"""),"arpu_tg@yahoo.com")</f>
        <v>arpu_tg@yahoo.com</v>
      </c>
      <c r="D1625" s="6">
        <f ca="1">IFERROR(__xludf.DUMMYFUNCTION("""COMPUTED_VALUE"""),9883475847)</f>
        <v>9883475847</v>
      </c>
      <c r="E1625" s="6" t="str">
        <f ca="1">IFERROR(__xludf.DUMMYFUNCTION("""COMPUTED_VALUE"""),"Reference")</f>
        <v>Reference</v>
      </c>
      <c r="F1625" s="6" t="str">
        <f ca="1">IFERROR(__xludf.DUMMYFUNCTION("""COMPUTED_VALUE"""),"PSM 2")</f>
        <v>PSM 2</v>
      </c>
      <c r="G1625" s="80">
        <f ca="1">IFERROR(__xludf.DUMMYFUNCTION("""COMPUTED_VALUE"""),44986)</f>
        <v>44986</v>
      </c>
      <c r="H1625" s="6" t="str">
        <f ca="1">IFERROR(__xludf.DUMMYFUNCTION("""COMPUTED_VALUE"""),"Won")</f>
        <v>Won</v>
      </c>
      <c r="I1625" s="6" t="str">
        <f ca="1">IFERROR(__xludf.DUMMYFUNCTION("""COMPUTED_VALUE"""),"25-26 March 2023")</f>
        <v>25-26 March 2023</v>
      </c>
      <c r="J1625" s="6">
        <f ca="1">IFERROR(__xludf.DUMMYFUNCTION("""COMPUTED_VALUE"""),1)</f>
        <v>1</v>
      </c>
      <c r="K1625" s="8">
        <f ca="1">IFERROR(__xludf.DUMMYFUNCTION("""COMPUTED_VALUE"""),24000)</f>
        <v>24000</v>
      </c>
      <c r="L1625" s="8">
        <f ca="1">IFERROR(__xludf.DUMMYFUNCTION("""COMPUTED_VALUE"""),274.851122308749)</f>
        <v>274.85112230874898</v>
      </c>
      <c r="M1625" s="96">
        <f ca="1">IFERROR(__xludf.DUMMYFUNCTION("""COMPUTED_VALUE"""),45006)</f>
        <v>45006</v>
      </c>
      <c r="N1625" s="6" t="str">
        <f ca="1">IFERROR(__xludf.DUMMYFUNCTION("""COMPUTED_VALUE"""),"T10")</f>
        <v>T10</v>
      </c>
      <c r="O1625" s="97">
        <f ca="1">IFERROR(__xludf.DUMMYFUNCTION("""COMPUTED_VALUE"""),45006)</f>
        <v>45006</v>
      </c>
      <c r="P1625" s="6" t="str">
        <f ca="1">IFERROR(__xludf.DUMMYFUNCTION("""COMPUTED_VALUE"""),"CSTM_FDFFUC3KJC9")</f>
        <v>CSTM_FDFFUC3KJC9</v>
      </c>
      <c r="Q1625" s="6" t="str">
        <f ca="1">IFERROR(__xludf.DUMMYFUNCTION("""COMPUTED_VALUE"""),"Reference by kaushik.ray81@gmail.com")</f>
        <v>Reference by kaushik.ray81@gmail.com</v>
      </c>
      <c r="R1625" s="6" t="str">
        <f ca="1">IFERROR(__xludf.DUMMYFUNCTION("""COMPUTED_VALUE"""),"Pending")</f>
        <v>Pending</v>
      </c>
      <c r="S1625" s="6" t="str">
        <f ca="1">IFERROR(__xludf.DUMMYFUNCTION("""COMPUTED_VALUE"""),"Category")</f>
        <v>Category</v>
      </c>
      <c r="T1625" s="6"/>
      <c r="U1625" s="6"/>
      <c r="V1625" s="6"/>
      <c r="W1625" s="6"/>
      <c r="X1625" s="6"/>
      <c r="Y1625" s="6"/>
      <c r="Z1625" s="6"/>
      <c r="AA1625" s="6"/>
      <c r="AB1625" s="6"/>
      <c r="AC1625" s="6"/>
      <c r="AD1625" s="6"/>
      <c r="AE1625" s="6"/>
      <c r="AF1625" s="6"/>
      <c r="AG1625" s="6"/>
      <c r="AH1625" s="6"/>
      <c r="AI1625" s="6"/>
      <c r="AJ1625" s="6"/>
      <c r="AK1625" s="6"/>
      <c r="AL1625" s="6"/>
    </row>
    <row r="1626" spans="1:38">
      <c r="A1626" s="96">
        <f ca="1">IFERROR(__xludf.DUMMYFUNCTION("""COMPUTED_VALUE"""),45006)</f>
        <v>45006</v>
      </c>
      <c r="B1626" s="6" t="str">
        <f ca="1">IFERROR(__xludf.DUMMYFUNCTION("""COMPUTED_VALUE"""),"Pooja Dey")</f>
        <v>Pooja Dey</v>
      </c>
      <c r="C1626" s="6" t="str">
        <f ca="1">IFERROR(__xludf.DUMMYFUNCTION("""COMPUTED_VALUE"""),"pooja.dey0087@gmail.com")</f>
        <v>pooja.dey0087@gmail.com</v>
      </c>
      <c r="D1626" s="6">
        <f ca="1">IFERROR(__xludf.DUMMYFUNCTION("""COMPUTED_VALUE"""),9051426300)</f>
        <v>9051426300</v>
      </c>
      <c r="E1626" s="6" t="str">
        <f ca="1">IFERROR(__xludf.DUMMYFUNCTION("""COMPUTED_VALUE"""),"Reference")</f>
        <v>Reference</v>
      </c>
      <c r="F1626" s="6" t="str">
        <f ca="1">IFERROR(__xludf.DUMMYFUNCTION("""COMPUTED_VALUE"""),"SAFe Agile")</f>
        <v>SAFe Agile</v>
      </c>
      <c r="G1626" s="80">
        <f ca="1">IFERROR(__xludf.DUMMYFUNCTION("""COMPUTED_VALUE"""),44986)</f>
        <v>44986</v>
      </c>
      <c r="H1626" s="6" t="str">
        <f ca="1">IFERROR(__xludf.DUMMYFUNCTION("""COMPUTED_VALUE"""),"Won")</f>
        <v>Won</v>
      </c>
      <c r="I1626" s="6" t="str">
        <f ca="1">IFERROR(__xludf.DUMMYFUNCTION("""COMPUTED_VALUE"""),"25-26 March 2023")</f>
        <v>25-26 March 2023</v>
      </c>
      <c r="J1626" s="6">
        <f ca="1">IFERROR(__xludf.DUMMYFUNCTION("""COMPUTED_VALUE"""),1)</f>
        <v>1</v>
      </c>
      <c r="K1626" s="8">
        <f ca="1">IFERROR(__xludf.DUMMYFUNCTION("""COMPUTED_VALUE"""),42000)</f>
        <v>42000</v>
      </c>
      <c r="L1626" s="8">
        <f ca="1">IFERROR(__xludf.DUMMYFUNCTION("""COMPUTED_VALUE"""),480.989464040311)</f>
        <v>480.98946404031102</v>
      </c>
      <c r="M1626" s="96">
        <f ca="1">IFERROR(__xludf.DUMMYFUNCTION("""COMPUTED_VALUE"""),45006)</f>
        <v>45006</v>
      </c>
      <c r="N1626" s="6" t="str">
        <f ca="1">IFERROR(__xludf.DUMMYFUNCTION("""COMPUTED_VALUE"""),"T10")</f>
        <v>T10</v>
      </c>
      <c r="O1626" s="97">
        <f ca="1">IFERROR(__xludf.DUMMYFUNCTION("""COMPUTED_VALUE"""),45006)</f>
        <v>45006</v>
      </c>
      <c r="P1626" s="6" t="str">
        <f ca="1">IFERROR(__xludf.DUMMYFUNCTION("""COMPUTED_VALUE"""),"CSTM_JJBG7UR6PY2")</f>
        <v>CSTM_JJBG7UR6PY2</v>
      </c>
      <c r="Q1626" s="6" t="str">
        <f ca="1">IFERROR(__xludf.DUMMYFUNCTION("""COMPUTED_VALUE"""),"Reference by Suchita Avsare")</f>
        <v>Reference by Suchita Avsare</v>
      </c>
      <c r="R1626" s="6" t="str">
        <f ca="1">IFERROR(__xludf.DUMMYFUNCTION("""COMPUTED_VALUE"""),"Pending")</f>
        <v>Pending</v>
      </c>
      <c r="S1626" s="6" t="str">
        <f ca="1">IFERROR(__xludf.DUMMYFUNCTION("""COMPUTED_VALUE"""),"SAFe")</f>
        <v>SAFe</v>
      </c>
      <c r="T1626" s="6"/>
      <c r="U1626" s="6"/>
      <c r="V1626" s="6"/>
      <c r="W1626" s="6"/>
      <c r="X1626" s="6"/>
      <c r="Y1626" s="6"/>
      <c r="Z1626" s="6"/>
      <c r="AA1626" s="6"/>
      <c r="AB1626" s="6"/>
      <c r="AC1626" s="6"/>
      <c r="AD1626" s="6"/>
      <c r="AE1626" s="6"/>
      <c r="AF1626" s="6"/>
      <c r="AG1626" s="6"/>
      <c r="AH1626" s="6"/>
      <c r="AI1626" s="6"/>
      <c r="AJ1626" s="6"/>
      <c r="AK1626" s="6"/>
      <c r="AL1626" s="6"/>
    </row>
    <row r="1627" spans="1:38">
      <c r="A1627" s="96">
        <f ca="1">IFERROR(__xludf.DUMMYFUNCTION("""COMPUTED_VALUE"""),45007)</f>
        <v>45007</v>
      </c>
      <c r="B1627" s="6" t="str">
        <f ca="1">IFERROR(__xludf.DUMMYFUNCTION("""COMPUTED_VALUE"""),"Nagaraj T D")</f>
        <v>Nagaraj T D</v>
      </c>
      <c r="C1627" s="6" t="str">
        <f ca="1">IFERROR(__xludf.DUMMYFUNCTION("""COMPUTED_VALUE"""),"nagarajtd8118@gmail.com")</f>
        <v>nagarajtd8118@gmail.com</v>
      </c>
      <c r="D1627" s="6">
        <f ca="1">IFERROR(__xludf.DUMMYFUNCTION("""COMPUTED_VALUE"""),9900143324)</f>
        <v>9900143324</v>
      </c>
      <c r="E1627" s="6" t="str">
        <f ca="1">IFERROR(__xludf.DUMMYFUNCTION("""COMPUTED_VALUE"""),"Existing Account")</f>
        <v>Existing Account</v>
      </c>
      <c r="F1627" s="6" t="str">
        <f ca="1">IFERROR(__xludf.DUMMYFUNCTION("""COMPUTED_VALUE"""),"ITIL v4")</f>
        <v>ITIL v4</v>
      </c>
      <c r="G1627" s="80">
        <f ca="1">IFERROR(__xludf.DUMMYFUNCTION("""COMPUTED_VALUE"""),44986)</f>
        <v>44986</v>
      </c>
      <c r="H1627" s="6" t="str">
        <f ca="1">IFERROR(__xludf.DUMMYFUNCTION("""COMPUTED_VALUE"""),"Won")</f>
        <v>Won</v>
      </c>
      <c r="I1627" s="6" t="str">
        <f ca="1">IFERROR(__xludf.DUMMYFUNCTION("""COMPUTED_VALUE"""),"Retake OSL")</f>
        <v>Retake OSL</v>
      </c>
      <c r="J1627" s="6">
        <f ca="1">IFERROR(__xludf.DUMMYFUNCTION("""COMPUTED_VALUE"""),1)</f>
        <v>1</v>
      </c>
      <c r="K1627" s="8">
        <f ca="1">IFERROR(__xludf.DUMMYFUNCTION("""COMPUTED_VALUE"""),19500)</f>
        <v>19500</v>
      </c>
      <c r="L1627" s="8">
        <f ca="1">IFERROR(__xludf.DUMMYFUNCTION("""COMPUTED_VALUE"""),223.316536875858)</f>
        <v>223.31653687585799</v>
      </c>
      <c r="M1627" s="96">
        <f ca="1">IFERROR(__xludf.DUMMYFUNCTION("""COMPUTED_VALUE"""),45007)</f>
        <v>45007</v>
      </c>
      <c r="N1627" s="6" t="str">
        <f ca="1">IFERROR(__xludf.DUMMYFUNCTION("""COMPUTED_VALUE"""),"T10")</f>
        <v>T10</v>
      </c>
      <c r="O1627" s="97">
        <f ca="1">IFERROR(__xludf.DUMMYFUNCTION("""COMPUTED_VALUE"""),45006)</f>
        <v>45006</v>
      </c>
      <c r="P1627" s="6" t="str">
        <f ca="1">IFERROR(__xludf.DUMMYFUNCTION("""COMPUTED_VALUE"""),"CSTM_7HSVI0FVCM")</f>
        <v>CSTM_7HSVI0FVCM</v>
      </c>
      <c r="Q1627" s="6"/>
      <c r="R1627" s="6" t="str">
        <f ca="1">IFERROR(__xludf.DUMMYFUNCTION("""COMPUTED_VALUE"""),"Pending")</f>
        <v>Pending</v>
      </c>
      <c r="S1627" s="6" t="str">
        <f ca="1">IFERROR(__xludf.DUMMYFUNCTION("""COMPUTED_VALUE"""),"NonCategory")</f>
        <v>NonCategory</v>
      </c>
      <c r="T1627" s="6"/>
      <c r="U1627" s="6"/>
      <c r="V1627" s="6"/>
      <c r="W1627" s="6"/>
      <c r="X1627" s="6"/>
      <c r="Y1627" s="6"/>
      <c r="Z1627" s="6"/>
      <c r="AA1627" s="6"/>
      <c r="AB1627" s="6"/>
      <c r="AC1627" s="6"/>
      <c r="AD1627" s="6"/>
      <c r="AE1627" s="6"/>
      <c r="AF1627" s="6"/>
      <c r="AG1627" s="6"/>
      <c r="AH1627" s="6"/>
      <c r="AI1627" s="6"/>
      <c r="AJ1627" s="6"/>
      <c r="AK1627" s="6"/>
      <c r="AL1627" s="6"/>
    </row>
    <row r="1628" spans="1:38">
      <c r="A1628" s="96">
        <f ca="1">IFERROR(__xludf.DUMMYFUNCTION("""COMPUTED_VALUE"""),45007)</f>
        <v>45007</v>
      </c>
      <c r="B1628" s="6" t="str">
        <f ca="1">IFERROR(__xludf.DUMMYFUNCTION("""COMPUTED_VALUE"""),"Abhijit Patil")</f>
        <v>Abhijit Patil</v>
      </c>
      <c r="C1628" s="6" t="str">
        <f ca="1">IFERROR(__xludf.DUMMYFUNCTION("""COMPUTED_VALUE"""),"nehalapatil@gmail.com")</f>
        <v>nehalapatil@gmail.com</v>
      </c>
      <c r="D1628" s="6">
        <f ca="1">IFERROR(__xludf.DUMMYFUNCTION("""COMPUTED_VALUE"""),9175810641)</f>
        <v>9175810641</v>
      </c>
      <c r="E1628" s="6" t="str">
        <f ca="1">IFERROR(__xludf.DUMMYFUNCTION("""COMPUTED_VALUE"""),"Reference")</f>
        <v>Reference</v>
      </c>
      <c r="F1628" s="6" t="str">
        <f ca="1">IFERROR(__xludf.DUMMYFUNCTION("""COMPUTED_VALUE"""),"PSM 2")</f>
        <v>PSM 2</v>
      </c>
      <c r="G1628" s="80">
        <f ca="1">IFERROR(__xludf.DUMMYFUNCTION("""COMPUTED_VALUE"""),44986)</f>
        <v>44986</v>
      </c>
      <c r="H1628" s="6" t="str">
        <f ca="1">IFERROR(__xludf.DUMMYFUNCTION("""COMPUTED_VALUE"""),"Won")</f>
        <v>Won</v>
      </c>
      <c r="I1628" s="6" t="str">
        <f ca="1">IFERROR(__xludf.DUMMYFUNCTION("""COMPUTED_VALUE"""),"25-26 March 2023")</f>
        <v>25-26 March 2023</v>
      </c>
      <c r="J1628" s="6">
        <f ca="1">IFERROR(__xludf.DUMMYFUNCTION("""COMPUTED_VALUE"""),1)</f>
        <v>1</v>
      </c>
      <c r="K1628" s="8">
        <f ca="1">IFERROR(__xludf.DUMMYFUNCTION("""COMPUTED_VALUE"""),24000)</f>
        <v>24000</v>
      </c>
      <c r="L1628" s="8">
        <f ca="1">IFERROR(__xludf.DUMMYFUNCTION("""COMPUTED_VALUE"""),274.851122308749)</f>
        <v>274.85112230874898</v>
      </c>
      <c r="M1628" s="96">
        <f ca="1">IFERROR(__xludf.DUMMYFUNCTION("""COMPUTED_VALUE"""),45007)</f>
        <v>45007</v>
      </c>
      <c r="N1628" s="6" t="str">
        <f ca="1">IFERROR(__xludf.DUMMYFUNCTION("""COMPUTED_VALUE"""),"T10")</f>
        <v>T10</v>
      </c>
      <c r="O1628" s="97">
        <f ca="1">IFERROR(__xludf.DUMMYFUNCTION("""COMPUTED_VALUE"""),45007)</f>
        <v>45007</v>
      </c>
      <c r="P1628" s="6" t="str">
        <f ca="1">IFERROR(__xludf.DUMMYFUNCTION("""COMPUTED_VALUE"""),"CSTM_7JU6TV3RYGI")</f>
        <v>CSTM_7JU6TV3RYGI</v>
      </c>
      <c r="Q1628" s="6" t="str">
        <f ca="1">IFERROR(__xludf.DUMMYFUNCTION("""COMPUTED_VALUE"""),"Reference by abhikpatil9641@gmail.com")</f>
        <v>Reference by abhikpatil9641@gmail.com</v>
      </c>
      <c r="R1628" s="6" t="str">
        <f ca="1">IFERROR(__xludf.DUMMYFUNCTION("""COMPUTED_VALUE"""),"Pending")</f>
        <v>Pending</v>
      </c>
      <c r="S1628" s="6" t="str">
        <f ca="1">IFERROR(__xludf.DUMMYFUNCTION("""COMPUTED_VALUE"""),"Category")</f>
        <v>Category</v>
      </c>
      <c r="T1628" s="6"/>
      <c r="U1628" s="6"/>
      <c r="V1628" s="6"/>
      <c r="W1628" s="6"/>
      <c r="X1628" s="6"/>
      <c r="Y1628" s="6"/>
      <c r="Z1628" s="6"/>
      <c r="AA1628" s="6"/>
      <c r="AB1628" s="6"/>
      <c r="AC1628" s="6"/>
      <c r="AD1628" s="6"/>
      <c r="AE1628" s="6"/>
      <c r="AF1628" s="6"/>
      <c r="AG1628" s="6"/>
      <c r="AH1628" s="6"/>
      <c r="AI1628" s="6"/>
      <c r="AJ1628" s="6"/>
      <c r="AK1628" s="6"/>
      <c r="AL1628" s="6"/>
    </row>
    <row r="1629" spans="1:38">
      <c r="A1629" s="96">
        <f ca="1">IFERROR(__xludf.DUMMYFUNCTION("""COMPUTED_VALUE"""),45007)</f>
        <v>45007</v>
      </c>
      <c r="B1629" s="6" t="str">
        <f ca="1">IFERROR(__xludf.DUMMYFUNCTION("""COMPUTED_VALUE"""),"Dhanashree Deshpande")</f>
        <v>Dhanashree Deshpande</v>
      </c>
      <c r="C1629" s="6" t="str">
        <f ca="1">IFERROR(__xludf.DUMMYFUNCTION("""COMPUTED_VALUE"""),"dhanashree.deshpande@gmail.com")</f>
        <v>dhanashree.deshpande@gmail.com</v>
      </c>
      <c r="D1629" s="6">
        <f ca="1">IFERROR(__xludf.DUMMYFUNCTION("""COMPUTED_VALUE"""),9845795129)</f>
        <v>9845795129</v>
      </c>
      <c r="E1629" s="6" t="str">
        <f ca="1">IFERROR(__xludf.DUMMYFUNCTION("""COMPUTED_VALUE"""),"Reference")</f>
        <v>Reference</v>
      </c>
      <c r="F1629" s="6" t="str">
        <f ca="1">IFERROR(__xludf.DUMMYFUNCTION("""COMPUTED_VALUE"""),"PSM 2")</f>
        <v>PSM 2</v>
      </c>
      <c r="G1629" s="80">
        <f ca="1">IFERROR(__xludf.DUMMYFUNCTION("""COMPUTED_VALUE"""),44986)</f>
        <v>44986</v>
      </c>
      <c r="H1629" s="6" t="str">
        <f ca="1">IFERROR(__xludf.DUMMYFUNCTION("""COMPUTED_VALUE"""),"Won")</f>
        <v>Won</v>
      </c>
      <c r="I1629" s="6" t="str">
        <f ca="1">IFERROR(__xludf.DUMMYFUNCTION("""COMPUTED_VALUE"""),"25-26 March 2023")</f>
        <v>25-26 March 2023</v>
      </c>
      <c r="J1629" s="6">
        <f ca="1">IFERROR(__xludf.DUMMYFUNCTION("""COMPUTED_VALUE"""),1)</f>
        <v>1</v>
      </c>
      <c r="K1629" s="8">
        <f ca="1">IFERROR(__xludf.DUMMYFUNCTION("""COMPUTED_VALUE"""),24000)</f>
        <v>24000</v>
      </c>
      <c r="L1629" s="8">
        <f ca="1">IFERROR(__xludf.DUMMYFUNCTION("""COMPUTED_VALUE"""),274.851122308749)</f>
        <v>274.85112230874898</v>
      </c>
      <c r="M1629" s="96">
        <f ca="1">IFERROR(__xludf.DUMMYFUNCTION("""COMPUTED_VALUE"""),45007)</f>
        <v>45007</v>
      </c>
      <c r="N1629" s="6" t="str">
        <f ca="1">IFERROR(__xludf.DUMMYFUNCTION("""COMPUTED_VALUE"""),"T10")</f>
        <v>T10</v>
      </c>
      <c r="O1629" s="97">
        <f ca="1">IFERROR(__xludf.DUMMYFUNCTION("""COMPUTED_VALUE"""),45008)</f>
        <v>45008</v>
      </c>
      <c r="P1629" s="6" t="str">
        <f ca="1">IFERROR(__xludf.DUMMYFUNCTION("""COMPUTED_VALUE"""),"CSTM_1YPIP0M3GXC")</f>
        <v>CSTM_1YPIP0M3GXC</v>
      </c>
      <c r="Q1629" s="6" t="str">
        <f ca="1">IFERROR(__xludf.DUMMYFUNCTION("""COMPUTED_VALUE"""),"Reference by aks.rec05@gmail.com")</f>
        <v>Reference by aks.rec05@gmail.com</v>
      </c>
      <c r="R1629" s="6" t="str">
        <f ca="1">IFERROR(__xludf.DUMMYFUNCTION("""COMPUTED_VALUE"""),"Pending")</f>
        <v>Pending</v>
      </c>
      <c r="S1629" s="6" t="str">
        <f ca="1">IFERROR(__xludf.DUMMYFUNCTION("""COMPUTED_VALUE"""),"Category")</f>
        <v>Category</v>
      </c>
      <c r="T1629" s="6"/>
      <c r="U1629" s="6"/>
      <c r="V1629" s="6"/>
      <c r="W1629" s="6"/>
      <c r="X1629" s="6"/>
      <c r="Y1629" s="6"/>
      <c r="Z1629" s="6"/>
      <c r="AA1629" s="6"/>
      <c r="AB1629" s="6"/>
      <c r="AC1629" s="6"/>
      <c r="AD1629" s="6"/>
      <c r="AE1629" s="6"/>
      <c r="AF1629" s="6"/>
      <c r="AG1629" s="6"/>
      <c r="AH1629" s="6"/>
      <c r="AI1629" s="6"/>
      <c r="AJ1629" s="6"/>
      <c r="AK1629" s="6"/>
      <c r="AL1629" s="6"/>
    </row>
    <row r="1630" spans="1:38">
      <c r="A1630" s="96">
        <f ca="1">IFERROR(__xludf.DUMMYFUNCTION("""COMPUTED_VALUE"""),45009)</f>
        <v>45009</v>
      </c>
      <c r="B1630" s="6" t="str">
        <f ca="1">IFERROR(__xludf.DUMMYFUNCTION("""COMPUTED_VALUE"""),"Veveknath")</f>
        <v>Veveknath</v>
      </c>
      <c r="C1630" s="6" t="str">
        <f ca="1">IFERROR(__xludf.DUMMYFUNCTION("""COMPUTED_VALUE"""),"madrasi.vvk@gmail.com")</f>
        <v>madrasi.vvk@gmail.com</v>
      </c>
      <c r="D1630" s="6">
        <f ca="1">IFERROR(__xludf.DUMMYFUNCTION("""COMPUTED_VALUE"""),9884513171)</f>
        <v>9884513171</v>
      </c>
      <c r="E1630" s="6" t="str">
        <f ca="1">IFERROR(__xludf.DUMMYFUNCTION("""COMPUTED_VALUE"""),"course agenda")</f>
        <v>course agenda</v>
      </c>
      <c r="F1630" s="6" t="str">
        <f ca="1">IFERROR(__xludf.DUMMYFUNCTION("""COMPUTED_VALUE"""),"PSM")</f>
        <v>PSM</v>
      </c>
      <c r="G1630" s="80">
        <f ca="1">IFERROR(__xludf.DUMMYFUNCTION("""COMPUTED_VALUE"""),44986)</f>
        <v>44986</v>
      </c>
      <c r="H1630" s="6" t="str">
        <f ca="1">IFERROR(__xludf.DUMMYFUNCTION("""COMPUTED_VALUE"""),"Won")</f>
        <v>Won</v>
      </c>
      <c r="I1630" s="6" t="str">
        <f ca="1">IFERROR(__xludf.DUMMYFUNCTION("""COMPUTED_VALUE"""),"25-26 March 2023")</f>
        <v>25-26 March 2023</v>
      </c>
      <c r="J1630" s="6">
        <f ca="1">IFERROR(__xludf.DUMMYFUNCTION("""COMPUTED_VALUE"""),1)</f>
        <v>1</v>
      </c>
      <c r="K1630" s="8">
        <f ca="1">IFERROR(__xludf.DUMMYFUNCTION("""COMPUTED_VALUE"""),21000)</f>
        <v>21000</v>
      </c>
      <c r="L1630" s="8">
        <f ca="1">IFERROR(__xludf.DUMMYFUNCTION("""COMPUTED_VALUE"""),240.494732020155)</f>
        <v>240.494732020155</v>
      </c>
      <c r="M1630" s="96">
        <f ca="1">IFERROR(__xludf.DUMMYFUNCTION("""COMPUTED_VALUE"""),45009)</f>
        <v>45009</v>
      </c>
      <c r="N1630" s="6" t="str">
        <f ca="1">IFERROR(__xludf.DUMMYFUNCTION("""COMPUTED_VALUE"""),"T10")</f>
        <v>T10</v>
      </c>
      <c r="O1630" s="97">
        <f ca="1">IFERROR(__xludf.DUMMYFUNCTION("""COMPUTED_VALUE"""),45009)</f>
        <v>45009</v>
      </c>
      <c r="P1630" s="6" t="str">
        <f ca="1">IFERROR(__xludf.DUMMYFUNCTION("""COMPUTED_VALUE"""),"CSTM_KMY9FBH3WS")</f>
        <v>CSTM_KMY9FBH3WS</v>
      </c>
      <c r="Q1630" s="6"/>
      <c r="R1630" s="6" t="str">
        <f ca="1">IFERROR(__xludf.DUMMYFUNCTION("""COMPUTED_VALUE"""),"Pending")</f>
        <v>Pending</v>
      </c>
      <c r="S1630" s="6" t="str">
        <f ca="1">IFERROR(__xludf.DUMMYFUNCTION("""COMPUTED_VALUE"""),"Category")</f>
        <v>Category</v>
      </c>
      <c r="T1630" s="6"/>
      <c r="U1630" s="6"/>
      <c r="V1630" s="6"/>
      <c r="W1630" s="6"/>
      <c r="X1630" s="6"/>
      <c r="Y1630" s="6"/>
      <c r="Z1630" s="6"/>
      <c r="AA1630" s="6"/>
      <c r="AB1630" s="6"/>
      <c r="AC1630" s="6"/>
      <c r="AD1630" s="6"/>
      <c r="AE1630" s="6"/>
      <c r="AF1630" s="6"/>
      <c r="AG1630" s="6"/>
      <c r="AH1630" s="6"/>
      <c r="AI1630" s="6"/>
      <c r="AJ1630" s="6"/>
      <c r="AK1630" s="6"/>
      <c r="AL1630" s="6"/>
    </row>
    <row r="1631" spans="1:38">
      <c r="A1631" s="96">
        <f ca="1">IFERROR(__xludf.DUMMYFUNCTION("""COMPUTED_VALUE"""),45012)</f>
        <v>45012</v>
      </c>
      <c r="B1631" s="6" t="str">
        <f ca="1">IFERROR(__xludf.DUMMYFUNCTION("""COMPUTED_VALUE"""),"Sreekanth Putta")</f>
        <v>Sreekanth Putta</v>
      </c>
      <c r="C1631" s="6" t="str">
        <f ca="1">IFERROR(__xludf.DUMMYFUNCTION("""COMPUTED_VALUE"""),"puttasreekanth@gmail.com")</f>
        <v>puttasreekanth@gmail.com</v>
      </c>
      <c r="D1631" s="6">
        <f ca="1">IFERROR(__xludf.DUMMYFUNCTION("""COMPUTED_VALUE"""),9886365251)</f>
        <v>9886365251</v>
      </c>
      <c r="E1631" s="6" t="str">
        <f ca="1">IFERROR(__xludf.DUMMYFUNCTION("""COMPUTED_VALUE"""),"chat_initiated")</f>
        <v>chat_initiated</v>
      </c>
      <c r="F1631" s="6" t="str">
        <f ca="1">IFERROR(__xludf.DUMMYFUNCTION("""COMPUTED_VALUE"""),"PSM")</f>
        <v>PSM</v>
      </c>
      <c r="G1631" s="80">
        <f ca="1">IFERROR(__xludf.DUMMYFUNCTION("""COMPUTED_VALUE"""),44986)</f>
        <v>44986</v>
      </c>
      <c r="H1631" s="6" t="str">
        <f ca="1">IFERROR(__xludf.DUMMYFUNCTION("""COMPUTED_VALUE"""),"Won")</f>
        <v>Won</v>
      </c>
      <c r="I1631" s="6" t="str">
        <f ca="1">IFERROR(__xludf.DUMMYFUNCTION("""COMPUTED_VALUE"""),"1-2 April 2023")</f>
        <v>1-2 April 2023</v>
      </c>
      <c r="J1631" s="6">
        <f ca="1">IFERROR(__xludf.DUMMYFUNCTION("""COMPUTED_VALUE"""),1)</f>
        <v>1</v>
      </c>
      <c r="K1631" s="8">
        <f ca="1">IFERROR(__xludf.DUMMYFUNCTION("""COMPUTED_VALUE"""),21000)</f>
        <v>21000</v>
      </c>
      <c r="L1631" s="8">
        <f ca="1">IFERROR(__xludf.DUMMYFUNCTION("""COMPUTED_VALUE"""),240.494732020155)</f>
        <v>240.494732020155</v>
      </c>
      <c r="M1631" s="96">
        <f ca="1">IFERROR(__xludf.DUMMYFUNCTION("""COMPUTED_VALUE"""),45012)</f>
        <v>45012</v>
      </c>
      <c r="N1631" s="6" t="str">
        <f ca="1">IFERROR(__xludf.DUMMYFUNCTION("""COMPUTED_VALUE"""),"T10")</f>
        <v>T10</v>
      </c>
      <c r="O1631" s="97">
        <f ca="1">IFERROR(__xludf.DUMMYFUNCTION("""COMPUTED_VALUE"""),45012)</f>
        <v>45012</v>
      </c>
      <c r="P1631" s="6" t="str">
        <f ca="1">IFERROR(__xludf.DUMMYFUNCTION("""COMPUTED_VALUE"""),"CSTM_DDGF5VIYUWQ")</f>
        <v>CSTM_DDGF5VIYUWQ</v>
      </c>
      <c r="Q1631" s="6"/>
      <c r="R1631" s="6" t="str">
        <f ca="1">IFERROR(__xludf.DUMMYFUNCTION("""COMPUTED_VALUE"""),"Pending")</f>
        <v>Pending</v>
      </c>
      <c r="S1631" s="6" t="str">
        <f ca="1">IFERROR(__xludf.DUMMYFUNCTION("""COMPUTED_VALUE"""),"Category")</f>
        <v>Category</v>
      </c>
      <c r="T1631" s="6"/>
      <c r="U1631" s="6"/>
      <c r="V1631" s="6"/>
      <c r="W1631" s="6"/>
      <c r="X1631" s="6"/>
      <c r="Y1631" s="6"/>
      <c r="Z1631" s="6"/>
      <c r="AA1631" s="6"/>
      <c r="AB1631" s="6"/>
      <c r="AC1631" s="6"/>
      <c r="AD1631" s="6"/>
      <c r="AE1631" s="6"/>
      <c r="AF1631" s="6"/>
      <c r="AG1631" s="6"/>
      <c r="AH1631" s="6"/>
      <c r="AI1631" s="6"/>
      <c r="AJ1631" s="6"/>
      <c r="AK1631" s="6"/>
      <c r="AL1631" s="6"/>
    </row>
    <row r="1632" spans="1:38">
      <c r="A1632" s="96">
        <f ca="1">IFERROR(__xludf.DUMMYFUNCTION("""COMPUTED_VALUE"""),45015)</f>
        <v>45015</v>
      </c>
      <c r="B1632" s="6" t="str">
        <f ca="1">IFERROR(__xludf.DUMMYFUNCTION("""COMPUTED_VALUE"""),"Poornima Tadankar")</f>
        <v>Poornima Tadankar</v>
      </c>
      <c r="C1632" s="6" t="str">
        <f ca="1">IFERROR(__xludf.DUMMYFUNCTION("""COMPUTED_VALUE"""),"p.tadankar@gmail.com")</f>
        <v>p.tadankar@gmail.com</v>
      </c>
      <c r="D1632" s="6">
        <f ca="1">IFERROR(__xludf.DUMMYFUNCTION("""COMPUTED_VALUE"""),9370732137)</f>
        <v>9370732137</v>
      </c>
      <c r="E1632" s="6" t="str">
        <f ca="1">IFERROR(__xludf.DUMMYFUNCTION("""COMPUTED_VALUE"""),"chat_initiated")</f>
        <v>chat_initiated</v>
      </c>
      <c r="F1632" s="6" t="str">
        <f ca="1">IFERROR(__xludf.DUMMYFUNCTION("""COMPUTED_VALUE"""),"PMP")</f>
        <v>PMP</v>
      </c>
      <c r="G1632" s="80">
        <f ca="1">IFERROR(__xludf.DUMMYFUNCTION("""COMPUTED_VALUE"""),44986)</f>
        <v>44986</v>
      </c>
      <c r="H1632" s="6" t="str">
        <f ca="1">IFERROR(__xludf.DUMMYFUNCTION("""COMPUTED_VALUE"""),"Won")</f>
        <v>Won</v>
      </c>
      <c r="I1632" s="6" t="str">
        <f ca="1">IFERROR(__xludf.DUMMYFUNCTION("""COMPUTED_VALUE"""),"1 April 2023")</f>
        <v>1 April 2023</v>
      </c>
      <c r="J1632" s="6">
        <f ca="1">IFERROR(__xludf.DUMMYFUNCTION("""COMPUTED_VALUE"""),1)</f>
        <v>1</v>
      </c>
      <c r="K1632" s="8">
        <f ca="1">IFERROR(__xludf.DUMMYFUNCTION("""COMPUTED_VALUE"""),10000)</f>
        <v>10000</v>
      </c>
      <c r="L1632" s="8">
        <f ca="1">IFERROR(__xludf.DUMMYFUNCTION("""COMPUTED_VALUE"""),114.521300961978)</f>
        <v>114.521300961978</v>
      </c>
      <c r="M1632" s="96">
        <f ca="1">IFERROR(__xludf.DUMMYFUNCTION("""COMPUTED_VALUE"""),45015)</f>
        <v>45015</v>
      </c>
      <c r="N1632" s="6" t="str">
        <f ca="1">IFERROR(__xludf.DUMMYFUNCTION("""COMPUTED_VALUE"""),"T10")</f>
        <v>T10</v>
      </c>
      <c r="O1632" s="97">
        <f ca="1">IFERROR(__xludf.DUMMYFUNCTION("""COMPUTED_VALUE"""),45015)</f>
        <v>45015</v>
      </c>
      <c r="P1632" s="6" t="str">
        <f ca="1">IFERROR(__xludf.DUMMYFUNCTION("""COMPUTED_VALUE"""),"CSTM_Z93W3I4C2I")</f>
        <v>CSTM_Z93W3I4C2I</v>
      </c>
      <c r="Q1632" s="6"/>
      <c r="R1632" s="6" t="str">
        <f ca="1">IFERROR(__xludf.DUMMYFUNCTION("""COMPUTED_VALUE"""),"Pending")</f>
        <v>Pending</v>
      </c>
      <c r="S1632" s="6" t="str">
        <f ca="1">IFERROR(__xludf.DUMMYFUNCTION("""COMPUTED_VALUE"""),"NonCategory")</f>
        <v>NonCategory</v>
      </c>
      <c r="T1632" s="6"/>
      <c r="U1632" s="6"/>
      <c r="V1632" s="6"/>
      <c r="W1632" s="6"/>
      <c r="X1632" s="6"/>
      <c r="Y1632" s="6"/>
      <c r="Z1632" s="6"/>
      <c r="AA1632" s="6"/>
      <c r="AB1632" s="6"/>
      <c r="AC1632" s="6"/>
      <c r="AD1632" s="6"/>
      <c r="AE1632" s="6"/>
      <c r="AF1632" s="6"/>
      <c r="AG1632" s="6"/>
      <c r="AH1632" s="6"/>
      <c r="AI1632" s="6"/>
      <c r="AJ1632" s="6"/>
      <c r="AK1632" s="6"/>
      <c r="AL1632" s="6"/>
    </row>
    <row r="1633" spans="1:38">
      <c r="A1633" s="96">
        <f ca="1">IFERROR(__xludf.DUMMYFUNCTION("""COMPUTED_VALUE"""),45015)</f>
        <v>45015</v>
      </c>
      <c r="B1633" s="6" t="str">
        <f ca="1">IFERROR(__xludf.DUMMYFUNCTION("""COMPUTED_VALUE"""),"Vanitha G A")</f>
        <v>Vanitha G A</v>
      </c>
      <c r="C1633" s="6" t="str">
        <f ca="1">IFERROR(__xludf.DUMMYFUNCTION("""COMPUTED_VALUE"""),"vanitha.ga@gmail.com")</f>
        <v>vanitha.ga@gmail.com</v>
      </c>
      <c r="D1633" s="6">
        <f ca="1">IFERROR(__xludf.DUMMYFUNCTION("""COMPUTED_VALUE"""),9600003855)</f>
        <v>9600003855</v>
      </c>
      <c r="E1633" s="6" t="str">
        <f ca="1">IFERROR(__xludf.DUMMYFUNCTION("""COMPUTED_VALUE"""),"Existing Account")</f>
        <v>Existing Account</v>
      </c>
      <c r="F1633" s="6" t="str">
        <f ca="1">IFERROR(__xludf.DUMMYFUNCTION("""COMPUTED_VALUE"""),"CSM")</f>
        <v>CSM</v>
      </c>
      <c r="G1633" s="80">
        <f ca="1">IFERROR(__xludf.DUMMYFUNCTION("""COMPUTED_VALUE"""),44986)</f>
        <v>44986</v>
      </c>
      <c r="H1633" s="6" t="str">
        <f ca="1">IFERROR(__xludf.DUMMYFUNCTION("""COMPUTED_VALUE"""),"Won")</f>
        <v>Won</v>
      </c>
      <c r="I1633" s="6" t="str">
        <f ca="1">IFERROR(__xludf.DUMMYFUNCTION("""COMPUTED_VALUE"""),"1-2 April 2023")</f>
        <v>1-2 April 2023</v>
      </c>
      <c r="J1633" s="6">
        <f ca="1">IFERROR(__xludf.DUMMYFUNCTION("""COMPUTED_VALUE"""),1)</f>
        <v>1</v>
      </c>
      <c r="K1633" s="8">
        <f ca="1">IFERROR(__xludf.DUMMYFUNCTION("""COMPUTED_VALUE"""),20000)</f>
        <v>20000</v>
      </c>
      <c r="L1633" s="8">
        <f ca="1">IFERROR(__xludf.DUMMYFUNCTION("""COMPUTED_VALUE"""),229.042601923957)</f>
        <v>229.04260192395699</v>
      </c>
      <c r="M1633" s="96">
        <f ca="1">IFERROR(__xludf.DUMMYFUNCTION("""COMPUTED_VALUE"""),45015)</f>
        <v>45015</v>
      </c>
      <c r="N1633" s="6" t="str">
        <f ca="1">IFERROR(__xludf.DUMMYFUNCTION("""COMPUTED_VALUE"""),"T10")</f>
        <v>T10</v>
      </c>
      <c r="O1633" s="97">
        <f ca="1">IFERROR(__xludf.DUMMYFUNCTION("""COMPUTED_VALUE"""),45015)</f>
        <v>45015</v>
      </c>
      <c r="P1633" s="6" t="str">
        <f ca="1">IFERROR(__xludf.DUMMYFUNCTION("""COMPUTED_VALUE"""),"CSTM_3RKVA4OOFF0")</f>
        <v>CSTM_3RKVA4OOFF0</v>
      </c>
      <c r="Q1633" s="6"/>
      <c r="R1633" s="6" t="str">
        <f ca="1">IFERROR(__xludf.DUMMYFUNCTION("""COMPUTED_VALUE"""),"Pending")</f>
        <v>Pending</v>
      </c>
      <c r="S1633" s="6" t="str">
        <f ca="1">IFERROR(__xludf.DUMMYFUNCTION("""COMPUTED_VALUE"""),"Category")</f>
        <v>Category</v>
      </c>
      <c r="T1633" s="6"/>
      <c r="U1633" s="6"/>
      <c r="V1633" s="6"/>
      <c r="W1633" s="6"/>
      <c r="X1633" s="6"/>
      <c r="Y1633" s="6"/>
      <c r="Z1633" s="6"/>
      <c r="AA1633" s="6"/>
      <c r="AB1633" s="6"/>
      <c r="AC1633" s="6"/>
      <c r="AD1633" s="6"/>
      <c r="AE1633" s="6"/>
      <c r="AF1633" s="6"/>
      <c r="AG1633" s="6"/>
      <c r="AH1633" s="6"/>
      <c r="AI1633" s="6"/>
      <c r="AJ1633" s="6"/>
      <c r="AK1633" s="6"/>
      <c r="AL1633" s="6"/>
    </row>
    <row r="1634" spans="1:38">
      <c r="A1634" s="96">
        <f ca="1">IFERROR(__xludf.DUMMYFUNCTION("""COMPUTED_VALUE"""),45015)</f>
        <v>45015</v>
      </c>
      <c r="B1634" s="6" t="str">
        <f ca="1">IFERROR(__xludf.DUMMYFUNCTION("""COMPUTED_VALUE"""),"Jasaswini Rath")</f>
        <v>Jasaswini Rath</v>
      </c>
      <c r="C1634" s="6" t="str">
        <f ca="1">IFERROR(__xludf.DUMMYFUNCTION("""COMPUTED_VALUE"""),"jasaswinirath4@gmail.com")</f>
        <v>jasaswinirath4@gmail.com</v>
      </c>
      <c r="D1634" s="6">
        <f ca="1">IFERROR(__xludf.DUMMYFUNCTION("""COMPUTED_VALUE"""),9767702544)</f>
        <v>9767702544</v>
      </c>
      <c r="E1634" s="6" t="str">
        <f ca="1">IFERROR(__xludf.DUMMYFUNCTION("""COMPUTED_VALUE"""),"Chat_triggered")</f>
        <v>Chat_triggered</v>
      </c>
      <c r="F1634" s="6" t="str">
        <f ca="1">IFERROR(__xludf.DUMMYFUNCTION("""COMPUTED_VALUE"""),"PSPO")</f>
        <v>PSPO</v>
      </c>
      <c r="G1634" s="80">
        <f ca="1">IFERROR(__xludf.DUMMYFUNCTION("""COMPUTED_VALUE"""),44986)</f>
        <v>44986</v>
      </c>
      <c r="H1634" s="6" t="str">
        <f ca="1">IFERROR(__xludf.DUMMYFUNCTION("""COMPUTED_VALUE"""),"Won")</f>
        <v>Won</v>
      </c>
      <c r="I1634" s="6" t="str">
        <f ca="1">IFERROR(__xludf.DUMMYFUNCTION("""COMPUTED_VALUE"""),"1-2 April 2023")</f>
        <v>1-2 April 2023</v>
      </c>
      <c r="J1634" s="6">
        <f ca="1">IFERROR(__xludf.DUMMYFUNCTION("""COMPUTED_VALUE"""),1)</f>
        <v>1</v>
      </c>
      <c r="K1634" s="8">
        <f ca="1">IFERROR(__xludf.DUMMYFUNCTION("""COMPUTED_VALUE"""),21000)</f>
        <v>21000</v>
      </c>
      <c r="L1634" s="8">
        <f ca="1">IFERROR(__xludf.DUMMYFUNCTION("""COMPUTED_VALUE"""),240.494732020155)</f>
        <v>240.494732020155</v>
      </c>
      <c r="M1634" s="96">
        <f ca="1">IFERROR(__xludf.DUMMYFUNCTION("""COMPUTED_VALUE"""),45015)</f>
        <v>45015</v>
      </c>
      <c r="N1634" s="6" t="str">
        <f ca="1">IFERROR(__xludf.DUMMYFUNCTION("""COMPUTED_VALUE"""),"T10")</f>
        <v>T10</v>
      </c>
      <c r="O1634" s="97">
        <f ca="1">IFERROR(__xludf.DUMMYFUNCTION("""COMPUTED_VALUE"""),45015)</f>
        <v>45015</v>
      </c>
      <c r="P1634" s="6" t="str">
        <f ca="1">IFERROR(__xludf.DUMMYFUNCTION("""COMPUTED_VALUE"""),"CSTM_BDJCKZOY8QM")</f>
        <v>CSTM_BDJCKZOY8QM</v>
      </c>
      <c r="Q1634" s="6"/>
      <c r="R1634" s="6" t="str">
        <f ca="1">IFERROR(__xludf.DUMMYFUNCTION("""COMPUTED_VALUE"""),"Pending")</f>
        <v>Pending</v>
      </c>
      <c r="S1634" s="6" t="str">
        <f ca="1">IFERROR(__xludf.DUMMYFUNCTION("""COMPUTED_VALUE"""),"Category")</f>
        <v>Category</v>
      </c>
      <c r="T1634" s="6"/>
      <c r="U1634" s="6"/>
      <c r="V1634" s="6"/>
      <c r="W1634" s="6"/>
      <c r="X1634" s="6"/>
      <c r="Y1634" s="6"/>
      <c r="Z1634" s="6"/>
      <c r="AA1634" s="6"/>
      <c r="AB1634" s="6"/>
      <c r="AC1634" s="6"/>
      <c r="AD1634" s="6"/>
      <c r="AE1634" s="6"/>
      <c r="AF1634" s="6"/>
      <c r="AG1634" s="6"/>
      <c r="AH1634" s="6"/>
      <c r="AI1634" s="6"/>
      <c r="AJ1634" s="6"/>
      <c r="AK1634" s="6"/>
      <c r="AL1634" s="6"/>
    </row>
    <row r="1635" spans="1:38">
      <c r="A1635" s="96">
        <f ca="1">IFERROR(__xludf.DUMMYFUNCTION("""COMPUTED_VALUE"""),45015)</f>
        <v>45015</v>
      </c>
      <c r="B1635" s="6" t="str">
        <f ca="1">IFERROR(__xludf.DUMMYFUNCTION("""COMPUTED_VALUE"""),"Govind Talasu")</f>
        <v>Govind Talasu</v>
      </c>
      <c r="C1635" s="6" t="str">
        <f ca="1">IFERROR(__xludf.DUMMYFUNCTION("""COMPUTED_VALUE"""),"gtalasu87@yahoo.com")</f>
        <v>gtalasu87@yahoo.com</v>
      </c>
      <c r="D1635" s="6">
        <f ca="1">IFERROR(__xludf.DUMMYFUNCTION("""COMPUTED_VALUE"""),9643814225)</f>
        <v>9643814225</v>
      </c>
      <c r="E1635" s="6" t="str">
        <f ca="1">IFERROR(__xludf.DUMMYFUNCTION("""COMPUTED_VALUE"""),"Reference")</f>
        <v>Reference</v>
      </c>
      <c r="F1635" s="6" t="str">
        <f ca="1">IFERROR(__xludf.DUMMYFUNCTION("""COMPUTED_VALUE"""),"PSM")</f>
        <v>PSM</v>
      </c>
      <c r="G1635" s="80">
        <f ca="1">IFERROR(__xludf.DUMMYFUNCTION("""COMPUTED_VALUE"""),44986)</f>
        <v>44986</v>
      </c>
      <c r="H1635" s="6" t="str">
        <f ca="1">IFERROR(__xludf.DUMMYFUNCTION("""COMPUTED_VALUE"""),"Won")</f>
        <v>Won</v>
      </c>
      <c r="I1635" s="6" t="str">
        <f ca="1">IFERROR(__xludf.DUMMYFUNCTION("""COMPUTED_VALUE"""),"1-2 April 2023")</f>
        <v>1-2 April 2023</v>
      </c>
      <c r="J1635" s="6">
        <f ca="1">IFERROR(__xludf.DUMMYFUNCTION("""COMPUTED_VALUE"""),1)</f>
        <v>1</v>
      </c>
      <c r="K1635" s="8">
        <f ca="1">IFERROR(__xludf.DUMMYFUNCTION("""COMPUTED_VALUE"""),21000)</f>
        <v>21000</v>
      </c>
      <c r="L1635" s="8">
        <f ca="1">IFERROR(__xludf.DUMMYFUNCTION("""COMPUTED_VALUE"""),240.494732020155)</f>
        <v>240.494732020155</v>
      </c>
      <c r="M1635" s="96">
        <f ca="1">IFERROR(__xludf.DUMMYFUNCTION("""COMPUTED_VALUE"""),45015)</f>
        <v>45015</v>
      </c>
      <c r="N1635" s="6" t="str">
        <f ca="1">IFERROR(__xludf.DUMMYFUNCTION("""COMPUTED_VALUE"""),"T10")</f>
        <v>T10</v>
      </c>
      <c r="O1635" s="97">
        <f ca="1">IFERROR(__xludf.DUMMYFUNCTION("""COMPUTED_VALUE"""),45016)</f>
        <v>45016</v>
      </c>
      <c r="P1635" s="6" t="str">
        <f ca="1">IFERROR(__xludf.DUMMYFUNCTION("""COMPUTED_VALUE"""),"CSTM_9KPY7E4SKFP")</f>
        <v>CSTM_9KPY7E4SKFP</v>
      </c>
      <c r="Q1635" s="6" t="str">
        <f ca="1">IFERROR(__xludf.DUMMYFUNCTION("""COMPUTED_VALUE"""),"Reference by alekhyad145@gmail.com")</f>
        <v>Reference by alekhyad145@gmail.com</v>
      </c>
      <c r="R1635" s="6" t="str">
        <f ca="1">IFERROR(__xludf.DUMMYFUNCTION("""COMPUTED_VALUE"""),"Pending")</f>
        <v>Pending</v>
      </c>
      <c r="S1635" s="6" t="str">
        <f ca="1">IFERROR(__xludf.DUMMYFUNCTION("""COMPUTED_VALUE"""),"Category")</f>
        <v>Category</v>
      </c>
      <c r="T1635" s="6"/>
      <c r="U1635" s="6"/>
      <c r="V1635" s="6"/>
      <c r="W1635" s="6"/>
      <c r="X1635" s="6"/>
      <c r="Y1635" s="6"/>
      <c r="Z1635" s="6"/>
      <c r="AA1635" s="6"/>
      <c r="AB1635" s="6"/>
      <c r="AC1635" s="6"/>
      <c r="AD1635" s="6"/>
      <c r="AE1635" s="6"/>
      <c r="AF1635" s="6"/>
      <c r="AG1635" s="6"/>
      <c r="AH1635" s="6"/>
      <c r="AI1635" s="6"/>
      <c r="AJ1635" s="6"/>
      <c r="AK1635" s="6"/>
      <c r="AL1635" s="6"/>
    </row>
    <row r="1636" spans="1:38">
      <c r="A1636" s="96">
        <f ca="1">IFERROR(__xludf.DUMMYFUNCTION("""COMPUTED_VALUE"""),45016)</f>
        <v>45016</v>
      </c>
      <c r="B1636" s="6" t="str">
        <f ca="1">IFERROR(__xludf.DUMMYFUNCTION("""COMPUTED_VALUE"""),"Vaishnavi Rao")</f>
        <v>Vaishnavi Rao</v>
      </c>
      <c r="C1636" s="6" t="str">
        <f ca="1">IFERROR(__xludf.DUMMYFUNCTION("""COMPUTED_VALUE"""),"vk09ahirrao@gmail.com")</f>
        <v>vk09ahirrao@gmail.com</v>
      </c>
      <c r="D1636" s="6">
        <f ca="1">IFERROR(__xludf.DUMMYFUNCTION("""COMPUTED_VALUE"""),9960842798)</f>
        <v>9960842798</v>
      </c>
      <c r="E1636" s="6" t="str">
        <f ca="1">IFERROR(__xludf.DUMMYFUNCTION("""COMPUTED_VALUE"""),"Query box")</f>
        <v>Query box</v>
      </c>
      <c r="F1636" s="6" t="str">
        <f ca="1">IFERROR(__xludf.DUMMYFUNCTION("""COMPUTED_VALUE"""),"PSPO")</f>
        <v>PSPO</v>
      </c>
      <c r="G1636" s="80">
        <f ca="1">IFERROR(__xludf.DUMMYFUNCTION("""COMPUTED_VALUE"""),44986)</f>
        <v>44986</v>
      </c>
      <c r="H1636" s="6" t="str">
        <f ca="1">IFERROR(__xludf.DUMMYFUNCTION("""COMPUTED_VALUE"""),"Won")</f>
        <v>Won</v>
      </c>
      <c r="I1636" s="6" t="str">
        <f ca="1">IFERROR(__xludf.DUMMYFUNCTION("""COMPUTED_VALUE"""),"15-16 April 2023")</f>
        <v>15-16 April 2023</v>
      </c>
      <c r="J1636" s="6">
        <f ca="1">IFERROR(__xludf.DUMMYFUNCTION("""COMPUTED_VALUE"""),1)</f>
        <v>1</v>
      </c>
      <c r="K1636" s="8">
        <f ca="1">IFERROR(__xludf.DUMMYFUNCTION("""COMPUTED_VALUE"""),21000)</f>
        <v>21000</v>
      </c>
      <c r="L1636" s="8">
        <f ca="1">IFERROR(__xludf.DUMMYFUNCTION("""COMPUTED_VALUE"""),240.494732020155)</f>
        <v>240.494732020155</v>
      </c>
      <c r="M1636" s="96">
        <f ca="1">IFERROR(__xludf.DUMMYFUNCTION("""COMPUTED_VALUE"""),45016)</f>
        <v>45016</v>
      </c>
      <c r="N1636" s="6" t="str">
        <f ca="1">IFERROR(__xludf.DUMMYFUNCTION("""COMPUTED_VALUE"""),"T10")</f>
        <v>T10</v>
      </c>
      <c r="O1636" s="97">
        <f ca="1">IFERROR(__xludf.DUMMYFUNCTION("""COMPUTED_VALUE"""),45016)</f>
        <v>45016</v>
      </c>
      <c r="P1636" s="6" t="str">
        <f ca="1">IFERROR(__xludf.DUMMYFUNCTION("""COMPUTED_VALUE"""),"CSTM_IRFGXW8BDFL")</f>
        <v>CSTM_IRFGXW8BDFL</v>
      </c>
      <c r="Q1636" s="6"/>
      <c r="R1636" s="6" t="str">
        <f ca="1">IFERROR(__xludf.DUMMYFUNCTION("""COMPUTED_VALUE"""),"Pending")</f>
        <v>Pending</v>
      </c>
      <c r="S1636" s="6" t="str">
        <f ca="1">IFERROR(__xludf.DUMMYFUNCTION("""COMPUTED_VALUE"""),"Category")</f>
        <v>Category</v>
      </c>
      <c r="T1636" s="6"/>
      <c r="U1636" s="6"/>
      <c r="V1636" s="6"/>
      <c r="W1636" s="6"/>
      <c r="X1636" s="6"/>
      <c r="Y1636" s="6"/>
      <c r="Z1636" s="6"/>
      <c r="AA1636" s="6"/>
      <c r="AB1636" s="6"/>
      <c r="AC1636" s="6"/>
      <c r="AD1636" s="6"/>
      <c r="AE1636" s="6"/>
      <c r="AF1636" s="6"/>
      <c r="AG1636" s="6"/>
      <c r="AH1636" s="6"/>
      <c r="AI1636" s="6"/>
      <c r="AJ1636" s="6"/>
      <c r="AK1636" s="6"/>
      <c r="AL1636" s="6"/>
    </row>
    <row r="1637" spans="1:38">
      <c r="A1637" s="96">
        <f ca="1">IFERROR(__xludf.DUMMYFUNCTION("""COMPUTED_VALUE"""),45016)</f>
        <v>45016</v>
      </c>
      <c r="B1637" s="6" t="str">
        <f ca="1">IFERROR(__xludf.DUMMYFUNCTION("""COMPUTED_VALUE"""),"Prerit Jain")</f>
        <v>Prerit Jain</v>
      </c>
      <c r="C1637" s="6" t="str">
        <f ca="1">IFERROR(__xludf.DUMMYFUNCTION("""COMPUTED_VALUE"""),"preritjain007@gmail.com")</f>
        <v>preritjain007@gmail.com</v>
      </c>
      <c r="D1637" s="6">
        <f ca="1">IFERROR(__xludf.DUMMYFUNCTION("""COMPUTED_VALUE"""),9999374284)</f>
        <v>9999374284</v>
      </c>
      <c r="E1637" s="6" t="str">
        <f ca="1">IFERROR(__xludf.DUMMYFUNCTION("""COMPUTED_VALUE"""),"Query box")</f>
        <v>Query box</v>
      </c>
      <c r="F1637" s="6" t="str">
        <f ca="1">IFERROR(__xludf.DUMMYFUNCTION("""COMPUTED_VALUE"""),"SAFe Agile")</f>
        <v>SAFe Agile</v>
      </c>
      <c r="G1637" s="80">
        <f ca="1">IFERROR(__xludf.DUMMYFUNCTION("""COMPUTED_VALUE"""),44986)</f>
        <v>44986</v>
      </c>
      <c r="H1637" s="6" t="str">
        <f ca="1">IFERROR(__xludf.DUMMYFUNCTION("""COMPUTED_VALUE"""),"Won")</f>
        <v>Won</v>
      </c>
      <c r="I1637" s="6" t="str">
        <f ca="1">IFERROR(__xludf.DUMMYFUNCTION("""COMPUTED_VALUE"""),"1-2 April 2023")</f>
        <v>1-2 April 2023</v>
      </c>
      <c r="J1637" s="6">
        <f ca="1">IFERROR(__xludf.DUMMYFUNCTION("""COMPUTED_VALUE"""),1)</f>
        <v>1</v>
      </c>
      <c r="K1637" s="8">
        <f ca="1">IFERROR(__xludf.DUMMYFUNCTION("""COMPUTED_VALUE"""),40061)</f>
        <v>40061</v>
      </c>
      <c r="L1637" s="8">
        <f ca="1">IFERROR(__xludf.DUMMYFUNCTION("""COMPUTED_VALUE"""),458.783783783783)</f>
        <v>458.78378378378301</v>
      </c>
      <c r="M1637" s="96">
        <f ca="1">IFERROR(__xludf.DUMMYFUNCTION("""COMPUTED_VALUE"""),45016)</f>
        <v>45016</v>
      </c>
      <c r="N1637" s="6" t="str">
        <f ca="1">IFERROR(__xludf.DUMMYFUNCTION("""COMPUTED_VALUE"""),"T10")</f>
        <v>T10</v>
      </c>
      <c r="O1637" s="97">
        <f ca="1">IFERROR(__xludf.DUMMYFUNCTION("""COMPUTED_VALUE"""),45016)</f>
        <v>45016</v>
      </c>
      <c r="P1637" s="6" t="str">
        <f ca="1">IFERROR(__xludf.DUMMYFUNCTION("""COMPUTED_VALUE"""),"CSTM_HJV50M1RZ5B")</f>
        <v>CSTM_HJV50M1RZ5B</v>
      </c>
      <c r="Q1637" s="6"/>
      <c r="R1637" s="6" t="str">
        <f ca="1">IFERROR(__xludf.DUMMYFUNCTION("""COMPUTED_VALUE"""),"Pending")</f>
        <v>Pending</v>
      </c>
      <c r="S1637" s="6" t="str">
        <f ca="1">IFERROR(__xludf.DUMMYFUNCTION("""COMPUTED_VALUE"""),"SAFe")</f>
        <v>SAFe</v>
      </c>
      <c r="T1637" s="6"/>
      <c r="U1637" s="6"/>
      <c r="V1637" s="6"/>
      <c r="W1637" s="6"/>
      <c r="X1637" s="6"/>
      <c r="Y1637" s="6"/>
      <c r="Z1637" s="6"/>
      <c r="AA1637" s="6"/>
      <c r="AB1637" s="6"/>
      <c r="AC1637" s="6"/>
      <c r="AD1637" s="6"/>
      <c r="AE1637" s="6"/>
      <c r="AF1637" s="6"/>
      <c r="AG1637" s="6"/>
      <c r="AH1637" s="6"/>
      <c r="AI1637" s="6"/>
      <c r="AJ1637" s="6"/>
      <c r="AK1637" s="6"/>
      <c r="AL1637" s="6"/>
    </row>
    <row r="1638" spans="1:38">
      <c r="A1638" s="96">
        <f ca="1">IFERROR(__xludf.DUMMYFUNCTION("""COMPUTED_VALUE"""),45019)</f>
        <v>45019</v>
      </c>
      <c r="B1638" s="6" t="str">
        <f ca="1">IFERROR(__xludf.DUMMYFUNCTION("""COMPUTED_VALUE"""),"Prerana P")</f>
        <v>Prerana P</v>
      </c>
      <c r="C1638" s="6" t="str">
        <f ca="1">IFERROR(__xludf.DUMMYFUNCTION("""COMPUTED_VALUE"""),"preranap86@gmail.com")</f>
        <v>preranap86@gmail.com</v>
      </c>
      <c r="D1638" s="6">
        <f ca="1">IFERROR(__xludf.DUMMYFUNCTION("""COMPUTED_VALUE"""),9811756185)</f>
        <v>9811756185</v>
      </c>
      <c r="E1638" s="6" t="str">
        <f ca="1">IFERROR(__xludf.DUMMYFUNCTION("""COMPUTED_VALUE"""),"Tollfree")</f>
        <v>Tollfree</v>
      </c>
      <c r="F1638" s="6" t="str">
        <f ca="1">IFERROR(__xludf.DUMMYFUNCTION("""COMPUTED_VALUE"""),"PSM 2")</f>
        <v>PSM 2</v>
      </c>
      <c r="G1638" s="80">
        <f ca="1">IFERROR(__xludf.DUMMYFUNCTION("""COMPUTED_VALUE"""),45017)</f>
        <v>45017</v>
      </c>
      <c r="H1638" s="6" t="str">
        <f ca="1">IFERROR(__xludf.DUMMYFUNCTION("""COMPUTED_VALUE"""),"Won")</f>
        <v>Won</v>
      </c>
      <c r="I1638" s="6" t="str">
        <f ca="1">IFERROR(__xludf.DUMMYFUNCTION("""COMPUTED_VALUE"""),"22-23 April 2023")</f>
        <v>22-23 April 2023</v>
      </c>
      <c r="J1638" s="6">
        <f ca="1">IFERROR(__xludf.DUMMYFUNCTION("""COMPUTED_VALUE"""),1)</f>
        <v>1</v>
      </c>
      <c r="K1638" s="8">
        <f ca="1">IFERROR(__xludf.DUMMYFUNCTION("""COMPUTED_VALUE"""),24000)</f>
        <v>24000</v>
      </c>
      <c r="L1638" s="8">
        <f ca="1">IFERROR(__xludf.DUMMYFUNCTION("""COMPUTED_VALUE"""),274.851122308749)</f>
        <v>274.85112230874898</v>
      </c>
      <c r="M1638" s="96">
        <f ca="1">IFERROR(__xludf.DUMMYFUNCTION("""COMPUTED_VALUE"""),45019)</f>
        <v>45019</v>
      </c>
      <c r="N1638" s="6" t="str">
        <f ca="1">IFERROR(__xludf.DUMMYFUNCTION("""COMPUTED_VALUE"""),"FH")</f>
        <v>FH</v>
      </c>
      <c r="O1638" s="97">
        <f ca="1">IFERROR(__xludf.DUMMYFUNCTION("""COMPUTED_VALUE"""),45019)</f>
        <v>45019</v>
      </c>
      <c r="P1638" s="6" t="str">
        <f ca="1">IFERROR(__xludf.DUMMYFUNCTION("""COMPUTED_VALUE"""),"CSTM_H571AD97C7N")</f>
        <v>CSTM_H571AD97C7N</v>
      </c>
      <c r="Q1638" s="6"/>
      <c r="R1638" s="6" t="str">
        <f ca="1">IFERROR(__xludf.DUMMYFUNCTION("""COMPUTED_VALUE"""),"Pending")</f>
        <v>Pending</v>
      </c>
      <c r="S1638" s="6" t="str">
        <f ca="1">IFERROR(__xludf.DUMMYFUNCTION("""COMPUTED_VALUE"""),"Category")</f>
        <v>Category</v>
      </c>
      <c r="T1638" s="6"/>
      <c r="U1638" s="6"/>
      <c r="V1638" s="6"/>
      <c r="W1638" s="6"/>
      <c r="X1638" s="6"/>
      <c r="Y1638" s="6"/>
      <c r="Z1638" s="6"/>
      <c r="AA1638" s="6"/>
      <c r="AB1638" s="6"/>
      <c r="AC1638" s="6"/>
      <c r="AD1638" s="6"/>
      <c r="AE1638" s="6"/>
      <c r="AF1638" s="6"/>
      <c r="AG1638" s="6"/>
      <c r="AH1638" s="6"/>
      <c r="AI1638" s="6"/>
      <c r="AJ1638" s="6"/>
      <c r="AK1638" s="6"/>
      <c r="AL1638" s="6"/>
    </row>
    <row r="1639" spans="1:38">
      <c r="A1639" s="96">
        <f ca="1">IFERROR(__xludf.DUMMYFUNCTION("""COMPUTED_VALUE"""),45019)</f>
        <v>45019</v>
      </c>
      <c r="B1639" s="6" t="str">
        <f ca="1">IFERROR(__xludf.DUMMYFUNCTION("""COMPUTED_VALUE"""),"Saurabh Kumar")</f>
        <v>Saurabh Kumar</v>
      </c>
      <c r="C1639" s="6" t="str">
        <f ca="1">IFERROR(__xludf.DUMMYFUNCTION("""COMPUTED_VALUE"""),"saurabh9972931004@gmail.com")</f>
        <v>saurabh9972931004@gmail.com</v>
      </c>
      <c r="D1639" s="6">
        <f ca="1">IFERROR(__xludf.DUMMYFUNCTION("""COMPUTED_VALUE"""),9608154372)</f>
        <v>9608154372</v>
      </c>
      <c r="E1639" s="6" t="str">
        <f ca="1">IFERROR(__xludf.DUMMYFUNCTION("""COMPUTED_VALUE"""),"Query box")</f>
        <v>Query box</v>
      </c>
      <c r="F1639" s="6" t="str">
        <f ca="1">IFERROR(__xludf.DUMMYFUNCTION("""COMPUTED_VALUE"""),"PSPO")</f>
        <v>PSPO</v>
      </c>
      <c r="G1639" s="80">
        <f ca="1">IFERROR(__xludf.DUMMYFUNCTION("""COMPUTED_VALUE"""),45017)</f>
        <v>45017</v>
      </c>
      <c r="H1639" s="6" t="str">
        <f ca="1">IFERROR(__xludf.DUMMYFUNCTION("""COMPUTED_VALUE"""),"Won")</f>
        <v>Won</v>
      </c>
      <c r="I1639" s="6" t="str">
        <f ca="1">IFERROR(__xludf.DUMMYFUNCTION("""COMPUTED_VALUE"""),"15-16 April 2023")</f>
        <v>15-16 April 2023</v>
      </c>
      <c r="J1639" s="6">
        <f ca="1">IFERROR(__xludf.DUMMYFUNCTION("""COMPUTED_VALUE"""),1)</f>
        <v>1</v>
      </c>
      <c r="K1639" s="8">
        <f ca="1">IFERROR(__xludf.DUMMYFUNCTION("""COMPUTED_VALUE"""),21000)</f>
        <v>21000</v>
      </c>
      <c r="L1639" s="8">
        <f ca="1">IFERROR(__xludf.DUMMYFUNCTION("""COMPUTED_VALUE"""),240.494732020155)</f>
        <v>240.494732020155</v>
      </c>
      <c r="M1639" s="96">
        <f ca="1">IFERROR(__xludf.DUMMYFUNCTION("""COMPUTED_VALUE"""),45019)</f>
        <v>45019</v>
      </c>
      <c r="N1639" s="6" t="str">
        <f ca="1">IFERROR(__xludf.DUMMYFUNCTION("""COMPUTED_VALUE"""),"FH")</f>
        <v>FH</v>
      </c>
      <c r="O1639" s="97">
        <f ca="1">IFERROR(__xludf.DUMMYFUNCTION("""COMPUTED_VALUE"""),45019)</f>
        <v>45019</v>
      </c>
      <c r="P1639" s="6" t="str">
        <f ca="1">IFERROR(__xludf.DUMMYFUNCTION("""COMPUTED_VALUE"""),"CSTM_2KEYHVCEERR")</f>
        <v>CSTM_2KEYHVCEERR</v>
      </c>
      <c r="Q1639" s="6"/>
      <c r="R1639" s="6" t="str">
        <f ca="1">IFERROR(__xludf.DUMMYFUNCTION("""COMPUTED_VALUE"""),"Pending")</f>
        <v>Pending</v>
      </c>
      <c r="S1639" s="6" t="str">
        <f ca="1">IFERROR(__xludf.DUMMYFUNCTION("""COMPUTED_VALUE"""),"Category")</f>
        <v>Category</v>
      </c>
      <c r="T1639" s="6"/>
      <c r="U1639" s="6"/>
      <c r="V1639" s="6"/>
      <c r="W1639" s="6"/>
      <c r="X1639" s="6"/>
      <c r="Y1639" s="6"/>
      <c r="Z1639" s="6"/>
      <c r="AA1639" s="6"/>
      <c r="AB1639" s="6"/>
      <c r="AC1639" s="6"/>
      <c r="AD1639" s="6"/>
      <c r="AE1639" s="6"/>
      <c r="AF1639" s="6"/>
      <c r="AG1639" s="6"/>
      <c r="AH1639" s="6"/>
      <c r="AI1639" s="6"/>
      <c r="AJ1639" s="6"/>
      <c r="AK1639" s="6"/>
      <c r="AL1639" s="6"/>
    </row>
    <row r="1640" spans="1:38">
      <c r="A1640" s="96">
        <f ca="1">IFERROR(__xludf.DUMMYFUNCTION("""COMPUTED_VALUE"""),45019)</f>
        <v>45019</v>
      </c>
      <c r="B1640" s="6" t="str">
        <f ca="1">IFERROR(__xludf.DUMMYFUNCTION("""COMPUTED_VALUE"""),"Avinash Rangari")</f>
        <v>Avinash Rangari</v>
      </c>
      <c r="C1640" s="6" t="str">
        <f ca="1">IFERROR(__xludf.DUMMYFUNCTION("""COMPUTED_VALUE"""),"avinash.rangari@ibm.com")</f>
        <v>avinash.rangari@ibm.com</v>
      </c>
      <c r="D1640" s="6">
        <f ca="1">IFERROR(__xludf.DUMMYFUNCTION("""COMPUTED_VALUE"""),9049006222)</f>
        <v>9049006222</v>
      </c>
      <c r="E1640" s="6" t="str">
        <f ca="1">IFERROR(__xludf.DUMMYFUNCTION("""COMPUTED_VALUE"""),"Reference")</f>
        <v>Reference</v>
      </c>
      <c r="F1640" s="6" t="str">
        <f ca="1">IFERROR(__xludf.DUMMYFUNCTION("""COMPUTED_VALUE"""),"CSM")</f>
        <v>CSM</v>
      </c>
      <c r="G1640" s="80">
        <f ca="1">IFERROR(__xludf.DUMMYFUNCTION("""COMPUTED_VALUE"""),45017)</f>
        <v>45017</v>
      </c>
      <c r="H1640" s="6" t="str">
        <f ca="1">IFERROR(__xludf.DUMMYFUNCTION("""COMPUTED_VALUE"""),"Won")</f>
        <v>Won</v>
      </c>
      <c r="I1640" s="6" t="str">
        <f ca="1">IFERROR(__xludf.DUMMYFUNCTION("""COMPUTED_VALUE"""),"15-16 April 2023")</f>
        <v>15-16 April 2023</v>
      </c>
      <c r="J1640" s="6">
        <f ca="1">IFERROR(__xludf.DUMMYFUNCTION("""COMPUTED_VALUE"""),1)</f>
        <v>1</v>
      </c>
      <c r="K1640" s="8">
        <f ca="1">IFERROR(__xludf.DUMMYFUNCTION("""COMPUTED_VALUE"""),20000)</f>
        <v>20000</v>
      </c>
      <c r="L1640" s="8">
        <f ca="1">IFERROR(__xludf.DUMMYFUNCTION("""COMPUTED_VALUE"""),229.042601923957)</f>
        <v>229.04260192395699</v>
      </c>
      <c r="M1640" s="96">
        <f ca="1">IFERROR(__xludf.DUMMYFUNCTION("""COMPUTED_VALUE"""),45019)</f>
        <v>45019</v>
      </c>
      <c r="N1640" s="6" t="str">
        <f ca="1">IFERROR(__xludf.DUMMYFUNCTION("""COMPUTED_VALUE"""),"FH")</f>
        <v>FH</v>
      </c>
      <c r="O1640" s="97">
        <f ca="1">IFERROR(__xludf.DUMMYFUNCTION("""COMPUTED_VALUE"""),45020)</f>
        <v>45020</v>
      </c>
      <c r="P1640" s="6" t="str">
        <f ca="1">IFERROR(__xludf.DUMMYFUNCTION("""COMPUTED_VALUE"""),"CSTM_8QARO1ACPU0")</f>
        <v>CSTM_8QARO1ACPU0</v>
      </c>
      <c r="Q1640" s="6" t="str">
        <f ca="1">IFERROR(__xludf.DUMMYFUNCTION("""COMPUTED_VALUE"""),"Reference by amrapaliashoka@gmail.com")</f>
        <v>Reference by amrapaliashoka@gmail.com</v>
      </c>
      <c r="R1640" s="6" t="str">
        <f ca="1">IFERROR(__xludf.DUMMYFUNCTION("""COMPUTED_VALUE"""),"Pending")</f>
        <v>Pending</v>
      </c>
      <c r="S1640" s="6" t="str">
        <f ca="1">IFERROR(__xludf.DUMMYFUNCTION("""COMPUTED_VALUE"""),"Category")</f>
        <v>Category</v>
      </c>
      <c r="T1640" s="6"/>
      <c r="U1640" s="6"/>
      <c r="V1640" s="6"/>
      <c r="W1640" s="6"/>
      <c r="X1640" s="6"/>
      <c r="Y1640" s="6"/>
      <c r="Z1640" s="6"/>
      <c r="AA1640" s="6"/>
      <c r="AB1640" s="6"/>
      <c r="AC1640" s="6"/>
      <c r="AD1640" s="6"/>
      <c r="AE1640" s="6"/>
      <c r="AF1640" s="6"/>
      <c r="AG1640" s="6"/>
      <c r="AH1640" s="6"/>
      <c r="AI1640" s="6"/>
      <c r="AJ1640" s="6"/>
      <c r="AK1640" s="6"/>
      <c r="AL1640" s="6"/>
    </row>
    <row r="1641" spans="1:38">
      <c r="A1641" s="96">
        <f ca="1">IFERROR(__xludf.DUMMYFUNCTION("""COMPUTED_VALUE"""),45020)</f>
        <v>45020</v>
      </c>
      <c r="B1641" s="6" t="str">
        <f ca="1">IFERROR(__xludf.DUMMYFUNCTION("""COMPUTED_VALUE"""),"Sachin Malvadkar")</f>
        <v>Sachin Malvadkar</v>
      </c>
      <c r="C1641" s="6" t="str">
        <f ca="1">IFERROR(__xludf.DUMMYFUNCTION("""COMPUTED_VALUE"""),"smalvadkar@gmail.com")</f>
        <v>smalvadkar@gmail.com</v>
      </c>
      <c r="D1641" s="6">
        <f ca="1">IFERROR(__xludf.DUMMYFUNCTION("""COMPUTED_VALUE"""),9623121903)</f>
        <v>9623121903</v>
      </c>
      <c r="E1641" s="6" t="str">
        <f ca="1">IFERROR(__xludf.DUMMYFUNCTION("""COMPUTED_VALUE"""),"Reference")</f>
        <v>Reference</v>
      </c>
      <c r="F1641" s="6" t="str">
        <f ca="1">IFERROR(__xludf.DUMMYFUNCTION("""COMPUTED_VALUE"""),"SAFe Agile")</f>
        <v>SAFe Agile</v>
      </c>
      <c r="G1641" s="80">
        <f ca="1">IFERROR(__xludf.DUMMYFUNCTION("""COMPUTED_VALUE"""),45017)</f>
        <v>45017</v>
      </c>
      <c r="H1641" s="6" t="str">
        <f ca="1">IFERROR(__xludf.DUMMYFUNCTION("""COMPUTED_VALUE"""),"Won")</f>
        <v>Won</v>
      </c>
      <c r="I1641" s="6" t="str">
        <f ca="1">IFERROR(__xludf.DUMMYFUNCTION("""COMPUTED_VALUE"""),"8-9 April 2023")</f>
        <v>8-9 April 2023</v>
      </c>
      <c r="J1641" s="6">
        <f ca="1">IFERROR(__xludf.DUMMYFUNCTION("""COMPUTED_VALUE"""),1)</f>
        <v>1</v>
      </c>
      <c r="K1641" s="8">
        <f ca="1">IFERROR(__xludf.DUMMYFUNCTION("""COMPUTED_VALUE"""),42000)</f>
        <v>42000</v>
      </c>
      <c r="L1641" s="8">
        <f ca="1">IFERROR(__xludf.DUMMYFUNCTION("""COMPUTED_VALUE"""),480.989464040311)</f>
        <v>480.98946404031102</v>
      </c>
      <c r="M1641" s="96">
        <f ca="1">IFERROR(__xludf.DUMMYFUNCTION("""COMPUTED_VALUE"""),45020)</f>
        <v>45020</v>
      </c>
      <c r="N1641" s="6" t="str">
        <f ca="1">IFERROR(__xludf.DUMMYFUNCTION("""COMPUTED_VALUE"""),"FH")</f>
        <v>FH</v>
      </c>
      <c r="O1641" s="97">
        <f ca="1">IFERROR(__xludf.DUMMYFUNCTION("""COMPUTED_VALUE"""),45020)</f>
        <v>45020</v>
      </c>
      <c r="P1641" s="6" t="str">
        <f ca="1">IFERROR(__xludf.DUMMYFUNCTION("""COMPUTED_VALUE"""),"CSTM_GF97HZYASGL")</f>
        <v>CSTM_GF97HZYASGL</v>
      </c>
      <c r="Q1641" s="6" t="str">
        <f ca="1">IFERROR(__xludf.DUMMYFUNCTION("""COMPUTED_VALUE"""),"Reference by snehal.malvadkar@gmail.com")</f>
        <v>Reference by snehal.malvadkar@gmail.com</v>
      </c>
      <c r="R1641" s="6" t="str">
        <f ca="1">IFERROR(__xludf.DUMMYFUNCTION("""COMPUTED_VALUE"""),"Pending")</f>
        <v>Pending</v>
      </c>
      <c r="S1641" s="6" t="str">
        <f ca="1">IFERROR(__xludf.DUMMYFUNCTION("""COMPUTED_VALUE"""),"SAFe")</f>
        <v>SAFe</v>
      </c>
      <c r="T1641" s="6"/>
      <c r="U1641" s="6"/>
      <c r="V1641" s="6"/>
      <c r="W1641" s="6"/>
      <c r="X1641" s="6"/>
      <c r="Y1641" s="6"/>
      <c r="Z1641" s="6"/>
      <c r="AA1641" s="6"/>
      <c r="AB1641" s="6"/>
      <c r="AC1641" s="6"/>
      <c r="AD1641" s="6"/>
      <c r="AE1641" s="6"/>
      <c r="AF1641" s="6"/>
      <c r="AG1641" s="6"/>
      <c r="AH1641" s="6"/>
      <c r="AI1641" s="6"/>
      <c r="AJ1641" s="6"/>
      <c r="AK1641" s="6"/>
      <c r="AL1641" s="6"/>
    </row>
    <row r="1642" spans="1:38">
      <c r="A1642" s="96">
        <f ca="1">IFERROR(__xludf.DUMMYFUNCTION("""COMPUTED_VALUE"""),45022)</f>
        <v>45022</v>
      </c>
      <c r="B1642" s="6" t="str">
        <f ca="1">IFERROR(__xludf.DUMMYFUNCTION("""COMPUTED_VALUE"""),"Rishin Mitra")</f>
        <v>Rishin Mitra</v>
      </c>
      <c r="C1642" s="6" t="str">
        <f ca="1">IFERROR(__xludf.DUMMYFUNCTION("""COMPUTED_VALUE"""),"rishinmitra17@gmail.com")</f>
        <v>rishinmitra17@gmail.com</v>
      </c>
      <c r="D1642" s="6">
        <f ca="1">IFERROR(__xludf.DUMMYFUNCTION("""COMPUTED_VALUE"""),9836965888)</f>
        <v>9836965888</v>
      </c>
      <c r="E1642" s="6" t="str">
        <f ca="1">IFERROR(__xludf.DUMMYFUNCTION("""COMPUTED_VALUE"""),"Existing Account")</f>
        <v>Existing Account</v>
      </c>
      <c r="F1642" s="6" t="str">
        <f ca="1">IFERROR(__xludf.DUMMYFUNCTION("""COMPUTED_VALUE"""),"PMP")</f>
        <v>PMP</v>
      </c>
      <c r="G1642" s="80">
        <f ca="1">IFERROR(__xludf.DUMMYFUNCTION("""COMPUTED_VALUE"""),45017)</f>
        <v>45017</v>
      </c>
      <c r="H1642" s="6" t="str">
        <f ca="1">IFERROR(__xludf.DUMMYFUNCTION("""COMPUTED_VALUE"""),"Won")</f>
        <v>Won</v>
      </c>
      <c r="I1642" s="6" t="str">
        <f ca="1">IFERROR(__xludf.DUMMYFUNCTION("""COMPUTED_VALUE"""),"8 April 2023")</f>
        <v>8 April 2023</v>
      </c>
      <c r="J1642" s="6">
        <f ca="1">IFERROR(__xludf.DUMMYFUNCTION("""COMPUTED_VALUE"""),1)</f>
        <v>1</v>
      </c>
      <c r="K1642" s="8">
        <f ca="1">IFERROR(__xludf.DUMMYFUNCTION("""COMPUTED_VALUE"""),10000)</f>
        <v>10000</v>
      </c>
      <c r="L1642" s="8">
        <f ca="1">IFERROR(__xludf.DUMMYFUNCTION("""COMPUTED_VALUE"""),114.521300961978)</f>
        <v>114.521300961978</v>
      </c>
      <c r="M1642" s="96">
        <f ca="1">IFERROR(__xludf.DUMMYFUNCTION("""COMPUTED_VALUE"""),45022)</f>
        <v>45022</v>
      </c>
      <c r="N1642" s="6" t="str">
        <f ca="1">IFERROR(__xludf.DUMMYFUNCTION("""COMPUTED_VALUE"""),"FH")</f>
        <v>FH</v>
      </c>
      <c r="O1642" s="97">
        <f ca="1">IFERROR(__xludf.DUMMYFUNCTION("""COMPUTED_VALUE"""),45023)</f>
        <v>45023</v>
      </c>
      <c r="P1642" s="6" t="str">
        <f ca="1">IFERROR(__xludf.DUMMYFUNCTION("""COMPUTED_VALUE"""),"CSTM_7XY10FNF03D")</f>
        <v>CSTM_7XY10FNF03D</v>
      </c>
      <c r="Q1642" s="6"/>
      <c r="R1642" s="6" t="str">
        <f ca="1">IFERROR(__xludf.DUMMYFUNCTION("""COMPUTED_VALUE"""),"Pending")</f>
        <v>Pending</v>
      </c>
      <c r="S1642" s="6" t="str">
        <f ca="1">IFERROR(__xludf.DUMMYFUNCTION("""COMPUTED_VALUE"""),"NonCategory")</f>
        <v>NonCategory</v>
      </c>
      <c r="T1642" s="6"/>
      <c r="U1642" s="6"/>
      <c r="V1642" s="6"/>
      <c r="W1642" s="6"/>
      <c r="X1642" s="6"/>
      <c r="Y1642" s="6"/>
      <c r="Z1642" s="6"/>
      <c r="AA1642" s="6"/>
      <c r="AB1642" s="6"/>
      <c r="AC1642" s="6"/>
      <c r="AD1642" s="6"/>
      <c r="AE1642" s="6"/>
      <c r="AF1642" s="6"/>
      <c r="AG1642" s="6"/>
      <c r="AH1642" s="6"/>
      <c r="AI1642" s="6"/>
      <c r="AJ1642" s="6"/>
      <c r="AK1642" s="6"/>
      <c r="AL1642" s="6"/>
    </row>
    <row r="1643" spans="1:38">
      <c r="A1643" s="96">
        <f ca="1">IFERROR(__xludf.DUMMYFUNCTION("""COMPUTED_VALUE"""),45022)</f>
        <v>45022</v>
      </c>
      <c r="B1643" s="6" t="str">
        <f ca="1">IFERROR(__xludf.DUMMYFUNCTION("""COMPUTED_VALUE"""),"Rajkumar Nadimuthu")</f>
        <v>Rajkumar Nadimuthu</v>
      </c>
      <c r="C1643" s="6" t="str">
        <f ca="1">IFERROR(__xludf.DUMMYFUNCTION("""COMPUTED_VALUE"""),"rajkumar.nadimuthu@gmail.com")</f>
        <v>rajkumar.nadimuthu@gmail.com</v>
      </c>
      <c r="D1643" s="6">
        <f ca="1">IFERROR(__xludf.DUMMYFUNCTION("""COMPUTED_VALUE"""),6374737091)</f>
        <v>6374737091</v>
      </c>
      <c r="E1643" s="6" t="str">
        <f ca="1">IFERROR(__xludf.DUMMYFUNCTION("""COMPUTED_VALUE"""),"Query box")</f>
        <v>Query box</v>
      </c>
      <c r="F1643" s="6" t="str">
        <f ca="1">IFERROR(__xludf.DUMMYFUNCTION("""COMPUTED_VALUE"""),"PSPO")</f>
        <v>PSPO</v>
      </c>
      <c r="G1643" s="80">
        <f ca="1">IFERROR(__xludf.DUMMYFUNCTION("""COMPUTED_VALUE"""),45017)</f>
        <v>45017</v>
      </c>
      <c r="H1643" s="6" t="str">
        <f ca="1">IFERROR(__xludf.DUMMYFUNCTION("""COMPUTED_VALUE"""),"Won")</f>
        <v>Won</v>
      </c>
      <c r="I1643" s="6" t="str">
        <f ca="1">IFERROR(__xludf.DUMMYFUNCTION("""COMPUTED_VALUE"""),"15-16 April 2023")</f>
        <v>15-16 April 2023</v>
      </c>
      <c r="J1643" s="6">
        <f ca="1">IFERROR(__xludf.DUMMYFUNCTION("""COMPUTED_VALUE"""),1)</f>
        <v>1</v>
      </c>
      <c r="K1643" s="8">
        <f ca="1">IFERROR(__xludf.DUMMYFUNCTION("""COMPUTED_VALUE"""),21000)</f>
        <v>21000</v>
      </c>
      <c r="L1643" s="8">
        <f ca="1">IFERROR(__xludf.DUMMYFUNCTION("""COMPUTED_VALUE"""),240.494732020155)</f>
        <v>240.494732020155</v>
      </c>
      <c r="M1643" s="96">
        <f ca="1">IFERROR(__xludf.DUMMYFUNCTION("""COMPUTED_VALUE"""),45022)</f>
        <v>45022</v>
      </c>
      <c r="N1643" s="6" t="str">
        <f ca="1">IFERROR(__xludf.DUMMYFUNCTION("""COMPUTED_VALUE"""),"FH")</f>
        <v>FH</v>
      </c>
      <c r="O1643" s="97">
        <f ca="1">IFERROR(__xludf.DUMMYFUNCTION("""COMPUTED_VALUE"""),45022)</f>
        <v>45022</v>
      </c>
      <c r="P1643" s="6" t="str">
        <f ca="1">IFERROR(__xludf.DUMMYFUNCTION("""COMPUTED_VALUE"""),"CSTM_DPSC8NLYA0F")</f>
        <v>CSTM_DPSC8NLYA0F</v>
      </c>
      <c r="Q1643" s="6"/>
      <c r="R1643" s="6" t="str">
        <f ca="1">IFERROR(__xludf.DUMMYFUNCTION("""COMPUTED_VALUE"""),"Pending")</f>
        <v>Pending</v>
      </c>
      <c r="S1643" s="6" t="str">
        <f ca="1">IFERROR(__xludf.DUMMYFUNCTION("""COMPUTED_VALUE"""),"Category")</f>
        <v>Category</v>
      </c>
      <c r="T1643" s="6"/>
      <c r="U1643" s="6"/>
      <c r="V1643" s="6"/>
      <c r="W1643" s="6"/>
      <c r="X1643" s="6"/>
      <c r="Y1643" s="6"/>
      <c r="Z1643" s="6"/>
      <c r="AA1643" s="6"/>
      <c r="AB1643" s="6"/>
      <c r="AC1643" s="6"/>
      <c r="AD1643" s="6"/>
      <c r="AE1643" s="6"/>
      <c r="AF1643" s="6"/>
      <c r="AG1643" s="6"/>
      <c r="AH1643" s="6"/>
      <c r="AI1643" s="6"/>
      <c r="AJ1643" s="6"/>
      <c r="AK1643" s="6"/>
      <c r="AL1643" s="6"/>
    </row>
    <row r="1644" spans="1:38">
      <c r="A1644" s="96">
        <f ca="1">IFERROR(__xludf.DUMMYFUNCTION("""COMPUTED_VALUE"""),45023)</f>
        <v>45023</v>
      </c>
      <c r="B1644" s="6" t="str">
        <f ca="1">IFERROR(__xludf.DUMMYFUNCTION("""COMPUTED_VALUE"""),"Manoj Jadhav Rao")</f>
        <v>Manoj Jadhav Rao</v>
      </c>
      <c r="C1644" s="6" t="str">
        <f ca="1">IFERROR(__xludf.DUMMYFUNCTION("""COMPUTED_VALUE"""),"mujadhav@gmail.com")</f>
        <v>mujadhav@gmail.com</v>
      </c>
      <c r="D1644" s="6">
        <f ca="1">IFERROR(__xludf.DUMMYFUNCTION("""COMPUTED_VALUE"""),9867021057)</f>
        <v>9867021057</v>
      </c>
      <c r="E1644" s="6" t="str">
        <f ca="1">IFERROR(__xludf.DUMMYFUNCTION("""COMPUTED_VALUE"""),"course preview")</f>
        <v>course preview</v>
      </c>
      <c r="F1644" s="6" t="str">
        <f ca="1">IFERROR(__xludf.DUMMYFUNCTION("""COMPUTED_VALUE"""),"CSM")</f>
        <v>CSM</v>
      </c>
      <c r="G1644" s="80">
        <f ca="1">IFERROR(__xludf.DUMMYFUNCTION("""COMPUTED_VALUE"""),45017)</f>
        <v>45017</v>
      </c>
      <c r="H1644" s="6" t="str">
        <f ca="1">IFERROR(__xludf.DUMMYFUNCTION("""COMPUTED_VALUE"""),"Won")</f>
        <v>Won</v>
      </c>
      <c r="I1644" s="6" t="str">
        <f ca="1">IFERROR(__xludf.DUMMYFUNCTION("""COMPUTED_VALUE"""),"29-30 April 2023")</f>
        <v>29-30 April 2023</v>
      </c>
      <c r="J1644" s="6">
        <f ca="1">IFERROR(__xludf.DUMMYFUNCTION("""COMPUTED_VALUE"""),1)</f>
        <v>1</v>
      </c>
      <c r="K1644" s="8">
        <f ca="1">IFERROR(__xludf.DUMMYFUNCTION("""COMPUTED_VALUE"""),20000)</f>
        <v>20000</v>
      </c>
      <c r="L1644" s="8">
        <f ca="1">IFERROR(__xludf.DUMMYFUNCTION("""COMPUTED_VALUE"""),229.042601923957)</f>
        <v>229.04260192395699</v>
      </c>
      <c r="M1644" s="96">
        <f ca="1">IFERROR(__xludf.DUMMYFUNCTION("""COMPUTED_VALUE"""),45023)</f>
        <v>45023</v>
      </c>
      <c r="N1644" s="6" t="str">
        <f ca="1">IFERROR(__xludf.DUMMYFUNCTION("""COMPUTED_VALUE"""),"FH")</f>
        <v>FH</v>
      </c>
      <c r="O1644" s="97">
        <f ca="1">IFERROR(__xludf.DUMMYFUNCTION("""COMPUTED_VALUE"""),45023)</f>
        <v>45023</v>
      </c>
      <c r="P1644" s="6" t="str">
        <f ca="1">IFERROR(__xludf.DUMMYFUNCTION("""COMPUTED_VALUE"""),"CSTM_2VFBTE0HOVD")</f>
        <v>CSTM_2VFBTE0HOVD</v>
      </c>
      <c r="Q1644" s="6"/>
      <c r="R1644" s="6" t="str">
        <f ca="1">IFERROR(__xludf.DUMMYFUNCTION("""COMPUTED_VALUE"""),"Feedback done.")</f>
        <v>Feedback done.</v>
      </c>
      <c r="S1644" s="6" t="str">
        <f ca="1">IFERROR(__xludf.DUMMYFUNCTION("""COMPUTED_VALUE"""),"Category")</f>
        <v>Category</v>
      </c>
      <c r="T1644" s="6"/>
      <c r="U1644" s="6"/>
      <c r="V1644" s="6"/>
      <c r="W1644" s="6"/>
      <c r="X1644" s="6"/>
      <c r="Y1644" s="6"/>
      <c r="Z1644" s="6"/>
      <c r="AA1644" s="6"/>
      <c r="AB1644" s="6"/>
      <c r="AC1644" s="6"/>
      <c r="AD1644" s="6"/>
      <c r="AE1644" s="6"/>
      <c r="AF1644" s="6"/>
      <c r="AG1644" s="6"/>
      <c r="AH1644" s="6"/>
      <c r="AI1644" s="6"/>
      <c r="AJ1644" s="6"/>
      <c r="AK1644" s="6"/>
      <c r="AL1644" s="6"/>
    </row>
    <row r="1645" spans="1:38">
      <c r="A1645" s="96">
        <f ca="1">IFERROR(__xludf.DUMMYFUNCTION("""COMPUTED_VALUE"""),45023)</f>
        <v>45023</v>
      </c>
      <c r="B1645" s="6" t="str">
        <f ca="1">IFERROR(__xludf.DUMMYFUNCTION("""COMPUTED_VALUE"""),"Joy Palle")</f>
        <v>Joy Palle</v>
      </c>
      <c r="C1645" s="6" t="str">
        <f ca="1">IFERROR(__xludf.DUMMYFUNCTION("""COMPUTED_VALUE"""),"joypalle@gmail.com")</f>
        <v>joypalle@gmail.com</v>
      </c>
      <c r="D1645" s="6">
        <f ca="1">IFERROR(__xludf.DUMMYFUNCTION("""COMPUTED_VALUE"""),9491446713)</f>
        <v>9491446713</v>
      </c>
      <c r="E1645" s="6" t="str">
        <f ca="1">IFERROR(__xludf.DUMMYFUNCTION("""COMPUTED_VALUE"""),"course agenda")</f>
        <v>course agenda</v>
      </c>
      <c r="F1645" s="6" t="str">
        <f ca="1">IFERROR(__xludf.DUMMYFUNCTION("""COMPUTED_VALUE"""),"PSM 2")</f>
        <v>PSM 2</v>
      </c>
      <c r="G1645" s="80">
        <f ca="1">IFERROR(__xludf.DUMMYFUNCTION("""COMPUTED_VALUE"""),45017)</f>
        <v>45017</v>
      </c>
      <c r="H1645" s="6" t="str">
        <f ca="1">IFERROR(__xludf.DUMMYFUNCTION("""COMPUTED_VALUE"""),"Won")</f>
        <v>Won</v>
      </c>
      <c r="I1645" s="6" t="str">
        <f ca="1">IFERROR(__xludf.DUMMYFUNCTION("""COMPUTED_VALUE"""),"13-14 May 2023")</f>
        <v>13-14 May 2023</v>
      </c>
      <c r="J1645" s="6">
        <f ca="1">IFERROR(__xludf.DUMMYFUNCTION("""COMPUTED_VALUE"""),1)</f>
        <v>1</v>
      </c>
      <c r="K1645" s="8">
        <f ca="1">IFERROR(__xludf.DUMMYFUNCTION("""COMPUTED_VALUE"""),24000)</f>
        <v>24000</v>
      </c>
      <c r="L1645" s="8">
        <f ca="1">IFERROR(__xludf.DUMMYFUNCTION("""COMPUTED_VALUE"""),274.851122308749)</f>
        <v>274.85112230874898</v>
      </c>
      <c r="M1645" s="96">
        <f ca="1">IFERROR(__xludf.DUMMYFUNCTION("""COMPUTED_VALUE"""),45023)</f>
        <v>45023</v>
      </c>
      <c r="N1645" s="6" t="str">
        <f ca="1">IFERROR(__xludf.DUMMYFUNCTION("""COMPUTED_VALUE"""),"FH")</f>
        <v>FH</v>
      </c>
      <c r="O1645" s="97">
        <f ca="1">IFERROR(__xludf.DUMMYFUNCTION("""COMPUTED_VALUE"""),45023)</f>
        <v>45023</v>
      </c>
      <c r="P1645" s="6" t="str">
        <f ca="1">IFERROR(__xludf.DUMMYFUNCTION("""COMPUTED_VALUE"""),"CSTM_4V1HL74S4I6")</f>
        <v>CSTM_4V1HL74S4I6</v>
      </c>
      <c r="Q1645" s="6"/>
      <c r="R1645" s="6" t="str">
        <f ca="1">IFERROR(__xludf.DUMMYFUNCTION("""COMPUTED_VALUE"""),"Pending")</f>
        <v>Pending</v>
      </c>
      <c r="S1645" s="6" t="str">
        <f ca="1">IFERROR(__xludf.DUMMYFUNCTION("""COMPUTED_VALUE"""),"Category")</f>
        <v>Category</v>
      </c>
      <c r="T1645" s="6"/>
      <c r="U1645" s="6"/>
      <c r="V1645" s="6"/>
      <c r="W1645" s="6"/>
      <c r="X1645" s="6"/>
      <c r="Y1645" s="6"/>
      <c r="Z1645" s="6"/>
      <c r="AA1645" s="6"/>
      <c r="AB1645" s="6"/>
      <c r="AC1645" s="6"/>
      <c r="AD1645" s="6"/>
      <c r="AE1645" s="6"/>
      <c r="AF1645" s="6"/>
      <c r="AG1645" s="6"/>
      <c r="AH1645" s="6"/>
      <c r="AI1645" s="6"/>
      <c r="AJ1645" s="6"/>
      <c r="AK1645" s="6"/>
      <c r="AL1645" s="6"/>
    </row>
    <row r="1646" spans="1:38">
      <c r="A1646" s="96">
        <f ca="1">IFERROR(__xludf.DUMMYFUNCTION("""COMPUTED_VALUE"""),45026)</f>
        <v>45026</v>
      </c>
      <c r="B1646" s="6" t="str">
        <f ca="1">IFERROR(__xludf.DUMMYFUNCTION("""COMPUTED_VALUE"""),"Sushil")</f>
        <v>Sushil</v>
      </c>
      <c r="C1646" s="6" t="str">
        <f ca="1">IFERROR(__xludf.DUMMYFUNCTION("""COMPUTED_VALUE"""),"sushil12111@gmail.com")</f>
        <v>sushil12111@gmail.com</v>
      </c>
      <c r="D1646" s="6">
        <f ca="1">IFERROR(__xludf.DUMMYFUNCTION("""COMPUTED_VALUE"""),9987829109)</f>
        <v>9987829109</v>
      </c>
      <c r="E1646" s="6" t="str">
        <f ca="1">IFERROR(__xludf.DUMMYFUNCTION("""COMPUTED_VALUE"""),"Query box")</f>
        <v>Query box</v>
      </c>
      <c r="F1646" s="6" t="str">
        <f ca="1">IFERROR(__xludf.DUMMYFUNCTION("""COMPUTED_VALUE"""),"SAFe POPM")</f>
        <v>SAFe POPM</v>
      </c>
      <c r="G1646" s="80">
        <f ca="1">IFERROR(__xludf.DUMMYFUNCTION("""COMPUTED_VALUE"""),45017)</f>
        <v>45017</v>
      </c>
      <c r="H1646" s="6" t="str">
        <f ca="1">IFERROR(__xludf.DUMMYFUNCTION("""COMPUTED_VALUE"""),"Won")</f>
        <v>Won</v>
      </c>
      <c r="I1646" s="6" t="str">
        <f ca="1">IFERROR(__xludf.DUMMYFUNCTION("""COMPUTED_VALUE"""),"15-16 April 2023")</f>
        <v>15-16 April 2023</v>
      </c>
      <c r="J1646" s="6">
        <f ca="1">IFERROR(__xludf.DUMMYFUNCTION("""COMPUTED_VALUE"""),1)</f>
        <v>1</v>
      </c>
      <c r="K1646" s="8">
        <f ca="1">IFERROR(__xludf.DUMMYFUNCTION("""COMPUTED_VALUE"""),40061)</f>
        <v>40061</v>
      </c>
      <c r="L1646" s="8">
        <f ca="1">IFERROR(__xludf.DUMMYFUNCTION("""COMPUTED_VALUE"""),458.783783783783)</f>
        <v>458.78378378378301</v>
      </c>
      <c r="M1646" s="96">
        <f ca="1">IFERROR(__xludf.DUMMYFUNCTION("""COMPUTED_VALUE"""),45026)</f>
        <v>45026</v>
      </c>
      <c r="N1646" s="6" t="str">
        <f ca="1">IFERROR(__xludf.DUMMYFUNCTION("""COMPUTED_VALUE"""),"FH")</f>
        <v>FH</v>
      </c>
      <c r="O1646" s="97">
        <f ca="1">IFERROR(__xludf.DUMMYFUNCTION("""COMPUTED_VALUE"""),45026)</f>
        <v>45026</v>
      </c>
      <c r="P1646" s="6" t="str">
        <f ca="1">IFERROR(__xludf.DUMMYFUNCTION("""COMPUTED_VALUE"""),"CSTM_1TE5OLQ3YLI")</f>
        <v>CSTM_1TE5OLQ3YLI</v>
      </c>
      <c r="Q1646" s="6"/>
      <c r="R1646" s="6" t="str">
        <f ca="1">IFERROR(__xludf.DUMMYFUNCTION("""COMPUTED_VALUE"""),"Pending")</f>
        <v>Pending</v>
      </c>
      <c r="S1646" s="6" t="str">
        <f ca="1">IFERROR(__xludf.DUMMYFUNCTION("""COMPUTED_VALUE"""),"SAFe")</f>
        <v>SAFe</v>
      </c>
      <c r="T1646" s="6"/>
      <c r="U1646" s="6"/>
      <c r="V1646" s="6"/>
      <c r="W1646" s="6"/>
      <c r="X1646" s="6"/>
      <c r="Y1646" s="6"/>
      <c r="Z1646" s="6"/>
      <c r="AA1646" s="6"/>
      <c r="AB1646" s="6"/>
      <c r="AC1646" s="6"/>
      <c r="AD1646" s="6"/>
      <c r="AE1646" s="6"/>
      <c r="AF1646" s="6"/>
      <c r="AG1646" s="6"/>
      <c r="AH1646" s="6"/>
      <c r="AI1646" s="6"/>
      <c r="AJ1646" s="6"/>
      <c r="AK1646" s="6"/>
      <c r="AL1646" s="6"/>
    </row>
    <row r="1647" spans="1:38">
      <c r="A1647" s="96">
        <f ca="1">IFERROR(__xludf.DUMMYFUNCTION("""COMPUTED_VALUE"""),45026)</f>
        <v>45026</v>
      </c>
      <c r="B1647" s="6" t="str">
        <f ca="1">IFERROR(__xludf.DUMMYFUNCTION("""COMPUTED_VALUE"""),"Poonam Mahajan")</f>
        <v>Poonam Mahajan</v>
      </c>
      <c r="C1647" s="6" t="str">
        <f ca="1">IFERROR(__xludf.DUMMYFUNCTION("""COMPUTED_VALUE"""),"ppmahajan.06@gmail.com")</f>
        <v>ppmahajan.06@gmail.com</v>
      </c>
      <c r="D1647" s="6">
        <f ca="1">IFERROR(__xludf.DUMMYFUNCTION("""COMPUTED_VALUE"""),9011020151)</f>
        <v>9011020151</v>
      </c>
      <c r="E1647" s="6" t="str">
        <f ca="1">IFERROR(__xludf.DUMMYFUNCTION("""COMPUTED_VALUE"""),"Reference")</f>
        <v>Reference</v>
      </c>
      <c r="F1647" s="6" t="str">
        <f ca="1">IFERROR(__xludf.DUMMYFUNCTION("""COMPUTED_VALUE"""),"PSM")</f>
        <v>PSM</v>
      </c>
      <c r="G1647" s="80">
        <f ca="1">IFERROR(__xludf.DUMMYFUNCTION("""COMPUTED_VALUE"""),45017)</f>
        <v>45017</v>
      </c>
      <c r="H1647" s="6" t="str">
        <f ca="1">IFERROR(__xludf.DUMMYFUNCTION("""COMPUTED_VALUE"""),"Won")</f>
        <v>Won</v>
      </c>
      <c r="I1647" s="6" t="str">
        <f ca="1">IFERROR(__xludf.DUMMYFUNCTION("""COMPUTED_VALUE"""),"27-28 May 2023")</f>
        <v>27-28 May 2023</v>
      </c>
      <c r="J1647" s="6">
        <f ca="1">IFERROR(__xludf.DUMMYFUNCTION("""COMPUTED_VALUE"""),1)</f>
        <v>1</v>
      </c>
      <c r="K1647" s="8">
        <f ca="1">IFERROR(__xludf.DUMMYFUNCTION("""COMPUTED_VALUE"""),21000)</f>
        <v>21000</v>
      </c>
      <c r="L1647" s="8">
        <f ca="1">IFERROR(__xludf.DUMMYFUNCTION("""COMPUTED_VALUE"""),240.494732020155)</f>
        <v>240.494732020155</v>
      </c>
      <c r="M1647" s="96">
        <f ca="1">IFERROR(__xludf.DUMMYFUNCTION("""COMPUTED_VALUE"""),45026)</f>
        <v>45026</v>
      </c>
      <c r="N1647" s="6" t="str">
        <f ca="1">IFERROR(__xludf.DUMMYFUNCTION("""COMPUTED_VALUE"""),"FH")</f>
        <v>FH</v>
      </c>
      <c r="O1647" s="97">
        <f ca="1">IFERROR(__xludf.DUMMYFUNCTION("""COMPUTED_VALUE"""),45026)</f>
        <v>45026</v>
      </c>
      <c r="P1647" s="6" t="str">
        <f ca="1">IFERROR(__xludf.DUMMYFUNCTION("""COMPUTED_VALUE"""),"CSTM_15NG5AJU04R")</f>
        <v>CSTM_15NG5AJU04R</v>
      </c>
      <c r="Q1647" s="6" t="str">
        <f ca="1">IFERROR(__xludf.DUMMYFUNCTION("""COMPUTED_VALUE"""),"Reference by amrapaliashoka@gmail.com - Ashish Awandkar")</f>
        <v>Reference by amrapaliashoka@gmail.com - Ashish Awandkar</v>
      </c>
      <c r="R1647" s="6" t="str">
        <f ca="1">IFERROR(__xludf.DUMMYFUNCTION("""COMPUTED_VALUE"""),"Pending")</f>
        <v>Pending</v>
      </c>
      <c r="S1647" s="6" t="str">
        <f ca="1">IFERROR(__xludf.DUMMYFUNCTION("""COMPUTED_VALUE"""),"Category")</f>
        <v>Category</v>
      </c>
      <c r="T1647" s="6"/>
      <c r="U1647" s="6"/>
      <c r="V1647" s="6"/>
      <c r="W1647" s="6"/>
      <c r="X1647" s="6"/>
      <c r="Y1647" s="6"/>
      <c r="Z1647" s="6"/>
      <c r="AA1647" s="6"/>
      <c r="AB1647" s="6"/>
      <c r="AC1647" s="6"/>
      <c r="AD1647" s="6"/>
      <c r="AE1647" s="6"/>
      <c r="AF1647" s="6"/>
      <c r="AG1647" s="6"/>
      <c r="AH1647" s="6"/>
      <c r="AI1647" s="6"/>
      <c r="AJ1647" s="6"/>
      <c r="AK1647" s="6"/>
      <c r="AL1647" s="6"/>
    </row>
    <row r="1648" spans="1:38">
      <c r="A1648" s="96">
        <f ca="1">IFERROR(__xludf.DUMMYFUNCTION("""COMPUTED_VALUE"""),45029)</f>
        <v>45029</v>
      </c>
      <c r="B1648" s="6" t="str">
        <f ca="1">IFERROR(__xludf.DUMMYFUNCTION("""COMPUTED_VALUE"""),"Elesh Maurya")</f>
        <v>Elesh Maurya</v>
      </c>
      <c r="C1648" s="6" t="str">
        <f ca="1">IFERROR(__xludf.DUMMYFUNCTION("""COMPUTED_VALUE"""),"eleshmaurya4333@gmail.com")</f>
        <v>eleshmaurya4333@gmail.com</v>
      </c>
      <c r="D1648" s="6">
        <f ca="1">IFERROR(__xludf.DUMMYFUNCTION("""COMPUTED_VALUE"""),8423137373)</f>
        <v>8423137373</v>
      </c>
      <c r="E1648" s="6" t="str">
        <f ca="1">IFERROR(__xludf.DUMMYFUNCTION("""COMPUTED_VALUE"""),"Query box")</f>
        <v>Query box</v>
      </c>
      <c r="F1648" s="6" t="str">
        <f ca="1">IFERROR(__xludf.DUMMYFUNCTION("""COMPUTED_VALUE"""),"CSM")</f>
        <v>CSM</v>
      </c>
      <c r="G1648" s="80">
        <f ca="1">IFERROR(__xludf.DUMMYFUNCTION("""COMPUTED_VALUE"""),45017)</f>
        <v>45017</v>
      </c>
      <c r="H1648" s="6" t="str">
        <f ca="1">IFERROR(__xludf.DUMMYFUNCTION("""COMPUTED_VALUE"""),"Won")</f>
        <v>Won</v>
      </c>
      <c r="I1648" s="6" t="str">
        <f ca="1">IFERROR(__xludf.DUMMYFUNCTION("""COMPUTED_VALUE"""),"15-16 April 2023")</f>
        <v>15-16 April 2023</v>
      </c>
      <c r="J1648" s="6">
        <f ca="1">IFERROR(__xludf.DUMMYFUNCTION("""COMPUTED_VALUE"""),1)</f>
        <v>1</v>
      </c>
      <c r="K1648" s="8">
        <f ca="1">IFERROR(__xludf.DUMMYFUNCTION("""COMPUTED_VALUE"""),20000)</f>
        <v>20000</v>
      </c>
      <c r="L1648" s="8">
        <f ca="1">IFERROR(__xludf.DUMMYFUNCTION("""COMPUTED_VALUE"""),229.042601923957)</f>
        <v>229.04260192395699</v>
      </c>
      <c r="M1648" s="96">
        <f ca="1">IFERROR(__xludf.DUMMYFUNCTION("""COMPUTED_VALUE"""),45029)</f>
        <v>45029</v>
      </c>
      <c r="N1648" s="6" t="str">
        <f ca="1">IFERROR(__xludf.DUMMYFUNCTION("""COMPUTED_VALUE"""),"FH")</f>
        <v>FH</v>
      </c>
      <c r="O1648" s="97">
        <f ca="1">IFERROR(__xludf.DUMMYFUNCTION("""COMPUTED_VALUE"""),45029)</f>
        <v>45029</v>
      </c>
      <c r="P1648" s="6" t="str">
        <f ca="1">IFERROR(__xludf.DUMMYFUNCTION("""COMPUTED_VALUE"""),"CSTM_4EZHX1NYW9R")</f>
        <v>CSTM_4EZHX1NYW9R</v>
      </c>
      <c r="Q1648" s="6"/>
      <c r="R1648" s="6" t="str">
        <f ca="1">IFERROR(__xludf.DUMMYFUNCTION("""COMPUTED_VALUE"""),"Pending")</f>
        <v>Pending</v>
      </c>
      <c r="S1648" s="6" t="str">
        <f ca="1">IFERROR(__xludf.DUMMYFUNCTION("""COMPUTED_VALUE"""),"Category")</f>
        <v>Category</v>
      </c>
      <c r="T1648" s="6"/>
      <c r="U1648" s="6"/>
      <c r="V1648" s="6"/>
      <c r="W1648" s="6"/>
      <c r="X1648" s="6"/>
      <c r="Y1648" s="6"/>
      <c r="Z1648" s="6"/>
      <c r="AA1648" s="6"/>
      <c r="AB1648" s="6"/>
      <c r="AC1648" s="6"/>
      <c r="AD1648" s="6"/>
      <c r="AE1648" s="6"/>
      <c r="AF1648" s="6"/>
      <c r="AG1648" s="6"/>
      <c r="AH1648" s="6"/>
      <c r="AI1648" s="6"/>
      <c r="AJ1648" s="6"/>
      <c r="AK1648" s="6"/>
      <c r="AL1648" s="6"/>
    </row>
    <row r="1649" spans="1:38">
      <c r="A1649" s="96">
        <f ca="1">IFERROR(__xludf.DUMMYFUNCTION("""COMPUTED_VALUE"""),45030)</f>
        <v>45030</v>
      </c>
      <c r="B1649" s="6" t="str">
        <f ca="1">IFERROR(__xludf.DUMMYFUNCTION("""COMPUTED_VALUE"""),"Suchita Khare")</f>
        <v>Suchita Khare</v>
      </c>
      <c r="C1649" s="6" t="str">
        <f ca="1">IFERROR(__xludf.DUMMYFUNCTION("""COMPUTED_VALUE"""),"skhareurs@gmail.com")</f>
        <v>skhareurs@gmail.com</v>
      </c>
      <c r="D1649" s="6">
        <f ca="1">IFERROR(__xludf.DUMMYFUNCTION("""COMPUTED_VALUE"""),9620956192)</f>
        <v>9620956192</v>
      </c>
      <c r="E1649" s="6" t="str">
        <f ca="1">IFERROR(__xludf.DUMMYFUNCTION("""COMPUTED_VALUE"""),"App Quey box")</f>
        <v>App Quey box</v>
      </c>
      <c r="F1649" s="6" t="str">
        <f ca="1">IFERROR(__xludf.DUMMYFUNCTION("""COMPUTED_VALUE"""),"PSM")</f>
        <v>PSM</v>
      </c>
      <c r="G1649" s="80">
        <f ca="1">IFERROR(__xludf.DUMMYFUNCTION("""COMPUTED_VALUE"""),45017)</f>
        <v>45017</v>
      </c>
      <c r="H1649" s="6" t="str">
        <f ca="1">IFERROR(__xludf.DUMMYFUNCTION("""COMPUTED_VALUE"""),"Won")</f>
        <v>Won</v>
      </c>
      <c r="I1649" s="6" t="str">
        <f ca="1">IFERROR(__xludf.DUMMYFUNCTION("""COMPUTED_VALUE"""),"15-16 April 2023")</f>
        <v>15-16 April 2023</v>
      </c>
      <c r="J1649" s="6">
        <f ca="1">IFERROR(__xludf.DUMMYFUNCTION("""COMPUTED_VALUE"""),1)</f>
        <v>1</v>
      </c>
      <c r="K1649" s="8">
        <f ca="1">IFERROR(__xludf.DUMMYFUNCTION("""COMPUTED_VALUE"""),21000)</f>
        <v>21000</v>
      </c>
      <c r="L1649" s="8">
        <f ca="1">IFERROR(__xludf.DUMMYFUNCTION("""COMPUTED_VALUE"""),240.494732020155)</f>
        <v>240.494732020155</v>
      </c>
      <c r="M1649" s="96">
        <f ca="1">IFERROR(__xludf.DUMMYFUNCTION("""COMPUTED_VALUE"""),45030)</f>
        <v>45030</v>
      </c>
      <c r="N1649" s="6" t="str">
        <f ca="1">IFERROR(__xludf.DUMMYFUNCTION("""COMPUTED_VALUE"""),"FH")</f>
        <v>FH</v>
      </c>
      <c r="O1649" s="97">
        <f ca="1">IFERROR(__xludf.DUMMYFUNCTION("""COMPUTED_VALUE"""),45030)</f>
        <v>45030</v>
      </c>
      <c r="P1649" s="6" t="str">
        <f ca="1">IFERROR(__xludf.DUMMYFUNCTION("""COMPUTED_VALUE"""),"CSTM_87FG1LJK4FT")</f>
        <v>CSTM_87FG1LJK4FT</v>
      </c>
      <c r="Q1649" s="6"/>
      <c r="R1649" s="6" t="str">
        <f ca="1">IFERROR(__xludf.DUMMYFUNCTION("""COMPUTED_VALUE"""),"Pending")</f>
        <v>Pending</v>
      </c>
      <c r="S1649" s="6" t="str">
        <f ca="1">IFERROR(__xludf.DUMMYFUNCTION("""COMPUTED_VALUE"""),"Category")</f>
        <v>Category</v>
      </c>
      <c r="T1649" s="6"/>
      <c r="U1649" s="6"/>
      <c r="V1649" s="6"/>
      <c r="W1649" s="6"/>
      <c r="X1649" s="6"/>
      <c r="Y1649" s="6"/>
      <c r="Z1649" s="6"/>
      <c r="AA1649" s="6"/>
      <c r="AB1649" s="6"/>
      <c r="AC1649" s="6"/>
      <c r="AD1649" s="6"/>
      <c r="AE1649" s="6"/>
      <c r="AF1649" s="6"/>
      <c r="AG1649" s="6"/>
      <c r="AH1649" s="6"/>
      <c r="AI1649" s="6"/>
      <c r="AJ1649" s="6"/>
      <c r="AK1649" s="6"/>
      <c r="AL1649" s="6"/>
    </row>
    <row r="1650" spans="1:38">
      <c r="A1650" s="96">
        <f ca="1">IFERROR(__xludf.DUMMYFUNCTION("""COMPUTED_VALUE"""),45033)</f>
        <v>45033</v>
      </c>
      <c r="B1650" s="6" t="str">
        <f ca="1">IFERROR(__xludf.DUMMYFUNCTION("""COMPUTED_VALUE"""),"Purna Chandra M")</f>
        <v>Purna Chandra M</v>
      </c>
      <c r="C1650" s="6" t="str">
        <f ca="1">IFERROR(__xludf.DUMMYFUNCTION("""COMPUTED_VALUE"""),"purnachandram@quinnox.com")</f>
        <v>purnachandram@quinnox.com</v>
      </c>
      <c r="D1650" s="6">
        <f ca="1">IFERROR(__xludf.DUMMYFUNCTION("""COMPUTED_VALUE"""),2108128877)</f>
        <v>2108128877</v>
      </c>
      <c r="E1650" s="6" t="str">
        <f ca="1">IFERROR(__xludf.DUMMYFUNCTION("""COMPUTED_VALUE"""),"Reference")</f>
        <v>Reference</v>
      </c>
      <c r="F1650" s="6" t="str">
        <f ca="1">IFERROR(__xludf.DUMMYFUNCTION("""COMPUTED_VALUE"""),"ITIL v4")</f>
        <v>ITIL v4</v>
      </c>
      <c r="G1650" s="80">
        <f ca="1">IFERROR(__xludf.DUMMYFUNCTION("""COMPUTED_VALUE"""),45017)</f>
        <v>45017</v>
      </c>
      <c r="H1650" s="6" t="str">
        <f ca="1">IFERROR(__xludf.DUMMYFUNCTION("""COMPUTED_VALUE"""),"Won")</f>
        <v>Won</v>
      </c>
      <c r="I1650" s="6" t="str">
        <f ca="1">IFERROR(__xludf.DUMMYFUNCTION("""COMPUTED_VALUE"""),"OSL")</f>
        <v>OSL</v>
      </c>
      <c r="J1650" s="6">
        <f ca="1">IFERROR(__xludf.DUMMYFUNCTION("""COMPUTED_VALUE"""),1)</f>
        <v>1</v>
      </c>
      <c r="K1650" s="8">
        <f ca="1">IFERROR(__xludf.DUMMYFUNCTION("""COMPUTED_VALUE"""),47939)</f>
        <v>47939</v>
      </c>
      <c r="L1650" s="8">
        <f ca="1">IFERROR(__xludf.DUMMYFUNCTION("""COMPUTED_VALUE"""),549.00366468163)</f>
        <v>549.00366468162997</v>
      </c>
      <c r="M1650" s="96">
        <f ca="1">IFERROR(__xludf.DUMMYFUNCTION("""COMPUTED_VALUE"""),45033)</f>
        <v>45033</v>
      </c>
      <c r="N1650" s="6" t="str">
        <f ca="1">IFERROR(__xludf.DUMMYFUNCTION("""COMPUTED_VALUE"""),"SH")</f>
        <v>SH</v>
      </c>
      <c r="O1650" s="97">
        <f ca="1">IFERROR(__xludf.DUMMYFUNCTION("""COMPUTED_VALUE"""),45033)</f>
        <v>45033</v>
      </c>
      <c r="P1650" s="6" t="str">
        <f ca="1">IFERROR(__xludf.DUMMYFUNCTION("""COMPUTED_VALUE"""),"CSTM_91SOFEZ93D7")</f>
        <v>CSTM_91SOFEZ93D7</v>
      </c>
      <c r="Q1650" s="6"/>
      <c r="R1650" s="6" t="str">
        <f ca="1">IFERROR(__xludf.DUMMYFUNCTION("""COMPUTED_VALUE"""),"Pending")</f>
        <v>Pending</v>
      </c>
      <c r="S1650" s="6" t="str">
        <f ca="1">IFERROR(__xludf.DUMMYFUNCTION("""COMPUTED_VALUE"""),"NonCategory")</f>
        <v>NonCategory</v>
      </c>
      <c r="T1650" s="6"/>
      <c r="U1650" s="6"/>
      <c r="V1650" s="6"/>
      <c r="W1650" s="6"/>
      <c r="X1650" s="6"/>
      <c r="Y1650" s="6"/>
      <c r="Z1650" s="6"/>
      <c r="AA1650" s="6"/>
      <c r="AB1650" s="6"/>
      <c r="AC1650" s="6"/>
      <c r="AD1650" s="6"/>
      <c r="AE1650" s="6"/>
      <c r="AF1650" s="6"/>
      <c r="AG1650" s="6"/>
      <c r="AH1650" s="6"/>
      <c r="AI1650" s="6"/>
      <c r="AJ1650" s="6"/>
      <c r="AK1650" s="6"/>
      <c r="AL1650" s="6"/>
    </row>
    <row r="1651" spans="1:38">
      <c r="A1651" s="96">
        <f ca="1">IFERROR(__xludf.DUMMYFUNCTION("""COMPUTED_VALUE"""),45034)</f>
        <v>45034</v>
      </c>
      <c r="B1651" s="6" t="str">
        <f ca="1">IFERROR(__xludf.DUMMYFUNCTION("""COMPUTED_VALUE"""),"Jitendra Sananse")</f>
        <v>Jitendra Sananse</v>
      </c>
      <c r="C1651" s="6" t="str">
        <f ca="1">IFERROR(__xludf.DUMMYFUNCTION("""COMPUTED_VALUE"""),"jitendras@softwebsolutions.com")</f>
        <v>jitendras@softwebsolutions.com</v>
      </c>
      <c r="D1651" s="6">
        <f ca="1">IFERROR(__xludf.DUMMYFUNCTION("""COMPUTED_VALUE"""),9898692887)</f>
        <v>9898692887</v>
      </c>
      <c r="E1651" s="6" t="str">
        <f ca="1">IFERROR(__xludf.DUMMYFUNCTION("""COMPUTED_VALUE"""),"Reference")</f>
        <v>Reference</v>
      </c>
      <c r="F1651" s="6" t="str">
        <f ca="1">IFERROR(__xludf.DUMMYFUNCTION("""COMPUTED_VALUE"""),"CSM")</f>
        <v>CSM</v>
      </c>
      <c r="G1651" s="80">
        <f ca="1">IFERROR(__xludf.DUMMYFUNCTION("""COMPUTED_VALUE"""),45017)</f>
        <v>45017</v>
      </c>
      <c r="H1651" s="6" t="str">
        <f ca="1">IFERROR(__xludf.DUMMYFUNCTION("""COMPUTED_VALUE"""),"Won")</f>
        <v>Won</v>
      </c>
      <c r="I1651" s="6" t="str">
        <f ca="1">IFERROR(__xludf.DUMMYFUNCTION("""COMPUTED_VALUE"""),"4-5 May 2023")</f>
        <v>4-5 May 2023</v>
      </c>
      <c r="J1651" s="6">
        <f ca="1">IFERROR(__xludf.DUMMYFUNCTION("""COMPUTED_VALUE"""),1)</f>
        <v>1</v>
      </c>
      <c r="K1651" s="8">
        <f ca="1">IFERROR(__xludf.DUMMYFUNCTION("""COMPUTED_VALUE"""),20000)</f>
        <v>20000</v>
      </c>
      <c r="L1651" s="8">
        <f ca="1">IFERROR(__xludf.DUMMYFUNCTION("""COMPUTED_VALUE"""),229.042601923957)</f>
        <v>229.04260192395699</v>
      </c>
      <c r="M1651" s="96">
        <f ca="1">IFERROR(__xludf.DUMMYFUNCTION("""COMPUTED_VALUE"""),45034)</f>
        <v>45034</v>
      </c>
      <c r="N1651" s="6" t="str">
        <f ca="1">IFERROR(__xludf.DUMMYFUNCTION("""COMPUTED_VALUE"""),"SH")</f>
        <v>SH</v>
      </c>
      <c r="O1651" s="97">
        <f ca="1">IFERROR(__xludf.DUMMYFUNCTION("""COMPUTED_VALUE"""),45034)</f>
        <v>45034</v>
      </c>
      <c r="P1651" s="6" t="str">
        <f ca="1">IFERROR(__xludf.DUMMYFUNCTION("""COMPUTED_VALUE"""),"CSTM_9VKV5D3WURW")</f>
        <v>CSTM_9VKV5D3WURW</v>
      </c>
      <c r="Q1651" s="6"/>
      <c r="R1651" s="6" t="str">
        <f ca="1">IFERROR(__xludf.DUMMYFUNCTION("""COMPUTED_VALUE"""),"Pending")</f>
        <v>Pending</v>
      </c>
      <c r="S1651" s="6" t="str">
        <f ca="1">IFERROR(__xludf.DUMMYFUNCTION("""COMPUTED_VALUE"""),"Category")</f>
        <v>Category</v>
      </c>
      <c r="T1651" s="6"/>
      <c r="U1651" s="6"/>
      <c r="V1651" s="6"/>
      <c r="W1651" s="6"/>
      <c r="X1651" s="6"/>
      <c r="Y1651" s="6"/>
      <c r="Z1651" s="6"/>
      <c r="AA1651" s="6"/>
      <c r="AB1651" s="6"/>
      <c r="AC1651" s="6"/>
      <c r="AD1651" s="6"/>
      <c r="AE1651" s="6"/>
      <c r="AF1651" s="6"/>
      <c r="AG1651" s="6"/>
      <c r="AH1651" s="6"/>
      <c r="AI1651" s="6"/>
      <c r="AJ1651" s="6"/>
      <c r="AK1651" s="6"/>
      <c r="AL1651" s="6"/>
    </row>
    <row r="1652" spans="1:38">
      <c r="A1652" s="96">
        <f ca="1">IFERROR(__xludf.DUMMYFUNCTION("""COMPUTED_VALUE"""),45034)</f>
        <v>45034</v>
      </c>
      <c r="B1652" s="6" t="str">
        <f ca="1">IFERROR(__xludf.DUMMYFUNCTION("""COMPUTED_VALUE"""),"Avinash Kale")</f>
        <v>Avinash Kale</v>
      </c>
      <c r="C1652" s="6" t="str">
        <f ca="1">IFERROR(__xludf.DUMMYFUNCTION("""COMPUTED_VALUE"""),"kale.avinash1317@gmail.com")</f>
        <v>kale.avinash1317@gmail.com</v>
      </c>
      <c r="D1652" s="6">
        <f ca="1">IFERROR(__xludf.DUMMYFUNCTION("""COMPUTED_VALUE"""),9096825305)</f>
        <v>9096825305</v>
      </c>
      <c r="E1652" s="6" t="str">
        <f ca="1">IFERROR(__xludf.DUMMYFUNCTION("""COMPUTED_VALUE"""),"Reference")</f>
        <v>Reference</v>
      </c>
      <c r="F1652" s="6" t="str">
        <f ca="1">IFERROR(__xludf.DUMMYFUNCTION("""COMPUTED_VALUE"""),"PSM 2")</f>
        <v>PSM 2</v>
      </c>
      <c r="G1652" s="80">
        <f ca="1">IFERROR(__xludf.DUMMYFUNCTION("""COMPUTED_VALUE"""),45017)</f>
        <v>45017</v>
      </c>
      <c r="H1652" s="6" t="str">
        <f ca="1">IFERROR(__xludf.DUMMYFUNCTION("""COMPUTED_VALUE"""),"Won")</f>
        <v>Won</v>
      </c>
      <c r="I1652" s="6" t="str">
        <f ca="1">IFERROR(__xludf.DUMMYFUNCTION("""COMPUTED_VALUE"""),"22-23 April 2023")</f>
        <v>22-23 April 2023</v>
      </c>
      <c r="J1652" s="6">
        <f ca="1">IFERROR(__xludf.DUMMYFUNCTION("""COMPUTED_VALUE"""),1)</f>
        <v>1</v>
      </c>
      <c r="K1652" s="8">
        <f ca="1">IFERROR(__xludf.DUMMYFUNCTION("""COMPUTED_VALUE"""),24000)</f>
        <v>24000</v>
      </c>
      <c r="L1652" s="8">
        <f ca="1">IFERROR(__xludf.DUMMYFUNCTION("""COMPUTED_VALUE"""),274.851122308749)</f>
        <v>274.85112230874898</v>
      </c>
      <c r="M1652" s="96">
        <f ca="1">IFERROR(__xludf.DUMMYFUNCTION("""COMPUTED_VALUE"""),45034)</f>
        <v>45034</v>
      </c>
      <c r="N1652" s="6" t="str">
        <f ca="1">IFERROR(__xludf.DUMMYFUNCTION("""COMPUTED_VALUE"""),"SH")</f>
        <v>SH</v>
      </c>
      <c r="O1652" s="97">
        <f ca="1">IFERROR(__xludf.DUMMYFUNCTION("""COMPUTED_VALUE"""),45034)</f>
        <v>45034</v>
      </c>
      <c r="P1652" s="6" t="str">
        <f ca="1">IFERROR(__xludf.DUMMYFUNCTION("""COMPUTED_VALUE"""),"CSTM_DESD07YSBIP")</f>
        <v>CSTM_DESD07YSBIP</v>
      </c>
      <c r="Q1652" s="6" t="str">
        <f ca="1">IFERROR(__xludf.DUMMYFUNCTION("""COMPUTED_VALUE"""),"Reference by mahesh.mahajan13@gmail.com")</f>
        <v>Reference by mahesh.mahajan13@gmail.com</v>
      </c>
      <c r="R1652" s="6" t="str">
        <f ca="1">IFERROR(__xludf.DUMMYFUNCTION("""COMPUTED_VALUE"""),"Pending")</f>
        <v>Pending</v>
      </c>
      <c r="S1652" s="6" t="str">
        <f ca="1">IFERROR(__xludf.DUMMYFUNCTION("""COMPUTED_VALUE"""),"Category")</f>
        <v>Category</v>
      </c>
      <c r="T1652" s="6"/>
      <c r="U1652" s="6"/>
      <c r="V1652" s="6"/>
      <c r="W1652" s="6"/>
      <c r="X1652" s="6"/>
      <c r="Y1652" s="6"/>
      <c r="Z1652" s="6"/>
      <c r="AA1652" s="6"/>
      <c r="AB1652" s="6"/>
      <c r="AC1652" s="6"/>
      <c r="AD1652" s="6"/>
      <c r="AE1652" s="6"/>
      <c r="AF1652" s="6"/>
      <c r="AG1652" s="6"/>
      <c r="AH1652" s="6"/>
      <c r="AI1652" s="6"/>
      <c r="AJ1652" s="6"/>
      <c r="AK1652" s="6"/>
      <c r="AL1652" s="6"/>
    </row>
    <row r="1653" spans="1:38">
      <c r="A1653" s="96">
        <f ca="1">IFERROR(__xludf.DUMMYFUNCTION("""COMPUTED_VALUE"""),45036)</f>
        <v>45036</v>
      </c>
      <c r="B1653" s="6" t="str">
        <f ca="1">IFERROR(__xludf.DUMMYFUNCTION("""COMPUTED_VALUE"""),"Vrinda Mohan")</f>
        <v>Vrinda Mohan</v>
      </c>
      <c r="C1653" s="6" t="str">
        <f ca="1">IFERROR(__xludf.DUMMYFUNCTION("""COMPUTED_VALUE"""),"vrivish06@gmail.com")</f>
        <v>vrivish06@gmail.com</v>
      </c>
      <c r="D1653" s="6">
        <f ca="1">IFERROR(__xludf.DUMMYFUNCTION("""COMPUTED_VALUE"""),8106044711)</f>
        <v>8106044711</v>
      </c>
      <c r="E1653" s="6" t="str">
        <f ca="1">IFERROR(__xludf.DUMMYFUNCTION("""COMPUTED_VALUE"""),"course agenda")</f>
        <v>course agenda</v>
      </c>
      <c r="F1653" s="6" t="str">
        <f ca="1">IFERROR(__xludf.DUMMYFUNCTION("""COMPUTED_VALUE"""),"PSPO")</f>
        <v>PSPO</v>
      </c>
      <c r="G1653" s="80">
        <f ca="1">IFERROR(__xludf.DUMMYFUNCTION("""COMPUTED_VALUE"""),45017)</f>
        <v>45017</v>
      </c>
      <c r="H1653" s="6" t="str">
        <f ca="1">IFERROR(__xludf.DUMMYFUNCTION("""COMPUTED_VALUE"""),"Won")</f>
        <v>Won</v>
      </c>
      <c r="I1653" s="6" t="str">
        <f ca="1">IFERROR(__xludf.DUMMYFUNCTION("""COMPUTED_VALUE"""),"29-30 April 2023")</f>
        <v>29-30 April 2023</v>
      </c>
      <c r="J1653" s="6">
        <f ca="1">IFERROR(__xludf.DUMMYFUNCTION("""COMPUTED_VALUE"""),1)</f>
        <v>1</v>
      </c>
      <c r="K1653" s="8">
        <f ca="1">IFERROR(__xludf.DUMMYFUNCTION("""COMPUTED_VALUE"""),20000)</f>
        <v>20000</v>
      </c>
      <c r="L1653" s="8">
        <f ca="1">IFERROR(__xludf.DUMMYFUNCTION("""COMPUTED_VALUE"""),229.042601923957)</f>
        <v>229.04260192395699</v>
      </c>
      <c r="M1653" s="96">
        <f ca="1">IFERROR(__xludf.DUMMYFUNCTION("""COMPUTED_VALUE"""),45036)</f>
        <v>45036</v>
      </c>
      <c r="N1653" s="6" t="str">
        <f ca="1">IFERROR(__xludf.DUMMYFUNCTION("""COMPUTED_VALUE"""),"SH")</f>
        <v>SH</v>
      </c>
      <c r="O1653" s="97">
        <f ca="1">IFERROR(__xludf.DUMMYFUNCTION("""COMPUTED_VALUE"""),45036)</f>
        <v>45036</v>
      </c>
      <c r="P1653" s="6" t="str">
        <f ca="1">IFERROR(__xludf.DUMMYFUNCTION("""COMPUTED_VALUE"""),"CSTM_DABSDEZO334")</f>
        <v>CSTM_DABSDEZO334</v>
      </c>
      <c r="Q1653" s="6"/>
      <c r="R1653" s="6" t="str">
        <f ca="1">IFERROR(__xludf.DUMMYFUNCTION("""COMPUTED_VALUE"""),"Feedback done.")</f>
        <v>Feedback done.</v>
      </c>
      <c r="S1653" s="6" t="str">
        <f ca="1">IFERROR(__xludf.DUMMYFUNCTION("""COMPUTED_VALUE"""),"Category")</f>
        <v>Category</v>
      </c>
      <c r="T1653" s="6"/>
      <c r="U1653" s="6"/>
      <c r="V1653" s="6"/>
      <c r="W1653" s="6"/>
      <c r="X1653" s="6"/>
      <c r="Y1653" s="6"/>
      <c r="Z1653" s="6"/>
      <c r="AA1653" s="6"/>
      <c r="AB1653" s="6"/>
      <c r="AC1653" s="6"/>
      <c r="AD1653" s="6"/>
      <c r="AE1653" s="6"/>
      <c r="AF1653" s="6"/>
      <c r="AG1653" s="6"/>
      <c r="AH1653" s="6"/>
      <c r="AI1653" s="6"/>
      <c r="AJ1653" s="6"/>
      <c r="AK1653" s="6"/>
      <c r="AL1653" s="6"/>
    </row>
    <row r="1654" spans="1:38">
      <c r="A1654" s="96">
        <f ca="1">IFERROR(__xludf.DUMMYFUNCTION("""COMPUTED_VALUE"""),45036)</f>
        <v>45036</v>
      </c>
      <c r="B1654" s="6" t="str">
        <f ca="1">IFERROR(__xludf.DUMMYFUNCTION("""COMPUTED_VALUE"""),"Pooja Singh")</f>
        <v>Pooja Singh</v>
      </c>
      <c r="C1654" s="6" t="str">
        <f ca="1">IFERROR(__xludf.DUMMYFUNCTION("""COMPUTED_VALUE"""),"spj.7071@gmail.com")</f>
        <v>spj.7071@gmail.com</v>
      </c>
      <c r="D1654" s="6">
        <f ca="1">IFERROR(__xludf.DUMMYFUNCTION("""COMPUTED_VALUE"""),9695342261)</f>
        <v>9695342261</v>
      </c>
      <c r="E1654" s="6" t="str">
        <f ca="1">IFERROR(__xludf.DUMMYFUNCTION("""COMPUTED_VALUE"""),"Reference")</f>
        <v>Reference</v>
      </c>
      <c r="F1654" s="6" t="str">
        <f ca="1">IFERROR(__xludf.DUMMYFUNCTION("""COMPUTED_VALUE"""),"CSM")</f>
        <v>CSM</v>
      </c>
      <c r="G1654" s="80">
        <f ca="1">IFERROR(__xludf.DUMMYFUNCTION("""COMPUTED_VALUE"""),45017)</f>
        <v>45017</v>
      </c>
      <c r="H1654" s="6" t="str">
        <f ca="1">IFERROR(__xludf.DUMMYFUNCTION("""COMPUTED_VALUE"""),"Won")</f>
        <v>Won</v>
      </c>
      <c r="I1654" s="6" t="str">
        <f ca="1">IFERROR(__xludf.DUMMYFUNCTION("""COMPUTED_VALUE"""),"22-23 April 2023")</f>
        <v>22-23 April 2023</v>
      </c>
      <c r="J1654" s="6">
        <f ca="1">IFERROR(__xludf.DUMMYFUNCTION("""COMPUTED_VALUE"""),1)</f>
        <v>1</v>
      </c>
      <c r="K1654" s="8">
        <f ca="1">IFERROR(__xludf.DUMMYFUNCTION("""COMPUTED_VALUE"""),20000)</f>
        <v>20000</v>
      </c>
      <c r="L1654" s="8">
        <f ca="1">IFERROR(__xludf.DUMMYFUNCTION("""COMPUTED_VALUE"""),229.042601923957)</f>
        <v>229.04260192395699</v>
      </c>
      <c r="M1654" s="96">
        <f ca="1">IFERROR(__xludf.DUMMYFUNCTION("""COMPUTED_VALUE"""),45036)</f>
        <v>45036</v>
      </c>
      <c r="N1654" s="6" t="str">
        <f ca="1">IFERROR(__xludf.DUMMYFUNCTION("""COMPUTED_VALUE"""),"SH")</f>
        <v>SH</v>
      </c>
      <c r="O1654" s="97">
        <f ca="1">IFERROR(__xludf.DUMMYFUNCTION("""COMPUTED_VALUE"""),45036)</f>
        <v>45036</v>
      </c>
      <c r="P1654" s="6" t="str">
        <f ca="1">IFERROR(__xludf.DUMMYFUNCTION("""COMPUTED_VALUE"""),"CSTM_4539TOXW4ND")</f>
        <v>CSTM_4539TOXW4ND</v>
      </c>
      <c r="Q1654" s="6"/>
      <c r="R1654" s="6" t="str">
        <f ca="1">IFERROR(__xludf.DUMMYFUNCTION("""COMPUTED_VALUE"""),"Pending")</f>
        <v>Pending</v>
      </c>
      <c r="S1654" s="6" t="str">
        <f ca="1">IFERROR(__xludf.DUMMYFUNCTION("""COMPUTED_VALUE"""),"Category")</f>
        <v>Category</v>
      </c>
      <c r="T1654" s="6"/>
      <c r="U1654" s="6"/>
      <c r="V1654" s="6"/>
      <c r="W1654" s="6"/>
      <c r="X1654" s="6"/>
      <c r="Y1654" s="6"/>
      <c r="Z1654" s="6"/>
      <c r="AA1654" s="6"/>
      <c r="AB1654" s="6"/>
      <c r="AC1654" s="6"/>
      <c r="AD1654" s="6"/>
      <c r="AE1654" s="6"/>
      <c r="AF1654" s="6"/>
      <c r="AG1654" s="6"/>
      <c r="AH1654" s="6"/>
      <c r="AI1654" s="6"/>
      <c r="AJ1654" s="6"/>
      <c r="AK1654" s="6"/>
      <c r="AL1654" s="6"/>
    </row>
    <row r="1655" spans="1:38">
      <c r="A1655" s="96">
        <f ca="1">IFERROR(__xludf.DUMMYFUNCTION("""COMPUTED_VALUE"""),45037)</f>
        <v>45037</v>
      </c>
      <c r="B1655" s="6" t="str">
        <f ca="1">IFERROR(__xludf.DUMMYFUNCTION("""COMPUTED_VALUE"""),"Pankaj Agrawal")</f>
        <v>Pankaj Agrawal</v>
      </c>
      <c r="C1655" s="6" t="str">
        <f ca="1">IFERROR(__xludf.DUMMYFUNCTION("""COMPUTED_VALUE"""),"pankajagrawal96@gmail.com")</f>
        <v>pankajagrawal96@gmail.com</v>
      </c>
      <c r="D1655" s="6">
        <f ca="1">IFERROR(__xludf.DUMMYFUNCTION("""COMPUTED_VALUE"""),8193932525)</f>
        <v>8193932525</v>
      </c>
      <c r="E1655" s="6" t="str">
        <f ca="1">IFERROR(__xludf.DUMMYFUNCTION("""COMPUTED_VALUE"""),"Query box")</f>
        <v>Query box</v>
      </c>
      <c r="F1655" s="6" t="str">
        <f ca="1">IFERROR(__xludf.DUMMYFUNCTION("""COMPUTED_VALUE"""),"PSM")</f>
        <v>PSM</v>
      </c>
      <c r="G1655" s="80">
        <f ca="1">IFERROR(__xludf.DUMMYFUNCTION("""COMPUTED_VALUE"""),45017)</f>
        <v>45017</v>
      </c>
      <c r="H1655" s="6" t="str">
        <f ca="1">IFERROR(__xludf.DUMMYFUNCTION("""COMPUTED_VALUE"""),"Won")</f>
        <v>Won</v>
      </c>
      <c r="I1655" s="6" t="str">
        <f ca="1">IFERROR(__xludf.DUMMYFUNCTION("""COMPUTED_VALUE"""),"6-7 May 2023")</f>
        <v>6-7 May 2023</v>
      </c>
      <c r="J1655" s="6">
        <f ca="1">IFERROR(__xludf.DUMMYFUNCTION("""COMPUTED_VALUE"""),1)</f>
        <v>1</v>
      </c>
      <c r="K1655" s="8">
        <f ca="1">IFERROR(__xludf.DUMMYFUNCTION("""COMPUTED_VALUE"""),21000)</f>
        <v>21000</v>
      </c>
      <c r="L1655" s="8">
        <f ca="1">IFERROR(__xludf.DUMMYFUNCTION("""COMPUTED_VALUE"""),240.494732020155)</f>
        <v>240.494732020155</v>
      </c>
      <c r="M1655" s="96">
        <f ca="1">IFERROR(__xludf.DUMMYFUNCTION("""COMPUTED_VALUE"""),45037)</f>
        <v>45037</v>
      </c>
      <c r="N1655" s="6" t="str">
        <f ca="1">IFERROR(__xludf.DUMMYFUNCTION("""COMPUTED_VALUE"""),"SH")</f>
        <v>SH</v>
      </c>
      <c r="O1655" s="97">
        <f ca="1">IFERROR(__xludf.DUMMYFUNCTION("""COMPUTED_VALUE"""),45037)</f>
        <v>45037</v>
      </c>
      <c r="P1655" s="6" t="str">
        <f ca="1">IFERROR(__xludf.DUMMYFUNCTION("""COMPUTED_VALUE"""),"CSTM_ESR16P07OYC")</f>
        <v>CSTM_ESR16P07OYC</v>
      </c>
      <c r="Q1655" s="6"/>
      <c r="R1655" s="6" t="str">
        <f ca="1">IFERROR(__xludf.DUMMYFUNCTION("""COMPUTED_VALUE"""),"Pending")</f>
        <v>Pending</v>
      </c>
      <c r="S1655" s="6" t="str">
        <f ca="1">IFERROR(__xludf.DUMMYFUNCTION("""COMPUTED_VALUE"""),"Category")</f>
        <v>Category</v>
      </c>
      <c r="T1655" s="6"/>
      <c r="U1655" s="6"/>
      <c r="V1655" s="6"/>
      <c r="W1655" s="6"/>
      <c r="X1655" s="6"/>
      <c r="Y1655" s="6"/>
      <c r="Z1655" s="6"/>
      <c r="AA1655" s="6"/>
      <c r="AB1655" s="6"/>
      <c r="AC1655" s="6"/>
      <c r="AD1655" s="6"/>
      <c r="AE1655" s="6"/>
      <c r="AF1655" s="6"/>
      <c r="AG1655" s="6"/>
      <c r="AH1655" s="6"/>
      <c r="AI1655" s="6"/>
      <c r="AJ1655" s="6"/>
      <c r="AK1655" s="6"/>
      <c r="AL1655" s="6"/>
    </row>
    <row r="1656" spans="1:38">
      <c r="A1656" s="96">
        <f ca="1">IFERROR(__xludf.DUMMYFUNCTION("""COMPUTED_VALUE"""),45037)</f>
        <v>45037</v>
      </c>
      <c r="B1656" s="6" t="str">
        <f ca="1">IFERROR(__xludf.DUMMYFUNCTION("""COMPUTED_VALUE"""),"Niteen Mahajan")</f>
        <v>Niteen Mahajan</v>
      </c>
      <c r="C1656" s="6" t="str">
        <f ca="1">IFERROR(__xludf.DUMMYFUNCTION("""COMPUTED_VALUE"""),"niteenmahajan20@gmail.com")</f>
        <v>niteenmahajan20@gmail.com</v>
      </c>
      <c r="D1656" s="6">
        <f ca="1">IFERROR(__xludf.DUMMYFUNCTION("""COMPUTED_VALUE"""),7709010961)</f>
        <v>7709010961</v>
      </c>
      <c r="E1656" s="6" t="str">
        <f ca="1">IFERROR(__xludf.DUMMYFUNCTION("""COMPUTED_VALUE"""),"Query box")</f>
        <v>Query box</v>
      </c>
      <c r="F1656" s="6" t="str">
        <f ca="1">IFERROR(__xludf.DUMMYFUNCTION("""COMPUTED_VALUE"""),"PSM 2")</f>
        <v>PSM 2</v>
      </c>
      <c r="G1656" s="80">
        <f ca="1">IFERROR(__xludf.DUMMYFUNCTION("""COMPUTED_VALUE"""),45017)</f>
        <v>45017</v>
      </c>
      <c r="H1656" s="6" t="str">
        <f ca="1">IFERROR(__xludf.DUMMYFUNCTION("""COMPUTED_VALUE"""),"Won")</f>
        <v>Won</v>
      </c>
      <c r="I1656" s="6" t="str">
        <f ca="1">IFERROR(__xludf.DUMMYFUNCTION("""COMPUTED_VALUE"""),"22-23 April 2023")</f>
        <v>22-23 April 2023</v>
      </c>
      <c r="J1656" s="6">
        <f ca="1">IFERROR(__xludf.DUMMYFUNCTION("""COMPUTED_VALUE"""),1)</f>
        <v>1</v>
      </c>
      <c r="K1656" s="8">
        <f ca="1">IFERROR(__xludf.DUMMYFUNCTION("""COMPUTED_VALUE"""),24000)</f>
        <v>24000</v>
      </c>
      <c r="L1656" s="8">
        <f ca="1">IFERROR(__xludf.DUMMYFUNCTION("""COMPUTED_VALUE"""),274.851122308749)</f>
        <v>274.85112230874898</v>
      </c>
      <c r="M1656" s="96">
        <f ca="1">IFERROR(__xludf.DUMMYFUNCTION("""COMPUTED_VALUE"""),45037)</f>
        <v>45037</v>
      </c>
      <c r="N1656" s="6" t="str">
        <f ca="1">IFERROR(__xludf.DUMMYFUNCTION("""COMPUTED_VALUE"""),"SH")</f>
        <v>SH</v>
      </c>
      <c r="O1656" s="97">
        <f ca="1">IFERROR(__xludf.DUMMYFUNCTION("""COMPUTED_VALUE"""),45037)</f>
        <v>45037</v>
      </c>
      <c r="P1656" s="6" t="str">
        <f ca="1">IFERROR(__xludf.DUMMYFUNCTION("""COMPUTED_VALUE"""),"CSTM_3P089TOLVZ")</f>
        <v>CSTM_3P089TOLVZ</v>
      </c>
      <c r="Q1656" s="6"/>
      <c r="R1656" s="6" t="str">
        <f ca="1">IFERROR(__xludf.DUMMYFUNCTION("""COMPUTED_VALUE"""),"Pending")</f>
        <v>Pending</v>
      </c>
      <c r="S1656" s="6" t="str">
        <f ca="1">IFERROR(__xludf.DUMMYFUNCTION("""COMPUTED_VALUE"""),"Category")</f>
        <v>Category</v>
      </c>
      <c r="T1656" s="6"/>
      <c r="U1656" s="6"/>
      <c r="V1656" s="6"/>
      <c r="W1656" s="6"/>
      <c r="X1656" s="6"/>
      <c r="Y1656" s="6"/>
      <c r="Z1656" s="6"/>
      <c r="AA1656" s="6"/>
      <c r="AB1656" s="6"/>
      <c r="AC1656" s="6"/>
      <c r="AD1656" s="6"/>
      <c r="AE1656" s="6"/>
      <c r="AF1656" s="6"/>
      <c r="AG1656" s="6"/>
      <c r="AH1656" s="6"/>
      <c r="AI1656" s="6"/>
      <c r="AJ1656" s="6"/>
      <c r="AK1656" s="6"/>
      <c r="AL1656" s="6"/>
    </row>
    <row r="1657" spans="1:38">
      <c r="A1657" s="96">
        <f ca="1">IFERROR(__xludf.DUMMYFUNCTION("""COMPUTED_VALUE"""),45042)</f>
        <v>45042</v>
      </c>
      <c r="B1657" s="6" t="str">
        <f ca="1">IFERROR(__xludf.DUMMYFUNCTION("""COMPUTED_VALUE"""),"Shelly Sood")</f>
        <v>Shelly Sood</v>
      </c>
      <c r="C1657" s="6" t="str">
        <f ca="1">IFERROR(__xludf.DUMMYFUNCTION("""COMPUTED_VALUE"""),"shellysood72@gmail.com")</f>
        <v>shellysood72@gmail.com</v>
      </c>
      <c r="D1657" s="6">
        <f ca="1">IFERROR(__xludf.DUMMYFUNCTION("""COMPUTED_VALUE"""),9810974218)</f>
        <v>9810974218</v>
      </c>
      <c r="E1657" s="6" t="str">
        <f ca="1">IFERROR(__xludf.DUMMYFUNCTION("""COMPUTED_VALUE"""),"course preview")</f>
        <v>course preview</v>
      </c>
      <c r="F1657" s="6" t="str">
        <f ca="1">IFERROR(__xludf.DUMMYFUNCTION("""COMPUTED_VALUE"""),"CSM")</f>
        <v>CSM</v>
      </c>
      <c r="G1657" s="80">
        <f ca="1">IFERROR(__xludf.DUMMYFUNCTION("""COMPUTED_VALUE"""),45017)</f>
        <v>45017</v>
      </c>
      <c r="H1657" s="6" t="str">
        <f ca="1">IFERROR(__xludf.DUMMYFUNCTION("""COMPUTED_VALUE"""),"Won")</f>
        <v>Won</v>
      </c>
      <c r="I1657" s="6" t="str">
        <f ca="1">IFERROR(__xludf.DUMMYFUNCTION("""COMPUTED_VALUE"""),"6-7 May 2023")</f>
        <v>6-7 May 2023</v>
      </c>
      <c r="J1657" s="6">
        <f ca="1">IFERROR(__xludf.DUMMYFUNCTION("""COMPUTED_VALUE"""),1)</f>
        <v>1</v>
      </c>
      <c r="K1657" s="8">
        <f ca="1">IFERROR(__xludf.DUMMYFUNCTION("""COMPUTED_VALUE"""),20000)</f>
        <v>20000</v>
      </c>
      <c r="L1657" s="8">
        <f ca="1">IFERROR(__xludf.DUMMYFUNCTION("""COMPUTED_VALUE"""),229.042601923957)</f>
        <v>229.04260192395699</v>
      </c>
      <c r="M1657" s="96">
        <f ca="1">IFERROR(__xludf.DUMMYFUNCTION("""COMPUTED_VALUE"""),45042)</f>
        <v>45042</v>
      </c>
      <c r="N1657" s="6" t="str">
        <f ca="1">IFERROR(__xludf.DUMMYFUNCTION("""COMPUTED_VALUE"""),"SH")</f>
        <v>SH</v>
      </c>
      <c r="O1657" s="97">
        <f ca="1">IFERROR(__xludf.DUMMYFUNCTION("""COMPUTED_VALUE"""),45042)</f>
        <v>45042</v>
      </c>
      <c r="P1657" s="6" t="str">
        <f ca="1">IFERROR(__xludf.DUMMYFUNCTION("""COMPUTED_VALUE"""),"CSTM_GTR2UG85RLN")</f>
        <v>CSTM_GTR2UG85RLN</v>
      </c>
      <c r="Q1657" s="6"/>
      <c r="R1657" s="6" t="str">
        <f ca="1">IFERROR(__xludf.DUMMYFUNCTION("""COMPUTED_VALUE"""),"Pending")</f>
        <v>Pending</v>
      </c>
      <c r="S1657" s="6" t="str">
        <f ca="1">IFERROR(__xludf.DUMMYFUNCTION("""COMPUTED_VALUE"""),"Category")</f>
        <v>Category</v>
      </c>
      <c r="T1657" s="6"/>
      <c r="U1657" s="6"/>
      <c r="V1657" s="6"/>
      <c r="W1657" s="6"/>
      <c r="X1657" s="6"/>
      <c r="Y1657" s="6"/>
      <c r="Z1657" s="6"/>
      <c r="AA1657" s="6"/>
      <c r="AB1657" s="6"/>
      <c r="AC1657" s="6"/>
      <c r="AD1657" s="6"/>
      <c r="AE1657" s="6"/>
      <c r="AF1657" s="6"/>
      <c r="AG1657" s="6"/>
      <c r="AH1657" s="6"/>
      <c r="AI1657" s="6"/>
      <c r="AJ1657" s="6"/>
      <c r="AK1657" s="6"/>
      <c r="AL1657" s="6"/>
    </row>
    <row r="1658" spans="1:38">
      <c r="A1658" s="96">
        <f ca="1">IFERROR(__xludf.DUMMYFUNCTION("""COMPUTED_VALUE"""),45043)</f>
        <v>45043</v>
      </c>
      <c r="B1658" s="6" t="str">
        <f ca="1">IFERROR(__xludf.DUMMYFUNCTION("""COMPUTED_VALUE"""),"Prasun Nag")</f>
        <v>Prasun Nag</v>
      </c>
      <c r="C1658" s="6" t="str">
        <f ca="1">IFERROR(__xludf.DUMMYFUNCTION("""COMPUTED_VALUE"""),"prasun8463@gmail.com")</f>
        <v>prasun8463@gmail.com</v>
      </c>
      <c r="D1658" s="6">
        <f ca="1">IFERROR(__xludf.DUMMYFUNCTION("""COMPUTED_VALUE"""),9049939966)</f>
        <v>9049939966</v>
      </c>
      <c r="E1658" s="6" t="str">
        <f ca="1">IFERROR(__xludf.DUMMYFUNCTION("""COMPUTED_VALUE"""),"Existing Account")</f>
        <v>Existing Account</v>
      </c>
      <c r="F1658" s="6" t="str">
        <f ca="1">IFERROR(__xludf.DUMMYFUNCTION("""COMPUTED_VALUE"""),"SAFe POPM")</f>
        <v>SAFe POPM</v>
      </c>
      <c r="G1658" s="80">
        <f ca="1">IFERROR(__xludf.DUMMYFUNCTION("""COMPUTED_VALUE"""),45017)</f>
        <v>45017</v>
      </c>
      <c r="H1658" s="6" t="str">
        <f ca="1">IFERROR(__xludf.DUMMYFUNCTION("""COMPUTED_VALUE"""),"Won")</f>
        <v>Won</v>
      </c>
      <c r="I1658" s="6" t="str">
        <f ca="1">IFERROR(__xludf.DUMMYFUNCTION("""COMPUTED_VALUE"""),"27-28 May 2023")</f>
        <v>27-28 May 2023</v>
      </c>
      <c r="J1658" s="6">
        <f ca="1">IFERROR(__xludf.DUMMYFUNCTION("""COMPUTED_VALUE"""),1)</f>
        <v>1</v>
      </c>
      <c r="K1658" s="8">
        <f ca="1">IFERROR(__xludf.DUMMYFUNCTION("""COMPUTED_VALUE"""),40061)</f>
        <v>40061</v>
      </c>
      <c r="L1658" s="8">
        <f ca="1">IFERROR(__xludf.DUMMYFUNCTION("""COMPUTED_VALUE"""),458.783783783783)</f>
        <v>458.78378378378301</v>
      </c>
      <c r="M1658" s="96">
        <f ca="1">IFERROR(__xludf.DUMMYFUNCTION("""COMPUTED_VALUE"""),45043)</f>
        <v>45043</v>
      </c>
      <c r="N1658" s="6" t="str">
        <f ca="1">IFERROR(__xludf.DUMMYFUNCTION("""COMPUTED_VALUE"""),"SH")</f>
        <v>SH</v>
      </c>
      <c r="O1658" s="97">
        <f ca="1">IFERROR(__xludf.DUMMYFUNCTION("""COMPUTED_VALUE"""),45043)</f>
        <v>45043</v>
      </c>
      <c r="P1658" s="6" t="str">
        <f ca="1">IFERROR(__xludf.DUMMYFUNCTION("""COMPUTED_VALUE"""),"CSTM_4XA60O55O1V")</f>
        <v>CSTM_4XA60O55O1V</v>
      </c>
      <c r="Q1658" s="6"/>
      <c r="R1658" s="6" t="str">
        <f ca="1">IFERROR(__xludf.DUMMYFUNCTION("""COMPUTED_VALUE"""),"Pending")</f>
        <v>Pending</v>
      </c>
      <c r="S1658" s="6" t="str">
        <f ca="1">IFERROR(__xludf.DUMMYFUNCTION("""COMPUTED_VALUE"""),"SAFe")</f>
        <v>SAFe</v>
      </c>
      <c r="T1658" s="6"/>
      <c r="U1658" s="6"/>
      <c r="V1658" s="6"/>
      <c r="W1658" s="6"/>
      <c r="X1658" s="6"/>
      <c r="Y1658" s="6"/>
      <c r="Z1658" s="6"/>
      <c r="AA1658" s="6"/>
      <c r="AB1658" s="6"/>
      <c r="AC1658" s="6"/>
      <c r="AD1658" s="6"/>
      <c r="AE1658" s="6"/>
      <c r="AF1658" s="6"/>
      <c r="AG1658" s="6"/>
      <c r="AH1658" s="6"/>
      <c r="AI1658" s="6"/>
      <c r="AJ1658" s="6"/>
      <c r="AK1658" s="6"/>
      <c r="AL1658" s="6"/>
    </row>
    <row r="1659" spans="1:38">
      <c r="A1659" s="96">
        <f ca="1">IFERROR(__xludf.DUMMYFUNCTION("""COMPUTED_VALUE"""),45047)</f>
        <v>45047</v>
      </c>
      <c r="B1659" s="6" t="str">
        <f ca="1">IFERROR(__xludf.DUMMYFUNCTION("""COMPUTED_VALUE"""),"Shamshad Shaik")</f>
        <v>Shamshad Shaik</v>
      </c>
      <c r="C1659" s="6" t="str">
        <f ca="1">IFERROR(__xludf.DUMMYFUNCTION("""COMPUTED_VALUE"""),"shammushaik29@gmail.com")</f>
        <v>shammushaik29@gmail.com</v>
      </c>
      <c r="D1659" s="6">
        <f ca="1">IFERROR(__xludf.DUMMYFUNCTION("""COMPUTED_VALUE"""),7799388893)</f>
        <v>7799388893</v>
      </c>
      <c r="E1659" s="6" t="str">
        <f ca="1">IFERROR(__xludf.DUMMYFUNCTION("""COMPUTED_VALUE"""),"Query box")</f>
        <v>Query box</v>
      </c>
      <c r="F1659" s="6" t="str">
        <f ca="1">IFERROR(__xludf.DUMMYFUNCTION("""COMPUTED_VALUE"""),"SAFe POPM")</f>
        <v>SAFe POPM</v>
      </c>
      <c r="G1659" s="80">
        <f ca="1">IFERROR(__xludf.DUMMYFUNCTION("""COMPUTED_VALUE"""),45047)</f>
        <v>45047</v>
      </c>
      <c r="H1659" s="6" t="str">
        <f ca="1">IFERROR(__xludf.DUMMYFUNCTION("""COMPUTED_VALUE"""),"Won")</f>
        <v>Won</v>
      </c>
      <c r="I1659" s="6" t="str">
        <f ca="1">IFERROR(__xludf.DUMMYFUNCTION("""COMPUTED_VALUE"""),"6-7 May 2023")</f>
        <v>6-7 May 2023</v>
      </c>
      <c r="J1659" s="6">
        <f ca="1">IFERROR(__xludf.DUMMYFUNCTION("""COMPUTED_VALUE"""),1)</f>
        <v>1</v>
      </c>
      <c r="K1659" s="8">
        <f ca="1">IFERROR(__xludf.DUMMYFUNCTION("""COMPUTED_VALUE"""),40061)</f>
        <v>40061</v>
      </c>
      <c r="L1659" s="8">
        <f ca="1">IFERROR(__xludf.DUMMYFUNCTION("""COMPUTED_VALUE"""),458.783783783783)</f>
        <v>458.78378378378301</v>
      </c>
      <c r="M1659" s="96">
        <f ca="1">IFERROR(__xludf.DUMMYFUNCTION("""COMPUTED_VALUE"""),45047)</f>
        <v>45047</v>
      </c>
      <c r="N1659" s="6" t="str">
        <f ca="1">IFERROR(__xludf.DUMMYFUNCTION("""COMPUTED_VALUE"""),"F10")</f>
        <v>F10</v>
      </c>
      <c r="O1659" s="97">
        <f ca="1">IFERROR(__xludf.DUMMYFUNCTION("""COMPUTED_VALUE"""),45047)</f>
        <v>45047</v>
      </c>
      <c r="P1659" s="6" t="str">
        <f ca="1">IFERROR(__xludf.DUMMYFUNCTION("""COMPUTED_VALUE"""),"CSTM_82JO7KCD65F")</f>
        <v>CSTM_82JO7KCD65F</v>
      </c>
      <c r="Q1659" s="6"/>
      <c r="R1659" s="6" t="str">
        <f ca="1">IFERROR(__xludf.DUMMYFUNCTION("""COMPUTED_VALUE"""),"Pending")</f>
        <v>Pending</v>
      </c>
      <c r="S1659" s="6" t="str">
        <f ca="1">IFERROR(__xludf.DUMMYFUNCTION("""COMPUTED_VALUE"""),"SAFe")</f>
        <v>SAFe</v>
      </c>
      <c r="T1659" s="6"/>
      <c r="U1659" s="6"/>
      <c r="V1659" s="6"/>
      <c r="W1659" s="6"/>
      <c r="X1659" s="6"/>
      <c r="Y1659" s="6"/>
      <c r="Z1659" s="6"/>
      <c r="AA1659" s="6"/>
      <c r="AB1659" s="6"/>
      <c r="AC1659" s="6"/>
      <c r="AD1659" s="6"/>
      <c r="AE1659" s="6"/>
      <c r="AF1659" s="6"/>
      <c r="AG1659" s="6"/>
      <c r="AH1659" s="6"/>
      <c r="AI1659" s="6"/>
      <c r="AJ1659" s="6"/>
      <c r="AK1659" s="6"/>
      <c r="AL1659" s="6"/>
    </row>
    <row r="1660" spans="1:38">
      <c r="A1660" s="96">
        <f ca="1">IFERROR(__xludf.DUMMYFUNCTION("""COMPUTED_VALUE"""),45047)</f>
        <v>45047</v>
      </c>
      <c r="B1660" s="6" t="str">
        <f ca="1">IFERROR(__xludf.DUMMYFUNCTION("""COMPUTED_VALUE"""),"Chethana")</f>
        <v>Chethana</v>
      </c>
      <c r="C1660" s="6" t="str">
        <f ca="1">IFERROR(__xludf.DUMMYFUNCTION("""COMPUTED_VALUE"""),"chethana485@gmail.com")</f>
        <v>chethana485@gmail.com</v>
      </c>
      <c r="D1660" s="6">
        <f ca="1">IFERROR(__xludf.DUMMYFUNCTION("""COMPUTED_VALUE"""),9164245793)</f>
        <v>9164245793</v>
      </c>
      <c r="E1660" s="6" t="str">
        <f ca="1">IFERROR(__xludf.DUMMYFUNCTION("""COMPUTED_VALUE"""),"Reference")</f>
        <v>Reference</v>
      </c>
      <c r="F1660" s="6" t="str">
        <f ca="1">IFERROR(__xludf.DUMMYFUNCTION("""COMPUTED_VALUE"""),"SAFe POPM")</f>
        <v>SAFe POPM</v>
      </c>
      <c r="G1660" s="80">
        <f ca="1">IFERROR(__xludf.DUMMYFUNCTION("""COMPUTED_VALUE"""),45047)</f>
        <v>45047</v>
      </c>
      <c r="H1660" s="6" t="str">
        <f ca="1">IFERROR(__xludf.DUMMYFUNCTION("""COMPUTED_VALUE"""),"Won")</f>
        <v>Won</v>
      </c>
      <c r="I1660" s="6" t="str">
        <f ca="1">IFERROR(__xludf.DUMMYFUNCTION("""COMPUTED_VALUE"""),"6-7 May 2023")</f>
        <v>6-7 May 2023</v>
      </c>
      <c r="J1660" s="6">
        <f ca="1">IFERROR(__xludf.DUMMYFUNCTION("""COMPUTED_VALUE"""),1)</f>
        <v>1</v>
      </c>
      <c r="K1660" s="8">
        <f ca="1">IFERROR(__xludf.DUMMYFUNCTION("""COMPUTED_VALUE"""),40061)</f>
        <v>40061</v>
      </c>
      <c r="L1660" s="8">
        <f ca="1">IFERROR(__xludf.DUMMYFUNCTION("""COMPUTED_VALUE"""),458.783783783783)</f>
        <v>458.78378378378301</v>
      </c>
      <c r="M1660" s="96">
        <f ca="1">IFERROR(__xludf.DUMMYFUNCTION("""COMPUTED_VALUE"""),45047)</f>
        <v>45047</v>
      </c>
      <c r="N1660" s="6" t="str">
        <f ca="1">IFERROR(__xludf.DUMMYFUNCTION("""COMPUTED_VALUE"""),"F10")</f>
        <v>F10</v>
      </c>
      <c r="O1660" s="97">
        <f ca="1">IFERROR(__xludf.DUMMYFUNCTION("""COMPUTED_VALUE"""),45047)</f>
        <v>45047</v>
      </c>
      <c r="P1660" s="6" t="str">
        <f ca="1">IFERROR(__xludf.DUMMYFUNCTION("""COMPUTED_VALUE"""),"CSTM_2WQHNHFMRUX")</f>
        <v>CSTM_2WQHNHFMRUX</v>
      </c>
      <c r="Q1660" s="6"/>
      <c r="R1660" s="6" t="str">
        <f ca="1">IFERROR(__xludf.DUMMYFUNCTION("""COMPUTED_VALUE"""),"Pending")</f>
        <v>Pending</v>
      </c>
      <c r="S1660" s="6" t="str">
        <f ca="1">IFERROR(__xludf.DUMMYFUNCTION("""COMPUTED_VALUE"""),"SAFe")</f>
        <v>SAFe</v>
      </c>
      <c r="T1660" s="6"/>
      <c r="U1660" s="6"/>
      <c r="V1660" s="6"/>
      <c r="W1660" s="6"/>
      <c r="X1660" s="6"/>
      <c r="Y1660" s="6"/>
      <c r="Z1660" s="6"/>
      <c r="AA1660" s="6"/>
      <c r="AB1660" s="6"/>
      <c r="AC1660" s="6"/>
      <c r="AD1660" s="6"/>
      <c r="AE1660" s="6"/>
      <c r="AF1660" s="6"/>
      <c r="AG1660" s="6"/>
      <c r="AH1660" s="6"/>
      <c r="AI1660" s="6"/>
      <c r="AJ1660" s="6"/>
      <c r="AK1660" s="6"/>
      <c r="AL1660" s="6"/>
    </row>
    <row r="1661" spans="1:38">
      <c r="A1661" s="96">
        <f ca="1">IFERROR(__xludf.DUMMYFUNCTION("""COMPUTED_VALUE"""),45048)</f>
        <v>45048</v>
      </c>
      <c r="B1661" s="6" t="str">
        <f ca="1">IFERROR(__xludf.DUMMYFUNCTION("""COMPUTED_VALUE"""),"Pooja Shinde")</f>
        <v>Pooja Shinde</v>
      </c>
      <c r="C1661" s="6" t="str">
        <f ca="1">IFERROR(__xludf.DUMMYFUNCTION("""COMPUTED_VALUE"""),"poojammca@gmail.com")</f>
        <v>poojammca@gmail.com</v>
      </c>
      <c r="D1661" s="6">
        <f ca="1">IFERROR(__xludf.DUMMYFUNCTION("""COMPUTED_VALUE"""),9004084616)</f>
        <v>9004084616</v>
      </c>
      <c r="E1661" s="6" t="str">
        <f ca="1">IFERROR(__xludf.DUMMYFUNCTION("""COMPUTED_VALUE"""),"course agenda")</f>
        <v>course agenda</v>
      </c>
      <c r="F1661" s="6" t="str">
        <f ca="1">IFERROR(__xludf.DUMMYFUNCTION("""COMPUTED_VALUE"""),"PSM")</f>
        <v>PSM</v>
      </c>
      <c r="G1661" s="80">
        <f ca="1">IFERROR(__xludf.DUMMYFUNCTION("""COMPUTED_VALUE"""),45047)</f>
        <v>45047</v>
      </c>
      <c r="H1661" s="6" t="str">
        <f ca="1">IFERROR(__xludf.DUMMYFUNCTION("""COMPUTED_VALUE"""),"Won")</f>
        <v>Won</v>
      </c>
      <c r="I1661" s="6" t="str">
        <f ca="1">IFERROR(__xludf.DUMMYFUNCTION("""COMPUTED_VALUE"""),"6-7 May 2023")</f>
        <v>6-7 May 2023</v>
      </c>
      <c r="J1661" s="6">
        <f ca="1">IFERROR(__xludf.DUMMYFUNCTION("""COMPUTED_VALUE"""),1)</f>
        <v>1</v>
      </c>
      <c r="K1661" s="8">
        <f ca="1">IFERROR(__xludf.DUMMYFUNCTION("""COMPUTED_VALUE"""),21000)</f>
        <v>21000</v>
      </c>
      <c r="L1661" s="8">
        <f ca="1">IFERROR(__xludf.DUMMYFUNCTION("""COMPUTED_VALUE"""),240.494732020155)</f>
        <v>240.494732020155</v>
      </c>
      <c r="M1661" s="96">
        <f ca="1">IFERROR(__xludf.DUMMYFUNCTION("""COMPUTED_VALUE"""),45048)</f>
        <v>45048</v>
      </c>
      <c r="N1661" s="6" t="str">
        <f ca="1">IFERROR(__xludf.DUMMYFUNCTION("""COMPUTED_VALUE"""),"F10")</f>
        <v>F10</v>
      </c>
      <c r="O1661" s="97">
        <f ca="1">IFERROR(__xludf.DUMMYFUNCTION("""COMPUTED_VALUE"""),45048)</f>
        <v>45048</v>
      </c>
      <c r="P1661" s="6" t="str">
        <f ca="1">IFERROR(__xludf.DUMMYFUNCTION("""COMPUTED_VALUE"""),"CSTM_7C1KVID2AWG")</f>
        <v>CSTM_7C1KVID2AWG</v>
      </c>
      <c r="Q1661" s="6"/>
      <c r="R1661" s="6" t="str">
        <f ca="1">IFERROR(__xludf.DUMMYFUNCTION("""COMPUTED_VALUE"""),"Pending")</f>
        <v>Pending</v>
      </c>
      <c r="S1661" s="6" t="str">
        <f ca="1">IFERROR(__xludf.DUMMYFUNCTION("""COMPUTED_VALUE"""),"Category")</f>
        <v>Category</v>
      </c>
      <c r="T1661" s="6"/>
      <c r="U1661" s="6"/>
      <c r="V1661" s="6"/>
      <c r="W1661" s="6"/>
      <c r="X1661" s="6"/>
      <c r="Y1661" s="6"/>
      <c r="Z1661" s="6"/>
      <c r="AA1661" s="6"/>
      <c r="AB1661" s="6"/>
      <c r="AC1661" s="6"/>
      <c r="AD1661" s="6"/>
      <c r="AE1661" s="6"/>
      <c r="AF1661" s="6"/>
      <c r="AG1661" s="6"/>
      <c r="AH1661" s="6"/>
      <c r="AI1661" s="6"/>
      <c r="AJ1661" s="6"/>
      <c r="AK1661" s="6"/>
      <c r="AL1661" s="6"/>
    </row>
    <row r="1662" spans="1:38">
      <c r="A1662" s="96">
        <f ca="1">IFERROR(__xludf.DUMMYFUNCTION("""COMPUTED_VALUE"""),45048)</f>
        <v>45048</v>
      </c>
      <c r="B1662" s="6" t="str">
        <f ca="1">IFERROR(__xludf.DUMMYFUNCTION("""COMPUTED_VALUE"""),"Rahul Bidwe")</f>
        <v>Rahul Bidwe</v>
      </c>
      <c r="C1662" s="6" t="str">
        <f ca="1">IFERROR(__xludf.DUMMYFUNCTION("""COMPUTED_VALUE"""),"rahulslucky@yahoo.com")</f>
        <v>rahulslucky@yahoo.com</v>
      </c>
      <c r="D1662" s="6">
        <f ca="1">IFERROR(__xludf.DUMMYFUNCTION("""COMPUTED_VALUE"""),8087499219)</f>
        <v>8087499219</v>
      </c>
      <c r="E1662" s="6" t="str">
        <f ca="1">IFERROR(__xludf.DUMMYFUNCTION("""COMPUTED_VALUE"""),"Reference")</f>
        <v>Reference</v>
      </c>
      <c r="F1662" s="6" t="str">
        <f ca="1">IFERROR(__xludf.DUMMYFUNCTION("""COMPUTED_VALUE"""),"PSM")</f>
        <v>PSM</v>
      </c>
      <c r="G1662" s="80">
        <f ca="1">IFERROR(__xludf.DUMMYFUNCTION("""COMPUTED_VALUE"""),45047)</f>
        <v>45047</v>
      </c>
      <c r="H1662" s="6" t="str">
        <f ca="1">IFERROR(__xludf.DUMMYFUNCTION("""COMPUTED_VALUE"""),"Won")</f>
        <v>Won</v>
      </c>
      <c r="I1662" s="6" t="str">
        <f ca="1">IFERROR(__xludf.DUMMYFUNCTION("""COMPUTED_VALUE"""),"6-7 May 2023")</f>
        <v>6-7 May 2023</v>
      </c>
      <c r="J1662" s="6">
        <f ca="1">IFERROR(__xludf.DUMMYFUNCTION("""COMPUTED_VALUE"""),1)</f>
        <v>1</v>
      </c>
      <c r="K1662" s="8">
        <f ca="1">IFERROR(__xludf.DUMMYFUNCTION("""COMPUTED_VALUE"""),21000)</f>
        <v>21000</v>
      </c>
      <c r="L1662" s="8">
        <f ca="1">IFERROR(__xludf.DUMMYFUNCTION("""COMPUTED_VALUE"""),240.494732020155)</f>
        <v>240.494732020155</v>
      </c>
      <c r="M1662" s="96">
        <f ca="1">IFERROR(__xludf.DUMMYFUNCTION("""COMPUTED_VALUE"""),45048)</f>
        <v>45048</v>
      </c>
      <c r="N1662" s="6" t="str">
        <f ca="1">IFERROR(__xludf.DUMMYFUNCTION("""COMPUTED_VALUE"""),"F10")</f>
        <v>F10</v>
      </c>
      <c r="O1662" s="97">
        <f ca="1">IFERROR(__xludf.DUMMYFUNCTION("""COMPUTED_VALUE"""),45048)</f>
        <v>45048</v>
      </c>
      <c r="P1662" s="6" t="str">
        <f ca="1">IFERROR(__xludf.DUMMYFUNCTION("""COMPUTED_VALUE"""),"CSTM_4LD25ZTF1PD")</f>
        <v>CSTM_4LD25ZTF1PD</v>
      </c>
      <c r="Q1662" s="6" t="str">
        <f ca="1">IFERROR(__xludf.DUMMYFUNCTION("""COMPUTED_VALUE"""),"Reference by mulharpramod@gmail.com")</f>
        <v>Reference by mulharpramod@gmail.com</v>
      </c>
      <c r="R1662" s="6" t="str">
        <f ca="1">IFERROR(__xludf.DUMMYFUNCTION("""COMPUTED_VALUE"""),"Pending")</f>
        <v>Pending</v>
      </c>
      <c r="S1662" s="6" t="str">
        <f ca="1">IFERROR(__xludf.DUMMYFUNCTION("""COMPUTED_VALUE"""),"Category")</f>
        <v>Category</v>
      </c>
      <c r="T1662" s="6"/>
      <c r="U1662" s="6"/>
      <c r="V1662" s="6"/>
      <c r="W1662" s="6"/>
      <c r="X1662" s="6"/>
      <c r="Y1662" s="6"/>
      <c r="Z1662" s="6"/>
      <c r="AA1662" s="6"/>
      <c r="AB1662" s="6"/>
      <c r="AC1662" s="6"/>
      <c r="AD1662" s="6"/>
      <c r="AE1662" s="6"/>
      <c r="AF1662" s="6"/>
      <c r="AG1662" s="6"/>
      <c r="AH1662" s="6"/>
      <c r="AI1662" s="6"/>
      <c r="AJ1662" s="6"/>
      <c r="AK1662" s="6"/>
      <c r="AL1662" s="6"/>
    </row>
    <row r="1663" spans="1:38">
      <c r="A1663" s="96">
        <f ca="1">IFERROR(__xludf.DUMMYFUNCTION("""COMPUTED_VALUE"""),45049)</f>
        <v>45049</v>
      </c>
      <c r="B1663" s="6" t="str">
        <f ca="1">IFERROR(__xludf.DUMMYFUNCTION("""COMPUTED_VALUE"""),"Chandra Mouli")</f>
        <v>Chandra Mouli</v>
      </c>
      <c r="C1663" s="6" t="str">
        <f ca="1">IFERROR(__xludf.DUMMYFUNCTION("""COMPUTED_VALUE"""),"chandra_109@yahoo.com")</f>
        <v>chandra_109@yahoo.com</v>
      </c>
      <c r="D1663" s="6">
        <f ca="1">IFERROR(__xludf.DUMMYFUNCTION("""COMPUTED_VALUE"""),8247880472)</f>
        <v>8247880472</v>
      </c>
      <c r="E1663" s="6" t="str">
        <f ca="1">IFERROR(__xludf.DUMMYFUNCTION("""COMPUTED_VALUE"""),"Reference")</f>
        <v>Reference</v>
      </c>
      <c r="F1663" s="6" t="str">
        <f ca="1">IFERROR(__xludf.DUMMYFUNCTION("""COMPUTED_VALUE"""),"CSM")</f>
        <v>CSM</v>
      </c>
      <c r="G1663" s="80">
        <f ca="1">IFERROR(__xludf.DUMMYFUNCTION("""COMPUTED_VALUE"""),45047)</f>
        <v>45047</v>
      </c>
      <c r="H1663" s="6" t="str">
        <f ca="1">IFERROR(__xludf.DUMMYFUNCTION("""COMPUTED_VALUE"""),"Won")</f>
        <v>Won</v>
      </c>
      <c r="I1663" s="6" t="str">
        <f ca="1">IFERROR(__xludf.DUMMYFUNCTION("""COMPUTED_VALUE"""),"4-5 May 2023")</f>
        <v>4-5 May 2023</v>
      </c>
      <c r="J1663" s="6">
        <f ca="1">IFERROR(__xludf.DUMMYFUNCTION("""COMPUTED_VALUE"""),1)</f>
        <v>1</v>
      </c>
      <c r="K1663" s="8">
        <f ca="1">IFERROR(__xludf.DUMMYFUNCTION("""COMPUTED_VALUE"""),18000)</f>
        <v>18000</v>
      </c>
      <c r="L1663" s="8">
        <f ca="1">IFERROR(__xludf.DUMMYFUNCTION("""COMPUTED_VALUE"""),206.138341731562)</f>
        <v>206.13834173156201</v>
      </c>
      <c r="M1663" s="96">
        <f ca="1">IFERROR(__xludf.DUMMYFUNCTION("""COMPUTED_VALUE"""),45049)</f>
        <v>45049</v>
      </c>
      <c r="N1663" s="6" t="str">
        <f ca="1">IFERROR(__xludf.DUMMYFUNCTION("""COMPUTED_VALUE"""),"F10")</f>
        <v>F10</v>
      </c>
      <c r="O1663" s="97">
        <f ca="1">IFERROR(__xludf.DUMMYFUNCTION("""COMPUTED_VALUE"""),45049)</f>
        <v>45049</v>
      </c>
      <c r="P1663" s="6" t="str">
        <f ca="1">IFERROR(__xludf.DUMMYFUNCTION("""COMPUTED_VALUE"""),"CSTM_516H5RDFMI5")</f>
        <v>CSTM_516H5RDFMI5</v>
      </c>
      <c r="Q1663" s="6" t="str">
        <f ca="1">IFERROR(__xludf.DUMMYFUNCTION("""COMPUTED_VALUE"""),"Reference by ranganath79@yahoo.com")</f>
        <v>Reference by ranganath79@yahoo.com</v>
      </c>
      <c r="R1663" s="6" t="str">
        <f ca="1">IFERROR(__xludf.DUMMYFUNCTION("""COMPUTED_VALUE"""),"Pending")</f>
        <v>Pending</v>
      </c>
      <c r="S1663" s="6" t="str">
        <f ca="1">IFERROR(__xludf.DUMMYFUNCTION("""COMPUTED_VALUE"""),"Category")</f>
        <v>Category</v>
      </c>
      <c r="T1663" s="6"/>
      <c r="U1663" s="6"/>
      <c r="V1663" s="6"/>
      <c r="W1663" s="6"/>
      <c r="X1663" s="6"/>
      <c r="Y1663" s="6"/>
      <c r="Z1663" s="6"/>
      <c r="AA1663" s="6"/>
      <c r="AB1663" s="6"/>
      <c r="AC1663" s="6"/>
      <c r="AD1663" s="6"/>
      <c r="AE1663" s="6"/>
      <c r="AF1663" s="6"/>
      <c r="AG1663" s="6"/>
      <c r="AH1663" s="6"/>
      <c r="AI1663" s="6"/>
      <c r="AJ1663" s="6"/>
      <c r="AK1663" s="6"/>
      <c r="AL1663" s="6"/>
    </row>
    <row r="1664" spans="1:38">
      <c r="A1664" s="96">
        <f ca="1">IFERROR(__xludf.DUMMYFUNCTION("""COMPUTED_VALUE"""),45049)</f>
        <v>45049</v>
      </c>
      <c r="B1664" s="6" t="str">
        <f ca="1">IFERROR(__xludf.DUMMYFUNCTION("""COMPUTED_VALUE"""),"Stella Chettiar")</f>
        <v>Stella Chettiar</v>
      </c>
      <c r="C1664" s="6" t="str">
        <f ca="1">IFERROR(__xludf.DUMMYFUNCTION("""COMPUTED_VALUE"""),"stellarchettiar@gmail.com")</f>
        <v>stellarchettiar@gmail.com</v>
      </c>
      <c r="D1664" s="6">
        <f ca="1">IFERROR(__xludf.DUMMYFUNCTION("""COMPUTED_VALUE"""),9820090780)</f>
        <v>9820090780</v>
      </c>
      <c r="E1664" s="6" t="str">
        <f ca="1">IFERROR(__xludf.DUMMYFUNCTION("""COMPUTED_VALUE"""),"course agenda")</f>
        <v>course agenda</v>
      </c>
      <c r="F1664" s="6" t="str">
        <f ca="1">IFERROR(__xludf.DUMMYFUNCTION("""COMPUTED_VALUE"""),"PSPO")</f>
        <v>PSPO</v>
      </c>
      <c r="G1664" s="80">
        <f ca="1">IFERROR(__xludf.DUMMYFUNCTION("""COMPUTED_VALUE"""),45047)</f>
        <v>45047</v>
      </c>
      <c r="H1664" s="6" t="str">
        <f ca="1">IFERROR(__xludf.DUMMYFUNCTION("""COMPUTED_VALUE"""),"Won")</f>
        <v>Won</v>
      </c>
      <c r="I1664" s="6" t="str">
        <f ca="1">IFERROR(__xludf.DUMMYFUNCTION("""COMPUTED_VALUE"""),"6-7 May 2023")</f>
        <v>6-7 May 2023</v>
      </c>
      <c r="J1664" s="6">
        <f ca="1">IFERROR(__xludf.DUMMYFUNCTION("""COMPUTED_VALUE"""),1)</f>
        <v>1</v>
      </c>
      <c r="K1664" s="8">
        <f ca="1">IFERROR(__xludf.DUMMYFUNCTION("""COMPUTED_VALUE"""),21000)</f>
        <v>21000</v>
      </c>
      <c r="L1664" s="8">
        <f ca="1">IFERROR(__xludf.DUMMYFUNCTION("""COMPUTED_VALUE"""),240.494732020155)</f>
        <v>240.494732020155</v>
      </c>
      <c r="M1664" s="96">
        <f ca="1">IFERROR(__xludf.DUMMYFUNCTION("""COMPUTED_VALUE"""),45049)</f>
        <v>45049</v>
      </c>
      <c r="N1664" s="6" t="str">
        <f ca="1">IFERROR(__xludf.DUMMYFUNCTION("""COMPUTED_VALUE"""),"F10")</f>
        <v>F10</v>
      </c>
      <c r="O1664" s="97">
        <f ca="1">IFERROR(__xludf.DUMMYFUNCTION("""COMPUTED_VALUE"""),45049)</f>
        <v>45049</v>
      </c>
      <c r="P1664" s="6" t="str">
        <f ca="1">IFERROR(__xludf.DUMMYFUNCTION("""COMPUTED_VALUE"""),"CSTM_4FZCUZJG5QW")</f>
        <v>CSTM_4FZCUZJG5QW</v>
      </c>
      <c r="Q1664" s="6"/>
      <c r="R1664" s="6" t="str">
        <f ca="1">IFERROR(__xludf.DUMMYFUNCTION("""COMPUTED_VALUE"""),"Pending")</f>
        <v>Pending</v>
      </c>
      <c r="S1664" s="6" t="str">
        <f ca="1">IFERROR(__xludf.DUMMYFUNCTION("""COMPUTED_VALUE"""),"Category")</f>
        <v>Category</v>
      </c>
      <c r="T1664" s="6"/>
      <c r="U1664" s="6"/>
      <c r="V1664" s="6"/>
      <c r="W1664" s="6"/>
      <c r="X1664" s="6"/>
      <c r="Y1664" s="6"/>
      <c r="Z1664" s="6"/>
      <c r="AA1664" s="6"/>
      <c r="AB1664" s="6"/>
      <c r="AC1664" s="6"/>
      <c r="AD1664" s="6"/>
      <c r="AE1664" s="6"/>
      <c r="AF1664" s="6"/>
      <c r="AG1664" s="6"/>
      <c r="AH1664" s="6"/>
      <c r="AI1664" s="6"/>
      <c r="AJ1664" s="6"/>
      <c r="AK1664" s="6"/>
      <c r="AL1664" s="6"/>
    </row>
    <row r="1665" spans="1:38">
      <c r="A1665" s="96">
        <f ca="1">IFERROR(__xludf.DUMMYFUNCTION("""COMPUTED_VALUE"""),45050)</f>
        <v>45050</v>
      </c>
      <c r="B1665" s="6" t="str">
        <f ca="1">IFERROR(__xludf.DUMMYFUNCTION("""COMPUTED_VALUE"""),"Mikelson")</f>
        <v>Mikelson</v>
      </c>
      <c r="C1665" s="6" t="str">
        <f ca="1">IFERROR(__xludf.DUMMYFUNCTION("""COMPUTED_VALUE"""),"nmuniy@gmail.com")</f>
        <v>nmuniy@gmail.com</v>
      </c>
      <c r="D1665" s="6">
        <f ca="1">IFERROR(__xludf.DUMMYFUNCTION("""COMPUTED_VALUE"""),971551430947)</f>
        <v>971551430947</v>
      </c>
      <c r="E1665" s="6" t="str">
        <f ca="1">IFERROR(__xludf.DUMMYFUNCTION("""COMPUTED_VALUE"""),"Reference")</f>
        <v>Reference</v>
      </c>
      <c r="F1665" s="6" t="str">
        <f ca="1">IFERROR(__xludf.DUMMYFUNCTION("""COMPUTED_VALUE"""),"ITIL v4")</f>
        <v>ITIL v4</v>
      </c>
      <c r="G1665" s="80">
        <f ca="1">IFERROR(__xludf.DUMMYFUNCTION("""COMPUTED_VALUE"""),45047)</f>
        <v>45047</v>
      </c>
      <c r="H1665" s="6" t="str">
        <f ca="1">IFERROR(__xludf.DUMMYFUNCTION("""COMPUTED_VALUE"""),"Won")</f>
        <v>Won</v>
      </c>
      <c r="I1665" s="6" t="str">
        <f ca="1">IFERROR(__xludf.DUMMYFUNCTION("""COMPUTED_VALUE"""),"8 May 2023")</f>
        <v>8 May 2023</v>
      </c>
      <c r="J1665" s="6">
        <f ca="1">IFERROR(__xludf.DUMMYFUNCTION("""COMPUTED_VALUE"""),1)</f>
        <v>1</v>
      </c>
      <c r="K1665" s="8">
        <f ca="1">IFERROR(__xludf.DUMMYFUNCTION("""COMPUTED_VALUE"""),62721)</f>
        <v>62721</v>
      </c>
      <c r="L1665" s="8">
        <f ca="1">IFERROR(__xludf.DUMMYFUNCTION("""COMPUTED_VALUE"""),718.289051763628)</f>
        <v>718.28905176362798</v>
      </c>
      <c r="M1665" s="96">
        <f ca="1">IFERROR(__xludf.DUMMYFUNCTION("""COMPUTED_VALUE"""),45050)</f>
        <v>45050</v>
      </c>
      <c r="N1665" s="6" t="str">
        <f ca="1">IFERROR(__xludf.DUMMYFUNCTION("""COMPUTED_VALUE"""),"F10")</f>
        <v>F10</v>
      </c>
      <c r="O1665" s="97">
        <f ca="1">IFERROR(__xludf.DUMMYFUNCTION("""COMPUTED_VALUE"""),45050)</f>
        <v>45050</v>
      </c>
      <c r="P1665" s="6" t="str">
        <f ca="1">IFERROR(__xludf.DUMMYFUNCTION("""COMPUTED_VALUE"""),"CSTM_87BXVKALPBG")</f>
        <v>CSTM_87BXVKALPBG</v>
      </c>
      <c r="Q1665" s="6" t="str">
        <f ca="1">IFERROR(__xludf.DUMMYFUNCTION("""COMPUTED_VALUE"""),"Reference by dmr.tech90@gmail.com")</f>
        <v>Reference by dmr.tech90@gmail.com</v>
      </c>
      <c r="R1665" s="6" t="str">
        <f ca="1">IFERROR(__xludf.DUMMYFUNCTION("""COMPUTED_VALUE"""),"Pending")</f>
        <v>Pending</v>
      </c>
      <c r="S1665" s="6" t="str">
        <f ca="1">IFERROR(__xludf.DUMMYFUNCTION("""COMPUTED_VALUE"""),"NonCategory")</f>
        <v>NonCategory</v>
      </c>
      <c r="T1665" s="6"/>
      <c r="U1665" s="6"/>
      <c r="V1665" s="6"/>
      <c r="W1665" s="6"/>
      <c r="X1665" s="6"/>
      <c r="Y1665" s="6"/>
      <c r="Z1665" s="6"/>
      <c r="AA1665" s="6"/>
      <c r="AB1665" s="6"/>
      <c r="AC1665" s="6"/>
      <c r="AD1665" s="6"/>
      <c r="AE1665" s="6"/>
      <c r="AF1665" s="6"/>
      <c r="AG1665" s="6"/>
      <c r="AH1665" s="6"/>
      <c r="AI1665" s="6"/>
      <c r="AJ1665" s="6"/>
      <c r="AK1665" s="6"/>
      <c r="AL1665" s="6"/>
    </row>
    <row r="1666" spans="1:38">
      <c r="A1666" s="96">
        <f ca="1">IFERROR(__xludf.DUMMYFUNCTION("""COMPUTED_VALUE"""),45050)</f>
        <v>45050</v>
      </c>
      <c r="B1666" s="6" t="str">
        <f ca="1">IFERROR(__xludf.DUMMYFUNCTION("""COMPUTED_VALUE"""),"Jay Kompella")</f>
        <v>Jay Kompella</v>
      </c>
      <c r="C1666" s="6" t="str">
        <f ca="1">IFERROR(__xludf.DUMMYFUNCTION("""COMPUTED_VALUE"""),"mrkompella@yahoo.com")</f>
        <v>mrkompella@yahoo.com</v>
      </c>
      <c r="D1666" s="6">
        <f ca="1">IFERROR(__xludf.DUMMYFUNCTION("""COMPUTED_VALUE"""),8554869191)</f>
        <v>8554869191</v>
      </c>
      <c r="E1666" s="6" t="str">
        <f ca="1">IFERROR(__xludf.DUMMYFUNCTION("""COMPUTED_VALUE"""),"Reference")</f>
        <v>Reference</v>
      </c>
      <c r="F1666" s="6" t="str">
        <f ca="1">IFERROR(__xludf.DUMMYFUNCTION("""COMPUTED_VALUE"""),"SAFe POPM")</f>
        <v>SAFe POPM</v>
      </c>
      <c r="G1666" s="80">
        <f ca="1">IFERROR(__xludf.DUMMYFUNCTION("""COMPUTED_VALUE"""),45047)</f>
        <v>45047</v>
      </c>
      <c r="H1666" s="6" t="str">
        <f ca="1">IFERROR(__xludf.DUMMYFUNCTION("""COMPUTED_VALUE"""),"Won")</f>
        <v>Won</v>
      </c>
      <c r="I1666" s="6" t="str">
        <f ca="1">IFERROR(__xludf.DUMMYFUNCTION("""COMPUTED_VALUE"""),"3-4 June 2023")</f>
        <v>3-4 June 2023</v>
      </c>
      <c r="J1666" s="6">
        <f ca="1">IFERROR(__xludf.DUMMYFUNCTION("""COMPUTED_VALUE"""),1)</f>
        <v>1</v>
      </c>
      <c r="K1666" s="8">
        <f ca="1">IFERROR(__xludf.DUMMYFUNCTION("""COMPUTED_VALUE"""),42000)</f>
        <v>42000</v>
      </c>
      <c r="L1666" s="8">
        <f ca="1">IFERROR(__xludf.DUMMYFUNCTION("""COMPUTED_VALUE"""),480.989464040311)</f>
        <v>480.98946404031102</v>
      </c>
      <c r="M1666" s="96">
        <f ca="1">IFERROR(__xludf.DUMMYFUNCTION("""COMPUTED_VALUE"""),45050)</f>
        <v>45050</v>
      </c>
      <c r="N1666" s="6" t="str">
        <f ca="1">IFERROR(__xludf.DUMMYFUNCTION("""COMPUTED_VALUE"""),"F10")</f>
        <v>F10</v>
      </c>
      <c r="O1666" s="97">
        <f ca="1">IFERROR(__xludf.DUMMYFUNCTION("""COMPUTED_VALUE"""),45050)</f>
        <v>45050</v>
      </c>
      <c r="P1666" s="6" t="str">
        <f ca="1">IFERROR(__xludf.DUMMYFUNCTION("""COMPUTED_VALUE"""),"CSTM_C258QWW8KZR")</f>
        <v>CSTM_C258QWW8KZR</v>
      </c>
      <c r="Q1666" s="6" t="str">
        <f ca="1">IFERROR(__xludf.DUMMYFUNCTION("""COMPUTED_VALUE"""),"Reference by t06adam25@gmail.com")</f>
        <v>Reference by t06adam25@gmail.com</v>
      </c>
      <c r="R1666" s="6" t="str">
        <f ca="1">IFERROR(__xludf.DUMMYFUNCTION("""COMPUTED_VALUE"""),"Pending")</f>
        <v>Pending</v>
      </c>
      <c r="S1666" s="6" t="str">
        <f ca="1">IFERROR(__xludf.DUMMYFUNCTION("""COMPUTED_VALUE"""),"SAFe")</f>
        <v>SAFe</v>
      </c>
      <c r="T1666" s="6"/>
      <c r="U1666" s="6"/>
      <c r="V1666" s="6"/>
      <c r="W1666" s="6"/>
      <c r="X1666" s="6"/>
      <c r="Y1666" s="6"/>
      <c r="Z1666" s="6"/>
      <c r="AA1666" s="6"/>
      <c r="AB1666" s="6"/>
      <c r="AC1666" s="6"/>
      <c r="AD1666" s="6"/>
      <c r="AE1666" s="6"/>
      <c r="AF1666" s="6"/>
      <c r="AG1666" s="6"/>
      <c r="AH1666" s="6"/>
      <c r="AI1666" s="6"/>
      <c r="AJ1666" s="6"/>
      <c r="AK1666" s="6"/>
      <c r="AL1666" s="6"/>
    </row>
    <row r="1667" spans="1:38">
      <c r="A1667" s="96">
        <f ca="1">IFERROR(__xludf.DUMMYFUNCTION("""COMPUTED_VALUE"""),45051)</f>
        <v>45051</v>
      </c>
      <c r="B1667" s="6" t="str">
        <f ca="1">IFERROR(__xludf.DUMMYFUNCTION("""COMPUTED_VALUE"""),"Mownaguru")</f>
        <v>Mownaguru</v>
      </c>
      <c r="C1667" s="6" t="str">
        <f ca="1">IFERROR(__xludf.DUMMYFUNCTION("""COMPUTED_VALUE"""),"mownaguru@gmail.com")</f>
        <v>mownaguru@gmail.com</v>
      </c>
      <c r="D1667" s="6">
        <f ca="1">IFERROR(__xludf.DUMMYFUNCTION("""COMPUTED_VALUE"""),9840604865)</f>
        <v>9840604865</v>
      </c>
      <c r="E1667" s="6" t="str">
        <f ca="1">IFERROR(__xludf.DUMMYFUNCTION("""COMPUTED_VALUE"""),"Chat_triggered")</f>
        <v>Chat_triggered</v>
      </c>
      <c r="F1667" s="6" t="str">
        <f ca="1">IFERROR(__xludf.DUMMYFUNCTION("""COMPUTED_VALUE"""),"CSPO")</f>
        <v>CSPO</v>
      </c>
      <c r="G1667" s="80">
        <f ca="1">IFERROR(__xludf.DUMMYFUNCTION("""COMPUTED_VALUE"""),45047)</f>
        <v>45047</v>
      </c>
      <c r="H1667" s="6" t="str">
        <f ca="1">IFERROR(__xludf.DUMMYFUNCTION("""COMPUTED_VALUE"""),"Won")</f>
        <v>Won</v>
      </c>
      <c r="I1667" s="6" t="str">
        <f ca="1">IFERROR(__xludf.DUMMYFUNCTION("""COMPUTED_VALUE"""),"3-4 June 2023")</f>
        <v>3-4 June 2023</v>
      </c>
      <c r="J1667" s="6">
        <f ca="1">IFERROR(__xludf.DUMMYFUNCTION("""COMPUTED_VALUE"""),1)</f>
        <v>1</v>
      </c>
      <c r="K1667" s="8">
        <f ca="1">IFERROR(__xludf.DUMMYFUNCTION("""COMPUTED_VALUE"""),20000)</f>
        <v>20000</v>
      </c>
      <c r="L1667" s="8">
        <f ca="1">IFERROR(__xludf.DUMMYFUNCTION("""COMPUTED_VALUE"""),229.042601923957)</f>
        <v>229.04260192395699</v>
      </c>
      <c r="M1667" s="96">
        <f ca="1">IFERROR(__xludf.DUMMYFUNCTION("""COMPUTED_VALUE"""),45051)</f>
        <v>45051</v>
      </c>
      <c r="N1667" s="6" t="str">
        <f ca="1">IFERROR(__xludf.DUMMYFUNCTION("""COMPUTED_VALUE"""),"F10")</f>
        <v>F10</v>
      </c>
      <c r="O1667" s="97">
        <f ca="1">IFERROR(__xludf.DUMMYFUNCTION("""COMPUTED_VALUE"""),45051)</f>
        <v>45051</v>
      </c>
      <c r="P1667" s="6" t="str">
        <f ca="1">IFERROR(__xludf.DUMMYFUNCTION("""COMPUTED_VALUE"""),"CSTM_4P1KMXZFZYY")</f>
        <v>CSTM_4P1KMXZFZYY</v>
      </c>
      <c r="Q1667" s="6"/>
      <c r="R1667" s="6" t="str">
        <f ca="1">IFERROR(__xludf.DUMMYFUNCTION("""COMPUTED_VALUE"""),"Pending")</f>
        <v>Pending</v>
      </c>
      <c r="S1667" s="6" t="str">
        <f ca="1">IFERROR(__xludf.DUMMYFUNCTION("""COMPUTED_VALUE"""),"Category")</f>
        <v>Category</v>
      </c>
      <c r="T1667" s="6"/>
      <c r="U1667" s="6"/>
      <c r="V1667" s="6"/>
      <c r="W1667" s="6"/>
      <c r="X1667" s="6"/>
      <c r="Y1667" s="6"/>
      <c r="Z1667" s="6"/>
      <c r="AA1667" s="6"/>
      <c r="AB1667" s="6"/>
      <c r="AC1667" s="6"/>
      <c r="AD1667" s="6"/>
      <c r="AE1667" s="6"/>
      <c r="AF1667" s="6"/>
      <c r="AG1667" s="6"/>
      <c r="AH1667" s="6"/>
      <c r="AI1667" s="6"/>
      <c r="AJ1667" s="6"/>
      <c r="AK1667" s="6"/>
      <c r="AL1667" s="6"/>
    </row>
    <row r="1668" spans="1:38">
      <c r="A1668" s="96">
        <f ca="1">IFERROR(__xludf.DUMMYFUNCTION("""COMPUTED_VALUE"""),45051)</f>
        <v>45051</v>
      </c>
      <c r="B1668" s="6" t="str">
        <f ca="1">IFERROR(__xludf.DUMMYFUNCTION("""COMPUTED_VALUE"""),"Sumit Kamal")</f>
        <v>Sumit Kamal</v>
      </c>
      <c r="C1668" s="6" t="str">
        <f ca="1">IFERROR(__xludf.DUMMYFUNCTION("""COMPUTED_VALUE"""),"skamal362@gmail.com")</f>
        <v>skamal362@gmail.com</v>
      </c>
      <c r="D1668" s="6">
        <f ca="1">IFERROR(__xludf.DUMMYFUNCTION("""COMPUTED_VALUE"""),7010920640)</f>
        <v>7010920640</v>
      </c>
      <c r="E1668" s="6" t="str">
        <f ca="1">IFERROR(__xludf.DUMMYFUNCTION("""COMPUTED_VALUE"""),"Reference")</f>
        <v>Reference</v>
      </c>
      <c r="F1668" s="6" t="str">
        <f ca="1">IFERROR(__xludf.DUMMYFUNCTION("""COMPUTED_VALUE"""),"CBAP")</f>
        <v>CBAP</v>
      </c>
      <c r="G1668" s="80">
        <f ca="1">IFERROR(__xludf.DUMMYFUNCTION("""COMPUTED_VALUE"""),45047)</f>
        <v>45047</v>
      </c>
      <c r="H1668" s="6" t="str">
        <f ca="1">IFERROR(__xludf.DUMMYFUNCTION("""COMPUTED_VALUE"""),"Won")</f>
        <v>Won</v>
      </c>
      <c r="I1668" s="6" t="str">
        <f ca="1">IFERROR(__xludf.DUMMYFUNCTION("""COMPUTED_VALUE"""),"15 May 2023")</f>
        <v>15 May 2023</v>
      </c>
      <c r="J1668" s="6">
        <f ca="1">IFERROR(__xludf.DUMMYFUNCTION("""COMPUTED_VALUE"""),1)</f>
        <v>1</v>
      </c>
      <c r="K1668" s="8">
        <f ca="1">IFERROR(__xludf.DUMMYFUNCTION("""COMPUTED_VALUE"""),14000)</f>
        <v>14000</v>
      </c>
      <c r="L1668" s="8">
        <f ca="1">IFERROR(__xludf.DUMMYFUNCTION("""COMPUTED_VALUE"""),160.32982134677)</f>
        <v>160.32982134676999</v>
      </c>
      <c r="M1668" s="96">
        <f ca="1">IFERROR(__xludf.DUMMYFUNCTION("""COMPUTED_VALUE"""),45051)</f>
        <v>45051</v>
      </c>
      <c r="N1668" s="6" t="str">
        <f ca="1">IFERROR(__xludf.DUMMYFUNCTION("""COMPUTED_VALUE"""),"F10")</f>
        <v>F10</v>
      </c>
      <c r="O1668" s="97">
        <f ca="1">IFERROR(__xludf.DUMMYFUNCTION("""COMPUTED_VALUE"""),45051)</f>
        <v>45051</v>
      </c>
      <c r="P1668" s="6" t="str">
        <f ca="1">IFERROR(__xludf.DUMMYFUNCTION("""COMPUTED_VALUE"""),"CSTM_BPS5KTC79TC")</f>
        <v>CSTM_BPS5KTC79TC</v>
      </c>
      <c r="Q1668" s="6" t="str">
        <f ca="1">IFERROR(__xludf.DUMMYFUNCTION("""COMPUTED_VALUE"""),"Reference by nehadreams1@gmail.com")</f>
        <v>Reference by nehadreams1@gmail.com</v>
      </c>
      <c r="R1668" s="6" t="str">
        <f ca="1">IFERROR(__xludf.DUMMYFUNCTION("""COMPUTED_VALUE"""),"Pending")</f>
        <v>Pending</v>
      </c>
      <c r="S1668" s="6" t="str">
        <f ca="1">IFERROR(__xludf.DUMMYFUNCTION("""COMPUTED_VALUE"""),"NonCategory")</f>
        <v>NonCategory</v>
      </c>
      <c r="T1668" s="6"/>
      <c r="U1668" s="6"/>
      <c r="V1668" s="6"/>
      <c r="W1668" s="6"/>
      <c r="X1668" s="6"/>
      <c r="Y1668" s="6"/>
      <c r="Z1668" s="6"/>
      <c r="AA1668" s="6"/>
      <c r="AB1668" s="6"/>
      <c r="AC1668" s="6"/>
      <c r="AD1668" s="6"/>
      <c r="AE1668" s="6"/>
      <c r="AF1668" s="6"/>
      <c r="AG1668" s="6"/>
      <c r="AH1668" s="6"/>
      <c r="AI1668" s="6"/>
      <c r="AJ1668" s="6"/>
      <c r="AK1668" s="6"/>
      <c r="AL1668" s="6"/>
    </row>
    <row r="1669" spans="1:38">
      <c r="A1669" s="96">
        <f ca="1">IFERROR(__xludf.DUMMYFUNCTION("""COMPUTED_VALUE"""),45051)</f>
        <v>45051</v>
      </c>
      <c r="B1669" s="6" t="str">
        <f ca="1">IFERROR(__xludf.DUMMYFUNCTION("""COMPUTED_VALUE"""),"Rohini Goverdhan")</f>
        <v>Rohini Goverdhan</v>
      </c>
      <c r="C1669" s="6" t="str">
        <f ca="1">IFERROR(__xludf.DUMMYFUNCTION("""COMPUTED_VALUE"""),"rohini_goverdhan@infosys.com")</f>
        <v>rohini_goverdhan@infosys.com</v>
      </c>
      <c r="D1669" s="6">
        <f ca="1">IFERROR(__xludf.DUMMYFUNCTION("""COMPUTED_VALUE"""),8563169932)</f>
        <v>8563169932</v>
      </c>
      <c r="E1669" s="6" t="str">
        <f ca="1">IFERROR(__xludf.DUMMYFUNCTION("""COMPUTED_VALUE"""),"Reference")</f>
        <v>Reference</v>
      </c>
      <c r="F1669" s="6" t="str">
        <f ca="1">IFERROR(__xludf.DUMMYFUNCTION("""COMPUTED_VALUE"""),"CSM")</f>
        <v>CSM</v>
      </c>
      <c r="G1669" s="80">
        <f ca="1">IFERROR(__xludf.DUMMYFUNCTION("""COMPUTED_VALUE"""),45047)</f>
        <v>45047</v>
      </c>
      <c r="H1669" s="6" t="str">
        <f ca="1">IFERROR(__xludf.DUMMYFUNCTION("""COMPUTED_VALUE"""),"Won")</f>
        <v>Won</v>
      </c>
      <c r="I1669" s="6" t="str">
        <f ca="1">IFERROR(__xludf.DUMMYFUNCTION("""COMPUTED_VALUE"""),"8-10 May 2023")</f>
        <v>8-10 May 2023</v>
      </c>
      <c r="J1669" s="6">
        <f ca="1">IFERROR(__xludf.DUMMYFUNCTION("""COMPUTED_VALUE"""),1)</f>
        <v>1</v>
      </c>
      <c r="K1669" s="8">
        <f ca="1">IFERROR(__xludf.DUMMYFUNCTION("""COMPUTED_VALUE"""),43393)</f>
        <v>43393</v>
      </c>
      <c r="L1669" s="8">
        <f ca="1">IFERROR(__xludf.DUMMYFUNCTION("""COMPUTED_VALUE"""),496.942281264315)</f>
        <v>496.942281264315</v>
      </c>
      <c r="M1669" s="96">
        <f ca="1">IFERROR(__xludf.DUMMYFUNCTION("""COMPUTED_VALUE"""),45051)</f>
        <v>45051</v>
      </c>
      <c r="N1669" s="6" t="str">
        <f ca="1">IFERROR(__xludf.DUMMYFUNCTION("""COMPUTED_VALUE"""),"F10")</f>
        <v>F10</v>
      </c>
      <c r="O1669" s="97">
        <f ca="1">IFERROR(__xludf.DUMMYFUNCTION("""COMPUTED_VALUE"""),45051)</f>
        <v>45051</v>
      </c>
      <c r="P1669" s="6" t="str">
        <f ca="1">IFERROR(__xludf.DUMMYFUNCTION("""COMPUTED_VALUE"""),"CSTM_99Y5Q6ORVBN")</f>
        <v>CSTM_99Y5Q6ORVBN</v>
      </c>
      <c r="Q1669" s="6" t="str">
        <f ca="1">IFERROR(__xludf.DUMMYFUNCTION("""COMPUTED_VALUE"""),"Reference by cindrella324@gmail.com")</f>
        <v>Reference by cindrella324@gmail.com</v>
      </c>
      <c r="R1669" s="6" t="str">
        <f ca="1">IFERROR(__xludf.DUMMYFUNCTION("""COMPUTED_VALUE"""),"Pending")</f>
        <v>Pending</v>
      </c>
      <c r="S1669" s="6" t="str">
        <f ca="1">IFERROR(__xludf.DUMMYFUNCTION("""COMPUTED_VALUE"""),"Category")</f>
        <v>Category</v>
      </c>
      <c r="T1669" s="6"/>
      <c r="U1669" s="6"/>
      <c r="V1669" s="6"/>
      <c r="W1669" s="6"/>
      <c r="X1669" s="6"/>
      <c r="Y1669" s="6"/>
      <c r="Z1669" s="6"/>
      <c r="AA1669" s="6"/>
      <c r="AB1669" s="6"/>
      <c r="AC1669" s="6"/>
      <c r="AD1669" s="6"/>
      <c r="AE1669" s="6"/>
      <c r="AF1669" s="6"/>
      <c r="AG1669" s="6"/>
      <c r="AH1669" s="6"/>
      <c r="AI1669" s="6"/>
      <c r="AJ1669" s="6"/>
      <c r="AK1669" s="6"/>
      <c r="AL1669" s="6"/>
    </row>
    <row r="1670" spans="1:38">
      <c r="A1670" s="96">
        <f ca="1">IFERROR(__xludf.DUMMYFUNCTION("""COMPUTED_VALUE"""),45054)</f>
        <v>45054</v>
      </c>
      <c r="B1670" s="6" t="str">
        <f ca="1">IFERROR(__xludf.DUMMYFUNCTION("""COMPUTED_VALUE"""),"Alekhya")</f>
        <v>Alekhya</v>
      </c>
      <c r="C1670" s="6" t="str">
        <f ca="1">IFERROR(__xludf.DUMMYFUNCTION("""COMPUTED_VALUE"""),"alekhyas145@gmail.com")</f>
        <v>alekhyas145@gmail.com</v>
      </c>
      <c r="D1670" s="6">
        <f ca="1">IFERROR(__xludf.DUMMYFUNCTION("""COMPUTED_VALUE"""),8826160555)</f>
        <v>8826160555</v>
      </c>
      <c r="E1670" s="6" t="str">
        <f ca="1">IFERROR(__xludf.DUMMYFUNCTION("""COMPUTED_VALUE"""),"Chat_triggered")</f>
        <v>Chat_triggered</v>
      </c>
      <c r="F1670" s="6" t="str">
        <f ca="1">IFERROR(__xludf.DUMMYFUNCTION("""COMPUTED_VALUE"""),"PSM")</f>
        <v>PSM</v>
      </c>
      <c r="G1670" s="80">
        <f ca="1">IFERROR(__xludf.DUMMYFUNCTION("""COMPUTED_VALUE"""),45047)</f>
        <v>45047</v>
      </c>
      <c r="H1670" s="6" t="str">
        <f ca="1">IFERROR(__xludf.DUMMYFUNCTION("""COMPUTED_VALUE"""),"Won")</f>
        <v>Won</v>
      </c>
      <c r="I1670" s="6" t="str">
        <f ca="1">IFERROR(__xludf.DUMMYFUNCTION("""COMPUTED_VALUE"""),"13-14 May 2023")</f>
        <v>13-14 May 2023</v>
      </c>
      <c r="J1670" s="6">
        <f ca="1">IFERROR(__xludf.DUMMYFUNCTION("""COMPUTED_VALUE"""),1)</f>
        <v>1</v>
      </c>
      <c r="K1670" s="8">
        <f ca="1">IFERROR(__xludf.DUMMYFUNCTION("""COMPUTED_VALUE"""),21000)</f>
        <v>21000</v>
      </c>
      <c r="L1670" s="8">
        <f ca="1">IFERROR(__xludf.DUMMYFUNCTION("""COMPUTED_VALUE"""),240.494732020155)</f>
        <v>240.494732020155</v>
      </c>
      <c r="M1670" s="96">
        <f ca="1">IFERROR(__xludf.DUMMYFUNCTION("""COMPUTED_VALUE"""),45054)</f>
        <v>45054</v>
      </c>
      <c r="N1670" s="6" t="str">
        <f ca="1">IFERROR(__xludf.DUMMYFUNCTION("""COMPUTED_VALUE"""),"F10")</f>
        <v>F10</v>
      </c>
      <c r="O1670" s="97">
        <f ca="1">IFERROR(__xludf.DUMMYFUNCTION("""COMPUTED_VALUE"""),45055)</f>
        <v>45055</v>
      </c>
      <c r="P1670" s="6" t="str">
        <f ca="1">IFERROR(__xludf.DUMMYFUNCTION("""COMPUTED_VALUE"""),"CSTM_G8RR7TORBWL")</f>
        <v>CSTM_G8RR7TORBWL</v>
      </c>
      <c r="Q1670" s="6"/>
      <c r="R1670" s="6" t="str">
        <f ca="1">IFERROR(__xludf.DUMMYFUNCTION("""COMPUTED_VALUE"""),"Pending")</f>
        <v>Pending</v>
      </c>
      <c r="S1670" s="6" t="str">
        <f ca="1">IFERROR(__xludf.DUMMYFUNCTION("""COMPUTED_VALUE"""),"Category")</f>
        <v>Category</v>
      </c>
      <c r="T1670" s="6"/>
      <c r="U1670" s="6"/>
      <c r="V1670" s="6"/>
      <c r="W1670" s="6"/>
      <c r="X1670" s="6"/>
      <c r="Y1670" s="6"/>
      <c r="Z1670" s="6"/>
      <c r="AA1670" s="6"/>
      <c r="AB1670" s="6"/>
      <c r="AC1670" s="6"/>
      <c r="AD1670" s="6"/>
      <c r="AE1670" s="6"/>
      <c r="AF1670" s="6"/>
      <c r="AG1670" s="6"/>
      <c r="AH1670" s="6"/>
      <c r="AI1670" s="6"/>
      <c r="AJ1670" s="6"/>
      <c r="AK1670" s="6"/>
      <c r="AL1670" s="6"/>
    </row>
    <row r="1671" spans="1:38">
      <c r="A1671" s="96">
        <f ca="1">IFERROR(__xludf.DUMMYFUNCTION("""COMPUTED_VALUE"""),45055)</f>
        <v>45055</v>
      </c>
      <c r="B1671" s="6" t="str">
        <f ca="1">IFERROR(__xludf.DUMMYFUNCTION("""COMPUTED_VALUE"""),"Manisha Chaubey")</f>
        <v>Manisha Chaubey</v>
      </c>
      <c r="C1671" s="6" t="str">
        <f ca="1">IFERROR(__xludf.DUMMYFUNCTION("""COMPUTED_VALUE"""),"chaubeymisha97@gmail.com")</f>
        <v>chaubeymisha97@gmail.com</v>
      </c>
      <c r="D1671" s="6">
        <f ca="1">IFERROR(__xludf.DUMMYFUNCTION("""COMPUTED_VALUE"""),9458707651)</f>
        <v>9458707651</v>
      </c>
      <c r="E1671" s="6" t="str">
        <f ca="1">IFERROR(__xludf.DUMMYFUNCTION("""COMPUTED_VALUE"""),"Tollfree")</f>
        <v>Tollfree</v>
      </c>
      <c r="F1671" s="6" t="str">
        <f ca="1">IFERROR(__xludf.DUMMYFUNCTION("""COMPUTED_VALUE"""),"PSPO")</f>
        <v>PSPO</v>
      </c>
      <c r="G1671" s="80">
        <f ca="1">IFERROR(__xludf.DUMMYFUNCTION("""COMPUTED_VALUE"""),45047)</f>
        <v>45047</v>
      </c>
      <c r="H1671" s="6" t="str">
        <f ca="1">IFERROR(__xludf.DUMMYFUNCTION("""COMPUTED_VALUE"""),"Won")</f>
        <v>Won</v>
      </c>
      <c r="I1671" s="6" t="str">
        <f ca="1">IFERROR(__xludf.DUMMYFUNCTION("""COMPUTED_VALUE"""),"3-4 June 2023")</f>
        <v>3-4 June 2023</v>
      </c>
      <c r="J1671" s="6">
        <f ca="1">IFERROR(__xludf.DUMMYFUNCTION("""COMPUTED_VALUE"""),1)</f>
        <v>1</v>
      </c>
      <c r="K1671" s="8">
        <f ca="1">IFERROR(__xludf.DUMMYFUNCTION("""COMPUTED_VALUE"""),21000)</f>
        <v>21000</v>
      </c>
      <c r="L1671" s="8">
        <f ca="1">IFERROR(__xludf.DUMMYFUNCTION("""COMPUTED_VALUE"""),240.494732020155)</f>
        <v>240.494732020155</v>
      </c>
      <c r="M1671" s="96">
        <f ca="1">IFERROR(__xludf.DUMMYFUNCTION("""COMPUTED_VALUE"""),45055)</f>
        <v>45055</v>
      </c>
      <c r="N1671" s="6" t="str">
        <f ca="1">IFERROR(__xludf.DUMMYFUNCTION("""COMPUTED_VALUE"""),"F10")</f>
        <v>F10</v>
      </c>
      <c r="O1671" s="97">
        <f ca="1">IFERROR(__xludf.DUMMYFUNCTION("""COMPUTED_VALUE"""),45055)</f>
        <v>45055</v>
      </c>
      <c r="P1671" s="6" t="str">
        <f ca="1">IFERROR(__xludf.DUMMYFUNCTION("""COMPUTED_VALUE"""),"CSTM_FFGBTJSKZN7")</f>
        <v>CSTM_FFGBTJSKZN7</v>
      </c>
      <c r="Q1671" s="6"/>
      <c r="R1671" s="6" t="str">
        <f ca="1">IFERROR(__xludf.DUMMYFUNCTION("""COMPUTED_VALUE"""),"Pending")</f>
        <v>Pending</v>
      </c>
      <c r="S1671" s="6" t="str">
        <f ca="1">IFERROR(__xludf.DUMMYFUNCTION("""COMPUTED_VALUE"""),"Category")</f>
        <v>Category</v>
      </c>
      <c r="T1671" s="6"/>
      <c r="U1671" s="6"/>
      <c r="V1671" s="6"/>
      <c r="W1671" s="6"/>
      <c r="X1671" s="6"/>
      <c r="Y1671" s="6"/>
      <c r="Z1671" s="6"/>
      <c r="AA1671" s="6"/>
      <c r="AB1671" s="6"/>
      <c r="AC1671" s="6"/>
      <c r="AD1671" s="6"/>
      <c r="AE1671" s="6"/>
      <c r="AF1671" s="6"/>
      <c r="AG1671" s="6"/>
      <c r="AH1671" s="6"/>
      <c r="AI1671" s="6"/>
      <c r="AJ1671" s="6"/>
      <c r="AK1671" s="6"/>
      <c r="AL1671" s="6"/>
    </row>
    <row r="1672" spans="1:38">
      <c r="A1672" s="96">
        <f ca="1">IFERROR(__xludf.DUMMYFUNCTION("""COMPUTED_VALUE"""),45057)</f>
        <v>45057</v>
      </c>
      <c r="B1672" s="6" t="str">
        <f ca="1">IFERROR(__xludf.DUMMYFUNCTION("""COMPUTED_VALUE"""),"Samir Dighe")</f>
        <v>Samir Dighe</v>
      </c>
      <c r="C1672" s="6" t="str">
        <f ca="1">IFERROR(__xludf.DUMMYFUNCTION("""COMPUTED_VALUE"""),"samir_nov122002@yahoo.co.in")</f>
        <v>samir_nov122002@yahoo.co.in</v>
      </c>
      <c r="D1672" s="6">
        <f ca="1">IFERROR(__xludf.DUMMYFUNCTION("""COMPUTED_VALUE"""),9819813948)</f>
        <v>9819813948</v>
      </c>
      <c r="E1672" s="6" t="str">
        <f ca="1">IFERROR(__xludf.DUMMYFUNCTION("""COMPUTED_VALUE"""),"Existing Account")</f>
        <v>Existing Account</v>
      </c>
      <c r="F1672" s="6" t="str">
        <f ca="1">IFERROR(__xludf.DUMMYFUNCTION("""COMPUTED_VALUE"""),"PSM 2")</f>
        <v>PSM 2</v>
      </c>
      <c r="G1672" s="80">
        <f ca="1">IFERROR(__xludf.DUMMYFUNCTION("""COMPUTED_VALUE"""),45047)</f>
        <v>45047</v>
      </c>
      <c r="H1672" s="6" t="str">
        <f ca="1">IFERROR(__xludf.DUMMYFUNCTION("""COMPUTED_VALUE"""),"Won")</f>
        <v>Won</v>
      </c>
      <c r="I1672" s="6" t="str">
        <f ca="1">IFERROR(__xludf.DUMMYFUNCTION("""COMPUTED_VALUE"""),"13-14 May 2023")</f>
        <v>13-14 May 2023</v>
      </c>
      <c r="J1672" s="6">
        <f ca="1">IFERROR(__xludf.DUMMYFUNCTION("""COMPUTED_VALUE"""),1)</f>
        <v>1</v>
      </c>
      <c r="K1672" s="8">
        <f ca="1">IFERROR(__xludf.DUMMYFUNCTION("""COMPUTED_VALUE"""),24000)</f>
        <v>24000</v>
      </c>
      <c r="L1672" s="8">
        <f ca="1">IFERROR(__xludf.DUMMYFUNCTION("""COMPUTED_VALUE"""),274.851122308749)</f>
        <v>274.85112230874898</v>
      </c>
      <c r="M1672" s="96">
        <f ca="1">IFERROR(__xludf.DUMMYFUNCTION("""COMPUTED_VALUE"""),45057)</f>
        <v>45057</v>
      </c>
      <c r="N1672" s="6" t="str">
        <f ca="1">IFERROR(__xludf.DUMMYFUNCTION("""COMPUTED_VALUE"""),"S10")</f>
        <v>S10</v>
      </c>
      <c r="O1672" s="97">
        <f ca="1">IFERROR(__xludf.DUMMYFUNCTION("""COMPUTED_VALUE"""),45057)</f>
        <v>45057</v>
      </c>
      <c r="P1672" s="6" t="str">
        <f ca="1">IFERROR(__xludf.DUMMYFUNCTION("""COMPUTED_VALUE"""),"CSTM_6LVYGYZUCDE")</f>
        <v>CSTM_6LVYGYZUCDE</v>
      </c>
      <c r="Q1672" s="6"/>
      <c r="R1672" s="6" t="str">
        <f ca="1">IFERROR(__xludf.DUMMYFUNCTION("""COMPUTED_VALUE"""),"Pending")</f>
        <v>Pending</v>
      </c>
      <c r="S1672" s="6" t="str">
        <f ca="1">IFERROR(__xludf.DUMMYFUNCTION("""COMPUTED_VALUE"""),"Category")</f>
        <v>Category</v>
      </c>
      <c r="T1672" s="6"/>
      <c r="U1672" s="6"/>
      <c r="V1672" s="6"/>
      <c r="W1672" s="6"/>
      <c r="X1672" s="6"/>
      <c r="Y1672" s="6"/>
      <c r="Z1672" s="6"/>
      <c r="AA1672" s="6"/>
      <c r="AB1672" s="6"/>
      <c r="AC1672" s="6"/>
      <c r="AD1672" s="6"/>
      <c r="AE1672" s="6"/>
      <c r="AF1672" s="6"/>
      <c r="AG1672" s="6"/>
      <c r="AH1672" s="6"/>
      <c r="AI1672" s="6"/>
      <c r="AJ1672" s="6"/>
      <c r="AK1672" s="6"/>
      <c r="AL1672" s="6"/>
    </row>
    <row r="1673" spans="1:38">
      <c r="A1673" s="96">
        <f ca="1">IFERROR(__xludf.DUMMYFUNCTION("""COMPUTED_VALUE"""),45058)</f>
        <v>45058</v>
      </c>
      <c r="B1673" s="6" t="str">
        <f ca="1">IFERROR(__xludf.DUMMYFUNCTION("""COMPUTED_VALUE"""),"Vasanta")</f>
        <v>Vasanta</v>
      </c>
      <c r="C1673" s="6" t="str">
        <f ca="1">IFERROR(__xludf.DUMMYFUNCTION("""COMPUTED_VALUE"""),"vasantaboddula@gmail.com")</f>
        <v>vasantaboddula@gmail.com</v>
      </c>
      <c r="D1673" s="6">
        <f ca="1">IFERROR(__xludf.DUMMYFUNCTION("""COMPUTED_VALUE"""),9739620980)</f>
        <v>9739620980</v>
      </c>
      <c r="E1673" s="6" t="str">
        <f ca="1">IFERROR(__xludf.DUMMYFUNCTION("""COMPUTED_VALUE"""),"Query box")</f>
        <v>Query box</v>
      </c>
      <c r="F1673" s="6" t="str">
        <f ca="1">IFERROR(__xludf.DUMMYFUNCTION("""COMPUTED_VALUE"""),"PSPO")</f>
        <v>PSPO</v>
      </c>
      <c r="G1673" s="80">
        <f ca="1">IFERROR(__xludf.DUMMYFUNCTION("""COMPUTED_VALUE"""),45047)</f>
        <v>45047</v>
      </c>
      <c r="H1673" s="6" t="str">
        <f ca="1">IFERROR(__xludf.DUMMYFUNCTION("""COMPUTED_VALUE"""),"Won")</f>
        <v>Won</v>
      </c>
      <c r="I1673" s="6" t="str">
        <f ca="1">IFERROR(__xludf.DUMMYFUNCTION("""COMPUTED_VALUE"""),"20-21 May 2023")</f>
        <v>20-21 May 2023</v>
      </c>
      <c r="J1673" s="6">
        <f ca="1">IFERROR(__xludf.DUMMYFUNCTION("""COMPUTED_VALUE"""),1)</f>
        <v>1</v>
      </c>
      <c r="K1673" s="8">
        <f ca="1">IFERROR(__xludf.DUMMYFUNCTION("""COMPUTED_VALUE"""),21000)</f>
        <v>21000</v>
      </c>
      <c r="L1673" s="8">
        <f ca="1">IFERROR(__xludf.DUMMYFUNCTION("""COMPUTED_VALUE"""),240.494732020155)</f>
        <v>240.494732020155</v>
      </c>
      <c r="M1673" s="96">
        <f ca="1">IFERROR(__xludf.DUMMYFUNCTION("""COMPUTED_VALUE"""),45058)</f>
        <v>45058</v>
      </c>
      <c r="N1673" s="6" t="str">
        <f ca="1">IFERROR(__xludf.DUMMYFUNCTION("""COMPUTED_VALUE"""),"S10")</f>
        <v>S10</v>
      </c>
      <c r="O1673" s="97">
        <f ca="1">IFERROR(__xludf.DUMMYFUNCTION("""COMPUTED_VALUE"""),45058)</f>
        <v>45058</v>
      </c>
      <c r="P1673" s="6" t="str">
        <f ca="1">IFERROR(__xludf.DUMMYFUNCTION("""COMPUTED_VALUE"""),"CSTM_HJ85D4GFCIL")</f>
        <v>CSTM_HJ85D4GFCIL</v>
      </c>
      <c r="Q1673" s="6"/>
      <c r="R1673" s="6" t="str">
        <f ca="1">IFERROR(__xludf.DUMMYFUNCTION("""COMPUTED_VALUE"""),"Pending")</f>
        <v>Pending</v>
      </c>
      <c r="S1673" s="6" t="str">
        <f ca="1">IFERROR(__xludf.DUMMYFUNCTION("""COMPUTED_VALUE"""),"Category")</f>
        <v>Category</v>
      </c>
      <c r="T1673" s="6"/>
      <c r="U1673" s="6"/>
      <c r="V1673" s="6"/>
      <c r="W1673" s="6"/>
      <c r="X1673" s="6"/>
      <c r="Y1673" s="6"/>
      <c r="Z1673" s="6"/>
      <c r="AA1673" s="6"/>
      <c r="AB1673" s="6"/>
      <c r="AC1673" s="6"/>
      <c r="AD1673" s="6"/>
      <c r="AE1673" s="6"/>
      <c r="AF1673" s="6"/>
      <c r="AG1673" s="6"/>
      <c r="AH1673" s="6"/>
      <c r="AI1673" s="6"/>
      <c r="AJ1673" s="6"/>
      <c r="AK1673" s="6"/>
      <c r="AL1673" s="6"/>
    </row>
    <row r="1674" spans="1:38">
      <c r="A1674" s="96">
        <f ca="1">IFERROR(__xludf.DUMMYFUNCTION("""COMPUTED_VALUE"""),45058)</f>
        <v>45058</v>
      </c>
      <c r="B1674" s="6" t="str">
        <f ca="1">IFERROR(__xludf.DUMMYFUNCTION("""COMPUTED_VALUE"""),"Lakshmi Priya")</f>
        <v>Lakshmi Priya</v>
      </c>
      <c r="C1674" s="6" t="str">
        <f ca="1">IFERROR(__xludf.DUMMYFUNCTION("""COMPUTED_VALUE"""),"rlakpriya02@gmail.com")</f>
        <v>rlakpriya02@gmail.com</v>
      </c>
      <c r="D1674" s="6">
        <f ca="1">IFERROR(__xludf.DUMMYFUNCTION("""COMPUTED_VALUE"""),9791129594)</f>
        <v>9791129594</v>
      </c>
      <c r="E1674" s="6" t="str">
        <f ca="1">IFERROR(__xludf.DUMMYFUNCTION("""COMPUTED_VALUE"""),"Existing Account")</f>
        <v>Existing Account</v>
      </c>
      <c r="F1674" s="6" t="str">
        <f ca="1">IFERROR(__xludf.DUMMYFUNCTION("""COMPUTED_VALUE"""),"SAFe Agile")</f>
        <v>SAFe Agile</v>
      </c>
      <c r="G1674" s="80">
        <f ca="1">IFERROR(__xludf.DUMMYFUNCTION("""COMPUTED_VALUE"""),45047)</f>
        <v>45047</v>
      </c>
      <c r="H1674" s="6" t="str">
        <f ca="1">IFERROR(__xludf.DUMMYFUNCTION("""COMPUTED_VALUE"""),"Won")</f>
        <v>Won</v>
      </c>
      <c r="I1674" s="6" t="str">
        <f ca="1">IFERROR(__xludf.DUMMYFUNCTION("""COMPUTED_VALUE"""),"20-21 May 2023")</f>
        <v>20-21 May 2023</v>
      </c>
      <c r="J1674" s="6">
        <f ca="1">IFERROR(__xludf.DUMMYFUNCTION("""COMPUTED_VALUE"""),1)</f>
        <v>1</v>
      </c>
      <c r="K1674" s="8">
        <f ca="1">IFERROR(__xludf.DUMMYFUNCTION("""COMPUTED_VALUE"""),42000)</f>
        <v>42000</v>
      </c>
      <c r="L1674" s="8">
        <f ca="1">IFERROR(__xludf.DUMMYFUNCTION("""COMPUTED_VALUE"""),480.989464040311)</f>
        <v>480.98946404031102</v>
      </c>
      <c r="M1674" s="96">
        <f ca="1">IFERROR(__xludf.DUMMYFUNCTION("""COMPUTED_VALUE"""),45058)</f>
        <v>45058</v>
      </c>
      <c r="N1674" s="6" t="str">
        <f ca="1">IFERROR(__xludf.DUMMYFUNCTION("""COMPUTED_VALUE"""),"S10")</f>
        <v>S10</v>
      </c>
      <c r="O1674" s="97">
        <f ca="1">IFERROR(__xludf.DUMMYFUNCTION("""COMPUTED_VALUE"""),45058)</f>
        <v>45058</v>
      </c>
      <c r="P1674" s="6" t="str">
        <f ca="1">IFERROR(__xludf.DUMMYFUNCTION("""COMPUTED_VALUE"""),"CSTM_4Y28AGWPQ00")</f>
        <v>CSTM_4Y28AGWPQ00</v>
      </c>
      <c r="Q1674" s="6"/>
      <c r="R1674" s="6" t="str">
        <f ca="1">IFERROR(__xludf.DUMMYFUNCTION("""COMPUTED_VALUE"""),"Pending")</f>
        <v>Pending</v>
      </c>
      <c r="S1674" s="6" t="str">
        <f ca="1">IFERROR(__xludf.DUMMYFUNCTION("""COMPUTED_VALUE"""),"SAFe")</f>
        <v>SAFe</v>
      </c>
      <c r="T1674" s="6"/>
      <c r="U1674" s="6"/>
      <c r="V1674" s="6"/>
      <c r="W1674" s="6"/>
      <c r="X1674" s="6"/>
      <c r="Y1674" s="6"/>
      <c r="Z1674" s="6"/>
      <c r="AA1674" s="6"/>
      <c r="AB1674" s="6"/>
      <c r="AC1674" s="6"/>
      <c r="AD1674" s="6"/>
      <c r="AE1674" s="6"/>
      <c r="AF1674" s="6"/>
      <c r="AG1674" s="6"/>
      <c r="AH1674" s="6"/>
      <c r="AI1674" s="6"/>
      <c r="AJ1674" s="6"/>
      <c r="AK1674" s="6"/>
      <c r="AL1674" s="6"/>
    </row>
    <row r="1675" spans="1:38">
      <c r="A1675" s="96">
        <f ca="1">IFERROR(__xludf.DUMMYFUNCTION("""COMPUTED_VALUE"""),45064)</f>
        <v>45064</v>
      </c>
      <c r="B1675" s="6" t="str">
        <f ca="1">IFERROR(__xludf.DUMMYFUNCTION("""COMPUTED_VALUE"""),"Srivatsan")</f>
        <v>Srivatsan</v>
      </c>
      <c r="C1675" s="6" t="str">
        <f ca="1">IFERROR(__xludf.DUMMYFUNCTION("""COMPUTED_VALUE"""),"srivatsanm@gmail.com")</f>
        <v>srivatsanm@gmail.com</v>
      </c>
      <c r="D1675" s="6">
        <f ca="1">IFERROR(__xludf.DUMMYFUNCTION("""COMPUTED_VALUE"""),9884553694)</f>
        <v>9884553694</v>
      </c>
      <c r="E1675" s="6" t="str">
        <f ca="1">IFERROR(__xludf.DUMMYFUNCTION("""COMPUTED_VALUE"""),"chat_initiated")</f>
        <v>chat_initiated</v>
      </c>
      <c r="F1675" s="6" t="str">
        <f ca="1">IFERROR(__xludf.DUMMYFUNCTION("""COMPUTED_VALUE"""),"SAFe Agile")</f>
        <v>SAFe Agile</v>
      </c>
      <c r="G1675" s="80">
        <f ca="1">IFERROR(__xludf.DUMMYFUNCTION("""COMPUTED_VALUE"""),45047)</f>
        <v>45047</v>
      </c>
      <c r="H1675" s="6" t="str">
        <f ca="1">IFERROR(__xludf.DUMMYFUNCTION("""COMPUTED_VALUE"""),"Won")</f>
        <v>Won</v>
      </c>
      <c r="I1675" s="6" t="str">
        <f ca="1">IFERROR(__xludf.DUMMYFUNCTION("""COMPUTED_VALUE"""),"27-28 May 2023")</f>
        <v>27-28 May 2023</v>
      </c>
      <c r="J1675" s="6">
        <f ca="1">IFERROR(__xludf.DUMMYFUNCTION("""COMPUTED_VALUE"""),1)</f>
        <v>1</v>
      </c>
      <c r="K1675" s="8">
        <f ca="1">IFERROR(__xludf.DUMMYFUNCTION("""COMPUTED_VALUE"""),42000)</f>
        <v>42000</v>
      </c>
      <c r="L1675" s="8">
        <f ca="1">IFERROR(__xludf.DUMMYFUNCTION("""COMPUTED_VALUE"""),480.989464040311)</f>
        <v>480.98946404031102</v>
      </c>
      <c r="M1675" s="96">
        <f ca="1">IFERROR(__xludf.DUMMYFUNCTION("""COMPUTED_VALUE"""),45064)</f>
        <v>45064</v>
      </c>
      <c r="N1675" s="6" t="str">
        <f ca="1">IFERROR(__xludf.DUMMYFUNCTION("""COMPUTED_VALUE"""),"S10")</f>
        <v>S10</v>
      </c>
      <c r="O1675" s="97">
        <f ca="1">IFERROR(__xludf.DUMMYFUNCTION("""COMPUTED_VALUE"""),45064)</f>
        <v>45064</v>
      </c>
      <c r="P1675" s="6" t="str">
        <f ca="1">IFERROR(__xludf.DUMMYFUNCTION("""COMPUTED_VALUE"""),"CSTM_5VODYUS9IAY")</f>
        <v>CSTM_5VODYUS9IAY</v>
      </c>
      <c r="Q1675" s="6"/>
      <c r="R1675" s="6" t="str">
        <f ca="1">IFERROR(__xludf.DUMMYFUNCTION("""COMPUTED_VALUE"""),"Pending")</f>
        <v>Pending</v>
      </c>
      <c r="S1675" s="6" t="str">
        <f ca="1">IFERROR(__xludf.DUMMYFUNCTION("""COMPUTED_VALUE"""),"SAFe")</f>
        <v>SAFe</v>
      </c>
      <c r="T1675" s="6"/>
      <c r="U1675" s="6"/>
      <c r="V1675" s="6"/>
      <c r="W1675" s="6"/>
      <c r="X1675" s="6"/>
      <c r="Y1675" s="6"/>
      <c r="Z1675" s="6"/>
      <c r="AA1675" s="6"/>
      <c r="AB1675" s="6"/>
      <c r="AC1675" s="6"/>
      <c r="AD1675" s="6"/>
      <c r="AE1675" s="6"/>
      <c r="AF1675" s="6"/>
      <c r="AG1675" s="6"/>
      <c r="AH1675" s="6"/>
      <c r="AI1675" s="6"/>
      <c r="AJ1675" s="6"/>
      <c r="AK1675" s="6"/>
      <c r="AL1675" s="6"/>
    </row>
    <row r="1676" spans="1:38">
      <c r="A1676" s="96">
        <f ca="1">IFERROR(__xludf.DUMMYFUNCTION("""COMPUTED_VALUE"""),45064)</f>
        <v>45064</v>
      </c>
      <c r="B1676" s="6" t="str">
        <f ca="1">IFERROR(__xludf.DUMMYFUNCTION("""COMPUTED_VALUE"""),"Priya Pandey")</f>
        <v>Priya Pandey</v>
      </c>
      <c r="C1676" s="6" t="str">
        <f ca="1">IFERROR(__xludf.DUMMYFUNCTION("""COMPUTED_VALUE"""),"ppriyapandey19@gmail.com")</f>
        <v>ppriyapandey19@gmail.com</v>
      </c>
      <c r="D1676" s="6">
        <f ca="1">IFERROR(__xludf.DUMMYFUNCTION("""COMPUTED_VALUE"""),9718683170)</f>
        <v>9718683170</v>
      </c>
      <c r="E1676" s="6" t="str">
        <f ca="1">IFERROR(__xludf.DUMMYFUNCTION("""COMPUTED_VALUE"""),"Existing Account")</f>
        <v>Existing Account</v>
      </c>
      <c r="F1676" s="6" t="str">
        <f ca="1">IFERROR(__xludf.DUMMYFUNCTION("""COMPUTED_VALUE"""),"BA Masters")</f>
        <v>BA Masters</v>
      </c>
      <c r="G1676" s="80">
        <f ca="1">IFERROR(__xludf.DUMMYFUNCTION("""COMPUTED_VALUE"""),45047)</f>
        <v>45047</v>
      </c>
      <c r="H1676" s="6" t="str">
        <f ca="1">IFERROR(__xludf.DUMMYFUNCTION("""COMPUTED_VALUE"""),"Won")</f>
        <v>Won</v>
      </c>
      <c r="I1676" s="6" t="str">
        <f ca="1">IFERROR(__xludf.DUMMYFUNCTION("""COMPUTED_VALUE"""),"27 May 2023")</f>
        <v>27 May 2023</v>
      </c>
      <c r="J1676" s="6">
        <f ca="1">IFERROR(__xludf.DUMMYFUNCTION("""COMPUTED_VALUE"""),1)</f>
        <v>1</v>
      </c>
      <c r="K1676" s="8">
        <f ca="1">IFERROR(__xludf.DUMMYFUNCTION("""COMPUTED_VALUE"""),38000)</f>
        <v>38000</v>
      </c>
      <c r="L1676" s="8">
        <f ca="1">IFERROR(__xludf.DUMMYFUNCTION("""COMPUTED_VALUE"""),435.180943655519)</f>
        <v>435.180943655519</v>
      </c>
      <c r="M1676" s="96">
        <f ca="1">IFERROR(__xludf.DUMMYFUNCTION("""COMPUTED_VALUE"""),45064)</f>
        <v>45064</v>
      </c>
      <c r="N1676" s="6" t="str">
        <f ca="1">IFERROR(__xludf.DUMMYFUNCTION("""COMPUTED_VALUE"""),"S10")</f>
        <v>S10</v>
      </c>
      <c r="O1676" s="97">
        <f ca="1">IFERROR(__xludf.DUMMYFUNCTION("""COMPUTED_VALUE"""),45064)</f>
        <v>45064</v>
      </c>
      <c r="P1676" s="6" t="str">
        <f ca="1">IFERROR(__xludf.DUMMYFUNCTION("""COMPUTED_VALUE"""),"CSTM_H1EMQ82SYR1")</f>
        <v>CSTM_H1EMQ82SYR1</v>
      </c>
      <c r="Q1676" s="6"/>
      <c r="R1676" s="6" t="str">
        <f ca="1">IFERROR(__xludf.DUMMYFUNCTION("""COMPUTED_VALUE"""),"Pending")</f>
        <v>Pending</v>
      </c>
      <c r="S1676" s="6" t="str">
        <f ca="1">IFERROR(__xludf.DUMMYFUNCTION("""COMPUTED_VALUE"""),"NonCategory")</f>
        <v>NonCategory</v>
      </c>
      <c r="T1676" s="6"/>
      <c r="U1676" s="6"/>
      <c r="V1676" s="6"/>
      <c r="W1676" s="6"/>
      <c r="X1676" s="6"/>
      <c r="Y1676" s="6"/>
      <c r="Z1676" s="6"/>
      <c r="AA1676" s="6"/>
      <c r="AB1676" s="6"/>
      <c r="AC1676" s="6"/>
      <c r="AD1676" s="6"/>
      <c r="AE1676" s="6"/>
      <c r="AF1676" s="6"/>
      <c r="AG1676" s="6"/>
      <c r="AH1676" s="6"/>
      <c r="AI1676" s="6"/>
      <c r="AJ1676" s="6"/>
      <c r="AK1676" s="6"/>
      <c r="AL1676" s="6"/>
    </row>
    <row r="1677" spans="1:38">
      <c r="A1677" s="96">
        <f ca="1">IFERROR(__xludf.DUMMYFUNCTION("""COMPUTED_VALUE"""),45065)</f>
        <v>45065</v>
      </c>
      <c r="B1677" s="6" t="str">
        <f ca="1">IFERROR(__xludf.DUMMYFUNCTION("""COMPUTED_VALUE"""),"Usha Raman")</f>
        <v>Usha Raman</v>
      </c>
      <c r="C1677" s="6" t="str">
        <f ca="1">IFERROR(__xludf.DUMMYFUNCTION("""COMPUTED_VALUE"""),"usharamanamma@gmail.com")</f>
        <v>usharamanamma@gmail.com</v>
      </c>
      <c r="D1677" s="6">
        <f ca="1">IFERROR(__xludf.DUMMYFUNCTION("""COMPUTED_VALUE"""),8374286916)</f>
        <v>8374286916</v>
      </c>
      <c r="E1677" s="6" t="str">
        <f ca="1">IFERROR(__xludf.DUMMYFUNCTION("""COMPUTED_VALUE"""),"Existing Account")</f>
        <v>Existing Account</v>
      </c>
      <c r="F1677" s="6" t="str">
        <f ca="1">IFERROR(__xludf.DUMMYFUNCTION("""COMPUTED_VALUE"""),"PSM 2")</f>
        <v>PSM 2</v>
      </c>
      <c r="G1677" s="80">
        <f ca="1">IFERROR(__xludf.DUMMYFUNCTION("""COMPUTED_VALUE"""),45047)</f>
        <v>45047</v>
      </c>
      <c r="H1677" s="6" t="str">
        <f ca="1">IFERROR(__xludf.DUMMYFUNCTION("""COMPUTED_VALUE"""),"Won")</f>
        <v>Won</v>
      </c>
      <c r="I1677" s="6" t="str">
        <f ca="1">IFERROR(__xludf.DUMMYFUNCTION("""COMPUTED_VALUE"""),"27-28 May 2023")</f>
        <v>27-28 May 2023</v>
      </c>
      <c r="J1677" s="6">
        <f ca="1">IFERROR(__xludf.DUMMYFUNCTION("""COMPUTED_VALUE"""),1)</f>
        <v>1</v>
      </c>
      <c r="K1677" s="8">
        <f ca="1">IFERROR(__xludf.DUMMYFUNCTION("""COMPUTED_VALUE"""),24000)</f>
        <v>24000</v>
      </c>
      <c r="L1677" s="8">
        <f ca="1">IFERROR(__xludf.DUMMYFUNCTION("""COMPUTED_VALUE"""),274.851122308749)</f>
        <v>274.85112230874898</v>
      </c>
      <c r="M1677" s="96">
        <f ca="1">IFERROR(__xludf.DUMMYFUNCTION("""COMPUTED_VALUE"""),45065)</f>
        <v>45065</v>
      </c>
      <c r="N1677" s="6" t="str">
        <f ca="1">IFERROR(__xludf.DUMMYFUNCTION("""COMPUTED_VALUE"""),"S10")</f>
        <v>S10</v>
      </c>
      <c r="O1677" s="97">
        <f ca="1">IFERROR(__xludf.DUMMYFUNCTION("""COMPUTED_VALUE"""),45065)</f>
        <v>45065</v>
      </c>
      <c r="P1677" s="6" t="str">
        <f ca="1">IFERROR(__xludf.DUMMYFUNCTION("""COMPUTED_VALUE"""),"CSTM_TR4GSBWUYE")</f>
        <v>CSTM_TR4GSBWUYE</v>
      </c>
      <c r="Q1677" s="6"/>
      <c r="R1677" s="6" t="str">
        <f ca="1">IFERROR(__xludf.DUMMYFUNCTION("""COMPUTED_VALUE"""),"Pending")</f>
        <v>Pending</v>
      </c>
      <c r="S1677" s="6" t="str">
        <f ca="1">IFERROR(__xludf.DUMMYFUNCTION("""COMPUTED_VALUE"""),"Category")</f>
        <v>Category</v>
      </c>
      <c r="T1677" s="6"/>
      <c r="U1677" s="6"/>
      <c r="V1677" s="6"/>
      <c r="W1677" s="6"/>
      <c r="X1677" s="6"/>
      <c r="Y1677" s="6"/>
      <c r="Z1677" s="6"/>
      <c r="AA1677" s="6"/>
      <c r="AB1677" s="6"/>
      <c r="AC1677" s="6"/>
      <c r="AD1677" s="6"/>
      <c r="AE1677" s="6"/>
      <c r="AF1677" s="6"/>
      <c r="AG1677" s="6"/>
      <c r="AH1677" s="6"/>
      <c r="AI1677" s="6"/>
      <c r="AJ1677" s="6"/>
      <c r="AK1677" s="6"/>
      <c r="AL1677" s="6"/>
    </row>
    <row r="1678" spans="1:38">
      <c r="A1678" s="96">
        <f ca="1">IFERROR(__xludf.DUMMYFUNCTION("""COMPUTED_VALUE"""),45069)</f>
        <v>45069</v>
      </c>
      <c r="B1678" s="6" t="str">
        <f ca="1">IFERROR(__xludf.DUMMYFUNCTION("""COMPUTED_VALUE"""),"Madan B A M")</f>
        <v>Madan B A M</v>
      </c>
      <c r="C1678" s="6" t="str">
        <f ca="1">IFERROR(__xludf.DUMMYFUNCTION("""COMPUTED_VALUE"""),"bam.madan@gmail.com")</f>
        <v>bam.madan@gmail.com</v>
      </c>
      <c r="D1678" s="6">
        <f ca="1">IFERROR(__xludf.DUMMYFUNCTION("""COMPUTED_VALUE"""),8105090081)</f>
        <v>8105090081</v>
      </c>
      <c r="E1678" s="6" t="str">
        <f ca="1">IFERROR(__xludf.DUMMYFUNCTION("""COMPUTED_VALUE"""),"Existing Account")</f>
        <v>Existing Account</v>
      </c>
      <c r="F1678" s="6" t="str">
        <f ca="1">IFERROR(__xludf.DUMMYFUNCTION("""COMPUTED_VALUE"""),"Togaf 10")</f>
        <v>Togaf 10</v>
      </c>
      <c r="G1678" s="80">
        <f ca="1">IFERROR(__xludf.DUMMYFUNCTION("""COMPUTED_VALUE"""),45047)</f>
        <v>45047</v>
      </c>
      <c r="H1678" s="6" t="str">
        <f ca="1">IFERROR(__xludf.DUMMYFUNCTION("""COMPUTED_VALUE"""),"Won")</f>
        <v>Won</v>
      </c>
      <c r="I1678" s="6" t="str">
        <f ca="1">IFERROR(__xludf.DUMMYFUNCTION("""COMPUTED_VALUE"""),"27 May 2023")</f>
        <v>27 May 2023</v>
      </c>
      <c r="J1678" s="6">
        <f ca="1">IFERROR(__xludf.DUMMYFUNCTION("""COMPUTED_VALUE"""),1)</f>
        <v>1</v>
      </c>
      <c r="K1678" s="8">
        <f ca="1">IFERROR(__xludf.DUMMYFUNCTION("""COMPUTED_VALUE"""),43000)</f>
        <v>43000</v>
      </c>
      <c r="L1678" s="8">
        <f ca="1">IFERROR(__xludf.DUMMYFUNCTION("""COMPUTED_VALUE"""),492.441594136509)</f>
        <v>492.44159413650902</v>
      </c>
      <c r="M1678" s="96">
        <f ca="1">IFERROR(__xludf.DUMMYFUNCTION("""COMPUTED_VALUE"""),45069)</f>
        <v>45069</v>
      </c>
      <c r="N1678" s="6" t="str">
        <f ca="1">IFERROR(__xludf.DUMMYFUNCTION("""COMPUTED_VALUE"""),"T10")</f>
        <v>T10</v>
      </c>
      <c r="O1678" s="97">
        <f ca="1">IFERROR(__xludf.DUMMYFUNCTION("""COMPUTED_VALUE"""),45069)</f>
        <v>45069</v>
      </c>
      <c r="P1678" s="6" t="str">
        <f ca="1">IFERROR(__xludf.DUMMYFUNCTION("""COMPUTED_VALUE"""),"CSTM_17U6J60Y3VT")</f>
        <v>CSTM_17U6J60Y3VT</v>
      </c>
      <c r="Q1678" s="6"/>
      <c r="R1678" s="6" t="str">
        <f ca="1">IFERROR(__xludf.DUMMYFUNCTION("""COMPUTED_VALUE"""),"Pending")</f>
        <v>Pending</v>
      </c>
      <c r="S1678" s="6" t="str">
        <f ca="1">IFERROR(__xludf.DUMMYFUNCTION("""COMPUTED_VALUE"""),"NonCategory")</f>
        <v>NonCategory</v>
      </c>
      <c r="T1678" s="6"/>
      <c r="U1678" s="6"/>
      <c r="V1678" s="6"/>
      <c r="W1678" s="6"/>
      <c r="X1678" s="6"/>
      <c r="Y1678" s="6"/>
      <c r="Z1678" s="6"/>
      <c r="AA1678" s="6"/>
      <c r="AB1678" s="6"/>
      <c r="AC1678" s="6"/>
      <c r="AD1678" s="6"/>
      <c r="AE1678" s="6"/>
      <c r="AF1678" s="6"/>
      <c r="AG1678" s="6"/>
      <c r="AH1678" s="6"/>
      <c r="AI1678" s="6"/>
      <c r="AJ1678" s="6"/>
      <c r="AK1678" s="6"/>
      <c r="AL1678" s="6"/>
    </row>
    <row r="1679" spans="1:38">
      <c r="A1679" s="96">
        <f ca="1">IFERROR(__xludf.DUMMYFUNCTION("""COMPUTED_VALUE"""),45070)</f>
        <v>45070</v>
      </c>
      <c r="B1679" s="6" t="str">
        <f ca="1">IFERROR(__xludf.DUMMYFUNCTION("""COMPUTED_VALUE"""),"Saheli Guha")</f>
        <v>Saheli Guha</v>
      </c>
      <c r="C1679" s="6" t="str">
        <f ca="1">IFERROR(__xludf.DUMMYFUNCTION("""COMPUTED_VALUE"""),"bonny.saheli@gmail.com")</f>
        <v>bonny.saheli@gmail.com</v>
      </c>
      <c r="D1679" s="6">
        <f ca="1">IFERROR(__xludf.DUMMYFUNCTION("""COMPUTED_VALUE"""),7003657885)</f>
        <v>7003657885</v>
      </c>
      <c r="E1679" s="6" t="str">
        <f ca="1">IFERROR(__xludf.DUMMYFUNCTION("""COMPUTED_VALUE"""),"Reference")</f>
        <v>Reference</v>
      </c>
      <c r="F1679" s="6" t="str">
        <f ca="1">IFERROR(__xludf.DUMMYFUNCTION("""COMPUTED_VALUE"""),"PSM")</f>
        <v>PSM</v>
      </c>
      <c r="G1679" s="80">
        <f ca="1">IFERROR(__xludf.DUMMYFUNCTION("""COMPUTED_VALUE"""),45047)</f>
        <v>45047</v>
      </c>
      <c r="H1679" s="6" t="str">
        <f ca="1">IFERROR(__xludf.DUMMYFUNCTION("""COMPUTED_VALUE"""),"Won")</f>
        <v>Won</v>
      </c>
      <c r="I1679" s="6" t="str">
        <f ca="1">IFERROR(__xludf.DUMMYFUNCTION("""COMPUTED_VALUE"""),"27-28 May 2023")</f>
        <v>27-28 May 2023</v>
      </c>
      <c r="J1679" s="6">
        <f ca="1">IFERROR(__xludf.DUMMYFUNCTION("""COMPUTED_VALUE"""),1)</f>
        <v>1</v>
      </c>
      <c r="K1679" s="8">
        <f ca="1">IFERROR(__xludf.DUMMYFUNCTION("""COMPUTED_VALUE"""),21000)</f>
        <v>21000</v>
      </c>
      <c r="L1679" s="8">
        <f ca="1">IFERROR(__xludf.DUMMYFUNCTION("""COMPUTED_VALUE"""),240.494732020155)</f>
        <v>240.494732020155</v>
      </c>
      <c r="M1679" s="96">
        <f ca="1">IFERROR(__xludf.DUMMYFUNCTION("""COMPUTED_VALUE"""),45070)</f>
        <v>45070</v>
      </c>
      <c r="N1679" s="6" t="str">
        <f ca="1">IFERROR(__xludf.DUMMYFUNCTION("""COMPUTED_VALUE"""),"T10")</f>
        <v>T10</v>
      </c>
      <c r="O1679" s="97">
        <f ca="1">IFERROR(__xludf.DUMMYFUNCTION("""COMPUTED_VALUE"""),45070)</f>
        <v>45070</v>
      </c>
      <c r="P1679" s="6" t="str">
        <f ca="1">IFERROR(__xludf.DUMMYFUNCTION("""COMPUTED_VALUE"""),"CSTM_B4CUOQJ147P")</f>
        <v>CSTM_B4CUOQJ147P</v>
      </c>
      <c r="Q1679" s="6" t="str">
        <f ca="1">IFERROR(__xludf.DUMMYFUNCTION("""COMPUTED_VALUE"""),"Reference by static.virtue@gmail.com")</f>
        <v>Reference by static.virtue@gmail.com</v>
      </c>
      <c r="R1679" s="6" t="str">
        <f ca="1">IFERROR(__xludf.DUMMYFUNCTION("""COMPUTED_VALUE"""),"Pending")</f>
        <v>Pending</v>
      </c>
      <c r="S1679" s="6" t="str">
        <f ca="1">IFERROR(__xludf.DUMMYFUNCTION("""COMPUTED_VALUE"""),"Category")</f>
        <v>Category</v>
      </c>
      <c r="T1679" s="6"/>
      <c r="U1679" s="6"/>
      <c r="V1679" s="6"/>
      <c r="W1679" s="6"/>
      <c r="X1679" s="6"/>
      <c r="Y1679" s="6"/>
      <c r="Z1679" s="6"/>
      <c r="AA1679" s="6"/>
      <c r="AB1679" s="6"/>
      <c r="AC1679" s="6"/>
      <c r="AD1679" s="6"/>
      <c r="AE1679" s="6"/>
      <c r="AF1679" s="6"/>
      <c r="AG1679" s="6"/>
      <c r="AH1679" s="6"/>
      <c r="AI1679" s="6"/>
      <c r="AJ1679" s="6"/>
      <c r="AK1679" s="6"/>
      <c r="AL1679" s="6"/>
    </row>
    <row r="1680" spans="1:38">
      <c r="A1680" s="96">
        <f ca="1">IFERROR(__xludf.DUMMYFUNCTION("""COMPUTED_VALUE"""),45071)</f>
        <v>45071</v>
      </c>
      <c r="B1680" s="6" t="str">
        <f ca="1">IFERROR(__xludf.DUMMYFUNCTION("""COMPUTED_VALUE"""),"Aditya Jha")</f>
        <v>Aditya Jha</v>
      </c>
      <c r="C1680" s="6" t="str">
        <f ca="1">IFERROR(__xludf.DUMMYFUNCTION("""COMPUTED_VALUE"""),"aditya84jha@gmail.com")</f>
        <v>aditya84jha@gmail.com</v>
      </c>
      <c r="D1680" s="6">
        <f ca="1">IFERROR(__xludf.DUMMYFUNCTION("""COMPUTED_VALUE"""),9135396196)</f>
        <v>9135396196</v>
      </c>
      <c r="E1680" s="6" t="str">
        <f ca="1">IFERROR(__xludf.DUMMYFUNCTION("""COMPUTED_VALUE"""),"Query box")</f>
        <v>Query box</v>
      </c>
      <c r="F1680" s="6" t="str">
        <f ca="1">IFERROR(__xludf.DUMMYFUNCTION("""COMPUTED_VALUE"""),"CSPO")</f>
        <v>CSPO</v>
      </c>
      <c r="G1680" s="80">
        <f ca="1">IFERROR(__xludf.DUMMYFUNCTION("""COMPUTED_VALUE"""),45047)</f>
        <v>45047</v>
      </c>
      <c r="H1680" s="6" t="str">
        <f ca="1">IFERROR(__xludf.DUMMYFUNCTION("""COMPUTED_VALUE"""),"Won")</f>
        <v>Won</v>
      </c>
      <c r="I1680" s="6" t="str">
        <f ca="1">IFERROR(__xludf.DUMMYFUNCTION("""COMPUTED_VALUE"""),"3-4 June 2023")</f>
        <v>3-4 June 2023</v>
      </c>
      <c r="J1680" s="6">
        <f ca="1">IFERROR(__xludf.DUMMYFUNCTION("""COMPUTED_VALUE"""),1)</f>
        <v>1</v>
      </c>
      <c r="K1680" s="8">
        <f ca="1">IFERROR(__xludf.DUMMYFUNCTION("""COMPUTED_VALUE"""),20000)</f>
        <v>20000</v>
      </c>
      <c r="L1680" s="8">
        <f ca="1">IFERROR(__xludf.DUMMYFUNCTION("""COMPUTED_VALUE"""),229.042601923957)</f>
        <v>229.04260192395699</v>
      </c>
      <c r="M1680" s="96">
        <f ca="1">IFERROR(__xludf.DUMMYFUNCTION("""COMPUTED_VALUE"""),45071)</f>
        <v>45071</v>
      </c>
      <c r="N1680" s="6" t="str">
        <f ca="1">IFERROR(__xludf.DUMMYFUNCTION("""COMPUTED_VALUE"""),"T10")</f>
        <v>T10</v>
      </c>
      <c r="O1680" s="97">
        <f ca="1">IFERROR(__xludf.DUMMYFUNCTION("""COMPUTED_VALUE"""),45071)</f>
        <v>45071</v>
      </c>
      <c r="P1680" s="6" t="str">
        <f ca="1">IFERROR(__xludf.DUMMYFUNCTION("""COMPUTED_VALUE"""),"CSTM_1S3S6LH05S6")</f>
        <v>CSTM_1S3S6LH05S6</v>
      </c>
      <c r="Q1680" s="6"/>
      <c r="R1680" s="6" t="str">
        <f ca="1">IFERROR(__xludf.DUMMYFUNCTION("""COMPUTED_VALUE"""),"Pending")</f>
        <v>Pending</v>
      </c>
      <c r="S1680" s="6" t="str">
        <f ca="1">IFERROR(__xludf.DUMMYFUNCTION("""COMPUTED_VALUE"""),"Category")</f>
        <v>Category</v>
      </c>
      <c r="T1680" s="6"/>
      <c r="U1680" s="6"/>
      <c r="V1680" s="6"/>
      <c r="W1680" s="6"/>
      <c r="X1680" s="6"/>
      <c r="Y1680" s="6"/>
      <c r="Z1680" s="6"/>
      <c r="AA1680" s="6"/>
      <c r="AB1680" s="6"/>
      <c r="AC1680" s="6"/>
      <c r="AD1680" s="6"/>
      <c r="AE1680" s="6"/>
      <c r="AF1680" s="6"/>
      <c r="AG1680" s="6"/>
      <c r="AH1680" s="6"/>
      <c r="AI1680" s="6"/>
      <c r="AJ1680" s="6"/>
      <c r="AK1680" s="6"/>
      <c r="AL1680" s="6"/>
    </row>
    <row r="1681" spans="1:38">
      <c r="A1681" s="96">
        <f ca="1">IFERROR(__xludf.DUMMYFUNCTION("""COMPUTED_VALUE"""),45071)</f>
        <v>45071</v>
      </c>
      <c r="B1681" s="6" t="str">
        <f ca="1">IFERROR(__xludf.DUMMYFUNCTION("""COMPUTED_VALUE"""),"Vibhu Mishra")</f>
        <v>Vibhu Mishra</v>
      </c>
      <c r="C1681" s="6" t="str">
        <f ca="1">IFERROR(__xludf.DUMMYFUNCTION("""COMPUTED_VALUE"""),"vibhumishra.17@gmail.com")</f>
        <v>vibhumishra.17@gmail.com</v>
      </c>
      <c r="D1681" s="6">
        <f ca="1">IFERROR(__xludf.DUMMYFUNCTION("""COMPUTED_VALUE"""),9049729826)</f>
        <v>9049729826</v>
      </c>
      <c r="E1681" s="6" t="str">
        <f ca="1">IFERROR(__xludf.DUMMYFUNCTION("""COMPUTED_VALUE"""),"refer&amp;earn")</f>
        <v>refer&amp;earn</v>
      </c>
      <c r="F1681" s="6" t="str">
        <f ca="1">IFERROR(__xludf.DUMMYFUNCTION("""COMPUTED_VALUE"""),"CSM")</f>
        <v>CSM</v>
      </c>
      <c r="G1681" s="80">
        <f ca="1">IFERROR(__xludf.DUMMYFUNCTION("""COMPUTED_VALUE"""),45047)</f>
        <v>45047</v>
      </c>
      <c r="H1681" s="6" t="str">
        <f ca="1">IFERROR(__xludf.DUMMYFUNCTION("""COMPUTED_VALUE"""),"Won")</f>
        <v>Won</v>
      </c>
      <c r="I1681" s="6" t="str">
        <f ca="1">IFERROR(__xludf.DUMMYFUNCTION("""COMPUTED_VALUE"""),"27-28 May 2023")</f>
        <v>27-28 May 2023</v>
      </c>
      <c r="J1681" s="6">
        <f ca="1">IFERROR(__xludf.DUMMYFUNCTION("""COMPUTED_VALUE"""),1)</f>
        <v>1</v>
      </c>
      <c r="K1681" s="8">
        <f ca="1">IFERROR(__xludf.DUMMYFUNCTION("""COMPUTED_VALUE"""),18000)</f>
        <v>18000</v>
      </c>
      <c r="L1681" s="8">
        <f ca="1">IFERROR(__xludf.DUMMYFUNCTION("""COMPUTED_VALUE"""),206.138341731562)</f>
        <v>206.13834173156201</v>
      </c>
      <c r="M1681" s="96">
        <f ca="1">IFERROR(__xludf.DUMMYFUNCTION("""COMPUTED_VALUE"""),45071)</f>
        <v>45071</v>
      </c>
      <c r="N1681" s="6" t="str">
        <f ca="1">IFERROR(__xludf.DUMMYFUNCTION("""COMPUTED_VALUE"""),"T10")</f>
        <v>T10</v>
      </c>
      <c r="O1681" s="97">
        <f ca="1">IFERROR(__xludf.DUMMYFUNCTION("""COMPUTED_VALUE"""),45072)</f>
        <v>45072</v>
      </c>
      <c r="P1681" s="6" t="str">
        <f ca="1">IFERROR(__xludf.DUMMYFUNCTION("""COMPUTED_VALUE"""),"CSTM_EE07CN1MZSF")</f>
        <v>CSTM_EE07CN1MZSF</v>
      </c>
      <c r="Q1681" s="6"/>
      <c r="R1681" s="6" t="str">
        <f ca="1">IFERROR(__xludf.DUMMYFUNCTION("""COMPUTED_VALUE"""),"Pending")</f>
        <v>Pending</v>
      </c>
      <c r="S1681" s="6" t="str">
        <f ca="1">IFERROR(__xludf.DUMMYFUNCTION("""COMPUTED_VALUE"""),"Category")</f>
        <v>Category</v>
      </c>
      <c r="T1681" s="6"/>
      <c r="U1681" s="6"/>
      <c r="V1681" s="6"/>
      <c r="W1681" s="6"/>
      <c r="X1681" s="6"/>
      <c r="Y1681" s="6"/>
      <c r="Z1681" s="6"/>
      <c r="AA1681" s="6"/>
      <c r="AB1681" s="6"/>
      <c r="AC1681" s="6"/>
      <c r="AD1681" s="6"/>
      <c r="AE1681" s="6"/>
      <c r="AF1681" s="6"/>
      <c r="AG1681" s="6"/>
      <c r="AH1681" s="6"/>
      <c r="AI1681" s="6"/>
      <c r="AJ1681" s="6"/>
      <c r="AK1681" s="6"/>
      <c r="AL1681" s="6"/>
    </row>
    <row r="1682" spans="1:38">
      <c r="A1682" s="96">
        <f ca="1">IFERROR(__xludf.DUMMYFUNCTION("""COMPUTED_VALUE"""),45072)</f>
        <v>45072</v>
      </c>
      <c r="B1682" s="6" t="str">
        <f ca="1">IFERROR(__xludf.DUMMYFUNCTION("""COMPUTED_VALUE"""),"Megha Singhal")</f>
        <v>Megha Singhal</v>
      </c>
      <c r="C1682" s="6" t="str">
        <f ca="1">IFERROR(__xludf.DUMMYFUNCTION("""COMPUTED_VALUE"""),"megha.singhal2908@gmail.com")</f>
        <v>megha.singhal2908@gmail.com</v>
      </c>
      <c r="D1682" s="6">
        <f ca="1">IFERROR(__xludf.DUMMYFUNCTION("""COMPUTED_VALUE"""),7675972778)</f>
        <v>7675972778</v>
      </c>
      <c r="E1682" s="6" t="str">
        <f ca="1">IFERROR(__xludf.DUMMYFUNCTION("""COMPUTED_VALUE"""),"Query box")</f>
        <v>Query box</v>
      </c>
      <c r="F1682" s="6" t="str">
        <f ca="1">IFERROR(__xludf.DUMMYFUNCTION("""COMPUTED_VALUE"""),"CSM")</f>
        <v>CSM</v>
      </c>
      <c r="G1682" s="80">
        <f ca="1">IFERROR(__xludf.DUMMYFUNCTION("""COMPUTED_VALUE"""),45047)</f>
        <v>45047</v>
      </c>
      <c r="H1682" s="6" t="str">
        <f ca="1">IFERROR(__xludf.DUMMYFUNCTION("""COMPUTED_VALUE"""),"Won")</f>
        <v>Won</v>
      </c>
      <c r="I1682" s="6" t="str">
        <f ca="1">IFERROR(__xludf.DUMMYFUNCTION("""COMPUTED_VALUE"""),"27-28 May 2023")</f>
        <v>27-28 May 2023</v>
      </c>
      <c r="J1682" s="6">
        <f ca="1">IFERROR(__xludf.DUMMYFUNCTION("""COMPUTED_VALUE"""),1)</f>
        <v>1</v>
      </c>
      <c r="K1682" s="8">
        <f ca="1">IFERROR(__xludf.DUMMYFUNCTION("""COMPUTED_VALUE"""),18000)</f>
        <v>18000</v>
      </c>
      <c r="L1682" s="8">
        <f ca="1">IFERROR(__xludf.DUMMYFUNCTION("""COMPUTED_VALUE"""),206.138341731562)</f>
        <v>206.13834173156201</v>
      </c>
      <c r="M1682" s="96">
        <f ca="1">IFERROR(__xludf.DUMMYFUNCTION("""COMPUTED_VALUE"""),45072)</f>
        <v>45072</v>
      </c>
      <c r="N1682" s="6" t="str">
        <f ca="1">IFERROR(__xludf.DUMMYFUNCTION("""COMPUTED_VALUE"""),"T10")</f>
        <v>T10</v>
      </c>
      <c r="O1682" s="97">
        <f ca="1">IFERROR(__xludf.DUMMYFUNCTION("""COMPUTED_VALUE"""),45072)</f>
        <v>45072</v>
      </c>
      <c r="P1682" s="6" t="str">
        <f ca="1">IFERROR(__xludf.DUMMYFUNCTION("""COMPUTED_VALUE"""),"CSTM_SBOGEULAP4")</f>
        <v>CSTM_SBOGEULAP4</v>
      </c>
      <c r="Q1682" s="6"/>
      <c r="R1682" s="6" t="str">
        <f ca="1">IFERROR(__xludf.DUMMYFUNCTION("""COMPUTED_VALUE"""),"Pending")</f>
        <v>Pending</v>
      </c>
      <c r="S1682" s="6" t="str">
        <f ca="1">IFERROR(__xludf.DUMMYFUNCTION("""COMPUTED_VALUE"""),"Category")</f>
        <v>Category</v>
      </c>
      <c r="T1682" s="6"/>
      <c r="U1682" s="6"/>
      <c r="V1682" s="6"/>
      <c r="W1682" s="6"/>
      <c r="X1682" s="6"/>
      <c r="Y1682" s="6"/>
      <c r="Z1682" s="6"/>
      <c r="AA1682" s="6"/>
      <c r="AB1682" s="6"/>
      <c r="AC1682" s="6"/>
      <c r="AD1682" s="6"/>
      <c r="AE1682" s="6"/>
      <c r="AF1682" s="6"/>
      <c r="AG1682" s="6"/>
      <c r="AH1682" s="6"/>
      <c r="AI1682" s="6"/>
      <c r="AJ1682" s="6"/>
      <c r="AK1682" s="6"/>
      <c r="AL1682" s="6"/>
    </row>
    <row r="1683" spans="1:38">
      <c r="A1683" s="96">
        <f ca="1">IFERROR(__xludf.DUMMYFUNCTION("""COMPUTED_VALUE"""),45073)</f>
        <v>45073</v>
      </c>
      <c r="B1683" s="6" t="str">
        <f ca="1">IFERROR(__xludf.DUMMYFUNCTION("""COMPUTED_VALUE"""),"Rupesh H T")</f>
        <v>Rupesh H T</v>
      </c>
      <c r="C1683" s="6" t="str">
        <f ca="1">IFERROR(__xludf.DUMMYFUNCTION("""COMPUTED_VALUE"""),"rupesht70@gmail.com")</f>
        <v>rupesht70@gmail.com</v>
      </c>
      <c r="D1683" s="6">
        <f ca="1">IFERROR(__xludf.DUMMYFUNCTION("""COMPUTED_VALUE"""),9028129444)</f>
        <v>9028129444</v>
      </c>
      <c r="E1683" s="6" t="str">
        <f ca="1">IFERROR(__xludf.DUMMYFUNCTION("""COMPUTED_VALUE"""),"Reference")</f>
        <v>Reference</v>
      </c>
      <c r="F1683" s="6" t="str">
        <f ca="1">IFERROR(__xludf.DUMMYFUNCTION("""COMPUTED_VALUE"""),"CSM")</f>
        <v>CSM</v>
      </c>
      <c r="G1683" s="80">
        <f ca="1">IFERROR(__xludf.DUMMYFUNCTION("""COMPUTED_VALUE"""),45047)</f>
        <v>45047</v>
      </c>
      <c r="H1683" s="6" t="str">
        <f ca="1">IFERROR(__xludf.DUMMYFUNCTION("""COMPUTED_VALUE"""),"Won")</f>
        <v>Won</v>
      </c>
      <c r="I1683" s="6" t="str">
        <f ca="1">IFERROR(__xludf.DUMMYFUNCTION("""COMPUTED_VALUE"""),"27-28 May 2023")</f>
        <v>27-28 May 2023</v>
      </c>
      <c r="J1683" s="6">
        <f ca="1">IFERROR(__xludf.DUMMYFUNCTION("""COMPUTED_VALUE"""),1)</f>
        <v>1</v>
      </c>
      <c r="K1683" s="8">
        <f ca="1">IFERROR(__xludf.DUMMYFUNCTION("""COMPUTED_VALUE"""),20000)</f>
        <v>20000</v>
      </c>
      <c r="L1683" s="8">
        <f ca="1">IFERROR(__xludf.DUMMYFUNCTION("""COMPUTED_VALUE"""),229.042601923957)</f>
        <v>229.04260192395699</v>
      </c>
      <c r="M1683" s="96">
        <f ca="1">IFERROR(__xludf.DUMMYFUNCTION("""COMPUTED_VALUE"""),45072)</f>
        <v>45072</v>
      </c>
      <c r="N1683" s="6" t="str">
        <f ca="1">IFERROR(__xludf.DUMMYFUNCTION("""COMPUTED_VALUE"""),"T10")</f>
        <v>T10</v>
      </c>
      <c r="O1683" s="97">
        <f ca="1">IFERROR(__xludf.DUMMYFUNCTION("""COMPUTED_VALUE"""),45072)</f>
        <v>45072</v>
      </c>
      <c r="P1683" s="6" t="str">
        <f ca="1">IFERROR(__xludf.DUMMYFUNCTION("""COMPUTED_VALUE"""),"CSTM_BRPX77KYG77")</f>
        <v>CSTM_BRPX77KYG77</v>
      </c>
      <c r="Q1683" s="6" t="str">
        <f ca="1">IFERROR(__xludf.DUMMYFUNCTION("""COMPUTED_VALUE"""),"Reference by dhiraj21hbti@gmail.com")</f>
        <v>Reference by dhiraj21hbti@gmail.com</v>
      </c>
      <c r="R1683" s="6" t="str">
        <f ca="1">IFERROR(__xludf.DUMMYFUNCTION("""COMPUTED_VALUE"""),"Pending")</f>
        <v>Pending</v>
      </c>
      <c r="S1683" s="6" t="str">
        <f ca="1">IFERROR(__xludf.DUMMYFUNCTION("""COMPUTED_VALUE"""),"Category")</f>
        <v>Category</v>
      </c>
      <c r="T1683" s="6"/>
      <c r="U1683" s="6"/>
      <c r="V1683" s="6"/>
      <c r="W1683" s="6"/>
      <c r="X1683" s="6"/>
      <c r="Y1683" s="6"/>
      <c r="Z1683" s="6"/>
      <c r="AA1683" s="6"/>
      <c r="AB1683" s="6"/>
      <c r="AC1683" s="6"/>
      <c r="AD1683" s="6"/>
      <c r="AE1683" s="6"/>
      <c r="AF1683" s="6"/>
      <c r="AG1683" s="6"/>
      <c r="AH1683" s="6"/>
      <c r="AI1683" s="6"/>
      <c r="AJ1683" s="6"/>
      <c r="AK1683" s="6"/>
      <c r="AL1683" s="6"/>
    </row>
    <row r="1684" spans="1:38">
      <c r="A1684" s="96">
        <f ca="1">IFERROR(__xludf.DUMMYFUNCTION("""COMPUTED_VALUE"""),45073)</f>
        <v>45073</v>
      </c>
      <c r="B1684" s="6" t="str">
        <f ca="1">IFERROR(__xludf.DUMMYFUNCTION("""COMPUTED_VALUE"""),"Santosh Kumar")</f>
        <v>Santosh Kumar</v>
      </c>
      <c r="C1684" s="6" t="str">
        <f ca="1">IFERROR(__xludf.DUMMYFUNCTION("""COMPUTED_VALUE"""),"dindigallasantoshkumar@gmail.com")</f>
        <v>dindigallasantoshkumar@gmail.com</v>
      </c>
      <c r="D1684" s="6">
        <f ca="1">IFERROR(__xludf.DUMMYFUNCTION("""COMPUTED_VALUE"""),8096814799)</f>
        <v>8096814799</v>
      </c>
      <c r="E1684" s="6" t="str">
        <f ca="1">IFERROR(__xludf.DUMMYFUNCTION("""COMPUTED_VALUE"""),"chat_initiated")</f>
        <v>chat_initiated</v>
      </c>
      <c r="F1684" s="6" t="str">
        <f ca="1">IFERROR(__xludf.DUMMYFUNCTION("""COMPUTED_VALUE"""),"CSM")</f>
        <v>CSM</v>
      </c>
      <c r="G1684" s="80">
        <f ca="1">IFERROR(__xludf.DUMMYFUNCTION("""COMPUTED_VALUE"""),45047)</f>
        <v>45047</v>
      </c>
      <c r="H1684" s="6" t="str">
        <f ca="1">IFERROR(__xludf.DUMMYFUNCTION("""COMPUTED_VALUE"""),"Won")</f>
        <v>Won</v>
      </c>
      <c r="I1684" s="6" t="str">
        <f ca="1">IFERROR(__xludf.DUMMYFUNCTION("""COMPUTED_VALUE"""),"27-28 May 2023")</f>
        <v>27-28 May 2023</v>
      </c>
      <c r="J1684" s="6">
        <f ca="1">IFERROR(__xludf.DUMMYFUNCTION("""COMPUTED_VALUE"""),1)</f>
        <v>1</v>
      </c>
      <c r="K1684" s="8">
        <f ca="1">IFERROR(__xludf.DUMMYFUNCTION("""COMPUTED_VALUE"""),18000)</f>
        <v>18000</v>
      </c>
      <c r="L1684" s="8">
        <f ca="1">IFERROR(__xludf.DUMMYFUNCTION("""COMPUTED_VALUE"""),206.138341731562)</f>
        <v>206.13834173156201</v>
      </c>
      <c r="M1684" s="96">
        <f ca="1">IFERROR(__xludf.DUMMYFUNCTION("""COMPUTED_VALUE"""),45072)</f>
        <v>45072</v>
      </c>
      <c r="N1684" s="6" t="str">
        <f ca="1">IFERROR(__xludf.DUMMYFUNCTION("""COMPUTED_VALUE"""),"T10")</f>
        <v>T10</v>
      </c>
      <c r="O1684" s="97">
        <f ca="1">IFERROR(__xludf.DUMMYFUNCTION("""COMPUTED_VALUE"""),45072)</f>
        <v>45072</v>
      </c>
      <c r="P1684" s="6" t="str">
        <f ca="1">IFERROR(__xludf.DUMMYFUNCTION("""COMPUTED_VALUE"""),"CSTM_275J1M1A92G")</f>
        <v>CSTM_275J1M1A92G</v>
      </c>
      <c r="Q1684" s="6"/>
      <c r="R1684" s="6" t="str">
        <f ca="1">IFERROR(__xludf.DUMMYFUNCTION("""COMPUTED_VALUE"""),"Pending")</f>
        <v>Pending</v>
      </c>
      <c r="S1684" s="6" t="str">
        <f ca="1">IFERROR(__xludf.DUMMYFUNCTION("""COMPUTED_VALUE"""),"Category")</f>
        <v>Category</v>
      </c>
      <c r="T1684" s="6"/>
      <c r="U1684" s="6"/>
      <c r="V1684" s="6"/>
      <c r="W1684" s="6"/>
      <c r="X1684" s="6"/>
      <c r="Y1684" s="6"/>
      <c r="Z1684" s="6"/>
      <c r="AA1684" s="6"/>
      <c r="AB1684" s="6"/>
      <c r="AC1684" s="6"/>
      <c r="AD1684" s="6"/>
      <c r="AE1684" s="6"/>
      <c r="AF1684" s="6"/>
      <c r="AG1684" s="6"/>
      <c r="AH1684" s="6"/>
      <c r="AI1684" s="6"/>
      <c r="AJ1684" s="6"/>
      <c r="AK1684" s="6"/>
      <c r="AL1684" s="6"/>
    </row>
    <row r="1685" spans="1:38">
      <c r="A1685" s="96"/>
      <c r="B1685" s="6"/>
      <c r="C1685" s="6"/>
      <c r="D1685" s="6"/>
      <c r="E1685" s="6"/>
      <c r="F1685" s="6"/>
      <c r="G1685" s="80"/>
      <c r="H1685" s="6"/>
      <c r="I1685" s="6"/>
      <c r="J1685" s="6"/>
      <c r="K1685" s="8"/>
      <c r="L1685" s="8"/>
      <c r="M1685" s="96"/>
      <c r="N1685" s="6"/>
      <c r="O1685" s="97"/>
      <c r="P1685" s="6"/>
      <c r="Q1685" s="6"/>
      <c r="R1685" s="6"/>
      <c r="S1685" s="6"/>
      <c r="T1685" s="6"/>
      <c r="U1685" s="6"/>
      <c r="V1685" s="6"/>
      <c r="W1685" s="6"/>
      <c r="X1685" s="6"/>
      <c r="Y1685" s="6"/>
      <c r="Z1685" s="6"/>
      <c r="AA1685" s="6"/>
      <c r="AB1685" s="6"/>
      <c r="AC1685" s="6"/>
      <c r="AD1685" s="6"/>
      <c r="AE1685" s="6"/>
      <c r="AF1685" s="6"/>
      <c r="AG1685" s="6"/>
      <c r="AH1685" s="6"/>
      <c r="AI1685" s="6"/>
      <c r="AJ1685" s="6"/>
      <c r="AK1685" s="6"/>
      <c r="AL1685" s="6"/>
    </row>
    <row r="1686" spans="1:38">
      <c r="A1686" s="96"/>
      <c r="B1686" s="6"/>
      <c r="C1686" s="6"/>
      <c r="D1686" s="6"/>
      <c r="E1686" s="6"/>
      <c r="F1686" s="6"/>
      <c r="G1686" s="80"/>
      <c r="H1686" s="6"/>
      <c r="I1686" s="6"/>
      <c r="J1686" s="6"/>
      <c r="K1686" s="8"/>
      <c r="L1686" s="8"/>
      <c r="M1686" s="96"/>
      <c r="N1686" s="6"/>
      <c r="O1686" s="97"/>
      <c r="P1686" s="6"/>
      <c r="Q1686" s="6"/>
      <c r="R1686" s="6"/>
      <c r="S1686" s="6"/>
      <c r="T1686" s="6"/>
      <c r="U1686" s="6"/>
      <c r="V1686" s="6"/>
      <c r="W1686" s="6"/>
      <c r="X1686" s="6"/>
      <c r="Y1686" s="6"/>
      <c r="Z1686" s="6"/>
      <c r="AA1686" s="6"/>
      <c r="AB1686" s="6"/>
      <c r="AC1686" s="6"/>
      <c r="AD1686" s="6"/>
      <c r="AE1686" s="6"/>
      <c r="AF1686" s="6"/>
      <c r="AG1686" s="6"/>
      <c r="AH1686" s="6"/>
      <c r="AI1686" s="6"/>
      <c r="AJ1686" s="6"/>
      <c r="AK1686" s="6"/>
      <c r="AL1686" s="6"/>
    </row>
    <row r="1687" spans="1:38">
      <c r="A1687" s="96"/>
      <c r="B1687" s="6"/>
      <c r="C1687" s="6"/>
      <c r="D1687" s="6"/>
      <c r="E1687" s="6"/>
      <c r="F1687" s="6"/>
      <c r="G1687" s="80"/>
      <c r="H1687" s="6"/>
      <c r="I1687" s="6"/>
      <c r="J1687" s="6"/>
      <c r="K1687" s="8"/>
      <c r="L1687" s="8"/>
      <c r="M1687" s="96"/>
      <c r="N1687" s="6"/>
      <c r="O1687" s="97"/>
      <c r="P1687" s="6"/>
      <c r="Q1687" s="6"/>
      <c r="R1687" s="6"/>
      <c r="S1687" s="6"/>
      <c r="T1687" s="6"/>
      <c r="U1687" s="6"/>
      <c r="V1687" s="6"/>
      <c r="W1687" s="6"/>
      <c r="X1687" s="6"/>
      <c r="Y1687" s="6"/>
      <c r="Z1687" s="6"/>
      <c r="AA1687" s="6"/>
      <c r="AB1687" s="6"/>
      <c r="AC1687" s="6"/>
      <c r="AD1687" s="6"/>
      <c r="AE1687" s="6"/>
      <c r="AF1687" s="6"/>
      <c r="AG1687" s="6"/>
      <c r="AH1687" s="6"/>
      <c r="AI1687" s="6"/>
      <c r="AJ1687" s="6"/>
      <c r="AK1687" s="6"/>
      <c r="AL1687" s="6"/>
    </row>
    <row r="1688" spans="1:38">
      <c r="A1688" s="96"/>
      <c r="B1688" s="6"/>
      <c r="C1688" s="6"/>
      <c r="D1688" s="6"/>
      <c r="E1688" s="6"/>
      <c r="F1688" s="6"/>
      <c r="G1688" s="80"/>
      <c r="H1688" s="6"/>
      <c r="I1688" s="6"/>
      <c r="J1688" s="6"/>
      <c r="K1688" s="8"/>
      <c r="L1688" s="8"/>
      <c r="M1688" s="96"/>
      <c r="N1688" s="6"/>
      <c r="O1688" s="97"/>
      <c r="P1688" s="6"/>
      <c r="Q1688" s="6"/>
      <c r="R1688" s="6"/>
      <c r="S1688" s="6"/>
      <c r="T1688" s="6"/>
      <c r="U1688" s="6"/>
      <c r="V1688" s="6"/>
      <c r="W1688" s="6"/>
      <c r="X1688" s="6"/>
      <c r="Y1688" s="6"/>
      <c r="Z1688" s="6"/>
      <c r="AA1688" s="6"/>
      <c r="AB1688" s="6"/>
      <c r="AC1688" s="6"/>
      <c r="AD1688" s="6"/>
      <c r="AE1688" s="6"/>
      <c r="AF1688" s="6"/>
      <c r="AG1688" s="6"/>
      <c r="AH1688" s="6"/>
      <c r="AI1688" s="6"/>
      <c r="AJ1688" s="6"/>
      <c r="AK1688" s="6"/>
      <c r="AL1688" s="6"/>
    </row>
    <row r="1689" spans="1:38">
      <c r="A1689" s="96"/>
      <c r="B1689" s="6"/>
      <c r="C1689" s="6"/>
      <c r="D1689" s="6"/>
      <c r="E1689" s="6"/>
      <c r="F1689" s="6"/>
      <c r="G1689" s="80"/>
      <c r="H1689" s="6"/>
      <c r="I1689" s="6"/>
      <c r="J1689" s="6"/>
      <c r="K1689" s="8"/>
      <c r="L1689" s="8"/>
      <c r="M1689" s="96"/>
      <c r="N1689" s="6"/>
      <c r="O1689" s="97"/>
      <c r="P1689" s="6"/>
      <c r="Q1689" s="6"/>
      <c r="R1689" s="6"/>
      <c r="S1689" s="6"/>
      <c r="T1689" s="6"/>
      <c r="U1689" s="6"/>
      <c r="V1689" s="6"/>
      <c r="W1689" s="6"/>
      <c r="X1689" s="6"/>
      <c r="Y1689" s="6"/>
      <c r="Z1689" s="6"/>
      <c r="AA1689" s="6"/>
      <c r="AB1689" s="6"/>
      <c r="AC1689" s="6"/>
      <c r="AD1689" s="6"/>
      <c r="AE1689" s="6"/>
      <c r="AF1689" s="6"/>
      <c r="AG1689" s="6"/>
      <c r="AH1689" s="6"/>
      <c r="AI1689" s="6"/>
      <c r="AJ1689" s="6"/>
      <c r="AK1689" s="6"/>
      <c r="AL1689" s="6"/>
    </row>
    <row r="1690" spans="1:38">
      <c r="A1690" s="96"/>
      <c r="B1690" s="6"/>
      <c r="C1690" s="6"/>
      <c r="D1690" s="6"/>
      <c r="E1690" s="6"/>
      <c r="F1690" s="6"/>
      <c r="G1690" s="80"/>
      <c r="H1690" s="6"/>
      <c r="I1690" s="6"/>
      <c r="J1690" s="6"/>
      <c r="K1690" s="8"/>
      <c r="L1690" s="8"/>
      <c r="M1690" s="96"/>
      <c r="N1690" s="6"/>
      <c r="O1690" s="97"/>
      <c r="P1690" s="6"/>
      <c r="Q1690" s="6"/>
      <c r="R1690" s="6"/>
      <c r="S1690" s="6"/>
      <c r="T1690" s="6"/>
      <c r="U1690" s="6"/>
      <c r="V1690" s="6"/>
      <c r="W1690" s="6"/>
      <c r="X1690" s="6"/>
      <c r="Y1690" s="6"/>
      <c r="Z1690" s="6"/>
      <c r="AA1690" s="6"/>
      <c r="AB1690" s="6"/>
      <c r="AC1690" s="6"/>
      <c r="AD1690" s="6"/>
      <c r="AE1690" s="6"/>
      <c r="AF1690" s="6"/>
      <c r="AG1690" s="6"/>
      <c r="AH1690" s="6"/>
      <c r="AI1690" s="6"/>
      <c r="AJ1690" s="6"/>
      <c r="AK1690" s="6"/>
      <c r="AL1690" s="6"/>
    </row>
    <row r="1691" spans="1:38">
      <c r="A1691" s="96"/>
      <c r="B1691" s="6"/>
      <c r="C1691" s="6"/>
      <c r="D1691" s="6"/>
      <c r="E1691" s="6"/>
      <c r="F1691" s="6"/>
      <c r="G1691" s="80"/>
      <c r="H1691" s="6"/>
      <c r="I1691" s="6"/>
      <c r="J1691" s="6"/>
      <c r="K1691" s="8"/>
      <c r="L1691" s="8"/>
      <c r="M1691" s="96"/>
      <c r="N1691" s="6"/>
      <c r="O1691" s="97"/>
      <c r="P1691" s="6"/>
      <c r="Q1691" s="6"/>
      <c r="R1691" s="6"/>
      <c r="S1691" s="6"/>
      <c r="T1691" s="6"/>
      <c r="U1691" s="6"/>
      <c r="V1691" s="6"/>
      <c r="W1691" s="6"/>
      <c r="X1691" s="6"/>
      <c r="Y1691" s="6"/>
      <c r="Z1691" s="6"/>
      <c r="AA1691" s="6"/>
      <c r="AB1691" s="6"/>
      <c r="AC1691" s="6"/>
      <c r="AD1691" s="6"/>
      <c r="AE1691" s="6"/>
      <c r="AF1691" s="6"/>
      <c r="AG1691" s="6"/>
      <c r="AH1691" s="6"/>
      <c r="AI1691" s="6"/>
      <c r="AJ1691" s="6"/>
      <c r="AK1691" s="6"/>
      <c r="AL1691" s="6"/>
    </row>
    <row r="1692" spans="1:38">
      <c r="A1692" s="96"/>
      <c r="B1692" s="6"/>
      <c r="C1692" s="6"/>
      <c r="D1692" s="6"/>
      <c r="E1692" s="6"/>
      <c r="F1692" s="6"/>
      <c r="G1692" s="80"/>
      <c r="H1692" s="6"/>
      <c r="I1692" s="6"/>
      <c r="J1692" s="6"/>
      <c r="K1692" s="8"/>
      <c r="L1692" s="8"/>
      <c r="M1692" s="96"/>
      <c r="N1692" s="6"/>
      <c r="O1692" s="97"/>
      <c r="P1692" s="6"/>
      <c r="Q1692" s="6"/>
      <c r="R1692" s="6"/>
      <c r="S1692" s="6"/>
      <c r="T1692" s="6"/>
      <c r="U1692" s="6"/>
      <c r="V1692" s="6"/>
      <c r="W1692" s="6"/>
      <c r="X1692" s="6"/>
      <c r="Y1692" s="6"/>
      <c r="Z1692" s="6"/>
      <c r="AA1692" s="6"/>
      <c r="AB1692" s="6"/>
      <c r="AC1692" s="6"/>
      <c r="AD1692" s="6"/>
      <c r="AE1692" s="6"/>
      <c r="AF1692" s="6"/>
      <c r="AG1692" s="6"/>
      <c r="AH1692" s="6"/>
      <c r="AI1692" s="6"/>
      <c r="AJ1692" s="6"/>
      <c r="AK1692" s="6"/>
      <c r="AL1692" s="6"/>
    </row>
    <row r="1693" spans="1:38">
      <c r="A1693" s="96"/>
      <c r="B1693" s="6"/>
      <c r="C1693" s="6"/>
      <c r="D1693" s="6"/>
      <c r="E1693" s="6"/>
      <c r="F1693" s="6"/>
      <c r="G1693" s="80"/>
      <c r="H1693" s="6"/>
      <c r="I1693" s="6"/>
      <c r="J1693" s="6"/>
      <c r="K1693" s="8"/>
      <c r="L1693" s="8"/>
      <c r="M1693" s="96"/>
      <c r="N1693" s="6"/>
      <c r="O1693" s="97"/>
      <c r="P1693" s="6"/>
      <c r="Q1693" s="6"/>
      <c r="R1693" s="6"/>
      <c r="S1693" s="6"/>
      <c r="T1693" s="6"/>
      <c r="U1693" s="6"/>
      <c r="V1693" s="6"/>
      <c r="W1693" s="6"/>
      <c r="X1693" s="6"/>
      <c r="Y1693" s="6"/>
      <c r="Z1693" s="6"/>
      <c r="AA1693" s="6"/>
      <c r="AB1693" s="6"/>
      <c r="AC1693" s="6"/>
      <c r="AD1693" s="6"/>
      <c r="AE1693" s="6"/>
      <c r="AF1693" s="6"/>
      <c r="AG1693" s="6"/>
      <c r="AH1693" s="6"/>
      <c r="AI1693" s="6"/>
      <c r="AJ1693" s="6"/>
      <c r="AK1693" s="6"/>
      <c r="AL1693" s="6"/>
    </row>
    <row r="1694" spans="1:38">
      <c r="A1694" s="96"/>
      <c r="B1694" s="6"/>
      <c r="C1694" s="6"/>
      <c r="D1694" s="6"/>
      <c r="E1694" s="6"/>
      <c r="F1694" s="6"/>
      <c r="G1694" s="80"/>
      <c r="H1694" s="6"/>
      <c r="I1694" s="6"/>
      <c r="J1694" s="6"/>
      <c r="K1694" s="8"/>
      <c r="L1694" s="8"/>
      <c r="M1694" s="96"/>
      <c r="N1694" s="6"/>
      <c r="O1694" s="97"/>
      <c r="P1694" s="6"/>
      <c r="Q1694" s="6"/>
      <c r="R1694" s="6"/>
      <c r="S1694" s="6"/>
      <c r="T1694" s="6"/>
      <c r="U1694" s="6"/>
      <c r="V1694" s="6"/>
      <c r="W1694" s="6"/>
      <c r="X1694" s="6"/>
      <c r="Y1694" s="6"/>
      <c r="Z1694" s="6"/>
      <c r="AA1694" s="6"/>
      <c r="AB1694" s="6"/>
      <c r="AC1694" s="6"/>
      <c r="AD1694" s="6"/>
      <c r="AE1694" s="6"/>
      <c r="AF1694" s="6"/>
      <c r="AG1694" s="6"/>
      <c r="AH1694" s="6"/>
      <c r="AI1694" s="6"/>
      <c r="AJ1694" s="6"/>
      <c r="AK1694" s="6"/>
      <c r="AL1694" s="6"/>
    </row>
    <row r="1695" spans="1:38">
      <c r="A1695" s="96"/>
      <c r="B1695" s="6"/>
      <c r="C1695" s="6"/>
      <c r="D1695" s="6"/>
      <c r="E1695" s="6"/>
      <c r="F1695" s="6"/>
      <c r="G1695" s="80"/>
      <c r="H1695" s="6"/>
      <c r="I1695" s="6"/>
      <c r="J1695" s="6"/>
      <c r="K1695" s="8"/>
      <c r="L1695" s="8"/>
      <c r="M1695" s="96"/>
      <c r="N1695" s="6"/>
      <c r="O1695" s="97"/>
      <c r="P1695" s="6"/>
      <c r="Q1695" s="6"/>
      <c r="R1695" s="6"/>
      <c r="S1695" s="6"/>
      <c r="T1695" s="6"/>
      <c r="U1695" s="6"/>
      <c r="V1695" s="6"/>
      <c r="W1695" s="6"/>
      <c r="X1695" s="6"/>
      <c r="Y1695" s="6"/>
      <c r="Z1695" s="6"/>
      <c r="AA1695" s="6"/>
      <c r="AB1695" s="6"/>
      <c r="AC1695" s="6"/>
      <c r="AD1695" s="6"/>
      <c r="AE1695" s="6"/>
      <c r="AF1695" s="6"/>
      <c r="AG1695" s="6"/>
      <c r="AH1695" s="6"/>
      <c r="AI1695" s="6"/>
      <c r="AJ1695" s="6"/>
      <c r="AK1695" s="6"/>
      <c r="AL1695" s="6"/>
    </row>
    <row r="1696" spans="1:38">
      <c r="A1696" s="96"/>
      <c r="B1696" s="6"/>
      <c r="C1696" s="6"/>
      <c r="D1696" s="6"/>
      <c r="E1696" s="6"/>
      <c r="F1696" s="6"/>
      <c r="G1696" s="80"/>
      <c r="H1696" s="6"/>
      <c r="I1696" s="6"/>
      <c r="J1696" s="6"/>
      <c r="K1696" s="8"/>
      <c r="L1696" s="8"/>
      <c r="M1696" s="96"/>
      <c r="N1696" s="6"/>
      <c r="O1696" s="97"/>
      <c r="P1696" s="6"/>
      <c r="Q1696" s="6"/>
      <c r="R1696" s="6"/>
      <c r="S1696" s="6"/>
      <c r="T1696" s="6"/>
      <c r="U1696" s="6"/>
      <c r="V1696" s="6"/>
      <c r="W1696" s="6"/>
      <c r="X1696" s="6"/>
      <c r="Y1696" s="6"/>
      <c r="Z1696" s="6"/>
      <c r="AA1696" s="6"/>
      <c r="AB1696" s="6"/>
      <c r="AC1696" s="6"/>
      <c r="AD1696" s="6"/>
      <c r="AE1696" s="6"/>
      <c r="AF1696" s="6"/>
      <c r="AG1696" s="6"/>
      <c r="AH1696" s="6"/>
      <c r="AI1696" s="6"/>
      <c r="AJ1696" s="6"/>
      <c r="AK1696" s="6"/>
      <c r="AL1696" s="6"/>
    </row>
    <row r="1697" spans="1:38">
      <c r="A1697" s="96"/>
      <c r="B1697" s="6"/>
      <c r="C1697" s="6"/>
      <c r="D1697" s="6"/>
      <c r="E1697" s="6"/>
      <c r="F1697" s="6"/>
      <c r="G1697" s="80"/>
      <c r="H1697" s="6"/>
      <c r="I1697" s="6"/>
      <c r="J1697" s="6"/>
      <c r="K1697" s="8"/>
      <c r="L1697" s="8"/>
      <c r="M1697" s="96"/>
      <c r="N1697" s="6"/>
      <c r="O1697" s="97"/>
      <c r="P1697" s="6"/>
      <c r="Q1697" s="6"/>
      <c r="R1697" s="6"/>
      <c r="S1697" s="6"/>
      <c r="T1697" s="6"/>
      <c r="U1697" s="6"/>
      <c r="V1697" s="6"/>
      <c r="W1697" s="6"/>
      <c r="X1697" s="6"/>
      <c r="Y1697" s="6"/>
      <c r="Z1697" s="6"/>
      <c r="AA1697" s="6"/>
      <c r="AB1697" s="6"/>
      <c r="AC1697" s="6"/>
      <c r="AD1697" s="6"/>
      <c r="AE1697" s="6"/>
      <c r="AF1697" s="6"/>
      <c r="AG1697" s="6"/>
      <c r="AH1697" s="6"/>
      <c r="AI1697" s="6"/>
      <c r="AJ1697" s="6"/>
      <c r="AK1697" s="6"/>
      <c r="AL1697" s="6"/>
    </row>
    <row r="1698" spans="1:38">
      <c r="A1698" s="96"/>
      <c r="B1698" s="6"/>
      <c r="C1698" s="6"/>
      <c r="D1698" s="6"/>
      <c r="E1698" s="6"/>
      <c r="F1698" s="6"/>
      <c r="G1698" s="80"/>
      <c r="H1698" s="6"/>
      <c r="I1698" s="6"/>
      <c r="J1698" s="6"/>
      <c r="K1698" s="8"/>
      <c r="L1698" s="8"/>
      <c r="M1698" s="96"/>
      <c r="N1698" s="6"/>
      <c r="O1698" s="97"/>
      <c r="P1698" s="6"/>
      <c r="Q1698" s="6"/>
      <c r="R1698" s="6"/>
      <c r="S1698" s="6"/>
      <c r="T1698" s="6"/>
      <c r="U1698" s="6"/>
      <c r="V1698" s="6"/>
      <c r="W1698" s="6"/>
      <c r="X1698" s="6"/>
      <c r="Y1698" s="6"/>
      <c r="Z1698" s="6"/>
      <c r="AA1698" s="6"/>
      <c r="AB1698" s="6"/>
      <c r="AC1698" s="6"/>
      <c r="AD1698" s="6"/>
      <c r="AE1698" s="6"/>
      <c r="AF1698" s="6"/>
      <c r="AG1698" s="6"/>
      <c r="AH1698" s="6"/>
      <c r="AI1698" s="6"/>
      <c r="AJ1698" s="6"/>
      <c r="AK1698" s="6"/>
      <c r="AL1698" s="6"/>
    </row>
    <row r="1699" spans="1:38">
      <c r="A1699" s="96"/>
      <c r="B1699" s="6"/>
      <c r="C1699" s="6"/>
      <c r="D1699" s="6"/>
      <c r="E1699" s="6"/>
      <c r="F1699" s="6"/>
      <c r="G1699" s="80"/>
      <c r="H1699" s="6"/>
      <c r="I1699" s="6"/>
      <c r="J1699" s="6"/>
      <c r="K1699" s="8"/>
      <c r="L1699" s="8"/>
      <c r="M1699" s="96"/>
      <c r="N1699" s="6"/>
      <c r="O1699" s="97"/>
      <c r="P1699" s="6"/>
      <c r="Q1699" s="6"/>
      <c r="R1699" s="6"/>
      <c r="S1699" s="6"/>
      <c r="T1699" s="6"/>
      <c r="U1699" s="6"/>
      <c r="V1699" s="6"/>
      <c r="W1699" s="6"/>
      <c r="X1699" s="6"/>
      <c r="Y1699" s="6"/>
      <c r="Z1699" s="6"/>
      <c r="AA1699" s="6"/>
      <c r="AB1699" s="6"/>
      <c r="AC1699" s="6"/>
      <c r="AD1699" s="6"/>
      <c r="AE1699" s="6"/>
      <c r="AF1699" s="6"/>
      <c r="AG1699" s="6"/>
      <c r="AH1699" s="6"/>
      <c r="AI1699" s="6"/>
      <c r="AJ1699" s="6"/>
      <c r="AK1699" s="6"/>
      <c r="AL1699" s="6"/>
    </row>
    <row r="1700" spans="1:38">
      <c r="A1700" s="96"/>
      <c r="B1700" s="6"/>
      <c r="C1700" s="6"/>
      <c r="D1700" s="6"/>
      <c r="E1700" s="6"/>
      <c r="F1700" s="6"/>
      <c r="G1700" s="80"/>
      <c r="H1700" s="6"/>
      <c r="I1700" s="6"/>
      <c r="J1700" s="6"/>
      <c r="K1700" s="8"/>
      <c r="L1700" s="8"/>
      <c r="M1700" s="96"/>
      <c r="N1700" s="6"/>
      <c r="O1700" s="97"/>
      <c r="P1700" s="6"/>
      <c r="Q1700" s="6"/>
      <c r="R1700" s="6"/>
      <c r="S1700" s="6"/>
      <c r="T1700" s="6"/>
      <c r="U1700" s="6"/>
      <c r="V1700" s="6"/>
      <c r="W1700" s="6"/>
      <c r="X1700" s="6"/>
      <c r="Y1700" s="6"/>
      <c r="Z1700" s="6"/>
      <c r="AA1700" s="6"/>
      <c r="AB1700" s="6"/>
      <c r="AC1700" s="6"/>
      <c r="AD1700" s="6"/>
      <c r="AE1700" s="6"/>
      <c r="AF1700" s="6"/>
      <c r="AG1700" s="6"/>
      <c r="AH1700" s="6"/>
      <c r="AI1700" s="6"/>
      <c r="AJ1700" s="6"/>
      <c r="AK1700" s="6"/>
      <c r="AL1700" s="6"/>
    </row>
    <row r="1701" spans="1:38">
      <c r="A1701" s="96"/>
      <c r="B1701" s="6"/>
      <c r="C1701" s="6"/>
      <c r="D1701" s="6"/>
      <c r="E1701" s="6"/>
      <c r="F1701" s="6"/>
      <c r="G1701" s="80"/>
      <c r="H1701" s="6"/>
      <c r="I1701" s="6"/>
      <c r="J1701" s="6"/>
      <c r="K1701" s="8"/>
      <c r="L1701" s="8"/>
      <c r="M1701" s="96"/>
      <c r="N1701" s="6"/>
      <c r="O1701" s="97"/>
      <c r="P1701" s="6"/>
      <c r="Q1701" s="6"/>
      <c r="R1701" s="6"/>
      <c r="S1701" s="6"/>
      <c r="T1701" s="6"/>
      <c r="U1701" s="6"/>
      <c r="V1701" s="6"/>
      <c r="W1701" s="6"/>
      <c r="X1701" s="6"/>
      <c r="Y1701" s="6"/>
      <c r="Z1701" s="6"/>
      <c r="AA1701" s="6"/>
      <c r="AB1701" s="6"/>
      <c r="AC1701" s="6"/>
      <c r="AD1701" s="6"/>
      <c r="AE1701" s="6"/>
      <c r="AF1701" s="6"/>
      <c r="AG1701" s="6"/>
      <c r="AH1701" s="6"/>
      <c r="AI1701" s="6"/>
      <c r="AJ1701" s="6"/>
      <c r="AK1701" s="6"/>
      <c r="AL1701" s="6"/>
    </row>
    <row r="1702" spans="1:38">
      <c r="A1702" s="96"/>
      <c r="B1702" s="6"/>
      <c r="C1702" s="6"/>
      <c r="D1702" s="6"/>
      <c r="E1702" s="6"/>
      <c r="F1702" s="6"/>
      <c r="G1702" s="80"/>
      <c r="H1702" s="6"/>
      <c r="I1702" s="6"/>
      <c r="J1702" s="6"/>
      <c r="K1702" s="8"/>
      <c r="L1702" s="8"/>
      <c r="M1702" s="96"/>
      <c r="N1702" s="6"/>
      <c r="O1702" s="97"/>
      <c r="P1702" s="6"/>
      <c r="Q1702" s="6"/>
      <c r="R1702" s="6"/>
      <c r="S1702" s="6"/>
      <c r="T1702" s="6"/>
      <c r="U1702" s="6"/>
      <c r="V1702" s="6"/>
      <c r="W1702" s="6"/>
      <c r="X1702" s="6"/>
      <c r="Y1702" s="6"/>
      <c r="Z1702" s="6"/>
      <c r="AA1702" s="6"/>
      <c r="AB1702" s="6"/>
      <c r="AC1702" s="6"/>
      <c r="AD1702" s="6"/>
      <c r="AE1702" s="6"/>
      <c r="AF1702" s="6"/>
      <c r="AG1702" s="6"/>
      <c r="AH1702" s="6"/>
      <c r="AI1702" s="6"/>
      <c r="AJ1702" s="6"/>
      <c r="AK1702" s="6"/>
      <c r="AL1702" s="6"/>
    </row>
    <row r="1703" spans="1:38">
      <c r="A1703" s="96"/>
      <c r="B1703" s="6"/>
      <c r="C1703" s="6"/>
      <c r="D1703" s="6"/>
      <c r="E1703" s="6"/>
      <c r="F1703" s="6"/>
      <c r="G1703" s="80"/>
      <c r="H1703" s="6"/>
      <c r="I1703" s="6"/>
      <c r="J1703" s="6"/>
      <c r="K1703" s="8"/>
      <c r="L1703" s="8"/>
      <c r="M1703" s="96"/>
      <c r="N1703" s="6"/>
      <c r="O1703" s="97"/>
      <c r="P1703" s="6"/>
      <c r="Q1703" s="6"/>
      <c r="R1703" s="6"/>
      <c r="S1703" s="6"/>
      <c r="T1703" s="6"/>
      <c r="U1703" s="6"/>
      <c r="V1703" s="6"/>
      <c r="W1703" s="6"/>
      <c r="X1703" s="6"/>
      <c r="Y1703" s="6"/>
      <c r="Z1703" s="6"/>
      <c r="AA1703" s="6"/>
      <c r="AB1703" s="6"/>
      <c r="AC1703" s="6"/>
      <c r="AD1703" s="6"/>
      <c r="AE1703" s="6"/>
      <c r="AF1703" s="6"/>
      <c r="AG1703" s="6"/>
      <c r="AH1703" s="6"/>
      <c r="AI1703" s="6"/>
      <c r="AJ1703" s="6"/>
      <c r="AK1703" s="6"/>
      <c r="AL1703" s="6"/>
    </row>
    <row r="1704" spans="1:38">
      <c r="A1704" s="96"/>
      <c r="B1704" s="6"/>
      <c r="C1704" s="6"/>
      <c r="D1704" s="6"/>
      <c r="E1704" s="6"/>
      <c r="F1704" s="6"/>
      <c r="G1704" s="80"/>
      <c r="H1704" s="6"/>
      <c r="I1704" s="6"/>
      <c r="J1704" s="6"/>
      <c r="K1704" s="8"/>
      <c r="L1704" s="8"/>
      <c r="M1704" s="96"/>
      <c r="N1704" s="6"/>
      <c r="O1704" s="97"/>
      <c r="P1704" s="6"/>
      <c r="Q1704" s="6"/>
      <c r="R1704" s="6"/>
      <c r="S1704" s="6"/>
      <c r="T1704" s="6"/>
      <c r="U1704" s="6"/>
      <c r="V1704" s="6"/>
      <c r="W1704" s="6"/>
      <c r="X1704" s="6"/>
      <c r="Y1704" s="6"/>
      <c r="Z1704" s="6"/>
      <c r="AA1704" s="6"/>
      <c r="AB1704" s="6"/>
      <c r="AC1704" s="6"/>
      <c r="AD1704" s="6"/>
      <c r="AE1704" s="6"/>
      <c r="AF1704" s="6"/>
      <c r="AG1704" s="6"/>
      <c r="AH1704" s="6"/>
      <c r="AI1704" s="6"/>
      <c r="AJ1704" s="6"/>
      <c r="AK1704" s="6"/>
      <c r="AL1704" s="6"/>
    </row>
    <row r="1705" spans="1:38">
      <c r="A1705" s="96"/>
      <c r="B1705" s="6"/>
      <c r="C1705" s="6"/>
      <c r="D1705" s="6"/>
      <c r="E1705" s="6"/>
      <c r="F1705" s="6"/>
      <c r="G1705" s="80"/>
      <c r="H1705" s="6"/>
      <c r="I1705" s="6"/>
      <c r="J1705" s="6"/>
      <c r="K1705" s="8"/>
      <c r="L1705" s="8"/>
      <c r="M1705" s="96"/>
      <c r="N1705" s="6"/>
      <c r="O1705" s="97"/>
      <c r="P1705" s="6"/>
      <c r="Q1705" s="6"/>
      <c r="R1705" s="6"/>
      <c r="S1705" s="6"/>
      <c r="T1705" s="6"/>
      <c r="U1705" s="6"/>
      <c r="V1705" s="6"/>
      <c r="W1705" s="6"/>
      <c r="X1705" s="6"/>
      <c r="Y1705" s="6"/>
      <c r="Z1705" s="6"/>
      <c r="AA1705" s="6"/>
      <c r="AB1705" s="6"/>
      <c r="AC1705" s="6"/>
      <c r="AD1705" s="6"/>
      <c r="AE1705" s="6"/>
      <c r="AF1705" s="6"/>
      <c r="AG1705" s="6"/>
      <c r="AH1705" s="6"/>
      <c r="AI1705" s="6"/>
      <c r="AJ1705" s="6"/>
      <c r="AK1705" s="6"/>
      <c r="AL1705" s="6"/>
    </row>
    <row r="1706" spans="1:38">
      <c r="A1706" s="96"/>
      <c r="B1706" s="6"/>
      <c r="C1706" s="6"/>
      <c r="D1706" s="6"/>
      <c r="E1706" s="6"/>
      <c r="F1706" s="6"/>
      <c r="G1706" s="80"/>
      <c r="H1706" s="6"/>
      <c r="I1706" s="6"/>
      <c r="J1706" s="6"/>
      <c r="K1706" s="8"/>
      <c r="L1706" s="8"/>
      <c r="M1706" s="96"/>
      <c r="N1706" s="6"/>
      <c r="O1706" s="97"/>
      <c r="P1706" s="6"/>
      <c r="Q1706" s="6"/>
      <c r="R1706" s="6"/>
      <c r="S1706" s="6"/>
      <c r="T1706" s="6"/>
      <c r="U1706" s="6"/>
      <c r="V1706" s="6"/>
      <c r="W1706" s="6"/>
      <c r="X1706" s="6"/>
      <c r="Y1706" s="6"/>
      <c r="Z1706" s="6"/>
      <c r="AA1706" s="6"/>
      <c r="AB1706" s="6"/>
      <c r="AC1706" s="6"/>
      <c r="AD1706" s="6"/>
      <c r="AE1706" s="6"/>
      <c r="AF1706" s="6"/>
      <c r="AG1706" s="6"/>
      <c r="AH1706" s="6"/>
      <c r="AI1706" s="6"/>
      <c r="AJ1706" s="6"/>
      <c r="AK1706" s="6"/>
      <c r="AL1706" s="6"/>
    </row>
    <row r="1707" spans="1:38">
      <c r="A1707" s="96"/>
      <c r="B1707" s="6"/>
      <c r="C1707" s="6"/>
      <c r="D1707" s="6"/>
      <c r="E1707" s="6"/>
      <c r="F1707" s="6"/>
      <c r="G1707" s="80"/>
      <c r="H1707" s="6"/>
      <c r="I1707" s="6"/>
      <c r="J1707" s="6"/>
      <c r="K1707" s="8"/>
      <c r="L1707" s="8"/>
      <c r="M1707" s="96"/>
      <c r="N1707" s="6"/>
      <c r="O1707" s="97"/>
      <c r="P1707" s="6"/>
      <c r="Q1707" s="6"/>
      <c r="R1707" s="6"/>
      <c r="S1707" s="6"/>
      <c r="T1707" s="6"/>
      <c r="U1707" s="6"/>
      <c r="V1707" s="6"/>
      <c r="W1707" s="6"/>
      <c r="X1707" s="6"/>
      <c r="Y1707" s="6"/>
      <c r="Z1707" s="6"/>
      <c r="AA1707" s="6"/>
      <c r="AB1707" s="6"/>
      <c r="AC1707" s="6"/>
      <c r="AD1707" s="6"/>
      <c r="AE1707" s="6"/>
      <c r="AF1707" s="6"/>
      <c r="AG1707" s="6"/>
      <c r="AH1707" s="6"/>
      <c r="AI1707" s="6"/>
      <c r="AJ1707" s="6"/>
      <c r="AK1707" s="6"/>
      <c r="AL1707" s="6"/>
    </row>
    <row r="1708" spans="1:38">
      <c r="A1708" s="96"/>
      <c r="B1708" s="6"/>
      <c r="C1708" s="6"/>
      <c r="D1708" s="6"/>
      <c r="E1708" s="6"/>
      <c r="F1708" s="6"/>
      <c r="G1708" s="80"/>
      <c r="H1708" s="6"/>
      <c r="I1708" s="6"/>
      <c r="J1708" s="6"/>
      <c r="K1708" s="8"/>
      <c r="L1708" s="8"/>
      <c r="M1708" s="96"/>
      <c r="N1708" s="6"/>
      <c r="O1708" s="97"/>
      <c r="P1708" s="6"/>
      <c r="Q1708" s="6"/>
      <c r="R1708" s="6"/>
      <c r="S1708" s="6"/>
      <c r="T1708" s="6"/>
      <c r="U1708" s="6"/>
      <c r="V1708" s="6"/>
      <c r="W1708" s="6"/>
      <c r="X1708" s="6"/>
      <c r="Y1708" s="6"/>
      <c r="Z1708" s="6"/>
      <c r="AA1708" s="6"/>
      <c r="AB1708" s="6"/>
      <c r="AC1708" s="6"/>
      <c r="AD1708" s="6"/>
      <c r="AE1708" s="6"/>
      <c r="AF1708" s="6"/>
      <c r="AG1708" s="6"/>
      <c r="AH1708" s="6"/>
      <c r="AI1708" s="6"/>
      <c r="AJ1708" s="6"/>
      <c r="AK1708" s="6"/>
      <c r="AL1708" s="6"/>
    </row>
    <row r="1709" spans="1:38">
      <c r="A1709" s="96"/>
      <c r="B1709" s="6"/>
      <c r="C1709" s="6"/>
      <c r="D1709" s="6"/>
      <c r="E1709" s="6"/>
      <c r="F1709" s="6"/>
      <c r="G1709" s="80"/>
      <c r="H1709" s="6"/>
      <c r="I1709" s="6"/>
      <c r="J1709" s="6"/>
      <c r="K1709" s="8"/>
      <c r="L1709" s="8"/>
      <c r="M1709" s="96"/>
      <c r="N1709" s="6"/>
      <c r="O1709" s="97"/>
      <c r="P1709" s="6"/>
      <c r="Q1709" s="6"/>
      <c r="R1709" s="6"/>
      <c r="S1709" s="6"/>
      <c r="T1709" s="6"/>
      <c r="U1709" s="6"/>
      <c r="V1709" s="6"/>
      <c r="W1709" s="6"/>
      <c r="X1709" s="6"/>
      <c r="Y1709" s="6"/>
      <c r="Z1709" s="6"/>
      <c r="AA1709" s="6"/>
      <c r="AB1709" s="6"/>
      <c r="AC1709" s="6"/>
      <c r="AD1709" s="6"/>
      <c r="AE1709" s="6"/>
      <c r="AF1709" s="6"/>
      <c r="AG1709" s="6"/>
      <c r="AH1709" s="6"/>
      <c r="AI1709" s="6"/>
      <c r="AJ1709" s="6"/>
      <c r="AK1709" s="6"/>
      <c r="AL1709" s="6"/>
    </row>
    <row r="1710" spans="1:38">
      <c r="A1710" s="96"/>
      <c r="B1710" s="6"/>
      <c r="C1710" s="6"/>
      <c r="D1710" s="6"/>
      <c r="E1710" s="6"/>
      <c r="F1710" s="6"/>
      <c r="G1710" s="80"/>
      <c r="H1710" s="6"/>
      <c r="I1710" s="6"/>
      <c r="J1710" s="6"/>
      <c r="K1710" s="8"/>
      <c r="L1710" s="8"/>
      <c r="M1710" s="96"/>
      <c r="N1710" s="6"/>
      <c r="O1710" s="97"/>
      <c r="P1710" s="6"/>
      <c r="Q1710" s="6"/>
      <c r="R1710" s="6"/>
      <c r="S1710" s="6"/>
      <c r="T1710" s="6"/>
      <c r="U1710" s="6"/>
      <c r="V1710" s="6"/>
      <c r="W1710" s="6"/>
      <c r="X1710" s="6"/>
      <c r="Y1710" s="6"/>
      <c r="Z1710" s="6"/>
      <c r="AA1710" s="6"/>
      <c r="AB1710" s="6"/>
      <c r="AC1710" s="6"/>
      <c r="AD1710" s="6"/>
      <c r="AE1710" s="6"/>
      <c r="AF1710" s="6"/>
      <c r="AG1710" s="6"/>
      <c r="AH1710" s="6"/>
      <c r="AI1710" s="6"/>
      <c r="AJ1710" s="6"/>
      <c r="AK1710" s="6"/>
      <c r="AL1710" s="6"/>
    </row>
    <row r="1711" spans="1:38">
      <c r="A1711" s="96"/>
      <c r="B1711" s="6"/>
      <c r="C1711" s="6"/>
      <c r="D1711" s="6"/>
      <c r="E1711" s="6"/>
      <c r="F1711" s="6"/>
      <c r="G1711" s="80"/>
      <c r="H1711" s="6"/>
      <c r="I1711" s="6"/>
      <c r="J1711" s="6"/>
      <c r="K1711" s="8"/>
      <c r="L1711" s="8"/>
      <c r="M1711" s="96"/>
      <c r="N1711" s="6"/>
      <c r="O1711" s="97"/>
      <c r="P1711" s="6"/>
      <c r="Q1711" s="6"/>
      <c r="R1711" s="6"/>
      <c r="S1711" s="6"/>
      <c r="T1711" s="6"/>
      <c r="U1711" s="6"/>
      <c r="V1711" s="6"/>
      <c r="W1711" s="6"/>
      <c r="X1711" s="6"/>
      <c r="Y1711" s="6"/>
      <c r="Z1711" s="6"/>
      <c r="AA1711" s="6"/>
      <c r="AB1711" s="6"/>
      <c r="AC1711" s="6"/>
      <c r="AD1711" s="6"/>
      <c r="AE1711" s="6"/>
      <c r="AF1711" s="6"/>
      <c r="AG1711" s="6"/>
      <c r="AH1711" s="6"/>
      <c r="AI1711" s="6"/>
      <c r="AJ1711" s="6"/>
      <c r="AK1711" s="6"/>
      <c r="AL1711" s="6"/>
    </row>
    <row r="1712" spans="1:38">
      <c r="A1712" s="96"/>
      <c r="B1712" s="6"/>
      <c r="C1712" s="6"/>
      <c r="D1712" s="6"/>
      <c r="E1712" s="6"/>
      <c r="F1712" s="6"/>
      <c r="G1712" s="80"/>
      <c r="H1712" s="6"/>
      <c r="I1712" s="6"/>
      <c r="J1712" s="6"/>
      <c r="K1712" s="8"/>
      <c r="L1712" s="8"/>
      <c r="M1712" s="96"/>
      <c r="N1712" s="6"/>
      <c r="O1712" s="97"/>
      <c r="P1712" s="6"/>
      <c r="Q1712" s="6"/>
      <c r="R1712" s="6"/>
      <c r="S1712" s="6"/>
      <c r="T1712" s="6"/>
      <c r="U1712" s="6"/>
      <c r="V1712" s="6"/>
      <c r="W1712" s="6"/>
      <c r="X1712" s="6"/>
      <c r="Y1712" s="6"/>
      <c r="Z1712" s="6"/>
      <c r="AA1712" s="6"/>
      <c r="AB1712" s="6"/>
      <c r="AC1712" s="6"/>
      <c r="AD1712" s="6"/>
      <c r="AE1712" s="6"/>
      <c r="AF1712" s="6"/>
      <c r="AG1712" s="6"/>
      <c r="AH1712" s="6"/>
      <c r="AI1712" s="6"/>
      <c r="AJ1712" s="6"/>
      <c r="AK1712" s="6"/>
      <c r="AL1712" s="6"/>
    </row>
    <row r="1713" spans="1:38">
      <c r="A1713" s="96"/>
      <c r="B1713" s="6"/>
      <c r="C1713" s="6"/>
      <c r="D1713" s="6"/>
      <c r="E1713" s="6"/>
      <c r="F1713" s="6"/>
      <c r="G1713" s="80"/>
      <c r="H1713" s="6"/>
      <c r="I1713" s="6"/>
      <c r="J1713" s="6"/>
      <c r="K1713" s="8"/>
      <c r="L1713" s="8"/>
      <c r="M1713" s="96"/>
      <c r="N1713" s="6"/>
      <c r="O1713" s="97"/>
      <c r="P1713" s="6"/>
      <c r="Q1713" s="6"/>
      <c r="R1713" s="6"/>
      <c r="S1713" s="6"/>
      <c r="T1713" s="6"/>
      <c r="U1713" s="6"/>
      <c r="V1713" s="6"/>
      <c r="W1713" s="6"/>
      <c r="X1713" s="6"/>
      <c r="Y1713" s="6"/>
      <c r="Z1713" s="6"/>
      <c r="AA1713" s="6"/>
      <c r="AB1713" s="6"/>
      <c r="AC1713" s="6"/>
      <c r="AD1713" s="6"/>
      <c r="AE1713" s="6"/>
      <c r="AF1713" s="6"/>
      <c r="AG1713" s="6"/>
      <c r="AH1713" s="6"/>
      <c r="AI1713" s="6"/>
      <c r="AJ1713" s="6"/>
      <c r="AK1713" s="6"/>
      <c r="AL1713" s="6"/>
    </row>
    <row r="1714" spans="1:38">
      <c r="A1714" s="96"/>
      <c r="B1714" s="6"/>
      <c r="C1714" s="6"/>
      <c r="D1714" s="6"/>
      <c r="E1714" s="6"/>
      <c r="F1714" s="6"/>
      <c r="G1714" s="80"/>
      <c r="H1714" s="6"/>
      <c r="I1714" s="6"/>
      <c r="J1714" s="6"/>
      <c r="K1714" s="8"/>
      <c r="L1714" s="8"/>
      <c r="M1714" s="96"/>
      <c r="N1714" s="6"/>
      <c r="O1714" s="97"/>
      <c r="P1714" s="6"/>
      <c r="Q1714" s="6"/>
      <c r="R1714" s="6"/>
      <c r="S1714" s="6"/>
      <c r="T1714" s="6"/>
      <c r="U1714" s="6"/>
      <c r="V1714" s="6"/>
      <c r="W1714" s="6"/>
      <c r="X1714" s="6"/>
      <c r="Y1714" s="6"/>
      <c r="Z1714" s="6"/>
      <c r="AA1714" s="6"/>
      <c r="AB1714" s="6"/>
      <c r="AC1714" s="6"/>
      <c r="AD1714" s="6"/>
      <c r="AE1714" s="6"/>
      <c r="AF1714" s="6"/>
      <c r="AG1714" s="6"/>
      <c r="AH1714" s="6"/>
      <c r="AI1714" s="6"/>
      <c r="AJ1714" s="6"/>
      <c r="AK1714" s="6"/>
      <c r="AL1714" s="6"/>
    </row>
    <row r="1715" spans="1:38">
      <c r="A1715" s="96"/>
      <c r="B1715" s="6"/>
      <c r="C1715" s="6"/>
      <c r="D1715" s="6"/>
      <c r="E1715" s="6"/>
      <c r="F1715" s="6"/>
      <c r="G1715" s="80"/>
      <c r="H1715" s="6"/>
      <c r="I1715" s="6"/>
      <c r="J1715" s="6"/>
      <c r="K1715" s="8"/>
      <c r="L1715" s="8"/>
      <c r="M1715" s="96"/>
      <c r="N1715" s="6"/>
      <c r="O1715" s="97"/>
      <c r="P1715" s="6"/>
      <c r="Q1715" s="6"/>
      <c r="R1715" s="6"/>
      <c r="S1715" s="6"/>
      <c r="T1715" s="6"/>
      <c r="U1715" s="6"/>
      <c r="V1715" s="6"/>
      <c r="W1715" s="6"/>
      <c r="X1715" s="6"/>
      <c r="Y1715" s="6"/>
      <c r="Z1715" s="6"/>
      <c r="AA1715" s="6"/>
      <c r="AB1715" s="6"/>
      <c r="AC1715" s="6"/>
      <c r="AD1715" s="6"/>
      <c r="AE1715" s="6"/>
      <c r="AF1715" s="6"/>
      <c r="AG1715" s="6"/>
      <c r="AH1715" s="6"/>
      <c r="AI1715" s="6"/>
      <c r="AJ1715" s="6"/>
      <c r="AK1715" s="6"/>
      <c r="AL1715" s="6"/>
    </row>
    <row r="1716" spans="1:38">
      <c r="A1716" s="96"/>
      <c r="B1716" s="6"/>
      <c r="C1716" s="6"/>
      <c r="D1716" s="6"/>
      <c r="E1716" s="6"/>
      <c r="F1716" s="6"/>
      <c r="G1716" s="80"/>
      <c r="H1716" s="6"/>
      <c r="I1716" s="6"/>
      <c r="J1716" s="6"/>
      <c r="K1716" s="8"/>
      <c r="L1716" s="8"/>
      <c r="M1716" s="96"/>
      <c r="N1716" s="6"/>
      <c r="O1716" s="97"/>
      <c r="P1716" s="6"/>
      <c r="Q1716" s="6"/>
      <c r="R1716" s="6"/>
      <c r="S1716" s="6"/>
      <c r="T1716" s="6"/>
      <c r="U1716" s="6"/>
      <c r="V1716" s="6"/>
      <c r="W1716" s="6"/>
      <c r="X1716" s="6"/>
      <c r="Y1716" s="6"/>
      <c r="Z1716" s="6"/>
      <c r="AA1716" s="6"/>
      <c r="AB1716" s="6"/>
      <c r="AC1716" s="6"/>
      <c r="AD1716" s="6"/>
      <c r="AE1716" s="6"/>
      <c r="AF1716" s="6"/>
      <c r="AG1716" s="6"/>
      <c r="AH1716" s="6"/>
      <c r="AI1716" s="6"/>
      <c r="AJ1716" s="6"/>
      <c r="AK1716" s="6"/>
      <c r="AL1716" s="6"/>
    </row>
    <row r="1717" spans="1:38">
      <c r="A1717" s="96"/>
      <c r="B1717" s="6"/>
      <c r="C1717" s="6"/>
      <c r="D1717" s="6"/>
      <c r="E1717" s="6"/>
      <c r="F1717" s="6"/>
      <c r="G1717" s="80"/>
      <c r="H1717" s="6"/>
      <c r="I1717" s="6"/>
      <c r="J1717" s="6"/>
      <c r="K1717" s="8"/>
      <c r="L1717" s="8"/>
      <c r="M1717" s="96"/>
      <c r="N1717" s="6"/>
      <c r="O1717" s="97"/>
      <c r="P1717" s="6"/>
      <c r="Q1717" s="6"/>
      <c r="R1717" s="6"/>
      <c r="S1717" s="6"/>
      <c r="T1717" s="6"/>
      <c r="U1717" s="6"/>
      <c r="V1717" s="6"/>
      <c r="W1717" s="6"/>
      <c r="X1717" s="6"/>
      <c r="Y1717" s="6"/>
      <c r="Z1717" s="6"/>
      <c r="AA1717" s="6"/>
      <c r="AB1717" s="6"/>
      <c r="AC1717" s="6"/>
      <c r="AD1717" s="6"/>
      <c r="AE1717" s="6"/>
      <c r="AF1717" s="6"/>
      <c r="AG1717" s="6"/>
      <c r="AH1717" s="6"/>
      <c r="AI1717" s="6"/>
      <c r="AJ1717" s="6"/>
      <c r="AK1717" s="6"/>
      <c r="AL1717" s="6"/>
    </row>
    <row r="1718" spans="1:38">
      <c r="A1718" s="96"/>
      <c r="B1718" s="6"/>
      <c r="C1718" s="6"/>
      <c r="D1718" s="6"/>
      <c r="E1718" s="6"/>
      <c r="F1718" s="6"/>
      <c r="G1718" s="80"/>
      <c r="H1718" s="6"/>
      <c r="I1718" s="6"/>
      <c r="J1718" s="6"/>
      <c r="K1718" s="8"/>
      <c r="L1718" s="8"/>
      <c r="M1718" s="96"/>
      <c r="N1718" s="6"/>
      <c r="O1718" s="97"/>
      <c r="P1718" s="6"/>
      <c r="Q1718" s="6"/>
      <c r="R1718" s="6"/>
      <c r="S1718" s="6"/>
      <c r="T1718" s="6"/>
      <c r="U1718" s="6"/>
      <c r="V1718" s="6"/>
      <c r="W1718" s="6"/>
      <c r="X1718" s="6"/>
      <c r="Y1718" s="6"/>
      <c r="Z1718" s="6"/>
      <c r="AA1718" s="6"/>
      <c r="AB1718" s="6"/>
      <c r="AC1718" s="6"/>
      <c r="AD1718" s="6"/>
      <c r="AE1718" s="6"/>
      <c r="AF1718" s="6"/>
      <c r="AG1718" s="6"/>
      <c r="AH1718" s="6"/>
      <c r="AI1718" s="6"/>
      <c r="AJ1718" s="6"/>
      <c r="AK1718" s="6"/>
      <c r="AL1718" s="6"/>
    </row>
    <row r="1719" spans="1:38">
      <c r="A1719" s="96"/>
      <c r="B1719" s="6"/>
      <c r="C1719" s="6"/>
      <c r="D1719" s="6"/>
      <c r="E1719" s="6"/>
      <c r="F1719" s="6"/>
      <c r="G1719" s="80"/>
      <c r="H1719" s="6"/>
      <c r="I1719" s="6"/>
      <c r="J1719" s="6"/>
      <c r="K1719" s="8"/>
      <c r="L1719" s="8"/>
      <c r="M1719" s="96"/>
      <c r="N1719" s="6"/>
      <c r="O1719" s="97"/>
      <c r="P1719" s="6"/>
      <c r="Q1719" s="6"/>
      <c r="R1719" s="6"/>
      <c r="S1719" s="6"/>
      <c r="T1719" s="6"/>
      <c r="U1719" s="6"/>
      <c r="V1719" s="6"/>
      <c r="W1719" s="6"/>
      <c r="X1719" s="6"/>
      <c r="Y1719" s="6"/>
      <c r="Z1719" s="6"/>
      <c r="AA1719" s="6"/>
      <c r="AB1719" s="6"/>
      <c r="AC1719" s="6"/>
      <c r="AD1719" s="6"/>
      <c r="AE1719" s="6"/>
      <c r="AF1719" s="6"/>
      <c r="AG1719" s="6"/>
      <c r="AH1719" s="6"/>
      <c r="AI1719" s="6"/>
      <c r="AJ1719" s="6"/>
      <c r="AK1719" s="6"/>
      <c r="AL1719" s="6"/>
    </row>
    <row r="1720" spans="1:38">
      <c r="A1720" s="96"/>
      <c r="B1720" s="6"/>
      <c r="C1720" s="6"/>
      <c r="D1720" s="6"/>
      <c r="E1720" s="6"/>
      <c r="F1720" s="6"/>
      <c r="G1720" s="80"/>
      <c r="H1720" s="6"/>
      <c r="I1720" s="6"/>
      <c r="J1720" s="6"/>
      <c r="K1720" s="8"/>
      <c r="L1720" s="8"/>
      <c r="M1720" s="96"/>
      <c r="N1720" s="6"/>
      <c r="O1720" s="97"/>
      <c r="P1720" s="6"/>
      <c r="Q1720" s="6"/>
      <c r="R1720" s="6"/>
      <c r="S1720" s="6"/>
      <c r="T1720" s="6"/>
      <c r="U1720" s="6"/>
      <c r="V1720" s="6"/>
      <c r="W1720" s="6"/>
      <c r="X1720" s="6"/>
      <c r="Y1720" s="6"/>
      <c r="Z1720" s="6"/>
      <c r="AA1720" s="6"/>
      <c r="AB1720" s="6"/>
      <c r="AC1720" s="6"/>
      <c r="AD1720" s="6"/>
      <c r="AE1720" s="6"/>
      <c r="AF1720" s="6"/>
      <c r="AG1720" s="6"/>
      <c r="AH1720" s="6"/>
      <c r="AI1720" s="6"/>
      <c r="AJ1720" s="6"/>
      <c r="AK1720" s="6"/>
      <c r="AL1720" s="6"/>
    </row>
    <row r="1721" spans="1:38">
      <c r="A1721" s="96"/>
      <c r="B1721" s="6"/>
      <c r="C1721" s="6"/>
      <c r="D1721" s="6"/>
      <c r="E1721" s="6"/>
      <c r="F1721" s="6"/>
      <c r="G1721" s="80"/>
      <c r="H1721" s="6"/>
      <c r="I1721" s="6"/>
      <c r="J1721" s="6"/>
      <c r="K1721" s="8"/>
      <c r="L1721" s="8"/>
      <c r="M1721" s="96"/>
      <c r="N1721" s="6"/>
      <c r="O1721" s="97"/>
      <c r="P1721" s="6"/>
      <c r="Q1721" s="6"/>
      <c r="R1721" s="6"/>
      <c r="S1721" s="6"/>
      <c r="T1721" s="6"/>
      <c r="U1721" s="6"/>
      <c r="V1721" s="6"/>
      <c r="W1721" s="6"/>
      <c r="X1721" s="6"/>
      <c r="Y1721" s="6"/>
      <c r="Z1721" s="6"/>
      <c r="AA1721" s="6"/>
      <c r="AB1721" s="6"/>
      <c r="AC1721" s="6"/>
      <c r="AD1721" s="6"/>
      <c r="AE1721" s="6"/>
      <c r="AF1721" s="6"/>
      <c r="AG1721" s="6"/>
      <c r="AH1721" s="6"/>
      <c r="AI1721" s="6"/>
      <c r="AJ1721" s="6"/>
      <c r="AK1721" s="6"/>
      <c r="AL1721" s="6"/>
    </row>
    <row r="1722" spans="1:38">
      <c r="A1722" s="96"/>
      <c r="B1722" s="6"/>
      <c r="C1722" s="6"/>
      <c r="D1722" s="6"/>
      <c r="E1722" s="6"/>
      <c r="F1722" s="6"/>
      <c r="G1722" s="80"/>
      <c r="H1722" s="6"/>
      <c r="I1722" s="6"/>
      <c r="J1722" s="6"/>
      <c r="K1722" s="8"/>
      <c r="L1722" s="8"/>
      <c r="M1722" s="96"/>
      <c r="N1722" s="6"/>
      <c r="O1722" s="97"/>
      <c r="P1722" s="6"/>
      <c r="Q1722" s="6"/>
      <c r="R1722" s="6"/>
      <c r="S1722" s="6"/>
      <c r="T1722" s="6"/>
      <c r="U1722" s="6"/>
      <c r="V1722" s="6"/>
      <c r="W1722" s="6"/>
      <c r="X1722" s="6"/>
      <c r="Y1722" s="6"/>
      <c r="Z1722" s="6"/>
      <c r="AA1722" s="6"/>
      <c r="AB1722" s="6"/>
      <c r="AC1722" s="6"/>
      <c r="AD1722" s="6"/>
      <c r="AE1722" s="6"/>
      <c r="AF1722" s="6"/>
      <c r="AG1722" s="6"/>
      <c r="AH1722" s="6"/>
      <c r="AI1722" s="6"/>
      <c r="AJ1722" s="6"/>
      <c r="AK1722" s="6"/>
      <c r="AL1722" s="6"/>
    </row>
    <row r="1723" spans="1:38">
      <c r="A1723" s="96"/>
      <c r="B1723" s="6"/>
      <c r="C1723" s="6"/>
      <c r="D1723" s="6"/>
      <c r="E1723" s="6"/>
      <c r="F1723" s="6"/>
      <c r="G1723" s="80"/>
      <c r="H1723" s="6"/>
      <c r="I1723" s="6"/>
      <c r="J1723" s="6"/>
      <c r="K1723" s="8"/>
      <c r="L1723" s="8"/>
      <c r="M1723" s="96"/>
      <c r="N1723" s="6"/>
      <c r="O1723" s="97"/>
      <c r="P1723" s="6"/>
      <c r="Q1723" s="6"/>
      <c r="R1723" s="6"/>
      <c r="S1723" s="6"/>
      <c r="T1723" s="6"/>
      <c r="U1723" s="6"/>
      <c r="V1723" s="6"/>
      <c r="W1723" s="6"/>
      <c r="X1723" s="6"/>
      <c r="Y1723" s="6"/>
      <c r="Z1723" s="6"/>
      <c r="AA1723" s="6"/>
      <c r="AB1723" s="6"/>
      <c r="AC1723" s="6"/>
      <c r="AD1723" s="6"/>
      <c r="AE1723" s="6"/>
      <c r="AF1723" s="6"/>
      <c r="AG1723" s="6"/>
      <c r="AH1723" s="6"/>
      <c r="AI1723" s="6"/>
      <c r="AJ1723" s="6"/>
      <c r="AK1723" s="6"/>
      <c r="AL1723" s="6"/>
    </row>
    <row r="1724" spans="1:38">
      <c r="A1724" s="96"/>
      <c r="B1724" s="6"/>
      <c r="C1724" s="6"/>
      <c r="D1724" s="6"/>
      <c r="E1724" s="6"/>
      <c r="F1724" s="6"/>
      <c r="G1724" s="80"/>
      <c r="H1724" s="6"/>
      <c r="I1724" s="6"/>
      <c r="J1724" s="6"/>
      <c r="K1724" s="8"/>
      <c r="L1724" s="8"/>
      <c r="M1724" s="96"/>
      <c r="N1724" s="6"/>
      <c r="O1724" s="97"/>
      <c r="P1724" s="6"/>
      <c r="Q1724" s="6"/>
      <c r="R1724" s="6"/>
      <c r="S1724" s="6"/>
      <c r="T1724" s="6"/>
      <c r="U1724" s="6"/>
      <c r="V1724" s="6"/>
      <c r="W1724" s="6"/>
      <c r="X1724" s="6"/>
      <c r="Y1724" s="6"/>
      <c r="Z1724" s="6"/>
      <c r="AA1724" s="6"/>
      <c r="AB1724" s="6"/>
      <c r="AC1724" s="6"/>
      <c r="AD1724" s="6"/>
      <c r="AE1724" s="6"/>
      <c r="AF1724" s="6"/>
      <c r="AG1724" s="6"/>
      <c r="AH1724" s="6"/>
      <c r="AI1724" s="6"/>
      <c r="AJ1724" s="6"/>
      <c r="AK1724" s="6"/>
      <c r="AL1724" s="6"/>
    </row>
    <row r="1725" spans="1:38">
      <c r="A1725" s="96"/>
      <c r="B1725" s="6"/>
      <c r="C1725" s="6"/>
      <c r="D1725" s="6"/>
      <c r="E1725" s="6"/>
      <c r="F1725" s="6"/>
      <c r="G1725" s="80"/>
      <c r="H1725" s="6"/>
      <c r="I1725" s="6"/>
      <c r="J1725" s="6"/>
      <c r="K1725" s="8"/>
      <c r="L1725" s="8"/>
      <c r="M1725" s="96"/>
      <c r="N1725" s="6"/>
      <c r="O1725" s="97"/>
      <c r="P1725" s="6"/>
      <c r="Q1725" s="6"/>
      <c r="R1725" s="6"/>
      <c r="S1725" s="6"/>
      <c r="T1725" s="6"/>
      <c r="U1725" s="6"/>
      <c r="V1725" s="6"/>
      <c r="W1725" s="6"/>
      <c r="X1725" s="6"/>
      <c r="Y1725" s="6"/>
      <c r="Z1725" s="6"/>
      <c r="AA1725" s="6"/>
      <c r="AB1725" s="6"/>
      <c r="AC1725" s="6"/>
      <c r="AD1725" s="6"/>
      <c r="AE1725" s="6"/>
      <c r="AF1725" s="6"/>
      <c r="AG1725" s="6"/>
      <c r="AH1725" s="6"/>
      <c r="AI1725" s="6"/>
      <c r="AJ1725" s="6"/>
      <c r="AK1725" s="6"/>
      <c r="AL1725" s="6"/>
    </row>
    <row r="1726" spans="1:38">
      <c r="A1726" s="96"/>
      <c r="B1726" s="6"/>
      <c r="C1726" s="6"/>
      <c r="D1726" s="6"/>
      <c r="E1726" s="6"/>
      <c r="F1726" s="6"/>
      <c r="G1726" s="80"/>
      <c r="H1726" s="6"/>
      <c r="I1726" s="6"/>
      <c r="J1726" s="6"/>
      <c r="K1726" s="8"/>
      <c r="L1726" s="8"/>
      <c r="M1726" s="96"/>
      <c r="N1726" s="6"/>
      <c r="O1726" s="97"/>
      <c r="P1726" s="6"/>
      <c r="Q1726" s="6"/>
      <c r="R1726" s="6"/>
      <c r="S1726" s="6"/>
      <c r="T1726" s="6"/>
      <c r="U1726" s="6"/>
      <c r="V1726" s="6"/>
      <c r="W1726" s="6"/>
      <c r="X1726" s="6"/>
      <c r="Y1726" s="6"/>
      <c r="Z1726" s="6"/>
      <c r="AA1726" s="6"/>
      <c r="AB1726" s="6"/>
      <c r="AC1726" s="6"/>
      <c r="AD1726" s="6"/>
      <c r="AE1726" s="6"/>
      <c r="AF1726" s="6"/>
      <c r="AG1726" s="6"/>
      <c r="AH1726" s="6"/>
      <c r="AI1726" s="6"/>
      <c r="AJ1726" s="6"/>
      <c r="AK1726" s="6"/>
      <c r="AL1726" s="6"/>
    </row>
    <row r="1727" spans="1:38">
      <c r="A1727" s="96"/>
      <c r="B1727" s="6"/>
      <c r="C1727" s="6"/>
      <c r="D1727" s="6"/>
      <c r="E1727" s="6"/>
      <c r="F1727" s="6"/>
      <c r="G1727" s="80"/>
      <c r="H1727" s="6"/>
      <c r="I1727" s="6"/>
      <c r="J1727" s="6"/>
      <c r="K1727" s="8"/>
      <c r="L1727" s="8"/>
      <c r="M1727" s="96"/>
      <c r="N1727" s="6"/>
      <c r="O1727" s="97"/>
      <c r="P1727" s="6"/>
      <c r="Q1727" s="6"/>
      <c r="R1727" s="6"/>
      <c r="S1727" s="6"/>
      <c r="T1727" s="6"/>
      <c r="U1727" s="6"/>
      <c r="V1727" s="6"/>
      <c r="W1727" s="6"/>
      <c r="X1727" s="6"/>
      <c r="Y1727" s="6"/>
      <c r="Z1727" s="6"/>
      <c r="AA1727" s="6"/>
      <c r="AB1727" s="6"/>
      <c r="AC1727" s="6"/>
      <c r="AD1727" s="6"/>
      <c r="AE1727" s="6"/>
      <c r="AF1727" s="6"/>
      <c r="AG1727" s="6"/>
      <c r="AH1727" s="6"/>
      <c r="AI1727" s="6"/>
      <c r="AJ1727" s="6"/>
      <c r="AK1727" s="6"/>
      <c r="AL1727" s="6"/>
    </row>
    <row r="1728" spans="1:38">
      <c r="A1728" s="96"/>
      <c r="B1728" s="6"/>
      <c r="C1728" s="6"/>
      <c r="D1728" s="6"/>
      <c r="E1728" s="6"/>
      <c r="F1728" s="6"/>
      <c r="G1728" s="80"/>
      <c r="H1728" s="6"/>
      <c r="I1728" s="6"/>
      <c r="J1728" s="6"/>
      <c r="K1728" s="8"/>
      <c r="L1728" s="8"/>
      <c r="M1728" s="96"/>
      <c r="N1728" s="6"/>
      <c r="O1728" s="97"/>
      <c r="P1728" s="6"/>
      <c r="Q1728" s="6"/>
      <c r="R1728" s="6"/>
      <c r="S1728" s="6"/>
      <c r="T1728" s="6"/>
      <c r="U1728" s="6"/>
      <c r="V1728" s="6"/>
      <c r="W1728" s="6"/>
      <c r="X1728" s="6"/>
      <c r="Y1728" s="6"/>
      <c r="Z1728" s="6"/>
      <c r="AA1728" s="6"/>
      <c r="AB1728" s="6"/>
      <c r="AC1728" s="6"/>
      <c r="AD1728" s="6"/>
      <c r="AE1728" s="6"/>
      <c r="AF1728" s="6"/>
      <c r="AG1728" s="6"/>
      <c r="AH1728" s="6"/>
      <c r="AI1728" s="6"/>
      <c r="AJ1728" s="6"/>
      <c r="AK1728" s="6"/>
      <c r="AL1728" s="6"/>
    </row>
    <row r="1729" spans="1:38">
      <c r="A1729" s="96"/>
      <c r="B1729" s="6"/>
      <c r="C1729" s="6"/>
      <c r="D1729" s="6"/>
      <c r="E1729" s="6"/>
      <c r="F1729" s="6"/>
      <c r="G1729" s="80"/>
      <c r="H1729" s="6"/>
      <c r="I1729" s="6"/>
      <c r="J1729" s="6"/>
      <c r="K1729" s="8"/>
      <c r="L1729" s="8"/>
      <c r="M1729" s="96"/>
      <c r="N1729" s="6"/>
      <c r="O1729" s="97"/>
      <c r="P1729" s="6"/>
      <c r="Q1729" s="6"/>
      <c r="R1729" s="6"/>
      <c r="S1729" s="6"/>
      <c r="T1729" s="6"/>
      <c r="U1729" s="6"/>
      <c r="V1729" s="6"/>
      <c r="W1729" s="6"/>
      <c r="X1729" s="6"/>
      <c r="Y1729" s="6"/>
      <c r="Z1729" s="6"/>
      <c r="AA1729" s="6"/>
      <c r="AB1729" s="6"/>
      <c r="AC1729" s="6"/>
      <c r="AD1729" s="6"/>
      <c r="AE1729" s="6"/>
      <c r="AF1729" s="6"/>
      <c r="AG1729" s="6"/>
      <c r="AH1729" s="6"/>
      <c r="AI1729" s="6"/>
      <c r="AJ1729" s="6"/>
      <c r="AK1729" s="6"/>
      <c r="AL1729" s="6"/>
    </row>
    <row r="1730" spans="1:38">
      <c r="A1730" s="96"/>
      <c r="B1730" s="6"/>
      <c r="C1730" s="6"/>
      <c r="D1730" s="6"/>
      <c r="E1730" s="6"/>
      <c r="F1730" s="6"/>
      <c r="G1730" s="80"/>
      <c r="H1730" s="6"/>
      <c r="I1730" s="6"/>
      <c r="J1730" s="6"/>
      <c r="K1730" s="8"/>
      <c r="L1730" s="8"/>
      <c r="M1730" s="96"/>
      <c r="N1730" s="6"/>
      <c r="O1730" s="97"/>
      <c r="P1730" s="6"/>
      <c r="Q1730" s="6"/>
      <c r="R1730" s="6"/>
      <c r="S1730" s="6"/>
      <c r="T1730" s="6"/>
      <c r="U1730" s="6"/>
      <c r="V1730" s="6"/>
      <c r="W1730" s="6"/>
      <c r="X1730" s="6"/>
      <c r="Y1730" s="6"/>
      <c r="Z1730" s="6"/>
      <c r="AA1730" s="6"/>
      <c r="AB1730" s="6"/>
      <c r="AC1730" s="6"/>
      <c r="AD1730" s="6"/>
      <c r="AE1730" s="6"/>
      <c r="AF1730" s="6"/>
      <c r="AG1730" s="6"/>
      <c r="AH1730" s="6"/>
      <c r="AI1730" s="6"/>
      <c r="AJ1730" s="6"/>
      <c r="AK1730" s="6"/>
      <c r="AL1730" s="6"/>
    </row>
    <row r="1731" spans="1:38">
      <c r="A1731" s="96"/>
      <c r="B1731" s="6"/>
      <c r="C1731" s="6"/>
      <c r="D1731" s="6"/>
      <c r="E1731" s="6"/>
      <c r="F1731" s="6"/>
      <c r="G1731" s="80"/>
      <c r="H1731" s="6"/>
      <c r="I1731" s="6"/>
      <c r="J1731" s="6"/>
      <c r="K1731" s="8"/>
      <c r="L1731" s="8"/>
      <c r="M1731" s="96"/>
      <c r="N1731" s="6"/>
      <c r="O1731" s="97"/>
      <c r="P1731" s="6"/>
      <c r="Q1731" s="6"/>
      <c r="R1731" s="6"/>
      <c r="S1731" s="6"/>
      <c r="T1731" s="6"/>
      <c r="U1731" s="6"/>
      <c r="V1731" s="6"/>
      <c r="W1731" s="6"/>
      <c r="X1731" s="6"/>
      <c r="Y1731" s="6"/>
      <c r="Z1731" s="6"/>
      <c r="AA1731" s="6"/>
      <c r="AB1731" s="6"/>
      <c r="AC1731" s="6"/>
      <c r="AD1731" s="6"/>
      <c r="AE1731" s="6"/>
      <c r="AF1731" s="6"/>
      <c r="AG1731" s="6"/>
      <c r="AH1731" s="6"/>
      <c r="AI1731" s="6"/>
      <c r="AJ1731" s="6"/>
      <c r="AK1731" s="6"/>
      <c r="AL1731" s="6"/>
    </row>
    <row r="1732" spans="1:38">
      <c r="A1732" s="96"/>
      <c r="B1732" s="6"/>
      <c r="C1732" s="6"/>
      <c r="D1732" s="6"/>
      <c r="E1732" s="6"/>
      <c r="F1732" s="6"/>
      <c r="G1732" s="80"/>
      <c r="H1732" s="6"/>
      <c r="I1732" s="6"/>
      <c r="J1732" s="6"/>
      <c r="K1732" s="8"/>
      <c r="L1732" s="8"/>
      <c r="M1732" s="96"/>
      <c r="N1732" s="6"/>
      <c r="O1732" s="97"/>
      <c r="P1732" s="6"/>
      <c r="Q1732" s="6"/>
      <c r="R1732" s="6"/>
      <c r="S1732" s="6"/>
      <c r="T1732" s="6"/>
      <c r="U1732" s="6"/>
      <c r="V1732" s="6"/>
      <c r="W1732" s="6"/>
      <c r="X1732" s="6"/>
      <c r="Y1732" s="6"/>
      <c r="Z1732" s="6"/>
      <c r="AA1732" s="6"/>
      <c r="AB1732" s="6"/>
      <c r="AC1732" s="6"/>
      <c r="AD1732" s="6"/>
      <c r="AE1732" s="6"/>
      <c r="AF1732" s="6"/>
      <c r="AG1732" s="6"/>
      <c r="AH1732" s="6"/>
      <c r="AI1732" s="6"/>
      <c r="AJ1732" s="6"/>
      <c r="AK1732" s="6"/>
      <c r="AL1732" s="6"/>
    </row>
    <row r="1733" spans="1:38">
      <c r="A1733" s="96"/>
      <c r="B1733" s="6"/>
      <c r="C1733" s="6"/>
      <c r="D1733" s="6"/>
      <c r="E1733" s="6"/>
      <c r="F1733" s="6"/>
      <c r="G1733" s="80"/>
      <c r="H1733" s="6"/>
      <c r="I1733" s="6"/>
      <c r="J1733" s="6"/>
      <c r="K1733" s="8"/>
      <c r="L1733" s="8"/>
      <c r="M1733" s="96"/>
      <c r="N1733" s="6"/>
      <c r="O1733" s="97"/>
      <c r="P1733" s="6"/>
      <c r="Q1733" s="6"/>
      <c r="R1733" s="6"/>
      <c r="S1733" s="6"/>
      <c r="T1733" s="6"/>
      <c r="U1733" s="6"/>
      <c r="V1733" s="6"/>
      <c r="W1733" s="6"/>
      <c r="X1733" s="6"/>
      <c r="Y1733" s="6"/>
      <c r="Z1733" s="6"/>
      <c r="AA1733" s="6"/>
      <c r="AB1733" s="6"/>
      <c r="AC1733" s="6"/>
      <c r="AD1733" s="6"/>
      <c r="AE1733" s="6"/>
      <c r="AF1733" s="6"/>
      <c r="AG1733" s="6"/>
      <c r="AH1733" s="6"/>
      <c r="AI1733" s="6"/>
      <c r="AJ1733" s="6"/>
      <c r="AK1733" s="6"/>
      <c r="AL1733" s="6"/>
    </row>
    <row r="1734" spans="1:38">
      <c r="A1734" s="96"/>
      <c r="B1734" s="6"/>
      <c r="C1734" s="6"/>
      <c r="D1734" s="6"/>
      <c r="E1734" s="6"/>
      <c r="F1734" s="6"/>
      <c r="G1734" s="80"/>
      <c r="H1734" s="6"/>
      <c r="I1734" s="6"/>
      <c r="J1734" s="6"/>
      <c r="K1734" s="8"/>
      <c r="L1734" s="8"/>
      <c r="M1734" s="96"/>
      <c r="N1734" s="6"/>
      <c r="O1734" s="97"/>
      <c r="P1734" s="6"/>
      <c r="Q1734" s="6"/>
      <c r="R1734" s="6"/>
      <c r="S1734" s="6"/>
      <c r="T1734" s="6"/>
      <c r="U1734" s="6"/>
      <c r="V1734" s="6"/>
      <c r="W1734" s="6"/>
      <c r="X1734" s="6"/>
      <c r="Y1734" s="6"/>
      <c r="Z1734" s="6"/>
      <c r="AA1734" s="6"/>
      <c r="AB1734" s="6"/>
      <c r="AC1734" s="6"/>
      <c r="AD1734" s="6"/>
      <c r="AE1734" s="6"/>
      <c r="AF1734" s="6"/>
      <c r="AG1734" s="6"/>
      <c r="AH1734" s="6"/>
      <c r="AI1734" s="6"/>
      <c r="AJ1734" s="6"/>
      <c r="AK1734" s="6"/>
      <c r="AL1734" s="6"/>
    </row>
    <row r="1735" spans="1:38">
      <c r="A1735" s="96"/>
      <c r="B1735" s="6"/>
      <c r="C1735" s="6"/>
      <c r="D1735" s="6"/>
      <c r="E1735" s="6"/>
      <c r="F1735" s="6"/>
      <c r="G1735" s="80"/>
      <c r="H1735" s="6"/>
      <c r="I1735" s="6"/>
      <c r="J1735" s="6"/>
      <c r="K1735" s="8"/>
      <c r="L1735" s="8"/>
      <c r="M1735" s="96"/>
      <c r="N1735" s="6"/>
      <c r="O1735" s="97"/>
      <c r="P1735" s="6"/>
      <c r="Q1735" s="6"/>
      <c r="R1735" s="6"/>
      <c r="S1735" s="6"/>
      <c r="T1735" s="6"/>
      <c r="U1735" s="6"/>
      <c r="V1735" s="6"/>
      <c r="W1735" s="6"/>
      <c r="X1735" s="6"/>
      <c r="Y1735" s="6"/>
      <c r="Z1735" s="6"/>
      <c r="AA1735" s="6"/>
      <c r="AB1735" s="6"/>
      <c r="AC1735" s="6"/>
      <c r="AD1735" s="6"/>
      <c r="AE1735" s="6"/>
      <c r="AF1735" s="6"/>
      <c r="AG1735" s="6"/>
      <c r="AH1735" s="6"/>
      <c r="AI1735" s="6"/>
      <c r="AJ1735" s="6"/>
      <c r="AK1735" s="6"/>
      <c r="AL1735" s="6"/>
    </row>
    <row r="1736" spans="1:38">
      <c r="A1736" s="96"/>
      <c r="B1736" s="6"/>
      <c r="C1736" s="6"/>
      <c r="D1736" s="6"/>
      <c r="E1736" s="6"/>
      <c r="F1736" s="6"/>
      <c r="G1736" s="80"/>
      <c r="H1736" s="6"/>
      <c r="I1736" s="6"/>
      <c r="J1736" s="6"/>
      <c r="K1736" s="8"/>
      <c r="L1736" s="8"/>
      <c r="M1736" s="96"/>
      <c r="N1736" s="6"/>
      <c r="O1736" s="97"/>
      <c r="P1736" s="6"/>
      <c r="Q1736" s="6"/>
      <c r="R1736" s="6"/>
      <c r="S1736" s="6"/>
      <c r="T1736" s="6"/>
      <c r="U1736" s="6"/>
      <c r="V1736" s="6"/>
      <c r="W1736" s="6"/>
      <c r="X1736" s="6"/>
      <c r="Y1736" s="6"/>
      <c r="Z1736" s="6"/>
      <c r="AA1736" s="6"/>
      <c r="AB1736" s="6"/>
      <c r="AC1736" s="6"/>
      <c r="AD1736" s="6"/>
      <c r="AE1736" s="6"/>
      <c r="AF1736" s="6"/>
      <c r="AG1736" s="6"/>
      <c r="AH1736" s="6"/>
      <c r="AI1736" s="6"/>
      <c r="AJ1736" s="6"/>
      <c r="AK1736" s="6"/>
      <c r="AL1736" s="6"/>
    </row>
    <row r="1737" spans="1:38">
      <c r="A1737" s="96"/>
      <c r="B1737" s="6"/>
      <c r="C1737" s="6"/>
      <c r="D1737" s="6"/>
      <c r="E1737" s="6"/>
      <c r="F1737" s="6"/>
      <c r="G1737" s="80"/>
      <c r="H1737" s="6"/>
      <c r="I1737" s="6"/>
      <c r="J1737" s="6"/>
      <c r="K1737" s="8"/>
      <c r="L1737" s="8"/>
      <c r="M1737" s="96"/>
      <c r="N1737" s="6"/>
      <c r="O1737" s="97"/>
      <c r="P1737" s="6"/>
      <c r="Q1737" s="6"/>
      <c r="R1737" s="6"/>
      <c r="S1737" s="6"/>
      <c r="T1737" s="6"/>
      <c r="U1737" s="6"/>
      <c r="V1737" s="6"/>
      <c r="W1737" s="6"/>
      <c r="X1737" s="6"/>
      <c r="Y1737" s="6"/>
      <c r="Z1737" s="6"/>
      <c r="AA1737" s="6"/>
      <c r="AB1737" s="6"/>
      <c r="AC1737" s="6"/>
      <c r="AD1737" s="6"/>
      <c r="AE1737" s="6"/>
      <c r="AF1737" s="6"/>
      <c r="AG1737" s="6"/>
      <c r="AH1737" s="6"/>
      <c r="AI1737" s="6"/>
      <c r="AJ1737" s="6"/>
      <c r="AK1737" s="6"/>
      <c r="AL1737" s="6"/>
    </row>
    <row r="1738" spans="1:38">
      <c r="A1738" s="96"/>
      <c r="B1738" s="6"/>
      <c r="C1738" s="6"/>
      <c r="D1738" s="6"/>
      <c r="E1738" s="6"/>
      <c r="F1738" s="6"/>
      <c r="G1738" s="80"/>
      <c r="H1738" s="6"/>
      <c r="I1738" s="6"/>
      <c r="J1738" s="6"/>
      <c r="K1738" s="8"/>
      <c r="L1738" s="8"/>
      <c r="M1738" s="96"/>
      <c r="N1738" s="6"/>
      <c r="O1738" s="97"/>
      <c r="P1738" s="6"/>
      <c r="Q1738" s="6"/>
      <c r="R1738" s="6"/>
      <c r="S1738" s="6"/>
      <c r="T1738" s="6"/>
      <c r="U1738" s="6"/>
      <c r="V1738" s="6"/>
      <c r="W1738" s="6"/>
      <c r="X1738" s="6"/>
      <c r="Y1738" s="6"/>
      <c r="Z1738" s="6"/>
      <c r="AA1738" s="6"/>
      <c r="AB1738" s="6"/>
      <c r="AC1738" s="6"/>
      <c r="AD1738" s="6"/>
      <c r="AE1738" s="6"/>
      <c r="AF1738" s="6"/>
      <c r="AG1738" s="6"/>
      <c r="AH1738" s="6"/>
      <c r="AI1738" s="6"/>
      <c r="AJ1738" s="6"/>
      <c r="AK1738" s="6"/>
      <c r="AL1738" s="6"/>
    </row>
    <row r="1739" spans="1:38">
      <c r="A1739" s="96"/>
      <c r="B1739" s="6"/>
      <c r="C1739" s="6"/>
      <c r="D1739" s="6"/>
      <c r="E1739" s="6"/>
      <c r="F1739" s="6"/>
      <c r="G1739" s="80"/>
      <c r="H1739" s="6"/>
      <c r="I1739" s="6"/>
      <c r="J1739" s="6"/>
      <c r="K1739" s="8"/>
      <c r="L1739" s="8"/>
      <c r="M1739" s="96"/>
      <c r="N1739" s="6"/>
      <c r="O1739" s="97"/>
      <c r="P1739" s="6"/>
      <c r="Q1739" s="6"/>
      <c r="R1739" s="6"/>
      <c r="S1739" s="6"/>
      <c r="T1739" s="6"/>
      <c r="U1739" s="6"/>
      <c r="V1739" s="6"/>
      <c r="W1739" s="6"/>
      <c r="X1739" s="6"/>
      <c r="Y1739" s="6"/>
      <c r="Z1739" s="6"/>
      <c r="AA1739" s="6"/>
      <c r="AB1739" s="6"/>
      <c r="AC1739" s="6"/>
      <c r="AD1739" s="6"/>
      <c r="AE1739" s="6"/>
      <c r="AF1739" s="6"/>
      <c r="AG1739" s="6"/>
      <c r="AH1739" s="6"/>
      <c r="AI1739" s="6"/>
      <c r="AJ1739" s="6"/>
      <c r="AK1739" s="6"/>
      <c r="AL1739" s="6"/>
    </row>
    <row r="1740" spans="1:38">
      <c r="A1740" s="96"/>
      <c r="B1740" s="6"/>
      <c r="C1740" s="6"/>
      <c r="D1740" s="6"/>
      <c r="E1740" s="6"/>
      <c r="F1740" s="6"/>
      <c r="G1740" s="80"/>
      <c r="H1740" s="6"/>
      <c r="I1740" s="6"/>
      <c r="J1740" s="6"/>
      <c r="K1740" s="8"/>
      <c r="L1740" s="8"/>
      <c r="M1740" s="96"/>
      <c r="N1740" s="6"/>
      <c r="O1740" s="97"/>
      <c r="P1740" s="6"/>
      <c r="Q1740" s="6"/>
      <c r="R1740" s="6"/>
      <c r="S1740" s="6"/>
      <c r="T1740" s="6"/>
      <c r="U1740" s="6"/>
      <c r="V1740" s="6"/>
      <c r="W1740" s="6"/>
      <c r="X1740" s="6"/>
      <c r="Y1740" s="6"/>
      <c r="Z1740" s="6"/>
      <c r="AA1740" s="6"/>
      <c r="AB1740" s="6"/>
      <c r="AC1740" s="6"/>
      <c r="AD1740" s="6"/>
      <c r="AE1740" s="6"/>
      <c r="AF1740" s="6"/>
      <c r="AG1740" s="6"/>
      <c r="AH1740" s="6"/>
      <c r="AI1740" s="6"/>
      <c r="AJ1740" s="6"/>
      <c r="AK1740" s="6"/>
      <c r="AL1740" s="6"/>
    </row>
    <row r="1741" spans="1:38">
      <c r="A1741" s="96"/>
      <c r="B1741" s="6"/>
      <c r="C1741" s="6"/>
      <c r="D1741" s="6"/>
      <c r="E1741" s="6"/>
      <c r="F1741" s="6"/>
      <c r="G1741" s="80"/>
      <c r="H1741" s="6"/>
      <c r="I1741" s="6"/>
      <c r="J1741" s="6"/>
      <c r="K1741" s="8"/>
      <c r="L1741" s="8"/>
      <c r="M1741" s="96"/>
      <c r="N1741" s="6"/>
      <c r="O1741" s="97"/>
      <c r="P1741" s="6"/>
      <c r="Q1741" s="6"/>
      <c r="R1741" s="6"/>
      <c r="S1741" s="6"/>
      <c r="T1741" s="6"/>
      <c r="U1741" s="6"/>
      <c r="V1741" s="6"/>
      <c r="W1741" s="6"/>
      <c r="X1741" s="6"/>
      <c r="Y1741" s="6"/>
      <c r="Z1741" s="6"/>
      <c r="AA1741" s="6"/>
      <c r="AB1741" s="6"/>
      <c r="AC1741" s="6"/>
      <c r="AD1741" s="6"/>
      <c r="AE1741" s="6"/>
      <c r="AF1741" s="6"/>
      <c r="AG1741" s="6"/>
      <c r="AH1741" s="6"/>
      <c r="AI1741" s="6"/>
      <c r="AJ1741" s="6"/>
      <c r="AK1741" s="6"/>
      <c r="AL1741" s="6"/>
    </row>
    <row r="1742" spans="1:38">
      <c r="A1742" s="96"/>
      <c r="B1742" s="6"/>
      <c r="C1742" s="6"/>
      <c r="D1742" s="6"/>
      <c r="E1742" s="6"/>
      <c r="F1742" s="6"/>
      <c r="G1742" s="80"/>
      <c r="H1742" s="6"/>
      <c r="I1742" s="6"/>
      <c r="J1742" s="6"/>
      <c r="K1742" s="8"/>
      <c r="L1742" s="8"/>
      <c r="M1742" s="96"/>
      <c r="N1742" s="6"/>
      <c r="O1742" s="97"/>
      <c r="P1742" s="6"/>
      <c r="Q1742" s="6"/>
      <c r="R1742" s="6"/>
      <c r="S1742" s="6"/>
      <c r="T1742" s="6"/>
      <c r="U1742" s="6"/>
      <c r="V1742" s="6"/>
      <c r="W1742" s="6"/>
      <c r="X1742" s="6"/>
      <c r="Y1742" s="6"/>
      <c r="Z1742" s="6"/>
      <c r="AA1742" s="6"/>
      <c r="AB1742" s="6"/>
      <c r="AC1742" s="6"/>
      <c r="AD1742" s="6"/>
      <c r="AE1742" s="6"/>
      <c r="AF1742" s="6"/>
      <c r="AG1742" s="6"/>
      <c r="AH1742" s="6"/>
      <c r="AI1742" s="6"/>
      <c r="AJ1742" s="6"/>
      <c r="AK1742" s="6"/>
      <c r="AL1742" s="6"/>
    </row>
    <row r="1743" spans="1:38">
      <c r="A1743" s="96"/>
      <c r="B1743" s="6"/>
      <c r="C1743" s="6"/>
      <c r="D1743" s="6"/>
      <c r="E1743" s="6"/>
      <c r="F1743" s="6"/>
      <c r="G1743" s="80"/>
      <c r="H1743" s="6"/>
      <c r="I1743" s="6"/>
      <c r="J1743" s="6"/>
      <c r="K1743" s="8"/>
      <c r="L1743" s="8"/>
      <c r="M1743" s="96"/>
      <c r="N1743" s="6"/>
      <c r="O1743" s="97"/>
      <c r="P1743" s="6"/>
      <c r="Q1743" s="6"/>
      <c r="R1743" s="6"/>
      <c r="S1743" s="6"/>
      <c r="T1743" s="6"/>
      <c r="U1743" s="6"/>
      <c r="V1743" s="6"/>
      <c r="W1743" s="6"/>
      <c r="X1743" s="6"/>
      <c r="Y1743" s="6"/>
      <c r="Z1743" s="6"/>
      <c r="AA1743" s="6"/>
      <c r="AB1743" s="6"/>
      <c r="AC1743" s="6"/>
      <c r="AD1743" s="6"/>
      <c r="AE1743" s="6"/>
      <c r="AF1743" s="6"/>
      <c r="AG1743" s="6"/>
      <c r="AH1743" s="6"/>
      <c r="AI1743" s="6"/>
      <c r="AJ1743" s="6"/>
      <c r="AK1743" s="6"/>
      <c r="AL1743" s="6"/>
    </row>
    <row r="1744" spans="1:38">
      <c r="A1744" s="96"/>
      <c r="B1744" s="6"/>
      <c r="C1744" s="6"/>
      <c r="D1744" s="6"/>
      <c r="E1744" s="6"/>
      <c r="F1744" s="6"/>
      <c r="G1744" s="80"/>
      <c r="H1744" s="6"/>
      <c r="I1744" s="6"/>
      <c r="J1744" s="6"/>
      <c r="K1744" s="8"/>
      <c r="L1744" s="8"/>
      <c r="M1744" s="96"/>
      <c r="N1744" s="6"/>
      <c r="O1744" s="97"/>
      <c r="P1744" s="6"/>
      <c r="Q1744" s="6"/>
      <c r="R1744" s="6"/>
      <c r="S1744" s="6"/>
      <c r="T1744" s="6"/>
      <c r="U1744" s="6"/>
      <c r="V1744" s="6"/>
      <c r="W1744" s="6"/>
      <c r="X1744" s="6"/>
      <c r="Y1744" s="6"/>
      <c r="Z1744" s="6"/>
      <c r="AA1744" s="6"/>
      <c r="AB1744" s="6"/>
      <c r="AC1744" s="6"/>
      <c r="AD1744" s="6"/>
      <c r="AE1744" s="6"/>
      <c r="AF1744" s="6"/>
      <c r="AG1744" s="6"/>
      <c r="AH1744" s="6"/>
      <c r="AI1744" s="6"/>
      <c r="AJ1744" s="6"/>
      <c r="AK1744" s="6"/>
      <c r="AL1744" s="6"/>
    </row>
    <row r="1745" spans="1:38">
      <c r="A1745" s="96"/>
      <c r="B1745" s="6"/>
      <c r="C1745" s="6"/>
      <c r="D1745" s="6"/>
      <c r="E1745" s="6"/>
      <c r="F1745" s="6"/>
      <c r="G1745" s="80"/>
      <c r="H1745" s="6"/>
      <c r="I1745" s="6"/>
      <c r="J1745" s="6"/>
      <c r="K1745" s="8"/>
      <c r="L1745" s="8"/>
      <c r="M1745" s="96"/>
      <c r="N1745" s="6"/>
      <c r="O1745" s="97"/>
      <c r="P1745" s="6"/>
      <c r="Q1745" s="6"/>
      <c r="R1745" s="6"/>
      <c r="S1745" s="6"/>
      <c r="T1745" s="6"/>
      <c r="U1745" s="6"/>
      <c r="V1745" s="6"/>
      <c r="W1745" s="6"/>
      <c r="X1745" s="6"/>
      <c r="Y1745" s="6"/>
      <c r="Z1745" s="6"/>
      <c r="AA1745" s="6"/>
      <c r="AB1745" s="6"/>
      <c r="AC1745" s="6"/>
      <c r="AD1745" s="6"/>
      <c r="AE1745" s="6"/>
      <c r="AF1745" s="6"/>
      <c r="AG1745" s="6"/>
      <c r="AH1745" s="6"/>
      <c r="AI1745" s="6"/>
      <c r="AJ1745" s="6"/>
      <c r="AK1745" s="6"/>
      <c r="AL1745" s="6"/>
    </row>
    <row r="1746" spans="1:38">
      <c r="A1746" s="96"/>
      <c r="B1746" s="6"/>
      <c r="C1746" s="6"/>
      <c r="D1746" s="6"/>
      <c r="E1746" s="6"/>
      <c r="F1746" s="6"/>
      <c r="G1746" s="80"/>
      <c r="H1746" s="6"/>
      <c r="I1746" s="6"/>
      <c r="J1746" s="6"/>
      <c r="K1746" s="8"/>
      <c r="L1746" s="8"/>
      <c r="M1746" s="96"/>
      <c r="N1746" s="6"/>
      <c r="O1746" s="97"/>
      <c r="P1746" s="6"/>
      <c r="Q1746" s="6"/>
      <c r="R1746" s="6"/>
      <c r="S1746" s="6"/>
      <c r="T1746" s="6"/>
      <c r="U1746" s="6"/>
      <c r="V1746" s="6"/>
      <c r="W1746" s="6"/>
      <c r="X1746" s="6"/>
      <c r="Y1746" s="6"/>
      <c r="Z1746" s="6"/>
      <c r="AA1746" s="6"/>
      <c r="AB1746" s="6"/>
      <c r="AC1746" s="6"/>
      <c r="AD1746" s="6"/>
      <c r="AE1746" s="6"/>
      <c r="AF1746" s="6"/>
      <c r="AG1746" s="6"/>
      <c r="AH1746" s="6"/>
      <c r="AI1746" s="6"/>
      <c r="AJ1746" s="6"/>
      <c r="AK1746" s="6"/>
      <c r="AL1746" s="6"/>
    </row>
    <row r="1747" spans="1:38">
      <c r="A1747" s="96"/>
      <c r="B1747" s="6"/>
      <c r="C1747" s="6"/>
      <c r="D1747" s="6"/>
      <c r="E1747" s="6"/>
      <c r="F1747" s="6"/>
      <c r="G1747" s="80"/>
      <c r="H1747" s="6"/>
      <c r="I1747" s="6"/>
      <c r="J1747" s="6"/>
      <c r="K1747" s="8"/>
      <c r="L1747" s="8"/>
      <c r="M1747" s="96"/>
      <c r="N1747" s="6"/>
      <c r="O1747" s="97"/>
      <c r="P1747" s="6"/>
      <c r="Q1747" s="6"/>
      <c r="R1747" s="6"/>
      <c r="S1747" s="6"/>
      <c r="T1747" s="6"/>
      <c r="U1747" s="6"/>
      <c r="V1747" s="6"/>
      <c r="W1747" s="6"/>
      <c r="X1747" s="6"/>
      <c r="Y1747" s="6"/>
      <c r="Z1747" s="6"/>
      <c r="AA1747" s="6"/>
      <c r="AB1747" s="6"/>
      <c r="AC1747" s="6"/>
      <c r="AD1747" s="6"/>
      <c r="AE1747" s="6"/>
      <c r="AF1747" s="6"/>
      <c r="AG1747" s="6"/>
      <c r="AH1747" s="6"/>
      <c r="AI1747" s="6"/>
      <c r="AJ1747" s="6"/>
      <c r="AK1747" s="6"/>
      <c r="AL1747" s="6"/>
    </row>
    <row r="1748" spans="1:38">
      <c r="A1748" s="96"/>
      <c r="B1748" s="6"/>
      <c r="C1748" s="6"/>
      <c r="D1748" s="6"/>
      <c r="E1748" s="6"/>
      <c r="F1748" s="6"/>
      <c r="G1748" s="80"/>
      <c r="H1748" s="6"/>
      <c r="I1748" s="6"/>
      <c r="J1748" s="6"/>
      <c r="K1748" s="8"/>
      <c r="L1748" s="8"/>
      <c r="M1748" s="96"/>
      <c r="N1748" s="6"/>
      <c r="O1748" s="97"/>
      <c r="P1748" s="6"/>
      <c r="Q1748" s="6"/>
      <c r="R1748" s="6"/>
      <c r="S1748" s="6"/>
      <c r="T1748" s="6"/>
      <c r="U1748" s="6"/>
      <c r="V1748" s="6"/>
      <c r="W1748" s="6"/>
      <c r="X1748" s="6"/>
      <c r="Y1748" s="6"/>
      <c r="Z1748" s="6"/>
      <c r="AA1748" s="6"/>
      <c r="AB1748" s="6"/>
      <c r="AC1748" s="6"/>
      <c r="AD1748" s="6"/>
      <c r="AE1748" s="6"/>
      <c r="AF1748" s="6"/>
      <c r="AG1748" s="6"/>
      <c r="AH1748" s="6"/>
      <c r="AI1748" s="6"/>
      <c r="AJ1748" s="6"/>
      <c r="AK1748" s="6"/>
      <c r="AL1748" s="6"/>
    </row>
    <row r="1749" spans="1:38">
      <c r="A1749" s="96"/>
      <c r="B1749" s="6"/>
      <c r="C1749" s="6"/>
      <c r="D1749" s="6"/>
      <c r="E1749" s="6"/>
      <c r="F1749" s="6"/>
      <c r="G1749" s="80"/>
      <c r="H1749" s="6"/>
      <c r="I1749" s="6"/>
      <c r="J1749" s="6"/>
      <c r="K1749" s="8"/>
      <c r="L1749" s="8"/>
      <c r="M1749" s="96"/>
      <c r="N1749" s="6"/>
      <c r="O1749" s="97"/>
      <c r="P1749" s="6"/>
      <c r="Q1749" s="6"/>
      <c r="R1749" s="6"/>
      <c r="S1749" s="6"/>
      <c r="T1749" s="6"/>
      <c r="U1749" s="6"/>
      <c r="V1749" s="6"/>
      <c r="W1749" s="6"/>
      <c r="X1749" s="6"/>
      <c r="Y1749" s="6"/>
      <c r="Z1749" s="6"/>
      <c r="AA1749" s="6"/>
      <c r="AB1749" s="6"/>
      <c r="AC1749" s="6"/>
      <c r="AD1749" s="6"/>
      <c r="AE1749" s="6"/>
      <c r="AF1749" s="6"/>
      <c r="AG1749" s="6"/>
      <c r="AH1749" s="6"/>
      <c r="AI1749" s="6"/>
      <c r="AJ1749" s="6"/>
      <c r="AK1749" s="6"/>
      <c r="AL1749" s="6"/>
    </row>
    <row r="1750" spans="1:38">
      <c r="A1750" s="96"/>
      <c r="B1750" s="6"/>
      <c r="C1750" s="6"/>
      <c r="D1750" s="6"/>
      <c r="E1750" s="6"/>
      <c r="F1750" s="6"/>
      <c r="G1750" s="80"/>
      <c r="H1750" s="6"/>
      <c r="I1750" s="6"/>
      <c r="J1750" s="6"/>
      <c r="K1750" s="8"/>
      <c r="L1750" s="8"/>
      <c r="M1750" s="96"/>
      <c r="N1750" s="6"/>
      <c r="O1750" s="97"/>
      <c r="P1750" s="6"/>
      <c r="Q1750" s="6"/>
      <c r="R1750" s="6"/>
      <c r="S1750" s="6"/>
      <c r="T1750" s="6"/>
      <c r="U1750" s="6"/>
      <c r="V1750" s="6"/>
      <c r="W1750" s="6"/>
      <c r="X1750" s="6"/>
      <c r="Y1750" s="6"/>
      <c r="Z1750" s="6"/>
      <c r="AA1750" s="6"/>
      <c r="AB1750" s="6"/>
      <c r="AC1750" s="6"/>
      <c r="AD1750" s="6"/>
      <c r="AE1750" s="6"/>
      <c r="AF1750" s="6"/>
      <c r="AG1750" s="6"/>
      <c r="AH1750" s="6"/>
      <c r="AI1750" s="6"/>
      <c r="AJ1750" s="6"/>
      <c r="AK1750" s="6"/>
      <c r="AL1750" s="6"/>
    </row>
    <row r="1751" spans="1:38">
      <c r="A1751" s="96"/>
      <c r="B1751" s="6"/>
      <c r="C1751" s="6"/>
      <c r="D1751" s="6"/>
      <c r="E1751" s="6"/>
      <c r="F1751" s="6"/>
      <c r="G1751" s="80"/>
      <c r="H1751" s="6"/>
      <c r="I1751" s="6"/>
      <c r="J1751" s="6"/>
      <c r="K1751" s="8"/>
      <c r="L1751" s="8"/>
      <c r="M1751" s="96"/>
      <c r="N1751" s="6"/>
      <c r="O1751" s="97"/>
      <c r="P1751" s="6"/>
      <c r="Q1751" s="6"/>
      <c r="R1751" s="6"/>
      <c r="S1751" s="6"/>
      <c r="T1751" s="6"/>
      <c r="U1751" s="6"/>
      <c r="V1751" s="6"/>
      <c r="W1751" s="6"/>
      <c r="X1751" s="6"/>
      <c r="Y1751" s="6"/>
      <c r="Z1751" s="6"/>
      <c r="AA1751" s="6"/>
      <c r="AB1751" s="6"/>
      <c r="AC1751" s="6"/>
      <c r="AD1751" s="6"/>
      <c r="AE1751" s="6"/>
      <c r="AF1751" s="6"/>
      <c r="AG1751" s="6"/>
      <c r="AH1751" s="6"/>
      <c r="AI1751" s="6"/>
      <c r="AJ1751" s="6"/>
      <c r="AK1751" s="6"/>
      <c r="AL1751" s="6"/>
    </row>
    <row r="1752" spans="1:38">
      <c r="A1752" s="96"/>
      <c r="B1752" s="6"/>
      <c r="C1752" s="6"/>
      <c r="D1752" s="6"/>
      <c r="E1752" s="6"/>
      <c r="F1752" s="6"/>
      <c r="G1752" s="80"/>
      <c r="H1752" s="6"/>
      <c r="I1752" s="6"/>
      <c r="J1752" s="6"/>
      <c r="K1752" s="8"/>
      <c r="L1752" s="8"/>
      <c r="M1752" s="96"/>
      <c r="N1752" s="6"/>
      <c r="O1752" s="97"/>
      <c r="P1752" s="6"/>
      <c r="Q1752" s="6"/>
      <c r="R1752" s="6"/>
      <c r="S1752" s="6"/>
      <c r="T1752" s="6"/>
      <c r="U1752" s="6"/>
      <c r="V1752" s="6"/>
      <c r="W1752" s="6"/>
      <c r="X1752" s="6"/>
      <c r="Y1752" s="6"/>
      <c r="Z1752" s="6"/>
      <c r="AA1752" s="6"/>
      <c r="AB1752" s="6"/>
      <c r="AC1752" s="6"/>
      <c r="AD1752" s="6"/>
      <c r="AE1752" s="6"/>
      <c r="AF1752" s="6"/>
      <c r="AG1752" s="6"/>
      <c r="AH1752" s="6"/>
      <c r="AI1752" s="6"/>
      <c r="AJ1752" s="6"/>
      <c r="AK1752" s="6"/>
      <c r="AL1752" s="6"/>
    </row>
    <row r="1753" spans="1:38">
      <c r="A1753" s="96"/>
      <c r="B1753" s="6"/>
      <c r="C1753" s="6"/>
      <c r="D1753" s="6"/>
      <c r="E1753" s="6"/>
      <c r="F1753" s="6"/>
      <c r="G1753" s="80"/>
      <c r="H1753" s="6"/>
      <c r="I1753" s="6"/>
      <c r="J1753" s="6"/>
      <c r="K1753" s="8"/>
      <c r="L1753" s="8"/>
      <c r="M1753" s="96"/>
      <c r="N1753" s="6"/>
      <c r="O1753" s="97"/>
      <c r="P1753" s="6"/>
      <c r="Q1753" s="6"/>
      <c r="R1753" s="6"/>
      <c r="S1753" s="6"/>
      <c r="T1753" s="6"/>
      <c r="U1753" s="6"/>
      <c r="V1753" s="6"/>
      <c r="W1753" s="6"/>
      <c r="X1753" s="6"/>
      <c r="Y1753" s="6"/>
      <c r="Z1753" s="6"/>
      <c r="AA1753" s="6"/>
      <c r="AB1753" s="6"/>
      <c r="AC1753" s="6"/>
      <c r="AD1753" s="6"/>
      <c r="AE1753" s="6"/>
      <c r="AF1753" s="6"/>
      <c r="AG1753" s="6"/>
      <c r="AH1753" s="6"/>
      <c r="AI1753" s="6"/>
      <c r="AJ1753" s="6"/>
      <c r="AK1753" s="6"/>
      <c r="AL1753" s="6"/>
    </row>
    <row r="1754" spans="1:38">
      <c r="A1754" s="96"/>
      <c r="B1754" s="6"/>
      <c r="C1754" s="6"/>
      <c r="D1754" s="6"/>
      <c r="E1754" s="6"/>
      <c r="F1754" s="6"/>
      <c r="G1754" s="80"/>
      <c r="H1754" s="6"/>
      <c r="I1754" s="6"/>
      <c r="J1754" s="6"/>
      <c r="K1754" s="8"/>
      <c r="L1754" s="8"/>
      <c r="M1754" s="96"/>
      <c r="N1754" s="6"/>
      <c r="O1754" s="97"/>
      <c r="P1754" s="6"/>
      <c r="Q1754" s="6"/>
      <c r="R1754" s="6"/>
      <c r="S1754" s="6"/>
      <c r="T1754" s="6"/>
      <c r="U1754" s="6"/>
      <c r="V1754" s="6"/>
      <c r="W1754" s="6"/>
      <c r="X1754" s="6"/>
      <c r="Y1754" s="6"/>
      <c r="Z1754" s="6"/>
      <c r="AA1754" s="6"/>
      <c r="AB1754" s="6"/>
      <c r="AC1754" s="6"/>
      <c r="AD1754" s="6"/>
      <c r="AE1754" s="6"/>
      <c r="AF1754" s="6"/>
      <c r="AG1754" s="6"/>
      <c r="AH1754" s="6"/>
      <c r="AI1754" s="6"/>
      <c r="AJ1754" s="6"/>
      <c r="AK1754" s="6"/>
      <c r="AL1754" s="6"/>
    </row>
    <row r="1755" spans="1:38">
      <c r="A1755" s="96"/>
      <c r="B1755" s="6"/>
      <c r="C1755" s="6"/>
      <c r="D1755" s="6"/>
      <c r="E1755" s="6"/>
      <c r="F1755" s="6"/>
      <c r="G1755" s="80"/>
      <c r="H1755" s="6"/>
      <c r="I1755" s="6"/>
      <c r="J1755" s="6"/>
      <c r="K1755" s="8"/>
      <c r="L1755" s="8"/>
      <c r="M1755" s="96"/>
      <c r="N1755" s="6"/>
      <c r="O1755" s="97"/>
      <c r="P1755" s="6"/>
      <c r="Q1755" s="6"/>
      <c r="R1755" s="6"/>
      <c r="S1755" s="6"/>
      <c r="T1755" s="6"/>
      <c r="U1755" s="6"/>
      <c r="V1755" s="6"/>
      <c r="W1755" s="6"/>
      <c r="X1755" s="6"/>
      <c r="Y1755" s="6"/>
      <c r="Z1755" s="6"/>
      <c r="AA1755" s="6"/>
      <c r="AB1755" s="6"/>
      <c r="AC1755" s="6"/>
      <c r="AD1755" s="6"/>
      <c r="AE1755" s="6"/>
      <c r="AF1755" s="6"/>
      <c r="AG1755" s="6"/>
      <c r="AH1755" s="6"/>
      <c r="AI1755" s="6"/>
      <c r="AJ1755" s="6"/>
      <c r="AK1755" s="6"/>
      <c r="AL1755" s="6"/>
    </row>
    <row r="1756" spans="1:38">
      <c r="A1756" s="96"/>
      <c r="B1756" s="6"/>
      <c r="C1756" s="6"/>
      <c r="D1756" s="6"/>
      <c r="E1756" s="6"/>
      <c r="F1756" s="6"/>
      <c r="G1756" s="80"/>
      <c r="H1756" s="6"/>
      <c r="I1756" s="6"/>
      <c r="J1756" s="6"/>
      <c r="K1756" s="8"/>
      <c r="L1756" s="8"/>
      <c r="M1756" s="96"/>
      <c r="N1756" s="6"/>
      <c r="O1756" s="97"/>
      <c r="P1756" s="6"/>
      <c r="Q1756" s="6"/>
      <c r="R1756" s="6"/>
      <c r="S1756" s="6"/>
      <c r="T1756" s="6"/>
      <c r="U1756" s="6"/>
      <c r="V1756" s="6"/>
      <c r="W1756" s="6"/>
      <c r="X1756" s="6"/>
      <c r="Y1756" s="6"/>
      <c r="Z1756" s="6"/>
      <c r="AA1756" s="6"/>
      <c r="AB1756" s="6"/>
      <c r="AC1756" s="6"/>
      <c r="AD1756" s="6"/>
      <c r="AE1756" s="6"/>
      <c r="AF1756" s="6"/>
      <c r="AG1756" s="6"/>
      <c r="AH1756" s="6"/>
      <c r="AI1756" s="6"/>
      <c r="AJ1756" s="6"/>
      <c r="AK1756" s="6"/>
      <c r="AL1756" s="6"/>
    </row>
    <row r="1757" spans="1:38">
      <c r="A1757" s="96"/>
      <c r="B1757" s="6"/>
      <c r="C1757" s="6"/>
      <c r="D1757" s="6"/>
      <c r="E1757" s="6"/>
      <c r="F1757" s="6"/>
      <c r="G1757" s="80"/>
      <c r="H1757" s="6"/>
      <c r="I1757" s="6"/>
      <c r="J1757" s="6"/>
      <c r="K1757" s="8"/>
      <c r="L1757" s="8"/>
      <c r="M1757" s="96"/>
      <c r="N1757" s="6"/>
      <c r="O1757" s="97"/>
      <c r="P1757" s="6"/>
      <c r="Q1757" s="6"/>
      <c r="R1757" s="6"/>
      <c r="S1757" s="6"/>
      <c r="T1757" s="6"/>
      <c r="U1757" s="6"/>
      <c r="V1757" s="6"/>
      <c r="W1757" s="6"/>
      <c r="X1757" s="6"/>
      <c r="Y1757" s="6"/>
      <c r="Z1757" s="6"/>
      <c r="AA1757" s="6"/>
      <c r="AB1757" s="6"/>
      <c r="AC1757" s="6"/>
      <c r="AD1757" s="6"/>
      <c r="AE1757" s="6"/>
      <c r="AF1757" s="6"/>
      <c r="AG1757" s="6"/>
      <c r="AH1757" s="6"/>
      <c r="AI1757" s="6"/>
      <c r="AJ1757" s="6"/>
      <c r="AK1757" s="6"/>
      <c r="AL1757" s="6"/>
    </row>
    <row r="1758" spans="1:38">
      <c r="A1758" s="96"/>
      <c r="B1758" s="6"/>
      <c r="C1758" s="6"/>
      <c r="D1758" s="6"/>
      <c r="E1758" s="6"/>
      <c r="F1758" s="6"/>
      <c r="G1758" s="80"/>
      <c r="H1758" s="6"/>
      <c r="I1758" s="6"/>
      <c r="J1758" s="6"/>
      <c r="K1758" s="8"/>
      <c r="L1758" s="8"/>
      <c r="M1758" s="96"/>
      <c r="N1758" s="6"/>
      <c r="O1758" s="97"/>
      <c r="P1758" s="6"/>
      <c r="Q1758" s="6"/>
      <c r="R1758" s="6"/>
      <c r="S1758" s="6"/>
      <c r="T1758" s="6"/>
      <c r="U1758" s="6"/>
      <c r="V1758" s="6"/>
      <c r="W1758" s="6"/>
      <c r="X1758" s="6"/>
      <c r="Y1758" s="6"/>
      <c r="Z1758" s="6"/>
      <c r="AA1758" s="6"/>
      <c r="AB1758" s="6"/>
      <c r="AC1758" s="6"/>
      <c r="AD1758" s="6"/>
      <c r="AE1758" s="6"/>
      <c r="AF1758" s="6"/>
      <c r="AG1758" s="6"/>
      <c r="AH1758" s="6"/>
      <c r="AI1758" s="6"/>
      <c r="AJ1758" s="6"/>
      <c r="AK1758" s="6"/>
      <c r="AL1758" s="6"/>
    </row>
    <row r="1759" spans="1:38">
      <c r="A1759" s="96"/>
      <c r="B1759" s="6"/>
      <c r="C1759" s="6"/>
      <c r="D1759" s="6"/>
      <c r="E1759" s="6"/>
      <c r="F1759" s="6"/>
      <c r="G1759" s="80"/>
      <c r="H1759" s="6"/>
      <c r="I1759" s="6"/>
      <c r="J1759" s="6"/>
      <c r="K1759" s="8"/>
      <c r="L1759" s="8"/>
      <c r="M1759" s="96"/>
      <c r="N1759" s="6"/>
      <c r="O1759" s="97"/>
      <c r="P1759" s="6"/>
      <c r="Q1759" s="6"/>
      <c r="R1759" s="6"/>
      <c r="S1759" s="6"/>
      <c r="T1759" s="6"/>
      <c r="U1759" s="6"/>
      <c r="V1759" s="6"/>
      <c r="W1759" s="6"/>
      <c r="X1759" s="6"/>
      <c r="Y1759" s="6"/>
      <c r="Z1759" s="6"/>
      <c r="AA1759" s="6"/>
      <c r="AB1759" s="6"/>
      <c r="AC1759" s="6"/>
      <c r="AD1759" s="6"/>
      <c r="AE1759" s="6"/>
      <c r="AF1759" s="6"/>
      <c r="AG1759" s="6"/>
      <c r="AH1759" s="6"/>
      <c r="AI1759" s="6"/>
      <c r="AJ1759" s="6"/>
      <c r="AK1759" s="6"/>
      <c r="AL1759" s="6"/>
    </row>
    <row r="1760" spans="1:38">
      <c r="A1760" s="96"/>
      <c r="B1760" s="6"/>
      <c r="C1760" s="6"/>
      <c r="D1760" s="6"/>
      <c r="E1760" s="6"/>
      <c r="F1760" s="6"/>
      <c r="G1760" s="80"/>
      <c r="H1760" s="6"/>
      <c r="I1760" s="6"/>
      <c r="J1760" s="6"/>
      <c r="K1760" s="8"/>
      <c r="L1760" s="8"/>
      <c r="M1760" s="96"/>
      <c r="N1760" s="6"/>
      <c r="O1760" s="97"/>
      <c r="P1760" s="6"/>
      <c r="Q1760" s="6"/>
      <c r="R1760" s="6"/>
      <c r="S1760" s="6"/>
      <c r="T1760" s="6"/>
      <c r="U1760" s="6"/>
      <c r="V1760" s="6"/>
      <c r="W1760" s="6"/>
      <c r="X1760" s="6"/>
      <c r="Y1760" s="6"/>
      <c r="Z1760" s="6"/>
      <c r="AA1760" s="6"/>
      <c r="AB1760" s="6"/>
      <c r="AC1760" s="6"/>
      <c r="AD1760" s="6"/>
      <c r="AE1760" s="6"/>
      <c r="AF1760" s="6"/>
      <c r="AG1760" s="6"/>
      <c r="AH1760" s="6"/>
      <c r="AI1760" s="6"/>
      <c r="AJ1760" s="6"/>
      <c r="AK1760" s="6"/>
      <c r="AL1760" s="6"/>
    </row>
    <row r="1761" spans="1:38">
      <c r="A1761" s="96"/>
      <c r="B1761" s="6"/>
      <c r="C1761" s="6"/>
      <c r="D1761" s="6"/>
      <c r="E1761" s="6"/>
      <c r="F1761" s="6"/>
      <c r="G1761" s="80"/>
      <c r="H1761" s="6"/>
      <c r="I1761" s="6"/>
      <c r="J1761" s="6"/>
      <c r="K1761" s="8"/>
      <c r="L1761" s="8"/>
      <c r="M1761" s="96"/>
      <c r="N1761" s="6"/>
      <c r="O1761" s="97"/>
      <c r="P1761" s="6"/>
      <c r="Q1761" s="6"/>
      <c r="R1761" s="6"/>
      <c r="S1761" s="6"/>
      <c r="T1761" s="6"/>
      <c r="U1761" s="6"/>
      <c r="V1761" s="6"/>
      <c r="W1761" s="6"/>
      <c r="X1761" s="6"/>
      <c r="Y1761" s="6"/>
      <c r="Z1761" s="6"/>
      <c r="AA1761" s="6"/>
      <c r="AB1761" s="6"/>
      <c r="AC1761" s="6"/>
      <c r="AD1761" s="6"/>
      <c r="AE1761" s="6"/>
      <c r="AF1761" s="6"/>
      <c r="AG1761" s="6"/>
      <c r="AH1761" s="6"/>
      <c r="AI1761" s="6"/>
      <c r="AJ1761" s="6"/>
      <c r="AK1761" s="6"/>
      <c r="AL1761" s="6"/>
    </row>
    <row r="1762" spans="1:38">
      <c r="A1762" s="96"/>
      <c r="B1762" s="6"/>
      <c r="C1762" s="6"/>
      <c r="D1762" s="6"/>
      <c r="E1762" s="6"/>
      <c r="F1762" s="6"/>
      <c r="G1762" s="80"/>
      <c r="H1762" s="6"/>
      <c r="I1762" s="6"/>
      <c r="J1762" s="6"/>
      <c r="K1762" s="8"/>
      <c r="L1762" s="8"/>
      <c r="M1762" s="96"/>
      <c r="N1762" s="6"/>
      <c r="O1762" s="97"/>
      <c r="P1762" s="6"/>
      <c r="Q1762" s="6"/>
      <c r="R1762" s="6"/>
      <c r="S1762" s="6"/>
      <c r="T1762" s="6"/>
      <c r="U1762" s="6"/>
      <c r="V1762" s="6"/>
      <c r="W1762" s="6"/>
      <c r="X1762" s="6"/>
      <c r="Y1762" s="6"/>
      <c r="Z1762" s="6"/>
      <c r="AA1762" s="6"/>
      <c r="AB1762" s="6"/>
      <c r="AC1762" s="6"/>
      <c r="AD1762" s="6"/>
      <c r="AE1762" s="6"/>
      <c r="AF1762" s="6"/>
      <c r="AG1762" s="6"/>
      <c r="AH1762" s="6"/>
      <c r="AI1762" s="6"/>
      <c r="AJ1762" s="6"/>
      <c r="AK1762" s="6"/>
      <c r="AL1762" s="6"/>
    </row>
    <row r="1763" spans="1:38">
      <c r="A1763" s="96"/>
      <c r="B1763" s="6"/>
      <c r="C1763" s="6"/>
      <c r="D1763" s="6"/>
      <c r="E1763" s="6"/>
      <c r="F1763" s="6"/>
      <c r="G1763" s="80"/>
      <c r="H1763" s="6"/>
      <c r="I1763" s="6"/>
      <c r="J1763" s="6"/>
      <c r="K1763" s="8"/>
      <c r="L1763" s="8"/>
      <c r="M1763" s="96"/>
      <c r="N1763" s="6"/>
      <c r="O1763" s="97"/>
      <c r="P1763" s="6"/>
      <c r="Q1763" s="6"/>
      <c r="R1763" s="6"/>
      <c r="S1763" s="6"/>
      <c r="T1763" s="6"/>
      <c r="U1763" s="6"/>
      <c r="V1763" s="6"/>
      <c r="W1763" s="6"/>
      <c r="X1763" s="6"/>
      <c r="Y1763" s="6"/>
      <c r="Z1763" s="6"/>
      <c r="AA1763" s="6"/>
      <c r="AB1763" s="6"/>
      <c r="AC1763" s="6"/>
      <c r="AD1763" s="6"/>
      <c r="AE1763" s="6"/>
      <c r="AF1763" s="6"/>
      <c r="AG1763" s="6"/>
      <c r="AH1763" s="6"/>
      <c r="AI1763" s="6"/>
      <c r="AJ1763" s="6"/>
      <c r="AK1763" s="6"/>
      <c r="AL1763" s="6"/>
    </row>
    <row r="1764" spans="1:38">
      <c r="A1764" s="96"/>
      <c r="B1764" s="6"/>
      <c r="C1764" s="6"/>
      <c r="D1764" s="6"/>
      <c r="E1764" s="6"/>
      <c r="F1764" s="6"/>
      <c r="G1764" s="80"/>
      <c r="H1764" s="6"/>
      <c r="I1764" s="6"/>
      <c r="J1764" s="6"/>
      <c r="K1764" s="8"/>
      <c r="L1764" s="8"/>
      <c r="M1764" s="96"/>
      <c r="N1764" s="6"/>
      <c r="O1764" s="97"/>
      <c r="P1764" s="6"/>
      <c r="Q1764" s="6"/>
      <c r="R1764" s="6"/>
      <c r="S1764" s="6"/>
      <c r="T1764" s="6"/>
      <c r="U1764" s="6"/>
      <c r="V1764" s="6"/>
      <c r="W1764" s="6"/>
      <c r="X1764" s="6"/>
      <c r="Y1764" s="6"/>
      <c r="Z1764" s="6"/>
      <c r="AA1764" s="6"/>
      <c r="AB1764" s="6"/>
      <c r="AC1764" s="6"/>
      <c r="AD1764" s="6"/>
      <c r="AE1764" s="6"/>
      <c r="AF1764" s="6"/>
      <c r="AG1764" s="6"/>
      <c r="AH1764" s="6"/>
      <c r="AI1764" s="6"/>
      <c r="AJ1764" s="6"/>
      <c r="AK1764" s="6"/>
      <c r="AL1764" s="6"/>
    </row>
    <row r="1765" spans="1:38">
      <c r="A1765" s="96"/>
      <c r="B1765" s="6"/>
      <c r="C1765" s="6"/>
      <c r="D1765" s="6"/>
      <c r="E1765" s="6"/>
      <c r="F1765" s="6"/>
      <c r="G1765" s="80"/>
      <c r="H1765" s="6"/>
      <c r="I1765" s="6"/>
      <c r="J1765" s="6"/>
      <c r="K1765" s="8"/>
      <c r="L1765" s="8"/>
      <c r="M1765" s="96"/>
      <c r="N1765" s="6"/>
      <c r="O1765" s="97"/>
      <c r="P1765" s="6"/>
      <c r="Q1765" s="6"/>
      <c r="R1765" s="6"/>
      <c r="S1765" s="6"/>
      <c r="T1765" s="6"/>
      <c r="U1765" s="6"/>
      <c r="V1765" s="6"/>
      <c r="W1765" s="6"/>
      <c r="X1765" s="6"/>
      <c r="Y1765" s="6"/>
      <c r="Z1765" s="6"/>
      <c r="AA1765" s="6"/>
      <c r="AB1765" s="6"/>
      <c r="AC1765" s="6"/>
      <c r="AD1765" s="6"/>
      <c r="AE1765" s="6"/>
      <c r="AF1765" s="6"/>
      <c r="AG1765" s="6"/>
      <c r="AH1765" s="6"/>
      <c r="AI1765" s="6"/>
      <c r="AJ1765" s="6"/>
      <c r="AK1765" s="6"/>
      <c r="AL1765" s="6"/>
    </row>
    <row r="1766" spans="1:38">
      <c r="A1766" s="96"/>
      <c r="B1766" s="6"/>
      <c r="C1766" s="6"/>
      <c r="D1766" s="6"/>
      <c r="E1766" s="6"/>
      <c r="F1766" s="6"/>
      <c r="G1766" s="80"/>
      <c r="H1766" s="6"/>
      <c r="I1766" s="6"/>
      <c r="J1766" s="6"/>
      <c r="K1766" s="8"/>
      <c r="L1766" s="8"/>
      <c r="M1766" s="96"/>
      <c r="N1766" s="6"/>
      <c r="O1766" s="97"/>
      <c r="P1766" s="6"/>
      <c r="Q1766" s="6"/>
      <c r="R1766" s="6"/>
      <c r="S1766" s="6"/>
      <c r="T1766" s="6"/>
      <c r="U1766" s="6"/>
      <c r="V1766" s="6"/>
      <c r="W1766" s="6"/>
      <c r="X1766" s="6"/>
      <c r="Y1766" s="6"/>
      <c r="Z1766" s="6"/>
      <c r="AA1766" s="6"/>
      <c r="AB1766" s="6"/>
      <c r="AC1766" s="6"/>
      <c r="AD1766" s="6"/>
      <c r="AE1766" s="6"/>
      <c r="AF1766" s="6"/>
      <c r="AG1766" s="6"/>
      <c r="AH1766" s="6"/>
      <c r="AI1766" s="6"/>
      <c r="AJ1766" s="6"/>
      <c r="AK1766" s="6"/>
      <c r="AL1766" s="6"/>
    </row>
    <row r="1767" spans="1:38">
      <c r="A1767" s="96"/>
      <c r="B1767" s="6"/>
      <c r="C1767" s="6"/>
      <c r="D1767" s="6"/>
      <c r="E1767" s="6"/>
      <c r="F1767" s="6"/>
      <c r="G1767" s="80"/>
      <c r="H1767" s="6"/>
      <c r="I1767" s="6"/>
      <c r="J1767" s="6"/>
      <c r="K1767" s="8"/>
      <c r="L1767" s="8"/>
      <c r="M1767" s="96"/>
      <c r="N1767" s="6"/>
      <c r="O1767" s="97"/>
      <c r="P1767" s="6"/>
      <c r="Q1767" s="6"/>
      <c r="R1767" s="6"/>
      <c r="S1767" s="6"/>
      <c r="T1767" s="6"/>
      <c r="U1767" s="6"/>
      <c r="V1767" s="6"/>
      <c r="W1767" s="6"/>
      <c r="X1767" s="6"/>
      <c r="Y1767" s="6"/>
      <c r="Z1767" s="6"/>
      <c r="AA1767" s="6"/>
      <c r="AB1767" s="6"/>
      <c r="AC1767" s="6"/>
      <c r="AD1767" s="6"/>
      <c r="AE1767" s="6"/>
      <c r="AF1767" s="6"/>
      <c r="AG1767" s="6"/>
      <c r="AH1767" s="6"/>
      <c r="AI1767" s="6"/>
      <c r="AJ1767" s="6"/>
      <c r="AK1767" s="6"/>
      <c r="AL1767" s="6"/>
    </row>
    <row r="1768" spans="1:38">
      <c r="A1768" s="96"/>
      <c r="B1768" s="6"/>
      <c r="C1768" s="6"/>
      <c r="D1768" s="6"/>
      <c r="E1768" s="6"/>
      <c r="F1768" s="6"/>
      <c r="G1768" s="80"/>
      <c r="H1768" s="6"/>
      <c r="I1768" s="6"/>
      <c r="J1768" s="6"/>
      <c r="K1768" s="8"/>
      <c r="L1768" s="8"/>
      <c r="M1768" s="96"/>
      <c r="N1768" s="6"/>
      <c r="O1768" s="97"/>
      <c r="P1768" s="6"/>
      <c r="Q1768" s="6"/>
      <c r="R1768" s="6"/>
      <c r="S1768" s="6"/>
      <c r="T1768" s="6"/>
      <c r="U1768" s="6"/>
      <c r="V1768" s="6"/>
      <c r="W1768" s="6"/>
      <c r="X1768" s="6"/>
      <c r="Y1768" s="6"/>
      <c r="Z1768" s="6"/>
      <c r="AA1768" s="6"/>
      <c r="AB1768" s="6"/>
      <c r="AC1768" s="6"/>
      <c r="AD1768" s="6"/>
      <c r="AE1768" s="6"/>
      <c r="AF1768" s="6"/>
      <c r="AG1768" s="6"/>
      <c r="AH1768" s="6"/>
      <c r="AI1768" s="6"/>
      <c r="AJ1768" s="6"/>
      <c r="AK1768" s="6"/>
      <c r="AL1768" s="6"/>
    </row>
    <row r="1769" spans="1:38">
      <c r="A1769" s="96"/>
      <c r="B1769" s="6"/>
      <c r="C1769" s="6"/>
      <c r="D1769" s="6"/>
      <c r="E1769" s="6"/>
      <c r="F1769" s="6"/>
      <c r="G1769" s="80"/>
      <c r="H1769" s="6"/>
      <c r="I1769" s="6"/>
      <c r="J1769" s="6"/>
      <c r="K1769" s="8"/>
      <c r="L1769" s="8"/>
      <c r="M1769" s="96"/>
      <c r="N1769" s="6"/>
      <c r="O1769" s="97"/>
      <c r="P1769" s="6"/>
      <c r="Q1769" s="6"/>
      <c r="R1769" s="6"/>
      <c r="S1769" s="6"/>
      <c r="T1769" s="6"/>
      <c r="U1769" s="6"/>
      <c r="V1769" s="6"/>
      <c r="W1769" s="6"/>
      <c r="X1769" s="6"/>
      <c r="Y1769" s="6"/>
      <c r="Z1769" s="6"/>
      <c r="AA1769" s="6"/>
      <c r="AB1769" s="6"/>
      <c r="AC1769" s="6"/>
      <c r="AD1769" s="6"/>
      <c r="AE1769" s="6"/>
      <c r="AF1769" s="6"/>
      <c r="AG1769" s="6"/>
      <c r="AH1769" s="6"/>
      <c r="AI1769" s="6"/>
      <c r="AJ1769" s="6"/>
      <c r="AK1769" s="6"/>
      <c r="AL1769" s="6"/>
    </row>
    <row r="1770" spans="1:38">
      <c r="A1770" s="96"/>
      <c r="B1770" s="6"/>
      <c r="C1770" s="6"/>
      <c r="D1770" s="6"/>
      <c r="E1770" s="6"/>
      <c r="F1770" s="6"/>
      <c r="G1770" s="80"/>
      <c r="H1770" s="6"/>
      <c r="I1770" s="6"/>
      <c r="J1770" s="6"/>
      <c r="K1770" s="8"/>
      <c r="L1770" s="8"/>
      <c r="M1770" s="96"/>
      <c r="N1770" s="6"/>
      <c r="O1770" s="97"/>
      <c r="P1770" s="6"/>
      <c r="Q1770" s="6"/>
      <c r="R1770" s="6"/>
      <c r="S1770" s="6"/>
      <c r="T1770" s="6"/>
      <c r="U1770" s="6"/>
      <c r="V1770" s="6"/>
      <c r="W1770" s="6"/>
      <c r="X1770" s="6"/>
      <c r="Y1770" s="6"/>
      <c r="Z1770" s="6"/>
      <c r="AA1770" s="6"/>
      <c r="AB1770" s="6"/>
      <c r="AC1770" s="6"/>
      <c r="AD1770" s="6"/>
      <c r="AE1770" s="6"/>
      <c r="AF1770" s="6"/>
      <c r="AG1770" s="6"/>
      <c r="AH1770" s="6"/>
      <c r="AI1770" s="6"/>
      <c r="AJ1770" s="6"/>
      <c r="AK1770" s="6"/>
      <c r="AL1770" s="6"/>
    </row>
    <row r="1771" spans="1:38">
      <c r="A1771" s="96"/>
      <c r="B1771" s="6"/>
      <c r="C1771" s="6"/>
      <c r="D1771" s="6"/>
      <c r="E1771" s="6"/>
      <c r="F1771" s="6"/>
      <c r="G1771" s="80"/>
      <c r="H1771" s="6"/>
      <c r="I1771" s="6"/>
      <c r="J1771" s="6"/>
      <c r="K1771" s="8"/>
      <c r="L1771" s="8"/>
      <c r="M1771" s="96"/>
      <c r="N1771" s="6"/>
      <c r="O1771" s="97"/>
      <c r="P1771" s="6"/>
      <c r="Q1771" s="6"/>
      <c r="R1771" s="6"/>
      <c r="S1771" s="6"/>
      <c r="T1771" s="6"/>
      <c r="U1771" s="6"/>
      <c r="V1771" s="6"/>
      <c r="W1771" s="6"/>
      <c r="X1771" s="6"/>
      <c r="Y1771" s="6"/>
      <c r="Z1771" s="6"/>
      <c r="AA1771" s="6"/>
      <c r="AB1771" s="6"/>
      <c r="AC1771" s="6"/>
      <c r="AD1771" s="6"/>
      <c r="AE1771" s="6"/>
      <c r="AF1771" s="6"/>
      <c r="AG1771" s="6"/>
      <c r="AH1771" s="6"/>
      <c r="AI1771" s="6"/>
      <c r="AJ1771" s="6"/>
      <c r="AK1771" s="6"/>
      <c r="AL1771" s="6"/>
    </row>
    <row r="1772" spans="1:38">
      <c r="A1772" s="96"/>
      <c r="B1772" s="6"/>
      <c r="C1772" s="6"/>
      <c r="D1772" s="6"/>
      <c r="E1772" s="6"/>
      <c r="F1772" s="6"/>
      <c r="G1772" s="80"/>
      <c r="H1772" s="6"/>
      <c r="I1772" s="6"/>
      <c r="J1772" s="6"/>
      <c r="K1772" s="8"/>
      <c r="L1772" s="8"/>
      <c r="M1772" s="96"/>
      <c r="N1772" s="6"/>
      <c r="O1772" s="97"/>
      <c r="P1772" s="6"/>
      <c r="Q1772" s="6"/>
      <c r="R1772" s="6"/>
      <c r="S1772" s="6"/>
      <c r="T1772" s="6"/>
      <c r="U1772" s="6"/>
      <c r="V1772" s="6"/>
      <c r="W1772" s="6"/>
      <c r="X1772" s="6"/>
      <c r="Y1772" s="6"/>
      <c r="Z1772" s="6"/>
      <c r="AA1772" s="6"/>
      <c r="AB1772" s="6"/>
      <c r="AC1772" s="6"/>
      <c r="AD1772" s="6"/>
      <c r="AE1772" s="6"/>
      <c r="AF1772" s="6"/>
      <c r="AG1772" s="6"/>
      <c r="AH1772" s="6"/>
      <c r="AI1772" s="6"/>
      <c r="AJ1772" s="6"/>
      <c r="AK1772" s="6"/>
      <c r="AL1772" s="6"/>
    </row>
    <row r="1773" spans="1:38">
      <c r="A1773" s="96"/>
      <c r="B1773" s="6"/>
      <c r="C1773" s="6"/>
      <c r="D1773" s="6"/>
      <c r="E1773" s="6"/>
      <c r="F1773" s="6"/>
      <c r="G1773" s="80"/>
      <c r="H1773" s="6"/>
      <c r="I1773" s="6"/>
      <c r="J1773" s="6"/>
      <c r="K1773" s="8"/>
      <c r="L1773" s="8"/>
      <c r="M1773" s="96"/>
      <c r="N1773" s="6"/>
      <c r="O1773" s="97"/>
      <c r="P1773" s="6"/>
      <c r="Q1773" s="6"/>
      <c r="R1773" s="6"/>
      <c r="S1773" s="6"/>
      <c r="T1773" s="6"/>
      <c r="U1773" s="6"/>
      <c r="V1773" s="6"/>
      <c r="W1773" s="6"/>
      <c r="X1773" s="6"/>
      <c r="Y1773" s="6"/>
      <c r="Z1773" s="6"/>
      <c r="AA1773" s="6"/>
      <c r="AB1773" s="6"/>
      <c r="AC1773" s="6"/>
      <c r="AD1773" s="6"/>
      <c r="AE1773" s="6"/>
      <c r="AF1773" s="6"/>
      <c r="AG1773" s="6"/>
      <c r="AH1773" s="6"/>
      <c r="AI1773" s="6"/>
      <c r="AJ1773" s="6"/>
      <c r="AK1773" s="6"/>
      <c r="AL1773" s="6"/>
    </row>
    <row r="1774" spans="1:38">
      <c r="A1774" s="96"/>
      <c r="B1774" s="6"/>
      <c r="C1774" s="6"/>
      <c r="D1774" s="6"/>
      <c r="E1774" s="6"/>
      <c r="F1774" s="6"/>
      <c r="G1774" s="80"/>
      <c r="H1774" s="6"/>
      <c r="I1774" s="6"/>
      <c r="J1774" s="6"/>
      <c r="K1774" s="8"/>
      <c r="L1774" s="8"/>
      <c r="M1774" s="96"/>
      <c r="N1774" s="6"/>
      <c r="O1774" s="97"/>
      <c r="P1774" s="6"/>
      <c r="Q1774" s="6"/>
      <c r="R1774" s="6"/>
      <c r="S1774" s="6"/>
      <c r="T1774" s="6"/>
      <c r="U1774" s="6"/>
      <c r="V1774" s="6"/>
      <c r="W1774" s="6"/>
      <c r="X1774" s="6"/>
      <c r="Y1774" s="6"/>
      <c r="Z1774" s="6"/>
      <c r="AA1774" s="6"/>
      <c r="AB1774" s="6"/>
      <c r="AC1774" s="6"/>
      <c r="AD1774" s="6"/>
      <c r="AE1774" s="6"/>
      <c r="AF1774" s="6"/>
      <c r="AG1774" s="6"/>
      <c r="AH1774" s="6"/>
      <c r="AI1774" s="6"/>
      <c r="AJ1774" s="6"/>
      <c r="AK1774" s="6"/>
      <c r="AL1774" s="6"/>
    </row>
    <row r="1775" spans="1:38">
      <c r="A1775" s="96"/>
      <c r="B1775" s="6"/>
      <c r="C1775" s="6"/>
      <c r="D1775" s="6"/>
      <c r="E1775" s="6"/>
      <c r="F1775" s="6"/>
      <c r="G1775" s="80"/>
      <c r="H1775" s="6"/>
      <c r="I1775" s="6"/>
      <c r="J1775" s="6"/>
      <c r="K1775" s="8"/>
      <c r="L1775" s="8"/>
      <c r="M1775" s="96"/>
      <c r="N1775" s="6"/>
      <c r="O1775" s="97"/>
      <c r="P1775" s="6"/>
      <c r="Q1775" s="6"/>
      <c r="R1775" s="6"/>
      <c r="S1775" s="6"/>
      <c r="T1775" s="6"/>
      <c r="U1775" s="6"/>
      <c r="V1775" s="6"/>
      <c r="W1775" s="6"/>
      <c r="X1775" s="6"/>
      <c r="Y1775" s="6"/>
      <c r="Z1775" s="6"/>
      <c r="AA1775" s="6"/>
      <c r="AB1775" s="6"/>
      <c r="AC1775" s="6"/>
      <c r="AD1775" s="6"/>
      <c r="AE1775" s="6"/>
      <c r="AF1775" s="6"/>
      <c r="AG1775" s="6"/>
      <c r="AH1775" s="6"/>
      <c r="AI1775" s="6"/>
      <c r="AJ1775" s="6"/>
      <c r="AK1775" s="6"/>
      <c r="AL1775" s="6"/>
    </row>
    <row r="1776" spans="1:38">
      <c r="A1776" s="96"/>
      <c r="B1776" s="6"/>
      <c r="C1776" s="6"/>
      <c r="D1776" s="6"/>
      <c r="E1776" s="6"/>
      <c r="F1776" s="6"/>
      <c r="G1776" s="80"/>
      <c r="H1776" s="6"/>
      <c r="I1776" s="6"/>
      <c r="J1776" s="6"/>
      <c r="K1776" s="8"/>
      <c r="L1776" s="8"/>
      <c r="M1776" s="96"/>
      <c r="N1776" s="6"/>
      <c r="O1776" s="97"/>
      <c r="P1776" s="6"/>
      <c r="Q1776" s="6"/>
      <c r="R1776" s="6"/>
      <c r="S1776" s="6"/>
      <c r="T1776" s="6"/>
      <c r="U1776" s="6"/>
      <c r="V1776" s="6"/>
      <c r="W1776" s="6"/>
      <c r="X1776" s="6"/>
      <c r="Y1776" s="6"/>
      <c r="Z1776" s="6"/>
      <c r="AA1776" s="6"/>
      <c r="AB1776" s="6"/>
      <c r="AC1776" s="6"/>
      <c r="AD1776" s="6"/>
      <c r="AE1776" s="6"/>
      <c r="AF1776" s="6"/>
      <c r="AG1776" s="6"/>
      <c r="AH1776" s="6"/>
      <c r="AI1776" s="6"/>
      <c r="AJ1776" s="6"/>
      <c r="AK1776" s="6"/>
      <c r="AL1776" s="6"/>
    </row>
    <row r="1777" spans="1:38">
      <c r="A1777" s="96"/>
      <c r="B1777" s="6"/>
      <c r="C1777" s="6"/>
      <c r="D1777" s="6"/>
      <c r="E1777" s="6"/>
      <c r="F1777" s="6"/>
      <c r="G1777" s="80"/>
      <c r="H1777" s="6"/>
      <c r="I1777" s="6"/>
      <c r="J1777" s="6"/>
      <c r="K1777" s="8"/>
      <c r="L1777" s="8"/>
      <c r="M1777" s="96"/>
      <c r="N1777" s="6"/>
      <c r="O1777" s="97"/>
      <c r="P1777" s="6"/>
      <c r="Q1777" s="6"/>
      <c r="R1777" s="6"/>
      <c r="S1777" s="6"/>
      <c r="T1777" s="6"/>
      <c r="U1777" s="6"/>
      <c r="V1777" s="6"/>
      <c r="W1777" s="6"/>
      <c r="X1777" s="6"/>
      <c r="Y1777" s="6"/>
      <c r="Z1777" s="6"/>
      <c r="AA1777" s="6"/>
      <c r="AB1777" s="6"/>
      <c r="AC1777" s="6"/>
      <c r="AD1777" s="6"/>
      <c r="AE1777" s="6"/>
      <c r="AF1777" s="6"/>
      <c r="AG1777" s="6"/>
      <c r="AH1777" s="6"/>
      <c r="AI1777" s="6"/>
      <c r="AJ1777" s="6"/>
      <c r="AK1777" s="6"/>
      <c r="AL1777" s="6"/>
    </row>
    <row r="1778" spans="1:38">
      <c r="A1778" s="96"/>
      <c r="B1778" s="6"/>
      <c r="C1778" s="6"/>
      <c r="D1778" s="6"/>
      <c r="E1778" s="6"/>
      <c r="F1778" s="6"/>
      <c r="G1778" s="80"/>
      <c r="H1778" s="6"/>
      <c r="I1778" s="6"/>
      <c r="J1778" s="6"/>
      <c r="K1778" s="8"/>
      <c r="L1778" s="8"/>
      <c r="M1778" s="96"/>
      <c r="N1778" s="6"/>
      <c r="O1778" s="97"/>
      <c r="P1778" s="6"/>
      <c r="Q1778" s="6"/>
      <c r="R1778" s="6"/>
      <c r="S1778" s="6"/>
      <c r="T1778" s="6"/>
      <c r="U1778" s="6"/>
      <c r="V1778" s="6"/>
      <c r="W1778" s="6"/>
      <c r="X1778" s="6"/>
      <c r="Y1778" s="6"/>
      <c r="Z1778" s="6"/>
      <c r="AA1778" s="6"/>
      <c r="AB1778" s="6"/>
      <c r="AC1778" s="6"/>
      <c r="AD1778" s="6"/>
      <c r="AE1778" s="6"/>
      <c r="AF1778" s="6"/>
      <c r="AG1778" s="6"/>
      <c r="AH1778" s="6"/>
      <c r="AI1778" s="6"/>
      <c r="AJ1778" s="6"/>
      <c r="AK1778" s="6"/>
      <c r="AL1778" s="6"/>
    </row>
    <row r="1779" spans="1:38">
      <c r="A1779" s="96"/>
      <c r="B1779" s="6"/>
      <c r="C1779" s="6"/>
      <c r="D1779" s="6"/>
      <c r="E1779" s="6"/>
      <c r="F1779" s="6"/>
      <c r="G1779" s="80"/>
      <c r="H1779" s="6"/>
      <c r="I1779" s="6"/>
      <c r="J1779" s="6"/>
      <c r="K1779" s="8"/>
      <c r="L1779" s="8"/>
      <c r="M1779" s="96"/>
      <c r="N1779" s="6"/>
      <c r="O1779" s="97"/>
      <c r="P1779" s="6"/>
      <c r="Q1779" s="6"/>
      <c r="R1779" s="6"/>
      <c r="S1779" s="6"/>
      <c r="T1779" s="6"/>
      <c r="U1779" s="6"/>
      <c r="V1779" s="6"/>
      <c r="W1779" s="6"/>
      <c r="X1779" s="6"/>
      <c r="Y1779" s="6"/>
      <c r="Z1779" s="6"/>
      <c r="AA1779" s="6"/>
      <c r="AB1779" s="6"/>
      <c r="AC1779" s="6"/>
      <c r="AD1779" s="6"/>
      <c r="AE1779" s="6"/>
      <c r="AF1779" s="6"/>
      <c r="AG1779" s="6"/>
      <c r="AH1779" s="6"/>
      <c r="AI1779" s="6"/>
      <c r="AJ1779" s="6"/>
      <c r="AK1779" s="6"/>
      <c r="AL1779" s="6"/>
    </row>
    <row r="1780" spans="1:38">
      <c r="A1780" s="96"/>
      <c r="B1780" s="6"/>
      <c r="C1780" s="6"/>
      <c r="D1780" s="6"/>
      <c r="E1780" s="6"/>
      <c r="F1780" s="6"/>
      <c r="G1780" s="80"/>
      <c r="H1780" s="6"/>
      <c r="I1780" s="6"/>
      <c r="J1780" s="6"/>
      <c r="K1780" s="8"/>
      <c r="L1780" s="8"/>
      <c r="M1780" s="96"/>
      <c r="N1780" s="6"/>
      <c r="O1780" s="97"/>
      <c r="P1780" s="6"/>
      <c r="Q1780" s="6"/>
      <c r="R1780" s="6"/>
      <c r="S1780" s="6"/>
      <c r="T1780" s="6"/>
      <c r="U1780" s="6"/>
      <c r="V1780" s="6"/>
      <c r="W1780" s="6"/>
      <c r="X1780" s="6"/>
      <c r="Y1780" s="6"/>
      <c r="Z1780" s="6"/>
      <c r="AA1780" s="6"/>
      <c r="AB1780" s="6"/>
      <c r="AC1780" s="6"/>
      <c r="AD1780" s="6"/>
      <c r="AE1780" s="6"/>
      <c r="AF1780" s="6"/>
      <c r="AG1780" s="6"/>
      <c r="AH1780" s="6"/>
      <c r="AI1780" s="6"/>
      <c r="AJ1780" s="6"/>
      <c r="AK1780" s="6"/>
      <c r="AL1780" s="6"/>
    </row>
    <row r="1781" spans="1:38">
      <c r="A1781" s="96"/>
      <c r="B1781" s="6"/>
      <c r="C1781" s="6"/>
      <c r="D1781" s="6"/>
      <c r="E1781" s="6"/>
      <c r="F1781" s="6"/>
      <c r="G1781" s="80"/>
      <c r="H1781" s="6"/>
      <c r="I1781" s="6"/>
      <c r="J1781" s="6"/>
      <c r="K1781" s="8"/>
      <c r="L1781" s="8"/>
      <c r="M1781" s="96"/>
      <c r="N1781" s="6"/>
      <c r="O1781" s="97"/>
      <c r="P1781" s="6"/>
      <c r="Q1781" s="6"/>
      <c r="R1781" s="6"/>
      <c r="S1781" s="6"/>
      <c r="T1781" s="6"/>
      <c r="U1781" s="6"/>
      <c r="V1781" s="6"/>
      <c r="W1781" s="6"/>
      <c r="X1781" s="6"/>
      <c r="Y1781" s="6"/>
      <c r="Z1781" s="6"/>
      <c r="AA1781" s="6"/>
      <c r="AB1781" s="6"/>
      <c r="AC1781" s="6"/>
      <c r="AD1781" s="6"/>
      <c r="AE1781" s="6"/>
      <c r="AF1781" s="6"/>
      <c r="AG1781" s="6"/>
      <c r="AH1781" s="6"/>
      <c r="AI1781" s="6"/>
      <c r="AJ1781" s="6"/>
      <c r="AK1781" s="6"/>
      <c r="AL1781" s="6"/>
    </row>
    <row r="1782" spans="1:38">
      <c r="A1782" s="96"/>
      <c r="B1782" s="6"/>
      <c r="C1782" s="6"/>
      <c r="D1782" s="6"/>
      <c r="E1782" s="6"/>
      <c r="F1782" s="6"/>
      <c r="G1782" s="80"/>
      <c r="H1782" s="6"/>
      <c r="I1782" s="6"/>
      <c r="J1782" s="6"/>
      <c r="K1782" s="8"/>
      <c r="L1782" s="8"/>
      <c r="M1782" s="96"/>
      <c r="N1782" s="6"/>
      <c r="O1782" s="97"/>
      <c r="P1782" s="6"/>
      <c r="Q1782" s="6"/>
      <c r="R1782" s="6"/>
      <c r="S1782" s="6"/>
      <c r="T1782" s="6"/>
      <c r="U1782" s="6"/>
      <c r="V1782" s="6"/>
      <c r="W1782" s="6"/>
      <c r="X1782" s="6"/>
      <c r="Y1782" s="6"/>
      <c r="Z1782" s="6"/>
      <c r="AA1782" s="6"/>
      <c r="AB1782" s="6"/>
      <c r="AC1782" s="6"/>
      <c r="AD1782" s="6"/>
      <c r="AE1782" s="6"/>
      <c r="AF1782" s="6"/>
      <c r="AG1782" s="6"/>
      <c r="AH1782" s="6"/>
      <c r="AI1782" s="6"/>
      <c r="AJ1782" s="6"/>
      <c r="AK1782" s="6"/>
      <c r="AL1782" s="6"/>
    </row>
    <row r="1783" spans="1:38">
      <c r="A1783" s="96"/>
      <c r="B1783" s="6"/>
      <c r="C1783" s="6"/>
      <c r="D1783" s="6"/>
      <c r="E1783" s="6"/>
      <c r="F1783" s="6"/>
      <c r="G1783" s="80"/>
      <c r="H1783" s="6"/>
      <c r="I1783" s="6"/>
      <c r="J1783" s="6"/>
      <c r="K1783" s="8"/>
      <c r="L1783" s="8"/>
      <c r="M1783" s="96"/>
      <c r="N1783" s="6"/>
      <c r="O1783" s="97"/>
      <c r="P1783" s="6"/>
      <c r="Q1783" s="6"/>
      <c r="R1783" s="6"/>
      <c r="S1783" s="6"/>
      <c r="T1783" s="6"/>
      <c r="U1783" s="6"/>
      <c r="V1783" s="6"/>
      <c r="W1783" s="6"/>
      <c r="X1783" s="6"/>
      <c r="Y1783" s="6"/>
      <c r="Z1783" s="6"/>
      <c r="AA1783" s="6"/>
      <c r="AB1783" s="6"/>
      <c r="AC1783" s="6"/>
      <c r="AD1783" s="6"/>
      <c r="AE1783" s="6"/>
      <c r="AF1783" s="6"/>
      <c r="AG1783" s="6"/>
      <c r="AH1783" s="6"/>
      <c r="AI1783" s="6"/>
      <c r="AJ1783" s="6"/>
      <c r="AK1783" s="6"/>
      <c r="AL1783" s="6"/>
    </row>
    <row r="1784" spans="1:38">
      <c r="A1784" s="96"/>
      <c r="B1784" s="6"/>
      <c r="C1784" s="6"/>
      <c r="D1784" s="6"/>
      <c r="E1784" s="6"/>
      <c r="F1784" s="6"/>
      <c r="G1784" s="80"/>
      <c r="H1784" s="6"/>
      <c r="I1784" s="6"/>
      <c r="J1784" s="6"/>
      <c r="K1784" s="8"/>
      <c r="L1784" s="8"/>
      <c r="M1784" s="96"/>
      <c r="N1784" s="6"/>
      <c r="O1784" s="97"/>
      <c r="P1784" s="6"/>
      <c r="Q1784" s="6"/>
      <c r="R1784" s="6"/>
      <c r="S1784" s="6"/>
      <c r="T1784" s="6"/>
      <c r="U1784" s="6"/>
      <c r="V1784" s="6"/>
      <c r="W1784" s="6"/>
      <c r="X1784" s="6"/>
      <c r="Y1784" s="6"/>
      <c r="Z1784" s="6"/>
      <c r="AA1784" s="6"/>
      <c r="AB1784" s="6"/>
      <c r="AC1784" s="6"/>
      <c r="AD1784" s="6"/>
      <c r="AE1784" s="6"/>
      <c r="AF1784" s="6"/>
      <c r="AG1784" s="6"/>
      <c r="AH1784" s="6"/>
      <c r="AI1784" s="6"/>
      <c r="AJ1784" s="6"/>
      <c r="AK1784" s="6"/>
      <c r="AL1784" s="6"/>
    </row>
    <row r="1785" spans="1:38">
      <c r="A1785" s="96"/>
      <c r="B1785" s="6"/>
      <c r="C1785" s="6"/>
      <c r="D1785" s="6"/>
      <c r="E1785" s="6"/>
      <c r="F1785" s="6"/>
      <c r="G1785" s="80"/>
      <c r="H1785" s="6"/>
      <c r="I1785" s="6"/>
      <c r="J1785" s="6"/>
      <c r="K1785" s="8"/>
      <c r="L1785" s="8"/>
      <c r="M1785" s="96"/>
      <c r="N1785" s="6"/>
      <c r="O1785" s="97"/>
      <c r="P1785" s="6"/>
      <c r="Q1785" s="6"/>
      <c r="R1785" s="6"/>
      <c r="S1785" s="6"/>
      <c r="T1785" s="6"/>
      <c r="U1785" s="6"/>
      <c r="V1785" s="6"/>
      <c r="W1785" s="6"/>
      <c r="X1785" s="6"/>
      <c r="Y1785" s="6"/>
      <c r="Z1785" s="6"/>
      <c r="AA1785" s="6"/>
      <c r="AB1785" s="6"/>
      <c r="AC1785" s="6"/>
      <c r="AD1785" s="6"/>
      <c r="AE1785" s="6"/>
      <c r="AF1785" s="6"/>
      <c r="AG1785" s="6"/>
      <c r="AH1785" s="6"/>
      <c r="AI1785" s="6"/>
      <c r="AJ1785" s="6"/>
      <c r="AK1785" s="6"/>
      <c r="AL1785" s="6"/>
    </row>
    <row r="1786" spans="1:38">
      <c r="A1786" s="96"/>
      <c r="B1786" s="6"/>
      <c r="C1786" s="6"/>
      <c r="D1786" s="6"/>
      <c r="E1786" s="6"/>
      <c r="F1786" s="6"/>
      <c r="G1786" s="80"/>
      <c r="H1786" s="6"/>
      <c r="I1786" s="6"/>
      <c r="J1786" s="6"/>
      <c r="K1786" s="8"/>
      <c r="L1786" s="8"/>
      <c r="M1786" s="96"/>
      <c r="N1786" s="6"/>
      <c r="O1786" s="97"/>
      <c r="P1786" s="6"/>
      <c r="Q1786" s="6"/>
      <c r="R1786" s="6"/>
      <c r="S1786" s="6"/>
      <c r="T1786" s="6"/>
      <c r="U1786" s="6"/>
      <c r="V1786" s="6"/>
      <c r="W1786" s="6"/>
      <c r="X1786" s="6"/>
      <c r="Y1786" s="6"/>
      <c r="Z1786" s="6"/>
      <c r="AA1786" s="6"/>
      <c r="AB1786" s="6"/>
      <c r="AC1786" s="6"/>
      <c r="AD1786" s="6"/>
      <c r="AE1786" s="6"/>
      <c r="AF1786" s="6"/>
      <c r="AG1786" s="6"/>
      <c r="AH1786" s="6"/>
      <c r="AI1786" s="6"/>
      <c r="AJ1786" s="6"/>
      <c r="AK1786" s="6"/>
      <c r="AL1786" s="6"/>
    </row>
    <row r="1787" spans="1:38">
      <c r="A1787" s="96"/>
      <c r="B1787" s="6"/>
      <c r="C1787" s="6"/>
      <c r="D1787" s="6"/>
      <c r="E1787" s="6"/>
      <c r="F1787" s="6"/>
      <c r="G1787" s="80"/>
      <c r="H1787" s="6"/>
      <c r="I1787" s="6"/>
      <c r="J1787" s="6"/>
      <c r="K1787" s="8"/>
      <c r="L1787" s="8"/>
      <c r="M1787" s="96"/>
      <c r="N1787" s="6"/>
      <c r="O1787" s="97"/>
      <c r="P1787" s="6"/>
      <c r="Q1787" s="6"/>
      <c r="R1787" s="6"/>
      <c r="S1787" s="6"/>
      <c r="T1787" s="6"/>
      <c r="U1787" s="6"/>
      <c r="V1787" s="6"/>
      <c r="W1787" s="6"/>
      <c r="X1787" s="6"/>
      <c r="Y1787" s="6"/>
      <c r="Z1787" s="6"/>
      <c r="AA1787" s="6"/>
      <c r="AB1787" s="6"/>
      <c r="AC1787" s="6"/>
      <c r="AD1787" s="6"/>
      <c r="AE1787" s="6"/>
      <c r="AF1787" s="6"/>
      <c r="AG1787" s="6"/>
      <c r="AH1787" s="6"/>
      <c r="AI1787" s="6"/>
      <c r="AJ1787" s="6"/>
      <c r="AK1787" s="6"/>
      <c r="AL1787" s="6"/>
    </row>
    <row r="1788" spans="1:38">
      <c r="A1788" s="96"/>
      <c r="B1788" s="6"/>
      <c r="C1788" s="6"/>
      <c r="D1788" s="6"/>
      <c r="E1788" s="6"/>
      <c r="F1788" s="6"/>
      <c r="G1788" s="80"/>
      <c r="H1788" s="6"/>
      <c r="I1788" s="6"/>
      <c r="J1788" s="6"/>
      <c r="K1788" s="8"/>
      <c r="L1788" s="8"/>
      <c r="M1788" s="96"/>
      <c r="N1788" s="6"/>
      <c r="O1788" s="97"/>
      <c r="P1788" s="6"/>
      <c r="Q1788" s="6"/>
      <c r="R1788" s="6"/>
      <c r="S1788" s="6"/>
      <c r="T1788" s="6"/>
      <c r="U1788" s="6"/>
      <c r="V1788" s="6"/>
      <c r="W1788" s="6"/>
      <c r="X1788" s="6"/>
      <c r="Y1788" s="6"/>
      <c r="Z1788" s="6"/>
      <c r="AA1788" s="6"/>
      <c r="AB1788" s="6"/>
      <c r="AC1788" s="6"/>
      <c r="AD1788" s="6"/>
      <c r="AE1788" s="6"/>
      <c r="AF1788" s="6"/>
      <c r="AG1788" s="6"/>
      <c r="AH1788" s="6"/>
      <c r="AI1788" s="6"/>
      <c r="AJ1788" s="6"/>
      <c r="AK1788" s="6"/>
      <c r="AL1788" s="6"/>
    </row>
    <row r="1789" spans="1:38">
      <c r="A1789" s="96"/>
      <c r="B1789" s="6"/>
      <c r="C1789" s="6"/>
      <c r="D1789" s="6"/>
      <c r="E1789" s="6"/>
      <c r="F1789" s="6"/>
      <c r="G1789" s="80"/>
      <c r="H1789" s="6"/>
      <c r="I1789" s="6"/>
      <c r="J1789" s="6"/>
      <c r="K1789" s="8"/>
      <c r="L1789" s="8"/>
      <c r="M1789" s="96"/>
      <c r="N1789" s="6"/>
      <c r="O1789" s="97"/>
      <c r="P1789" s="6"/>
      <c r="Q1789" s="6"/>
      <c r="R1789" s="6"/>
      <c r="S1789" s="6"/>
      <c r="T1789" s="6"/>
      <c r="U1789" s="6"/>
      <c r="V1789" s="6"/>
      <c r="W1789" s="6"/>
      <c r="X1789" s="6"/>
      <c r="Y1789" s="6"/>
      <c r="Z1789" s="6"/>
      <c r="AA1789" s="6"/>
      <c r="AB1789" s="6"/>
      <c r="AC1789" s="6"/>
      <c r="AD1789" s="6"/>
      <c r="AE1789" s="6"/>
      <c r="AF1789" s="6"/>
      <c r="AG1789" s="6"/>
      <c r="AH1789" s="6"/>
      <c r="AI1789" s="6"/>
      <c r="AJ1789" s="6"/>
      <c r="AK1789" s="6"/>
      <c r="AL1789" s="6"/>
    </row>
    <row r="1790" spans="1:38">
      <c r="A1790" s="96"/>
      <c r="B1790" s="6"/>
      <c r="C1790" s="6"/>
      <c r="D1790" s="6"/>
      <c r="E1790" s="6"/>
      <c r="F1790" s="6"/>
      <c r="G1790" s="80"/>
      <c r="H1790" s="6"/>
      <c r="I1790" s="6"/>
      <c r="J1790" s="6"/>
      <c r="K1790" s="8"/>
      <c r="L1790" s="8"/>
      <c r="M1790" s="96"/>
      <c r="N1790" s="6"/>
      <c r="O1790" s="97"/>
      <c r="P1790" s="6"/>
      <c r="Q1790" s="6"/>
      <c r="R1790" s="6"/>
      <c r="S1790" s="6"/>
      <c r="T1790" s="6"/>
      <c r="U1790" s="6"/>
      <c r="V1790" s="6"/>
      <c r="W1790" s="6"/>
      <c r="X1790" s="6"/>
      <c r="Y1790" s="6"/>
      <c r="Z1790" s="6"/>
      <c r="AA1790" s="6"/>
      <c r="AB1790" s="6"/>
      <c r="AC1790" s="6"/>
      <c r="AD1790" s="6"/>
      <c r="AE1790" s="6"/>
      <c r="AF1790" s="6"/>
      <c r="AG1790" s="6"/>
      <c r="AH1790" s="6"/>
      <c r="AI1790" s="6"/>
      <c r="AJ1790" s="6"/>
      <c r="AK1790" s="6"/>
      <c r="AL1790" s="6"/>
    </row>
    <row r="1791" spans="1:38">
      <c r="A1791" s="96"/>
      <c r="B1791" s="6"/>
      <c r="C1791" s="6"/>
      <c r="D1791" s="6"/>
      <c r="E1791" s="6"/>
      <c r="F1791" s="6"/>
      <c r="G1791" s="80"/>
      <c r="H1791" s="6"/>
      <c r="I1791" s="6"/>
      <c r="J1791" s="6"/>
      <c r="K1791" s="8"/>
      <c r="L1791" s="8"/>
      <c r="M1791" s="96"/>
      <c r="N1791" s="6"/>
      <c r="O1791" s="97"/>
      <c r="P1791" s="6"/>
      <c r="Q1791" s="6"/>
      <c r="R1791" s="6"/>
      <c r="S1791" s="6"/>
      <c r="T1791" s="6"/>
      <c r="U1791" s="6"/>
      <c r="V1791" s="6"/>
      <c r="W1791" s="6"/>
      <c r="X1791" s="6"/>
      <c r="Y1791" s="6"/>
      <c r="Z1791" s="6"/>
      <c r="AA1791" s="6"/>
      <c r="AB1791" s="6"/>
      <c r="AC1791" s="6"/>
      <c r="AD1791" s="6"/>
      <c r="AE1791" s="6"/>
      <c r="AF1791" s="6"/>
      <c r="AG1791" s="6"/>
      <c r="AH1791" s="6"/>
      <c r="AI1791" s="6"/>
      <c r="AJ1791" s="6"/>
      <c r="AK1791" s="6"/>
      <c r="AL1791" s="6"/>
    </row>
    <row r="1792" spans="1:38">
      <c r="A1792" s="96"/>
      <c r="B1792" s="6"/>
      <c r="C1792" s="6"/>
      <c r="D1792" s="6"/>
      <c r="E1792" s="6"/>
      <c r="F1792" s="6"/>
      <c r="G1792" s="80"/>
      <c r="H1792" s="6"/>
      <c r="I1792" s="6"/>
      <c r="J1792" s="6"/>
      <c r="K1792" s="8"/>
      <c r="L1792" s="8"/>
      <c r="M1792" s="96"/>
      <c r="N1792" s="6"/>
      <c r="O1792" s="97"/>
      <c r="P1792" s="6"/>
      <c r="Q1792" s="6"/>
      <c r="R1792" s="6"/>
      <c r="S1792" s="6"/>
      <c r="T1792" s="6"/>
      <c r="U1792" s="6"/>
      <c r="V1792" s="6"/>
      <c r="W1792" s="6"/>
      <c r="X1792" s="6"/>
      <c r="Y1792" s="6"/>
      <c r="Z1792" s="6"/>
      <c r="AA1792" s="6"/>
      <c r="AB1792" s="6"/>
      <c r="AC1792" s="6"/>
      <c r="AD1792" s="6"/>
      <c r="AE1792" s="6"/>
      <c r="AF1792" s="6"/>
      <c r="AG1792" s="6"/>
      <c r="AH1792" s="6"/>
      <c r="AI1792" s="6"/>
      <c r="AJ1792" s="6"/>
      <c r="AK1792" s="6"/>
      <c r="AL1792" s="6"/>
    </row>
    <row r="1793" spans="1:38">
      <c r="A1793" s="96"/>
      <c r="B1793" s="6"/>
      <c r="C1793" s="6"/>
      <c r="D1793" s="6"/>
      <c r="E1793" s="6"/>
      <c r="F1793" s="6"/>
      <c r="G1793" s="80"/>
      <c r="H1793" s="6"/>
      <c r="I1793" s="6"/>
      <c r="J1793" s="6"/>
      <c r="K1793" s="8"/>
      <c r="L1793" s="8"/>
      <c r="M1793" s="96"/>
      <c r="N1793" s="6"/>
      <c r="O1793" s="97"/>
      <c r="P1793" s="6"/>
      <c r="Q1793" s="6"/>
      <c r="R1793" s="6"/>
      <c r="S1793" s="6"/>
      <c r="T1793" s="6"/>
      <c r="U1793" s="6"/>
      <c r="V1793" s="6"/>
      <c r="W1793" s="6"/>
      <c r="X1793" s="6"/>
      <c r="Y1793" s="6"/>
      <c r="Z1793" s="6"/>
      <c r="AA1793" s="6"/>
      <c r="AB1793" s="6"/>
      <c r="AC1793" s="6"/>
      <c r="AD1793" s="6"/>
      <c r="AE1793" s="6"/>
      <c r="AF1793" s="6"/>
      <c r="AG1793" s="6"/>
      <c r="AH1793" s="6"/>
      <c r="AI1793" s="6"/>
      <c r="AJ1793" s="6"/>
      <c r="AK1793" s="6"/>
      <c r="AL1793" s="6"/>
    </row>
    <row r="1794" spans="1:38">
      <c r="A1794" s="96"/>
      <c r="B1794" s="6"/>
      <c r="C1794" s="6"/>
      <c r="D1794" s="6"/>
      <c r="E1794" s="6"/>
      <c r="F1794" s="6"/>
      <c r="G1794" s="80"/>
      <c r="H1794" s="6"/>
      <c r="I1794" s="6"/>
      <c r="J1794" s="6"/>
      <c r="K1794" s="8"/>
      <c r="L1794" s="8"/>
      <c r="M1794" s="96"/>
      <c r="N1794" s="6"/>
      <c r="O1794" s="97"/>
      <c r="P1794" s="6"/>
      <c r="Q1794" s="6"/>
      <c r="R1794" s="6"/>
      <c r="S1794" s="6"/>
      <c r="T1794" s="6"/>
      <c r="U1794" s="6"/>
      <c r="V1794" s="6"/>
      <c r="W1794" s="6"/>
      <c r="X1794" s="6"/>
      <c r="Y1794" s="6"/>
      <c r="Z1794" s="6"/>
      <c r="AA1794" s="6"/>
      <c r="AB1794" s="6"/>
      <c r="AC1794" s="6"/>
      <c r="AD1794" s="6"/>
      <c r="AE1794" s="6"/>
      <c r="AF1794" s="6"/>
      <c r="AG1794" s="6"/>
      <c r="AH1794" s="6"/>
      <c r="AI1794" s="6"/>
      <c r="AJ1794" s="6"/>
      <c r="AK1794" s="6"/>
      <c r="AL1794" s="6"/>
    </row>
    <row r="1795" spans="1:38">
      <c r="A1795" s="96"/>
      <c r="B1795" s="6"/>
      <c r="C1795" s="6"/>
      <c r="D1795" s="6"/>
      <c r="E1795" s="6"/>
      <c r="F1795" s="6"/>
      <c r="G1795" s="80"/>
      <c r="H1795" s="6"/>
      <c r="I1795" s="6"/>
      <c r="J1795" s="6"/>
      <c r="K1795" s="8"/>
      <c r="L1795" s="8"/>
      <c r="M1795" s="96"/>
      <c r="N1795" s="6"/>
      <c r="O1795" s="97"/>
      <c r="P1795" s="6"/>
      <c r="Q1795" s="6"/>
      <c r="R1795" s="6"/>
      <c r="S1795" s="6"/>
      <c r="T1795" s="6"/>
      <c r="U1795" s="6"/>
      <c r="V1795" s="6"/>
      <c r="W1795" s="6"/>
      <c r="X1795" s="6"/>
      <c r="Y1795" s="6"/>
      <c r="Z1795" s="6"/>
      <c r="AA1795" s="6"/>
      <c r="AB1795" s="6"/>
      <c r="AC1795" s="6"/>
      <c r="AD1795" s="6"/>
      <c r="AE1795" s="6"/>
      <c r="AF1795" s="6"/>
      <c r="AG1795" s="6"/>
      <c r="AH1795" s="6"/>
      <c r="AI1795" s="6"/>
      <c r="AJ1795" s="6"/>
      <c r="AK1795" s="6"/>
      <c r="AL1795" s="6"/>
    </row>
    <row r="1796" spans="1:38">
      <c r="A1796" s="96"/>
      <c r="B1796" s="6"/>
      <c r="C1796" s="6"/>
      <c r="D1796" s="6"/>
      <c r="E1796" s="6"/>
      <c r="F1796" s="6"/>
      <c r="G1796" s="80"/>
      <c r="H1796" s="6"/>
      <c r="I1796" s="6"/>
      <c r="J1796" s="6"/>
      <c r="K1796" s="8"/>
      <c r="L1796" s="8"/>
      <c r="M1796" s="96"/>
      <c r="N1796" s="6"/>
      <c r="O1796" s="97"/>
      <c r="P1796" s="6"/>
      <c r="Q1796" s="6"/>
      <c r="R1796" s="6"/>
      <c r="S1796" s="6"/>
      <c r="T1796" s="6"/>
      <c r="U1796" s="6"/>
      <c r="V1796" s="6"/>
      <c r="W1796" s="6"/>
      <c r="X1796" s="6"/>
      <c r="Y1796" s="6"/>
      <c r="Z1796" s="6"/>
      <c r="AA1796" s="6"/>
      <c r="AB1796" s="6"/>
      <c r="AC1796" s="6"/>
      <c r="AD1796" s="6"/>
      <c r="AE1796" s="6"/>
      <c r="AF1796" s="6"/>
      <c r="AG1796" s="6"/>
      <c r="AH1796" s="6"/>
      <c r="AI1796" s="6"/>
      <c r="AJ1796" s="6"/>
      <c r="AK1796" s="6"/>
      <c r="AL1796" s="6"/>
    </row>
    <row r="1797" spans="1:38">
      <c r="A1797" s="96"/>
      <c r="B1797" s="6"/>
      <c r="C1797" s="6"/>
      <c r="D1797" s="6"/>
      <c r="E1797" s="6"/>
      <c r="F1797" s="6"/>
      <c r="G1797" s="80"/>
      <c r="H1797" s="6"/>
      <c r="I1797" s="6"/>
      <c r="J1797" s="6"/>
      <c r="K1797" s="8"/>
      <c r="L1797" s="8"/>
      <c r="M1797" s="96"/>
      <c r="N1797" s="6"/>
      <c r="O1797" s="97"/>
      <c r="P1797" s="6"/>
      <c r="Q1797" s="6"/>
      <c r="R1797" s="6"/>
      <c r="S1797" s="6"/>
      <c r="T1797" s="6"/>
      <c r="U1797" s="6"/>
      <c r="V1797" s="6"/>
      <c r="W1797" s="6"/>
      <c r="X1797" s="6"/>
      <c r="Y1797" s="6"/>
      <c r="Z1797" s="6"/>
      <c r="AA1797" s="6"/>
      <c r="AB1797" s="6"/>
      <c r="AC1797" s="6"/>
      <c r="AD1797" s="6"/>
      <c r="AE1797" s="6"/>
      <c r="AF1797" s="6"/>
      <c r="AG1797" s="6"/>
      <c r="AH1797" s="6"/>
      <c r="AI1797" s="6"/>
      <c r="AJ1797" s="6"/>
      <c r="AK1797" s="6"/>
      <c r="AL1797" s="6"/>
    </row>
    <row r="1798" spans="1:38">
      <c r="A1798" s="96"/>
      <c r="B1798" s="6"/>
      <c r="C1798" s="6"/>
      <c r="D1798" s="6"/>
      <c r="E1798" s="6"/>
      <c r="F1798" s="6"/>
      <c r="G1798" s="80"/>
      <c r="H1798" s="6"/>
      <c r="I1798" s="6"/>
      <c r="J1798" s="6"/>
      <c r="K1798" s="8"/>
      <c r="L1798" s="8"/>
      <c r="M1798" s="96"/>
      <c r="N1798" s="6"/>
      <c r="O1798" s="97"/>
      <c r="P1798" s="6"/>
      <c r="Q1798" s="6"/>
      <c r="R1798" s="6"/>
      <c r="S1798" s="6"/>
      <c r="T1798" s="6"/>
      <c r="U1798" s="6"/>
      <c r="V1798" s="6"/>
      <c r="W1798" s="6"/>
      <c r="X1798" s="6"/>
      <c r="Y1798" s="6"/>
      <c r="Z1798" s="6"/>
      <c r="AA1798" s="6"/>
      <c r="AB1798" s="6"/>
      <c r="AC1798" s="6"/>
      <c r="AD1798" s="6"/>
      <c r="AE1798" s="6"/>
      <c r="AF1798" s="6"/>
      <c r="AG1798" s="6"/>
      <c r="AH1798" s="6"/>
      <c r="AI1798" s="6"/>
      <c r="AJ1798" s="6"/>
      <c r="AK1798" s="6"/>
      <c r="AL1798" s="6"/>
    </row>
    <row r="1799" spans="1:38">
      <c r="A1799" s="96"/>
      <c r="B1799" s="6"/>
      <c r="C1799" s="6"/>
      <c r="D1799" s="6"/>
      <c r="E1799" s="6"/>
      <c r="F1799" s="6"/>
      <c r="G1799" s="80"/>
      <c r="H1799" s="6"/>
      <c r="I1799" s="6"/>
      <c r="J1799" s="6"/>
      <c r="K1799" s="8"/>
      <c r="L1799" s="8"/>
      <c r="M1799" s="96"/>
      <c r="N1799" s="6"/>
      <c r="O1799" s="97"/>
      <c r="P1799" s="6"/>
      <c r="Q1799" s="6"/>
      <c r="R1799" s="6"/>
      <c r="S1799" s="6"/>
      <c r="T1799" s="6"/>
      <c r="U1799" s="6"/>
      <c r="V1799" s="6"/>
      <c r="W1799" s="6"/>
      <c r="X1799" s="6"/>
      <c r="Y1799" s="6"/>
      <c r="Z1799" s="6"/>
      <c r="AA1799" s="6"/>
      <c r="AB1799" s="6"/>
      <c r="AC1799" s="6"/>
      <c r="AD1799" s="6"/>
      <c r="AE1799" s="6"/>
      <c r="AF1799" s="6"/>
      <c r="AG1799" s="6"/>
      <c r="AH1799" s="6"/>
      <c r="AI1799" s="6"/>
      <c r="AJ1799" s="6"/>
      <c r="AK1799" s="6"/>
      <c r="AL1799" s="6"/>
    </row>
    <row r="1800" spans="1:38">
      <c r="A1800" s="96"/>
      <c r="B1800" s="6"/>
      <c r="C1800" s="6"/>
      <c r="D1800" s="6"/>
      <c r="E1800" s="6"/>
      <c r="F1800" s="6"/>
      <c r="G1800" s="80"/>
      <c r="H1800" s="6"/>
      <c r="I1800" s="6"/>
      <c r="J1800" s="6"/>
      <c r="K1800" s="8"/>
      <c r="L1800" s="8"/>
      <c r="M1800" s="96"/>
      <c r="N1800" s="6"/>
      <c r="O1800" s="97"/>
      <c r="P1800" s="6"/>
      <c r="Q1800" s="6"/>
      <c r="R1800" s="6"/>
      <c r="S1800" s="6"/>
      <c r="T1800" s="6"/>
      <c r="U1800" s="6"/>
      <c r="V1800" s="6"/>
      <c r="W1800" s="6"/>
      <c r="X1800" s="6"/>
      <c r="Y1800" s="6"/>
      <c r="Z1800" s="6"/>
      <c r="AA1800" s="6"/>
      <c r="AB1800" s="6"/>
      <c r="AC1800" s="6"/>
      <c r="AD1800" s="6"/>
      <c r="AE1800" s="6"/>
      <c r="AF1800" s="6"/>
      <c r="AG1800" s="6"/>
      <c r="AH1800" s="6"/>
      <c r="AI1800" s="6"/>
      <c r="AJ1800" s="6"/>
      <c r="AK1800" s="6"/>
      <c r="AL1800" s="6"/>
    </row>
    <row r="1801" spans="1:38">
      <c r="A1801" s="96"/>
      <c r="B1801" s="6"/>
      <c r="C1801" s="6"/>
      <c r="D1801" s="6"/>
      <c r="E1801" s="6"/>
      <c r="F1801" s="6"/>
      <c r="G1801" s="80"/>
      <c r="H1801" s="6"/>
      <c r="I1801" s="6"/>
      <c r="J1801" s="6"/>
      <c r="K1801" s="8"/>
      <c r="L1801" s="8"/>
      <c r="M1801" s="96"/>
      <c r="N1801" s="6"/>
      <c r="O1801" s="97"/>
      <c r="P1801" s="6"/>
      <c r="Q1801" s="6"/>
      <c r="R1801" s="6"/>
      <c r="S1801" s="6"/>
      <c r="T1801" s="6"/>
      <c r="U1801" s="6"/>
      <c r="V1801" s="6"/>
      <c r="W1801" s="6"/>
      <c r="X1801" s="6"/>
      <c r="Y1801" s="6"/>
      <c r="Z1801" s="6"/>
      <c r="AA1801" s="6"/>
      <c r="AB1801" s="6"/>
      <c r="AC1801" s="6"/>
      <c r="AD1801" s="6"/>
      <c r="AE1801" s="6"/>
      <c r="AF1801" s="6"/>
      <c r="AG1801" s="6"/>
      <c r="AH1801" s="6"/>
      <c r="AI1801" s="6"/>
      <c r="AJ1801" s="6"/>
      <c r="AK1801" s="6"/>
      <c r="AL1801" s="6"/>
    </row>
    <row r="1802" spans="1:38">
      <c r="A1802" s="96"/>
      <c r="B1802" s="6"/>
      <c r="C1802" s="6"/>
      <c r="D1802" s="6"/>
      <c r="E1802" s="6"/>
      <c r="F1802" s="6"/>
      <c r="G1802" s="80"/>
      <c r="H1802" s="6"/>
      <c r="I1802" s="6"/>
      <c r="J1802" s="6"/>
      <c r="K1802" s="8"/>
      <c r="L1802" s="8"/>
      <c r="M1802" s="96"/>
      <c r="N1802" s="6"/>
      <c r="O1802" s="97"/>
      <c r="P1802" s="6"/>
      <c r="Q1802" s="6"/>
      <c r="R1802" s="6"/>
      <c r="S1802" s="6"/>
      <c r="T1802" s="6"/>
      <c r="U1802" s="6"/>
      <c r="V1802" s="6"/>
      <c r="W1802" s="6"/>
      <c r="X1802" s="6"/>
      <c r="Y1802" s="6"/>
      <c r="Z1802" s="6"/>
      <c r="AA1802" s="6"/>
      <c r="AB1802" s="6"/>
      <c r="AC1802" s="6"/>
      <c r="AD1802" s="6"/>
      <c r="AE1802" s="6"/>
      <c r="AF1802" s="6"/>
      <c r="AG1802" s="6"/>
      <c r="AH1802" s="6"/>
      <c r="AI1802" s="6"/>
      <c r="AJ1802" s="6"/>
      <c r="AK1802" s="6"/>
      <c r="AL1802" s="6"/>
    </row>
    <row r="1803" spans="1:38">
      <c r="A1803" s="96"/>
      <c r="B1803" s="6"/>
      <c r="C1803" s="6"/>
      <c r="D1803" s="6"/>
      <c r="E1803" s="6"/>
      <c r="F1803" s="6"/>
      <c r="G1803" s="80"/>
      <c r="H1803" s="6"/>
      <c r="I1803" s="6"/>
      <c r="J1803" s="6"/>
      <c r="K1803" s="8"/>
      <c r="L1803" s="8"/>
      <c r="M1803" s="96"/>
      <c r="N1803" s="6"/>
      <c r="O1803" s="97"/>
      <c r="P1803" s="6"/>
      <c r="Q1803" s="6"/>
      <c r="R1803" s="6"/>
      <c r="S1803" s="6"/>
      <c r="T1803" s="6"/>
      <c r="U1803" s="6"/>
      <c r="V1803" s="6"/>
      <c r="W1803" s="6"/>
      <c r="X1803" s="6"/>
      <c r="Y1803" s="6"/>
      <c r="Z1803" s="6"/>
      <c r="AA1803" s="6"/>
      <c r="AB1803" s="6"/>
      <c r="AC1803" s="6"/>
      <c r="AD1803" s="6"/>
      <c r="AE1803" s="6"/>
      <c r="AF1803" s="6"/>
      <c r="AG1803" s="6"/>
      <c r="AH1803" s="6"/>
      <c r="AI1803" s="6"/>
      <c r="AJ1803" s="6"/>
      <c r="AK1803" s="6"/>
      <c r="AL1803" s="6"/>
    </row>
    <row r="1804" spans="1:38">
      <c r="A1804" s="96"/>
      <c r="B1804" s="6"/>
      <c r="C1804" s="6"/>
      <c r="D1804" s="6"/>
      <c r="E1804" s="6"/>
      <c r="F1804" s="6"/>
      <c r="G1804" s="80"/>
      <c r="H1804" s="6"/>
      <c r="I1804" s="6"/>
      <c r="J1804" s="6"/>
      <c r="K1804" s="8"/>
      <c r="L1804" s="8"/>
      <c r="M1804" s="96"/>
      <c r="N1804" s="6"/>
      <c r="O1804" s="97"/>
      <c r="P1804" s="6"/>
      <c r="Q1804" s="6"/>
      <c r="R1804" s="6"/>
      <c r="S1804" s="6"/>
      <c r="T1804" s="6"/>
      <c r="U1804" s="6"/>
      <c r="V1804" s="6"/>
      <c r="W1804" s="6"/>
      <c r="X1804" s="6"/>
      <c r="Y1804" s="6"/>
      <c r="Z1804" s="6"/>
      <c r="AA1804" s="6"/>
      <c r="AB1804" s="6"/>
      <c r="AC1804" s="6"/>
      <c r="AD1804" s="6"/>
      <c r="AE1804" s="6"/>
      <c r="AF1804" s="6"/>
      <c r="AG1804" s="6"/>
      <c r="AH1804" s="6"/>
      <c r="AI1804" s="6"/>
      <c r="AJ1804" s="6"/>
      <c r="AK1804" s="6"/>
      <c r="AL1804" s="6"/>
    </row>
    <row r="1805" spans="1:38">
      <c r="A1805" s="96"/>
      <c r="B1805" s="6"/>
      <c r="C1805" s="6"/>
      <c r="D1805" s="6"/>
      <c r="E1805" s="6"/>
      <c r="F1805" s="6"/>
      <c r="G1805" s="80"/>
      <c r="H1805" s="6"/>
      <c r="I1805" s="6"/>
      <c r="J1805" s="6"/>
      <c r="K1805" s="8"/>
      <c r="L1805" s="8"/>
      <c r="M1805" s="96"/>
      <c r="N1805" s="6"/>
      <c r="O1805" s="97"/>
      <c r="P1805" s="6"/>
      <c r="Q1805" s="6"/>
      <c r="R1805" s="6"/>
      <c r="S1805" s="6"/>
      <c r="T1805" s="6"/>
      <c r="U1805" s="6"/>
      <c r="V1805" s="6"/>
      <c r="W1805" s="6"/>
      <c r="X1805" s="6"/>
      <c r="Y1805" s="6"/>
      <c r="Z1805" s="6"/>
      <c r="AA1805" s="6"/>
      <c r="AB1805" s="6"/>
      <c r="AC1805" s="6"/>
      <c r="AD1805" s="6"/>
      <c r="AE1805" s="6"/>
      <c r="AF1805" s="6"/>
      <c r="AG1805" s="6"/>
      <c r="AH1805" s="6"/>
      <c r="AI1805" s="6"/>
      <c r="AJ1805" s="6"/>
      <c r="AK1805" s="6"/>
      <c r="AL1805" s="6"/>
    </row>
    <row r="1806" spans="1:38">
      <c r="A1806" s="96"/>
      <c r="B1806" s="6"/>
      <c r="C1806" s="6"/>
      <c r="D1806" s="6"/>
      <c r="E1806" s="6"/>
      <c r="F1806" s="6"/>
      <c r="G1806" s="80"/>
      <c r="H1806" s="6"/>
      <c r="I1806" s="6"/>
      <c r="J1806" s="6"/>
      <c r="K1806" s="8"/>
      <c r="L1806" s="8"/>
      <c r="M1806" s="96"/>
      <c r="N1806" s="6"/>
      <c r="O1806" s="97"/>
      <c r="P1806" s="6"/>
      <c r="Q1806" s="6"/>
      <c r="R1806" s="6"/>
      <c r="S1806" s="6"/>
      <c r="T1806" s="6"/>
      <c r="U1806" s="6"/>
      <c r="V1806" s="6"/>
      <c r="W1806" s="6"/>
      <c r="X1806" s="6"/>
      <c r="Y1806" s="6"/>
      <c r="Z1806" s="6"/>
      <c r="AA1806" s="6"/>
      <c r="AB1806" s="6"/>
      <c r="AC1806" s="6"/>
      <c r="AD1806" s="6"/>
      <c r="AE1806" s="6"/>
      <c r="AF1806" s="6"/>
      <c r="AG1806" s="6"/>
      <c r="AH1806" s="6"/>
      <c r="AI1806" s="6"/>
      <c r="AJ1806" s="6"/>
      <c r="AK1806" s="6"/>
      <c r="AL1806" s="6"/>
    </row>
    <row r="1807" spans="1:38">
      <c r="A1807" s="96"/>
      <c r="B1807" s="6"/>
      <c r="C1807" s="6"/>
      <c r="D1807" s="6"/>
      <c r="E1807" s="6"/>
      <c r="F1807" s="6"/>
      <c r="G1807" s="80"/>
      <c r="H1807" s="6"/>
      <c r="I1807" s="6"/>
      <c r="J1807" s="6"/>
      <c r="K1807" s="8"/>
      <c r="L1807" s="8"/>
      <c r="M1807" s="96"/>
      <c r="N1807" s="6"/>
      <c r="O1807" s="97"/>
      <c r="P1807" s="6"/>
      <c r="Q1807" s="6"/>
      <c r="R1807" s="6"/>
      <c r="S1807" s="6"/>
      <c r="T1807" s="6"/>
      <c r="U1807" s="6"/>
      <c r="V1807" s="6"/>
      <c r="W1807" s="6"/>
      <c r="X1807" s="6"/>
      <c r="Y1807" s="6"/>
      <c r="Z1807" s="6"/>
      <c r="AA1807" s="6"/>
      <c r="AB1807" s="6"/>
      <c r="AC1807" s="6"/>
      <c r="AD1807" s="6"/>
      <c r="AE1807" s="6"/>
      <c r="AF1807" s="6"/>
      <c r="AG1807" s="6"/>
      <c r="AH1807" s="6"/>
      <c r="AI1807" s="6"/>
      <c r="AJ1807" s="6"/>
      <c r="AK1807" s="6"/>
      <c r="AL1807" s="6"/>
    </row>
    <row r="1808" spans="1:38">
      <c r="A1808" s="96"/>
      <c r="B1808" s="6"/>
      <c r="C1808" s="6"/>
      <c r="D1808" s="6"/>
      <c r="E1808" s="6"/>
      <c r="F1808" s="6"/>
      <c r="G1808" s="80"/>
      <c r="H1808" s="6"/>
      <c r="I1808" s="6"/>
      <c r="J1808" s="6"/>
      <c r="K1808" s="8"/>
      <c r="L1808" s="8"/>
      <c r="M1808" s="96"/>
      <c r="N1808" s="6"/>
      <c r="O1808" s="97"/>
      <c r="P1808" s="6"/>
      <c r="Q1808" s="6"/>
      <c r="R1808" s="6"/>
      <c r="S1808" s="6"/>
      <c r="T1808" s="6"/>
      <c r="U1808" s="6"/>
      <c r="V1808" s="6"/>
      <c r="W1808" s="6"/>
      <c r="X1808" s="6"/>
      <c r="Y1808" s="6"/>
      <c r="Z1808" s="6"/>
      <c r="AA1808" s="6"/>
      <c r="AB1808" s="6"/>
      <c r="AC1808" s="6"/>
      <c r="AD1808" s="6"/>
      <c r="AE1808" s="6"/>
      <c r="AF1808" s="6"/>
      <c r="AG1808" s="6"/>
      <c r="AH1808" s="6"/>
      <c r="AI1808" s="6"/>
      <c r="AJ1808" s="6"/>
      <c r="AK1808" s="6"/>
      <c r="AL1808" s="6"/>
    </row>
    <row r="1809" spans="1:38">
      <c r="A1809" s="96"/>
      <c r="B1809" s="6"/>
      <c r="C1809" s="6"/>
      <c r="D1809" s="6"/>
      <c r="E1809" s="6"/>
      <c r="F1809" s="6"/>
      <c r="G1809" s="80"/>
      <c r="H1809" s="6"/>
      <c r="I1809" s="6"/>
      <c r="J1809" s="6"/>
      <c r="K1809" s="8"/>
      <c r="L1809" s="8"/>
      <c r="M1809" s="96"/>
      <c r="N1809" s="6"/>
      <c r="O1809" s="97"/>
      <c r="P1809" s="6"/>
      <c r="Q1809" s="6"/>
      <c r="R1809" s="6"/>
      <c r="S1809" s="6"/>
      <c r="T1809" s="6"/>
      <c r="U1809" s="6"/>
      <c r="V1809" s="6"/>
      <c r="W1809" s="6"/>
      <c r="X1809" s="6"/>
      <c r="Y1809" s="6"/>
      <c r="Z1809" s="6"/>
      <c r="AA1809" s="6"/>
      <c r="AB1809" s="6"/>
      <c r="AC1809" s="6"/>
      <c r="AD1809" s="6"/>
      <c r="AE1809" s="6"/>
      <c r="AF1809" s="6"/>
      <c r="AG1809" s="6"/>
      <c r="AH1809" s="6"/>
      <c r="AI1809" s="6"/>
      <c r="AJ1809" s="6"/>
      <c r="AK1809" s="6"/>
      <c r="AL1809" s="6"/>
    </row>
    <row r="1810" spans="1:38">
      <c r="A1810" s="96"/>
      <c r="B1810" s="6"/>
      <c r="C1810" s="6"/>
      <c r="D1810" s="6"/>
      <c r="E1810" s="6"/>
      <c r="F1810" s="6"/>
      <c r="G1810" s="80"/>
      <c r="H1810" s="6"/>
      <c r="I1810" s="6"/>
      <c r="J1810" s="6"/>
      <c r="K1810" s="8"/>
      <c r="L1810" s="8"/>
      <c r="M1810" s="96"/>
      <c r="N1810" s="6"/>
      <c r="O1810" s="97"/>
      <c r="P1810" s="6"/>
      <c r="Q1810" s="6"/>
      <c r="R1810" s="6"/>
      <c r="S1810" s="6"/>
      <c r="T1810" s="6"/>
      <c r="U1810" s="6"/>
      <c r="V1810" s="6"/>
      <c r="W1810" s="6"/>
      <c r="X1810" s="6"/>
      <c r="Y1810" s="6"/>
      <c r="Z1810" s="6"/>
      <c r="AA1810" s="6"/>
      <c r="AB1810" s="6"/>
      <c r="AC1810" s="6"/>
      <c r="AD1810" s="6"/>
      <c r="AE1810" s="6"/>
      <c r="AF1810" s="6"/>
      <c r="AG1810" s="6"/>
      <c r="AH1810" s="6"/>
      <c r="AI1810" s="6"/>
      <c r="AJ1810" s="6"/>
      <c r="AK1810" s="6"/>
      <c r="AL1810" s="6"/>
    </row>
    <row r="1811" spans="1:38">
      <c r="A1811" s="96"/>
      <c r="B1811" s="6"/>
      <c r="C1811" s="6"/>
      <c r="D1811" s="6"/>
      <c r="E1811" s="6"/>
      <c r="F1811" s="6"/>
      <c r="G1811" s="80"/>
      <c r="H1811" s="6"/>
      <c r="I1811" s="6"/>
      <c r="J1811" s="6"/>
      <c r="K1811" s="8"/>
      <c r="L1811" s="8"/>
      <c r="M1811" s="96"/>
      <c r="N1811" s="6"/>
      <c r="O1811" s="97"/>
      <c r="P1811" s="6"/>
      <c r="Q1811" s="6"/>
      <c r="R1811" s="6"/>
      <c r="S1811" s="6"/>
      <c r="T1811" s="6"/>
      <c r="U1811" s="6"/>
      <c r="V1811" s="6"/>
      <c r="W1811" s="6"/>
      <c r="X1811" s="6"/>
      <c r="Y1811" s="6"/>
      <c r="Z1811" s="6"/>
      <c r="AA1811" s="6"/>
      <c r="AB1811" s="6"/>
      <c r="AC1811" s="6"/>
      <c r="AD1811" s="6"/>
      <c r="AE1811" s="6"/>
      <c r="AF1811" s="6"/>
      <c r="AG1811" s="6"/>
      <c r="AH1811" s="6"/>
      <c r="AI1811" s="6"/>
      <c r="AJ1811" s="6"/>
      <c r="AK1811" s="6"/>
      <c r="AL1811" s="6"/>
    </row>
    <row r="1812" spans="1:38">
      <c r="A1812" s="96"/>
      <c r="B1812" s="6"/>
      <c r="C1812" s="6"/>
      <c r="D1812" s="6"/>
      <c r="E1812" s="6"/>
      <c r="F1812" s="6"/>
      <c r="G1812" s="80"/>
      <c r="H1812" s="6"/>
      <c r="I1812" s="6"/>
      <c r="J1812" s="6"/>
      <c r="K1812" s="8"/>
      <c r="L1812" s="8"/>
      <c r="M1812" s="96"/>
      <c r="N1812" s="6"/>
      <c r="O1812" s="97"/>
      <c r="P1812" s="6"/>
      <c r="Q1812" s="6"/>
      <c r="R1812" s="6"/>
      <c r="S1812" s="6"/>
      <c r="T1812" s="6"/>
      <c r="U1812" s="6"/>
      <c r="V1812" s="6"/>
      <c r="W1812" s="6"/>
      <c r="X1812" s="6"/>
      <c r="Y1812" s="6"/>
      <c r="Z1812" s="6"/>
      <c r="AA1812" s="6"/>
      <c r="AB1812" s="6"/>
      <c r="AC1812" s="6"/>
      <c r="AD1812" s="6"/>
      <c r="AE1812" s="6"/>
      <c r="AF1812" s="6"/>
      <c r="AG1812" s="6"/>
      <c r="AH1812" s="6"/>
      <c r="AI1812" s="6"/>
      <c r="AJ1812" s="6"/>
      <c r="AK1812" s="6"/>
      <c r="AL1812" s="6"/>
    </row>
    <row r="1813" spans="1:38">
      <c r="A1813" s="96"/>
      <c r="B1813" s="6"/>
      <c r="C1813" s="6"/>
      <c r="D1813" s="6"/>
      <c r="E1813" s="6"/>
      <c r="F1813" s="6"/>
      <c r="G1813" s="80"/>
      <c r="H1813" s="6"/>
      <c r="I1813" s="6"/>
      <c r="J1813" s="6"/>
      <c r="K1813" s="8"/>
      <c r="L1813" s="8"/>
      <c r="M1813" s="96"/>
      <c r="N1813" s="6"/>
      <c r="O1813" s="97"/>
      <c r="P1813" s="6"/>
      <c r="Q1813" s="6"/>
      <c r="R1813" s="6"/>
      <c r="S1813" s="6"/>
      <c r="T1813" s="6"/>
      <c r="U1813" s="6"/>
      <c r="V1813" s="6"/>
      <c r="W1813" s="6"/>
      <c r="X1813" s="6"/>
      <c r="Y1813" s="6"/>
      <c r="Z1813" s="6"/>
      <c r="AA1813" s="6"/>
      <c r="AB1813" s="6"/>
      <c r="AC1813" s="6"/>
      <c r="AD1813" s="6"/>
      <c r="AE1813" s="6"/>
      <c r="AF1813" s="6"/>
      <c r="AG1813" s="6"/>
      <c r="AH1813" s="6"/>
      <c r="AI1813" s="6"/>
      <c r="AJ1813" s="6"/>
      <c r="AK1813" s="6"/>
      <c r="AL1813" s="6"/>
    </row>
    <row r="1814" spans="1:38">
      <c r="A1814" s="96"/>
      <c r="B1814" s="6"/>
      <c r="C1814" s="6"/>
      <c r="D1814" s="6"/>
      <c r="E1814" s="6"/>
      <c r="F1814" s="6"/>
      <c r="G1814" s="80"/>
      <c r="H1814" s="6"/>
      <c r="I1814" s="6"/>
      <c r="J1814" s="6"/>
      <c r="K1814" s="8"/>
      <c r="L1814" s="8"/>
      <c r="M1814" s="96"/>
      <c r="N1814" s="6"/>
      <c r="O1814" s="97"/>
      <c r="P1814" s="6"/>
      <c r="Q1814" s="6"/>
      <c r="R1814" s="6"/>
      <c r="S1814" s="6"/>
      <c r="T1814" s="6"/>
      <c r="U1814" s="6"/>
      <c r="V1814" s="6"/>
      <c r="W1814" s="6"/>
      <c r="X1814" s="6"/>
      <c r="Y1814" s="6"/>
      <c r="Z1814" s="6"/>
      <c r="AA1814" s="6"/>
      <c r="AB1814" s="6"/>
      <c r="AC1814" s="6"/>
      <c r="AD1814" s="6"/>
      <c r="AE1814" s="6"/>
      <c r="AF1814" s="6"/>
      <c r="AG1814" s="6"/>
      <c r="AH1814" s="6"/>
      <c r="AI1814" s="6"/>
      <c r="AJ1814" s="6"/>
      <c r="AK1814" s="6"/>
      <c r="AL1814" s="6"/>
    </row>
    <row r="1815" spans="1:38">
      <c r="A1815" s="96"/>
      <c r="B1815" s="6"/>
      <c r="C1815" s="6"/>
      <c r="D1815" s="6"/>
      <c r="E1815" s="6"/>
      <c r="F1815" s="6"/>
      <c r="G1815" s="80"/>
      <c r="H1815" s="6"/>
      <c r="I1815" s="6"/>
      <c r="J1815" s="6"/>
      <c r="K1815" s="8"/>
      <c r="L1815" s="8"/>
      <c r="M1815" s="96"/>
      <c r="N1815" s="6"/>
      <c r="O1815" s="97"/>
      <c r="P1815" s="6"/>
      <c r="Q1815" s="6"/>
      <c r="R1815" s="6"/>
      <c r="S1815" s="6"/>
      <c r="T1815" s="6"/>
      <c r="U1815" s="6"/>
      <c r="V1815" s="6"/>
      <c r="W1815" s="6"/>
      <c r="X1815" s="6"/>
      <c r="Y1815" s="6"/>
      <c r="Z1815" s="6"/>
      <c r="AA1815" s="6"/>
      <c r="AB1815" s="6"/>
      <c r="AC1815" s="6"/>
      <c r="AD1815" s="6"/>
      <c r="AE1815" s="6"/>
      <c r="AF1815" s="6"/>
      <c r="AG1815" s="6"/>
      <c r="AH1815" s="6"/>
      <c r="AI1815" s="6"/>
      <c r="AJ1815" s="6"/>
      <c r="AK1815" s="6"/>
      <c r="AL1815" s="6"/>
    </row>
    <row r="1816" spans="1:38">
      <c r="A1816" s="96"/>
      <c r="B1816" s="6"/>
      <c r="C1816" s="6"/>
      <c r="D1816" s="6"/>
      <c r="E1816" s="6"/>
      <c r="F1816" s="6"/>
      <c r="G1816" s="80"/>
      <c r="H1816" s="6"/>
      <c r="I1816" s="6"/>
      <c r="J1816" s="6"/>
      <c r="K1816" s="8"/>
      <c r="L1816" s="8"/>
      <c r="M1816" s="96"/>
      <c r="N1816" s="6"/>
      <c r="O1816" s="97"/>
      <c r="P1816" s="6"/>
      <c r="Q1816" s="6"/>
      <c r="R1816" s="6"/>
      <c r="S1816" s="6"/>
      <c r="T1816" s="6"/>
      <c r="U1816" s="6"/>
      <c r="V1816" s="6"/>
      <c r="W1816" s="6"/>
      <c r="X1816" s="6"/>
      <c r="Y1816" s="6"/>
      <c r="Z1816" s="6"/>
      <c r="AA1816" s="6"/>
      <c r="AB1816" s="6"/>
      <c r="AC1816" s="6"/>
      <c r="AD1816" s="6"/>
      <c r="AE1816" s="6"/>
      <c r="AF1816" s="6"/>
      <c r="AG1816" s="6"/>
      <c r="AH1816" s="6"/>
      <c r="AI1816" s="6"/>
      <c r="AJ1816" s="6"/>
      <c r="AK1816" s="6"/>
      <c r="AL1816" s="6"/>
    </row>
    <row r="1817" spans="1:38">
      <c r="A1817" s="96"/>
      <c r="B1817" s="6"/>
      <c r="C1817" s="6"/>
      <c r="D1817" s="6"/>
      <c r="E1817" s="6"/>
      <c r="F1817" s="6"/>
      <c r="G1817" s="80"/>
      <c r="H1817" s="6"/>
      <c r="I1817" s="6"/>
      <c r="J1817" s="6"/>
      <c r="K1817" s="8"/>
      <c r="L1817" s="8"/>
      <c r="M1817" s="96"/>
      <c r="N1817" s="6"/>
      <c r="O1817" s="97"/>
      <c r="P1817" s="6"/>
      <c r="Q1817" s="6"/>
      <c r="R1817" s="6"/>
      <c r="S1817" s="6"/>
      <c r="T1817" s="6"/>
      <c r="U1817" s="6"/>
      <c r="V1817" s="6"/>
      <c r="W1817" s="6"/>
      <c r="X1817" s="6"/>
      <c r="Y1817" s="6"/>
      <c r="Z1817" s="6"/>
      <c r="AA1817" s="6"/>
      <c r="AB1817" s="6"/>
      <c r="AC1817" s="6"/>
      <c r="AD1817" s="6"/>
      <c r="AE1817" s="6"/>
      <c r="AF1817" s="6"/>
      <c r="AG1817" s="6"/>
      <c r="AH1817" s="6"/>
      <c r="AI1817" s="6"/>
      <c r="AJ1817" s="6"/>
      <c r="AK1817" s="6"/>
      <c r="AL1817" s="6"/>
    </row>
    <row r="1818" spans="1:38">
      <c r="A1818" s="96"/>
      <c r="B1818" s="6"/>
      <c r="C1818" s="6"/>
      <c r="D1818" s="6"/>
      <c r="E1818" s="6"/>
      <c r="F1818" s="6"/>
      <c r="G1818" s="80"/>
      <c r="H1818" s="6"/>
      <c r="I1818" s="6"/>
      <c r="J1818" s="6"/>
      <c r="K1818" s="8"/>
      <c r="L1818" s="8"/>
      <c r="M1818" s="96"/>
      <c r="N1818" s="6"/>
      <c r="O1818" s="97"/>
      <c r="P1818" s="6"/>
      <c r="Q1818" s="6"/>
      <c r="R1818" s="6"/>
      <c r="S1818" s="6"/>
      <c r="T1818" s="6"/>
      <c r="U1818" s="6"/>
      <c r="V1818" s="6"/>
      <c r="W1818" s="6"/>
      <c r="X1818" s="6"/>
      <c r="Y1818" s="6"/>
      <c r="Z1818" s="6"/>
      <c r="AA1818" s="6"/>
      <c r="AB1818" s="6"/>
      <c r="AC1818" s="6"/>
      <c r="AD1818" s="6"/>
      <c r="AE1818" s="6"/>
      <c r="AF1818" s="6"/>
      <c r="AG1818" s="6"/>
      <c r="AH1818" s="6"/>
      <c r="AI1818" s="6"/>
      <c r="AJ1818" s="6"/>
      <c r="AK1818" s="6"/>
      <c r="AL1818" s="6"/>
    </row>
    <row r="1819" spans="1:38">
      <c r="A1819" s="96"/>
      <c r="B1819" s="6"/>
      <c r="C1819" s="6"/>
      <c r="D1819" s="6"/>
      <c r="E1819" s="6"/>
      <c r="F1819" s="6"/>
      <c r="G1819" s="80"/>
      <c r="H1819" s="6"/>
      <c r="I1819" s="6"/>
      <c r="J1819" s="6"/>
      <c r="K1819" s="8"/>
      <c r="L1819" s="8"/>
      <c r="M1819" s="96"/>
      <c r="N1819" s="6"/>
      <c r="O1819" s="97"/>
      <c r="P1819" s="6"/>
      <c r="Q1819" s="6"/>
      <c r="R1819" s="6"/>
      <c r="S1819" s="6"/>
      <c r="T1819" s="6"/>
      <c r="U1819" s="6"/>
      <c r="V1819" s="6"/>
      <c r="W1819" s="6"/>
      <c r="X1819" s="6"/>
      <c r="Y1819" s="6"/>
      <c r="Z1819" s="6"/>
      <c r="AA1819" s="6"/>
      <c r="AB1819" s="6"/>
      <c r="AC1819" s="6"/>
      <c r="AD1819" s="6"/>
      <c r="AE1819" s="6"/>
      <c r="AF1819" s="6"/>
      <c r="AG1819" s="6"/>
      <c r="AH1819" s="6"/>
      <c r="AI1819" s="6"/>
      <c r="AJ1819" s="6"/>
      <c r="AK1819" s="6"/>
      <c r="AL1819" s="6"/>
    </row>
    <row r="1820" spans="1:38">
      <c r="A1820" s="96"/>
      <c r="B1820" s="6"/>
      <c r="C1820" s="6"/>
      <c r="D1820" s="6"/>
      <c r="E1820" s="6"/>
      <c r="F1820" s="6"/>
      <c r="G1820" s="80"/>
      <c r="H1820" s="6"/>
      <c r="I1820" s="6"/>
      <c r="J1820" s="6"/>
      <c r="K1820" s="8"/>
      <c r="L1820" s="8"/>
      <c r="M1820" s="96"/>
      <c r="N1820" s="6"/>
      <c r="O1820" s="97"/>
      <c r="P1820" s="6"/>
      <c r="Q1820" s="6"/>
      <c r="R1820" s="6"/>
      <c r="S1820" s="6"/>
      <c r="T1820" s="6"/>
      <c r="U1820" s="6"/>
      <c r="V1820" s="6"/>
      <c r="W1820" s="6"/>
      <c r="X1820" s="6"/>
      <c r="Y1820" s="6"/>
      <c r="Z1820" s="6"/>
      <c r="AA1820" s="6"/>
      <c r="AB1820" s="6"/>
      <c r="AC1820" s="6"/>
      <c r="AD1820" s="6"/>
      <c r="AE1820" s="6"/>
      <c r="AF1820" s="6"/>
      <c r="AG1820" s="6"/>
      <c r="AH1820" s="6"/>
      <c r="AI1820" s="6"/>
      <c r="AJ1820" s="6"/>
      <c r="AK1820" s="6"/>
      <c r="AL1820" s="6"/>
    </row>
    <row r="1821" spans="1:38">
      <c r="A1821" s="96"/>
      <c r="B1821" s="6"/>
      <c r="C1821" s="6"/>
      <c r="D1821" s="6"/>
      <c r="E1821" s="6"/>
      <c r="F1821" s="6"/>
      <c r="G1821" s="80"/>
      <c r="H1821" s="6"/>
      <c r="I1821" s="6"/>
      <c r="J1821" s="6"/>
      <c r="K1821" s="8"/>
      <c r="L1821" s="8"/>
      <c r="M1821" s="96"/>
      <c r="N1821" s="6"/>
      <c r="O1821" s="97"/>
      <c r="P1821" s="6"/>
      <c r="Q1821" s="6"/>
      <c r="R1821" s="6"/>
      <c r="S1821" s="6"/>
      <c r="T1821" s="6"/>
      <c r="U1821" s="6"/>
      <c r="V1821" s="6"/>
      <c r="W1821" s="6"/>
      <c r="X1821" s="6"/>
      <c r="Y1821" s="6"/>
      <c r="Z1821" s="6"/>
      <c r="AA1821" s="6"/>
      <c r="AB1821" s="6"/>
      <c r="AC1821" s="6"/>
      <c r="AD1821" s="6"/>
      <c r="AE1821" s="6"/>
      <c r="AF1821" s="6"/>
      <c r="AG1821" s="6"/>
      <c r="AH1821" s="6"/>
      <c r="AI1821" s="6"/>
      <c r="AJ1821" s="6"/>
      <c r="AK1821" s="6"/>
      <c r="AL1821" s="6"/>
    </row>
    <row r="1822" spans="1:38">
      <c r="A1822" s="96"/>
      <c r="B1822" s="6"/>
      <c r="C1822" s="6"/>
      <c r="D1822" s="6"/>
      <c r="E1822" s="6"/>
      <c r="F1822" s="6"/>
      <c r="G1822" s="80"/>
      <c r="H1822" s="6"/>
      <c r="I1822" s="6"/>
      <c r="J1822" s="6"/>
      <c r="K1822" s="8"/>
      <c r="L1822" s="8"/>
      <c r="M1822" s="96"/>
      <c r="N1822" s="6"/>
      <c r="O1822" s="97"/>
      <c r="P1822" s="6"/>
      <c r="Q1822" s="6"/>
      <c r="R1822" s="6"/>
      <c r="S1822" s="6"/>
      <c r="T1822" s="6"/>
      <c r="U1822" s="6"/>
      <c r="V1822" s="6"/>
      <c r="W1822" s="6"/>
      <c r="X1822" s="6"/>
      <c r="Y1822" s="6"/>
      <c r="Z1822" s="6"/>
      <c r="AA1822" s="6"/>
      <c r="AB1822" s="6"/>
      <c r="AC1822" s="6"/>
      <c r="AD1822" s="6"/>
      <c r="AE1822" s="6"/>
      <c r="AF1822" s="6"/>
      <c r="AG1822" s="6"/>
      <c r="AH1822" s="6"/>
      <c r="AI1822" s="6"/>
      <c r="AJ1822" s="6"/>
      <c r="AK1822" s="6"/>
      <c r="AL1822" s="6"/>
    </row>
    <row r="1823" spans="1:38">
      <c r="A1823" s="96"/>
      <c r="B1823" s="6"/>
      <c r="C1823" s="6"/>
      <c r="D1823" s="6"/>
      <c r="E1823" s="6"/>
      <c r="F1823" s="6"/>
      <c r="G1823" s="80"/>
      <c r="H1823" s="6"/>
      <c r="I1823" s="6"/>
      <c r="J1823" s="6"/>
      <c r="K1823" s="8"/>
      <c r="L1823" s="8"/>
      <c r="M1823" s="96"/>
      <c r="N1823" s="6"/>
      <c r="O1823" s="97"/>
      <c r="P1823" s="6"/>
      <c r="Q1823" s="6"/>
      <c r="R1823" s="6"/>
      <c r="S1823" s="6"/>
      <c r="T1823" s="6"/>
      <c r="U1823" s="6"/>
      <c r="V1823" s="6"/>
      <c r="W1823" s="6"/>
      <c r="X1823" s="6"/>
      <c r="Y1823" s="6"/>
      <c r="Z1823" s="6"/>
      <c r="AA1823" s="6"/>
      <c r="AB1823" s="6"/>
      <c r="AC1823" s="6"/>
      <c r="AD1823" s="6"/>
      <c r="AE1823" s="6"/>
      <c r="AF1823" s="6"/>
      <c r="AG1823" s="6"/>
      <c r="AH1823" s="6"/>
      <c r="AI1823" s="6"/>
      <c r="AJ1823" s="6"/>
      <c r="AK1823" s="6"/>
      <c r="AL1823" s="6"/>
    </row>
    <row r="1824" spans="1:38">
      <c r="A1824" s="96"/>
      <c r="B1824" s="6"/>
      <c r="C1824" s="6"/>
      <c r="D1824" s="6"/>
      <c r="E1824" s="6"/>
      <c r="F1824" s="6"/>
      <c r="G1824" s="80"/>
      <c r="H1824" s="6"/>
      <c r="I1824" s="6"/>
      <c r="J1824" s="6"/>
      <c r="K1824" s="8"/>
      <c r="L1824" s="8"/>
      <c r="M1824" s="96"/>
      <c r="N1824" s="6"/>
      <c r="O1824" s="97"/>
      <c r="P1824" s="6"/>
      <c r="Q1824" s="6"/>
      <c r="R1824" s="6"/>
      <c r="S1824" s="6"/>
      <c r="T1824" s="6"/>
      <c r="U1824" s="6"/>
      <c r="V1824" s="6"/>
      <c r="W1824" s="6"/>
      <c r="X1824" s="6"/>
      <c r="Y1824" s="6"/>
      <c r="Z1824" s="6"/>
      <c r="AA1824" s="6"/>
      <c r="AB1824" s="6"/>
      <c r="AC1824" s="6"/>
      <c r="AD1824" s="6"/>
      <c r="AE1824" s="6"/>
      <c r="AF1824" s="6"/>
      <c r="AG1824" s="6"/>
      <c r="AH1824" s="6"/>
      <c r="AI1824" s="6"/>
      <c r="AJ1824" s="6"/>
      <c r="AK1824" s="6"/>
      <c r="AL1824" s="6"/>
    </row>
    <row r="1825" spans="1:38">
      <c r="A1825" s="96"/>
      <c r="B1825" s="6"/>
      <c r="C1825" s="6"/>
      <c r="D1825" s="6"/>
      <c r="E1825" s="6"/>
      <c r="F1825" s="6"/>
      <c r="G1825" s="80"/>
      <c r="H1825" s="6"/>
      <c r="I1825" s="6"/>
      <c r="J1825" s="6"/>
      <c r="K1825" s="8"/>
      <c r="L1825" s="8"/>
      <c r="M1825" s="96"/>
      <c r="N1825" s="6"/>
      <c r="O1825" s="97"/>
      <c r="P1825" s="6"/>
      <c r="Q1825" s="6"/>
      <c r="R1825" s="6"/>
      <c r="S1825" s="6"/>
      <c r="T1825" s="6"/>
      <c r="U1825" s="6"/>
      <c r="V1825" s="6"/>
      <c r="W1825" s="6"/>
      <c r="X1825" s="6"/>
      <c r="Y1825" s="6"/>
      <c r="Z1825" s="6"/>
      <c r="AA1825" s="6"/>
      <c r="AB1825" s="6"/>
      <c r="AC1825" s="6"/>
      <c r="AD1825" s="6"/>
      <c r="AE1825" s="6"/>
      <c r="AF1825" s="6"/>
      <c r="AG1825" s="6"/>
      <c r="AH1825" s="6"/>
      <c r="AI1825" s="6"/>
      <c r="AJ1825" s="6"/>
      <c r="AK1825" s="6"/>
      <c r="AL1825" s="6"/>
    </row>
    <row r="1826" spans="1:38">
      <c r="A1826" s="96"/>
      <c r="B1826" s="6"/>
      <c r="C1826" s="6"/>
      <c r="D1826" s="6"/>
      <c r="E1826" s="6"/>
      <c r="F1826" s="6"/>
      <c r="G1826" s="80"/>
      <c r="H1826" s="6"/>
      <c r="I1826" s="6"/>
      <c r="J1826" s="6"/>
      <c r="K1826" s="8"/>
      <c r="L1826" s="8"/>
      <c r="M1826" s="96"/>
      <c r="N1826" s="6"/>
      <c r="O1826" s="97"/>
      <c r="P1826" s="6"/>
      <c r="Q1826" s="6"/>
      <c r="R1826" s="6"/>
      <c r="S1826" s="6"/>
      <c r="T1826" s="6"/>
      <c r="U1826" s="6"/>
      <c r="V1826" s="6"/>
      <c r="W1826" s="6"/>
      <c r="X1826" s="6"/>
      <c r="Y1826" s="6"/>
      <c r="Z1826" s="6"/>
      <c r="AA1826" s="6"/>
      <c r="AB1826" s="6"/>
      <c r="AC1826" s="6"/>
      <c r="AD1826" s="6"/>
      <c r="AE1826" s="6"/>
      <c r="AF1826" s="6"/>
      <c r="AG1826" s="6"/>
      <c r="AH1826" s="6"/>
      <c r="AI1826" s="6"/>
      <c r="AJ1826" s="6"/>
      <c r="AK1826" s="6"/>
      <c r="AL1826" s="6"/>
    </row>
    <row r="1827" spans="1:38">
      <c r="A1827" s="96"/>
      <c r="B1827" s="6"/>
      <c r="C1827" s="6"/>
      <c r="D1827" s="6"/>
      <c r="E1827" s="6"/>
      <c r="F1827" s="6"/>
      <c r="G1827" s="80"/>
      <c r="H1827" s="6"/>
      <c r="I1827" s="6"/>
      <c r="J1827" s="6"/>
      <c r="K1827" s="8"/>
      <c r="L1827" s="8"/>
      <c r="M1827" s="96"/>
      <c r="N1827" s="6"/>
      <c r="O1827" s="97"/>
      <c r="P1827" s="6"/>
      <c r="Q1827" s="6"/>
      <c r="R1827" s="6"/>
      <c r="S1827" s="6"/>
      <c r="T1827" s="6"/>
      <c r="U1827" s="6"/>
      <c r="V1827" s="6"/>
      <c r="W1827" s="6"/>
      <c r="X1827" s="6"/>
      <c r="Y1827" s="6"/>
      <c r="Z1827" s="6"/>
      <c r="AA1827" s="6"/>
      <c r="AB1827" s="6"/>
      <c r="AC1827" s="6"/>
      <c r="AD1827" s="6"/>
      <c r="AE1827" s="6"/>
      <c r="AF1827" s="6"/>
      <c r="AG1827" s="6"/>
      <c r="AH1827" s="6"/>
      <c r="AI1827" s="6"/>
      <c r="AJ1827" s="6"/>
      <c r="AK1827" s="6"/>
      <c r="AL1827" s="6"/>
    </row>
    <row r="1828" spans="1:38">
      <c r="A1828" s="96"/>
      <c r="B1828" s="6"/>
      <c r="C1828" s="6"/>
      <c r="D1828" s="6"/>
      <c r="E1828" s="6"/>
      <c r="F1828" s="6"/>
      <c r="G1828" s="80"/>
      <c r="H1828" s="6"/>
      <c r="I1828" s="6"/>
      <c r="J1828" s="6"/>
      <c r="K1828" s="8"/>
      <c r="L1828" s="8"/>
      <c r="M1828" s="96"/>
      <c r="N1828" s="6"/>
      <c r="O1828" s="97"/>
      <c r="P1828" s="6"/>
      <c r="Q1828" s="6"/>
      <c r="R1828" s="6"/>
      <c r="S1828" s="6"/>
      <c r="T1828" s="6"/>
      <c r="U1828" s="6"/>
      <c r="V1828" s="6"/>
      <c r="W1828" s="6"/>
      <c r="X1828" s="6"/>
      <c r="Y1828" s="6"/>
      <c r="Z1828" s="6"/>
      <c r="AA1828" s="6"/>
      <c r="AB1828" s="6"/>
      <c r="AC1828" s="6"/>
      <c r="AD1828" s="6"/>
      <c r="AE1828" s="6"/>
      <c r="AF1828" s="6"/>
      <c r="AG1828" s="6"/>
      <c r="AH1828" s="6"/>
      <c r="AI1828" s="6"/>
      <c r="AJ1828" s="6"/>
      <c r="AK1828" s="6"/>
      <c r="AL1828" s="6"/>
    </row>
    <row r="1829" spans="1:38">
      <c r="A1829" s="96"/>
      <c r="B1829" s="6"/>
      <c r="C1829" s="6"/>
      <c r="D1829" s="6"/>
      <c r="E1829" s="6"/>
      <c r="F1829" s="6"/>
      <c r="G1829" s="80"/>
      <c r="H1829" s="6"/>
      <c r="I1829" s="6"/>
      <c r="J1829" s="6"/>
      <c r="K1829" s="8"/>
      <c r="L1829" s="8"/>
      <c r="M1829" s="96"/>
      <c r="N1829" s="6"/>
      <c r="O1829" s="97"/>
      <c r="P1829" s="6"/>
      <c r="Q1829" s="6"/>
      <c r="R1829" s="6"/>
      <c r="S1829" s="6"/>
      <c r="T1829" s="6"/>
      <c r="U1829" s="6"/>
      <c r="V1829" s="6"/>
      <c r="W1829" s="6"/>
      <c r="X1829" s="6"/>
      <c r="Y1829" s="6"/>
      <c r="Z1829" s="6"/>
      <c r="AA1829" s="6"/>
      <c r="AB1829" s="6"/>
      <c r="AC1829" s="6"/>
      <c r="AD1829" s="6"/>
      <c r="AE1829" s="6"/>
      <c r="AF1829" s="6"/>
      <c r="AG1829" s="6"/>
      <c r="AH1829" s="6"/>
      <c r="AI1829" s="6"/>
      <c r="AJ1829" s="6"/>
      <c r="AK1829" s="6"/>
      <c r="AL1829" s="6"/>
    </row>
    <row r="1830" spans="1:38">
      <c r="A1830" s="96"/>
      <c r="B1830" s="6"/>
      <c r="C1830" s="6"/>
      <c r="D1830" s="6"/>
      <c r="E1830" s="6"/>
      <c r="F1830" s="6"/>
      <c r="G1830" s="80"/>
      <c r="H1830" s="6"/>
      <c r="I1830" s="6"/>
      <c r="J1830" s="6"/>
      <c r="K1830" s="8"/>
      <c r="L1830" s="8"/>
      <c r="M1830" s="96"/>
      <c r="N1830" s="6"/>
      <c r="O1830" s="97"/>
      <c r="P1830" s="6"/>
      <c r="Q1830" s="6"/>
      <c r="R1830" s="6"/>
      <c r="S1830" s="6"/>
      <c r="T1830" s="6"/>
      <c r="U1830" s="6"/>
      <c r="V1830" s="6"/>
      <c r="W1830" s="6"/>
      <c r="X1830" s="6"/>
      <c r="Y1830" s="6"/>
      <c r="Z1830" s="6"/>
      <c r="AA1830" s="6"/>
      <c r="AB1830" s="6"/>
      <c r="AC1830" s="6"/>
      <c r="AD1830" s="6"/>
      <c r="AE1830" s="6"/>
      <c r="AF1830" s="6"/>
      <c r="AG1830" s="6"/>
      <c r="AH1830" s="6"/>
      <c r="AI1830" s="6"/>
      <c r="AJ1830" s="6"/>
      <c r="AK1830" s="6"/>
      <c r="AL1830" s="6"/>
    </row>
    <row r="1831" spans="1:38">
      <c r="A1831" s="96"/>
      <c r="B1831" s="6"/>
      <c r="C1831" s="6"/>
      <c r="D1831" s="6"/>
      <c r="E1831" s="6"/>
      <c r="F1831" s="6"/>
      <c r="G1831" s="80"/>
      <c r="H1831" s="6"/>
      <c r="I1831" s="6"/>
      <c r="J1831" s="6"/>
      <c r="K1831" s="8"/>
      <c r="L1831" s="8"/>
      <c r="M1831" s="96"/>
      <c r="N1831" s="6"/>
      <c r="O1831" s="97"/>
      <c r="P1831" s="6"/>
      <c r="Q1831" s="6"/>
      <c r="R1831" s="6"/>
      <c r="S1831" s="6"/>
      <c r="T1831" s="6"/>
      <c r="U1831" s="6"/>
      <c r="V1831" s="6"/>
      <c r="W1831" s="6"/>
      <c r="X1831" s="6"/>
      <c r="Y1831" s="6"/>
      <c r="Z1831" s="6"/>
      <c r="AA1831" s="6"/>
      <c r="AB1831" s="6"/>
      <c r="AC1831" s="6"/>
      <c r="AD1831" s="6"/>
      <c r="AE1831" s="6"/>
      <c r="AF1831" s="6"/>
      <c r="AG1831" s="6"/>
      <c r="AH1831" s="6"/>
      <c r="AI1831" s="6"/>
      <c r="AJ1831" s="6"/>
      <c r="AK1831" s="6"/>
      <c r="AL1831" s="6"/>
    </row>
    <row r="1832" spans="1:38">
      <c r="A1832" s="96"/>
      <c r="B1832" s="6"/>
      <c r="C1832" s="6"/>
      <c r="D1832" s="6"/>
      <c r="E1832" s="6"/>
      <c r="F1832" s="6"/>
      <c r="G1832" s="80"/>
      <c r="H1832" s="6"/>
      <c r="I1832" s="6"/>
      <c r="J1832" s="6"/>
      <c r="K1832" s="8"/>
      <c r="L1832" s="8"/>
      <c r="M1832" s="96"/>
      <c r="N1832" s="6"/>
      <c r="O1832" s="97"/>
      <c r="P1832" s="6"/>
      <c r="Q1832" s="6"/>
      <c r="R1832" s="6"/>
      <c r="S1832" s="6"/>
      <c r="T1832" s="6"/>
      <c r="U1832" s="6"/>
      <c r="V1832" s="6"/>
      <c r="W1832" s="6"/>
      <c r="X1832" s="6"/>
      <c r="Y1832" s="6"/>
      <c r="Z1832" s="6"/>
      <c r="AA1832" s="6"/>
      <c r="AB1832" s="6"/>
      <c r="AC1832" s="6"/>
      <c r="AD1832" s="6"/>
      <c r="AE1832" s="6"/>
      <c r="AF1832" s="6"/>
      <c r="AG1832" s="6"/>
      <c r="AH1832" s="6"/>
      <c r="AI1832" s="6"/>
      <c r="AJ1832" s="6"/>
      <c r="AK1832" s="6"/>
      <c r="AL1832" s="6"/>
    </row>
    <row r="1833" spans="1:38">
      <c r="A1833" s="96"/>
      <c r="B1833" s="6"/>
      <c r="C1833" s="6"/>
      <c r="D1833" s="6"/>
      <c r="E1833" s="6"/>
      <c r="F1833" s="6"/>
      <c r="G1833" s="80"/>
      <c r="H1833" s="6"/>
      <c r="I1833" s="6"/>
      <c r="J1833" s="6"/>
      <c r="K1833" s="8"/>
      <c r="L1833" s="8"/>
      <c r="M1833" s="96"/>
      <c r="N1833" s="6"/>
      <c r="O1833" s="97"/>
      <c r="P1833" s="6"/>
      <c r="Q1833" s="6"/>
      <c r="R1833" s="6"/>
      <c r="S1833" s="6"/>
      <c r="T1833" s="6"/>
      <c r="U1833" s="6"/>
      <c r="V1833" s="6"/>
      <c r="W1833" s="6"/>
      <c r="X1833" s="6"/>
      <c r="Y1833" s="6"/>
      <c r="Z1833" s="6"/>
      <c r="AA1833" s="6"/>
      <c r="AB1833" s="6"/>
      <c r="AC1833" s="6"/>
      <c r="AD1833" s="6"/>
      <c r="AE1833" s="6"/>
      <c r="AF1833" s="6"/>
      <c r="AG1833" s="6"/>
      <c r="AH1833" s="6"/>
      <c r="AI1833" s="6"/>
      <c r="AJ1833" s="6"/>
      <c r="AK1833" s="6"/>
      <c r="AL1833" s="6"/>
    </row>
    <row r="1834" spans="1:38">
      <c r="A1834" s="96"/>
      <c r="B1834" s="6"/>
      <c r="C1834" s="6"/>
      <c r="D1834" s="6"/>
      <c r="E1834" s="6"/>
      <c r="F1834" s="6"/>
      <c r="G1834" s="80"/>
      <c r="H1834" s="6"/>
      <c r="I1834" s="6"/>
      <c r="J1834" s="6"/>
      <c r="K1834" s="8"/>
      <c r="L1834" s="8"/>
      <c r="M1834" s="96"/>
      <c r="N1834" s="6"/>
      <c r="O1834" s="97"/>
      <c r="P1834" s="6"/>
      <c r="Q1834" s="6"/>
      <c r="R1834" s="6"/>
      <c r="S1834" s="6"/>
      <c r="T1834" s="6"/>
      <c r="U1834" s="6"/>
      <c r="V1834" s="6"/>
      <c r="W1834" s="6"/>
      <c r="X1834" s="6"/>
      <c r="Y1834" s="6"/>
      <c r="Z1834" s="6"/>
      <c r="AA1834" s="6"/>
      <c r="AB1834" s="6"/>
      <c r="AC1834" s="6"/>
      <c r="AD1834" s="6"/>
      <c r="AE1834" s="6"/>
      <c r="AF1834" s="6"/>
      <c r="AG1834" s="6"/>
      <c r="AH1834" s="6"/>
      <c r="AI1834" s="6"/>
      <c r="AJ1834" s="6"/>
      <c r="AK1834" s="6"/>
      <c r="AL1834" s="6"/>
    </row>
    <row r="1835" spans="1:38">
      <c r="A1835" s="96"/>
      <c r="B1835" s="6"/>
      <c r="C1835" s="6"/>
      <c r="D1835" s="6"/>
      <c r="E1835" s="6"/>
      <c r="F1835" s="6"/>
      <c r="G1835" s="80"/>
      <c r="H1835" s="6"/>
      <c r="I1835" s="6"/>
      <c r="J1835" s="6"/>
      <c r="K1835" s="8"/>
      <c r="L1835" s="8"/>
      <c r="M1835" s="96"/>
      <c r="N1835" s="6"/>
      <c r="O1835" s="97"/>
      <c r="P1835" s="6"/>
      <c r="Q1835" s="6"/>
      <c r="R1835" s="6"/>
      <c r="S1835" s="6"/>
      <c r="T1835" s="6"/>
      <c r="U1835" s="6"/>
      <c r="V1835" s="6"/>
      <c r="W1835" s="6"/>
      <c r="X1835" s="6"/>
      <c r="Y1835" s="6"/>
      <c r="Z1835" s="6"/>
      <c r="AA1835" s="6"/>
      <c r="AB1835" s="6"/>
      <c r="AC1835" s="6"/>
      <c r="AD1835" s="6"/>
      <c r="AE1835" s="6"/>
      <c r="AF1835" s="6"/>
      <c r="AG1835" s="6"/>
      <c r="AH1835" s="6"/>
      <c r="AI1835" s="6"/>
      <c r="AJ1835" s="6"/>
      <c r="AK1835" s="6"/>
      <c r="AL1835" s="6"/>
    </row>
    <row r="1836" spans="1:38">
      <c r="A1836" s="96"/>
      <c r="B1836" s="6"/>
      <c r="C1836" s="6"/>
      <c r="D1836" s="6"/>
      <c r="E1836" s="6"/>
      <c r="F1836" s="6"/>
      <c r="G1836" s="80"/>
      <c r="H1836" s="6"/>
      <c r="I1836" s="6"/>
      <c r="J1836" s="6"/>
      <c r="K1836" s="8"/>
      <c r="L1836" s="8"/>
      <c r="M1836" s="96"/>
      <c r="N1836" s="6"/>
      <c r="O1836" s="97"/>
      <c r="P1836" s="6"/>
      <c r="Q1836" s="6"/>
      <c r="R1836" s="6"/>
      <c r="S1836" s="6"/>
      <c r="T1836" s="6"/>
      <c r="U1836" s="6"/>
      <c r="V1836" s="6"/>
      <c r="W1836" s="6"/>
      <c r="X1836" s="6"/>
      <c r="Y1836" s="6"/>
      <c r="Z1836" s="6"/>
      <c r="AA1836" s="6"/>
      <c r="AB1836" s="6"/>
      <c r="AC1836" s="6"/>
      <c r="AD1836" s="6"/>
      <c r="AE1836" s="6"/>
      <c r="AF1836" s="6"/>
      <c r="AG1836" s="6"/>
      <c r="AH1836" s="6"/>
      <c r="AI1836" s="6"/>
      <c r="AJ1836" s="6"/>
      <c r="AK1836" s="6"/>
      <c r="AL1836" s="6"/>
    </row>
    <row r="1837" spans="1:38">
      <c r="A1837" s="96"/>
      <c r="B1837" s="6"/>
      <c r="C1837" s="6"/>
      <c r="D1837" s="6"/>
      <c r="E1837" s="6"/>
      <c r="F1837" s="6"/>
      <c r="G1837" s="80"/>
      <c r="H1837" s="6"/>
      <c r="I1837" s="6"/>
      <c r="J1837" s="6"/>
      <c r="K1837" s="8"/>
      <c r="L1837" s="8"/>
      <c r="M1837" s="96"/>
      <c r="N1837" s="6"/>
      <c r="O1837" s="97"/>
      <c r="P1837" s="6"/>
      <c r="Q1837" s="6"/>
      <c r="R1837" s="6"/>
      <c r="S1837" s="6"/>
      <c r="T1837" s="6"/>
      <c r="U1837" s="6"/>
      <c r="V1837" s="6"/>
      <c r="W1837" s="6"/>
      <c r="X1837" s="6"/>
      <c r="Y1837" s="6"/>
      <c r="Z1837" s="6"/>
      <c r="AA1837" s="6"/>
      <c r="AB1837" s="6"/>
      <c r="AC1837" s="6"/>
      <c r="AD1837" s="6"/>
      <c r="AE1837" s="6"/>
      <c r="AF1837" s="6"/>
      <c r="AG1837" s="6"/>
      <c r="AH1837" s="6"/>
      <c r="AI1837" s="6"/>
      <c r="AJ1837" s="6"/>
      <c r="AK1837" s="6"/>
      <c r="AL1837" s="6"/>
    </row>
    <row r="1838" spans="1:38">
      <c r="A1838" s="96"/>
      <c r="B1838" s="6"/>
      <c r="C1838" s="6"/>
      <c r="D1838" s="6"/>
      <c r="E1838" s="6"/>
      <c r="F1838" s="6"/>
      <c r="G1838" s="80"/>
      <c r="H1838" s="6"/>
      <c r="I1838" s="6"/>
      <c r="J1838" s="6"/>
      <c r="K1838" s="8"/>
      <c r="L1838" s="8"/>
      <c r="M1838" s="96"/>
      <c r="N1838" s="6"/>
      <c r="O1838" s="97"/>
      <c r="P1838" s="6"/>
      <c r="Q1838" s="6"/>
      <c r="R1838" s="6"/>
      <c r="S1838" s="6"/>
      <c r="T1838" s="6"/>
      <c r="U1838" s="6"/>
      <c r="V1838" s="6"/>
      <c r="W1838" s="6"/>
      <c r="X1838" s="6"/>
      <c r="Y1838" s="6"/>
      <c r="Z1838" s="6"/>
      <c r="AA1838" s="6"/>
      <c r="AB1838" s="6"/>
      <c r="AC1838" s="6"/>
      <c r="AD1838" s="6"/>
      <c r="AE1838" s="6"/>
      <c r="AF1838" s="6"/>
      <c r="AG1838" s="6"/>
      <c r="AH1838" s="6"/>
      <c r="AI1838" s="6"/>
      <c r="AJ1838" s="6"/>
      <c r="AK1838" s="6"/>
      <c r="AL1838" s="6"/>
    </row>
    <row r="1839" spans="1:38">
      <c r="A1839" s="96"/>
      <c r="B1839" s="6"/>
      <c r="C1839" s="6"/>
      <c r="D1839" s="6"/>
      <c r="E1839" s="6"/>
      <c r="F1839" s="6"/>
      <c r="G1839" s="80"/>
      <c r="H1839" s="6"/>
      <c r="I1839" s="6"/>
      <c r="J1839" s="6"/>
      <c r="K1839" s="8"/>
      <c r="L1839" s="8"/>
      <c r="M1839" s="96"/>
      <c r="N1839" s="6"/>
      <c r="O1839" s="97"/>
      <c r="P1839" s="6"/>
      <c r="Q1839" s="6"/>
      <c r="R1839" s="6"/>
      <c r="S1839" s="6"/>
      <c r="T1839" s="6"/>
      <c r="U1839" s="6"/>
      <c r="V1839" s="6"/>
      <c r="W1839" s="6"/>
      <c r="X1839" s="6"/>
      <c r="Y1839" s="6"/>
      <c r="Z1839" s="6"/>
      <c r="AA1839" s="6"/>
      <c r="AB1839" s="6"/>
      <c r="AC1839" s="6"/>
      <c r="AD1839" s="6"/>
      <c r="AE1839" s="6"/>
      <c r="AF1839" s="6"/>
      <c r="AG1839" s="6"/>
      <c r="AH1839" s="6"/>
      <c r="AI1839" s="6"/>
      <c r="AJ1839" s="6"/>
      <c r="AK1839" s="6"/>
      <c r="AL1839" s="6"/>
    </row>
    <row r="1840" spans="1:38">
      <c r="A1840" s="96"/>
      <c r="B1840" s="6"/>
      <c r="C1840" s="6"/>
      <c r="D1840" s="6"/>
      <c r="E1840" s="6"/>
      <c r="F1840" s="6"/>
      <c r="G1840" s="80"/>
      <c r="H1840" s="6"/>
      <c r="I1840" s="6"/>
      <c r="J1840" s="6"/>
      <c r="K1840" s="8"/>
      <c r="L1840" s="8"/>
      <c r="M1840" s="96"/>
      <c r="N1840" s="6"/>
      <c r="O1840" s="97"/>
      <c r="P1840" s="6"/>
      <c r="Q1840" s="6"/>
      <c r="R1840" s="6"/>
      <c r="S1840" s="6"/>
      <c r="T1840" s="6"/>
      <c r="U1840" s="6"/>
      <c r="V1840" s="6"/>
      <c r="W1840" s="6"/>
      <c r="X1840" s="6"/>
      <c r="Y1840" s="6"/>
      <c r="Z1840" s="6"/>
      <c r="AA1840" s="6"/>
      <c r="AB1840" s="6"/>
      <c r="AC1840" s="6"/>
      <c r="AD1840" s="6"/>
      <c r="AE1840" s="6"/>
      <c r="AF1840" s="6"/>
      <c r="AG1840" s="6"/>
      <c r="AH1840" s="6"/>
      <c r="AI1840" s="6"/>
      <c r="AJ1840" s="6"/>
      <c r="AK1840" s="6"/>
      <c r="AL1840" s="6"/>
    </row>
    <row r="1841" spans="1:38">
      <c r="A1841" s="96"/>
      <c r="B1841" s="6"/>
      <c r="C1841" s="6"/>
      <c r="D1841" s="6"/>
      <c r="E1841" s="6"/>
      <c r="F1841" s="6"/>
      <c r="G1841" s="80"/>
      <c r="H1841" s="6"/>
      <c r="I1841" s="6"/>
      <c r="J1841" s="6"/>
      <c r="K1841" s="8"/>
      <c r="L1841" s="8"/>
      <c r="M1841" s="96"/>
      <c r="N1841" s="6"/>
      <c r="O1841" s="97"/>
      <c r="P1841" s="6"/>
      <c r="Q1841" s="6"/>
      <c r="R1841" s="6"/>
      <c r="S1841" s="6"/>
      <c r="T1841" s="6"/>
      <c r="U1841" s="6"/>
      <c r="V1841" s="6"/>
      <c r="W1841" s="6"/>
      <c r="X1841" s="6"/>
      <c r="Y1841" s="6"/>
      <c r="Z1841" s="6"/>
      <c r="AA1841" s="6"/>
      <c r="AB1841" s="6"/>
      <c r="AC1841" s="6"/>
      <c r="AD1841" s="6"/>
      <c r="AE1841" s="6"/>
      <c r="AF1841" s="6"/>
      <c r="AG1841" s="6"/>
      <c r="AH1841" s="6"/>
      <c r="AI1841" s="6"/>
      <c r="AJ1841" s="6"/>
      <c r="AK1841" s="6"/>
      <c r="AL1841" s="6"/>
    </row>
    <row r="1842" spans="1:38">
      <c r="A1842" s="96"/>
      <c r="B1842" s="6"/>
      <c r="C1842" s="6"/>
      <c r="D1842" s="6"/>
      <c r="E1842" s="6"/>
      <c r="F1842" s="6"/>
      <c r="G1842" s="80"/>
      <c r="H1842" s="6"/>
      <c r="I1842" s="6"/>
      <c r="J1842" s="6"/>
      <c r="K1842" s="8"/>
      <c r="L1842" s="8"/>
      <c r="M1842" s="96"/>
      <c r="N1842" s="6"/>
      <c r="O1842" s="97"/>
      <c r="P1842" s="6"/>
      <c r="Q1842" s="6"/>
      <c r="R1842" s="6"/>
      <c r="S1842" s="6"/>
      <c r="T1842" s="6"/>
      <c r="U1842" s="6"/>
      <c r="V1842" s="6"/>
      <c r="W1842" s="6"/>
      <c r="X1842" s="6"/>
      <c r="Y1842" s="6"/>
      <c r="Z1842" s="6"/>
      <c r="AA1842" s="6"/>
      <c r="AB1842" s="6"/>
      <c r="AC1842" s="6"/>
      <c r="AD1842" s="6"/>
      <c r="AE1842" s="6"/>
      <c r="AF1842" s="6"/>
      <c r="AG1842" s="6"/>
      <c r="AH1842" s="6"/>
      <c r="AI1842" s="6"/>
      <c r="AJ1842" s="6"/>
      <c r="AK1842" s="6"/>
      <c r="AL1842" s="6"/>
    </row>
    <row r="1843" spans="1:38">
      <c r="A1843" s="96"/>
      <c r="B1843" s="6"/>
      <c r="C1843" s="6"/>
      <c r="D1843" s="6"/>
      <c r="E1843" s="6"/>
      <c r="F1843" s="6"/>
      <c r="G1843" s="80"/>
      <c r="H1843" s="6"/>
      <c r="I1843" s="6"/>
      <c r="J1843" s="6"/>
      <c r="K1843" s="8"/>
      <c r="L1843" s="8"/>
      <c r="M1843" s="96"/>
      <c r="N1843" s="6"/>
      <c r="O1843" s="97"/>
      <c r="P1843" s="6"/>
      <c r="Q1843" s="6"/>
      <c r="R1843" s="6"/>
      <c r="S1843" s="6"/>
      <c r="T1843" s="6"/>
      <c r="U1843" s="6"/>
      <c r="V1843" s="6"/>
      <c r="W1843" s="6"/>
      <c r="X1843" s="6"/>
      <c r="Y1843" s="6"/>
      <c r="Z1843" s="6"/>
      <c r="AA1843" s="6"/>
      <c r="AB1843" s="6"/>
      <c r="AC1843" s="6"/>
      <c r="AD1843" s="6"/>
      <c r="AE1843" s="6"/>
      <c r="AF1843" s="6"/>
      <c r="AG1843" s="6"/>
      <c r="AH1843" s="6"/>
      <c r="AI1843" s="6"/>
      <c r="AJ1843" s="6"/>
      <c r="AK1843" s="6"/>
      <c r="AL1843" s="6"/>
    </row>
    <row r="1844" spans="1:38">
      <c r="A1844" s="96"/>
      <c r="B1844" s="6"/>
      <c r="C1844" s="6"/>
      <c r="D1844" s="6"/>
      <c r="E1844" s="6"/>
      <c r="F1844" s="6"/>
      <c r="G1844" s="80"/>
      <c r="H1844" s="6"/>
      <c r="I1844" s="6"/>
      <c r="J1844" s="6"/>
      <c r="K1844" s="8"/>
      <c r="L1844" s="8"/>
      <c r="M1844" s="96"/>
      <c r="N1844" s="6"/>
      <c r="O1844" s="97"/>
      <c r="P1844" s="6"/>
      <c r="Q1844" s="6"/>
      <c r="R1844" s="6"/>
      <c r="S1844" s="6"/>
      <c r="T1844" s="6"/>
      <c r="U1844" s="6"/>
      <c r="V1844" s="6"/>
      <c r="W1844" s="6"/>
      <c r="X1844" s="6"/>
      <c r="Y1844" s="6"/>
      <c r="Z1844" s="6"/>
      <c r="AA1844" s="6"/>
      <c r="AB1844" s="6"/>
      <c r="AC1844" s="6"/>
      <c r="AD1844" s="6"/>
      <c r="AE1844" s="6"/>
      <c r="AF1844" s="6"/>
      <c r="AG1844" s="6"/>
      <c r="AH1844" s="6"/>
      <c r="AI1844" s="6"/>
      <c r="AJ1844" s="6"/>
      <c r="AK1844" s="6"/>
      <c r="AL1844" s="6"/>
    </row>
    <row r="1845" spans="1:38">
      <c r="A1845" s="96"/>
      <c r="B1845" s="6"/>
      <c r="C1845" s="6"/>
      <c r="D1845" s="6"/>
      <c r="E1845" s="6"/>
      <c r="F1845" s="6"/>
      <c r="G1845" s="80"/>
      <c r="H1845" s="6"/>
      <c r="I1845" s="6"/>
      <c r="J1845" s="6"/>
      <c r="K1845" s="8"/>
      <c r="L1845" s="8"/>
      <c r="M1845" s="96"/>
      <c r="N1845" s="6"/>
      <c r="O1845" s="97"/>
      <c r="P1845" s="6"/>
      <c r="Q1845" s="6"/>
      <c r="R1845" s="6"/>
      <c r="S1845" s="6"/>
      <c r="T1845" s="6"/>
      <c r="U1845" s="6"/>
      <c r="V1845" s="6"/>
      <c r="W1845" s="6"/>
      <c r="X1845" s="6"/>
      <c r="Y1845" s="6"/>
      <c r="Z1845" s="6"/>
      <c r="AA1845" s="6"/>
      <c r="AB1845" s="6"/>
      <c r="AC1845" s="6"/>
      <c r="AD1845" s="6"/>
      <c r="AE1845" s="6"/>
      <c r="AF1845" s="6"/>
      <c r="AG1845" s="6"/>
      <c r="AH1845" s="6"/>
      <c r="AI1845" s="6"/>
      <c r="AJ1845" s="6"/>
      <c r="AK1845" s="6"/>
      <c r="AL1845" s="6"/>
    </row>
    <row r="1846" spans="1:38">
      <c r="A1846" s="96"/>
      <c r="B1846" s="6"/>
      <c r="C1846" s="6"/>
      <c r="D1846" s="6"/>
      <c r="E1846" s="6"/>
      <c r="F1846" s="6"/>
      <c r="G1846" s="80"/>
      <c r="H1846" s="6"/>
      <c r="I1846" s="6"/>
      <c r="J1846" s="6"/>
      <c r="K1846" s="8"/>
      <c r="L1846" s="8"/>
      <c r="M1846" s="96"/>
      <c r="N1846" s="6"/>
      <c r="O1846" s="97"/>
      <c r="P1846" s="6"/>
      <c r="Q1846" s="6"/>
      <c r="R1846" s="6"/>
      <c r="S1846" s="6"/>
      <c r="T1846" s="6"/>
      <c r="U1846" s="6"/>
      <c r="V1846" s="6"/>
      <c r="W1846" s="6"/>
      <c r="X1846" s="6"/>
      <c r="Y1846" s="6"/>
      <c r="Z1846" s="6"/>
      <c r="AA1846" s="6"/>
      <c r="AB1846" s="6"/>
      <c r="AC1846" s="6"/>
      <c r="AD1846" s="6"/>
      <c r="AE1846" s="6"/>
      <c r="AF1846" s="6"/>
      <c r="AG1846" s="6"/>
      <c r="AH1846" s="6"/>
      <c r="AI1846" s="6"/>
      <c r="AJ1846" s="6"/>
      <c r="AK1846" s="6"/>
      <c r="AL1846" s="6"/>
    </row>
    <row r="1847" spans="1:38">
      <c r="A1847" s="96"/>
      <c r="B1847" s="6"/>
      <c r="C1847" s="6"/>
      <c r="D1847" s="6"/>
      <c r="E1847" s="6"/>
      <c r="F1847" s="6"/>
      <c r="G1847" s="80"/>
      <c r="H1847" s="6"/>
      <c r="I1847" s="6"/>
      <c r="J1847" s="6"/>
      <c r="K1847" s="8"/>
      <c r="L1847" s="8"/>
      <c r="M1847" s="96"/>
      <c r="N1847" s="6"/>
      <c r="O1847" s="97"/>
      <c r="P1847" s="6"/>
      <c r="Q1847" s="6"/>
      <c r="R1847" s="6"/>
      <c r="S1847" s="6"/>
      <c r="T1847" s="6"/>
      <c r="U1847" s="6"/>
      <c r="V1847" s="6"/>
      <c r="W1847" s="6"/>
      <c r="X1847" s="6"/>
      <c r="Y1847" s="6"/>
      <c r="Z1847" s="6"/>
      <c r="AA1847" s="6"/>
      <c r="AB1847" s="6"/>
      <c r="AC1847" s="6"/>
      <c r="AD1847" s="6"/>
      <c r="AE1847" s="6"/>
      <c r="AF1847" s="6"/>
      <c r="AG1847" s="6"/>
      <c r="AH1847" s="6"/>
      <c r="AI1847" s="6"/>
      <c r="AJ1847" s="6"/>
      <c r="AK1847" s="6"/>
      <c r="AL1847" s="6"/>
    </row>
    <row r="1848" spans="1:38">
      <c r="A1848" s="96"/>
      <c r="B1848" s="6"/>
      <c r="C1848" s="6"/>
      <c r="D1848" s="6"/>
      <c r="E1848" s="6"/>
      <c r="F1848" s="6"/>
      <c r="G1848" s="80"/>
      <c r="H1848" s="6"/>
      <c r="I1848" s="6"/>
      <c r="J1848" s="6"/>
      <c r="K1848" s="8"/>
      <c r="L1848" s="8"/>
      <c r="M1848" s="96"/>
      <c r="N1848" s="6"/>
      <c r="O1848" s="97"/>
      <c r="P1848" s="6"/>
      <c r="Q1848" s="6"/>
      <c r="R1848" s="6"/>
      <c r="S1848" s="6"/>
      <c r="T1848" s="6"/>
      <c r="U1848" s="6"/>
      <c r="V1848" s="6"/>
      <c r="W1848" s="6"/>
      <c r="X1848" s="6"/>
      <c r="Y1848" s="6"/>
      <c r="Z1848" s="6"/>
      <c r="AA1848" s="6"/>
      <c r="AB1848" s="6"/>
      <c r="AC1848" s="6"/>
      <c r="AD1848" s="6"/>
      <c r="AE1848" s="6"/>
      <c r="AF1848" s="6"/>
      <c r="AG1848" s="6"/>
      <c r="AH1848" s="6"/>
      <c r="AI1848" s="6"/>
      <c r="AJ1848" s="6"/>
      <c r="AK1848" s="6"/>
      <c r="AL1848" s="6"/>
    </row>
    <row r="1849" spans="1:38">
      <c r="A1849" s="96"/>
      <c r="B1849" s="6"/>
      <c r="C1849" s="6"/>
      <c r="D1849" s="6"/>
      <c r="E1849" s="6"/>
      <c r="F1849" s="6"/>
      <c r="G1849" s="80"/>
      <c r="H1849" s="6"/>
      <c r="I1849" s="6"/>
      <c r="J1849" s="6"/>
      <c r="K1849" s="8"/>
      <c r="L1849" s="8"/>
      <c r="M1849" s="96"/>
      <c r="N1849" s="6"/>
      <c r="O1849" s="97"/>
      <c r="P1849" s="6"/>
      <c r="Q1849" s="6"/>
      <c r="R1849" s="6"/>
      <c r="S1849" s="6"/>
      <c r="T1849" s="6"/>
      <c r="U1849" s="6"/>
      <c r="V1849" s="6"/>
      <c r="W1849" s="6"/>
      <c r="X1849" s="6"/>
      <c r="Y1849" s="6"/>
      <c r="Z1849" s="6"/>
      <c r="AA1849" s="6"/>
      <c r="AB1849" s="6"/>
      <c r="AC1849" s="6"/>
      <c r="AD1849" s="6"/>
      <c r="AE1849" s="6"/>
      <c r="AF1849" s="6"/>
      <c r="AG1849" s="6"/>
      <c r="AH1849" s="6"/>
      <c r="AI1849" s="6"/>
      <c r="AJ1849" s="6"/>
      <c r="AK1849" s="6"/>
      <c r="AL1849" s="6"/>
    </row>
    <row r="1850" spans="1:38">
      <c r="A1850" s="96"/>
      <c r="B1850" s="6"/>
      <c r="C1850" s="6"/>
      <c r="D1850" s="6"/>
      <c r="E1850" s="6"/>
      <c r="F1850" s="6"/>
      <c r="G1850" s="80"/>
      <c r="H1850" s="6"/>
      <c r="I1850" s="6"/>
      <c r="J1850" s="6"/>
      <c r="K1850" s="8"/>
      <c r="L1850" s="8"/>
      <c r="M1850" s="96"/>
      <c r="N1850" s="6"/>
      <c r="O1850" s="97"/>
      <c r="P1850" s="6"/>
      <c r="Q1850" s="6"/>
      <c r="R1850" s="6"/>
      <c r="S1850" s="6"/>
      <c r="T1850" s="6"/>
      <c r="U1850" s="6"/>
      <c r="V1850" s="6"/>
      <c r="W1850" s="6"/>
      <c r="X1850" s="6"/>
      <c r="Y1850" s="6"/>
      <c r="Z1850" s="6"/>
      <c r="AA1850" s="6"/>
      <c r="AB1850" s="6"/>
      <c r="AC1850" s="6"/>
      <c r="AD1850" s="6"/>
      <c r="AE1850" s="6"/>
      <c r="AF1850" s="6"/>
      <c r="AG1850" s="6"/>
      <c r="AH1850" s="6"/>
      <c r="AI1850" s="6"/>
      <c r="AJ1850" s="6"/>
      <c r="AK1850" s="6"/>
      <c r="AL1850" s="6"/>
    </row>
    <row r="1851" spans="1:38">
      <c r="A1851" s="96"/>
      <c r="B1851" s="6"/>
      <c r="C1851" s="6"/>
      <c r="D1851" s="6"/>
      <c r="E1851" s="6"/>
      <c r="F1851" s="6"/>
      <c r="G1851" s="80"/>
      <c r="H1851" s="6"/>
      <c r="I1851" s="6"/>
      <c r="J1851" s="6"/>
      <c r="K1851" s="8"/>
      <c r="L1851" s="8"/>
      <c r="M1851" s="96"/>
      <c r="N1851" s="6"/>
      <c r="O1851" s="97"/>
      <c r="P1851" s="6"/>
      <c r="Q1851" s="6"/>
      <c r="R1851" s="6"/>
      <c r="S1851" s="6"/>
      <c r="T1851" s="6"/>
      <c r="U1851" s="6"/>
      <c r="V1851" s="6"/>
      <c r="W1851" s="6"/>
      <c r="X1851" s="6"/>
      <c r="Y1851" s="6"/>
      <c r="Z1851" s="6"/>
      <c r="AA1851" s="6"/>
      <c r="AB1851" s="6"/>
      <c r="AC1851" s="6"/>
      <c r="AD1851" s="6"/>
      <c r="AE1851" s="6"/>
      <c r="AF1851" s="6"/>
      <c r="AG1851" s="6"/>
      <c r="AH1851" s="6"/>
      <c r="AI1851" s="6"/>
      <c r="AJ1851" s="6"/>
      <c r="AK1851" s="6"/>
      <c r="AL1851" s="6"/>
    </row>
    <row r="1852" spans="1:38">
      <c r="A1852" s="96"/>
      <c r="B1852" s="6"/>
      <c r="C1852" s="6"/>
      <c r="D1852" s="6"/>
      <c r="E1852" s="6"/>
      <c r="F1852" s="6"/>
      <c r="G1852" s="80"/>
      <c r="H1852" s="6"/>
      <c r="I1852" s="6"/>
      <c r="J1852" s="6"/>
      <c r="K1852" s="8"/>
      <c r="L1852" s="8"/>
      <c r="M1852" s="96"/>
      <c r="N1852" s="6"/>
      <c r="O1852" s="97"/>
      <c r="P1852" s="6"/>
      <c r="Q1852" s="6"/>
      <c r="R1852" s="6"/>
      <c r="S1852" s="6"/>
      <c r="T1852" s="6"/>
      <c r="U1852" s="6"/>
      <c r="V1852" s="6"/>
      <c r="W1852" s="6"/>
      <c r="X1852" s="6"/>
      <c r="Y1852" s="6"/>
      <c r="Z1852" s="6"/>
      <c r="AA1852" s="6"/>
      <c r="AB1852" s="6"/>
      <c r="AC1852" s="6"/>
      <c r="AD1852" s="6"/>
      <c r="AE1852" s="6"/>
      <c r="AF1852" s="6"/>
      <c r="AG1852" s="6"/>
      <c r="AH1852" s="6"/>
      <c r="AI1852" s="6"/>
      <c r="AJ1852" s="6"/>
      <c r="AK1852" s="6"/>
      <c r="AL1852" s="6"/>
    </row>
    <row r="1853" spans="1:38">
      <c r="A1853" s="96"/>
      <c r="B1853" s="6"/>
      <c r="C1853" s="6"/>
      <c r="D1853" s="6"/>
      <c r="E1853" s="6"/>
      <c r="F1853" s="6"/>
      <c r="G1853" s="80"/>
      <c r="H1853" s="6"/>
      <c r="I1853" s="6"/>
      <c r="J1853" s="6"/>
      <c r="K1853" s="8"/>
      <c r="L1853" s="8"/>
      <c r="M1853" s="96"/>
      <c r="N1853" s="6"/>
      <c r="O1853" s="97"/>
      <c r="P1853" s="6"/>
      <c r="Q1853" s="6"/>
      <c r="R1853" s="6"/>
      <c r="S1853" s="6"/>
      <c r="T1853" s="6"/>
      <c r="U1853" s="6"/>
      <c r="V1853" s="6"/>
      <c r="W1853" s="6"/>
      <c r="X1853" s="6"/>
      <c r="Y1853" s="6"/>
      <c r="Z1853" s="6"/>
      <c r="AA1853" s="6"/>
      <c r="AB1853" s="6"/>
      <c r="AC1853" s="6"/>
      <c r="AD1853" s="6"/>
      <c r="AE1853" s="6"/>
      <c r="AF1853" s="6"/>
      <c r="AG1853" s="6"/>
      <c r="AH1853" s="6"/>
      <c r="AI1853" s="6"/>
      <c r="AJ1853" s="6"/>
      <c r="AK1853" s="6"/>
      <c r="AL1853" s="6"/>
    </row>
    <row r="1854" spans="1:38">
      <c r="A1854" s="96"/>
      <c r="B1854" s="6"/>
      <c r="C1854" s="6"/>
      <c r="D1854" s="6"/>
      <c r="E1854" s="6"/>
      <c r="F1854" s="6"/>
      <c r="G1854" s="80"/>
      <c r="H1854" s="6"/>
      <c r="I1854" s="6"/>
      <c r="J1854" s="6"/>
      <c r="K1854" s="8"/>
      <c r="L1854" s="8"/>
      <c r="M1854" s="96"/>
      <c r="N1854" s="6"/>
      <c r="O1854" s="97"/>
      <c r="P1854" s="6"/>
      <c r="Q1854" s="6"/>
      <c r="R1854" s="6"/>
      <c r="S1854" s="6"/>
      <c r="T1854" s="6"/>
      <c r="U1854" s="6"/>
      <c r="V1854" s="6"/>
      <c r="W1854" s="6"/>
      <c r="X1854" s="6"/>
      <c r="Y1854" s="6"/>
      <c r="Z1854" s="6"/>
      <c r="AA1854" s="6"/>
      <c r="AB1854" s="6"/>
      <c r="AC1854" s="6"/>
      <c r="AD1854" s="6"/>
      <c r="AE1854" s="6"/>
      <c r="AF1854" s="6"/>
      <c r="AG1854" s="6"/>
      <c r="AH1854" s="6"/>
      <c r="AI1854" s="6"/>
      <c r="AJ1854" s="6"/>
      <c r="AK1854" s="6"/>
      <c r="AL1854" s="6"/>
    </row>
    <row r="1855" spans="1:38">
      <c r="A1855" s="96"/>
      <c r="B1855" s="6"/>
      <c r="C1855" s="6"/>
      <c r="D1855" s="6"/>
      <c r="E1855" s="6"/>
      <c r="F1855" s="6"/>
      <c r="G1855" s="80"/>
      <c r="H1855" s="6"/>
      <c r="I1855" s="6"/>
      <c r="J1855" s="6"/>
      <c r="K1855" s="8"/>
      <c r="L1855" s="8"/>
      <c r="M1855" s="96"/>
      <c r="N1855" s="6"/>
      <c r="O1855" s="97"/>
      <c r="P1855" s="6"/>
      <c r="Q1855" s="6"/>
      <c r="R1855" s="6"/>
      <c r="S1855" s="6"/>
      <c r="T1855" s="6"/>
      <c r="U1855" s="6"/>
      <c r="V1855" s="6"/>
      <c r="W1855" s="6"/>
      <c r="X1855" s="6"/>
      <c r="Y1855" s="6"/>
      <c r="Z1855" s="6"/>
      <c r="AA1855" s="6"/>
      <c r="AB1855" s="6"/>
      <c r="AC1855" s="6"/>
      <c r="AD1855" s="6"/>
      <c r="AE1855" s="6"/>
      <c r="AF1855" s="6"/>
      <c r="AG1855" s="6"/>
      <c r="AH1855" s="6"/>
      <c r="AI1855" s="6"/>
      <c r="AJ1855" s="6"/>
      <c r="AK1855" s="6"/>
      <c r="AL1855" s="6"/>
    </row>
    <row r="1856" spans="1:38">
      <c r="A1856" s="96"/>
      <c r="B1856" s="6"/>
      <c r="C1856" s="6"/>
      <c r="D1856" s="6"/>
      <c r="E1856" s="6"/>
      <c r="F1856" s="6"/>
      <c r="G1856" s="80"/>
      <c r="H1856" s="6"/>
      <c r="I1856" s="6"/>
      <c r="J1856" s="6"/>
      <c r="K1856" s="8"/>
      <c r="L1856" s="8"/>
      <c r="M1856" s="96"/>
      <c r="N1856" s="6"/>
      <c r="O1856" s="97"/>
      <c r="P1856" s="6"/>
      <c r="Q1856" s="6"/>
      <c r="R1856" s="6"/>
      <c r="S1856" s="6"/>
      <c r="T1856" s="6"/>
      <c r="U1856" s="6"/>
      <c r="V1856" s="6"/>
      <c r="W1856" s="6"/>
      <c r="X1856" s="6"/>
      <c r="Y1856" s="6"/>
      <c r="Z1856" s="6"/>
      <c r="AA1856" s="6"/>
      <c r="AB1856" s="6"/>
      <c r="AC1856" s="6"/>
      <c r="AD1856" s="6"/>
      <c r="AE1856" s="6"/>
      <c r="AF1856" s="6"/>
      <c r="AG1856" s="6"/>
      <c r="AH1856" s="6"/>
      <c r="AI1856" s="6"/>
      <c r="AJ1856" s="6"/>
      <c r="AK1856" s="6"/>
      <c r="AL1856" s="6"/>
    </row>
    <row r="1857" spans="1:38">
      <c r="A1857" s="96"/>
      <c r="B1857" s="6"/>
      <c r="C1857" s="6"/>
      <c r="D1857" s="6"/>
      <c r="E1857" s="6"/>
      <c r="F1857" s="6"/>
      <c r="G1857" s="80"/>
      <c r="H1857" s="6"/>
      <c r="I1857" s="6"/>
      <c r="J1857" s="6"/>
      <c r="K1857" s="8"/>
      <c r="L1857" s="8"/>
      <c r="M1857" s="96"/>
      <c r="N1857" s="6"/>
      <c r="O1857" s="97"/>
      <c r="P1857" s="6"/>
      <c r="Q1857" s="6"/>
      <c r="R1857" s="6"/>
      <c r="S1857" s="6"/>
      <c r="T1857" s="6"/>
      <c r="U1857" s="6"/>
      <c r="V1857" s="6"/>
      <c r="W1857" s="6"/>
      <c r="X1857" s="6"/>
      <c r="Y1857" s="6"/>
      <c r="Z1857" s="6"/>
      <c r="AA1857" s="6"/>
      <c r="AB1857" s="6"/>
      <c r="AC1857" s="6"/>
      <c r="AD1857" s="6"/>
      <c r="AE1857" s="6"/>
      <c r="AF1857" s="6"/>
      <c r="AG1857" s="6"/>
      <c r="AH1857" s="6"/>
      <c r="AI1857" s="6"/>
      <c r="AJ1857" s="6"/>
      <c r="AK1857" s="6"/>
      <c r="AL1857" s="6"/>
    </row>
    <row r="1858" spans="1:38">
      <c r="A1858" s="96"/>
      <c r="B1858" s="6"/>
      <c r="C1858" s="6"/>
      <c r="D1858" s="6"/>
      <c r="E1858" s="6"/>
      <c r="F1858" s="6"/>
      <c r="G1858" s="80"/>
      <c r="H1858" s="6"/>
      <c r="I1858" s="6"/>
      <c r="J1858" s="6"/>
      <c r="K1858" s="8"/>
      <c r="L1858" s="8"/>
      <c r="M1858" s="96"/>
      <c r="N1858" s="6"/>
      <c r="O1858" s="97"/>
      <c r="P1858" s="6"/>
      <c r="Q1858" s="6"/>
      <c r="R1858" s="6"/>
      <c r="S1858" s="6"/>
      <c r="T1858" s="6"/>
      <c r="U1858" s="6"/>
      <c r="V1858" s="6"/>
      <c r="W1858" s="6"/>
      <c r="X1858" s="6"/>
      <c r="Y1858" s="6"/>
      <c r="Z1858" s="6"/>
      <c r="AA1858" s="6"/>
      <c r="AB1858" s="6"/>
      <c r="AC1858" s="6"/>
      <c r="AD1858" s="6"/>
      <c r="AE1858" s="6"/>
      <c r="AF1858" s="6"/>
      <c r="AG1858" s="6"/>
      <c r="AH1858" s="6"/>
      <c r="AI1858" s="6"/>
      <c r="AJ1858" s="6"/>
      <c r="AK1858" s="6"/>
      <c r="AL1858" s="6"/>
    </row>
    <row r="1859" spans="1:38">
      <c r="A1859" s="96"/>
      <c r="B1859" s="6"/>
      <c r="C1859" s="6"/>
      <c r="D1859" s="6"/>
      <c r="E1859" s="6"/>
      <c r="F1859" s="6"/>
      <c r="G1859" s="80"/>
      <c r="H1859" s="6"/>
      <c r="I1859" s="6"/>
      <c r="J1859" s="6"/>
      <c r="K1859" s="8"/>
      <c r="L1859" s="8"/>
      <c r="M1859" s="96"/>
      <c r="N1859" s="6"/>
      <c r="O1859" s="97"/>
      <c r="P1859" s="6"/>
      <c r="Q1859" s="6"/>
      <c r="R1859" s="6"/>
      <c r="S1859" s="6"/>
      <c r="T1859" s="6"/>
      <c r="U1859" s="6"/>
      <c r="V1859" s="6"/>
      <c r="W1859" s="6"/>
      <c r="X1859" s="6"/>
      <c r="Y1859" s="6"/>
      <c r="Z1859" s="6"/>
      <c r="AA1859" s="6"/>
      <c r="AB1859" s="6"/>
      <c r="AC1859" s="6"/>
      <c r="AD1859" s="6"/>
      <c r="AE1859" s="6"/>
      <c r="AF1859" s="6"/>
      <c r="AG1859" s="6"/>
      <c r="AH1859" s="6"/>
      <c r="AI1859" s="6"/>
      <c r="AJ1859" s="6"/>
      <c r="AK1859" s="6"/>
      <c r="AL1859" s="6"/>
    </row>
    <row r="1860" spans="1:38">
      <c r="A1860" s="96"/>
      <c r="B1860" s="6"/>
      <c r="C1860" s="6"/>
      <c r="D1860" s="6"/>
      <c r="E1860" s="6"/>
      <c r="F1860" s="6"/>
      <c r="G1860" s="80"/>
      <c r="H1860" s="6"/>
      <c r="I1860" s="6"/>
      <c r="J1860" s="6"/>
      <c r="K1860" s="8"/>
      <c r="L1860" s="8"/>
      <c r="M1860" s="96"/>
      <c r="N1860" s="6"/>
      <c r="O1860" s="97"/>
      <c r="P1860" s="6"/>
      <c r="Q1860" s="6"/>
      <c r="R1860" s="6"/>
      <c r="S1860" s="6"/>
      <c r="T1860" s="6"/>
      <c r="U1860" s="6"/>
      <c r="V1860" s="6"/>
      <c r="W1860" s="6"/>
      <c r="X1860" s="6"/>
      <c r="Y1860" s="6"/>
      <c r="Z1860" s="6"/>
      <c r="AA1860" s="6"/>
      <c r="AB1860" s="6"/>
      <c r="AC1860" s="6"/>
      <c r="AD1860" s="6"/>
      <c r="AE1860" s="6"/>
      <c r="AF1860" s="6"/>
      <c r="AG1860" s="6"/>
      <c r="AH1860" s="6"/>
      <c r="AI1860" s="6"/>
      <c r="AJ1860" s="6"/>
      <c r="AK1860" s="6"/>
      <c r="AL1860" s="6"/>
    </row>
    <row r="1861" spans="1:38">
      <c r="A1861" s="96"/>
      <c r="B1861" s="6"/>
      <c r="C1861" s="6"/>
      <c r="D1861" s="6"/>
      <c r="E1861" s="6"/>
      <c r="F1861" s="6"/>
      <c r="G1861" s="80"/>
      <c r="H1861" s="6"/>
      <c r="I1861" s="6"/>
      <c r="J1861" s="6"/>
      <c r="K1861" s="8"/>
      <c r="L1861" s="8"/>
      <c r="M1861" s="96"/>
      <c r="N1861" s="6"/>
      <c r="O1861" s="97"/>
      <c r="P1861" s="6"/>
      <c r="Q1861" s="6"/>
      <c r="R1861" s="6"/>
      <c r="S1861" s="6"/>
      <c r="T1861" s="6"/>
      <c r="U1861" s="6"/>
      <c r="V1861" s="6"/>
      <c r="W1861" s="6"/>
      <c r="X1861" s="6"/>
      <c r="Y1861" s="6"/>
      <c r="Z1861" s="6"/>
      <c r="AA1861" s="6"/>
      <c r="AB1861" s="6"/>
      <c r="AC1861" s="6"/>
      <c r="AD1861" s="6"/>
      <c r="AE1861" s="6"/>
      <c r="AF1861" s="6"/>
      <c r="AG1861" s="6"/>
      <c r="AH1861" s="6"/>
      <c r="AI1861" s="6"/>
      <c r="AJ1861" s="6"/>
      <c r="AK1861" s="6"/>
      <c r="AL1861" s="6"/>
    </row>
    <row r="1862" spans="1:38">
      <c r="A1862" s="96"/>
      <c r="B1862" s="6"/>
      <c r="C1862" s="6"/>
      <c r="D1862" s="6"/>
      <c r="E1862" s="6"/>
      <c r="F1862" s="6"/>
      <c r="G1862" s="80"/>
      <c r="H1862" s="6"/>
      <c r="I1862" s="6"/>
      <c r="J1862" s="6"/>
      <c r="K1862" s="8"/>
      <c r="L1862" s="8"/>
      <c r="M1862" s="96"/>
      <c r="N1862" s="6"/>
      <c r="O1862" s="97"/>
      <c r="P1862" s="6"/>
      <c r="Q1862" s="6"/>
      <c r="R1862" s="6"/>
      <c r="S1862" s="6"/>
      <c r="T1862" s="6"/>
      <c r="U1862" s="6"/>
      <c r="V1862" s="6"/>
      <c r="W1862" s="6"/>
      <c r="X1862" s="6"/>
      <c r="Y1862" s="6"/>
      <c r="Z1862" s="6"/>
      <c r="AA1862" s="6"/>
      <c r="AB1862" s="6"/>
      <c r="AC1862" s="6"/>
      <c r="AD1862" s="6"/>
      <c r="AE1862" s="6"/>
      <c r="AF1862" s="6"/>
      <c r="AG1862" s="6"/>
      <c r="AH1862" s="6"/>
      <c r="AI1862" s="6"/>
      <c r="AJ1862" s="6"/>
      <c r="AK1862" s="6"/>
      <c r="AL1862" s="6"/>
    </row>
    <row r="1863" spans="1:38">
      <c r="A1863" s="96"/>
      <c r="B1863" s="6"/>
      <c r="C1863" s="6"/>
      <c r="D1863" s="6"/>
      <c r="E1863" s="6"/>
      <c r="F1863" s="6"/>
      <c r="G1863" s="80"/>
      <c r="H1863" s="6"/>
      <c r="I1863" s="6"/>
      <c r="J1863" s="6"/>
      <c r="K1863" s="8"/>
      <c r="L1863" s="8"/>
      <c r="M1863" s="96"/>
      <c r="N1863" s="6"/>
      <c r="O1863" s="97"/>
      <c r="P1863" s="6"/>
      <c r="Q1863" s="6"/>
      <c r="R1863" s="6"/>
      <c r="S1863" s="6"/>
      <c r="T1863" s="6"/>
      <c r="U1863" s="6"/>
      <c r="V1863" s="6"/>
      <c r="W1863" s="6"/>
      <c r="X1863" s="6"/>
      <c r="Y1863" s="6"/>
      <c r="Z1863" s="6"/>
      <c r="AA1863" s="6"/>
      <c r="AB1863" s="6"/>
      <c r="AC1863" s="6"/>
      <c r="AD1863" s="6"/>
      <c r="AE1863" s="6"/>
      <c r="AF1863" s="6"/>
      <c r="AG1863" s="6"/>
      <c r="AH1863" s="6"/>
      <c r="AI1863" s="6"/>
      <c r="AJ1863" s="6"/>
      <c r="AK1863" s="6"/>
      <c r="AL1863" s="6"/>
    </row>
    <row r="1864" spans="1:38">
      <c r="A1864" s="96"/>
      <c r="B1864" s="6"/>
      <c r="C1864" s="6"/>
      <c r="D1864" s="6"/>
      <c r="E1864" s="6"/>
      <c r="F1864" s="6"/>
      <c r="G1864" s="80"/>
      <c r="H1864" s="6"/>
      <c r="I1864" s="6"/>
      <c r="J1864" s="6"/>
      <c r="K1864" s="8"/>
      <c r="L1864" s="8"/>
      <c r="M1864" s="96"/>
      <c r="N1864" s="6"/>
      <c r="O1864" s="97"/>
      <c r="P1864" s="6"/>
      <c r="Q1864" s="6"/>
      <c r="R1864" s="6"/>
      <c r="S1864" s="6"/>
      <c r="T1864" s="6"/>
      <c r="U1864" s="6"/>
      <c r="V1864" s="6"/>
      <c r="W1864" s="6"/>
      <c r="X1864" s="6"/>
      <c r="Y1864" s="6"/>
      <c r="Z1864" s="6"/>
      <c r="AA1864" s="6"/>
      <c r="AB1864" s="6"/>
      <c r="AC1864" s="6"/>
      <c r="AD1864" s="6"/>
      <c r="AE1864" s="6"/>
      <c r="AF1864" s="6"/>
      <c r="AG1864" s="6"/>
      <c r="AH1864" s="6"/>
      <c r="AI1864" s="6"/>
      <c r="AJ1864" s="6"/>
      <c r="AK1864" s="6"/>
      <c r="AL1864" s="6"/>
    </row>
    <row r="1865" spans="1:38">
      <c r="A1865" s="96"/>
      <c r="B1865" s="6"/>
      <c r="C1865" s="6"/>
      <c r="D1865" s="6"/>
      <c r="E1865" s="6"/>
      <c r="F1865" s="6"/>
      <c r="G1865" s="80"/>
      <c r="H1865" s="6"/>
      <c r="I1865" s="6"/>
      <c r="J1865" s="6"/>
      <c r="K1865" s="8"/>
      <c r="L1865" s="8"/>
      <c r="M1865" s="96"/>
      <c r="N1865" s="6"/>
      <c r="O1865" s="97"/>
      <c r="P1865" s="6"/>
      <c r="Q1865" s="6"/>
      <c r="R1865" s="6"/>
      <c r="S1865" s="6"/>
      <c r="T1865" s="6"/>
      <c r="U1865" s="6"/>
      <c r="V1865" s="6"/>
      <c r="W1865" s="6"/>
      <c r="X1865" s="6"/>
      <c r="Y1865" s="6"/>
      <c r="Z1865" s="6"/>
      <c r="AA1865" s="6"/>
      <c r="AB1865" s="6"/>
      <c r="AC1865" s="6"/>
      <c r="AD1865" s="6"/>
      <c r="AE1865" s="6"/>
      <c r="AF1865" s="6"/>
      <c r="AG1865" s="6"/>
      <c r="AH1865" s="6"/>
      <c r="AI1865" s="6"/>
      <c r="AJ1865" s="6"/>
      <c r="AK1865" s="6"/>
      <c r="AL1865" s="6"/>
    </row>
    <row r="1866" spans="1:38">
      <c r="A1866" s="96"/>
      <c r="B1866" s="6"/>
      <c r="C1866" s="6"/>
      <c r="D1866" s="6"/>
      <c r="E1866" s="6"/>
      <c r="F1866" s="6"/>
      <c r="G1866" s="80"/>
      <c r="H1866" s="6"/>
      <c r="I1866" s="6"/>
      <c r="J1866" s="6"/>
      <c r="K1866" s="8"/>
      <c r="L1866" s="8"/>
      <c r="M1866" s="96"/>
      <c r="N1866" s="6"/>
      <c r="O1866" s="97"/>
      <c r="P1866" s="6"/>
      <c r="Q1866" s="6"/>
      <c r="R1866" s="6"/>
      <c r="S1866" s="6"/>
      <c r="T1866" s="6"/>
      <c r="U1866" s="6"/>
      <c r="V1866" s="6"/>
      <c r="W1866" s="6"/>
      <c r="X1866" s="6"/>
      <c r="Y1866" s="6"/>
      <c r="Z1866" s="6"/>
      <c r="AA1866" s="6"/>
      <c r="AB1866" s="6"/>
      <c r="AC1866" s="6"/>
      <c r="AD1866" s="6"/>
      <c r="AE1866" s="6"/>
      <c r="AF1866" s="6"/>
      <c r="AG1866" s="6"/>
      <c r="AH1866" s="6"/>
      <c r="AI1866" s="6"/>
      <c r="AJ1866" s="6"/>
      <c r="AK1866" s="6"/>
      <c r="AL1866" s="6"/>
    </row>
    <row r="1867" spans="1:38">
      <c r="A1867" s="96"/>
      <c r="B1867" s="6"/>
      <c r="C1867" s="6"/>
      <c r="D1867" s="6"/>
      <c r="E1867" s="6"/>
      <c r="F1867" s="6"/>
      <c r="G1867" s="80"/>
      <c r="H1867" s="6"/>
      <c r="I1867" s="6"/>
      <c r="J1867" s="6"/>
      <c r="K1867" s="8"/>
      <c r="L1867" s="8"/>
      <c r="M1867" s="96"/>
      <c r="N1867" s="6"/>
      <c r="O1867" s="97"/>
      <c r="P1867" s="6"/>
      <c r="Q1867" s="6"/>
      <c r="R1867" s="6"/>
      <c r="S1867" s="6"/>
      <c r="T1867" s="6"/>
      <c r="U1867" s="6"/>
      <c r="V1867" s="6"/>
      <c r="W1867" s="6"/>
      <c r="X1867" s="6"/>
      <c r="Y1867" s="6"/>
      <c r="Z1867" s="6"/>
      <c r="AA1867" s="6"/>
      <c r="AB1867" s="6"/>
      <c r="AC1867" s="6"/>
      <c r="AD1867" s="6"/>
      <c r="AE1867" s="6"/>
      <c r="AF1867" s="6"/>
      <c r="AG1867" s="6"/>
      <c r="AH1867" s="6"/>
      <c r="AI1867" s="6"/>
      <c r="AJ1867" s="6"/>
      <c r="AK1867" s="6"/>
      <c r="AL1867" s="6"/>
    </row>
    <row r="1868" spans="1:38">
      <c r="A1868" s="96"/>
      <c r="B1868" s="6"/>
      <c r="C1868" s="6"/>
      <c r="D1868" s="6"/>
      <c r="E1868" s="6"/>
      <c r="F1868" s="6"/>
      <c r="G1868" s="80"/>
      <c r="H1868" s="6"/>
      <c r="I1868" s="6"/>
      <c r="J1868" s="6"/>
      <c r="K1868" s="8"/>
      <c r="L1868" s="8"/>
      <c r="M1868" s="96"/>
      <c r="N1868" s="6"/>
      <c r="O1868" s="97"/>
      <c r="P1868" s="6"/>
      <c r="Q1868" s="6"/>
      <c r="R1868" s="6"/>
      <c r="S1868" s="6"/>
      <c r="T1868" s="6"/>
      <c r="U1868" s="6"/>
      <c r="V1868" s="6"/>
      <c r="W1868" s="6"/>
      <c r="X1868" s="6"/>
      <c r="Y1868" s="6"/>
      <c r="Z1868" s="6"/>
      <c r="AA1868" s="6"/>
      <c r="AB1868" s="6"/>
      <c r="AC1868" s="6"/>
      <c r="AD1868" s="6"/>
      <c r="AE1868" s="6"/>
      <c r="AF1868" s="6"/>
      <c r="AG1868" s="6"/>
      <c r="AH1868" s="6"/>
      <c r="AI1868" s="6"/>
      <c r="AJ1868" s="6"/>
      <c r="AK1868" s="6"/>
      <c r="AL1868" s="6"/>
    </row>
    <row r="1869" spans="1:38">
      <c r="A1869" s="96"/>
      <c r="B1869" s="6"/>
      <c r="C1869" s="6"/>
      <c r="D1869" s="6"/>
      <c r="E1869" s="6"/>
      <c r="F1869" s="6"/>
      <c r="G1869" s="80"/>
      <c r="H1869" s="6"/>
      <c r="I1869" s="6"/>
      <c r="J1869" s="6"/>
      <c r="K1869" s="8"/>
      <c r="L1869" s="8"/>
      <c r="M1869" s="96"/>
      <c r="N1869" s="6"/>
      <c r="O1869" s="97"/>
      <c r="P1869" s="6"/>
      <c r="Q1869" s="6"/>
      <c r="R1869" s="6"/>
      <c r="S1869" s="6"/>
      <c r="T1869" s="6"/>
      <c r="U1869" s="6"/>
      <c r="V1869" s="6"/>
      <c r="W1869" s="6"/>
      <c r="X1869" s="6"/>
      <c r="Y1869" s="6"/>
      <c r="Z1869" s="6"/>
      <c r="AA1869" s="6"/>
      <c r="AB1869" s="6"/>
      <c r="AC1869" s="6"/>
      <c r="AD1869" s="6"/>
      <c r="AE1869" s="6"/>
      <c r="AF1869" s="6"/>
      <c r="AG1869" s="6"/>
      <c r="AH1869" s="6"/>
      <c r="AI1869" s="6"/>
      <c r="AJ1869" s="6"/>
      <c r="AK1869" s="6"/>
      <c r="AL1869" s="6"/>
    </row>
    <row r="1870" spans="1:38">
      <c r="A1870" s="96"/>
      <c r="B1870" s="6"/>
      <c r="C1870" s="6"/>
      <c r="D1870" s="6"/>
      <c r="E1870" s="6"/>
      <c r="F1870" s="6"/>
      <c r="G1870" s="80"/>
      <c r="H1870" s="6"/>
      <c r="I1870" s="6"/>
      <c r="J1870" s="6"/>
      <c r="K1870" s="8"/>
      <c r="L1870" s="8"/>
      <c r="M1870" s="96"/>
      <c r="N1870" s="6"/>
      <c r="O1870" s="97"/>
      <c r="P1870" s="6"/>
      <c r="Q1870" s="6"/>
      <c r="R1870" s="6"/>
      <c r="S1870" s="6"/>
      <c r="T1870" s="6"/>
      <c r="U1870" s="6"/>
      <c r="V1870" s="6"/>
      <c r="W1870" s="6"/>
      <c r="X1870" s="6"/>
      <c r="Y1870" s="6"/>
      <c r="Z1870" s="6"/>
      <c r="AA1870" s="6"/>
      <c r="AB1870" s="6"/>
      <c r="AC1870" s="6"/>
      <c r="AD1870" s="6"/>
      <c r="AE1870" s="6"/>
      <c r="AF1870" s="6"/>
      <c r="AG1870" s="6"/>
      <c r="AH1870" s="6"/>
      <c r="AI1870" s="6"/>
      <c r="AJ1870" s="6"/>
      <c r="AK1870" s="6"/>
      <c r="AL1870" s="6"/>
    </row>
    <row r="1871" spans="1:38">
      <c r="A1871" s="96"/>
      <c r="B1871" s="6"/>
      <c r="C1871" s="6"/>
      <c r="D1871" s="6"/>
      <c r="E1871" s="6"/>
      <c r="F1871" s="6"/>
      <c r="G1871" s="80"/>
      <c r="H1871" s="6"/>
      <c r="I1871" s="6"/>
      <c r="J1871" s="6"/>
      <c r="K1871" s="8"/>
      <c r="L1871" s="8"/>
      <c r="M1871" s="96"/>
      <c r="N1871" s="6"/>
      <c r="O1871" s="97"/>
      <c r="P1871" s="6"/>
      <c r="Q1871" s="6"/>
      <c r="R1871" s="6"/>
      <c r="S1871" s="6"/>
      <c r="T1871" s="6"/>
      <c r="U1871" s="6"/>
      <c r="V1871" s="6"/>
      <c r="W1871" s="6"/>
      <c r="X1871" s="6"/>
      <c r="Y1871" s="6"/>
      <c r="Z1871" s="6"/>
      <c r="AA1871" s="6"/>
      <c r="AB1871" s="6"/>
      <c r="AC1871" s="6"/>
      <c r="AD1871" s="6"/>
      <c r="AE1871" s="6"/>
      <c r="AF1871" s="6"/>
      <c r="AG1871" s="6"/>
      <c r="AH1871" s="6"/>
      <c r="AI1871" s="6"/>
      <c r="AJ1871" s="6"/>
      <c r="AK1871" s="6"/>
      <c r="AL1871" s="6"/>
    </row>
    <row r="1872" spans="1:38">
      <c r="A1872" s="96"/>
      <c r="B1872" s="6"/>
      <c r="C1872" s="6"/>
      <c r="D1872" s="6"/>
      <c r="E1872" s="6"/>
      <c r="F1872" s="6"/>
      <c r="G1872" s="80"/>
      <c r="H1872" s="6"/>
      <c r="I1872" s="6"/>
      <c r="J1872" s="6"/>
      <c r="K1872" s="8"/>
      <c r="L1872" s="8"/>
      <c r="M1872" s="96"/>
      <c r="N1872" s="6"/>
      <c r="O1872" s="97"/>
      <c r="P1872" s="6"/>
      <c r="Q1872" s="6"/>
      <c r="R1872" s="6"/>
      <c r="S1872" s="6"/>
      <c r="T1872" s="6"/>
      <c r="U1872" s="6"/>
      <c r="V1872" s="6"/>
      <c r="W1872" s="6"/>
      <c r="X1872" s="6"/>
      <c r="Y1872" s="6"/>
      <c r="Z1872" s="6"/>
      <c r="AA1872" s="6"/>
      <c r="AB1872" s="6"/>
      <c r="AC1872" s="6"/>
      <c r="AD1872" s="6"/>
      <c r="AE1872" s="6"/>
      <c r="AF1872" s="6"/>
      <c r="AG1872" s="6"/>
      <c r="AH1872" s="6"/>
      <c r="AI1872" s="6"/>
      <c r="AJ1872" s="6"/>
      <c r="AK1872" s="6"/>
      <c r="AL1872" s="6"/>
    </row>
    <row r="1873" spans="1:38">
      <c r="A1873" s="96"/>
      <c r="B1873" s="6"/>
      <c r="C1873" s="6"/>
      <c r="D1873" s="6"/>
      <c r="E1873" s="6"/>
      <c r="F1873" s="6"/>
      <c r="G1873" s="80"/>
      <c r="H1873" s="6"/>
      <c r="I1873" s="6"/>
      <c r="J1873" s="6"/>
      <c r="K1873" s="8"/>
      <c r="L1873" s="8"/>
      <c r="M1873" s="96"/>
      <c r="N1873" s="6"/>
      <c r="O1873" s="97"/>
      <c r="P1873" s="6"/>
      <c r="Q1873" s="6"/>
      <c r="R1873" s="6"/>
      <c r="S1873" s="6"/>
      <c r="T1873" s="6"/>
      <c r="U1873" s="6"/>
      <c r="V1873" s="6"/>
      <c r="W1873" s="6"/>
      <c r="X1873" s="6"/>
      <c r="Y1873" s="6"/>
      <c r="Z1873" s="6"/>
      <c r="AA1873" s="6"/>
      <c r="AB1873" s="6"/>
      <c r="AC1873" s="6"/>
      <c r="AD1873" s="6"/>
      <c r="AE1873" s="6"/>
      <c r="AF1873" s="6"/>
      <c r="AG1873" s="6"/>
      <c r="AH1873" s="6"/>
      <c r="AI1873" s="6"/>
      <c r="AJ1873" s="6"/>
      <c r="AK1873" s="6"/>
      <c r="AL1873" s="6"/>
    </row>
    <row r="1874" spans="1:38">
      <c r="A1874" s="96"/>
      <c r="B1874" s="6"/>
      <c r="C1874" s="6"/>
      <c r="D1874" s="6"/>
      <c r="E1874" s="6"/>
      <c r="F1874" s="6"/>
      <c r="G1874" s="80"/>
      <c r="H1874" s="6"/>
      <c r="I1874" s="6"/>
      <c r="J1874" s="6"/>
      <c r="K1874" s="8"/>
      <c r="L1874" s="8"/>
      <c r="M1874" s="96"/>
      <c r="N1874" s="6"/>
      <c r="O1874" s="97"/>
      <c r="P1874" s="6"/>
      <c r="Q1874" s="6"/>
      <c r="R1874" s="6"/>
      <c r="S1874" s="6"/>
      <c r="T1874" s="6"/>
      <c r="U1874" s="6"/>
      <c r="V1874" s="6"/>
      <c r="W1874" s="6"/>
      <c r="X1874" s="6"/>
      <c r="Y1874" s="6"/>
      <c r="Z1874" s="6"/>
      <c r="AA1874" s="6"/>
      <c r="AB1874" s="6"/>
      <c r="AC1874" s="6"/>
      <c r="AD1874" s="6"/>
      <c r="AE1874" s="6"/>
      <c r="AF1874" s="6"/>
      <c r="AG1874" s="6"/>
      <c r="AH1874" s="6"/>
      <c r="AI1874" s="6"/>
      <c r="AJ1874" s="6"/>
      <c r="AK1874" s="6"/>
      <c r="AL1874" s="6"/>
    </row>
    <row r="1875" spans="1:38">
      <c r="A1875" s="96"/>
      <c r="B1875" s="6"/>
      <c r="C1875" s="6"/>
      <c r="D1875" s="6"/>
      <c r="E1875" s="6"/>
      <c r="F1875" s="6"/>
      <c r="G1875" s="80"/>
      <c r="H1875" s="6"/>
      <c r="I1875" s="6"/>
      <c r="J1875" s="6"/>
      <c r="K1875" s="8"/>
      <c r="L1875" s="8"/>
      <c r="M1875" s="96"/>
      <c r="N1875" s="6"/>
      <c r="O1875" s="97"/>
      <c r="P1875" s="6"/>
      <c r="Q1875" s="6"/>
      <c r="R1875" s="6"/>
      <c r="S1875" s="6"/>
      <c r="T1875" s="6"/>
      <c r="U1875" s="6"/>
      <c r="V1875" s="6"/>
      <c r="W1875" s="6"/>
      <c r="X1875" s="6"/>
      <c r="Y1875" s="6"/>
      <c r="Z1875" s="6"/>
      <c r="AA1875" s="6"/>
      <c r="AB1875" s="6"/>
      <c r="AC1875" s="6"/>
      <c r="AD1875" s="6"/>
      <c r="AE1875" s="6"/>
      <c r="AF1875" s="6"/>
      <c r="AG1875" s="6"/>
      <c r="AH1875" s="6"/>
      <c r="AI1875" s="6"/>
      <c r="AJ1875" s="6"/>
      <c r="AK1875" s="6"/>
      <c r="AL1875" s="6"/>
    </row>
    <row r="1876" spans="1:38">
      <c r="A1876" s="96"/>
      <c r="B1876" s="6"/>
      <c r="C1876" s="6"/>
      <c r="D1876" s="6"/>
      <c r="E1876" s="6"/>
      <c r="F1876" s="6"/>
      <c r="G1876" s="80"/>
      <c r="H1876" s="6"/>
      <c r="I1876" s="6"/>
      <c r="J1876" s="6"/>
      <c r="K1876" s="8"/>
      <c r="L1876" s="8"/>
      <c r="M1876" s="96"/>
      <c r="N1876" s="6"/>
      <c r="O1876" s="97"/>
      <c r="P1876" s="6"/>
      <c r="Q1876" s="6"/>
      <c r="R1876" s="6"/>
      <c r="S1876" s="6"/>
      <c r="T1876" s="6"/>
      <c r="U1876" s="6"/>
      <c r="V1876" s="6"/>
      <c r="W1876" s="6"/>
      <c r="X1876" s="6"/>
      <c r="Y1876" s="6"/>
      <c r="Z1876" s="6"/>
      <c r="AA1876" s="6"/>
      <c r="AB1876" s="6"/>
      <c r="AC1876" s="6"/>
      <c r="AD1876" s="6"/>
      <c r="AE1876" s="6"/>
      <c r="AF1876" s="6"/>
      <c r="AG1876" s="6"/>
      <c r="AH1876" s="6"/>
      <c r="AI1876" s="6"/>
      <c r="AJ1876" s="6"/>
      <c r="AK1876" s="6"/>
      <c r="AL1876" s="6"/>
    </row>
    <row r="1877" spans="1:38">
      <c r="A1877" s="96"/>
      <c r="B1877" s="6"/>
      <c r="C1877" s="6"/>
      <c r="D1877" s="6"/>
      <c r="E1877" s="6"/>
      <c r="F1877" s="6"/>
      <c r="G1877" s="80"/>
      <c r="H1877" s="6"/>
      <c r="I1877" s="6"/>
      <c r="J1877" s="6"/>
      <c r="K1877" s="8"/>
      <c r="L1877" s="8"/>
      <c r="M1877" s="96"/>
      <c r="N1877" s="6"/>
      <c r="O1877" s="97"/>
      <c r="P1877" s="6"/>
      <c r="Q1877" s="6"/>
      <c r="R1877" s="6"/>
      <c r="S1877" s="6"/>
      <c r="T1877" s="6"/>
      <c r="U1877" s="6"/>
      <c r="V1877" s="6"/>
      <c r="W1877" s="6"/>
      <c r="X1877" s="6"/>
      <c r="Y1877" s="6"/>
      <c r="Z1877" s="6"/>
      <c r="AA1877" s="6"/>
      <c r="AB1877" s="6"/>
      <c r="AC1877" s="6"/>
      <c r="AD1877" s="6"/>
      <c r="AE1877" s="6"/>
      <c r="AF1877" s="6"/>
      <c r="AG1877" s="6"/>
      <c r="AH1877" s="6"/>
      <c r="AI1877" s="6"/>
      <c r="AJ1877" s="6"/>
      <c r="AK1877" s="6"/>
      <c r="AL1877" s="6"/>
    </row>
    <row r="1878" spans="1:38">
      <c r="A1878" s="96"/>
      <c r="B1878" s="6"/>
      <c r="C1878" s="6"/>
      <c r="D1878" s="6"/>
      <c r="E1878" s="6"/>
      <c r="F1878" s="6"/>
      <c r="G1878" s="80"/>
      <c r="H1878" s="6"/>
      <c r="I1878" s="6"/>
      <c r="J1878" s="6"/>
      <c r="K1878" s="8"/>
      <c r="L1878" s="8"/>
      <c r="M1878" s="96"/>
      <c r="N1878" s="6"/>
      <c r="O1878" s="97"/>
      <c r="P1878" s="6"/>
      <c r="Q1878" s="6"/>
      <c r="R1878" s="6"/>
      <c r="S1878" s="6"/>
      <c r="T1878" s="6"/>
      <c r="U1878" s="6"/>
      <c r="V1878" s="6"/>
      <c r="W1878" s="6"/>
      <c r="X1878" s="6"/>
      <c r="Y1878" s="6"/>
      <c r="Z1878" s="6"/>
      <c r="AA1878" s="6"/>
      <c r="AB1878" s="6"/>
      <c r="AC1878" s="6"/>
      <c r="AD1878" s="6"/>
      <c r="AE1878" s="6"/>
      <c r="AF1878" s="6"/>
      <c r="AG1878" s="6"/>
      <c r="AH1878" s="6"/>
      <c r="AI1878" s="6"/>
      <c r="AJ1878" s="6"/>
      <c r="AK1878" s="6"/>
      <c r="AL1878" s="6"/>
    </row>
    <row r="1879" spans="1:38">
      <c r="A1879" s="96"/>
      <c r="B1879" s="6"/>
      <c r="C1879" s="6"/>
      <c r="D1879" s="6"/>
      <c r="E1879" s="6"/>
      <c r="F1879" s="6"/>
      <c r="G1879" s="80"/>
      <c r="H1879" s="6"/>
      <c r="I1879" s="6"/>
      <c r="J1879" s="6"/>
      <c r="K1879" s="8"/>
      <c r="L1879" s="8"/>
      <c r="M1879" s="96"/>
      <c r="N1879" s="6"/>
      <c r="O1879" s="97"/>
      <c r="P1879" s="6"/>
      <c r="Q1879" s="6"/>
      <c r="R1879" s="6"/>
      <c r="S1879" s="6"/>
      <c r="T1879" s="6"/>
      <c r="U1879" s="6"/>
      <c r="V1879" s="6"/>
      <c r="W1879" s="6"/>
      <c r="X1879" s="6"/>
      <c r="Y1879" s="6"/>
      <c r="Z1879" s="6"/>
      <c r="AA1879" s="6"/>
      <c r="AB1879" s="6"/>
      <c r="AC1879" s="6"/>
      <c r="AD1879" s="6"/>
      <c r="AE1879" s="6"/>
      <c r="AF1879" s="6"/>
      <c r="AG1879" s="6"/>
      <c r="AH1879" s="6"/>
      <c r="AI1879" s="6"/>
      <c r="AJ1879" s="6"/>
      <c r="AK1879" s="6"/>
      <c r="AL1879" s="6"/>
    </row>
    <row r="1880" spans="1:38">
      <c r="A1880" s="96"/>
      <c r="B1880" s="6"/>
      <c r="C1880" s="6"/>
      <c r="D1880" s="6"/>
      <c r="E1880" s="6"/>
      <c r="F1880" s="6"/>
      <c r="G1880" s="80"/>
      <c r="H1880" s="6"/>
      <c r="I1880" s="6"/>
      <c r="J1880" s="6"/>
      <c r="K1880" s="8"/>
      <c r="L1880" s="8"/>
      <c r="M1880" s="96"/>
      <c r="N1880" s="6"/>
      <c r="O1880" s="97"/>
      <c r="P1880" s="6"/>
      <c r="Q1880" s="6"/>
      <c r="R1880" s="6"/>
      <c r="S1880" s="6"/>
      <c r="T1880" s="6"/>
      <c r="U1880" s="6"/>
      <c r="V1880" s="6"/>
      <c r="W1880" s="6"/>
      <c r="X1880" s="6"/>
      <c r="Y1880" s="6"/>
      <c r="Z1880" s="6"/>
      <c r="AA1880" s="6"/>
      <c r="AB1880" s="6"/>
      <c r="AC1880" s="6"/>
      <c r="AD1880" s="6"/>
      <c r="AE1880" s="6"/>
      <c r="AF1880" s="6"/>
      <c r="AG1880" s="6"/>
      <c r="AH1880" s="6"/>
      <c r="AI1880" s="6"/>
      <c r="AJ1880" s="6"/>
      <c r="AK1880" s="6"/>
      <c r="AL1880" s="6"/>
    </row>
    <row r="1881" spans="1:38">
      <c r="A1881" s="96"/>
      <c r="B1881" s="6"/>
      <c r="C1881" s="6"/>
      <c r="D1881" s="6"/>
      <c r="E1881" s="6"/>
      <c r="F1881" s="6"/>
      <c r="G1881" s="80"/>
      <c r="H1881" s="6"/>
      <c r="I1881" s="6"/>
      <c r="J1881" s="6"/>
      <c r="K1881" s="8"/>
      <c r="L1881" s="8"/>
      <c r="M1881" s="96"/>
      <c r="N1881" s="6"/>
      <c r="O1881" s="97"/>
      <c r="P1881" s="6"/>
      <c r="Q1881" s="6"/>
      <c r="R1881" s="6"/>
      <c r="S1881" s="6"/>
      <c r="T1881" s="6"/>
      <c r="U1881" s="6"/>
      <c r="V1881" s="6"/>
      <c r="W1881" s="6"/>
      <c r="X1881" s="6"/>
      <c r="Y1881" s="6"/>
      <c r="Z1881" s="6"/>
      <c r="AA1881" s="6"/>
      <c r="AB1881" s="6"/>
      <c r="AC1881" s="6"/>
      <c r="AD1881" s="6"/>
      <c r="AE1881" s="6"/>
      <c r="AF1881" s="6"/>
      <c r="AG1881" s="6"/>
      <c r="AH1881" s="6"/>
      <c r="AI1881" s="6"/>
      <c r="AJ1881" s="6"/>
      <c r="AK1881" s="6"/>
      <c r="AL1881" s="6"/>
    </row>
    <row r="1882" spans="1:38">
      <c r="A1882" s="96"/>
      <c r="B1882" s="6"/>
      <c r="C1882" s="6"/>
      <c r="D1882" s="6"/>
      <c r="E1882" s="6"/>
      <c r="F1882" s="6"/>
      <c r="G1882" s="80"/>
      <c r="H1882" s="6"/>
      <c r="I1882" s="6"/>
      <c r="J1882" s="6"/>
      <c r="K1882" s="8"/>
      <c r="L1882" s="8"/>
      <c r="M1882" s="96"/>
      <c r="N1882" s="6"/>
      <c r="O1882" s="97"/>
      <c r="P1882" s="6"/>
      <c r="Q1882" s="6"/>
      <c r="R1882" s="6"/>
      <c r="S1882" s="6"/>
      <c r="T1882" s="6"/>
      <c r="U1882" s="6"/>
      <c r="V1882" s="6"/>
      <c r="W1882" s="6"/>
      <c r="X1882" s="6"/>
      <c r="Y1882" s="6"/>
      <c r="Z1882" s="6"/>
      <c r="AA1882" s="6"/>
      <c r="AB1882" s="6"/>
      <c r="AC1882" s="6"/>
      <c r="AD1882" s="6"/>
      <c r="AE1882" s="6"/>
      <c r="AF1882" s="6"/>
      <c r="AG1882" s="6"/>
      <c r="AH1882" s="6"/>
      <c r="AI1882" s="6"/>
      <c r="AJ1882" s="6"/>
      <c r="AK1882" s="6"/>
      <c r="AL1882" s="6"/>
    </row>
    <row r="1883" spans="1:38">
      <c r="A1883" s="96"/>
      <c r="B1883" s="6"/>
      <c r="C1883" s="6"/>
      <c r="D1883" s="6"/>
      <c r="E1883" s="6"/>
      <c r="F1883" s="6"/>
      <c r="G1883" s="80"/>
      <c r="H1883" s="6"/>
      <c r="I1883" s="6"/>
      <c r="J1883" s="6"/>
      <c r="K1883" s="8"/>
      <c r="L1883" s="8"/>
      <c r="M1883" s="96"/>
      <c r="N1883" s="6"/>
      <c r="O1883" s="97"/>
      <c r="P1883" s="6"/>
      <c r="Q1883" s="6"/>
      <c r="R1883" s="6"/>
      <c r="S1883" s="6"/>
      <c r="T1883" s="6"/>
      <c r="U1883" s="6"/>
      <c r="V1883" s="6"/>
      <c r="W1883" s="6"/>
      <c r="X1883" s="6"/>
      <c r="Y1883" s="6"/>
      <c r="Z1883" s="6"/>
      <c r="AA1883" s="6"/>
      <c r="AB1883" s="6"/>
      <c r="AC1883" s="6"/>
      <c r="AD1883" s="6"/>
      <c r="AE1883" s="6"/>
      <c r="AF1883" s="6"/>
      <c r="AG1883" s="6"/>
      <c r="AH1883" s="6"/>
      <c r="AI1883" s="6"/>
      <c r="AJ1883" s="6"/>
      <c r="AK1883" s="6"/>
      <c r="AL1883" s="6"/>
    </row>
    <row r="1884" spans="1:38">
      <c r="A1884" s="96"/>
      <c r="B1884" s="6"/>
      <c r="C1884" s="6"/>
      <c r="D1884" s="6"/>
      <c r="E1884" s="6"/>
      <c r="F1884" s="6"/>
      <c r="G1884" s="80"/>
      <c r="H1884" s="6"/>
      <c r="I1884" s="6"/>
      <c r="J1884" s="6"/>
      <c r="K1884" s="8"/>
      <c r="L1884" s="8"/>
      <c r="M1884" s="96"/>
      <c r="N1884" s="6"/>
      <c r="O1884" s="97"/>
      <c r="P1884" s="6"/>
      <c r="Q1884" s="6"/>
      <c r="R1884" s="6"/>
      <c r="S1884" s="6"/>
      <c r="T1884" s="6"/>
      <c r="U1884" s="6"/>
      <c r="V1884" s="6"/>
      <c r="W1884" s="6"/>
      <c r="X1884" s="6"/>
      <c r="Y1884" s="6"/>
      <c r="Z1884" s="6"/>
      <c r="AA1884" s="6"/>
      <c r="AB1884" s="6"/>
      <c r="AC1884" s="6"/>
      <c r="AD1884" s="6"/>
      <c r="AE1884" s="6"/>
      <c r="AF1884" s="6"/>
      <c r="AG1884" s="6"/>
      <c r="AH1884" s="6"/>
      <c r="AI1884" s="6"/>
      <c r="AJ1884" s="6"/>
      <c r="AK1884" s="6"/>
      <c r="AL1884" s="6"/>
    </row>
    <row r="1885" spans="1:38">
      <c r="A1885" s="96"/>
      <c r="B1885" s="6"/>
      <c r="C1885" s="6"/>
      <c r="D1885" s="6"/>
      <c r="E1885" s="6"/>
      <c r="F1885" s="6"/>
      <c r="G1885" s="80"/>
      <c r="H1885" s="6"/>
      <c r="I1885" s="6"/>
      <c r="J1885" s="6"/>
      <c r="K1885" s="8"/>
      <c r="L1885" s="8"/>
      <c r="M1885" s="96"/>
      <c r="N1885" s="6"/>
      <c r="O1885" s="97"/>
      <c r="P1885" s="6"/>
      <c r="Q1885" s="6"/>
      <c r="R1885" s="6"/>
      <c r="S1885" s="6"/>
      <c r="T1885" s="6"/>
      <c r="U1885" s="6"/>
      <c r="V1885" s="6"/>
      <c r="W1885" s="6"/>
      <c r="X1885" s="6"/>
      <c r="Y1885" s="6"/>
      <c r="Z1885" s="6"/>
      <c r="AA1885" s="6"/>
      <c r="AB1885" s="6"/>
      <c r="AC1885" s="6"/>
      <c r="AD1885" s="6"/>
      <c r="AE1885" s="6"/>
      <c r="AF1885" s="6"/>
      <c r="AG1885" s="6"/>
      <c r="AH1885" s="6"/>
      <c r="AI1885" s="6"/>
      <c r="AJ1885" s="6"/>
      <c r="AK1885" s="6"/>
      <c r="AL1885" s="6"/>
    </row>
    <row r="1886" spans="1:38">
      <c r="A1886" s="96"/>
      <c r="B1886" s="6"/>
      <c r="C1886" s="6"/>
      <c r="D1886" s="6"/>
      <c r="E1886" s="6"/>
      <c r="F1886" s="6"/>
      <c r="G1886" s="80"/>
      <c r="H1886" s="6"/>
      <c r="I1886" s="6"/>
      <c r="J1886" s="6"/>
      <c r="K1886" s="8"/>
      <c r="L1886" s="8"/>
      <c r="M1886" s="96"/>
      <c r="N1886" s="6"/>
      <c r="O1886" s="97"/>
      <c r="P1886" s="6"/>
      <c r="Q1886" s="6"/>
      <c r="R1886" s="6"/>
      <c r="S1886" s="6"/>
      <c r="T1886" s="6"/>
      <c r="U1886" s="6"/>
      <c r="V1886" s="6"/>
      <c r="W1886" s="6"/>
      <c r="X1886" s="6"/>
      <c r="Y1886" s="6"/>
      <c r="Z1886" s="6"/>
      <c r="AA1886" s="6"/>
      <c r="AB1886" s="6"/>
      <c r="AC1886" s="6"/>
      <c r="AD1886" s="6"/>
      <c r="AE1886" s="6"/>
      <c r="AF1886" s="6"/>
      <c r="AG1886" s="6"/>
      <c r="AH1886" s="6"/>
      <c r="AI1886" s="6"/>
      <c r="AJ1886" s="6"/>
      <c r="AK1886" s="6"/>
      <c r="AL1886" s="6"/>
    </row>
    <row r="1887" spans="1:38">
      <c r="A1887" s="96"/>
      <c r="B1887" s="6"/>
      <c r="C1887" s="6"/>
      <c r="D1887" s="6"/>
      <c r="E1887" s="6"/>
      <c r="F1887" s="6"/>
      <c r="G1887" s="80"/>
      <c r="H1887" s="6"/>
      <c r="I1887" s="6"/>
      <c r="J1887" s="6"/>
      <c r="K1887" s="8"/>
      <c r="L1887" s="8"/>
      <c r="M1887" s="96"/>
      <c r="N1887" s="6"/>
      <c r="O1887" s="97"/>
      <c r="P1887" s="6"/>
      <c r="Q1887" s="6"/>
      <c r="R1887" s="6"/>
      <c r="S1887" s="6"/>
      <c r="T1887" s="6"/>
      <c r="U1887" s="6"/>
      <c r="V1887" s="6"/>
      <c r="W1887" s="6"/>
      <c r="X1887" s="6"/>
      <c r="Y1887" s="6"/>
      <c r="Z1887" s="6"/>
      <c r="AA1887" s="6"/>
      <c r="AB1887" s="6"/>
      <c r="AC1887" s="6"/>
      <c r="AD1887" s="6"/>
      <c r="AE1887" s="6"/>
      <c r="AF1887" s="6"/>
      <c r="AG1887" s="6"/>
      <c r="AH1887" s="6"/>
      <c r="AI1887" s="6"/>
      <c r="AJ1887" s="6"/>
      <c r="AK1887" s="6"/>
      <c r="AL1887" s="6"/>
    </row>
    <row r="1888" spans="1:38">
      <c r="A1888" s="96"/>
      <c r="B1888" s="6"/>
      <c r="C1888" s="6"/>
      <c r="D1888" s="6"/>
      <c r="E1888" s="6"/>
      <c r="F1888" s="6"/>
      <c r="G1888" s="80"/>
      <c r="H1888" s="6"/>
      <c r="I1888" s="6"/>
      <c r="J1888" s="6"/>
      <c r="K1888" s="8"/>
      <c r="L1888" s="8"/>
      <c r="M1888" s="96"/>
      <c r="N1888" s="6"/>
      <c r="O1888" s="97"/>
      <c r="P1888" s="6"/>
      <c r="Q1888" s="6"/>
      <c r="R1888" s="6"/>
      <c r="S1888" s="6"/>
      <c r="T1888" s="6"/>
      <c r="U1888" s="6"/>
      <c r="V1888" s="6"/>
      <c r="W1888" s="6"/>
      <c r="X1888" s="6"/>
      <c r="Y1888" s="6"/>
      <c r="Z1888" s="6"/>
      <c r="AA1888" s="6"/>
      <c r="AB1888" s="6"/>
      <c r="AC1888" s="6"/>
      <c r="AD1888" s="6"/>
      <c r="AE1888" s="6"/>
      <c r="AF1888" s="6"/>
      <c r="AG1888" s="6"/>
      <c r="AH1888" s="6"/>
      <c r="AI1888" s="6"/>
      <c r="AJ1888" s="6"/>
      <c r="AK1888" s="6"/>
      <c r="AL1888" s="6"/>
    </row>
    <row r="1889" spans="1:38">
      <c r="A1889" s="96"/>
      <c r="B1889" s="6"/>
      <c r="C1889" s="6"/>
      <c r="D1889" s="6"/>
      <c r="E1889" s="6"/>
      <c r="F1889" s="6"/>
      <c r="G1889" s="80"/>
      <c r="H1889" s="6"/>
      <c r="I1889" s="6"/>
      <c r="J1889" s="6"/>
      <c r="K1889" s="8"/>
      <c r="L1889" s="8"/>
      <c r="M1889" s="96"/>
      <c r="N1889" s="6"/>
      <c r="O1889" s="97"/>
      <c r="P1889" s="6"/>
      <c r="Q1889" s="6"/>
      <c r="R1889" s="6"/>
      <c r="S1889" s="6"/>
      <c r="T1889" s="6"/>
      <c r="U1889" s="6"/>
      <c r="V1889" s="6"/>
      <c r="W1889" s="6"/>
      <c r="X1889" s="6"/>
      <c r="Y1889" s="6"/>
      <c r="Z1889" s="6"/>
      <c r="AA1889" s="6"/>
      <c r="AB1889" s="6"/>
      <c r="AC1889" s="6"/>
      <c r="AD1889" s="6"/>
      <c r="AE1889" s="6"/>
      <c r="AF1889" s="6"/>
      <c r="AG1889" s="6"/>
      <c r="AH1889" s="6"/>
      <c r="AI1889" s="6"/>
      <c r="AJ1889" s="6"/>
      <c r="AK1889" s="6"/>
      <c r="AL1889" s="6"/>
    </row>
    <row r="1890" spans="1:38">
      <c r="A1890" s="96"/>
      <c r="B1890" s="6"/>
      <c r="C1890" s="6"/>
      <c r="D1890" s="6"/>
      <c r="E1890" s="6"/>
      <c r="F1890" s="6"/>
      <c r="G1890" s="80"/>
      <c r="H1890" s="6"/>
      <c r="I1890" s="6"/>
      <c r="J1890" s="6"/>
      <c r="K1890" s="8"/>
      <c r="L1890" s="8"/>
      <c r="M1890" s="96"/>
      <c r="N1890" s="6"/>
      <c r="O1890" s="97"/>
      <c r="P1890" s="6"/>
      <c r="Q1890" s="6"/>
      <c r="R1890" s="6"/>
      <c r="S1890" s="6"/>
      <c r="T1890" s="6"/>
      <c r="U1890" s="6"/>
      <c r="V1890" s="6"/>
      <c r="W1890" s="6"/>
      <c r="X1890" s="6"/>
      <c r="Y1890" s="6"/>
      <c r="Z1890" s="6"/>
      <c r="AA1890" s="6"/>
      <c r="AB1890" s="6"/>
      <c r="AC1890" s="6"/>
      <c r="AD1890" s="6"/>
      <c r="AE1890" s="6"/>
      <c r="AF1890" s="6"/>
      <c r="AG1890" s="6"/>
      <c r="AH1890" s="6"/>
      <c r="AI1890" s="6"/>
      <c r="AJ1890" s="6"/>
      <c r="AK1890" s="6"/>
      <c r="AL1890" s="6"/>
    </row>
    <row r="1891" spans="1:38">
      <c r="A1891" s="96"/>
      <c r="B1891" s="6"/>
      <c r="C1891" s="6"/>
      <c r="D1891" s="6"/>
      <c r="E1891" s="6"/>
      <c r="F1891" s="6"/>
      <c r="G1891" s="80"/>
      <c r="H1891" s="6"/>
      <c r="I1891" s="6"/>
      <c r="J1891" s="6"/>
      <c r="K1891" s="8"/>
      <c r="L1891" s="8"/>
      <c r="M1891" s="96"/>
      <c r="N1891" s="6"/>
      <c r="O1891" s="97"/>
      <c r="P1891" s="6"/>
      <c r="Q1891" s="6"/>
      <c r="R1891" s="6"/>
      <c r="S1891" s="6"/>
      <c r="T1891" s="6"/>
      <c r="U1891" s="6"/>
      <c r="V1891" s="6"/>
      <c r="W1891" s="6"/>
      <c r="X1891" s="6"/>
      <c r="Y1891" s="6"/>
      <c r="Z1891" s="6"/>
      <c r="AA1891" s="6"/>
      <c r="AB1891" s="6"/>
      <c r="AC1891" s="6"/>
      <c r="AD1891" s="6"/>
      <c r="AE1891" s="6"/>
      <c r="AF1891" s="6"/>
      <c r="AG1891" s="6"/>
      <c r="AH1891" s="6"/>
      <c r="AI1891" s="6"/>
      <c r="AJ1891" s="6"/>
      <c r="AK1891" s="6"/>
      <c r="AL1891" s="6"/>
    </row>
    <row r="1892" spans="1:38">
      <c r="A1892" s="96"/>
      <c r="B1892" s="6"/>
      <c r="C1892" s="6"/>
      <c r="D1892" s="6"/>
      <c r="E1892" s="6"/>
      <c r="F1892" s="6"/>
      <c r="G1892" s="80"/>
      <c r="H1892" s="6"/>
      <c r="I1892" s="6"/>
      <c r="J1892" s="6"/>
      <c r="K1892" s="8"/>
      <c r="L1892" s="8"/>
      <c r="M1892" s="96"/>
      <c r="N1892" s="6"/>
      <c r="O1892" s="97"/>
      <c r="P1892" s="6"/>
      <c r="Q1892" s="6"/>
      <c r="R1892" s="6"/>
      <c r="S1892" s="6"/>
      <c r="T1892" s="6"/>
      <c r="U1892" s="6"/>
      <c r="V1892" s="6"/>
      <c r="W1892" s="6"/>
      <c r="X1892" s="6"/>
      <c r="Y1892" s="6"/>
      <c r="Z1892" s="6"/>
      <c r="AA1892" s="6"/>
      <c r="AB1892" s="6"/>
      <c r="AC1892" s="6"/>
      <c r="AD1892" s="6"/>
      <c r="AE1892" s="6"/>
      <c r="AF1892" s="6"/>
      <c r="AG1892" s="6"/>
      <c r="AH1892" s="6"/>
      <c r="AI1892" s="6"/>
      <c r="AJ1892" s="6"/>
      <c r="AK1892" s="6"/>
      <c r="AL1892" s="6"/>
    </row>
    <row r="1893" spans="1:38">
      <c r="A1893" s="96"/>
      <c r="B1893" s="6"/>
      <c r="C1893" s="6"/>
      <c r="D1893" s="6"/>
      <c r="E1893" s="6"/>
      <c r="F1893" s="6"/>
      <c r="G1893" s="80"/>
      <c r="H1893" s="6"/>
      <c r="I1893" s="6"/>
      <c r="J1893" s="6"/>
      <c r="K1893" s="8"/>
      <c r="L1893" s="8"/>
      <c r="M1893" s="96"/>
      <c r="N1893" s="6"/>
      <c r="O1893" s="97"/>
      <c r="P1893" s="6"/>
      <c r="Q1893" s="6"/>
      <c r="R1893" s="6"/>
      <c r="S1893" s="6"/>
      <c r="T1893" s="6"/>
      <c r="U1893" s="6"/>
      <c r="V1893" s="6"/>
      <c r="W1893" s="6"/>
      <c r="X1893" s="6"/>
      <c r="Y1893" s="6"/>
      <c r="Z1893" s="6"/>
      <c r="AA1893" s="6"/>
      <c r="AB1893" s="6"/>
      <c r="AC1893" s="6"/>
      <c r="AD1893" s="6"/>
      <c r="AE1893" s="6"/>
      <c r="AF1893" s="6"/>
      <c r="AG1893" s="6"/>
      <c r="AH1893" s="6"/>
      <c r="AI1893" s="6"/>
      <c r="AJ1893" s="6"/>
      <c r="AK1893" s="6"/>
      <c r="AL1893" s="6"/>
    </row>
    <row r="1894" spans="1:38">
      <c r="A1894" s="96"/>
      <c r="B1894" s="6"/>
      <c r="C1894" s="6"/>
      <c r="D1894" s="6"/>
      <c r="E1894" s="6"/>
      <c r="F1894" s="6"/>
      <c r="G1894" s="80"/>
      <c r="H1894" s="6"/>
      <c r="I1894" s="6"/>
      <c r="J1894" s="6"/>
      <c r="K1894" s="8"/>
      <c r="L1894" s="8"/>
      <c r="M1894" s="96"/>
      <c r="N1894" s="6"/>
      <c r="O1894" s="97"/>
      <c r="P1894" s="6"/>
      <c r="Q1894" s="6"/>
      <c r="R1894" s="6"/>
      <c r="S1894" s="6"/>
      <c r="T1894" s="6"/>
      <c r="U1894" s="6"/>
      <c r="V1894" s="6"/>
      <c r="W1894" s="6"/>
      <c r="X1894" s="6"/>
      <c r="Y1894" s="6"/>
      <c r="Z1894" s="6"/>
      <c r="AA1894" s="6"/>
      <c r="AB1894" s="6"/>
      <c r="AC1894" s="6"/>
      <c r="AD1894" s="6"/>
      <c r="AE1894" s="6"/>
      <c r="AF1894" s="6"/>
      <c r="AG1894" s="6"/>
      <c r="AH1894" s="6"/>
      <c r="AI1894" s="6"/>
      <c r="AJ1894" s="6"/>
      <c r="AK1894" s="6"/>
      <c r="AL1894" s="6"/>
    </row>
    <row r="1895" spans="1:38">
      <c r="A1895" s="96"/>
      <c r="B1895" s="6"/>
      <c r="C1895" s="6"/>
      <c r="D1895" s="6"/>
      <c r="E1895" s="6"/>
      <c r="F1895" s="6"/>
      <c r="G1895" s="80"/>
      <c r="H1895" s="6"/>
      <c r="I1895" s="6"/>
      <c r="J1895" s="6"/>
      <c r="K1895" s="8"/>
      <c r="L1895" s="8"/>
      <c r="M1895" s="96"/>
      <c r="N1895" s="6"/>
      <c r="O1895" s="97"/>
      <c r="P1895" s="6"/>
      <c r="Q1895" s="6"/>
      <c r="R1895" s="6"/>
      <c r="S1895" s="6"/>
      <c r="T1895" s="6"/>
      <c r="U1895" s="6"/>
      <c r="V1895" s="6"/>
      <c r="W1895" s="6"/>
      <c r="X1895" s="6"/>
      <c r="Y1895" s="6"/>
      <c r="Z1895" s="6"/>
      <c r="AA1895" s="6"/>
      <c r="AB1895" s="6"/>
      <c r="AC1895" s="6"/>
      <c r="AD1895" s="6"/>
      <c r="AE1895" s="6"/>
      <c r="AF1895" s="6"/>
      <c r="AG1895" s="6"/>
      <c r="AH1895" s="6"/>
      <c r="AI1895" s="6"/>
      <c r="AJ1895" s="6"/>
      <c r="AK1895" s="6"/>
      <c r="AL1895" s="6"/>
    </row>
    <row r="1896" spans="1:38">
      <c r="A1896" s="96"/>
      <c r="B1896" s="6"/>
      <c r="C1896" s="6"/>
      <c r="D1896" s="6"/>
      <c r="E1896" s="6"/>
      <c r="F1896" s="6"/>
      <c r="G1896" s="80"/>
      <c r="H1896" s="6"/>
      <c r="I1896" s="6"/>
      <c r="J1896" s="6"/>
      <c r="K1896" s="8"/>
      <c r="L1896" s="8"/>
      <c r="M1896" s="96"/>
      <c r="N1896" s="6"/>
      <c r="O1896" s="97"/>
      <c r="P1896" s="6"/>
      <c r="Q1896" s="6"/>
      <c r="R1896" s="6"/>
      <c r="S1896" s="6"/>
      <c r="T1896" s="6"/>
      <c r="U1896" s="6"/>
      <c r="V1896" s="6"/>
      <c r="W1896" s="6"/>
      <c r="X1896" s="6"/>
      <c r="Y1896" s="6"/>
      <c r="Z1896" s="6"/>
      <c r="AA1896" s="6"/>
      <c r="AB1896" s="6"/>
      <c r="AC1896" s="6"/>
      <c r="AD1896" s="6"/>
      <c r="AE1896" s="6"/>
      <c r="AF1896" s="6"/>
      <c r="AG1896" s="6"/>
      <c r="AH1896" s="6"/>
      <c r="AI1896" s="6"/>
      <c r="AJ1896" s="6"/>
      <c r="AK1896" s="6"/>
      <c r="AL1896" s="6"/>
    </row>
    <row r="1897" spans="1:38">
      <c r="A1897" s="96"/>
      <c r="B1897" s="6"/>
      <c r="C1897" s="6"/>
      <c r="D1897" s="6"/>
      <c r="E1897" s="6"/>
      <c r="F1897" s="6"/>
      <c r="G1897" s="80"/>
      <c r="H1897" s="6"/>
      <c r="I1897" s="6"/>
      <c r="J1897" s="6"/>
      <c r="K1897" s="8"/>
      <c r="L1897" s="8"/>
      <c r="M1897" s="96"/>
      <c r="N1897" s="6"/>
      <c r="O1897" s="97"/>
      <c r="P1897" s="6"/>
      <c r="Q1897" s="6"/>
      <c r="R1897" s="6"/>
      <c r="S1897" s="6"/>
      <c r="T1897" s="6"/>
      <c r="U1897" s="6"/>
      <c r="V1897" s="6"/>
      <c r="W1897" s="6"/>
      <c r="X1897" s="6"/>
      <c r="Y1897" s="6"/>
      <c r="Z1897" s="6"/>
      <c r="AA1897" s="6"/>
      <c r="AB1897" s="6"/>
      <c r="AC1897" s="6"/>
      <c r="AD1897" s="6"/>
      <c r="AE1897" s="6"/>
      <c r="AF1897" s="6"/>
      <c r="AG1897" s="6"/>
      <c r="AH1897" s="6"/>
      <c r="AI1897" s="6"/>
      <c r="AJ1897" s="6"/>
      <c r="AK1897" s="6"/>
      <c r="AL1897" s="6"/>
    </row>
    <row r="1898" spans="1:38">
      <c r="A1898" s="96"/>
      <c r="B1898" s="6"/>
      <c r="C1898" s="6"/>
      <c r="D1898" s="6"/>
      <c r="E1898" s="6"/>
      <c r="F1898" s="6"/>
      <c r="G1898" s="80"/>
      <c r="H1898" s="6"/>
      <c r="I1898" s="6"/>
      <c r="J1898" s="6"/>
      <c r="K1898" s="8"/>
      <c r="L1898" s="8"/>
      <c r="M1898" s="96"/>
      <c r="N1898" s="6"/>
      <c r="O1898" s="97"/>
      <c r="P1898" s="6"/>
      <c r="Q1898" s="6"/>
      <c r="R1898" s="6"/>
      <c r="S1898" s="6"/>
      <c r="T1898" s="6"/>
      <c r="U1898" s="6"/>
      <c r="V1898" s="6"/>
      <c r="W1898" s="6"/>
      <c r="X1898" s="6"/>
      <c r="Y1898" s="6"/>
      <c r="Z1898" s="6"/>
      <c r="AA1898" s="6"/>
      <c r="AB1898" s="6"/>
      <c r="AC1898" s="6"/>
      <c r="AD1898" s="6"/>
      <c r="AE1898" s="6"/>
      <c r="AF1898" s="6"/>
      <c r="AG1898" s="6"/>
      <c r="AH1898" s="6"/>
      <c r="AI1898" s="6"/>
      <c r="AJ1898" s="6"/>
      <c r="AK1898" s="6"/>
      <c r="AL1898" s="6"/>
    </row>
    <row r="1899" spans="1:38">
      <c r="A1899" s="96"/>
      <c r="B1899" s="6"/>
      <c r="C1899" s="6"/>
      <c r="D1899" s="6"/>
      <c r="E1899" s="6"/>
      <c r="F1899" s="6"/>
      <c r="G1899" s="80"/>
      <c r="H1899" s="6"/>
      <c r="I1899" s="6"/>
      <c r="J1899" s="6"/>
      <c r="K1899" s="8"/>
      <c r="L1899" s="8"/>
      <c r="M1899" s="96"/>
      <c r="N1899" s="6"/>
      <c r="O1899" s="97"/>
      <c r="P1899" s="6"/>
      <c r="Q1899" s="6"/>
      <c r="R1899" s="6"/>
      <c r="S1899" s="6"/>
      <c r="T1899" s="6"/>
      <c r="U1899" s="6"/>
      <c r="V1899" s="6"/>
      <c r="W1899" s="6"/>
      <c r="X1899" s="6"/>
      <c r="Y1899" s="6"/>
      <c r="Z1899" s="6"/>
      <c r="AA1899" s="6"/>
      <c r="AB1899" s="6"/>
      <c r="AC1899" s="6"/>
      <c r="AD1899" s="6"/>
      <c r="AE1899" s="6"/>
      <c r="AF1899" s="6"/>
      <c r="AG1899" s="6"/>
      <c r="AH1899" s="6"/>
      <c r="AI1899" s="6"/>
      <c r="AJ1899" s="6"/>
      <c r="AK1899" s="6"/>
      <c r="AL1899" s="6"/>
    </row>
    <row r="1900" spans="1:38">
      <c r="A1900" s="96"/>
      <c r="B1900" s="6"/>
      <c r="C1900" s="6"/>
      <c r="D1900" s="6"/>
      <c r="E1900" s="6"/>
      <c r="F1900" s="6"/>
      <c r="G1900" s="80"/>
      <c r="H1900" s="6"/>
      <c r="I1900" s="6"/>
      <c r="J1900" s="6"/>
      <c r="K1900" s="8"/>
      <c r="L1900" s="8"/>
      <c r="M1900" s="96"/>
      <c r="N1900" s="6"/>
      <c r="O1900" s="97"/>
      <c r="P1900" s="6"/>
      <c r="Q1900" s="6"/>
      <c r="R1900" s="6"/>
      <c r="S1900" s="6"/>
      <c r="T1900" s="6"/>
      <c r="U1900" s="6"/>
      <c r="V1900" s="6"/>
      <c r="W1900" s="6"/>
      <c r="X1900" s="6"/>
      <c r="Y1900" s="6"/>
      <c r="Z1900" s="6"/>
      <c r="AA1900" s="6"/>
      <c r="AB1900" s="6"/>
      <c r="AC1900" s="6"/>
      <c r="AD1900" s="6"/>
      <c r="AE1900" s="6"/>
      <c r="AF1900" s="6"/>
      <c r="AG1900" s="6"/>
      <c r="AH1900" s="6"/>
      <c r="AI1900" s="6"/>
      <c r="AJ1900" s="6"/>
      <c r="AK1900" s="6"/>
      <c r="AL1900" s="6"/>
    </row>
    <row r="1901" spans="1:38">
      <c r="A1901" s="96"/>
      <c r="B1901" s="6"/>
      <c r="C1901" s="6"/>
      <c r="D1901" s="6"/>
      <c r="E1901" s="6"/>
      <c r="F1901" s="6"/>
      <c r="G1901" s="80"/>
      <c r="H1901" s="6"/>
      <c r="I1901" s="6"/>
      <c r="J1901" s="6"/>
      <c r="K1901" s="8"/>
      <c r="L1901" s="8"/>
      <c r="M1901" s="96"/>
      <c r="N1901" s="6"/>
      <c r="O1901" s="97"/>
      <c r="P1901" s="6"/>
      <c r="Q1901" s="6"/>
      <c r="R1901" s="6"/>
      <c r="S1901" s="6"/>
      <c r="T1901" s="6"/>
      <c r="U1901" s="6"/>
      <c r="V1901" s="6"/>
      <c r="W1901" s="6"/>
      <c r="X1901" s="6"/>
      <c r="Y1901" s="6"/>
      <c r="Z1901" s="6"/>
      <c r="AA1901" s="6"/>
      <c r="AB1901" s="6"/>
      <c r="AC1901" s="6"/>
      <c r="AD1901" s="6"/>
      <c r="AE1901" s="6"/>
      <c r="AF1901" s="6"/>
      <c r="AG1901" s="6"/>
      <c r="AH1901" s="6"/>
      <c r="AI1901" s="6"/>
      <c r="AJ1901" s="6"/>
      <c r="AK1901" s="6"/>
      <c r="AL1901" s="6"/>
    </row>
    <row r="1902" spans="1:38">
      <c r="A1902" s="96"/>
      <c r="B1902" s="6"/>
      <c r="C1902" s="6"/>
      <c r="D1902" s="6"/>
      <c r="E1902" s="6"/>
      <c r="F1902" s="6"/>
      <c r="G1902" s="80"/>
      <c r="H1902" s="6"/>
      <c r="I1902" s="6"/>
      <c r="J1902" s="6"/>
      <c r="K1902" s="8"/>
      <c r="L1902" s="8"/>
      <c r="M1902" s="96"/>
      <c r="N1902" s="6"/>
      <c r="O1902" s="97"/>
      <c r="P1902" s="6"/>
      <c r="Q1902" s="6"/>
      <c r="R1902" s="6"/>
      <c r="S1902" s="6"/>
      <c r="T1902" s="6"/>
      <c r="U1902" s="6"/>
      <c r="V1902" s="6"/>
      <c r="W1902" s="6"/>
      <c r="X1902" s="6"/>
      <c r="Y1902" s="6"/>
      <c r="Z1902" s="6"/>
      <c r="AA1902" s="6"/>
      <c r="AB1902" s="6"/>
      <c r="AC1902" s="6"/>
      <c r="AD1902" s="6"/>
      <c r="AE1902" s="6"/>
      <c r="AF1902" s="6"/>
      <c r="AG1902" s="6"/>
      <c r="AH1902" s="6"/>
      <c r="AI1902" s="6"/>
      <c r="AJ1902" s="6"/>
      <c r="AK1902" s="6"/>
      <c r="AL1902" s="6"/>
    </row>
    <row r="1903" spans="1:38">
      <c r="A1903" s="96"/>
      <c r="B1903" s="6"/>
      <c r="C1903" s="6"/>
      <c r="D1903" s="6"/>
      <c r="E1903" s="6"/>
      <c r="F1903" s="6"/>
      <c r="G1903" s="80"/>
      <c r="H1903" s="6"/>
      <c r="I1903" s="6"/>
      <c r="J1903" s="6"/>
      <c r="K1903" s="8"/>
      <c r="L1903" s="8"/>
      <c r="M1903" s="96"/>
      <c r="N1903" s="6"/>
      <c r="O1903" s="97"/>
      <c r="P1903" s="6"/>
      <c r="Q1903" s="6"/>
      <c r="R1903" s="6"/>
      <c r="S1903" s="6"/>
      <c r="T1903" s="6"/>
      <c r="U1903" s="6"/>
      <c r="V1903" s="6"/>
      <c r="W1903" s="6"/>
      <c r="X1903" s="6"/>
      <c r="Y1903" s="6"/>
      <c r="Z1903" s="6"/>
      <c r="AA1903" s="6"/>
      <c r="AB1903" s="6"/>
      <c r="AC1903" s="6"/>
      <c r="AD1903" s="6"/>
      <c r="AE1903" s="6"/>
      <c r="AF1903" s="6"/>
      <c r="AG1903" s="6"/>
      <c r="AH1903" s="6"/>
      <c r="AI1903" s="6"/>
      <c r="AJ1903" s="6"/>
      <c r="AK1903" s="6"/>
      <c r="AL1903" s="6"/>
    </row>
    <row r="1904" spans="1:38">
      <c r="A1904" s="96"/>
      <c r="B1904" s="6"/>
      <c r="C1904" s="6"/>
      <c r="D1904" s="6"/>
      <c r="E1904" s="6"/>
      <c r="F1904" s="6"/>
      <c r="G1904" s="80"/>
      <c r="H1904" s="6"/>
      <c r="I1904" s="6"/>
      <c r="J1904" s="6"/>
      <c r="K1904" s="8"/>
      <c r="L1904" s="8"/>
      <c r="M1904" s="96"/>
      <c r="N1904" s="6"/>
      <c r="O1904" s="97"/>
      <c r="P1904" s="6"/>
      <c r="Q1904" s="6"/>
      <c r="R1904" s="6"/>
      <c r="S1904" s="6"/>
      <c r="T1904" s="6"/>
      <c r="U1904" s="6"/>
      <c r="V1904" s="6"/>
      <c r="W1904" s="6"/>
      <c r="X1904" s="6"/>
      <c r="Y1904" s="6"/>
      <c r="Z1904" s="6"/>
      <c r="AA1904" s="6"/>
      <c r="AB1904" s="6"/>
      <c r="AC1904" s="6"/>
      <c r="AD1904" s="6"/>
      <c r="AE1904" s="6"/>
      <c r="AF1904" s="6"/>
      <c r="AG1904" s="6"/>
      <c r="AH1904" s="6"/>
      <c r="AI1904" s="6"/>
      <c r="AJ1904" s="6"/>
      <c r="AK1904" s="6"/>
      <c r="AL1904" s="6"/>
    </row>
    <row r="1905" spans="1:38">
      <c r="A1905" s="96"/>
      <c r="B1905" s="6"/>
      <c r="C1905" s="6"/>
      <c r="D1905" s="6"/>
      <c r="E1905" s="6"/>
      <c r="F1905" s="6"/>
      <c r="G1905" s="80"/>
      <c r="H1905" s="6"/>
      <c r="I1905" s="6"/>
      <c r="J1905" s="6"/>
      <c r="K1905" s="8"/>
      <c r="L1905" s="8"/>
      <c r="M1905" s="96"/>
      <c r="N1905" s="6"/>
      <c r="O1905" s="97"/>
      <c r="P1905" s="6"/>
      <c r="Q1905" s="6"/>
      <c r="R1905" s="6"/>
      <c r="S1905" s="6"/>
      <c r="T1905" s="6"/>
      <c r="U1905" s="6"/>
      <c r="V1905" s="6"/>
      <c r="W1905" s="6"/>
      <c r="X1905" s="6"/>
      <c r="Y1905" s="6"/>
      <c r="Z1905" s="6"/>
      <c r="AA1905" s="6"/>
      <c r="AB1905" s="6"/>
      <c r="AC1905" s="6"/>
      <c r="AD1905" s="6"/>
      <c r="AE1905" s="6"/>
      <c r="AF1905" s="6"/>
      <c r="AG1905" s="6"/>
      <c r="AH1905" s="6"/>
      <c r="AI1905" s="6"/>
      <c r="AJ1905" s="6"/>
      <c r="AK1905" s="6"/>
      <c r="AL1905" s="6"/>
    </row>
    <row r="1906" spans="1:38">
      <c r="A1906" s="96"/>
      <c r="B1906" s="6"/>
      <c r="C1906" s="6"/>
      <c r="D1906" s="6"/>
      <c r="E1906" s="6"/>
      <c r="F1906" s="6"/>
      <c r="G1906" s="80"/>
      <c r="H1906" s="6"/>
      <c r="I1906" s="6"/>
      <c r="J1906" s="6"/>
      <c r="K1906" s="8"/>
      <c r="L1906" s="8"/>
      <c r="M1906" s="96"/>
      <c r="N1906" s="6"/>
      <c r="O1906" s="97"/>
      <c r="P1906" s="6"/>
      <c r="Q1906" s="6"/>
      <c r="R1906" s="6"/>
      <c r="S1906" s="6"/>
      <c r="T1906" s="6"/>
      <c r="U1906" s="6"/>
      <c r="V1906" s="6"/>
      <c r="W1906" s="6"/>
      <c r="X1906" s="6"/>
      <c r="Y1906" s="6"/>
      <c r="Z1906" s="6"/>
      <c r="AA1906" s="6"/>
      <c r="AB1906" s="6"/>
      <c r="AC1906" s="6"/>
      <c r="AD1906" s="6"/>
      <c r="AE1906" s="6"/>
      <c r="AF1906" s="6"/>
      <c r="AG1906" s="6"/>
      <c r="AH1906" s="6"/>
      <c r="AI1906" s="6"/>
      <c r="AJ1906" s="6"/>
      <c r="AK1906" s="6"/>
      <c r="AL1906" s="6"/>
    </row>
    <row r="1907" spans="1:38">
      <c r="A1907" s="96"/>
      <c r="B1907" s="6"/>
      <c r="C1907" s="6"/>
      <c r="D1907" s="6"/>
      <c r="E1907" s="6"/>
      <c r="F1907" s="6"/>
      <c r="G1907" s="80"/>
      <c r="H1907" s="6"/>
      <c r="I1907" s="6"/>
      <c r="J1907" s="6"/>
      <c r="K1907" s="8"/>
      <c r="L1907" s="8"/>
      <c r="M1907" s="96"/>
      <c r="N1907" s="6"/>
      <c r="O1907" s="97"/>
      <c r="P1907" s="6"/>
      <c r="Q1907" s="6"/>
      <c r="R1907" s="6"/>
      <c r="S1907" s="6"/>
      <c r="T1907" s="6"/>
      <c r="U1907" s="6"/>
      <c r="V1907" s="6"/>
      <c r="W1907" s="6"/>
      <c r="X1907" s="6"/>
      <c r="Y1907" s="6"/>
      <c r="Z1907" s="6"/>
      <c r="AA1907" s="6"/>
      <c r="AB1907" s="6"/>
      <c r="AC1907" s="6"/>
      <c r="AD1907" s="6"/>
      <c r="AE1907" s="6"/>
      <c r="AF1907" s="6"/>
      <c r="AG1907" s="6"/>
      <c r="AH1907" s="6"/>
      <c r="AI1907" s="6"/>
      <c r="AJ1907" s="6"/>
      <c r="AK1907" s="6"/>
      <c r="AL1907" s="6"/>
    </row>
    <row r="1908" spans="1:38">
      <c r="A1908" s="96"/>
      <c r="B1908" s="6"/>
      <c r="C1908" s="6"/>
      <c r="D1908" s="6"/>
      <c r="E1908" s="6"/>
      <c r="F1908" s="6"/>
      <c r="G1908" s="80"/>
      <c r="H1908" s="6"/>
      <c r="I1908" s="6"/>
      <c r="J1908" s="6"/>
      <c r="K1908" s="8"/>
      <c r="L1908" s="8"/>
      <c r="M1908" s="96"/>
      <c r="N1908" s="6"/>
      <c r="O1908" s="97"/>
      <c r="P1908" s="6"/>
      <c r="Q1908" s="6"/>
      <c r="R1908" s="6"/>
      <c r="S1908" s="6"/>
      <c r="T1908" s="6"/>
      <c r="U1908" s="6"/>
      <c r="V1908" s="6"/>
      <c r="W1908" s="6"/>
      <c r="X1908" s="6"/>
      <c r="Y1908" s="6"/>
      <c r="Z1908" s="6"/>
      <c r="AA1908" s="6"/>
      <c r="AB1908" s="6"/>
      <c r="AC1908" s="6"/>
      <c r="AD1908" s="6"/>
      <c r="AE1908" s="6"/>
      <c r="AF1908" s="6"/>
      <c r="AG1908" s="6"/>
      <c r="AH1908" s="6"/>
      <c r="AI1908" s="6"/>
      <c r="AJ1908" s="6"/>
      <c r="AK1908" s="6"/>
      <c r="AL1908" s="6"/>
    </row>
    <row r="1909" spans="1:38">
      <c r="A1909" s="96"/>
      <c r="B1909" s="6"/>
      <c r="C1909" s="6"/>
      <c r="D1909" s="6"/>
      <c r="E1909" s="6"/>
      <c r="F1909" s="6"/>
      <c r="G1909" s="80"/>
      <c r="H1909" s="6"/>
      <c r="I1909" s="6"/>
      <c r="J1909" s="6"/>
      <c r="K1909" s="8"/>
      <c r="L1909" s="8"/>
      <c r="M1909" s="96"/>
      <c r="N1909" s="6"/>
      <c r="O1909" s="97"/>
      <c r="P1909" s="6"/>
      <c r="Q1909" s="6"/>
      <c r="R1909" s="6"/>
      <c r="S1909" s="6"/>
      <c r="T1909" s="6"/>
      <c r="U1909" s="6"/>
      <c r="V1909" s="6"/>
      <c r="W1909" s="6"/>
      <c r="X1909" s="6"/>
      <c r="Y1909" s="6"/>
      <c r="Z1909" s="6"/>
      <c r="AA1909" s="6"/>
      <c r="AB1909" s="6"/>
      <c r="AC1909" s="6"/>
      <c r="AD1909" s="6"/>
      <c r="AE1909" s="6"/>
      <c r="AF1909" s="6"/>
      <c r="AG1909" s="6"/>
      <c r="AH1909" s="6"/>
      <c r="AI1909" s="6"/>
      <c r="AJ1909" s="6"/>
      <c r="AK1909" s="6"/>
      <c r="AL1909" s="6"/>
    </row>
    <row r="1910" spans="1:38">
      <c r="A1910" s="96"/>
      <c r="B1910" s="6"/>
      <c r="C1910" s="6"/>
      <c r="D1910" s="6"/>
      <c r="E1910" s="6"/>
      <c r="F1910" s="6"/>
      <c r="G1910" s="80"/>
      <c r="H1910" s="6"/>
      <c r="I1910" s="6"/>
      <c r="J1910" s="6"/>
      <c r="K1910" s="8"/>
      <c r="L1910" s="8"/>
      <c r="M1910" s="96"/>
      <c r="N1910" s="6"/>
      <c r="O1910" s="97"/>
      <c r="P1910" s="6"/>
      <c r="Q1910" s="6"/>
      <c r="R1910" s="6"/>
      <c r="S1910" s="6"/>
      <c r="T1910" s="6"/>
      <c r="U1910" s="6"/>
      <c r="V1910" s="6"/>
      <c r="W1910" s="6"/>
      <c r="X1910" s="6"/>
      <c r="Y1910" s="6"/>
      <c r="Z1910" s="6"/>
      <c r="AA1910" s="6"/>
      <c r="AB1910" s="6"/>
      <c r="AC1910" s="6"/>
      <c r="AD1910" s="6"/>
      <c r="AE1910" s="6"/>
      <c r="AF1910" s="6"/>
      <c r="AG1910" s="6"/>
      <c r="AH1910" s="6"/>
      <c r="AI1910" s="6"/>
      <c r="AJ1910" s="6"/>
      <c r="AK1910" s="6"/>
      <c r="AL1910" s="6"/>
    </row>
    <row r="1911" spans="1:38">
      <c r="A1911" s="96"/>
      <c r="B1911" s="6"/>
      <c r="C1911" s="6"/>
      <c r="D1911" s="6"/>
      <c r="E1911" s="6"/>
      <c r="F1911" s="6"/>
      <c r="G1911" s="80"/>
      <c r="H1911" s="6"/>
      <c r="I1911" s="6"/>
      <c r="J1911" s="6"/>
      <c r="K1911" s="8"/>
      <c r="L1911" s="8"/>
      <c r="M1911" s="96"/>
      <c r="N1911" s="6"/>
      <c r="O1911" s="97"/>
      <c r="P1911" s="6"/>
      <c r="Q1911" s="6"/>
      <c r="R1911" s="6"/>
      <c r="S1911" s="6"/>
      <c r="T1911" s="6"/>
      <c r="U1911" s="6"/>
      <c r="V1911" s="6"/>
      <c r="W1911" s="6"/>
      <c r="X1911" s="6"/>
      <c r="Y1911" s="6"/>
      <c r="Z1911" s="6"/>
      <c r="AA1911" s="6"/>
      <c r="AB1911" s="6"/>
      <c r="AC1911" s="6"/>
      <c r="AD1911" s="6"/>
      <c r="AE1911" s="6"/>
      <c r="AF1911" s="6"/>
      <c r="AG1911" s="6"/>
      <c r="AH1911" s="6"/>
      <c r="AI1911" s="6"/>
      <c r="AJ1911" s="6"/>
      <c r="AK1911" s="6"/>
      <c r="AL1911" s="6"/>
    </row>
    <row r="1912" spans="1:38">
      <c r="A1912" s="96"/>
      <c r="B1912" s="6"/>
      <c r="C1912" s="6"/>
      <c r="D1912" s="6"/>
      <c r="E1912" s="6"/>
      <c r="F1912" s="6"/>
      <c r="G1912" s="80"/>
      <c r="H1912" s="6"/>
      <c r="I1912" s="6"/>
      <c r="J1912" s="6"/>
      <c r="K1912" s="8"/>
      <c r="L1912" s="8"/>
      <c r="M1912" s="96"/>
      <c r="N1912" s="6"/>
      <c r="O1912" s="97"/>
      <c r="P1912" s="6"/>
      <c r="Q1912" s="6"/>
      <c r="R1912" s="6"/>
      <c r="S1912" s="6"/>
      <c r="T1912" s="6"/>
      <c r="U1912" s="6"/>
      <c r="V1912" s="6"/>
      <c r="W1912" s="6"/>
      <c r="X1912" s="6"/>
      <c r="Y1912" s="6"/>
      <c r="Z1912" s="6"/>
      <c r="AA1912" s="6"/>
      <c r="AB1912" s="6"/>
      <c r="AC1912" s="6"/>
      <c r="AD1912" s="6"/>
      <c r="AE1912" s="6"/>
      <c r="AF1912" s="6"/>
      <c r="AG1912" s="6"/>
      <c r="AH1912" s="6"/>
      <c r="AI1912" s="6"/>
      <c r="AJ1912" s="6"/>
      <c r="AK1912" s="6"/>
      <c r="AL1912" s="6"/>
    </row>
    <row r="1913" spans="1:38">
      <c r="A1913" s="96"/>
      <c r="B1913" s="6"/>
      <c r="C1913" s="6"/>
      <c r="D1913" s="6"/>
      <c r="E1913" s="6"/>
      <c r="F1913" s="6"/>
      <c r="G1913" s="80"/>
      <c r="H1913" s="6"/>
      <c r="I1913" s="6"/>
      <c r="J1913" s="6"/>
      <c r="K1913" s="8"/>
      <c r="L1913" s="8"/>
      <c r="M1913" s="96"/>
      <c r="N1913" s="6"/>
      <c r="O1913" s="97"/>
      <c r="P1913" s="6"/>
      <c r="Q1913" s="6"/>
      <c r="R1913" s="6"/>
      <c r="S1913" s="6"/>
      <c r="T1913" s="6"/>
      <c r="U1913" s="6"/>
      <c r="V1913" s="6"/>
      <c r="W1913" s="6"/>
      <c r="X1913" s="6"/>
      <c r="Y1913" s="6"/>
      <c r="Z1913" s="6"/>
      <c r="AA1913" s="6"/>
      <c r="AB1913" s="6"/>
      <c r="AC1913" s="6"/>
      <c r="AD1913" s="6"/>
      <c r="AE1913" s="6"/>
      <c r="AF1913" s="6"/>
      <c r="AG1913" s="6"/>
      <c r="AH1913" s="6"/>
      <c r="AI1913" s="6"/>
      <c r="AJ1913" s="6"/>
      <c r="AK1913" s="6"/>
      <c r="AL1913" s="6"/>
    </row>
    <row r="1914" spans="1:38">
      <c r="A1914" s="96"/>
      <c r="B1914" s="6"/>
      <c r="C1914" s="6"/>
      <c r="D1914" s="6"/>
      <c r="E1914" s="6"/>
      <c r="F1914" s="6"/>
      <c r="G1914" s="80"/>
      <c r="H1914" s="6"/>
      <c r="I1914" s="6"/>
      <c r="J1914" s="6"/>
      <c r="K1914" s="8"/>
      <c r="L1914" s="8"/>
      <c r="M1914" s="96"/>
      <c r="N1914" s="6"/>
      <c r="O1914" s="97"/>
      <c r="P1914" s="6"/>
      <c r="Q1914" s="6"/>
      <c r="R1914" s="6"/>
      <c r="S1914" s="6"/>
      <c r="T1914" s="6"/>
      <c r="U1914" s="6"/>
      <c r="V1914" s="6"/>
      <c r="W1914" s="6"/>
      <c r="X1914" s="6"/>
      <c r="Y1914" s="6"/>
      <c r="Z1914" s="6"/>
      <c r="AA1914" s="6"/>
      <c r="AB1914" s="6"/>
      <c r="AC1914" s="6"/>
      <c r="AD1914" s="6"/>
      <c r="AE1914" s="6"/>
      <c r="AF1914" s="6"/>
      <c r="AG1914" s="6"/>
      <c r="AH1914" s="6"/>
      <c r="AI1914" s="6"/>
      <c r="AJ1914" s="6"/>
      <c r="AK1914" s="6"/>
      <c r="AL1914" s="6"/>
    </row>
    <row r="1915" spans="1:38">
      <c r="A1915" s="96"/>
      <c r="B1915" s="6"/>
      <c r="C1915" s="6"/>
      <c r="D1915" s="6"/>
      <c r="E1915" s="6"/>
      <c r="F1915" s="6"/>
      <c r="G1915" s="80"/>
      <c r="H1915" s="6"/>
      <c r="I1915" s="6"/>
      <c r="J1915" s="6"/>
      <c r="K1915" s="8"/>
      <c r="L1915" s="8"/>
      <c r="M1915" s="96"/>
      <c r="N1915" s="6"/>
      <c r="O1915" s="97"/>
      <c r="P1915" s="6"/>
      <c r="Q1915" s="6"/>
      <c r="R1915" s="6"/>
      <c r="S1915" s="6"/>
      <c r="T1915" s="6"/>
      <c r="U1915" s="6"/>
      <c r="V1915" s="6"/>
      <c r="W1915" s="6"/>
      <c r="X1915" s="6"/>
      <c r="Y1915" s="6"/>
      <c r="Z1915" s="6"/>
      <c r="AA1915" s="6"/>
      <c r="AB1915" s="6"/>
      <c r="AC1915" s="6"/>
      <c r="AD1915" s="6"/>
      <c r="AE1915" s="6"/>
      <c r="AF1915" s="6"/>
      <c r="AG1915" s="6"/>
      <c r="AH1915" s="6"/>
      <c r="AI1915" s="6"/>
      <c r="AJ1915" s="6"/>
      <c r="AK1915" s="6"/>
      <c r="AL1915" s="6"/>
    </row>
    <row r="1916" spans="1:38">
      <c r="A1916" s="96"/>
      <c r="B1916" s="6"/>
      <c r="C1916" s="6"/>
      <c r="D1916" s="6"/>
      <c r="E1916" s="6"/>
      <c r="F1916" s="6"/>
      <c r="G1916" s="80"/>
      <c r="H1916" s="6"/>
      <c r="I1916" s="6"/>
      <c r="J1916" s="6"/>
      <c r="K1916" s="8"/>
      <c r="L1916" s="8"/>
      <c r="M1916" s="96"/>
      <c r="N1916" s="6"/>
      <c r="O1916" s="97"/>
      <c r="P1916" s="6"/>
      <c r="Q1916" s="6"/>
      <c r="R1916" s="6"/>
      <c r="S1916" s="6"/>
      <c r="T1916" s="6"/>
      <c r="U1916" s="6"/>
      <c r="V1916" s="6"/>
      <c r="W1916" s="6"/>
      <c r="X1916" s="6"/>
      <c r="Y1916" s="6"/>
      <c r="Z1916" s="6"/>
      <c r="AA1916" s="6"/>
      <c r="AB1916" s="6"/>
      <c r="AC1916" s="6"/>
      <c r="AD1916" s="6"/>
      <c r="AE1916" s="6"/>
      <c r="AF1916" s="6"/>
      <c r="AG1916" s="6"/>
      <c r="AH1916" s="6"/>
      <c r="AI1916" s="6"/>
      <c r="AJ1916" s="6"/>
      <c r="AK1916" s="6"/>
      <c r="AL1916" s="6"/>
    </row>
    <row r="1917" spans="1:38">
      <c r="A1917" s="96"/>
      <c r="B1917" s="6"/>
      <c r="C1917" s="6"/>
      <c r="D1917" s="6"/>
      <c r="E1917" s="6"/>
      <c r="F1917" s="6"/>
      <c r="G1917" s="80"/>
      <c r="H1917" s="6"/>
      <c r="I1917" s="6"/>
      <c r="J1917" s="6"/>
      <c r="K1917" s="8"/>
      <c r="L1917" s="8"/>
      <c r="M1917" s="96"/>
      <c r="N1917" s="6"/>
      <c r="O1917" s="97"/>
      <c r="P1917" s="6"/>
      <c r="Q1917" s="6"/>
      <c r="R1917" s="6"/>
      <c r="S1917" s="6"/>
      <c r="T1917" s="6"/>
      <c r="U1917" s="6"/>
      <c r="V1917" s="6"/>
      <c r="W1917" s="6"/>
      <c r="X1917" s="6"/>
      <c r="Y1917" s="6"/>
      <c r="Z1917" s="6"/>
      <c r="AA1917" s="6"/>
      <c r="AB1917" s="6"/>
      <c r="AC1917" s="6"/>
      <c r="AD1917" s="6"/>
      <c r="AE1917" s="6"/>
      <c r="AF1917" s="6"/>
      <c r="AG1917" s="6"/>
      <c r="AH1917" s="6"/>
      <c r="AI1917" s="6"/>
      <c r="AJ1917" s="6"/>
      <c r="AK1917" s="6"/>
      <c r="AL1917" s="6"/>
    </row>
    <row r="1918" spans="1:38">
      <c r="A1918" s="96"/>
      <c r="B1918" s="6"/>
      <c r="C1918" s="6"/>
      <c r="D1918" s="6"/>
      <c r="E1918" s="6"/>
      <c r="F1918" s="6"/>
      <c r="G1918" s="80"/>
      <c r="H1918" s="6"/>
      <c r="I1918" s="6"/>
      <c r="J1918" s="6"/>
      <c r="K1918" s="8"/>
      <c r="L1918" s="8"/>
      <c r="M1918" s="96"/>
      <c r="N1918" s="6"/>
      <c r="O1918" s="97"/>
      <c r="P1918" s="6"/>
      <c r="Q1918" s="6"/>
      <c r="R1918" s="6"/>
      <c r="S1918" s="6"/>
      <c r="T1918" s="6"/>
      <c r="U1918" s="6"/>
      <c r="V1918" s="6"/>
      <c r="W1918" s="6"/>
      <c r="X1918" s="6"/>
      <c r="Y1918" s="6"/>
      <c r="Z1918" s="6"/>
      <c r="AA1918" s="6"/>
      <c r="AB1918" s="6"/>
      <c r="AC1918" s="6"/>
      <c r="AD1918" s="6"/>
      <c r="AE1918" s="6"/>
      <c r="AF1918" s="6"/>
      <c r="AG1918" s="6"/>
      <c r="AH1918" s="6"/>
      <c r="AI1918" s="6"/>
      <c r="AJ1918" s="6"/>
      <c r="AK1918" s="6"/>
      <c r="AL1918" s="6"/>
    </row>
    <row r="1919" spans="1:38">
      <c r="A1919" s="96"/>
      <c r="B1919" s="6"/>
      <c r="C1919" s="6"/>
      <c r="D1919" s="6"/>
      <c r="E1919" s="6"/>
      <c r="F1919" s="6"/>
      <c r="G1919" s="80"/>
      <c r="H1919" s="6"/>
      <c r="I1919" s="6"/>
      <c r="J1919" s="6"/>
      <c r="K1919" s="8"/>
      <c r="L1919" s="8"/>
      <c r="M1919" s="96"/>
      <c r="N1919" s="6"/>
      <c r="O1919" s="97"/>
      <c r="P1919" s="6"/>
      <c r="Q1919" s="6"/>
      <c r="R1919" s="6"/>
      <c r="S1919" s="6"/>
      <c r="T1919" s="6"/>
      <c r="U1919" s="6"/>
      <c r="V1919" s="6"/>
      <c r="W1919" s="6"/>
      <c r="X1919" s="6"/>
      <c r="Y1919" s="6"/>
      <c r="Z1919" s="6"/>
      <c r="AA1919" s="6"/>
      <c r="AB1919" s="6"/>
      <c r="AC1919" s="6"/>
      <c r="AD1919" s="6"/>
      <c r="AE1919" s="6"/>
      <c r="AF1919" s="6"/>
      <c r="AG1919" s="6"/>
      <c r="AH1919" s="6"/>
      <c r="AI1919" s="6"/>
      <c r="AJ1919" s="6"/>
      <c r="AK1919" s="6"/>
      <c r="AL1919" s="6"/>
    </row>
    <row r="1920" spans="1:38">
      <c r="A1920" s="96"/>
      <c r="B1920" s="6"/>
      <c r="C1920" s="6"/>
      <c r="D1920" s="6"/>
      <c r="E1920" s="6"/>
      <c r="F1920" s="6"/>
      <c r="G1920" s="80"/>
      <c r="H1920" s="6"/>
      <c r="I1920" s="6"/>
      <c r="J1920" s="6"/>
      <c r="K1920" s="8"/>
      <c r="L1920" s="8"/>
      <c r="M1920" s="96"/>
      <c r="N1920" s="6"/>
      <c r="O1920" s="97"/>
      <c r="P1920" s="6"/>
      <c r="Q1920" s="6"/>
      <c r="R1920" s="6"/>
      <c r="S1920" s="6"/>
      <c r="T1920" s="6"/>
      <c r="U1920" s="6"/>
      <c r="V1920" s="6"/>
      <c r="W1920" s="6"/>
      <c r="X1920" s="6"/>
      <c r="Y1920" s="6"/>
      <c r="Z1920" s="6"/>
      <c r="AA1920" s="6"/>
      <c r="AB1920" s="6"/>
      <c r="AC1920" s="6"/>
      <c r="AD1920" s="6"/>
      <c r="AE1920" s="6"/>
      <c r="AF1920" s="6"/>
      <c r="AG1920" s="6"/>
      <c r="AH1920" s="6"/>
      <c r="AI1920" s="6"/>
      <c r="AJ1920" s="6"/>
      <c r="AK1920" s="6"/>
      <c r="AL1920" s="6"/>
    </row>
    <row r="1921" spans="1:38">
      <c r="A1921" s="96"/>
      <c r="B1921" s="6"/>
      <c r="C1921" s="6"/>
      <c r="D1921" s="6"/>
      <c r="E1921" s="6"/>
      <c r="F1921" s="6"/>
      <c r="G1921" s="80"/>
      <c r="H1921" s="6"/>
      <c r="I1921" s="6"/>
      <c r="J1921" s="6"/>
      <c r="K1921" s="8"/>
      <c r="L1921" s="8"/>
      <c r="M1921" s="96"/>
      <c r="N1921" s="6"/>
      <c r="O1921" s="97"/>
      <c r="P1921" s="6"/>
      <c r="Q1921" s="6"/>
      <c r="R1921" s="6"/>
      <c r="S1921" s="6"/>
      <c r="T1921" s="6"/>
      <c r="U1921" s="6"/>
      <c r="V1921" s="6"/>
      <c r="W1921" s="6"/>
      <c r="X1921" s="6"/>
      <c r="Y1921" s="6"/>
      <c r="Z1921" s="6"/>
      <c r="AA1921" s="6"/>
      <c r="AB1921" s="6"/>
      <c r="AC1921" s="6"/>
      <c r="AD1921" s="6"/>
      <c r="AE1921" s="6"/>
      <c r="AF1921" s="6"/>
      <c r="AG1921" s="6"/>
      <c r="AH1921" s="6"/>
      <c r="AI1921" s="6"/>
      <c r="AJ1921" s="6"/>
      <c r="AK1921" s="6"/>
      <c r="AL1921" s="6"/>
    </row>
    <row r="1922" spans="1:38">
      <c r="A1922" s="96"/>
      <c r="B1922" s="6"/>
      <c r="C1922" s="6"/>
      <c r="D1922" s="6"/>
      <c r="E1922" s="6"/>
      <c r="F1922" s="6"/>
      <c r="G1922" s="80"/>
      <c r="H1922" s="6"/>
      <c r="I1922" s="6"/>
      <c r="J1922" s="6"/>
      <c r="K1922" s="8"/>
      <c r="L1922" s="8"/>
      <c r="M1922" s="96"/>
      <c r="N1922" s="6"/>
      <c r="O1922" s="97"/>
      <c r="P1922" s="6"/>
      <c r="Q1922" s="6"/>
      <c r="R1922" s="6" t="str">
        <f ca="1">IFERROR(__xludf.DUMMYFUNCTION("""COMPUTED_VALUE"""),"Pending")</f>
        <v>Pending</v>
      </c>
      <c r="S1922" s="6"/>
      <c r="T1922" s="6"/>
      <c r="U1922" s="6"/>
      <c r="V1922" s="6"/>
      <c r="W1922" s="6"/>
      <c r="X1922" s="6"/>
      <c r="Y1922" s="6"/>
      <c r="Z1922" s="6"/>
      <c r="AA1922" s="6"/>
      <c r="AB1922" s="6"/>
      <c r="AC1922" s="6"/>
      <c r="AD1922" s="6"/>
      <c r="AE1922" s="6"/>
      <c r="AF1922" s="6"/>
      <c r="AG1922" s="6"/>
      <c r="AH1922" s="6"/>
      <c r="AI1922" s="6"/>
      <c r="AJ1922" s="6"/>
      <c r="AK1922" s="6"/>
      <c r="AL1922" s="6"/>
    </row>
    <row r="1923" spans="1:38">
      <c r="A1923" s="96"/>
      <c r="B1923" s="6"/>
      <c r="C1923" s="6"/>
      <c r="D1923" s="6"/>
      <c r="E1923" s="6"/>
      <c r="F1923" s="6"/>
      <c r="G1923" s="80"/>
      <c r="H1923" s="6"/>
      <c r="I1923" s="6"/>
      <c r="J1923" s="6"/>
      <c r="K1923" s="8"/>
      <c r="L1923" s="8"/>
      <c r="M1923" s="96"/>
      <c r="N1923" s="6"/>
      <c r="O1923" s="97"/>
      <c r="P1923" s="6"/>
      <c r="Q1923" s="6"/>
      <c r="R1923" s="6"/>
      <c r="S1923" s="6"/>
      <c r="T1923" s="6"/>
      <c r="U1923" s="6"/>
      <c r="V1923" s="6"/>
      <c r="W1923" s="6"/>
      <c r="X1923" s="6"/>
      <c r="Y1923" s="6"/>
      <c r="Z1923" s="6"/>
      <c r="AA1923" s="6"/>
      <c r="AB1923" s="6"/>
      <c r="AC1923" s="6"/>
      <c r="AD1923" s="6"/>
      <c r="AE1923" s="6"/>
      <c r="AF1923" s="6"/>
      <c r="AG1923" s="6"/>
      <c r="AH1923" s="6"/>
      <c r="AI1923" s="6"/>
      <c r="AJ1923" s="6"/>
      <c r="AK1923" s="6"/>
      <c r="AL1923" s="6"/>
    </row>
    <row r="1924" spans="1:38">
      <c r="A1924" s="96"/>
      <c r="B1924" s="6"/>
      <c r="C1924" s="6"/>
      <c r="D1924" s="6"/>
      <c r="E1924" s="6"/>
      <c r="F1924" s="6"/>
      <c r="G1924" s="80"/>
      <c r="H1924" s="6"/>
      <c r="I1924" s="6"/>
      <c r="J1924" s="6"/>
      <c r="K1924" s="8"/>
      <c r="L1924" s="8"/>
      <c r="M1924" s="96"/>
      <c r="N1924" s="6"/>
      <c r="O1924" s="97"/>
      <c r="P1924" s="6"/>
      <c r="Q1924" s="6"/>
      <c r="R1924" s="6"/>
      <c r="S1924" s="6"/>
      <c r="T1924" s="6"/>
      <c r="U1924" s="6"/>
      <c r="V1924" s="6"/>
      <c r="W1924" s="6"/>
      <c r="X1924" s="6"/>
      <c r="Y1924" s="6"/>
      <c r="Z1924" s="6"/>
      <c r="AA1924" s="6"/>
      <c r="AB1924" s="6"/>
      <c r="AC1924" s="6"/>
      <c r="AD1924" s="6"/>
      <c r="AE1924" s="6"/>
      <c r="AF1924" s="6"/>
      <c r="AG1924" s="6"/>
      <c r="AH1924" s="6"/>
      <c r="AI1924" s="6"/>
      <c r="AJ1924" s="6"/>
      <c r="AK1924" s="6"/>
      <c r="AL1924" s="6"/>
    </row>
    <row r="1925" spans="1:38">
      <c r="A1925" s="96"/>
      <c r="B1925" s="6"/>
      <c r="C1925" s="6"/>
      <c r="D1925" s="6"/>
      <c r="E1925" s="6"/>
      <c r="F1925" s="6"/>
      <c r="G1925" s="80"/>
      <c r="H1925" s="6"/>
      <c r="I1925" s="6"/>
      <c r="J1925" s="6"/>
      <c r="K1925" s="8"/>
      <c r="L1925" s="8"/>
      <c r="M1925" s="96"/>
      <c r="N1925" s="6"/>
      <c r="O1925" s="97"/>
      <c r="P1925" s="6"/>
      <c r="Q1925" s="6"/>
      <c r="R1925" s="6" t="str">
        <f ca="1">IFERROR(__xludf.DUMMYFUNCTION("""COMPUTED_VALUE"""),"Pending")</f>
        <v>Pending</v>
      </c>
      <c r="S1925" s="6"/>
      <c r="T1925" s="6"/>
      <c r="U1925" s="6"/>
      <c r="V1925" s="6"/>
      <c r="W1925" s="6"/>
      <c r="X1925" s="6"/>
      <c r="Y1925" s="6"/>
      <c r="Z1925" s="6"/>
      <c r="AA1925" s="6"/>
      <c r="AB1925" s="6"/>
      <c r="AC1925" s="6"/>
      <c r="AD1925" s="6"/>
      <c r="AE1925" s="6"/>
      <c r="AF1925" s="6"/>
      <c r="AG1925" s="6"/>
      <c r="AH1925" s="6"/>
      <c r="AI1925" s="6"/>
      <c r="AJ1925" s="6"/>
      <c r="AK1925" s="6"/>
      <c r="AL1925" s="6"/>
    </row>
    <row r="1926" spans="1:38">
      <c r="A1926" s="96"/>
      <c r="B1926" s="6"/>
      <c r="C1926" s="6"/>
      <c r="D1926" s="6"/>
      <c r="E1926" s="6"/>
      <c r="F1926" s="6"/>
      <c r="G1926" s="80"/>
      <c r="H1926" s="6"/>
      <c r="I1926" s="6"/>
      <c r="J1926" s="6"/>
      <c r="K1926" s="8"/>
      <c r="L1926" s="8"/>
      <c r="M1926" s="96"/>
      <c r="N1926" s="6"/>
      <c r="O1926" s="97"/>
      <c r="P1926" s="6"/>
      <c r="Q1926" s="6"/>
      <c r="R1926" s="6"/>
      <c r="S1926" s="6"/>
      <c r="T1926" s="6"/>
      <c r="U1926" s="6"/>
      <c r="V1926" s="6"/>
      <c r="W1926" s="6"/>
      <c r="X1926" s="6"/>
      <c r="Y1926" s="6"/>
      <c r="Z1926" s="6"/>
      <c r="AA1926" s="6"/>
      <c r="AB1926" s="6"/>
      <c r="AC1926" s="6"/>
      <c r="AD1926" s="6"/>
      <c r="AE1926" s="6"/>
      <c r="AF1926" s="6"/>
      <c r="AG1926" s="6"/>
      <c r="AH1926" s="6"/>
      <c r="AI1926" s="6"/>
      <c r="AJ1926" s="6"/>
      <c r="AK1926" s="6"/>
      <c r="AL1926" s="6"/>
    </row>
    <row r="1927" spans="1:38">
      <c r="A1927" s="96"/>
      <c r="B1927" s="6"/>
      <c r="C1927" s="6"/>
      <c r="D1927" s="6"/>
      <c r="E1927" s="6"/>
      <c r="F1927" s="6"/>
      <c r="G1927" s="80"/>
      <c r="H1927" s="6"/>
      <c r="I1927" s="6"/>
      <c r="J1927" s="6"/>
      <c r="K1927" s="8"/>
      <c r="L1927" s="8"/>
      <c r="M1927" s="96"/>
      <c r="N1927" s="6"/>
      <c r="O1927" s="97"/>
      <c r="P1927" s="6"/>
      <c r="Q1927" s="6"/>
      <c r="R1927" s="6"/>
      <c r="S1927" s="6"/>
      <c r="T1927" s="6"/>
      <c r="U1927" s="6"/>
      <c r="V1927" s="6"/>
      <c r="W1927" s="6"/>
      <c r="X1927" s="6"/>
      <c r="Y1927" s="6"/>
      <c r="Z1927" s="6"/>
      <c r="AA1927" s="6"/>
      <c r="AB1927" s="6"/>
      <c r="AC1927" s="6"/>
      <c r="AD1927" s="6"/>
      <c r="AE1927" s="6"/>
      <c r="AF1927" s="6"/>
      <c r="AG1927" s="6"/>
      <c r="AH1927" s="6"/>
      <c r="AI1927" s="6"/>
      <c r="AJ1927" s="6"/>
      <c r="AK1927" s="6"/>
      <c r="AL1927" s="6"/>
    </row>
    <row r="1928" spans="1:38">
      <c r="A1928" s="96"/>
      <c r="B1928" s="6"/>
      <c r="C1928" s="6"/>
      <c r="D1928" s="6"/>
      <c r="E1928" s="6"/>
      <c r="F1928" s="6"/>
      <c r="G1928" s="80"/>
      <c r="H1928" s="6"/>
      <c r="I1928" s="6"/>
      <c r="J1928" s="6"/>
      <c r="K1928" s="8"/>
      <c r="L1928" s="8"/>
      <c r="M1928" s="96"/>
      <c r="N1928" s="6"/>
      <c r="O1928" s="97"/>
      <c r="P1928" s="6"/>
      <c r="Q1928" s="6"/>
      <c r="R1928" s="6"/>
      <c r="S1928" s="6"/>
      <c r="T1928" s="6"/>
      <c r="U1928" s="6"/>
      <c r="V1928" s="6"/>
      <c r="W1928" s="6"/>
      <c r="X1928" s="6"/>
      <c r="Y1928" s="6"/>
      <c r="Z1928" s="6"/>
      <c r="AA1928" s="6"/>
      <c r="AB1928" s="6"/>
      <c r="AC1928" s="6"/>
      <c r="AD1928" s="6"/>
      <c r="AE1928" s="6"/>
      <c r="AF1928" s="6"/>
      <c r="AG1928" s="6"/>
      <c r="AH1928" s="6"/>
      <c r="AI1928" s="6"/>
      <c r="AJ1928" s="6"/>
      <c r="AK1928" s="6"/>
      <c r="AL1928" s="6"/>
    </row>
    <row r="1929" spans="1:38">
      <c r="A1929" s="96"/>
      <c r="B1929" s="6"/>
      <c r="C1929" s="6"/>
      <c r="D1929" s="6"/>
      <c r="E1929" s="6"/>
      <c r="F1929" s="6"/>
      <c r="G1929" s="80"/>
      <c r="H1929" s="6"/>
      <c r="I1929" s="6"/>
      <c r="J1929" s="6"/>
      <c r="K1929" s="8"/>
      <c r="L1929" s="8"/>
      <c r="M1929" s="96"/>
      <c r="N1929" s="6"/>
      <c r="O1929" s="97"/>
      <c r="P1929" s="6"/>
      <c r="Q1929" s="6"/>
      <c r="R1929" s="6"/>
      <c r="S1929" s="6"/>
      <c r="T1929" s="6"/>
      <c r="U1929" s="6"/>
      <c r="V1929" s="6"/>
      <c r="W1929" s="6"/>
      <c r="X1929" s="6"/>
      <c r="Y1929" s="6"/>
      <c r="Z1929" s="6"/>
      <c r="AA1929" s="6"/>
      <c r="AB1929" s="6"/>
      <c r="AC1929" s="6"/>
      <c r="AD1929" s="6"/>
      <c r="AE1929" s="6"/>
      <c r="AF1929" s="6"/>
      <c r="AG1929" s="6"/>
      <c r="AH1929" s="6"/>
      <c r="AI1929" s="6"/>
      <c r="AJ1929" s="6"/>
      <c r="AK1929" s="6"/>
      <c r="AL1929" s="6"/>
    </row>
    <row r="1930" spans="1:38">
      <c r="A1930" s="96"/>
      <c r="B1930" s="6"/>
      <c r="C1930" s="6"/>
      <c r="D1930" s="6"/>
      <c r="E1930" s="6"/>
      <c r="F1930" s="6"/>
      <c r="G1930" s="80"/>
      <c r="H1930" s="6"/>
      <c r="I1930" s="6"/>
      <c r="J1930" s="6"/>
      <c r="K1930" s="8"/>
      <c r="L1930" s="8"/>
      <c r="M1930" s="96"/>
      <c r="N1930" s="6"/>
      <c r="O1930" s="97"/>
      <c r="P1930" s="6"/>
      <c r="Q1930" s="6"/>
      <c r="R1930" s="6"/>
      <c r="S1930" s="6"/>
      <c r="T1930" s="6"/>
      <c r="U1930" s="6"/>
      <c r="V1930" s="6"/>
      <c r="W1930" s="6"/>
      <c r="X1930" s="6"/>
      <c r="Y1930" s="6"/>
      <c r="Z1930" s="6"/>
      <c r="AA1930" s="6"/>
      <c r="AB1930" s="6"/>
      <c r="AC1930" s="6"/>
      <c r="AD1930" s="6"/>
      <c r="AE1930" s="6"/>
      <c r="AF1930" s="6"/>
      <c r="AG1930" s="6"/>
      <c r="AH1930" s="6"/>
      <c r="AI1930" s="6"/>
      <c r="AJ1930" s="6"/>
      <c r="AK1930" s="6"/>
      <c r="AL1930" s="6"/>
    </row>
    <row r="1931" spans="1:38">
      <c r="A1931" s="96"/>
      <c r="B1931" s="6"/>
      <c r="C1931" s="6"/>
      <c r="D1931" s="6"/>
      <c r="E1931" s="6"/>
      <c r="F1931" s="6"/>
      <c r="G1931" s="80"/>
      <c r="H1931" s="6"/>
      <c r="I1931" s="6"/>
      <c r="J1931" s="6"/>
      <c r="K1931" s="8"/>
      <c r="L1931" s="8"/>
      <c r="M1931" s="96"/>
      <c r="N1931" s="6"/>
      <c r="O1931" s="97"/>
      <c r="P1931" s="6"/>
      <c r="Q1931" s="6"/>
      <c r="R1931" s="6"/>
      <c r="S1931" s="6"/>
      <c r="T1931" s="6"/>
      <c r="U1931" s="6"/>
      <c r="V1931" s="6"/>
      <c r="W1931" s="6"/>
      <c r="X1931" s="6"/>
      <c r="Y1931" s="6"/>
      <c r="Z1931" s="6"/>
      <c r="AA1931" s="6"/>
      <c r="AB1931" s="6"/>
      <c r="AC1931" s="6"/>
      <c r="AD1931" s="6"/>
      <c r="AE1931" s="6"/>
      <c r="AF1931" s="6"/>
      <c r="AG1931" s="6"/>
      <c r="AH1931" s="6"/>
      <c r="AI1931" s="6"/>
      <c r="AJ1931" s="6"/>
      <c r="AK1931" s="6"/>
      <c r="AL1931" s="6"/>
    </row>
    <row r="1932" spans="1:38">
      <c r="A1932" s="96"/>
      <c r="B1932" s="6"/>
      <c r="C1932" s="6"/>
      <c r="D1932" s="6"/>
      <c r="E1932" s="6"/>
      <c r="F1932" s="6"/>
      <c r="G1932" s="80"/>
      <c r="H1932" s="6"/>
      <c r="I1932" s="6"/>
      <c r="J1932" s="6"/>
      <c r="K1932" s="8"/>
      <c r="L1932" s="8"/>
      <c r="M1932" s="96"/>
      <c r="N1932" s="6"/>
      <c r="O1932" s="97"/>
      <c r="P1932" s="6"/>
      <c r="Q1932" s="6"/>
      <c r="R1932" s="6"/>
      <c r="S1932" s="6"/>
      <c r="T1932" s="6"/>
      <c r="U1932" s="6"/>
      <c r="V1932" s="6"/>
      <c r="W1932" s="6"/>
      <c r="X1932" s="6"/>
      <c r="Y1932" s="6"/>
      <c r="Z1932" s="6"/>
      <c r="AA1932" s="6"/>
      <c r="AB1932" s="6"/>
      <c r="AC1932" s="6"/>
      <c r="AD1932" s="6"/>
      <c r="AE1932" s="6"/>
      <c r="AF1932" s="6"/>
      <c r="AG1932" s="6"/>
      <c r="AH1932" s="6"/>
      <c r="AI1932" s="6"/>
      <c r="AJ1932" s="6"/>
      <c r="AK1932" s="6"/>
      <c r="AL1932" s="6"/>
    </row>
    <row r="1933" spans="1:38">
      <c r="A1933" s="96"/>
      <c r="B1933" s="6"/>
      <c r="C1933" s="6"/>
      <c r="D1933" s="6"/>
      <c r="E1933" s="6"/>
      <c r="F1933" s="6"/>
      <c r="G1933" s="80"/>
      <c r="H1933" s="6"/>
      <c r="I1933" s="6"/>
      <c r="J1933" s="6"/>
      <c r="K1933" s="8"/>
      <c r="L1933" s="8"/>
      <c r="M1933" s="96"/>
      <c r="N1933" s="6"/>
      <c r="O1933" s="97"/>
      <c r="P1933" s="6"/>
      <c r="Q1933" s="6"/>
      <c r="R1933" s="6"/>
      <c r="S1933" s="6"/>
      <c r="T1933" s="6"/>
      <c r="U1933" s="6"/>
      <c r="V1933" s="6"/>
      <c r="W1933" s="6"/>
      <c r="X1933" s="6"/>
      <c r="Y1933" s="6"/>
      <c r="Z1933" s="6"/>
      <c r="AA1933" s="6"/>
      <c r="AB1933" s="6"/>
      <c r="AC1933" s="6"/>
      <c r="AD1933" s="6"/>
      <c r="AE1933" s="6"/>
      <c r="AF1933" s="6"/>
      <c r="AG1933" s="6"/>
      <c r="AH1933" s="6"/>
      <c r="AI1933" s="6"/>
      <c r="AJ1933" s="6"/>
      <c r="AK1933" s="6"/>
      <c r="AL1933" s="6"/>
    </row>
    <row r="1934" spans="1:38">
      <c r="A1934" s="96"/>
      <c r="B1934" s="6"/>
      <c r="C1934" s="6"/>
      <c r="D1934" s="6"/>
      <c r="E1934" s="6"/>
      <c r="F1934" s="6"/>
      <c r="G1934" s="80"/>
      <c r="H1934" s="6"/>
      <c r="I1934" s="6"/>
      <c r="J1934" s="6"/>
      <c r="K1934" s="8"/>
      <c r="L1934" s="8"/>
      <c r="M1934" s="96"/>
      <c r="N1934" s="6"/>
      <c r="O1934" s="97"/>
      <c r="P1934" s="6"/>
      <c r="Q1934" s="6"/>
      <c r="R1934" s="6"/>
      <c r="S1934" s="6"/>
      <c r="T1934" s="6"/>
      <c r="U1934" s="6"/>
      <c r="V1934" s="6"/>
      <c r="W1934" s="6"/>
      <c r="X1934" s="6"/>
      <c r="Y1934" s="6"/>
      <c r="Z1934" s="6"/>
      <c r="AA1934" s="6"/>
      <c r="AB1934" s="6"/>
      <c r="AC1934" s="6"/>
      <c r="AD1934" s="6"/>
      <c r="AE1934" s="6"/>
      <c r="AF1934" s="6"/>
      <c r="AG1934" s="6"/>
      <c r="AH1934" s="6"/>
      <c r="AI1934" s="6"/>
      <c r="AJ1934" s="6"/>
      <c r="AK1934" s="6"/>
      <c r="AL1934" s="6"/>
    </row>
    <row r="1935" spans="1:38">
      <c r="A1935" s="96"/>
      <c r="B1935" s="6"/>
      <c r="C1935" s="6"/>
      <c r="D1935" s="6"/>
      <c r="E1935" s="6"/>
      <c r="F1935" s="6"/>
      <c r="G1935" s="80"/>
      <c r="H1935" s="6"/>
      <c r="I1935" s="6"/>
      <c r="J1935" s="6"/>
      <c r="K1935" s="8"/>
      <c r="L1935" s="8"/>
      <c r="M1935" s="96"/>
      <c r="N1935" s="6"/>
      <c r="O1935" s="97"/>
      <c r="P1935" s="6"/>
      <c r="Q1935" s="6"/>
      <c r="R1935" s="6"/>
      <c r="S1935" s="6"/>
      <c r="T1935" s="6"/>
      <c r="U1935" s="6"/>
      <c r="V1935" s="6"/>
      <c r="W1935" s="6"/>
      <c r="X1935" s="6"/>
      <c r="Y1935" s="6"/>
      <c r="Z1935" s="6"/>
      <c r="AA1935" s="6"/>
      <c r="AB1935" s="6"/>
      <c r="AC1935" s="6"/>
      <c r="AD1935" s="6"/>
      <c r="AE1935" s="6"/>
      <c r="AF1935" s="6"/>
      <c r="AG1935" s="6"/>
      <c r="AH1935" s="6"/>
      <c r="AI1935" s="6"/>
      <c r="AJ1935" s="6"/>
      <c r="AK1935" s="6"/>
      <c r="AL1935" s="6"/>
    </row>
    <row r="1936" spans="1:38">
      <c r="A1936" s="96"/>
      <c r="B1936" s="6"/>
      <c r="C1936" s="6"/>
      <c r="D1936" s="6"/>
      <c r="E1936" s="6"/>
      <c r="F1936" s="6"/>
      <c r="G1936" s="80"/>
      <c r="H1936" s="6"/>
      <c r="I1936" s="6"/>
      <c r="J1936" s="6"/>
      <c r="K1936" s="8"/>
      <c r="L1936" s="8"/>
      <c r="M1936" s="96"/>
      <c r="N1936" s="6"/>
      <c r="O1936" s="97"/>
      <c r="P1936" s="6"/>
      <c r="Q1936" s="6"/>
      <c r="R1936" s="6"/>
      <c r="S1936" s="6"/>
      <c r="T1936" s="6"/>
      <c r="U1936" s="6"/>
      <c r="V1936" s="6"/>
      <c r="W1936" s="6"/>
      <c r="X1936" s="6"/>
      <c r="Y1936" s="6"/>
      <c r="Z1936" s="6"/>
      <c r="AA1936" s="6"/>
      <c r="AB1936" s="6"/>
      <c r="AC1936" s="6"/>
      <c r="AD1936" s="6"/>
      <c r="AE1936" s="6"/>
      <c r="AF1936" s="6"/>
      <c r="AG1936" s="6"/>
      <c r="AH1936" s="6"/>
      <c r="AI1936" s="6"/>
      <c r="AJ1936" s="6"/>
      <c r="AK1936" s="6"/>
      <c r="AL1936" s="6"/>
    </row>
    <row r="1937" spans="1:38">
      <c r="A1937" s="96"/>
      <c r="B1937" s="6"/>
      <c r="C1937" s="6"/>
      <c r="D1937" s="6"/>
      <c r="E1937" s="6"/>
      <c r="F1937" s="6"/>
      <c r="G1937" s="80"/>
      <c r="H1937" s="6"/>
      <c r="I1937" s="6"/>
      <c r="J1937" s="6"/>
      <c r="K1937" s="8"/>
      <c r="L1937" s="8"/>
      <c r="M1937" s="96"/>
      <c r="N1937" s="6"/>
      <c r="O1937" s="97"/>
      <c r="P1937" s="6"/>
      <c r="Q1937" s="6"/>
      <c r="R1937" s="6"/>
      <c r="S1937" s="6"/>
      <c r="T1937" s="6"/>
      <c r="U1937" s="6"/>
      <c r="V1937" s="6"/>
      <c r="W1937" s="6"/>
      <c r="X1937" s="6"/>
      <c r="Y1937" s="6"/>
      <c r="Z1937" s="6"/>
      <c r="AA1937" s="6"/>
      <c r="AB1937" s="6"/>
      <c r="AC1937" s="6"/>
      <c r="AD1937" s="6"/>
      <c r="AE1937" s="6"/>
      <c r="AF1937" s="6"/>
      <c r="AG1937" s="6"/>
      <c r="AH1937" s="6"/>
      <c r="AI1937" s="6"/>
      <c r="AJ1937" s="6"/>
      <c r="AK1937" s="6"/>
      <c r="AL1937" s="6"/>
    </row>
    <row r="1938" spans="1:38">
      <c r="A1938" s="96"/>
      <c r="B1938" s="6"/>
      <c r="C1938" s="6"/>
      <c r="D1938" s="6"/>
      <c r="E1938" s="6"/>
      <c r="F1938" s="6"/>
      <c r="G1938" s="80"/>
      <c r="H1938" s="6"/>
      <c r="I1938" s="6"/>
      <c r="J1938" s="6"/>
      <c r="K1938" s="8"/>
      <c r="L1938" s="8"/>
      <c r="M1938" s="96"/>
      <c r="N1938" s="6"/>
      <c r="O1938" s="97"/>
      <c r="P1938" s="6"/>
      <c r="Q1938" s="6"/>
      <c r="R1938" s="6"/>
      <c r="S1938" s="6"/>
      <c r="T1938" s="6"/>
      <c r="U1938" s="6"/>
      <c r="V1938" s="6"/>
      <c r="W1938" s="6"/>
      <c r="X1938" s="6"/>
      <c r="Y1938" s="6"/>
      <c r="Z1938" s="6"/>
      <c r="AA1938" s="6"/>
      <c r="AB1938" s="6"/>
      <c r="AC1938" s="6"/>
      <c r="AD1938" s="6"/>
      <c r="AE1938" s="6"/>
      <c r="AF1938" s="6"/>
      <c r="AG1938" s="6"/>
      <c r="AH1938" s="6"/>
      <c r="AI1938" s="6"/>
      <c r="AJ1938" s="6"/>
      <c r="AK1938" s="6"/>
      <c r="AL1938" s="6"/>
    </row>
    <row r="1939" spans="1:38">
      <c r="A1939" s="96"/>
      <c r="B1939" s="6"/>
      <c r="C1939" s="6"/>
      <c r="D1939" s="6"/>
      <c r="E1939" s="6"/>
      <c r="F1939" s="6"/>
      <c r="G1939" s="80"/>
      <c r="H1939" s="6"/>
      <c r="I1939" s="6"/>
      <c r="J1939" s="6"/>
      <c r="K1939" s="8"/>
      <c r="L1939" s="8"/>
      <c r="M1939" s="96"/>
      <c r="N1939" s="6"/>
      <c r="O1939" s="97"/>
      <c r="P1939" s="6"/>
      <c r="Q1939" s="6"/>
      <c r="R1939" s="6"/>
      <c r="S1939" s="6"/>
      <c r="T1939" s="6"/>
      <c r="U1939" s="6"/>
      <c r="V1939" s="6"/>
      <c r="W1939" s="6"/>
      <c r="X1939" s="6"/>
      <c r="Y1939" s="6"/>
      <c r="Z1939" s="6"/>
      <c r="AA1939" s="6"/>
      <c r="AB1939" s="6"/>
      <c r="AC1939" s="6"/>
      <c r="AD1939" s="6"/>
      <c r="AE1939" s="6"/>
      <c r="AF1939" s="6"/>
      <c r="AG1939" s="6"/>
      <c r="AH1939" s="6"/>
      <c r="AI1939" s="6"/>
      <c r="AJ1939" s="6"/>
      <c r="AK1939" s="6"/>
      <c r="AL1939" s="6"/>
    </row>
    <row r="1940" spans="1:38">
      <c r="A1940" s="96"/>
      <c r="B1940" s="6"/>
      <c r="C1940" s="6"/>
      <c r="D1940" s="6"/>
      <c r="E1940" s="6"/>
      <c r="F1940" s="6"/>
      <c r="G1940" s="80"/>
      <c r="H1940" s="6"/>
      <c r="I1940" s="6"/>
      <c r="J1940" s="6"/>
      <c r="K1940" s="8"/>
      <c r="L1940" s="8"/>
      <c r="M1940" s="96"/>
      <c r="N1940" s="6"/>
      <c r="O1940" s="97"/>
      <c r="P1940" s="6"/>
      <c r="Q1940" s="6"/>
      <c r="R1940" s="6"/>
      <c r="S1940" s="6"/>
      <c r="T1940" s="6"/>
      <c r="U1940" s="6"/>
      <c r="V1940" s="6"/>
      <c r="W1940" s="6"/>
      <c r="X1940" s="6"/>
      <c r="Y1940" s="6"/>
      <c r="Z1940" s="6"/>
      <c r="AA1940" s="6"/>
      <c r="AB1940" s="6"/>
      <c r="AC1940" s="6"/>
      <c r="AD1940" s="6"/>
      <c r="AE1940" s="6"/>
      <c r="AF1940" s="6"/>
      <c r="AG1940" s="6"/>
      <c r="AH1940" s="6"/>
      <c r="AI1940" s="6"/>
      <c r="AJ1940" s="6"/>
      <c r="AK1940" s="6"/>
      <c r="AL1940" s="6"/>
    </row>
    <row r="1941" spans="1:38">
      <c r="A1941" s="96"/>
      <c r="B1941" s="6"/>
      <c r="C1941" s="6"/>
      <c r="D1941" s="6"/>
      <c r="E1941" s="6"/>
      <c r="F1941" s="6"/>
      <c r="G1941" s="80"/>
      <c r="H1941" s="6"/>
      <c r="I1941" s="6"/>
      <c r="J1941" s="6"/>
      <c r="K1941" s="8"/>
      <c r="L1941" s="8"/>
      <c r="M1941" s="96"/>
      <c r="N1941" s="6"/>
      <c r="O1941" s="97"/>
      <c r="P1941" s="6"/>
      <c r="Q1941" s="6"/>
      <c r="R1941" s="6"/>
      <c r="S1941" s="6"/>
      <c r="T1941" s="6"/>
      <c r="U1941" s="6"/>
      <c r="V1941" s="6"/>
      <c r="W1941" s="6"/>
      <c r="X1941" s="6"/>
      <c r="Y1941" s="6"/>
      <c r="Z1941" s="6"/>
      <c r="AA1941" s="6"/>
      <c r="AB1941" s="6"/>
      <c r="AC1941" s="6"/>
      <c r="AD1941" s="6"/>
      <c r="AE1941" s="6"/>
      <c r="AF1941" s="6"/>
      <c r="AG1941" s="6"/>
      <c r="AH1941" s="6"/>
      <c r="AI1941" s="6"/>
      <c r="AJ1941" s="6"/>
      <c r="AK1941" s="6"/>
      <c r="AL1941" s="6"/>
    </row>
    <row r="1942" spans="1:38">
      <c r="A1942" s="96"/>
      <c r="B1942" s="6"/>
      <c r="C1942" s="6"/>
      <c r="D1942" s="6"/>
      <c r="E1942" s="6"/>
      <c r="F1942" s="6"/>
      <c r="G1942" s="80"/>
      <c r="H1942" s="6"/>
      <c r="I1942" s="6"/>
      <c r="J1942" s="6"/>
      <c r="K1942" s="8"/>
      <c r="L1942" s="8"/>
      <c r="M1942" s="96"/>
      <c r="N1942" s="6"/>
      <c r="O1942" s="97"/>
      <c r="P1942" s="6"/>
      <c r="Q1942" s="6"/>
      <c r="R1942" s="6"/>
      <c r="S1942" s="6"/>
      <c r="T1942" s="6"/>
      <c r="U1942" s="6"/>
      <c r="V1942" s="6"/>
      <c r="W1942" s="6"/>
      <c r="X1942" s="6"/>
      <c r="Y1942" s="6"/>
      <c r="Z1942" s="6"/>
      <c r="AA1942" s="6"/>
      <c r="AB1942" s="6"/>
      <c r="AC1942" s="6"/>
      <c r="AD1942" s="6"/>
      <c r="AE1942" s="6"/>
      <c r="AF1942" s="6"/>
      <c r="AG1942" s="6"/>
      <c r="AH1942" s="6"/>
      <c r="AI1942" s="6"/>
      <c r="AJ1942" s="6"/>
      <c r="AK1942" s="6"/>
      <c r="AL1942" s="6"/>
    </row>
    <row r="1943" spans="1:38">
      <c r="A1943" s="96"/>
      <c r="B1943" s="6"/>
      <c r="C1943" s="6"/>
      <c r="D1943" s="6"/>
      <c r="E1943" s="6"/>
      <c r="F1943" s="6"/>
      <c r="G1943" s="80"/>
      <c r="H1943" s="6"/>
      <c r="I1943" s="6"/>
      <c r="J1943" s="6"/>
      <c r="K1943" s="8"/>
      <c r="L1943" s="8"/>
      <c r="M1943" s="96"/>
      <c r="N1943" s="6"/>
      <c r="O1943" s="97"/>
      <c r="P1943" s="6"/>
      <c r="Q1943" s="6"/>
      <c r="R1943" s="6"/>
      <c r="S1943" s="6"/>
      <c r="T1943" s="6"/>
      <c r="U1943" s="6"/>
      <c r="V1943" s="6"/>
      <c r="W1943" s="6"/>
      <c r="X1943" s="6"/>
      <c r="Y1943" s="6"/>
      <c r="Z1943" s="6"/>
      <c r="AA1943" s="6"/>
      <c r="AB1943" s="6"/>
      <c r="AC1943" s="6"/>
      <c r="AD1943" s="6"/>
      <c r="AE1943" s="6"/>
      <c r="AF1943" s="6"/>
      <c r="AG1943" s="6"/>
      <c r="AH1943" s="6"/>
      <c r="AI1943" s="6"/>
      <c r="AJ1943" s="6"/>
      <c r="AK1943" s="6"/>
      <c r="AL1943" s="6"/>
    </row>
    <row r="1944" spans="1:38">
      <c r="A1944" s="96"/>
      <c r="B1944" s="6"/>
      <c r="C1944" s="6"/>
      <c r="D1944" s="6"/>
      <c r="E1944" s="6"/>
      <c r="F1944" s="6"/>
      <c r="G1944" s="80"/>
      <c r="H1944" s="6"/>
      <c r="I1944" s="6"/>
      <c r="J1944" s="6"/>
      <c r="K1944" s="8"/>
      <c r="L1944" s="8"/>
      <c r="M1944" s="96"/>
      <c r="N1944" s="6"/>
      <c r="O1944" s="97"/>
      <c r="P1944" s="6"/>
      <c r="Q1944" s="6"/>
      <c r="R1944" s="6"/>
      <c r="S1944" s="6"/>
      <c r="T1944" s="6"/>
      <c r="U1944" s="6"/>
      <c r="V1944" s="6"/>
      <c r="W1944" s="6"/>
      <c r="X1944" s="6"/>
      <c r="Y1944" s="6"/>
      <c r="Z1944" s="6"/>
      <c r="AA1944" s="6"/>
      <c r="AB1944" s="6"/>
      <c r="AC1944" s="6"/>
      <c r="AD1944" s="6"/>
      <c r="AE1944" s="6"/>
      <c r="AF1944" s="6"/>
      <c r="AG1944" s="6"/>
      <c r="AH1944" s="6"/>
      <c r="AI1944" s="6"/>
      <c r="AJ1944" s="6"/>
      <c r="AK1944" s="6"/>
      <c r="AL1944" s="6"/>
    </row>
    <row r="1945" spans="1:38">
      <c r="A1945" s="96"/>
      <c r="B1945" s="6"/>
      <c r="C1945" s="6"/>
      <c r="D1945" s="6"/>
      <c r="E1945" s="6"/>
      <c r="F1945" s="6"/>
      <c r="G1945" s="80"/>
      <c r="H1945" s="6"/>
      <c r="I1945" s="6"/>
      <c r="J1945" s="6"/>
      <c r="K1945" s="8"/>
      <c r="L1945" s="8"/>
      <c r="M1945" s="96"/>
      <c r="N1945" s="6"/>
      <c r="O1945" s="97"/>
      <c r="P1945" s="6"/>
      <c r="Q1945" s="6"/>
      <c r="R1945" s="6"/>
      <c r="S1945" s="6"/>
      <c r="T1945" s="6"/>
      <c r="U1945" s="6"/>
      <c r="V1945" s="6"/>
      <c r="W1945" s="6"/>
      <c r="X1945" s="6"/>
      <c r="Y1945" s="6"/>
      <c r="Z1945" s="6"/>
      <c r="AA1945" s="6"/>
      <c r="AB1945" s="6"/>
      <c r="AC1945" s="6"/>
      <c r="AD1945" s="6"/>
      <c r="AE1945" s="6"/>
      <c r="AF1945" s="6"/>
      <c r="AG1945" s="6"/>
      <c r="AH1945" s="6"/>
      <c r="AI1945" s="6"/>
      <c r="AJ1945" s="6"/>
      <c r="AK1945" s="6"/>
      <c r="AL1945" s="6"/>
    </row>
    <row r="1946" spans="1:38">
      <c r="A1946" s="96"/>
      <c r="B1946" s="6"/>
      <c r="C1946" s="6"/>
      <c r="D1946" s="6"/>
      <c r="E1946" s="6"/>
      <c r="F1946" s="6"/>
      <c r="G1946" s="80"/>
      <c r="H1946" s="6"/>
      <c r="I1946" s="6"/>
      <c r="J1946" s="6"/>
      <c r="K1946" s="8"/>
      <c r="L1946" s="8"/>
      <c r="M1946" s="96"/>
      <c r="N1946" s="6"/>
      <c r="O1946" s="97"/>
      <c r="P1946" s="6"/>
      <c r="Q1946" s="6"/>
      <c r="R1946" s="6"/>
      <c r="S1946" s="6"/>
      <c r="T1946" s="6"/>
      <c r="U1946" s="6"/>
      <c r="V1946" s="6"/>
      <c r="W1946" s="6"/>
      <c r="X1946" s="6"/>
      <c r="Y1946" s="6"/>
      <c r="Z1946" s="6"/>
      <c r="AA1946" s="6"/>
      <c r="AB1946" s="6"/>
      <c r="AC1946" s="6"/>
      <c r="AD1946" s="6"/>
      <c r="AE1946" s="6"/>
      <c r="AF1946" s="6"/>
      <c r="AG1946" s="6"/>
      <c r="AH1946" s="6"/>
      <c r="AI1946" s="6"/>
      <c r="AJ1946" s="6"/>
      <c r="AK1946" s="6"/>
      <c r="AL1946" s="6"/>
    </row>
    <row r="1947" spans="1:38">
      <c r="A1947" s="96"/>
      <c r="B1947" s="6"/>
      <c r="C1947" s="6"/>
      <c r="D1947" s="6"/>
      <c r="E1947" s="6"/>
      <c r="F1947" s="6"/>
      <c r="G1947" s="80"/>
      <c r="H1947" s="6"/>
      <c r="I1947" s="6"/>
      <c r="J1947" s="6"/>
      <c r="K1947" s="8"/>
      <c r="L1947" s="8"/>
      <c r="M1947" s="96"/>
      <c r="N1947" s="6"/>
      <c r="O1947" s="97"/>
      <c r="P1947" s="6"/>
      <c r="Q1947" s="6"/>
      <c r="R1947" s="6"/>
      <c r="S1947" s="6"/>
      <c r="T1947" s="6"/>
      <c r="U1947" s="6"/>
      <c r="V1947" s="6"/>
      <c r="W1947" s="6"/>
      <c r="X1947" s="6"/>
      <c r="Y1947" s="6"/>
      <c r="Z1947" s="6"/>
      <c r="AA1947" s="6"/>
      <c r="AB1947" s="6"/>
      <c r="AC1947" s="6"/>
      <c r="AD1947" s="6"/>
      <c r="AE1947" s="6"/>
      <c r="AF1947" s="6"/>
      <c r="AG1947" s="6"/>
      <c r="AH1947" s="6"/>
      <c r="AI1947" s="6"/>
      <c r="AJ1947" s="6"/>
      <c r="AK1947" s="6"/>
      <c r="AL1947" s="6"/>
    </row>
    <row r="1948" spans="1:38">
      <c r="A1948" s="96"/>
      <c r="B1948" s="6"/>
      <c r="C1948" s="6"/>
      <c r="D1948" s="6"/>
      <c r="E1948" s="6"/>
      <c r="F1948" s="6"/>
      <c r="G1948" s="80"/>
      <c r="H1948" s="6"/>
      <c r="I1948" s="6"/>
      <c r="J1948" s="6"/>
      <c r="K1948" s="8"/>
      <c r="L1948" s="8"/>
      <c r="M1948" s="96"/>
      <c r="N1948" s="6"/>
      <c r="O1948" s="97"/>
      <c r="P1948" s="6"/>
      <c r="Q1948" s="6"/>
      <c r="R1948" s="6"/>
      <c r="S1948" s="6"/>
      <c r="T1948" s="6"/>
      <c r="U1948" s="6"/>
      <c r="V1948" s="6"/>
      <c r="W1948" s="6"/>
      <c r="X1948" s="6"/>
      <c r="Y1948" s="6"/>
      <c r="Z1948" s="6"/>
      <c r="AA1948" s="6"/>
      <c r="AB1948" s="6"/>
      <c r="AC1948" s="6"/>
      <c r="AD1948" s="6"/>
      <c r="AE1948" s="6"/>
      <c r="AF1948" s="6"/>
      <c r="AG1948" s="6"/>
      <c r="AH1948" s="6"/>
      <c r="AI1948" s="6"/>
      <c r="AJ1948" s="6"/>
      <c r="AK1948" s="6"/>
      <c r="AL1948" s="6"/>
    </row>
    <row r="1949" spans="1:38">
      <c r="A1949" s="96"/>
      <c r="B1949" s="6"/>
      <c r="C1949" s="6"/>
      <c r="D1949" s="6"/>
      <c r="E1949" s="6"/>
      <c r="F1949" s="6"/>
      <c r="G1949" s="80"/>
      <c r="H1949" s="6"/>
      <c r="I1949" s="6"/>
      <c r="J1949" s="6"/>
      <c r="K1949" s="8"/>
      <c r="L1949" s="8"/>
      <c r="M1949" s="96"/>
      <c r="N1949" s="6"/>
      <c r="O1949" s="97"/>
      <c r="P1949" s="6"/>
      <c r="Q1949" s="6"/>
      <c r="R1949" s="6"/>
      <c r="S1949" s="6"/>
      <c r="T1949" s="6"/>
      <c r="U1949" s="6"/>
      <c r="V1949" s="6"/>
      <c r="W1949" s="6"/>
      <c r="X1949" s="6"/>
      <c r="Y1949" s="6"/>
      <c r="Z1949" s="6"/>
      <c r="AA1949" s="6"/>
      <c r="AB1949" s="6"/>
      <c r="AC1949" s="6"/>
      <c r="AD1949" s="6"/>
      <c r="AE1949" s="6"/>
      <c r="AF1949" s="6"/>
      <c r="AG1949" s="6"/>
      <c r="AH1949" s="6"/>
      <c r="AI1949" s="6"/>
      <c r="AJ1949" s="6"/>
      <c r="AK1949" s="6"/>
      <c r="AL1949" s="6"/>
    </row>
    <row r="1950" spans="1:38">
      <c r="A1950" s="96"/>
      <c r="B1950" s="6"/>
      <c r="C1950" s="6"/>
      <c r="D1950" s="6"/>
      <c r="E1950" s="6"/>
      <c r="F1950" s="6"/>
      <c r="G1950" s="80"/>
      <c r="H1950" s="6"/>
      <c r="I1950" s="6"/>
      <c r="J1950" s="6"/>
      <c r="K1950" s="8"/>
      <c r="L1950" s="8"/>
      <c r="M1950" s="96"/>
      <c r="N1950" s="6"/>
      <c r="O1950" s="97"/>
      <c r="P1950" s="6"/>
      <c r="Q1950" s="6"/>
      <c r="R1950" s="6"/>
      <c r="S1950" s="6"/>
      <c r="T1950" s="6"/>
      <c r="U1950" s="6"/>
      <c r="V1950" s="6"/>
      <c r="W1950" s="6"/>
      <c r="X1950" s="6"/>
      <c r="Y1950" s="6"/>
      <c r="Z1950" s="6"/>
      <c r="AA1950" s="6"/>
      <c r="AB1950" s="6"/>
      <c r="AC1950" s="6"/>
      <c r="AD1950" s="6"/>
      <c r="AE1950" s="6"/>
      <c r="AF1950" s="6"/>
      <c r="AG1950" s="6"/>
      <c r="AH1950" s="6"/>
      <c r="AI1950" s="6"/>
      <c r="AJ1950" s="6"/>
      <c r="AK1950" s="6"/>
      <c r="AL1950" s="6"/>
    </row>
    <row r="1951" spans="1:38">
      <c r="A1951" s="96"/>
      <c r="B1951" s="6"/>
      <c r="C1951" s="6"/>
      <c r="D1951" s="6"/>
      <c r="E1951" s="6"/>
      <c r="F1951" s="6"/>
      <c r="G1951" s="80"/>
      <c r="H1951" s="6"/>
      <c r="I1951" s="6"/>
      <c r="J1951" s="6"/>
      <c r="K1951" s="8"/>
      <c r="L1951" s="8"/>
      <c r="M1951" s="96"/>
      <c r="N1951" s="6"/>
      <c r="O1951" s="97"/>
      <c r="P1951" s="6"/>
      <c r="Q1951" s="6"/>
      <c r="R1951" s="6"/>
      <c r="S1951" s="6"/>
      <c r="T1951" s="6"/>
      <c r="U1951" s="6"/>
      <c r="V1951" s="6"/>
      <c r="W1951" s="6"/>
      <c r="X1951" s="6"/>
      <c r="Y1951" s="6"/>
      <c r="Z1951" s="6"/>
      <c r="AA1951" s="6"/>
      <c r="AB1951" s="6"/>
      <c r="AC1951" s="6"/>
      <c r="AD1951" s="6"/>
      <c r="AE1951" s="6"/>
      <c r="AF1951" s="6"/>
      <c r="AG1951" s="6"/>
      <c r="AH1951" s="6"/>
      <c r="AI1951" s="6"/>
      <c r="AJ1951" s="6"/>
      <c r="AK1951" s="6"/>
      <c r="AL1951" s="6"/>
    </row>
    <row r="1952" spans="1:38">
      <c r="A1952" s="96"/>
      <c r="B1952" s="6"/>
      <c r="C1952" s="6"/>
      <c r="D1952" s="6"/>
      <c r="E1952" s="6"/>
      <c r="F1952" s="6"/>
      <c r="G1952" s="80"/>
      <c r="H1952" s="6"/>
      <c r="I1952" s="6"/>
      <c r="J1952" s="6"/>
      <c r="K1952" s="8"/>
      <c r="L1952" s="8"/>
      <c r="M1952" s="96"/>
      <c r="N1952" s="6"/>
      <c r="O1952" s="97"/>
      <c r="P1952" s="6"/>
      <c r="Q1952" s="6"/>
      <c r="R1952" s="6"/>
      <c r="S1952" s="6"/>
      <c r="T1952" s="6"/>
      <c r="U1952" s="6"/>
      <c r="V1952" s="6"/>
      <c r="W1952" s="6"/>
      <c r="X1952" s="6"/>
      <c r="Y1952" s="6"/>
      <c r="Z1952" s="6"/>
      <c r="AA1952" s="6"/>
      <c r="AB1952" s="6"/>
      <c r="AC1952" s="6"/>
      <c r="AD1952" s="6"/>
      <c r="AE1952" s="6"/>
      <c r="AF1952" s="6"/>
      <c r="AG1952" s="6"/>
      <c r="AH1952" s="6"/>
      <c r="AI1952" s="6"/>
      <c r="AJ1952" s="6"/>
      <c r="AK1952" s="6"/>
      <c r="AL1952" s="6"/>
    </row>
    <row r="1953" spans="1:38">
      <c r="A1953" s="96"/>
      <c r="B1953" s="6"/>
      <c r="C1953" s="6"/>
      <c r="D1953" s="6"/>
      <c r="E1953" s="6"/>
      <c r="F1953" s="6"/>
      <c r="G1953" s="80"/>
      <c r="H1953" s="6"/>
      <c r="I1953" s="6"/>
      <c r="J1953" s="6"/>
      <c r="K1953" s="8"/>
      <c r="L1953" s="8"/>
      <c r="M1953" s="96"/>
      <c r="N1953" s="6"/>
      <c r="O1953" s="97"/>
      <c r="P1953" s="6"/>
      <c r="Q1953" s="6"/>
      <c r="R1953" s="6"/>
      <c r="S1953" s="6"/>
      <c r="T1953" s="6"/>
      <c r="U1953" s="6"/>
      <c r="V1953" s="6"/>
      <c r="W1953" s="6"/>
      <c r="X1953" s="6"/>
      <c r="Y1953" s="6"/>
      <c r="Z1953" s="6"/>
      <c r="AA1953" s="6"/>
      <c r="AB1953" s="6"/>
      <c r="AC1953" s="6"/>
      <c r="AD1953" s="6"/>
      <c r="AE1953" s="6"/>
      <c r="AF1953" s="6"/>
      <c r="AG1953" s="6"/>
      <c r="AH1953" s="6"/>
      <c r="AI1953" s="6"/>
      <c r="AJ1953" s="6"/>
      <c r="AK1953" s="6"/>
      <c r="AL1953" s="6"/>
    </row>
    <row r="1954" spans="1:38">
      <c r="A1954" s="96"/>
      <c r="B1954" s="6"/>
      <c r="C1954" s="6"/>
      <c r="D1954" s="6"/>
      <c r="E1954" s="6"/>
      <c r="F1954" s="6"/>
      <c r="G1954" s="80"/>
      <c r="H1954" s="6"/>
      <c r="I1954" s="6"/>
      <c r="J1954" s="6"/>
      <c r="K1954" s="8"/>
      <c r="L1954" s="8"/>
      <c r="M1954" s="96"/>
      <c r="N1954" s="6"/>
      <c r="O1954" s="97"/>
      <c r="P1954" s="6"/>
      <c r="Q1954" s="6"/>
      <c r="R1954" s="6"/>
      <c r="S1954" s="6"/>
      <c r="T1954" s="6"/>
      <c r="U1954" s="6"/>
      <c r="V1954" s="6"/>
      <c r="W1954" s="6"/>
      <c r="X1954" s="6"/>
      <c r="Y1954" s="6"/>
      <c r="Z1954" s="6"/>
      <c r="AA1954" s="6"/>
      <c r="AB1954" s="6"/>
      <c r="AC1954" s="6"/>
      <c r="AD1954" s="6"/>
      <c r="AE1954" s="6"/>
      <c r="AF1954" s="6"/>
      <c r="AG1954" s="6"/>
      <c r="AH1954" s="6"/>
      <c r="AI1954" s="6"/>
      <c r="AJ1954" s="6"/>
      <c r="AK1954" s="6"/>
      <c r="AL1954" s="6"/>
    </row>
    <row r="1955" spans="1:38">
      <c r="A1955" s="96"/>
      <c r="B1955" s="6"/>
      <c r="C1955" s="6"/>
      <c r="D1955" s="6"/>
      <c r="E1955" s="6"/>
      <c r="F1955" s="6"/>
      <c r="G1955" s="80"/>
      <c r="H1955" s="6"/>
      <c r="I1955" s="6"/>
      <c r="J1955" s="6"/>
      <c r="K1955" s="8"/>
      <c r="L1955" s="8"/>
      <c r="M1955" s="96"/>
      <c r="N1955" s="6"/>
      <c r="O1955" s="97"/>
      <c r="P1955" s="6"/>
      <c r="Q1955" s="6"/>
      <c r="R1955" s="6"/>
      <c r="S1955" s="6"/>
      <c r="T1955" s="6"/>
      <c r="U1955" s="6"/>
      <c r="V1955" s="6"/>
      <c r="W1955" s="6"/>
      <c r="X1955" s="6"/>
      <c r="Y1955" s="6"/>
      <c r="Z1955" s="6"/>
      <c r="AA1955" s="6"/>
      <c r="AB1955" s="6"/>
      <c r="AC1955" s="6"/>
      <c r="AD1955" s="6"/>
      <c r="AE1955" s="6"/>
      <c r="AF1955" s="6"/>
      <c r="AG1955" s="6"/>
      <c r="AH1955" s="6"/>
      <c r="AI1955" s="6"/>
      <c r="AJ1955" s="6"/>
      <c r="AK1955" s="6"/>
      <c r="AL1955" s="6"/>
    </row>
    <row r="1956" spans="1:38">
      <c r="A1956" s="96"/>
      <c r="B1956" s="6"/>
      <c r="C1956" s="6"/>
      <c r="D1956" s="6"/>
      <c r="E1956" s="6"/>
      <c r="F1956" s="6"/>
      <c r="G1956" s="80"/>
      <c r="H1956" s="6"/>
      <c r="I1956" s="6"/>
      <c r="J1956" s="6"/>
      <c r="K1956" s="8"/>
      <c r="L1956" s="8"/>
      <c r="M1956" s="96"/>
      <c r="N1956" s="6"/>
      <c r="O1956" s="97"/>
      <c r="P1956" s="6"/>
      <c r="Q1956" s="6"/>
      <c r="R1956" s="6"/>
      <c r="S1956" s="6"/>
      <c r="T1956" s="6"/>
      <c r="U1956" s="6"/>
      <c r="V1956" s="6"/>
      <c r="W1956" s="6"/>
      <c r="X1956" s="6"/>
      <c r="Y1956" s="6"/>
      <c r="Z1956" s="6"/>
      <c r="AA1956" s="6"/>
      <c r="AB1956" s="6"/>
      <c r="AC1956" s="6"/>
      <c r="AD1956" s="6"/>
      <c r="AE1956" s="6"/>
      <c r="AF1956" s="6"/>
      <c r="AG1956" s="6"/>
      <c r="AH1956" s="6"/>
      <c r="AI1956" s="6"/>
      <c r="AJ1956" s="6"/>
      <c r="AK1956" s="6"/>
      <c r="AL1956" s="6"/>
    </row>
    <row r="1957" spans="1:38">
      <c r="A1957" s="96"/>
      <c r="B1957" s="6"/>
      <c r="C1957" s="6"/>
      <c r="D1957" s="6"/>
      <c r="E1957" s="6"/>
      <c r="F1957" s="6"/>
      <c r="G1957" s="80"/>
      <c r="H1957" s="6"/>
      <c r="I1957" s="6"/>
      <c r="J1957" s="6"/>
      <c r="K1957" s="8"/>
      <c r="L1957" s="8"/>
      <c r="M1957" s="96"/>
      <c r="N1957" s="6"/>
      <c r="O1957" s="97"/>
      <c r="P1957" s="6"/>
      <c r="Q1957" s="6"/>
      <c r="R1957" s="6"/>
      <c r="S1957" s="6"/>
      <c r="T1957" s="6"/>
      <c r="U1957" s="6"/>
      <c r="V1957" s="6"/>
      <c r="W1957" s="6"/>
      <c r="X1957" s="6"/>
      <c r="Y1957" s="6"/>
      <c r="Z1957" s="6"/>
      <c r="AA1957" s="6"/>
      <c r="AB1957" s="6"/>
      <c r="AC1957" s="6"/>
      <c r="AD1957" s="6"/>
      <c r="AE1957" s="6"/>
      <c r="AF1957" s="6"/>
      <c r="AG1957" s="6"/>
      <c r="AH1957" s="6"/>
      <c r="AI1957" s="6"/>
      <c r="AJ1957" s="6"/>
      <c r="AK1957" s="6"/>
      <c r="AL1957" s="6"/>
    </row>
    <row r="1958" spans="1:38">
      <c r="A1958" s="96"/>
      <c r="B1958" s="6"/>
      <c r="C1958" s="6"/>
      <c r="D1958" s="6"/>
      <c r="E1958" s="6"/>
      <c r="F1958" s="6"/>
      <c r="G1958" s="80"/>
      <c r="H1958" s="6"/>
      <c r="I1958" s="6"/>
      <c r="J1958" s="6"/>
      <c r="K1958" s="8"/>
      <c r="L1958" s="8"/>
      <c r="M1958" s="96"/>
      <c r="N1958" s="6"/>
      <c r="O1958" s="97"/>
      <c r="P1958" s="6"/>
      <c r="Q1958" s="6"/>
      <c r="R1958" s="6"/>
      <c r="S1958" s="6"/>
      <c r="T1958" s="6"/>
      <c r="U1958" s="6"/>
      <c r="V1958" s="6"/>
      <c r="W1958" s="6"/>
      <c r="X1958" s="6"/>
      <c r="Y1958" s="6"/>
      <c r="Z1958" s="6"/>
      <c r="AA1958" s="6"/>
      <c r="AB1958" s="6"/>
      <c r="AC1958" s="6"/>
      <c r="AD1958" s="6"/>
      <c r="AE1958" s="6"/>
      <c r="AF1958" s="6"/>
      <c r="AG1958" s="6"/>
      <c r="AH1958" s="6"/>
      <c r="AI1958" s="6"/>
      <c r="AJ1958" s="6"/>
      <c r="AK1958" s="6"/>
      <c r="AL1958" s="6"/>
    </row>
    <row r="1959" spans="1:38">
      <c r="A1959" s="96"/>
      <c r="B1959" s="6"/>
      <c r="C1959" s="6"/>
      <c r="D1959" s="6"/>
      <c r="E1959" s="6"/>
      <c r="F1959" s="6"/>
      <c r="G1959" s="80"/>
      <c r="H1959" s="6"/>
      <c r="I1959" s="6"/>
      <c r="J1959" s="6"/>
      <c r="K1959" s="8"/>
      <c r="L1959" s="8"/>
      <c r="M1959" s="96"/>
      <c r="N1959" s="6"/>
      <c r="O1959" s="97"/>
      <c r="P1959" s="6"/>
      <c r="Q1959" s="6"/>
      <c r="R1959" s="6"/>
      <c r="S1959" s="6"/>
      <c r="T1959" s="6"/>
      <c r="U1959" s="6"/>
      <c r="V1959" s="6"/>
      <c r="W1959" s="6"/>
      <c r="X1959" s="6"/>
      <c r="Y1959" s="6"/>
      <c r="Z1959" s="6"/>
      <c r="AA1959" s="6"/>
      <c r="AB1959" s="6"/>
      <c r="AC1959" s="6"/>
      <c r="AD1959" s="6"/>
      <c r="AE1959" s="6"/>
      <c r="AF1959" s="6"/>
      <c r="AG1959" s="6"/>
      <c r="AH1959" s="6"/>
      <c r="AI1959" s="6"/>
      <c r="AJ1959" s="6"/>
      <c r="AK1959" s="6"/>
      <c r="AL1959" s="6"/>
    </row>
    <row r="1960" spans="1:38">
      <c r="A1960" s="96"/>
      <c r="B1960" s="6"/>
      <c r="C1960" s="6"/>
      <c r="D1960" s="6"/>
      <c r="E1960" s="6"/>
      <c r="F1960" s="6"/>
      <c r="G1960" s="80"/>
      <c r="H1960" s="6"/>
      <c r="I1960" s="6"/>
      <c r="J1960" s="6"/>
      <c r="K1960" s="8"/>
      <c r="L1960" s="8"/>
      <c r="M1960" s="96"/>
      <c r="N1960" s="6"/>
      <c r="O1960" s="97"/>
      <c r="P1960" s="6"/>
      <c r="Q1960" s="6"/>
      <c r="R1960" s="6"/>
      <c r="S1960" s="6"/>
      <c r="T1960" s="6"/>
      <c r="U1960" s="6"/>
      <c r="V1960" s="6"/>
      <c r="W1960" s="6"/>
      <c r="X1960" s="6"/>
      <c r="Y1960" s="6"/>
      <c r="Z1960" s="6"/>
      <c r="AA1960" s="6"/>
      <c r="AB1960" s="6"/>
      <c r="AC1960" s="6"/>
      <c r="AD1960" s="6"/>
      <c r="AE1960" s="6"/>
      <c r="AF1960" s="6"/>
      <c r="AG1960" s="6"/>
      <c r="AH1960" s="6"/>
      <c r="AI1960" s="6"/>
      <c r="AJ1960" s="6"/>
      <c r="AK1960" s="6"/>
      <c r="AL1960" s="6"/>
    </row>
    <row r="1961" spans="1:38">
      <c r="A1961" s="96"/>
      <c r="B1961" s="6"/>
      <c r="C1961" s="6"/>
      <c r="D1961" s="6"/>
      <c r="E1961" s="6"/>
      <c r="F1961" s="6"/>
      <c r="G1961" s="80"/>
      <c r="H1961" s="6"/>
      <c r="I1961" s="6"/>
      <c r="J1961" s="6"/>
      <c r="K1961" s="8"/>
      <c r="L1961" s="8"/>
      <c r="M1961" s="96"/>
      <c r="N1961" s="6"/>
      <c r="O1961" s="97"/>
      <c r="P1961" s="6"/>
      <c r="Q1961" s="6"/>
      <c r="R1961" s="6"/>
      <c r="S1961" s="6"/>
      <c r="T1961" s="6"/>
      <c r="U1961" s="6"/>
      <c r="V1961" s="6"/>
      <c r="W1961" s="6"/>
      <c r="X1961" s="6"/>
      <c r="Y1961" s="6"/>
      <c r="Z1961" s="6"/>
      <c r="AA1961" s="6"/>
      <c r="AB1961" s="6"/>
      <c r="AC1961" s="6"/>
      <c r="AD1961" s="6"/>
      <c r="AE1961" s="6"/>
      <c r="AF1961" s="6"/>
      <c r="AG1961" s="6"/>
      <c r="AH1961" s="6"/>
      <c r="AI1961" s="6"/>
      <c r="AJ1961" s="6"/>
      <c r="AK1961" s="6"/>
      <c r="AL1961" s="6"/>
    </row>
    <row r="1962" spans="1:38">
      <c r="A1962" s="96"/>
      <c r="B1962" s="6"/>
      <c r="C1962" s="6"/>
      <c r="D1962" s="6"/>
      <c r="E1962" s="6"/>
      <c r="F1962" s="6"/>
      <c r="G1962" s="80"/>
      <c r="H1962" s="6"/>
      <c r="I1962" s="6"/>
      <c r="J1962" s="6"/>
      <c r="K1962" s="8"/>
      <c r="L1962" s="8"/>
      <c r="M1962" s="96"/>
      <c r="N1962" s="6"/>
      <c r="O1962" s="97"/>
      <c r="P1962" s="6"/>
      <c r="Q1962" s="6"/>
      <c r="R1962" s="6"/>
      <c r="S1962" s="6"/>
      <c r="T1962" s="6"/>
      <c r="U1962" s="6"/>
      <c r="V1962" s="6"/>
      <c r="W1962" s="6"/>
      <c r="X1962" s="6"/>
      <c r="Y1962" s="6"/>
      <c r="Z1962" s="6"/>
      <c r="AA1962" s="6"/>
      <c r="AB1962" s="6"/>
      <c r="AC1962" s="6"/>
      <c r="AD1962" s="6"/>
      <c r="AE1962" s="6"/>
      <c r="AF1962" s="6"/>
      <c r="AG1962" s="6"/>
      <c r="AH1962" s="6"/>
      <c r="AI1962" s="6"/>
      <c r="AJ1962" s="6"/>
      <c r="AK1962" s="6"/>
      <c r="AL1962" s="6"/>
    </row>
    <row r="1963" spans="1:38">
      <c r="A1963" s="96"/>
      <c r="B1963" s="6"/>
      <c r="C1963" s="6"/>
      <c r="D1963" s="6"/>
      <c r="E1963" s="6"/>
      <c r="F1963" s="6"/>
      <c r="G1963" s="80"/>
      <c r="H1963" s="6"/>
      <c r="I1963" s="6"/>
      <c r="J1963" s="6"/>
      <c r="K1963" s="8"/>
      <c r="L1963" s="8"/>
      <c r="M1963" s="96"/>
      <c r="N1963" s="6"/>
      <c r="O1963" s="97"/>
      <c r="P1963" s="6"/>
      <c r="Q1963" s="6"/>
      <c r="R1963" s="6"/>
      <c r="S1963" s="6"/>
      <c r="T1963" s="6"/>
      <c r="U1963" s="6"/>
      <c r="V1963" s="6"/>
      <c r="W1963" s="6"/>
      <c r="X1963" s="6"/>
      <c r="Y1963" s="6"/>
      <c r="Z1963" s="6"/>
      <c r="AA1963" s="6"/>
      <c r="AB1963" s="6"/>
      <c r="AC1963" s="6"/>
      <c r="AD1963" s="6"/>
      <c r="AE1963" s="6"/>
      <c r="AF1963" s="6"/>
      <c r="AG1963" s="6"/>
      <c r="AH1963" s="6"/>
      <c r="AI1963" s="6"/>
      <c r="AJ1963" s="6"/>
      <c r="AK1963" s="6"/>
      <c r="AL1963" s="6"/>
    </row>
    <row r="1964" spans="1:38">
      <c r="A1964" s="96"/>
      <c r="B1964" s="6"/>
      <c r="C1964" s="6"/>
      <c r="D1964" s="6"/>
      <c r="E1964" s="6"/>
      <c r="F1964" s="6"/>
      <c r="G1964" s="80"/>
      <c r="H1964" s="6"/>
      <c r="I1964" s="6"/>
      <c r="J1964" s="6"/>
      <c r="K1964" s="8"/>
      <c r="L1964" s="8"/>
      <c r="M1964" s="96"/>
      <c r="N1964" s="6"/>
      <c r="O1964" s="97"/>
      <c r="P1964" s="6"/>
      <c r="Q1964" s="6"/>
      <c r="R1964" s="6"/>
      <c r="S1964" s="6"/>
      <c r="T1964" s="6"/>
      <c r="U1964" s="6"/>
      <c r="V1964" s="6"/>
      <c r="W1964" s="6"/>
      <c r="X1964" s="6"/>
      <c r="Y1964" s="6"/>
      <c r="Z1964" s="6"/>
      <c r="AA1964" s="6"/>
      <c r="AB1964" s="6"/>
      <c r="AC1964" s="6"/>
      <c r="AD1964" s="6"/>
      <c r="AE1964" s="6"/>
      <c r="AF1964" s="6"/>
      <c r="AG1964" s="6"/>
      <c r="AH1964" s="6"/>
      <c r="AI1964" s="6"/>
      <c r="AJ1964" s="6"/>
      <c r="AK1964" s="6"/>
      <c r="AL1964" s="6"/>
    </row>
    <row r="1965" spans="1:38">
      <c r="A1965" s="96"/>
      <c r="B1965" s="6"/>
      <c r="C1965" s="6"/>
      <c r="D1965" s="6"/>
      <c r="E1965" s="6"/>
      <c r="F1965" s="6"/>
      <c r="G1965" s="80"/>
      <c r="H1965" s="6"/>
      <c r="I1965" s="6"/>
      <c r="J1965" s="6"/>
      <c r="K1965" s="8"/>
      <c r="L1965" s="8"/>
      <c r="M1965" s="96"/>
      <c r="N1965" s="6"/>
      <c r="O1965" s="97"/>
      <c r="P1965" s="6"/>
      <c r="Q1965" s="6"/>
      <c r="R1965" s="6"/>
      <c r="S1965" s="6"/>
      <c r="T1965" s="6"/>
      <c r="U1965" s="6"/>
      <c r="V1965" s="6"/>
      <c r="W1965" s="6"/>
      <c r="X1965" s="6"/>
      <c r="Y1965" s="6"/>
      <c r="Z1965" s="6"/>
      <c r="AA1965" s="6"/>
      <c r="AB1965" s="6"/>
      <c r="AC1965" s="6"/>
      <c r="AD1965" s="6"/>
      <c r="AE1965" s="6"/>
      <c r="AF1965" s="6"/>
      <c r="AG1965" s="6"/>
      <c r="AH1965" s="6"/>
      <c r="AI1965" s="6"/>
      <c r="AJ1965" s="6"/>
      <c r="AK1965" s="6"/>
      <c r="AL1965" s="6"/>
    </row>
    <row r="1966" spans="1:38">
      <c r="A1966" s="96"/>
      <c r="B1966" s="6"/>
      <c r="C1966" s="6"/>
      <c r="D1966" s="6"/>
      <c r="E1966" s="6"/>
      <c r="F1966" s="6"/>
      <c r="G1966" s="80"/>
      <c r="H1966" s="6"/>
      <c r="I1966" s="6"/>
      <c r="J1966" s="6"/>
      <c r="K1966" s="8"/>
      <c r="L1966" s="8"/>
      <c r="M1966" s="96"/>
      <c r="N1966" s="6"/>
      <c r="O1966" s="97"/>
      <c r="P1966" s="6"/>
      <c r="Q1966" s="6"/>
      <c r="R1966" s="6"/>
      <c r="S1966" s="6"/>
      <c r="T1966" s="6"/>
      <c r="U1966" s="6"/>
      <c r="V1966" s="6"/>
      <c r="W1966" s="6"/>
      <c r="X1966" s="6"/>
      <c r="Y1966" s="6"/>
      <c r="Z1966" s="6"/>
      <c r="AA1966" s="6"/>
      <c r="AB1966" s="6"/>
      <c r="AC1966" s="6"/>
      <c r="AD1966" s="6"/>
      <c r="AE1966" s="6"/>
      <c r="AF1966" s="6"/>
      <c r="AG1966" s="6"/>
      <c r="AH1966" s="6"/>
      <c r="AI1966" s="6"/>
      <c r="AJ1966" s="6"/>
      <c r="AK1966" s="6"/>
      <c r="AL1966" s="6"/>
    </row>
    <row r="1967" spans="1:38">
      <c r="A1967" s="96"/>
      <c r="B1967" s="6"/>
      <c r="C1967" s="6"/>
      <c r="D1967" s="6"/>
      <c r="E1967" s="6"/>
      <c r="F1967" s="6"/>
      <c r="G1967" s="80"/>
      <c r="H1967" s="6"/>
      <c r="I1967" s="6"/>
      <c r="J1967" s="6"/>
      <c r="K1967" s="8"/>
      <c r="L1967" s="8"/>
      <c r="M1967" s="96"/>
      <c r="N1967" s="6"/>
      <c r="O1967" s="97"/>
      <c r="P1967" s="6"/>
      <c r="Q1967" s="6"/>
      <c r="R1967" s="6"/>
      <c r="S1967" s="6"/>
      <c r="T1967" s="6"/>
      <c r="U1967" s="6"/>
      <c r="V1967" s="6"/>
      <c r="W1967" s="6"/>
      <c r="X1967" s="6"/>
      <c r="Y1967" s="6"/>
      <c r="Z1967" s="6"/>
      <c r="AA1967" s="6"/>
      <c r="AB1967" s="6"/>
      <c r="AC1967" s="6"/>
      <c r="AD1967" s="6"/>
      <c r="AE1967" s="6"/>
      <c r="AF1967" s="6"/>
      <c r="AG1967" s="6"/>
      <c r="AH1967" s="6"/>
      <c r="AI1967" s="6"/>
      <c r="AJ1967" s="6"/>
      <c r="AK1967" s="6"/>
      <c r="AL1967" s="6"/>
    </row>
    <row r="1968" spans="1:38">
      <c r="A1968" s="96"/>
      <c r="B1968" s="6"/>
      <c r="C1968" s="6"/>
      <c r="D1968" s="6"/>
      <c r="E1968" s="6"/>
      <c r="F1968" s="6"/>
      <c r="G1968" s="80"/>
      <c r="H1968" s="6"/>
      <c r="I1968" s="6"/>
      <c r="J1968" s="6"/>
      <c r="K1968" s="8"/>
      <c r="L1968" s="8"/>
      <c r="M1968" s="96"/>
      <c r="N1968" s="6"/>
      <c r="O1968" s="97"/>
      <c r="P1968" s="6"/>
      <c r="Q1968" s="6"/>
      <c r="R1968" s="6"/>
      <c r="S1968" s="6"/>
      <c r="T1968" s="6"/>
      <c r="U1968" s="6"/>
      <c r="V1968" s="6"/>
      <c r="W1968" s="6"/>
      <c r="X1968" s="6"/>
      <c r="Y1968" s="6"/>
      <c r="Z1968" s="6"/>
      <c r="AA1968" s="6"/>
      <c r="AB1968" s="6"/>
      <c r="AC1968" s="6"/>
      <c r="AD1968" s="6"/>
      <c r="AE1968" s="6"/>
      <c r="AF1968" s="6"/>
      <c r="AG1968" s="6"/>
      <c r="AH1968" s="6"/>
      <c r="AI1968" s="6"/>
      <c r="AJ1968" s="6"/>
      <c r="AK1968" s="6"/>
      <c r="AL1968" s="6"/>
    </row>
    <row r="1969" spans="1:38">
      <c r="A1969" s="96"/>
      <c r="B1969" s="6"/>
      <c r="C1969" s="6"/>
      <c r="D1969" s="6"/>
      <c r="E1969" s="6"/>
      <c r="F1969" s="6"/>
      <c r="G1969" s="80"/>
      <c r="H1969" s="6"/>
      <c r="I1969" s="6"/>
      <c r="J1969" s="6"/>
      <c r="K1969" s="8"/>
      <c r="L1969" s="8"/>
      <c r="M1969" s="96"/>
      <c r="N1969" s="6"/>
      <c r="O1969" s="97"/>
      <c r="P1969" s="6"/>
      <c r="Q1969" s="6"/>
      <c r="R1969" s="6"/>
      <c r="S1969" s="6"/>
      <c r="T1969" s="6"/>
      <c r="U1969" s="6"/>
      <c r="V1969" s="6"/>
      <c r="W1969" s="6"/>
      <c r="X1969" s="6"/>
      <c r="Y1969" s="6"/>
      <c r="Z1969" s="6"/>
      <c r="AA1969" s="6"/>
      <c r="AB1969" s="6"/>
      <c r="AC1969" s="6"/>
      <c r="AD1969" s="6"/>
      <c r="AE1969" s="6"/>
      <c r="AF1969" s="6"/>
      <c r="AG1969" s="6"/>
      <c r="AH1969" s="6"/>
      <c r="AI1969" s="6"/>
      <c r="AJ1969" s="6"/>
      <c r="AK1969" s="6"/>
      <c r="AL1969" s="6"/>
    </row>
    <row r="1970" spans="1:38">
      <c r="A1970" s="96"/>
      <c r="B1970" s="6"/>
      <c r="C1970" s="6"/>
      <c r="D1970" s="6"/>
      <c r="E1970" s="6"/>
      <c r="F1970" s="6"/>
      <c r="G1970" s="80"/>
      <c r="H1970" s="6"/>
      <c r="I1970" s="6"/>
      <c r="J1970" s="6"/>
      <c r="K1970" s="8"/>
      <c r="L1970" s="8"/>
      <c r="M1970" s="96"/>
      <c r="N1970" s="6"/>
      <c r="O1970" s="97"/>
      <c r="P1970" s="6"/>
      <c r="Q1970" s="6"/>
      <c r="R1970" s="6"/>
      <c r="S1970" s="6"/>
      <c r="T1970" s="6"/>
      <c r="U1970" s="6"/>
      <c r="V1970" s="6"/>
      <c r="W1970" s="6"/>
      <c r="X1970" s="6"/>
      <c r="Y1970" s="6"/>
      <c r="Z1970" s="6"/>
      <c r="AA1970" s="6"/>
      <c r="AB1970" s="6"/>
      <c r="AC1970" s="6"/>
      <c r="AD1970" s="6"/>
      <c r="AE1970" s="6"/>
      <c r="AF1970" s="6"/>
      <c r="AG1970" s="6"/>
      <c r="AH1970" s="6"/>
      <c r="AI1970" s="6"/>
      <c r="AJ1970" s="6"/>
      <c r="AK1970" s="6"/>
      <c r="AL1970" s="6"/>
    </row>
    <row r="1971" spans="1:38">
      <c r="A1971" s="96"/>
      <c r="B1971" s="6"/>
      <c r="C1971" s="6"/>
      <c r="D1971" s="6"/>
      <c r="E1971" s="6"/>
      <c r="F1971" s="6"/>
      <c r="G1971" s="80"/>
      <c r="H1971" s="6"/>
      <c r="I1971" s="6"/>
      <c r="J1971" s="6"/>
      <c r="K1971" s="8"/>
      <c r="L1971" s="8"/>
      <c r="M1971" s="96"/>
      <c r="N1971" s="6"/>
      <c r="O1971" s="97"/>
      <c r="P1971" s="6"/>
      <c r="Q1971" s="6"/>
      <c r="R1971" s="6"/>
      <c r="S1971" s="6"/>
      <c r="T1971" s="6"/>
      <c r="U1971" s="6"/>
      <c r="V1971" s="6"/>
      <c r="W1971" s="6"/>
      <c r="X1971" s="6"/>
      <c r="Y1971" s="6"/>
      <c r="Z1971" s="6"/>
      <c r="AA1971" s="6"/>
      <c r="AB1971" s="6"/>
      <c r="AC1971" s="6"/>
      <c r="AD1971" s="6"/>
      <c r="AE1971" s="6"/>
      <c r="AF1971" s="6"/>
      <c r="AG1971" s="6"/>
      <c r="AH1971" s="6"/>
      <c r="AI1971" s="6"/>
      <c r="AJ1971" s="6"/>
      <c r="AK1971" s="6"/>
      <c r="AL1971" s="6"/>
    </row>
    <row r="1972" spans="1:38">
      <c r="A1972" s="96"/>
      <c r="B1972" s="6"/>
      <c r="C1972" s="6"/>
      <c r="D1972" s="6"/>
      <c r="E1972" s="6"/>
      <c r="F1972" s="6"/>
      <c r="G1972" s="80"/>
      <c r="H1972" s="6"/>
      <c r="I1972" s="6"/>
      <c r="J1972" s="6"/>
      <c r="K1972" s="8"/>
      <c r="L1972" s="8"/>
      <c r="M1972" s="96"/>
      <c r="N1972" s="6"/>
      <c r="O1972" s="97"/>
      <c r="P1972" s="6"/>
      <c r="Q1972" s="6"/>
      <c r="R1972" s="6"/>
      <c r="S1972" s="6"/>
      <c r="T1972" s="6"/>
      <c r="U1972" s="6"/>
      <c r="V1972" s="6"/>
      <c r="W1972" s="6"/>
      <c r="X1972" s="6"/>
      <c r="Y1972" s="6"/>
      <c r="Z1972" s="6"/>
      <c r="AA1972" s="6"/>
      <c r="AB1972" s="6"/>
      <c r="AC1972" s="6"/>
      <c r="AD1972" s="6"/>
      <c r="AE1972" s="6"/>
      <c r="AF1972" s="6"/>
      <c r="AG1972" s="6"/>
      <c r="AH1972" s="6"/>
      <c r="AI1972" s="6"/>
      <c r="AJ1972" s="6"/>
      <c r="AK1972" s="6"/>
      <c r="AL1972" s="6"/>
    </row>
    <row r="1973" spans="1:38">
      <c r="A1973" s="96"/>
      <c r="B1973" s="6"/>
      <c r="C1973" s="6"/>
      <c r="D1973" s="6"/>
      <c r="E1973" s="6"/>
      <c r="F1973" s="6"/>
      <c r="G1973" s="80"/>
      <c r="H1973" s="6"/>
      <c r="I1973" s="6"/>
      <c r="J1973" s="6"/>
      <c r="K1973" s="8"/>
      <c r="L1973" s="8"/>
      <c r="M1973" s="96"/>
      <c r="N1973" s="6"/>
      <c r="O1973" s="97"/>
      <c r="P1973" s="6"/>
      <c r="Q1973" s="6"/>
      <c r="R1973" s="6"/>
      <c r="S1973" s="6"/>
      <c r="T1973" s="6"/>
      <c r="U1973" s="6"/>
      <c r="V1973" s="6"/>
      <c r="W1973" s="6"/>
      <c r="X1973" s="6"/>
      <c r="Y1973" s="6"/>
      <c r="Z1973" s="6"/>
      <c r="AA1973" s="6"/>
      <c r="AB1973" s="6"/>
      <c r="AC1973" s="6"/>
      <c r="AD1973" s="6"/>
      <c r="AE1973" s="6"/>
      <c r="AF1973" s="6"/>
      <c r="AG1973" s="6"/>
      <c r="AH1973" s="6"/>
      <c r="AI1973" s="6"/>
      <c r="AJ1973" s="6"/>
      <c r="AK1973" s="6"/>
      <c r="AL1973" s="6"/>
    </row>
    <row r="1974" spans="1:38">
      <c r="A1974" s="96"/>
      <c r="B1974" s="6"/>
      <c r="C1974" s="6"/>
      <c r="D1974" s="6"/>
      <c r="E1974" s="6"/>
      <c r="F1974" s="6"/>
      <c r="G1974" s="80"/>
      <c r="H1974" s="6"/>
      <c r="I1974" s="6"/>
      <c r="J1974" s="6"/>
      <c r="K1974" s="8"/>
      <c r="L1974" s="8"/>
      <c r="M1974" s="96"/>
      <c r="N1974" s="6"/>
      <c r="O1974" s="97"/>
      <c r="P1974" s="6"/>
      <c r="Q1974" s="6"/>
      <c r="R1974" s="6"/>
      <c r="S1974" s="6"/>
      <c r="T1974" s="6"/>
      <c r="U1974" s="6"/>
      <c r="V1974" s="6"/>
      <c r="W1974" s="6"/>
      <c r="X1974" s="6"/>
      <c r="Y1974" s="6"/>
      <c r="Z1974" s="6"/>
      <c r="AA1974" s="6"/>
      <c r="AB1974" s="6"/>
      <c r="AC1974" s="6"/>
      <c r="AD1974" s="6"/>
      <c r="AE1974" s="6"/>
      <c r="AF1974" s="6"/>
      <c r="AG1974" s="6"/>
      <c r="AH1974" s="6"/>
      <c r="AI1974" s="6"/>
      <c r="AJ1974" s="6"/>
      <c r="AK1974" s="6"/>
      <c r="AL1974" s="6"/>
    </row>
    <row r="1975" spans="1:38">
      <c r="A1975" s="96"/>
      <c r="B1975" s="6"/>
      <c r="C1975" s="6"/>
      <c r="D1975" s="6"/>
      <c r="E1975" s="6"/>
      <c r="F1975" s="6"/>
      <c r="G1975" s="80"/>
      <c r="H1975" s="6"/>
      <c r="I1975" s="6"/>
      <c r="J1975" s="6"/>
      <c r="K1975" s="8"/>
      <c r="L1975" s="8"/>
      <c r="M1975" s="96"/>
      <c r="N1975" s="6"/>
      <c r="O1975" s="97"/>
      <c r="P1975" s="6"/>
      <c r="Q1975" s="6"/>
      <c r="R1975" s="6"/>
      <c r="S1975" s="6"/>
      <c r="T1975" s="6"/>
      <c r="U1975" s="6"/>
      <c r="V1975" s="6"/>
      <c r="W1975" s="6"/>
      <c r="X1975" s="6"/>
      <c r="Y1975" s="6"/>
      <c r="Z1975" s="6"/>
      <c r="AA1975" s="6"/>
      <c r="AB1975" s="6"/>
      <c r="AC1975" s="6"/>
      <c r="AD1975" s="6"/>
      <c r="AE1975" s="6"/>
      <c r="AF1975" s="6"/>
      <c r="AG1975" s="6"/>
      <c r="AH1975" s="6"/>
      <c r="AI1975" s="6"/>
      <c r="AJ1975" s="6"/>
      <c r="AK1975" s="6"/>
      <c r="AL1975" s="6"/>
    </row>
    <row r="1976" spans="1:38">
      <c r="A1976" s="96"/>
      <c r="B1976" s="6"/>
      <c r="C1976" s="6"/>
      <c r="D1976" s="6"/>
      <c r="E1976" s="6"/>
      <c r="F1976" s="6"/>
      <c r="G1976" s="80"/>
      <c r="H1976" s="6"/>
      <c r="I1976" s="6"/>
      <c r="J1976" s="6"/>
      <c r="K1976" s="8"/>
      <c r="L1976" s="8"/>
      <c r="M1976" s="96"/>
      <c r="N1976" s="6"/>
      <c r="O1976" s="97"/>
      <c r="P1976" s="6"/>
      <c r="Q1976" s="6"/>
      <c r="R1976" s="6"/>
      <c r="S1976" s="6"/>
      <c r="T1976" s="6"/>
      <c r="U1976" s="6"/>
      <c r="V1976" s="6"/>
      <c r="W1976" s="6"/>
      <c r="X1976" s="6"/>
      <c r="Y1976" s="6"/>
      <c r="Z1976" s="6"/>
      <c r="AA1976" s="6"/>
      <c r="AB1976" s="6"/>
      <c r="AC1976" s="6"/>
      <c r="AD1976" s="6"/>
      <c r="AE1976" s="6"/>
      <c r="AF1976" s="6"/>
      <c r="AG1976" s="6"/>
      <c r="AH1976" s="6"/>
      <c r="AI1976" s="6"/>
      <c r="AJ1976" s="6"/>
      <c r="AK1976" s="6"/>
      <c r="AL1976" s="6"/>
    </row>
    <row r="1977" spans="1:38">
      <c r="A1977" s="96"/>
      <c r="B1977" s="6"/>
      <c r="C1977" s="6"/>
      <c r="D1977" s="6"/>
      <c r="E1977" s="6"/>
      <c r="F1977" s="6"/>
      <c r="G1977" s="80"/>
      <c r="H1977" s="6"/>
      <c r="I1977" s="6"/>
      <c r="J1977" s="6"/>
      <c r="K1977" s="8"/>
      <c r="L1977" s="8"/>
      <c r="M1977" s="96"/>
      <c r="N1977" s="6"/>
      <c r="O1977" s="97"/>
      <c r="P1977" s="6"/>
      <c r="Q1977" s="6"/>
      <c r="R1977" s="6"/>
      <c r="S1977" s="6"/>
      <c r="T1977" s="6"/>
      <c r="U1977" s="6"/>
      <c r="V1977" s="6"/>
      <c r="W1977" s="6"/>
      <c r="X1977" s="6"/>
      <c r="Y1977" s="6"/>
      <c r="Z1977" s="6"/>
      <c r="AA1977" s="6"/>
      <c r="AB1977" s="6"/>
      <c r="AC1977" s="6"/>
      <c r="AD1977" s="6"/>
      <c r="AE1977" s="6"/>
      <c r="AF1977" s="6"/>
      <c r="AG1977" s="6"/>
      <c r="AH1977" s="6"/>
      <c r="AI1977" s="6"/>
      <c r="AJ1977" s="6"/>
      <c r="AK1977" s="6"/>
      <c r="AL1977" s="6"/>
    </row>
    <row r="1978" spans="1:38">
      <c r="A1978" s="96"/>
      <c r="B1978" s="6"/>
      <c r="C1978" s="6"/>
      <c r="D1978" s="6"/>
      <c r="E1978" s="6"/>
      <c r="F1978" s="6"/>
      <c r="G1978" s="80"/>
      <c r="H1978" s="6"/>
      <c r="I1978" s="6"/>
      <c r="J1978" s="6"/>
      <c r="K1978" s="8"/>
      <c r="L1978" s="8"/>
      <c r="M1978" s="96"/>
      <c r="N1978" s="6"/>
      <c r="O1978" s="97"/>
      <c r="P1978" s="6"/>
      <c r="Q1978" s="6"/>
      <c r="R1978" s="6"/>
      <c r="S1978" s="6"/>
      <c r="T1978" s="6"/>
      <c r="U1978" s="6"/>
      <c r="V1978" s="6"/>
      <c r="W1978" s="6"/>
      <c r="X1978" s="6"/>
      <c r="Y1978" s="6"/>
      <c r="Z1978" s="6"/>
      <c r="AA1978" s="6"/>
      <c r="AB1978" s="6"/>
      <c r="AC1978" s="6"/>
      <c r="AD1978" s="6"/>
      <c r="AE1978" s="6"/>
      <c r="AF1978" s="6"/>
      <c r="AG1978" s="6"/>
      <c r="AH1978" s="6"/>
      <c r="AI1978" s="6"/>
      <c r="AJ1978" s="6"/>
      <c r="AK1978" s="6"/>
      <c r="AL1978" s="6"/>
    </row>
    <row r="1979" spans="1:38">
      <c r="A1979" s="96"/>
      <c r="B1979" s="6"/>
      <c r="C1979" s="6"/>
      <c r="D1979" s="6"/>
      <c r="E1979" s="6"/>
      <c r="F1979" s="6"/>
      <c r="G1979" s="80"/>
      <c r="H1979" s="6"/>
      <c r="I1979" s="6"/>
      <c r="J1979" s="6"/>
      <c r="K1979" s="8"/>
      <c r="L1979" s="8"/>
      <c r="M1979" s="96"/>
      <c r="N1979" s="6"/>
      <c r="O1979" s="97"/>
      <c r="P1979" s="6"/>
      <c r="Q1979" s="6"/>
      <c r="R1979" s="6"/>
      <c r="S1979" s="6"/>
      <c r="T1979" s="6"/>
      <c r="U1979" s="6"/>
      <c r="V1979" s="6"/>
      <c r="W1979" s="6"/>
      <c r="X1979" s="6"/>
      <c r="Y1979" s="6"/>
      <c r="Z1979" s="6"/>
      <c r="AA1979" s="6"/>
      <c r="AB1979" s="6"/>
      <c r="AC1979" s="6"/>
      <c r="AD1979" s="6"/>
      <c r="AE1979" s="6"/>
      <c r="AF1979" s="6"/>
      <c r="AG1979" s="6"/>
      <c r="AH1979" s="6"/>
      <c r="AI1979" s="6"/>
      <c r="AJ1979" s="6"/>
      <c r="AK1979" s="6"/>
      <c r="AL1979" s="6"/>
    </row>
    <row r="1980" spans="1:38">
      <c r="A1980" s="96"/>
      <c r="B1980" s="6"/>
      <c r="C1980" s="6"/>
      <c r="D1980" s="6"/>
      <c r="E1980" s="6"/>
      <c r="F1980" s="6"/>
      <c r="G1980" s="80"/>
      <c r="H1980" s="6"/>
      <c r="I1980" s="6"/>
      <c r="J1980" s="6"/>
      <c r="K1980" s="8"/>
      <c r="L1980" s="8"/>
      <c r="M1980" s="96"/>
      <c r="N1980" s="6"/>
      <c r="O1980" s="97"/>
      <c r="P1980" s="6"/>
      <c r="Q1980" s="6"/>
      <c r="R1980" s="6"/>
      <c r="S1980" s="6"/>
      <c r="T1980" s="6"/>
      <c r="U1980" s="6"/>
      <c r="V1980" s="6"/>
      <c r="W1980" s="6"/>
      <c r="X1980" s="6"/>
      <c r="Y1980" s="6"/>
      <c r="Z1980" s="6"/>
      <c r="AA1980" s="6"/>
      <c r="AB1980" s="6"/>
      <c r="AC1980" s="6"/>
      <c r="AD1980" s="6"/>
      <c r="AE1980" s="6"/>
      <c r="AF1980" s="6"/>
      <c r="AG1980" s="6"/>
      <c r="AH1980" s="6"/>
      <c r="AI1980" s="6"/>
      <c r="AJ1980" s="6"/>
      <c r="AK1980" s="6"/>
      <c r="AL1980" s="6"/>
    </row>
    <row r="1981" spans="1:38">
      <c r="A1981" s="96"/>
      <c r="B1981" s="6"/>
      <c r="C1981" s="6"/>
      <c r="D1981" s="6"/>
      <c r="E1981" s="6"/>
      <c r="F1981" s="6"/>
      <c r="G1981" s="80"/>
      <c r="H1981" s="6"/>
      <c r="I1981" s="6"/>
      <c r="J1981" s="6"/>
      <c r="K1981" s="8"/>
      <c r="L1981" s="8"/>
      <c r="M1981" s="96"/>
      <c r="N1981" s="6"/>
      <c r="O1981" s="97"/>
      <c r="P1981" s="6"/>
      <c r="Q1981" s="6"/>
      <c r="R1981" s="6"/>
      <c r="S1981" s="6"/>
      <c r="T1981" s="6"/>
      <c r="U1981" s="6"/>
      <c r="V1981" s="6"/>
      <c r="W1981" s="6"/>
      <c r="X1981" s="6"/>
      <c r="Y1981" s="6"/>
      <c r="Z1981" s="6"/>
      <c r="AA1981" s="6"/>
      <c r="AB1981" s="6"/>
      <c r="AC1981" s="6"/>
      <c r="AD1981" s="6"/>
      <c r="AE1981" s="6"/>
      <c r="AF1981" s="6"/>
      <c r="AG1981" s="6"/>
      <c r="AH1981" s="6"/>
      <c r="AI1981" s="6"/>
      <c r="AJ1981" s="6"/>
      <c r="AK1981" s="6"/>
      <c r="AL1981" s="6"/>
    </row>
    <row r="1982" spans="1:38">
      <c r="A1982" s="96"/>
      <c r="B1982" s="6"/>
      <c r="C1982" s="6"/>
      <c r="D1982" s="6"/>
      <c r="E1982" s="6"/>
      <c r="F1982" s="6"/>
      <c r="G1982" s="80"/>
      <c r="H1982" s="6"/>
      <c r="I1982" s="6"/>
      <c r="J1982" s="6"/>
      <c r="K1982" s="8"/>
      <c r="L1982" s="8"/>
      <c r="M1982" s="96"/>
      <c r="N1982" s="6"/>
      <c r="O1982" s="97"/>
      <c r="P1982" s="6"/>
      <c r="Q1982" s="6"/>
      <c r="R1982" s="6"/>
      <c r="S1982" s="6"/>
      <c r="T1982" s="6"/>
      <c r="U1982" s="6"/>
      <c r="V1982" s="6"/>
      <c r="W1982" s="6"/>
      <c r="X1982" s="6"/>
      <c r="Y1982" s="6"/>
      <c r="Z1982" s="6"/>
      <c r="AA1982" s="6"/>
      <c r="AB1982" s="6"/>
      <c r="AC1982" s="6"/>
      <c r="AD1982" s="6"/>
      <c r="AE1982" s="6"/>
      <c r="AF1982" s="6"/>
      <c r="AG1982" s="6"/>
      <c r="AH1982" s="6"/>
      <c r="AI1982" s="6"/>
      <c r="AJ1982" s="6"/>
      <c r="AK1982" s="6"/>
      <c r="AL1982" s="6"/>
    </row>
    <row r="1983" spans="1:38">
      <c r="A1983" s="96"/>
      <c r="B1983" s="6"/>
      <c r="C1983" s="6"/>
      <c r="D1983" s="6"/>
      <c r="E1983" s="6"/>
      <c r="F1983" s="6"/>
      <c r="G1983" s="80"/>
      <c r="H1983" s="6"/>
      <c r="I1983" s="6"/>
      <c r="J1983" s="6"/>
      <c r="K1983" s="8"/>
      <c r="L1983" s="8"/>
      <c r="M1983" s="96"/>
      <c r="N1983" s="6"/>
      <c r="O1983" s="97"/>
      <c r="P1983" s="6"/>
      <c r="Q1983" s="6"/>
      <c r="R1983" s="6"/>
      <c r="S1983" s="6"/>
      <c r="T1983" s="6"/>
      <c r="U1983" s="6"/>
      <c r="V1983" s="6"/>
      <c r="W1983" s="6"/>
      <c r="X1983" s="6"/>
      <c r="Y1983" s="6"/>
      <c r="Z1983" s="6"/>
      <c r="AA1983" s="6"/>
      <c r="AB1983" s="6"/>
      <c r="AC1983" s="6"/>
      <c r="AD1983" s="6"/>
      <c r="AE1983" s="6"/>
      <c r="AF1983" s="6"/>
      <c r="AG1983" s="6"/>
      <c r="AH1983" s="6"/>
      <c r="AI1983" s="6"/>
      <c r="AJ1983" s="6"/>
      <c r="AK1983" s="6"/>
      <c r="AL1983" s="6"/>
    </row>
    <row r="1984" spans="1:38">
      <c r="A1984" s="96"/>
      <c r="B1984" s="6"/>
      <c r="C1984" s="6"/>
      <c r="D1984" s="6"/>
      <c r="E1984" s="6"/>
      <c r="F1984" s="6"/>
      <c r="G1984" s="80"/>
      <c r="H1984" s="6"/>
      <c r="I1984" s="6"/>
      <c r="J1984" s="6"/>
      <c r="K1984" s="8"/>
      <c r="L1984" s="8"/>
      <c r="M1984" s="96"/>
      <c r="N1984" s="6"/>
      <c r="O1984" s="97"/>
      <c r="P1984" s="6"/>
      <c r="Q1984" s="6"/>
      <c r="R1984" s="6"/>
      <c r="S1984" s="6"/>
      <c r="T1984" s="6"/>
      <c r="U1984" s="6"/>
      <c r="V1984" s="6"/>
      <c r="W1984" s="6"/>
      <c r="X1984" s="6"/>
      <c r="Y1984" s="6"/>
      <c r="Z1984" s="6"/>
      <c r="AA1984" s="6"/>
      <c r="AB1984" s="6"/>
      <c r="AC1984" s="6"/>
      <c r="AD1984" s="6"/>
      <c r="AE1984" s="6"/>
      <c r="AF1984" s="6"/>
      <c r="AG1984" s="6"/>
      <c r="AH1984" s="6"/>
      <c r="AI1984" s="6"/>
      <c r="AJ1984" s="6"/>
      <c r="AK1984" s="6"/>
      <c r="AL1984" s="6"/>
    </row>
    <row r="1985" spans="1:38">
      <c r="A1985" s="96"/>
      <c r="B1985" s="6"/>
      <c r="C1985" s="6"/>
      <c r="D1985" s="6"/>
      <c r="E1985" s="6"/>
      <c r="F1985" s="6"/>
      <c r="G1985" s="80"/>
      <c r="H1985" s="6"/>
      <c r="I1985" s="6"/>
      <c r="J1985" s="6"/>
      <c r="K1985" s="8"/>
      <c r="L1985" s="8"/>
      <c r="M1985" s="96"/>
      <c r="N1985" s="6"/>
      <c r="O1985" s="97"/>
      <c r="P1985" s="6"/>
      <c r="Q1985" s="6"/>
      <c r="R1985" s="6"/>
      <c r="S1985" s="6"/>
      <c r="T1985" s="6"/>
      <c r="U1985" s="6"/>
      <c r="V1985" s="6"/>
      <c r="W1985" s="6"/>
      <c r="X1985" s="6"/>
      <c r="Y1985" s="6"/>
      <c r="Z1985" s="6"/>
      <c r="AA1985" s="6"/>
      <c r="AB1985" s="6"/>
      <c r="AC1985" s="6"/>
      <c r="AD1985" s="6"/>
      <c r="AE1985" s="6"/>
      <c r="AF1985" s="6"/>
      <c r="AG1985" s="6"/>
      <c r="AH1985" s="6"/>
      <c r="AI1985" s="6"/>
      <c r="AJ1985" s="6"/>
      <c r="AK1985" s="6"/>
      <c r="AL1985" s="6"/>
    </row>
    <row r="1986" spans="1:38">
      <c r="A1986" s="96"/>
      <c r="B1986" s="6"/>
      <c r="C1986" s="6"/>
      <c r="D1986" s="6"/>
      <c r="E1986" s="6"/>
      <c r="F1986" s="6"/>
      <c r="G1986" s="80"/>
      <c r="H1986" s="6"/>
      <c r="I1986" s="6"/>
      <c r="J1986" s="6"/>
      <c r="K1986" s="8"/>
      <c r="L1986" s="8"/>
      <c r="M1986" s="96"/>
      <c r="N1986" s="6"/>
      <c r="O1986" s="97"/>
      <c r="P1986" s="6"/>
      <c r="Q1986" s="6"/>
      <c r="R1986" s="6"/>
      <c r="S1986" s="6"/>
      <c r="T1986" s="6"/>
      <c r="U1986" s="6"/>
      <c r="V1986" s="6"/>
      <c r="W1986" s="6"/>
      <c r="X1986" s="6"/>
      <c r="Y1986" s="6"/>
      <c r="Z1986" s="6"/>
      <c r="AA1986" s="6"/>
      <c r="AB1986" s="6"/>
      <c r="AC1986" s="6"/>
      <c r="AD1986" s="6"/>
      <c r="AE1986" s="6"/>
      <c r="AF1986" s="6"/>
      <c r="AG1986" s="6"/>
      <c r="AH1986" s="6"/>
      <c r="AI1986" s="6"/>
      <c r="AJ1986" s="6"/>
      <c r="AK1986" s="6"/>
      <c r="AL1986" s="6"/>
    </row>
    <row r="1987" spans="1:38">
      <c r="A1987" s="96"/>
      <c r="B1987" s="6"/>
      <c r="C1987" s="6"/>
      <c r="D1987" s="6"/>
      <c r="E1987" s="6"/>
      <c r="F1987" s="6"/>
      <c r="G1987" s="80"/>
      <c r="H1987" s="6"/>
      <c r="I1987" s="6"/>
      <c r="J1987" s="6"/>
      <c r="K1987" s="8"/>
      <c r="L1987" s="8"/>
      <c r="M1987" s="96"/>
      <c r="N1987" s="6"/>
      <c r="O1987" s="97"/>
      <c r="P1987" s="6"/>
      <c r="Q1987" s="6"/>
      <c r="R1987" s="6"/>
      <c r="S1987" s="6"/>
      <c r="T1987" s="6"/>
      <c r="U1987" s="6"/>
      <c r="V1987" s="6"/>
      <c r="W1987" s="6"/>
      <c r="X1987" s="6"/>
      <c r="Y1987" s="6"/>
      <c r="Z1987" s="6"/>
      <c r="AA1987" s="6"/>
      <c r="AB1987" s="6"/>
      <c r="AC1987" s="6"/>
      <c r="AD1987" s="6"/>
      <c r="AE1987" s="6"/>
      <c r="AF1987" s="6"/>
      <c r="AG1987" s="6"/>
      <c r="AH1987" s="6"/>
      <c r="AI1987" s="6"/>
      <c r="AJ1987" s="6"/>
      <c r="AK1987" s="6"/>
      <c r="AL1987" s="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25"/>
  <sheetViews>
    <sheetView workbookViewId="0"/>
  </sheetViews>
  <sheetFormatPr defaultRowHeight="13.8"/>
  <sheetData>
    <row r="1" spans="1:11" ht="31.2">
      <c r="B1" s="142" t="s">
        <v>4004</v>
      </c>
      <c r="K1" s="6" t="s">
        <v>4005</v>
      </c>
    </row>
    <row r="3" spans="1:11">
      <c r="A3" s="1">
        <v>1</v>
      </c>
      <c r="B3" s="94" t="s">
        <v>4006</v>
      </c>
    </row>
    <row r="4" spans="1:11">
      <c r="B4" s="6" t="s">
        <v>4007</v>
      </c>
    </row>
    <row r="6" spans="1:11">
      <c r="B6" s="6" t="s">
        <v>4008</v>
      </c>
    </row>
    <row r="7" spans="1:11">
      <c r="B7" s="6" t="s">
        <v>4009</v>
      </c>
    </row>
    <row r="8" spans="1:11">
      <c r="B8" s="6" t="s">
        <v>4010</v>
      </c>
    </row>
    <row r="9" spans="1:11">
      <c r="B9" s="6" t="s">
        <v>4011</v>
      </c>
    </row>
    <row r="10" spans="1:11">
      <c r="B10" s="6" t="s">
        <v>4012</v>
      </c>
    </row>
    <row r="11" spans="1:11">
      <c r="B11" s="6" t="s">
        <v>4013</v>
      </c>
    </row>
    <row r="12" spans="1:11">
      <c r="B12" s="6" t="s">
        <v>4014</v>
      </c>
    </row>
    <row r="14" spans="1:11">
      <c r="A14" s="1">
        <v>2</v>
      </c>
      <c r="B14" s="94" t="s">
        <v>4015</v>
      </c>
    </row>
    <row r="15" spans="1:11">
      <c r="B15" s="6" t="s">
        <v>4016</v>
      </c>
    </row>
    <row r="16" spans="1:11">
      <c r="B16" s="143" t="s">
        <v>4017</v>
      </c>
    </row>
    <row r="17" spans="1:4">
      <c r="B17" s="143" t="s">
        <v>4018</v>
      </c>
    </row>
    <row r="19" spans="1:4">
      <c r="A19" s="144"/>
      <c r="B19" s="94" t="s">
        <v>4019</v>
      </c>
    </row>
    <row r="20" spans="1:4">
      <c r="B20" s="6" t="s">
        <v>4020</v>
      </c>
    </row>
    <row r="21" spans="1:4">
      <c r="B21" s="6" t="s">
        <v>4021</v>
      </c>
    </row>
    <row r="22" spans="1:4">
      <c r="B22" s="6" t="s">
        <v>4022</v>
      </c>
    </row>
    <row r="23" spans="1:4">
      <c r="B23" s="6" t="s">
        <v>4023</v>
      </c>
    </row>
    <row r="24" spans="1:4">
      <c r="B24" s="6" t="s">
        <v>4024</v>
      </c>
    </row>
    <row r="25" spans="1:4">
      <c r="B25" s="6" t="s">
        <v>4025</v>
      </c>
    </row>
    <row r="26" spans="1:4">
      <c r="B26" s="6" t="s">
        <v>4026</v>
      </c>
    </row>
    <row r="27" spans="1:4">
      <c r="B27" s="6" t="s">
        <v>4027</v>
      </c>
    </row>
    <row r="29" spans="1:4">
      <c r="A29" s="1">
        <v>3</v>
      </c>
      <c r="B29" s="94" t="s">
        <v>4028</v>
      </c>
    </row>
    <row r="30" spans="1:4">
      <c r="B30" s="6" t="s">
        <v>4029</v>
      </c>
      <c r="D30" s="6" t="s">
        <v>4030</v>
      </c>
    </row>
    <row r="31" spans="1:4">
      <c r="B31" s="6" t="s">
        <v>4031</v>
      </c>
      <c r="D31" s="6" t="s">
        <v>4032</v>
      </c>
    </row>
    <row r="33" spans="1:10">
      <c r="A33" s="1">
        <v>4</v>
      </c>
      <c r="B33" s="94" t="s">
        <v>4033</v>
      </c>
    </row>
    <row r="34" spans="1:10">
      <c r="B34" s="6" t="s">
        <v>4034</v>
      </c>
    </row>
    <row r="35" spans="1:10">
      <c r="B35" s="6" t="s">
        <v>4035</v>
      </c>
    </row>
    <row r="36" spans="1:10">
      <c r="B36" s="6" t="s">
        <v>4036</v>
      </c>
    </row>
    <row r="38" spans="1:10">
      <c r="A38" s="1">
        <v>5</v>
      </c>
      <c r="B38" s="94" t="s">
        <v>4037</v>
      </c>
    </row>
    <row r="39" spans="1:10">
      <c r="A39" s="20"/>
      <c r="B39" s="145"/>
      <c r="C39" s="94" t="s">
        <v>4038</v>
      </c>
    </row>
    <row r="40" spans="1:10">
      <c r="B40" s="94">
        <v>1</v>
      </c>
      <c r="C40" s="94" t="s">
        <v>4039</v>
      </c>
      <c r="E40" s="6">
        <v>10618</v>
      </c>
    </row>
    <row r="41" spans="1:10">
      <c r="C41" s="6" t="s">
        <v>4040</v>
      </c>
    </row>
    <row r="42" spans="1:10">
      <c r="C42" s="6" t="s">
        <v>4041</v>
      </c>
    </row>
    <row r="43" spans="1:10">
      <c r="C43" s="6" t="s">
        <v>4042</v>
      </c>
    </row>
    <row r="45" spans="1:10">
      <c r="B45" s="94">
        <v>2</v>
      </c>
      <c r="C45" s="94" t="s">
        <v>4043</v>
      </c>
      <c r="E45" s="6">
        <v>17049</v>
      </c>
      <c r="J45" s="6">
        <f>(10000-17049)/17049</f>
        <v>-0.41345533462373157</v>
      </c>
    </row>
    <row r="46" spans="1:10">
      <c r="C46" s="6" t="s">
        <v>4044</v>
      </c>
    </row>
    <row r="47" spans="1:10">
      <c r="C47" s="6" t="s">
        <v>4045</v>
      </c>
    </row>
    <row r="48" spans="1:10">
      <c r="C48" s="6" t="s">
        <v>4046</v>
      </c>
    </row>
    <row r="49" spans="2:4">
      <c r="C49" s="6" t="s">
        <v>4047</v>
      </c>
    </row>
    <row r="51" spans="2:4">
      <c r="B51" s="94" t="s">
        <v>4048</v>
      </c>
      <c r="C51" s="6" t="s">
        <v>4049</v>
      </c>
    </row>
    <row r="52" spans="2:4">
      <c r="C52" s="6" t="s">
        <v>4050</v>
      </c>
    </row>
    <row r="53" spans="2:4">
      <c r="C53" s="6" t="s">
        <v>4051</v>
      </c>
    </row>
    <row r="54" spans="2:4">
      <c r="C54" s="6" t="s">
        <v>4052</v>
      </c>
    </row>
    <row r="55" spans="2:4">
      <c r="C55" s="6" t="s">
        <v>4053</v>
      </c>
    </row>
    <row r="57" spans="2:4">
      <c r="B57" s="145"/>
      <c r="C57" s="94" t="s">
        <v>4054</v>
      </c>
    </row>
    <row r="58" spans="2:4">
      <c r="C58" s="6" t="s">
        <v>4055</v>
      </c>
      <c r="D58" s="6" t="s">
        <v>4056</v>
      </c>
    </row>
    <row r="59" spans="2:4">
      <c r="C59" s="6" t="s">
        <v>4057</v>
      </c>
    </row>
    <row r="61" spans="2:4">
      <c r="C61" s="6" t="s">
        <v>4058</v>
      </c>
      <c r="D61" s="6" t="s">
        <v>4059</v>
      </c>
    </row>
    <row r="62" spans="2:4">
      <c r="C62" s="6" t="s">
        <v>4060</v>
      </c>
    </row>
    <row r="64" spans="2:4">
      <c r="C64" s="6" t="s">
        <v>4061</v>
      </c>
    </row>
    <row r="65" spans="1:8">
      <c r="C65" s="6" t="s">
        <v>4062</v>
      </c>
    </row>
    <row r="66" spans="1:8">
      <c r="C66" s="145"/>
    </row>
    <row r="67" spans="1:8">
      <c r="C67" s="6" t="s">
        <v>4063</v>
      </c>
    </row>
    <row r="68" spans="1:8">
      <c r="C68" s="143" t="s">
        <v>4064</v>
      </c>
    </row>
    <row r="69" spans="1:8">
      <c r="C69" s="143" t="s">
        <v>4065</v>
      </c>
    </row>
    <row r="71" spans="1:8">
      <c r="A71" s="144"/>
      <c r="B71" s="94" t="s">
        <v>4066</v>
      </c>
    </row>
    <row r="72" spans="1:8">
      <c r="B72" s="6" t="s">
        <v>4067</v>
      </c>
    </row>
    <row r="73" spans="1:8">
      <c r="B73" s="6" t="s">
        <v>4068</v>
      </c>
    </row>
    <row r="74" spans="1:8">
      <c r="B74" s="6" t="s">
        <v>4069</v>
      </c>
    </row>
    <row r="75" spans="1:8">
      <c r="B75" s="6" t="s">
        <v>4070</v>
      </c>
    </row>
    <row r="76" spans="1:8">
      <c r="B76" s="6" t="s">
        <v>4071</v>
      </c>
    </row>
    <row r="77" spans="1:8">
      <c r="B77" s="6" t="s">
        <v>4072</v>
      </c>
    </row>
    <row r="79" spans="1:8">
      <c r="A79" s="144"/>
      <c r="B79" s="94" t="s">
        <v>4073</v>
      </c>
      <c r="H79" s="6" t="s">
        <v>4074</v>
      </c>
    </row>
    <row r="80" spans="1:8">
      <c r="B80" s="6" t="s">
        <v>4075</v>
      </c>
    </row>
    <row r="81" spans="2:2">
      <c r="B81" s="6" t="s">
        <v>4076</v>
      </c>
    </row>
    <row r="82" spans="2:2">
      <c r="B82" s="6" t="s">
        <v>4077</v>
      </c>
    </row>
    <row r="83" spans="2:2">
      <c r="B83" s="6" t="s">
        <v>4078</v>
      </c>
    </row>
    <row r="84" spans="2:2">
      <c r="B84" s="6"/>
    </row>
    <row r="85" spans="2:2">
      <c r="B85" s="6" t="s">
        <v>4079</v>
      </c>
    </row>
    <row r="86" spans="2:2">
      <c r="B86" s="6" t="s">
        <v>4080</v>
      </c>
    </row>
    <row r="87" spans="2:2">
      <c r="B87" s="6" t="s">
        <v>4081</v>
      </c>
    </row>
    <row r="89" spans="2:2">
      <c r="B89" s="6" t="s">
        <v>4082</v>
      </c>
    </row>
    <row r="90" spans="2:2">
      <c r="B90" s="6" t="s">
        <v>4083</v>
      </c>
    </row>
    <row r="91" spans="2:2">
      <c r="B91" s="6" t="s">
        <v>4084</v>
      </c>
    </row>
    <row r="93" spans="2:2">
      <c r="B93" s="6" t="s">
        <v>4085</v>
      </c>
    </row>
    <row r="94" spans="2:2">
      <c r="B94" s="6" t="s">
        <v>4086</v>
      </c>
    </row>
    <row r="95" spans="2:2">
      <c r="B95" s="6" t="s">
        <v>4087</v>
      </c>
    </row>
    <row r="96" spans="2:2">
      <c r="B96" s="6" t="s">
        <v>4088</v>
      </c>
    </row>
    <row r="97" spans="1:3">
      <c r="B97" s="143" t="s">
        <v>4089</v>
      </c>
    </row>
    <row r="99" spans="1:3">
      <c r="B99" s="6" t="s">
        <v>4090</v>
      </c>
    </row>
    <row r="100" spans="1:3">
      <c r="B100" s="6" t="s">
        <v>4091</v>
      </c>
    </row>
    <row r="101" spans="1:3">
      <c r="B101" s="143" t="s">
        <v>4092</v>
      </c>
    </row>
    <row r="102" spans="1:3">
      <c r="B102" s="143" t="s">
        <v>4093</v>
      </c>
    </row>
    <row r="104" spans="1:3">
      <c r="A104" s="1">
        <v>6</v>
      </c>
      <c r="B104" s="94" t="s">
        <v>4094</v>
      </c>
    </row>
    <row r="105" spans="1:3">
      <c r="A105" s="1">
        <v>7</v>
      </c>
      <c r="B105" s="94" t="s">
        <v>4095</v>
      </c>
    </row>
    <row r="106" spans="1:3">
      <c r="A106" s="20"/>
    </row>
    <row r="107" spans="1:3">
      <c r="A107" s="1">
        <v>8</v>
      </c>
      <c r="B107" s="94" t="s">
        <v>4096</v>
      </c>
    </row>
    <row r="108" spans="1:3">
      <c r="B108" s="145"/>
      <c r="C108" s="94" t="s">
        <v>4097</v>
      </c>
    </row>
    <row r="109" spans="1:3">
      <c r="C109" s="6" t="s">
        <v>4098</v>
      </c>
    </row>
    <row r="110" spans="1:3">
      <c r="C110" s="6" t="s">
        <v>4099</v>
      </c>
    </row>
    <row r="111" spans="1:3">
      <c r="C111" s="6" t="s">
        <v>4100</v>
      </c>
    </row>
    <row r="112" spans="1:3">
      <c r="C112" s="6" t="s">
        <v>4101</v>
      </c>
    </row>
    <row r="113" spans="1:3">
      <c r="C113" s="6" t="s">
        <v>4102</v>
      </c>
    </row>
    <row r="114" spans="1:3">
      <c r="C114" s="6" t="s">
        <v>4103</v>
      </c>
    </row>
    <row r="116" spans="1:3">
      <c r="B116" s="145"/>
      <c r="C116" s="6" t="s">
        <v>4104</v>
      </c>
    </row>
    <row r="117" spans="1:3">
      <c r="C117" s="143" t="s">
        <v>4105</v>
      </c>
    </row>
    <row r="119" spans="1:3">
      <c r="B119" s="145"/>
      <c r="C119" s="94" t="s">
        <v>4106</v>
      </c>
    </row>
    <row r="120" spans="1:3">
      <c r="C120" s="6" t="s">
        <v>4107</v>
      </c>
    </row>
    <row r="121" spans="1:3">
      <c r="C121" s="6" t="s">
        <v>4108</v>
      </c>
    </row>
    <row r="122" spans="1:3">
      <c r="C122" s="6" t="s">
        <v>4109</v>
      </c>
    </row>
    <row r="123" spans="1:3">
      <c r="C123" s="6" t="s">
        <v>4110</v>
      </c>
    </row>
    <row r="125" spans="1:3">
      <c r="A125" s="1">
        <v>9</v>
      </c>
      <c r="B125" s="94" t="s">
        <v>4111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7"/>
  <sheetViews>
    <sheetView workbookViewId="0"/>
  </sheetViews>
  <sheetFormatPr defaultRowHeight="13.8"/>
  <sheetData>
    <row r="1" spans="1:14" ht="31.2">
      <c r="B1" s="146" t="s">
        <v>4112</v>
      </c>
      <c r="J1" s="6" t="s">
        <v>4113</v>
      </c>
      <c r="M1" s="14" t="s">
        <v>4114</v>
      </c>
      <c r="N1" s="18" t="s">
        <v>4115</v>
      </c>
    </row>
    <row r="2" spans="1:14">
      <c r="J2" s="6" t="s">
        <v>4116</v>
      </c>
      <c r="N2" s="18" t="s">
        <v>4117</v>
      </c>
    </row>
    <row r="3" spans="1:14">
      <c r="A3" s="1">
        <v>1</v>
      </c>
      <c r="B3" s="94" t="s">
        <v>4006</v>
      </c>
    </row>
    <row r="4" spans="1:14">
      <c r="A4" s="20"/>
      <c r="B4" s="6" t="s">
        <v>4118</v>
      </c>
    </row>
    <row r="5" spans="1:14">
      <c r="A5" s="20"/>
      <c r="B5" s="6" t="s">
        <v>4119</v>
      </c>
    </row>
    <row r="6" spans="1:14">
      <c r="A6" s="20"/>
      <c r="B6" s="6" t="s">
        <v>4120</v>
      </c>
    </row>
    <row r="7" spans="1:14">
      <c r="A7" s="20"/>
    </row>
    <row r="8" spans="1:14">
      <c r="A8" s="1">
        <v>2</v>
      </c>
      <c r="B8" s="94" t="s">
        <v>4015</v>
      </c>
    </row>
    <row r="9" spans="1:14">
      <c r="A9" s="20"/>
      <c r="B9" s="145"/>
      <c r="C9" s="94" t="s">
        <v>4121</v>
      </c>
    </row>
    <row r="10" spans="1:14">
      <c r="A10" s="20"/>
      <c r="C10" s="6" t="s">
        <v>4122</v>
      </c>
    </row>
    <row r="11" spans="1:14">
      <c r="A11" s="20"/>
    </row>
    <row r="12" spans="1:14">
      <c r="A12" s="20"/>
      <c r="B12" s="145"/>
      <c r="C12" s="94" t="s">
        <v>4123</v>
      </c>
    </row>
    <row r="13" spans="1:14">
      <c r="A13" s="20"/>
      <c r="C13" s="6" t="s">
        <v>4124</v>
      </c>
    </row>
    <row r="14" spans="1:14">
      <c r="A14" s="20"/>
      <c r="C14" s="6" t="s">
        <v>4125</v>
      </c>
    </row>
    <row r="15" spans="1:14">
      <c r="A15" s="20"/>
      <c r="C15" s="6" t="s">
        <v>4126</v>
      </c>
    </row>
    <row r="16" spans="1:14">
      <c r="A16" s="20"/>
      <c r="C16" s="6" t="s">
        <v>4127</v>
      </c>
    </row>
    <row r="17" spans="1:5">
      <c r="A17" s="20"/>
    </row>
    <row r="18" spans="1:5">
      <c r="A18" s="20"/>
      <c r="B18" s="145"/>
      <c r="C18" s="6" t="s">
        <v>4128</v>
      </c>
    </row>
    <row r="19" spans="1:5">
      <c r="A19" s="20"/>
      <c r="C19" s="6" t="s">
        <v>4129</v>
      </c>
    </row>
    <row r="20" spans="1:5">
      <c r="A20" s="20"/>
      <c r="C20" s="6" t="s">
        <v>4130</v>
      </c>
    </row>
    <row r="21" spans="1:5">
      <c r="A21" s="20"/>
      <c r="C21" s="6" t="s">
        <v>4131</v>
      </c>
    </row>
    <row r="22" spans="1:5">
      <c r="A22" s="20"/>
    </row>
    <row r="23" spans="1:5">
      <c r="A23" s="144"/>
      <c r="B23" s="94" t="s">
        <v>4132</v>
      </c>
      <c r="C23" s="6" t="s">
        <v>4133</v>
      </c>
      <c r="D23" s="6" t="s">
        <v>4134</v>
      </c>
      <c r="E23" s="6" t="s">
        <v>4135</v>
      </c>
    </row>
    <row r="24" spans="1:5">
      <c r="A24" s="20"/>
      <c r="B24" s="6" t="s">
        <v>4136</v>
      </c>
    </row>
    <row r="25" spans="1:5">
      <c r="A25" s="20"/>
      <c r="B25" s="6" t="s">
        <v>4137</v>
      </c>
    </row>
    <row r="26" spans="1:5">
      <c r="A26" s="20"/>
      <c r="B26" s="6" t="s">
        <v>4138</v>
      </c>
    </row>
    <row r="27" spans="1:5">
      <c r="A27" s="20"/>
    </row>
    <row r="28" spans="1:5">
      <c r="A28" s="144"/>
      <c r="B28" s="94" t="s">
        <v>4019</v>
      </c>
    </row>
    <row r="29" spans="1:5">
      <c r="A29" s="20"/>
      <c r="B29" s="6" t="s">
        <v>4139</v>
      </c>
    </row>
    <row r="30" spans="1:5">
      <c r="A30" s="20"/>
      <c r="B30" s="6" t="s">
        <v>4140</v>
      </c>
    </row>
    <row r="31" spans="1:5">
      <c r="A31" s="20"/>
      <c r="B31" s="6" t="s">
        <v>4141</v>
      </c>
    </row>
    <row r="32" spans="1:5">
      <c r="A32" s="20"/>
      <c r="B32" s="6" t="s">
        <v>4142</v>
      </c>
    </row>
    <row r="33" spans="1:3">
      <c r="A33" s="20"/>
      <c r="B33" s="6" t="s">
        <v>4143</v>
      </c>
    </row>
    <row r="34" spans="1:3">
      <c r="A34" s="20"/>
      <c r="B34" s="6" t="s">
        <v>4144</v>
      </c>
    </row>
    <row r="35" spans="1:3">
      <c r="A35" s="20"/>
    </row>
    <row r="36" spans="1:3">
      <c r="A36" s="1">
        <v>3</v>
      </c>
      <c r="B36" s="94" t="s">
        <v>4028</v>
      </c>
    </row>
    <row r="37" spans="1:3">
      <c r="A37" s="20"/>
      <c r="B37" s="6" t="s">
        <v>4145</v>
      </c>
    </row>
    <row r="38" spans="1:3">
      <c r="A38" s="20"/>
      <c r="B38" s="6" t="s">
        <v>4146</v>
      </c>
    </row>
    <row r="39" spans="1:3">
      <c r="A39" s="20"/>
      <c r="B39" s="6" t="s">
        <v>4147</v>
      </c>
    </row>
    <row r="40" spans="1:3">
      <c r="A40" s="20"/>
      <c r="B40" s="6" t="s">
        <v>4148</v>
      </c>
    </row>
    <row r="41" spans="1:3">
      <c r="A41" s="20"/>
    </row>
    <row r="42" spans="1:3">
      <c r="A42" s="1">
        <v>4</v>
      </c>
      <c r="B42" s="94" t="s">
        <v>4033</v>
      </c>
    </row>
    <row r="43" spans="1:3">
      <c r="A43" s="20"/>
      <c r="B43" s="6" t="s">
        <v>4149</v>
      </c>
    </row>
    <row r="44" spans="1:3">
      <c r="A44" s="20"/>
      <c r="B44" s="6" t="s">
        <v>4150</v>
      </c>
    </row>
    <row r="45" spans="1:3">
      <c r="A45" s="20"/>
    </row>
    <row r="46" spans="1:3">
      <c r="A46" s="1">
        <v>5</v>
      </c>
      <c r="B46" s="94" t="s">
        <v>4037</v>
      </c>
    </row>
    <row r="47" spans="1:3">
      <c r="A47" s="20"/>
      <c r="B47" s="145"/>
      <c r="C47" s="94" t="s">
        <v>4038</v>
      </c>
    </row>
    <row r="48" spans="1:3">
      <c r="A48" s="20"/>
      <c r="C48" s="6" t="s">
        <v>4151</v>
      </c>
    </row>
    <row r="49" spans="1:14">
      <c r="A49" s="20"/>
      <c r="C49" s="6" t="s">
        <v>4152</v>
      </c>
    </row>
    <row r="50" spans="1:14">
      <c r="A50" s="20"/>
    </row>
    <row r="51" spans="1:14">
      <c r="A51" s="20"/>
      <c r="B51" s="145"/>
      <c r="C51" s="94" t="s">
        <v>4054</v>
      </c>
    </row>
    <row r="52" spans="1:14">
      <c r="A52" s="20"/>
      <c r="C52" s="6" t="s">
        <v>4153</v>
      </c>
    </row>
    <row r="53" spans="1:14">
      <c r="A53" s="20"/>
    </row>
    <row r="54" spans="1:14">
      <c r="A54" s="144"/>
      <c r="B54" s="94" t="s">
        <v>4073</v>
      </c>
    </row>
    <row r="55" spans="1:14">
      <c r="A55" s="20"/>
      <c r="B55" s="6" t="s">
        <v>4154</v>
      </c>
    </row>
    <row r="56" spans="1:14">
      <c r="A56" s="20"/>
      <c r="B56" s="6" t="s">
        <v>4155</v>
      </c>
    </row>
    <row r="57" spans="1:14">
      <c r="A57" s="20"/>
      <c r="B57" s="6" t="s">
        <v>4156</v>
      </c>
      <c r="N57" s="18" t="s">
        <v>4157</v>
      </c>
    </row>
    <row r="58" spans="1:14">
      <c r="A58" s="20"/>
      <c r="B58" s="6" t="s">
        <v>4158</v>
      </c>
    </row>
    <row r="59" spans="1:14">
      <c r="A59" s="20"/>
    </row>
    <row r="60" spans="1:14">
      <c r="A60" s="20"/>
      <c r="B60" s="6" t="s">
        <v>4159</v>
      </c>
    </row>
    <row r="61" spans="1:14">
      <c r="A61" s="20"/>
      <c r="B61" s="143" t="s">
        <v>4160</v>
      </c>
    </row>
    <row r="62" spans="1:14">
      <c r="A62" s="20"/>
      <c r="B62" s="6"/>
    </row>
    <row r="63" spans="1:14">
      <c r="A63" s="144"/>
      <c r="B63" s="94" t="s">
        <v>4066</v>
      </c>
    </row>
    <row r="64" spans="1:14">
      <c r="A64" s="20"/>
      <c r="B64" s="6" t="s">
        <v>4151</v>
      </c>
    </row>
    <row r="65" spans="1:5">
      <c r="A65" s="20"/>
      <c r="B65" s="6" t="s">
        <v>4161</v>
      </c>
    </row>
    <row r="66" spans="1:5">
      <c r="A66" s="20"/>
      <c r="B66" s="6" t="s">
        <v>4162</v>
      </c>
    </row>
    <row r="67" spans="1:5">
      <c r="A67" s="20"/>
      <c r="B67" s="6" t="s">
        <v>4163</v>
      </c>
    </row>
    <row r="68" spans="1:5">
      <c r="A68" s="20"/>
      <c r="B68" s="6" t="s">
        <v>4164</v>
      </c>
    </row>
    <row r="69" spans="1:5">
      <c r="A69" s="20"/>
      <c r="B69" s="6" t="s">
        <v>4165</v>
      </c>
    </row>
    <row r="70" spans="1:5">
      <c r="A70" s="20"/>
      <c r="B70" s="6" t="s">
        <v>4166</v>
      </c>
    </row>
    <row r="71" spans="1:5">
      <c r="A71" s="20"/>
    </row>
    <row r="72" spans="1:5">
      <c r="A72" s="144"/>
      <c r="B72" s="94" t="s">
        <v>4167</v>
      </c>
    </row>
    <row r="73" spans="1:5" ht="41.4">
      <c r="A73" s="20"/>
      <c r="B73" s="147" t="s">
        <v>4168</v>
      </c>
      <c r="C73" s="147" t="s">
        <v>4169</v>
      </c>
      <c r="D73" s="147" t="s">
        <v>4170</v>
      </c>
      <c r="E73" s="147" t="s">
        <v>4171</v>
      </c>
    </row>
    <row r="74" spans="1:5">
      <c r="A74" s="20"/>
      <c r="B74" s="62" t="s">
        <v>4172</v>
      </c>
      <c r="C74" s="62" t="s">
        <v>96</v>
      </c>
      <c r="D74" s="62">
        <v>20</v>
      </c>
      <c r="E74" s="62">
        <v>100</v>
      </c>
    </row>
    <row r="76" spans="1:5">
      <c r="A76" s="1">
        <v>6</v>
      </c>
      <c r="B76" s="94" t="s">
        <v>4173</v>
      </c>
    </row>
    <row r="77" spans="1:5">
      <c r="A77" s="20"/>
      <c r="B77" s="6" t="s">
        <v>4174</v>
      </c>
    </row>
    <row r="78" spans="1:5">
      <c r="A78" s="20"/>
      <c r="B78" s="6" t="s">
        <v>4175</v>
      </c>
    </row>
    <row r="79" spans="1:5">
      <c r="A79" s="20"/>
      <c r="B79" s="6" t="s">
        <v>4176</v>
      </c>
    </row>
    <row r="80" spans="1:5">
      <c r="A80" s="20"/>
      <c r="B80" s="6" t="s">
        <v>4177</v>
      </c>
    </row>
    <row r="81" spans="1:7">
      <c r="A81" s="20"/>
      <c r="B81" s="6" t="s">
        <v>4178</v>
      </c>
    </row>
    <row r="82" spans="1:7">
      <c r="A82" s="20"/>
      <c r="B82" s="6" t="s">
        <v>4179</v>
      </c>
    </row>
    <row r="83" spans="1:7">
      <c r="A83" s="20"/>
      <c r="B83" s="6" t="s">
        <v>4180</v>
      </c>
      <c r="G83" s="6">
        <v>9430586867</v>
      </c>
    </row>
    <row r="85" spans="1:7">
      <c r="A85" s="1">
        <v>7</v>
      </c>
      <c r="B85" s="94" t="s">
        <v>4094</v>
      </c>
    </row>
    <row r="86" spans="1:7">
      <c r="A86" s="1">
        <v>8</v>
      </c>
      <c r="B86" s="94" t="s">
        <v>4095</v>
      </c>
    </row>
    <row r="87" spans="1:7">
      <c r="A87" s="20"/>
    </row>
    <row r="88" spans="1:7">
      <c r="A88" s="1">
        <v>9</v>
      </c>
      <c r="B88" s="94" t="s">
        <v>4096</v>
      </c>
    </row>
    <row r="89" spans="1:7">
      <c r="A89" s="20"/>
      <c r="B89" s="94" t="s">
        <v>4181</v>
      </c>
    </row>
    <row r="90" spans="1:7">
      <c r="A90" s="20"/>
      <c r="B90" s="6" t="s">
        <v>4182</v>
      </c>
    </row>
    <row r="91" spans="1:7">
      <c r="A91" s="20"/>
      <c r="B91" s="6" t="s">
        <v>24</v>
      </c>
    </row>
    <row r="92" spans="1:7">
      <c r="A92" s="20"/>
      <c r="B92" s="6" t="s">
        <v>22</v>
      </c>
    </row>
    <row r="93" spans="1:7">
      <c r="A93" s="20"/>
      <c r="B93" s="6" t="s">
        <v>4183</v>
      </c>
    </row>
    <row r="94" spans="1:7">
      <c r="A94" s="20"/>
    </row>
    <row r="95" spans="1:7">
      <c r="A95" s="20"/>
      <c r="B95" s="145"/>
      <c r="C95" s="94" t="s">
        <v>4097</v>
      </c>
    </row>
    <row r="96" spans="1:7">
      <c r="A96" s="20"/>
      <c r="C96" s="6" t="s">
        <v>4098</v>
      </c>
    </row>
    <row r="97" spans="1:13">
      <c r="A97" s="20"/>
      <c r="C97" s="6" t="s">
        <v>4099</v>
      </c>
    </row>
    <row r="98" spans="1:13">
      <c r="A98" s="20"/>
      <c r="C98" s="6" t="s">
        <v>4100</v>
      </c>
    </row>
    <row r="99" spans="1:13">
      <c r="A99" s="20"/>
      <c r="C99" s="6" t="s">
        <v>4101</v>
      </c>
    </row>
    <row r="100" spans="1:13">
      <c r="A100" s="20"/>
      <c r="C100" s="6" t="s">
        <v>4102</v>
      </c>
    </row>
    <row r="101" spans="1:13">
      <c r="A101" s="20"/>
      <c r="C101" s="6" t="s">
        <v>4103</v>
      </c>
    </row>
    <row r="102" spans="1:13">
      <c r="A102" s="20"/>
    </row>
    <row r="103" spans="1:13">
      <c r="A103" s="20"/>
      <c r="B103" s="145"/>
      <c r="C103" s="6" t="s">
        <v>4104</v>
      </c>
    </row>
    <row r="104" spans="1:13">
      <c r="A104" s="20"/>
      <c r="C104" s="143" t="s">
        <v>4105</v>
      </c>
    </row>
    <row r="105" spans="1:13">
      <c r="A105" s="20"/>
    </row>
    <row r="106" spans="1:13">
      <c r="A106" s="20"/>
      <c r="B106" s="145"/>
      <c r="C106" s="94" t="s">
        <v>4106</v>
      </c>
    </row>
    <row r="107" spans="1:13">
      <c r="A107" s="20"/>
      <c r="C107" s="6" t="s">
        <v>4107</v>
      </c>
    </row>
    <row r="108" spans="1:13">
      <c r="A108" s="20"/>
      <c r="C108" s="6" t="s">
        <v>4108</v>
      </c>
    </row>
    <row r="109" spans="1:13">
      <c r="A109" s="20"/>
      <c r="C109" s="6" t="s">
        <v>4109</v>
      </c>
    </row>
    <row r="110" spans="1:13">
      <c r="A110" s="20"/>
      <c r="C110" s="6" t="s">
        <v>4110</v>
      </c>
      <c r="K110" s="6">
        <v>15930</v>
      </c>
      <c r="L110" s="6">
        <f>K110*0.2</f>
        <v>3186</v>
      </c>
      <c r="M110" s="6">
        <f>K110-L110</f>
        <v>12744</v>
      </c>
    </row>
    <row r="112" spans="1:13">
      <c r="A112" s="1">
        <v>10</v>
      </c>
      <c r="B112" s="94" t="s">
        <v>4111</v>
      </c>
    </row>
    <row r="113" spans="1:2">
      <c r="A113" s="20"/>
    </row>
    <row r="114" spans="1:2">
      <c r="A114" s="1" t="s">
        <v>4184</v>
      </c>
      <c r="B114" s="94" t="s">
        <v>4185</v>
      </c>
    </row>
    <row r="115" spans="1:2">
      <c r="A115" s="20"/>
      <c r="B115" s="6" t="s">
        <v>4186</v>
      </c>
    </row>
    <row r="116" spans="1:2">
      <c r="A116" s="20"/>
      <c r="B116" s="143" t="s">
        <v>4187</v>
      </c>
    </row>
    <row r="117" spans="1:2">
      <c r="A117" s="20"/>
    </row>
    <row r="118" spans="1:2">
      <c r="A118" s="20"/>
    </row>
    <row r="119" spans="1:2">
      <c r="A119" s="20"/>
    </row>
    <row r="120" spans="1:2">
      <c r="A120" s="20"/>
    </row>
    <row r="121" spans="1:2">
      <c r="A121" s="20"/>
    </row>
    <row r="122" spans="1:2">
      <c r="A122" s="20"/>
    </row>
    <row r="123" spans="1:2">
      <c r="A123" s="20"/>
    </row>
    <row r="124" spans="1:2">
      <c r="A124" s="20"/>
    </row>
    <row r="125" spans="1:2">
      <c r="A125" s="20"/>
    </row>
    <row r="126" spans="1:2">
      <c r="A126" s="20"/>
    </row>
    <row r="127" spans="1:2">
      <c r="A127" s="20"/>
    </row>
    <row r="128" spans="1:2">
      <c r="A128" s="20"/>
    </row>
    <row r="129" spans="1:1">
      <c r="A129" s="20"/>
    </row>
    <row r="130" spans="1:1">
      <c r="A130" s="20"/>
    </row>
    <row r="131" spans="1:1">
      <c r="A131" s="20"/>
    </row>
    <row r="132" spans="1:1">
      <c r="A132" s="20"/>
    </row>
    <row r="133" spans="1:1">
      <c r="A133" s="20"/>
    </row>
    <row r="134" spans="1:1">
      <c r="A134" s="20"/>
    </row>
    <row r="135" spans="1:1">
      <c r="A135" s="20"/>
    </row>
    <row r="136" spans="1:1">
      <c r="A136" s="20"/>
    </row>
    <row r="137" spans="1:1">
      <c r="A137" s="20"/>
    </row>
    <row r="138" spans="1:1">
      <c r="A138" s="20"/>
    </row>
    <row r="139" spans="1:1">
      <c r="A139" s="20"/>
    </row>
    <row r="140" spans="1:1">
      <c r="A140" s="20"/>
    </row>
    <row r="141" spans="1:1">
      <c r="A141" s="20"/>
    </row>
    <row r="142" spans="1:1">
      <c r="A142" s="20"/>
    </row>
    <row r="143" spans="1:1">
      <c r="A143" s="20"/>
    </row>
    <row r="144" spans="1:1">
      <c r="A144" s="20"/>
    </row>
    <row r="145" spans="1:1">
      <c r="A145" s="20"/>
    </row>
    <row r="146" spans="1:1">
      <c r="A146" s="20"/>
    </row>
    <row r="147" spans="1:1">
      <c r="A147" s="20"/>
    </row>
    <row r="148" spans="1:1">
      <c r="A148" s="20"/>
    </row>
    <row r="149" spans="1:1">
      <c r="A149" s="20"/>
    </row>
    <row r="150" spans="1:1">
      <c r="A150" s="20"/>
    </row>
    <row r="151" spans="1:1">
      <c r="A151" s="20"/>
    </row>
    <row r="152" spans="1:1">
      <c r="A152" s="20"/>
    </row>
    <row r="153" spans="1:1">
      <c r="A153" s="20"/>
    </row>
    <row r="154" spans="1:1">
      <c r="A154" s="20"/>
    </row>
    <row r="155" spans="1:1">
      <c r="A155" s="20"/>
    </row>
    <row r="156" spans="1:1">
      <c r="A156" s="20"/>
    </row>
    <row r="157" spans="1:1">
      <c r="A157" s="20"/>
    </row>
    <row r="158" spans="1:1">
      <c r="A158" s="20"/>
    </row>
    <row r="159" spans="1:1">
      <c r="A159" s="20"/>
    </row>
    <row r="160" spans="1:1">
      <c r="A160" s="20"/>
    </row>
    <row r="161" spans="1:1">
      <c r="A161" s="20"/>
    </row>
    <row r="162" spans="1:1">
      <c r="A162" s="20"/>
    </row>
    <row r="163" spans="1:1">
      <c r="A163" s="20"/>
    </row>
    <row r="164" spans="1:1">
      <c r="A164" s="20"/>
    </row>
    <row r="165" spans="1:1">
      <c r="A165" s="20"/>
    </row>
    <row r="166" spans="1:1">
      <c r="A166" s="20"/>
    </row>
    <row r="167" spans="1:1">
      <c r="A167" s="20"/>
    </row>
    <row r="168" spans="1:1">
      <c r="A168" s="20"/>
    </row>
    <row r="169" spans="1:1">
      <c r="A169" s="20"/>
    </row>
    <row r="170" spans="1:1">
      <c r="A170" s="20"/>
    </row>
    <row r="171" spans="1:1">
      <c r="A171" s="20"/>
    </row>
    <row r="172" spans="1:1">
      <c r="A172" s="20"/>
    </row>
    <row r="173" spans="1:1">
      <c r="A173" s="20"/>
    </row>
    <row r="174" spans="1:1">
      <c r="A174" s="20"/>
    </row>
    <row r="175" spans="1:1">
      <c r="A175" s="20"/>
    </row>
    <row r="176" spans="1:1">
      <c r="A176" s="20"/>
    </row>
    <row r="177" spans="1:1">
      <c r="A177" s="20"/>
    </row>
    <row r="178" spans="1:1">
      <c r="A178" s="20"/>
    </row>
    <row r="179" spans="1:1">
      <c r="A179" s="20"/>
    </row>
    <row r="180" spans="1:1">
      <c r="A180" s="20"/>
    </row>
    <row r="181" spans="1:1">
      <c r="A181" s="20"/>
    </row>
    <row r="182" spans="1:1">
      <c r="A182" s="20"/>
    </row>
    <row r="183" spans="1:1">
      <c r="A183" s="20"/>
    </row>
    <row r="184" spans="1:1">
      <c r="A184" s="20"/>
    </row>
    <row r="185" spans="1:1">
      <c r="A185" s="20"/>
    </row>
    <row r="186" spans="1:1">
      <c r="A186" s="20"/>
    </row>
    <row r="187" spans="1:1">
      <c r="A187" s="20"/>
    </row>
    <row r="188" spans="1:1">
      <c r="A188" s="20"/>
    </row>
    <row r="189" spans="1:1">
      <c r="A189" s="20"/>
    </row>
    <row r="190" spans="1:1">
      <c r="A190" s="20"/>
    </row>
    <row r="191" spans="1:1">
      <c r="A191" s="20"/>
    </row>
    <row r="192" spans="1:1">
      <c r="A192" s="20"/>
    </row>
    <row r="193" spans="1:1">
      <c r="A193" s="20"/>
    </row>
    <row r="194" spans="1:1">
      <c r="A194" s="20"/>
    </row>
    <row r="195" spans="1:1">
      <c r="A195" s="20"/>
    </row>
    <row r="196" spans="1:1">
      <c r="A196" s="20"/>
    </row>
    <row r="197" spans="1:1">
      <c r="A197" s="20"/>
    </row>
    <row r="198" spans="1:1">
      <c r="A198" s="20"/>
    </row>
    <row r="199" spans="1:1">
      <c r="A199" s="20"/>
    </row>
    <row r="200" spans="1:1">
      <c r="A200" s="20"/>
    </row>
    <row r="201" spans="1:1">
      <c r="A201" s="20"/>
    </row>
    <row r="202" spans="1:1">
      <c r="A202" s="20"/>
    </row>
    <row r="203" spans="1:1">
      <c r="A203" s="20"/>
    </row>
    <row r="204" spans="1:1">
      <c r="A204" s="20"/>
    </row>
    <row r="205" spans="1:1">
      <c r="A205" s="20"/>
    </row>
    <row r="206" spans="1:1">
      <c r="A206" s="20"/>
    </row>
    <row r="207" spans="1:1">
      <c r="A207" s="20"/>
    </row>
    <row r="208" spans="1:1">
      <c r="A208" s="20"/>
    </row>
    <row r="209" spans="1:1">
      <c r="A209" s="20"/>
    </row>
    <row r="210" spans="1:1">
      <c r="A210" s="20"/>
    </row>
    <row r="211" spans="1:1">
      <c r="A211" s="20"/>
    </row>
    <row r="212" spans="1:1">
      <c r="A212" s="20"/>
    </row>
    <row r="213" spans="1:1">
      <c r="A213" s="20"/>
    </row>
    <row r="214" spans="1:1">
      <c r="A214" s="20"/>
    </row>
    <row r="215" spans="1:1">
      <c r="A215" s="20"/>
    </row>
    <row r="216" spans="1:1">
      <c r="A216" s="20"/>
    </row>
    <row r="217" spans="1:1">
      <c r="A217" s="20"/>
    </row>
    <row r="218" spans="1:1">
      <c r="A218" s="20"/>
    </row>
    <row r="219" spans="1:1">
      <c r="A219" s="20"/>
    </row>
    <row r="220" spans="1:1">
      <c r="A220" s="20"/>
    </row>
    <row r="221" spans="1:1">
      <c r="A221" s="20"/>
    </row>
    <row r="222" spans="1:1">
      <c r="A222" s="20"/>
    </row>
    <row r="223" spans="1:1">
      <c r="A223" s="20"/>
    </row>
    <row r="224" spans="1:1">
      <c r="A224" s="20"/>
    </row>
    <row r="225" spans="1:1">
      <c r="A225" s="20"/>
    </row>
    <row r="226" spans="1:1">
      <c r="A226" s="20"/>
    </row>
    <row r="227" spans="1:1">
      <c r="A227" s="20"/>
    </row>
    <row r="228" spans="1:1">
      <c r="A228" s="20"/>
    </row>
    <row r="229" spans="1:1">
      <c r="A229" s="20"/>
    </row>
    <row r="230" spans="1:1">
      <c r="A230" s="20"/>
    </row>
    <row r="231" spans="1:1">
      <c r="A231" s="20"/>
    </row>
    <row r="232" spans="1:1">
      <c r="A232" s="20"/>
    </row>
    <row r="233" spans="1:1">
      <c r="A233" s="20"/>
    </row>
    <row r="234" spans="1:1">
      <c r="A234" s="20"/>
    </row>
    <row r="235" spans="1:1">
      <c r="A235" s="20"/>
    </row>
    <row r="236" spans="1:1">
      <c r="A236" s="20"/>
    </row>
    <row r="237" spans="1:1">
      <c r="A237" s="20"/>
    </row>
    <row r="238" spans="1:1">
      <c r="A238" s="20"/>
    </row>
    <row r="239" spans="1:1">
      <c r="A239" s="20"/>
    </row>
    <row r="240" spans="1:1">
      <c r="A240" s="20"/>
    </row>
    <row r="241" spans="1:1">
      <c r="A241" s="20"/>
    </row>
    <row r="242" spans="1:1">
      <c r="A242" s="20"/>
    </row>
    <row r="243" spans="1:1">
      <c r="A243" s="20"/>
    </row>
    <row r="244" spans="1:1">
      <c r="A244" s="20"/>
    </row>
    <row r="245" spans="1:1">
      <c r="A245" s="20"/>
    </row>
    <row r="246" spans="1:1">
      <c r="A246" s="20"/>
    </row>
    <row r="247" spans="1:1">
      <c r="A247" s="20"/>
    </row>
    <row r="248" spans="1:1">
      <c r="A248" s="20"/>
    </row>
    <row r="249" spans="1:1">
      <c r="A249" s="20"/>
    </row>
    <row r="250" spans="1:1">
      <c r="A250" s="20"/>
    </row>
    <row r="251" spans="1:1">
      <c r="A251" s="20"/>
    </row>
    <row r="252" spans="1:1">
      <c r="A252" s="20"/>
    </row>
    <row r="253" spans="1:1">
      <c r="A253" s="20"/>
    </row>
    <row r="254" spans="1:1">
      <c r="A254" s="20"/>
    </row>
    <row r="255" spans="1:1">
      <c r="A255" s="20"/>
    </row>
    <row r="256" spans="1:1">
      <c r="A256" s="20"/>
    </row>
    <row r="257" spans="1:1">
      <c r="A257" s="20"/>
    </row>
    <row r="258" spans="1:1">
      <c r="A258" s="20"/>
    </row>
    <row r="259" spans="1:1">
      <c r="A259" s="20"/>
    </row>
    <row r="260" spans="1:1">
      <c r="A260" s="20"/>
    </row>
    <row r="261" spans="1:1">
      <c r="A261" s="20"/>
    </row>
    <row r="262" spans="1:1">
      <c r="A262" s="20"/>
    </row>
    <row r="263" spans="1:1">
      <c r="A263" s="20"/>
    </row>
    <row r="264" spans="1:1">
      <c r="A264" s="20"/>
    </row>
    <row r="265" spans="1:1">
      <c r="A265" s="20"/>
    </row>
    <row r="266" spans="1:1">
      <c r="A266" s="20"/>
    </row>
    <row r="267" spans="1:1">
      <c r="A267" s="20"/>
    </row>
    <row r="268" spans="1:1">
      <c r="A268" s="20"/>
    </row>
    <row r="269" spans="1:1">
      <c r="A269" s="20"/>
    </row>
    <row r="270" spans="1:1">
      <c r="A270" s="20"/>
    </row>
    <row r="271" spans="1:1">
      <c r="A271" s="20"/>
    </row>
    <row r="272" spans="1:1">
      <c r="A272" s="20"/>
    </row>
    <row r="273" spans="1:1">
      <c r="A273" s="20"/>
    </row>
    <row r="274" spans="1:1">
      <c r="A274" s="20"/>
    </row>
    <row r="275" spans="1:1">
      <c r="A275" s="20"/>
    </row>
    <row r="276" spans="1:1">
      <c r="A276" s="20"/>
    </row>
    <row r="277" spans="1:1">
      <c r="A277" s="20"/>
    </row>
    <row r="278" spans="1:1">
      <c r="A278" s="20"/>
    </row>
    <row r="279" spans="1:1">
      <c r="A279" s="20"/>
    </row>
    <row r="280" spans="1:1">
      <c r="A280" s="20"/>
    </row>
    <row r="281" spans="1:1">
      <c r="A281" s="20"/>
    </row>
    <row r="282" spans="1:1">
      <c r="A282" s="20"/>
    </row>
    <row r="283" spans="1:1">
      <c r="A283" s="20"/>
    </row>
    <row r="284" spans="1:1">
      <c r="A284" s="20"/>
    </row>
    <row r="285" spans="1:1">
      <c r="A285" s="20"/>
    </row>
    <row r="286" spans="1:1">
      <c r="A286" s="20"/>
    </row>
    <row r="287" spans="1:1">
      <c r="A287" s="20"/>
    </row>
    <row r="288" spans="1:1">
      <c r="A288" s="20"/>
    </row>
    <row r="289" spans="1:1">
      <c r="A289" s="20"/>
    </row>
    <row r="290" spans="1:1">
      <c r="A290" s="20"/>
    </row>
    <row r="291" spans="1:1">
      <c r="A291" s="20"/>
    </row>
    <row r="292" spans="1:1">
      <c r="A292" s="20"/>
    </row>
    <row r="293" spans="1:1">
      <c r="A293" s="20"/>
    </row>
    <row r="294" spans="1:1">
      <c r="A294" s="20"/>
    </row>
    <row r="295" spans="1:1">
      <c r="A295" s="20"/>
    </row>
    <row r="296" spans="1:1">
      <c r="A296" s="20"/>
    </row>
    <row r="297" spans="1:1">
      <c r="A297" s="20"/>
    </row>
    <row r="298" spans="1:1">
      <c r="A298" s="20"/>
    </row>
    <row r="299" spans="1:1">
      <c r="A299" s="20"/>
    </row>
    <row r="300" spans="1:1">
      <c r="A300" s="20"/>
    </row>
    <row r="301" spans="1:1">
      <c r="A301" s="20"/>
    </row>
    <row r="302" spans="1:1">
      <c r="A302" s="20"/>
    </row>
    <row r="303" spans="1:1">
      <c r="A303" s="20"/>
    </row>
    <row r="304" spans="1:1">
      <c r="A304" s="20"/>
    </row>
    <row r="305" spans="1:1">
      <c r="A305" s="20"/>
    </row>
    <row r="306" spans="1:1">
      <c r="A306" s="20"/>
    </row>
    <row r="307" spans="1:1">
      <c r="A307" s="20"/>
    </row>
    <row r="308" spans="1:1">
      <c r="A308" s="20"/>
    </row>
    <row r="309" spans="1:1">
      <c r="A309" s="20"/>
    </row>
    <row r="310" spans="1:1">
      <c r="A310" s="20"/>
    </row>
    <row r="311" spans="1:1">
      <c r="A311" s="20"/>
    </row>
    <row r="312" spans="1:1">
      <c r="A312" s="20"/>
    </row>
    <row r="313" spans="1:1">
      <c r="A313" s="20"/>
    </row>
    <row r="314" spans="1:1">
      <c r="A314" s="20"/>
    </row>
    <row r="315" spans="1:1">
      <c r="A315" s="20"/>
    </row>
    <row r="316" spans="1:1">
      <c r="A316" s="20"/>
    </row>
    <row r="317" spans="1:1">
      <c r="A317" s="20"/>
    </row>
    <row r="318" spans="1:1">
      <c r="A318" s="20"/>
    </row>
    <row r="319" spans="1:1">
      <c r="A319" s="20"/>
    </row>
    <row r="320" spans="1:1">
      <c r="A320" s="20"/>
    </row>
    <row r="321" spans="1:1">
      <c r="A321" s="20"/>
    </row>
    <row r="322" spans="1:1">
      <c r="A322" s="20"/>
    </row>
    <row r="323" spans="1:1">
      <c r="A323" s="20"/>
    </row>
    <row r="324" spans="1:1">
      <c r="A324" s="20"/>
    </row>
    <row r="325" spans="1:1">
      <c r="A325" s="20"/>
    </row>
    <row r="326" spans="1:1">
      <c r="A326" s="20"/>
    </row>
    <row r="327" spans="1:1">
      <c r="A327" s="20"/>
    </row>
    <row r="328" spans="1:1">
      <c r="A328" s="20"/>
    </row>
    <row r="329" spans="1:1">
      <c r="A329" s="20"/>
    </row>
    <row r="330" spans="1:1">
      <c r="A330" s="20"/>
    </row>
    <row r="331" spans="1:1">
      <c r="A331" s="20"/>
    </row>
    <row r="332" spans="1:1">
      <c r="A332" s="20"/>
    </row>
    <row r="333" spans="1:1">
      <c r="A333" s="20"/>
    </row>
    <row r="334" spans="1:1">
      <c r="A334" s="20"/>
    </row>
    <row r="335" spans="1:1">
      <c r="A335" s="20"/>
    </row>
    <row r="336" spans="1:1">
      <c r="A336" s="20"/>
    </row>
    <row r="337" spans="1:1">
      <c r="A337" s="20"/>
    </row>
    <row r="338" spans="1:1">
      <c r="A338" s="20"/>
    </row>
    <row r="339" spans="1:1">
      <c r="A339" s="20"/>
    </row>
    <row r="340" spans="1:1">
      <c r="A340" s="20"/>
    </row>
    <row r="341" spans="1:1">
      <c r="A341" s="20"/>
    </row>
    <row r="342" spans="1:1">
      <c r="A342" s="20"/>
    </row>
    <row r="343" spans="1:1">
      <c r="A343" s="20"/>
    </row>
    <row r="344" spans="1:1">
      <c r="A344" s="20"/>
    </row>
    <row r="345" spans="1:1">
      <c r="A345" s="20"/>
    </row>
    <row r="346" spans="1:1">
      <c r="A346" s="20"/>
    </row>
    <row r="347" spans="1:1">
      <c r="A347" s="20"/>
    </row>
    <row r="348" spans="1:1">
      <c r="A348" s="20"/>
    </row>
    <row r="349" spans="1:1">
      <c r="A349" s="20"/>
    </row>
    <row r="350" spans="1:1">
      <c r="A350" s="20"/>
    </row>
    <row r="351" spans="1:1">
      <c r="A351" s="20"/>
    </row>
    <row r="352" spans="1:1">
      <c r="A352" s="20"/>
    </row>
    <row r="353" spans="1:1">
      <c r="A353" s="20"/>
    </row>
    <row r="354" spans="1:1">
      <c r="A354" s="20"/>
    </row>
    <row r="355" spans="1:1">
      <c r="A355" s="20"/>
    </row>
    <row r="356" spans="1:1">
      <c r="A356" s="20"/>
    </row>
    <row r="357" spans="1:1">
      <c r="A357" s="20"/>
    </row>
    <row r="358" spans="1:1">
      <c r="A358" s="20"/>
    </row>
    <row r="359" spans="1:1">
      <c r="A359" s="20"/>
    </row>
    <row r="360" spans="1:1">
      <c r="A360" s="20"/>
    </row>
    <row r="361" spans="1:1">
      <c r="A361" s="20"/>
    </row>
    <row r="362" spans="1:1">
      <c r="A362" s="20"/>
    </row>
    <row r="363" spans="1:1">
      <c r="A363" s="20"/>
    </row>
    <row r="364" spans="1:1">
      <c r="A364" s="20"/>
    </row>
    <row r="365" spans="1:1">
      <c r="A365" s="20"/>
    </row>
    <row r="366" spans="1:1">
      <c r="A366" s="20"/>
    </row>
    <row r="367" spans="1:1">
      <c r="A367" s="20"/>
    </row>
    <row r="368" spans="1:1">
      <c r="A368" s="20"/>
    </row>
    <row r="369" spans="1:1">
      <c r="A369" s="20"/>
    </row>
    <row r="370" spans="1:1">
      <c r="A370" s="20"/>
    </row>
    <row r="371" spans="1:1">
      <c r="A371" s="20"/>
    </row>
    <row r="372" spans="1:1">
      <c r="A372" s="20"/>
    </row>
    <row r="373" spans="1:1">
      <c r="A373" s="20"/>
    </row>
    <row r="374" spans="1:1">
      <c r="A374" s="20"/>
    </row>
    <row r="375" spans="1:1">
      <c r="A375" s="20"/>
    </row>
    <row r="376" spans="1:1">
      <c r="A376" s="20"/>
    </row>
    <row r="377" spans="1:1">
      <c r="A377" s="20"/>
    </row>
    <row r="378" spans="1:1">
      <c r="A378" s="20"/>
    </row>
    <row r="379" spans="1:1">
      <c r="A379" s="20"/>
    </row>
    <row r="380" spans="1:1">
      <c r="A380" s="20"/>
    </row>
    <row r="381" spans="1:1">
      <c r="A381" s="20"/>
    </row>
    <row r="382" spans="1:1">
      <c r="A382" s="20"/>
    </row>
    <row r="383" spans="1:1">
      <c r="A383" s="20"/>
    </row>
    <row r="384" spans="1:1">
      <c r="A384" s="20"/>
    </row>
    <row r="385" spans="1:1">
      <c r="A385" s="20"/>
    </row>
    <row r="386" spans="1:1">
      <c r="A386" s="20"/>
    </row>
    <row r="387" spans="1:1">
      <c r="A387" s="20"/>
    </row>
    <row r="388" spans="1:1">
      <c r="A388" s="20"/>
    </row>
    <row r="389" spans="1:1">
      <c r="A389" s="20"/>
    </row>
    <row r="390" spans="1:1">
      <c r="A390" s="20"/>
    </row>
    <row r="391" spans="1:1">
      <c r="A391" s="20"/>
    </row>
    <row r="392" spans="1:1">
      <c r="A392" s="20"/>
    </row>
    <row r="393" spans="1:1">
      <c r="A393" s="20"/>
    </row>
    <row r="394" spans="1:1">
      <c r="A394" s="20"/>
    </row>
    <row r="395" spans="1:1">
      <c r="A395" s="20"/>
    </row>
    <row r="396" spans="1:1">
      <c r="A396" s="20"/>
    </row>
    <row r="397" spans="1:1">
      <c r="A397" s="20"/>
    </row>
    <row r="398" spans="1:1">
      <c r="A398" s="20"/>
    </row>
    <row r="399" spans="1:1">
      <c r="A399" s="20"/>
    </row>
    <row r="400" spans="1:1">
      <c r="A400" s="20"/>
    </row>
    <row r="401" spans="1:1">
      <c r="A401" s="20"/>
    </row>
    <row r="402" spans="1:1">
      <c r="A402" s="20"/>
    </row>
    <row r="403" spans="1:1">
      <c r="A403" s="20"/>
    </row>
    <row r="404" spans="1:1">
      <c r="A404" s="20"/>
    </row>
    <row r="405" spans="1:1">
      <c r="A405" s="20"/>
    </row>
    <row r="406" spans="1:1">
      <c r="A406" s="20"/>
    </row>
    <row r="407" spans="1:1">
      <c r="A407" s="20"/>
    </row>
    <row r="408" spans="1:1">
      <c r="A408" s="20"/>
    </row>
    <row r="409" spans="1:1">
      <c r="A409" s="20"/>
    </row>
    <row r="410" spans="1:1">
      <c r="A410" s="20"/>
    </row>
    <row r="411" spans="1:1">
      <c r="A411" s="20"/>
    </row>
    <row r="412" spans="1:1">
      <c r="A412" s="20"/>
    </row>
    <row r="413" spans="1:1">
      <c r="A413" s="20"/>
    </row>
    <row r="414" spans="1:1">
      <c r="A414" s="20"/>
    </row>
    <row r="415" spans="1:1">
      <c r="A415" s="20"/>
    </row>
    <row r="416" spans="1:1">
      <c r="A416" s="20"/>
    </row>
    <row r="417" spans="1:1">
      <c r="A417" s="20"/>
    </row>
    <row r="418" spans="1:1">
      <c r="A418" s="20"/>
    </row>
    <row r="419" spans="1:1">
      <c r="A419" s="20"/>
    </row>
    <row r="420" spans="1:1">
      <c r="A420" s="20"/>
    </row>
    <row r="421" spans="1:1">
      <c r="A421" s="20"/>
    </row>
    <row r="422" spans="1:1">
      <c r="A422" s="20"/>
    </row>
    <row r="423" spans="1:1">
      <c r="A423" s="20"/>
    </row>
    <row r="424" spans="1:1">
      <c r="A424" s="20"/>
    </row>
    <row r="425" spans="1:1">
      <c r="A425" s="20"/>
    </row>
    <row r="426" spans="1:1">
      <c r="A426" s="20"/>
    </row>
    <row r="427" spans="1:1">
      <c r="A427" s="20"/>
    </row>
    <row r="428" spans="1:1">
      <c r="A428" s="20"/>
    </row>
    <row r="429" spans="1:1">
      <c r="A429" s="20"/>
    </row>
    <row r="430" spans="1:1">
      <c r="A430" s="20"/>
    </row>
    <row r="431" spans="1:1">
      <c r="A431" s="20"/>
    </row>
    <row r="432" spans="1:1">
      <c r="A432" s="20"/>
    </row>
    <row r="433" spans="1:1">
      <c r="A433" s="20"/>
    </row>
    <row r="434" spans="1:1">
      <c r="A434" s="20"/>
    </row>
    <row r="435" spans="1:1">
      <c r="A435" s="20"/>
    </row>
    <row r="436" spans="1:1">
      <c r="A436" s="20"/>
    </row>
    <row r="437" spans="1:1">
      <c r="A437" s="20"/>
    </row>
    <row r="438" spans="1:1">
      <c r="A438" s="20"/>
    </row>
    <row r="439" spans="1:1">
      <c r="A439" s="20"/>
    </row>
    <row r="440" spans="1:1">
      <c r="A440" s="20"/>
    </row>
    <row r="441" spans="1:1">
      <c r="A441" s="20"/>
    </row>
    <row r="442" spans="1:1">
      <c r="A442" s="20"/>
    </row>
    <row r="443" spans="1:1">
      <c r="A443" s="20"/>
    </row>
    <row r="444" spans="1:1">
      <c r="A444" s="20"/>
    </row>
    <row r="445" spans="1:1">
      <c r="A445" s="20"/>
    </row>
    <row r="446" spans="1:1">
      <c r="A446" s="20"/>
    </row>
    <row r="447" spans="1:1">
      <c r="A447" s="20"/>
    </row>
    <row r="448" spans="1:1">
      <c r="A448" s="20"/>
    </row>
    <row r="449" spans="1:1">
      <c r="A449" s="20"/>
    </row>
    <row r="450" spans="1:1">
      <c r="A450" s="20"/>
    </row>
    <row r="451" spans="1:1">
      <c r="A451" s="20"/>
    </row>
    <row r="452" spans="1:1">
      <c r="A452" s="20"/>
    </row>
    <row r="453" spans="1:1">
      <c r="A453" s="20"/>
    </row>
    <row r="454" spans="1:1">
      <c r="A454" s="20"/>
    </row>
    <row r="455" spans="1:1">
      <c r="A455" s="20"/>
    </row>
    <row r="456" spans="1:1">
      <c r="A456" s="20"/>
    </row>
    <row r="457" spans="1:1">
      <c r="A457" s="20"/>
    </row>
    <row r="458" spans="1:1">
      <c r="A458" s="20"/>
    </row>
    <row r="459" spans="1:1">
      <c r="A459" s="20"/>
    </row>
    <row r="460" spans="1:1">
      <c r="A460" s="20"/>
    </row>
    <row r="461" spans="1:1">
      <c r="A461" s="20"/>
    </row>
    <row r="462" spans="1:1">
      <c r="A462" s="20"/>
    </row>
    <row r="463" spans="1:1">
      <c r="A463" s="20"/>
    </row>
    <row r="464" spans="1:1">
      <c r="A464" s="20"/>
    </row>
    <row r="465" spans="1:1">
      <c r="A465" s="20"/>
    </row>
    <row r="466" spans="1:1">
      <c r="A466" s="20"/>
    </row>
    <row r="467" spans="1:1">
      <c r="A467" s="20"/>
    </row>
    <row r="468" spans="1:1">
      <c r="A468" s="20"/>
    </row>
    <row r="469" spans="1:1">
      <c r="A469" s="20"/>
    </row>
    <row r="470" spans="1:1">
      <c r="A470" s="20"/>
    </row>
    <row r="471" spans="1:1">
      <c r="A471" s="20"/>
    </row>
    <row r="472" spans="1:1">
      <c r="A472" s="20"/>
    </row>
    <row r="473" spans="1:1">
      <c r="A473" s="20"/>
    </row>
    <row r="474" spans="1:1">
      <c r="A474" s="20"/>
    </row>
    <row r="475" spans="1:1">
      <c r="A475" s="20"/>
    </row>
    <row r="476" spans="1:1">
      <c r="A476" s="20"/>
    </row>
    <row r="477" spans="1:1">
      <c r="A477" s="20"/>
    </row>
    <row r="478" spans="1:1">
      <c r="A478" s="20"/>
    </row>
    <row r="479" spans="1:1">
      <c r="A479" s="20"/>
    </row>
    <row r="480" spans="1:1">
      <c r="A480" s="20"/>
    </row>
    <row r="481" spans="1:1">
      <c r="A481" s="20"/>
    </row>
    <row r="482" spans="1:1">
      <c r="A482" s="20"/>
    </row>
    <row r="483" spans="1:1">
      <c r="A483" s="20"/>
    </row>
    <row r="484" spans="1:1">
      <c r="A484" s="20"/>
    </row>
    <row r="485" spans="1:1">
      <c r="A485" s="20"/>
    </row>
    <row r="486" spans="1:1">
      <c r="A486" s="20"/>
    </row>
    <row r="487" spans="1:1">
      <c r="A487" s="20"/>
    </row>
    <row r="488" spans="1:1">
      <c r="A488" s="20"/>
    </row>
    <row r="489" spans="1:1">
      <c r="A489" s="20"/>
    </row>
    <row r="490" spans="1:1">
      <c r="A490" s="20"/>
    </row>
    <row r="491" spans="1:1">
      <c r="A491" s="20"/>
    </row>
    <row r="492" spans="1:1">
      <c r="A492" s="20"/>
    </row>
    <row r="493" spans="1:1">
      <c r="A493" s="20"/>
    </row>
    <row r="494" spans="1:1">
      <c r="A494" s="20"/>
    </row>
    <row r="495" spans="1:1">
      <c r="A495" s="20"/>
    </row>
    <row r="496" spans="1:1">
      <c r="A496" s="20"/>
    </row>
    <row r="497" spans="1:1">
      <c r="A497" s="20"/>
    </row>
    <row r="498" spans="1:1">
      <c r="A498" s="20"/>
    </row>
    <row r="499" spans="1:1">
      <c r="A499" s="20"/>
    </row>
    <row r="500" spans="1:1">
      <c r="A500" s="20"/>
    </row>
    <row r="501" spans="1:1">
      <c r="A501" s="20"/>
    </row>
    <row r="502" spans="1:1">
      <c r="A502" s="20"/>
    </row>
    <row r="503" spans="1:1">
      <c r="A503" s="20"/>
    </row>
    <row r="504" spans="1:1">
      <c r="A504" s="20"/>
    </row>
    <row r="505" spans="1:1">
      <c r="A505" s="20"/>
    </row>
    <row r="506" spans="1:1">
      <c r="A506" s="20"/>
    </row>
    <row r="507" spans="1:1">
      <c r="A507" s="20"/>
    </row>
    <row r="508" spans="1:1">
      <c r="A508" s="20"/>
    </row>
    <row r="509" spans="1:1">
      <c r="A509" s="20"/>
    </row>
    <row r="510" spans="1:1">
      <c r="A510" s="20"/>
    </row>
    <row r="511" spans="1:1">
      <c r="A511" s="20"/>
    </row>
    <row r="512" spans="1:1">
      <c r="A512" s="20"/>
    </row>
    <row r="513" spans="1:1">
      <c r="A513" s="20"/>
    </row>
    <row r="514" spans="1:1">
      <c r="A514" s="20"/>
    </row>
    <row r="515" spans="1:1">
      <c r="A515" s="20"/>
    </row>
    <row r="516" spans="1:1">
      <c r="A516" s="20"/>
    </row>
    <row r="517" spans="1:1">
      <c r="A517" s="20"/>
    </row>
    <row r="518" spans="1:1">
      <c r="A518" s="20"/>
    </row>
    <row r="519" spans="1:1">
      <c r="A519" s="20"/>
    </row>
    <row r="520" spans="1:1">
      <c r="A520" s="20"/>
    </row>
    <row r="521" spans="1:1">
      <c r="A521" s="20"/>
    </row>
    <row r="522" spans="1:1">
      <c r="A522" s="20"/>
    </row>
    <row r="523" spans="1:1">
      <c r="A523" s="20"/>
    </row>
    <row r="524" spans="1:1">
      <c r="A524" s="20"/>
    </row>
    <row r="525" spans="1:1">
      <c r="A525" s="20"/>
    </row>
    <row r="526" spans="1:1">
      <c r="A526" s="20"/>
    </row>
    <row r="527" spans="1:1">
      <c r="A527" s="20"/>
    </row>
    <row r="528" spans="1:1">
      <c r="A528" s="20"/>
    </row>
    <row r="529" spans="1:1">
      <c r="A529" s="20"/>
    </row>
    <row r="530" spans="1:1">
      <c r="A530" s="20"/>
    </row>
    <row r="531" spans="1:1">
      <c r="A531" s="20"/>
    </row>
    <row r="532" spans="1:1">
      <c r="A532" s="20"/>
    </row>
    <row r="533" spans="1:1">
      <c r="A533" s="20"/>
    </row>
    <row r="534" spans="1:1">
      <c r="A534" s="20"/>
    </row>
    <row r="535" spans="1:1">
      <c r="A535" s="20"/>
    </row>
    <row r="536" spans="1:1">
      <c r="A536" s="20"/>
    </row>
    <row r="537" spans="1:1">
      <c r="A537" s="20"/>
    </row>
    <row r="538" spans="1:1">
      <c r="A538" s="20"/>
    </row>
    <row r="539" spans="1:1">
      <c r="A539" s="20"/>
    </row>
    <row r="540" spans="1:1">
      <c r="A540" s="20"/>
    </row>
    <row r="541" spans="1:1">
      <c r="A541" s="20"/>
    </row>
    <row r="542" spans="1:1">
      <c r="A542" s="20"/>
    </row>
    <row r="543" spans="1:1">
      <c r="A543" s="20"/>
    </row>
    <row r="544" spans="1:1">
      <c r="A544" s="20"/>
    </row>
    <row r="545" spans="1:1">
      <c r="A545" s="20"/>
    </row>
    <row r="546" spans="1:1">
      <c r="A546" s="20"/>
    </row>
    <row r="547" spans="1:1">
      <c r="A547" s="20"/>
    </row>
    <row r="548" spans="1:1">
      <c r="A548" s="20"/>
    </row>
    <row r="549" spans="1:1">
      <c r="A549" s="20"/>
    </row>
    <row r="550" spans="1:1">
      <c r="A550" s="20"/>
    </row>
    <row r="551" spans="1:1">
      <c r="A551" s="20"/>
    </row>
    <row r="552" spans="1:1">
      <c r="A552" s="20"/>
    </row>
    <row r="553" spans="1:1">
      <c r="A553" s="20"/>
    </row>
    <row r="554" spans="1:1">
      <c r="A554" s="20"/>
    </row>
    <row r="555" spans="1:1">
      <c r="A555" s="20"/>
    </row>
    <row r="556" spans="1:1">
      <c r="A556" s="20"/>
    </row>
    <row r="557" spans="1:1">
      <c r="A557" s="20"/>
    </row>
    <row r="558" spans="1:1">
      <c r="A558" s="20"/>
    </row>
    <row r="559" spans="1:1">
      <c r="A559" s="20"/>
    </row>
    <row r="560" spans="1:1">
      <c r="A560" s="20"/>
    </row>
    <row r="561" spans="1:1">
      <c r="A561" s="20"/>
    </row>
    <row r="562" spans="1:1">
      <c r="A562" s="20"/>
    </row>
    <row r="563" spans="1:1">
      <c r="A563" s="20"/>
    </row>
    <row r="564" spans="1:1">
      <c r="A564" s="20"/>
    </row>
    <row r="565" spans="1:1">
      <c r="A565" s="20"/>
    </row>
    <row r="566" spans="1:1">
      <c r="A566" s="20"/>
    </row>
    <row r="567" spans="1:1">
      <c r="A567" s="20"/>
    </row>
    <row r="568" spans="1:1">
      <c r="A568" s="20"/>
    </row>
    <row r="569" spans="1:1">
      <c r="A569" s="20"/>
    </row>
    <row r="570" spans="1:1">
      <c r="A570" s="20"/>
    </row>
    <row r="571" spans="1:1">
      <c r="A571" s="20"/>
    </row>
    <row r="572" spans="1:1">
      <c r="A572" s="20"/>
    </row>
    <row r="573" spans="1:1">
      <c r="A573" s="20"/>
    </row>
    <row r="574" spans="1:1">
      <c r="A574" s="20"/>
    </row>
    <row r="575" spans="1:1">
      <c r="A575" s="20"/>
    </row>
    <row r="576" spans="1:1">
      <c r="A576" s="20"/>
    </row>
    <row r="577" spans="1:1">
      <c r="A577" s="20"/>
    </row>
    <row r="578" spans="1:1">
      <c r="A578" s="20"/>
    </row>
    <row r="579" spans="1:1">
      <c r="A579" s="20"/>
    </row>
    <row r="580" spans="1:1">
      <c r="A580" s="20"/>
    </row>
    <row r="581" spans="1:1">
      <c r="A581" s="20"/>
    </row>
    <row r="582" spans="1:1">
      <c r="A582" s="20"/>
    </row>
    <row r="583" spans="1:1">
      <c r="A583" s="20"/>
    </row>
    <row r="584" spans="1:1">
      <c r="A584" s="20"/>
    </row>
    <row r="585" spans="1:1">
      <c r="A585" s="20"/>
    </row>
    <row r="586" spans="1:1">
      <c r="A586" s="20"/>
    </row>
    <row r="587" spans="1:1">
      <c r="A587" s="20"/>
    </row>
    <row r="588" spans="1:1">
      <c r="A588" s="20"/>
    </row>
    <row r="589" spans="1:1">
      <c r="A589" s="20"/>
    </row>
    <row r="590" spans="1:1">
      <c r="A590" s="20"/>
    </row>
    <row r="591" spans="1:1">
      <c r="A591" s="20"/>
    </row>
    <row r="592" spans="1:1">
      <c r="A592" s="20"/>
    </row>
    <row r="593" spans="1:1">
      <c r="A593" s="20"/>
    </row>
    <row r="594" spans="1:1">
      <c r="A594" s="20"/>
    </row>
    <row r="595" spans="1:1">
      <c r="A595" s="20"/>
    </row>
    <row r="596" spans="1:1">
      <c r="A596" s="20"/>
    </row>
    <row r="597" spans="1:1">
      <c r="A597" s="20"/>
    </row>
    <row r="598" spans="1:1">
      <c r="A598" s="20"/>
    </row>
    <row r="599" spans="1:1">
      <c r="A599" s="20"/>
    </row>
    <row r="600" spans="1:1">
      <c r="A600" s="20"/>
    </row>
    <row r="601" spans="1:1">
      <c r="A601" s="20"/>
    </row>
    <row r="602" spans="1:1">
      <c r="A602" s="20"/>
    </row>
    <row r="603" spans="1:1">
      <c r="A603" s="20"/>
    </row>
    <row r="604" spans="1:1">
      <c r="A604" s="20"/>
    </row>
    <row r="605" spans="1:1">
      <c r="A605" s="20"/>
    </row>
    <row r="606" spans="1:1">
      <c r="A606" s="20"/>
    </row>
    <row r="607" spans="1:1">
      <c r="A607" s="20"/>
    </row>
    <row r="608" spans="1:1">
      <c r="A608" s="20"/>
    </row>
    <row r="609" spans="1:1">
      <c r="A609" s="20"/>
    </row>
    <row r="610" spans="1:1">
      <c r="A610" s="20"/>
    </row>
    <row r="611" spans="1:1">
      <c r="A611" s="20"/>
    </row>
    <row r="612" spans="1:1">
      <c r="A612" s="20"/>
    </row>
    <row r="613" spans="1:1">
      <c r="A613" s="20"/>
    </row>
    <row r="614" spans="1:1">
      <c r="A614" s="20"/>
    </row>
    <row r="615" spans="1:1">
      <c r="A615" s="20"/>
    </row>
    <row r="616" spans="1:1">
      <c r="A616" s="20"/>
    </row>
    <row r="617" spans="1:1">
      <c r="A617" s="20"/>
    </row>
    <row r="618" spans="1:1">
      <c r="A618" s="20"/>
    </row>
    <row r="619" spans="1:1">
      <c r="A619" s="20"/>
    </row>
    <row r="620" spans="1:1">
      <c r="A620" s="20"/>
    </row>
    <row r="621" spans="1:1">
      <c r="A621" s="20"/>
    </row>
    <row r="622" spans="1:1">
      <c r="A622" s="20"/>
    </row>
    <row r="623" spans="1:1">
      <c r="A623" s="20"/>
    </row>
    <row r="624" spans="1:1">
      <c r="A624" s="20"/>
    </row>
    <row r="625" spans="1:1">
      <c r="A625" s="20"/>
    </row>
    <row r="626" spans="1:1">
      <c r="A626" s="20"/>
    </row>
    <row r="627" spans="1:1">
      <c r="A627" s="20"/>
    </row>
    <row r="628" spans="1:1">
      <c r="A628" s="20"/>
    </row>
    <row r="629" spans="1:1">
      <c r="A629" s="20"/>
    </row>
    <row r="630" spans="1:1">
      <c r="A630" s="20"/>
    </row>
    <row r="631" spans="1:1">
      <c r="A631" s="20"/>
    </row>
    <row r="632" spans="1:1">
      <c r="A632" s="20"/>
    </row>
    <row r="633" spans="1:1">
      <c r="A633" s="20"/>
    </row>
    <row r="634" spans="1:1">
      <c r="A634" s="20"/>
    </row>
    <row r="635" spans="1:1">
      <c r="A635" s="20"/>
    </row>
    <row r="636" spans="1:1">
      <c r="A636" s="20"/>
    </row>
    <row r="637" spans="1:1">
      <c r="A637" s="20"/>
    </row>
    <row r="638" spans="1:1">
      <c r="A638" s="20"/>
    </row>
    <row r="639" spans="1:1">
      <c r="A639" s="20"/>
    </row>
    <row r="640" spans="1:1">
      <c r="A640" s="20"/>
    </row>
    <row r="641" spans="1:1">
      <c r="A641" s="20"/>
    </row>
    <row r="642" spans="1:1">
      <c r="A642" s="20"/>
    </row>
    <row r="643" spans="1:1">
      <c r="A643" s="20"/>
    </row>
    <row r="644" spans="1:1">
      <c r="A644" s="20"/>
    </row>
    <row r="645" spans="1:1">
      <c r="A645" s="20"/>
    </row>
    <row r="646" spans="1:1">
      <c r="A646" s="20"/>
    </row>
    <row r="647" spans="1:1">
      <c r="A647" s="20"/>
    </row>
    <row r="648" spans="1:1">
      <c r="A648" s="20"/>
    </row>
    <row r="649" spans="1:1">
      <c r="A649" s="20"/>
    </row>
    <row r="650" spans="1:1">
      <c r="A650" s="20"/>
    </row>
    <row r="651" spans="1:1">
      <c r="A651" s="20"/>
    </row>
    <row r="652" spans="1:1">
      <c r="A652" s="20"/>
    </row>
    <row r="653" spans="1:1">
      <c r="A653" s="20"/>
    </row>
    <row r="654" spans="1:1">
      <c r="A654" s="20"/>
    </row>
    <row r="655" spans="1:1">
      <c r="A655" s="20"/>
    </row>
    <row r="656" spans="1:1">
      <c r="A656" s="20"/>
    </row>
    <row r="657" spans="1:1">
      <c r="A657" s="20"/>
    </row>
    <row r="658" spans="1:1">
      <c r="A658" s="20"/>
    </row>
    <row r="659" spans="1:1">
      <c r="A659" s="20"/>
    </row>
    <row r="660" spans="1:1">
      <c r="A660" s="20"/>
    </row>
    <row r="661" spans="1:1">
      <c r="A661" s="20"/>
    </row>
    <row r="662" spans="1:1">
      <c r="A662" s="20"/>
    </row>
    <row r="663" spans="1:1">
      <c r="A663" s="20"/>
    </row>
    <row r="664" spans="1:1">
      <c r="A664" s="20"/>
    </row>
    <row r="665" spans="1:1">
      <c r="A665" s="20"/>
    </row>
    <row r="666" spans="1:1">
      <c r="A666" s="20"/>
    </row>
    <row r="667" spans="1:1">
      <c r="A667" s="20"/>
    </row>
    <row r="668" spans="1:1">
      <c r="A668" s="20"/>
    </row>
    <row r="669" spans="1:1">
      <c r="A669" s="20"/>
    </row>
    <row r="670" spans="1:1">
      <c r="A670" s="20"/>
    </row>
    <row r="671" spans="1:1">
      <c r="A671" s="20"/>
    </row>
    <row r="672" spans="1:1">
      <c r="A672" s="20"/>
    </row>
    <row r="673" spans="1:1">
      <c r="A673" s="20"/>
    </row>
    <row r="674" spans="1:1">
      <c r="A674" s="20"/>
    </row>
    <row r="675" spans="1:1">
      <c r="A675" s="20"/>
    </row>
    <row r="676" spans="1:1">
      <c r="A676" s="20"/>
    </row>
    <row r="677" spans="1:1">
      <c r="A677" s="20"/>
    </row>
    <row r="678" spans="1:1">
      <c r="A678" s="20"/>
    </row>
    <row r="679" spans="1:1">
      <c r="A679" s="20"/>
    </row>
    <row r="680" spans="1:1">
      <c r="A680" s="20"/>
    </row>
    <row r="681" spans="1:1">
      <c r="A681" s="20"/>
    </row>
    <row r="682" spans="1:1">
      <c r="A682" s="20"/>
    </row>
    <row r="683" spans="1:1">
      <c r="A683" s="20"/>
    </row>
    <row r="684" spans="1:1">
      <c r="A684" s="20"/>
    </row>
    <row r="685" spans="1:1">
      <c r="A685" s="20"/>
    </row>
    <row r="686" spans="1:1">
      <c r="A686" s="20"/>
    </row>
    <row r="687" spans="1:1">
      <c r="A687" s="20"/>
    </row>
    <row r="688" spans="1:1">
      <c r="A688" s="20"/>
    </row>
    <row r="689" spans="1:1">
      <c r="A689" s="20"/>
    </row>
    <row r="690" spans="1:1">
      <c r="A690" s="20"/>
    </row>
    <row r="691" spans="1:1">
      <c r="A691" s="20"/>
    </row>
    <row r="692" spans="1:1">
      <c r="A692" s="20"/>
    </row>
    <row r="693" spans="1:1">
      <c r="A693" s="20"/>
    </row>
    <row r="694" spans="1:1">
      <c r="A694" s="20"/>
    </row>
    <row r="695" spans="1:1">
      <c r="A695" s="20"/>
    </row>
    <row r="696" spans="1:1">
      <c r="A696" s="20"/>
    </row>
    <row r="697" spans="1:1">
      <c r="A697" s="20"/>
    </row>
    <row r="698" spans="1:1">
      <c r="A698" s="20"/>
    </row>
    <row r="699" spans="1:1">
      <c r="A699" s="20"/>
    </row>
    <row r="700" spans="1:1">
      <c r="A700" s="20"/>
    </row>
    <row r="701" spans="1:1">
      <c r="A701" s="20"/>
    </row>
    <row r="702" spans="1:1">
      <c r="A702" s="20"/>
    </row>
    <row r="703" spans="1:1">
      <c r="A703" s="20"/>
    </row>
    <row r="704" spans="1:1">
      <c r="A704" s="20"/>
    </row>
    <row r="705" spans="1:1">
      <c r="A705" s="20"/>
    </row>
    <row r="706" spans="1:1">
      <c r="A706" s="20"/>
    </row>
    <row r="707" spans="1:1">
      <c r="A707" s="20"/>
    </row>
    <row r="708" spans="1:1">
      <c r="A708" s="20"/>
    </row>
    <row r="709" spans="1:1">
      <c r="A709" s="20"/>
    </row>
    <row r="710" spans="1:1">
      <c r="A710" s="20"/>
    </row>
    <row r="711" spans="1:1">
      <c r="A711" s="20"/>
    </row>
    <row r="712" spans="1:1">
      <c r="A712" s="20"/>
    </row>
    <row r="713" spans="1:1">
      <c r="A713" s="20"/>
    </row>
    <row r="714" spans="1:1">
      <c r="A714" s="20"/>
    </row>
    <row r="715" spans="1:1">
      <c r="A715" s="20"/>
    </row>
    <row r="716" spans="1:1">
      <c r="A716" s="20"/>
    </row>
    <row r="717" spans="1:1">
      <c r="A717" s="20"/>
    </row>
    <row r="718" spans="1:1">
      <c r="A718" s="20"/>
    </row>
    <row r="719" spans="1:1">
      <c r="A719" s="20"/>
    </row>
    <row r="720" spans="1:1">
      <c r="A720" s="20"/>
    </row>
    <row r="721" spans="1:1">
      <c r="A721" s="20"/>
    </row>
    <row r="722" spans="1:1">
      <c r="A722" s="20"/>
    </row>
    <row r="723" spans="1:1">
      <c r="A723" s="20"/>
    </row>
    <row r="724" spans="1:1">
      <c r="A724" s="20"/>
    </row>
    <row r="725" spans="1:1">
      <c r="A725" s="20"/>
    </row>
    <row r="726" spans="1:1">
      <c r="A726" s="20"/>
    </row>
    <row r="727" spans="1:1">
      <c r="A727" s="20"/>
    </row>
    <row r="728" spans="1:1">
      <c r="A728" s="20"/>
    </row>
    <row r="729" spans="1:1">
      <c r="A729" s="20"/>
    </row>
    <row r="730" spans="1:1">
      <c r="A730" s="20"/>
    </row>
    <row r="731" spans="1:1">
      <c r="A731" s="20"/>
    </row>
    <row r="732" spans="1:1">
      <c r="A732" s="20"/>
    </row>
    <row r="733" spans="1:1">
      <c r="A733" s="20"/>
    </row>
    <row r="734" spans="1:1">
      <c r="A734" s="20"/>
    </row>
    <row r="735" spans="1:1">
      <c r="A735" s="20"/>
    </row>
    <row r="736" spans="1:1">
      <c r="A736" s="20"/>
    </row>
    <row r="737" spans="1:1">
      <c r="A737" s="20"/>
    </row>
    <row r="738" spans="1:1">
      <c r="A738" s="20"/>
    </row>
    <row r="739" spans="1:1">
      <c r="A739" s="20"/>
    </row>
    <row r="740" spans="1:1">
      <c r="A740" s="20"/>
    </row>
    <row r="741" spans="1:1">
      <c r="A741" s="20"/>
    </row>
    <row r="742" spans="1:1">
      <c r="A742" s="20"/>
    </row>
    <row r="743" spans="1:1">
      <c r="A743" s="20"/>
    </row>
    <row r="744" spans="1:1">
      <c r="A744" s="20"/>
    </row>
    <row r="745" spans="1:1">
      <c r="A745" s="20"/>
    </row>
    <row r="746" spans="1:1">
      <c r="A746" s="20"/>
    </row>
    <row r="747" spans="1:1">
      <c r="A747" s="20"/>
    </row>
    <row r="748" spans="1:1">
      <c r="A748" s="20"/>
    </row>
    <row r="749" spans="1:1">
      <c r="A749" s="20"/>
    </row>
    <row r="750" spans="1:1">
      <c r="A750" s="20"/>
    </row>
    <row r="751" spans="1:1">
      <c r="A751" s="20"/>
    </row>
    <row r="752" spans="1:1">
      <c r="A752" s="20"/>
    </row>
    <row r="753" spans="1:1">
      <c r="A753" s="20"/>
    </row>
    <row r="754" spans="1:1">
      <c r="A754" s="20"/>
    </row>
    <row r="755" spans="1:1">
      <c r="A755" s="20"/>
    </row>
    <row r="756" spans="1:1">
      <c r="A756" s="20"/>
    </row>
    <row r="757" spans="1:1">
      <c r="A757" s="20"/>
    </row>
    <row r="758" spans="1:1">
      <c r="A758" s="20"/>
    </row>
    <row r="759" spans="1:1">
      <c r="A759" s="20"/>
    </row>
    <row r="760" spans="1:1">
      <c r="A760" s="20"/>
    </row>
    <row r="761" spans="1:1">
      <c r="A761" s="20"/>
    </row>
    <row r="762" spans="1:1">
      <c r="A762" s="20"/>
    </row>
    <row r="763" spans="1:1">
      <c r="A763" s="20"/>
    </row>
    <row r="764" spans="1:1">
      <c r="A764" s="20"/>
    </row>
    <row r="765" spans="1:1">
      <c r="A765" s="20"/>
    </row>
    <row r="766" spans="1:1">
      <c r="A766" s="20"/>
    </row>
    <row r="767" spans="1:1">
      <c r="A767" s="20"/>
    </row>
    <row r="768" spans="1:1">
      <c r="A768" s="20"/>
    </row>
    <row r="769" spans="1:1">
      <c r="A769" s="20"/>
    </row>
    <row r="770" spans="1:1">
      <c r="A770" s="20"/>
    </row>
    <row r="771" spans="1:1">
      <c r="A771" s="20"/>
    </row>
    <row r="772" spans="1:1">
      <c r="A772" s="20"/>
    </row>
    <row r="773" spans="1:1">
      <c r="A773" s="20"/>
    </row>
    <row r="774" spans="1:1">
      <c r="A774" s="20"/>
    </row>
    <row r="775" spans="1:1">
      <c r="A775" s="20"/>
    </row>
    <row r="776" spans="1:1">
      <c r="A776" s="20"/>
    </row>
    <row r="777" spans="1:1">
      <c r="A777" s="20"/>
    </row>
    <row r="778" spans="1:1">
      <c r="A778" s="20"/>
    </row>
    <row r="779" spans="1:1">
      <c r="A779" s="20"/>
    </row>
    <row r="780" spans="1:1">
      <c r="A780" s="20"/>
    </row>
    <row r="781" spans="1:1">
      <c r="A781" s="20"/>
    </row>
    <row r="782" spans="1:1">
      <c r="A782" s="20"/>
    </row>
    <row r="783" spans="1:1">
      <c r="A783" s="20"/>
    </row>
    <row r="784" spans="1:1">
      <c r="A784" s="20"/>
    </row>
    <row r="785" spans="1:1">
      <c r="A785" s="20"/>
    </row>
    <row r="786" spans="1:1">
      <c r="A786" s="20"/>
    </row>
    <row r="787" spans="1:1">
      <c r="A787" s="20"/>
    </row>
    <row r="788" spans="1:1">
      <c r="A788" s="20"/>
    </row>
    <row r="789" spans="1:1">
      <c r="A789" s="20"/>
    </row>
    <row r="790" spans="1:1">
      <c r="A790" s="20"/>
    </row>
    <row r="791" spans="1:1">
      <c r="A791" s="20"/>
    </row>
    <row r="792" spans="1:1">
      <c r="A792" s="20"/>
    </row>
    <row r="793" spans="1:1">
      <c r="A793" s="20"/>
    </row>
    <row r="794" spans="1:1">
      <c r="A794" s="20"/>
    </row>
    <row r="795" spans="1:1">
      <c r="A795" s="20"/>
    </row>
    <row r="796" spans="1:1">
      <c r="A796" s="20"/>
    </row>
    <row r="797" spans="1:1">
      <c r="A797" s="20"/>
    </row>
    <row r="798" spans="1:1">
      <c r="A798" s="20"/>
    </row>
    <row r="799" spans="1:1">
      <c r="A799" s="20"/>
    </row>
    <row r="800" spans="1:1">
      <c r="A800" s="20"/>
    </row>
    <row r="801" spans="1:1">
      <c r="A801" s="20"/>
    </row>
    <row r="802" spans="1:1">
      <c r="A802" s="20"/>
    </row>
    <row r="803" spans="1:1">
      <c r="A803" s="20"/>
    </row>
    <row r="804" spans="1:1">
      <c r="A804" s="20"/>
    </row>
    <row r="805" spans="1:1">
      <c r="A805" s="20"/>
    </row>
    <row r="806" spans="1:1">
      <c r="A806" s="20"/>
    </row>
    <row r="807" spans="1:1">
      <c r="A807" s="20"/>
    </row>
    <row r="808" spans="1:1">
      <c r="A808" s="20"/>
    </row>
    <row r="809" spans="1:1">
      <c r="A809" s="20"/>
    </row>
    <row r="810" spans="1:1">
      <c r="A810" s="20"/>
    </row>
    <row r="811" spans="1:1">
      <c r="A811" s="20"/>
    </row>
    <row r="812" spans="1:1">
      <c r="A812" s="20"/>
    </row>
    <row r="813" spans="1:1">
      <c r="A813" s="20"/>
    </row>
    <row r="814" spans="1:1">
      <c r="A814" s="20"/>
    </row>
    <row r="815" spans="1:1">
      <c r="A815" s="20"/>
    </row>
    <row r="816" spans="1:1">
      <c r="A816" s="20"/>
    </row>
    <row r="817" spans="1:1">
      <c r="A817" s="20"/>
    </row>
    <row r="818" spans="1:1">
      <c r="A818" s="20"/>
    </row>
    <row r="819" spans="1:1">
      <c r="A819" s="20"/>
    </row>
    <row r="820" spans="1:1">
      <c r="A820" s="20"/>
    </row>
    <row r="821" spans="1:1">
      <c r="A821" s="20"/>
    </row>
    <row r="822" spans="1:1">
      <c r="A822" s="20"/>
    </row>
    <row r="823" spans="1:1">
      <c r="A823" s="20"/>
    </row>
    <row r="824" spans="1:1">
      <c r="A824" s="20"/>
    </row>
    <row r="825" spans="1:1">
      <c r="A825" s="20"/>
    </row>
    <row r="826" spans="1:1">
      <c r="A826" s="20"/>
    </row>
    <row r="827" spans="1:1">
      <c r="A827" s="20"/>
    </row>
    <row r="828" spans="1:1">
      <c r="A828" s="20"/>
    </row>
    <row r="829" spans="1:1">
      <c r="A829" s="20"/>
    </row>
    <row r="830" spans="1:1">
      <c r="A830" s="20"/>
    </row>
    <row r="831" spans="1:1">
      <c r="A831" s="20"/>
    </row>
    <row r="832" spans="1:1">
      <c r="A832" s="20"/>
    </row>
    <row r="833" spans="1:1">
      <c r="A833" s="20"/>
    </row>
    <row r="834" spans="1:1">
      <c r="A834" s="20"/>
    </row>
    <row r="835" spans="1:1">
      <c r="A835" s="20"/>
    </row>
    <row r="836" spans="1:1">
      <c r="A836" s="20"/>
    </row>
    <row r="837" spans="1:1">
      <c r="A837" s="20"/>
    </row>
    <row r="838" spans="1:1">
      <c r="A838" s="20"/>
    </row>
    <row r="839" spans="1:1">
      <c r="A839" s="20"/>
    </row>
    <row r="840" spans="1:1">
      <c r="A840" s="20"/>
    </row>
    <row r="841" spans="1:1">
      <c r="A841" s="20"/>
    </row>
    <row r="842" spans="1:1">
      <c r="A842" s="20"/>
    </row>
    <row r="843" spans="1:1">
      <c r="A843" s="20"/>
    </row>
    <row r="844" spans="1:1">
      <c r="A844" s="20"/>
    </row>
    <row r="845" spans="1:1">
      <c r="A845" s="20"/>
    </row>
    <row r="846" spans="1:1">
      <c r="A846" s="20"/>
    </row>
    <row r="847" spans="1:1">
      <c r="A847" s="20"/>
    </row>
    <row r="848" spans="1:1">
      <c r="A848" s="20"/>
    </row>
    <row r="849" spans="1:1">
      <c r="A849" s="20"/>
    </row>
    <row r="850" spans="1:1">
      <c r="A850" s="20"/>
    </row>
    <row r="851" spans="1:1">
      <c r="A851" s="20"/>
    </row>
    <row r="852" spans="1:1">
      <c r="A852" s="20"/>
    </row>
    <row r="853" spans="1:1">
      <c r="A853" s="20"/>
    </row>
    <row r="854" spans="1:1">
      <c r="A854" s="20"/>
    </row>
    <row r="855" spans="1:1">
      <c r="A855" s="20"/>
    </row>
    <row r="856" spans="1:1">
      <c r="A856" s="20"/>
    </row>
    <row r="857" spans="1:1">
      <c r="A857" s="20"/>
    </row>
    <row r="858" spans="1:1">
      <c r="A858" s="20"/>
    </row>
    <row r="859" spans="1:1">
      <c r="A859" s="20"/>
    </row>
    <row r="860" spans="1:1">
      <c r="A860" s="20"/>
    </row>
    <row r="861" spans="1:1">
      <c r="A861" s="20"/>
    </row>
    <row r="862" spans="1:1">
      <c r="A862" s="20"/>
    </row>
    <row r="863" spans="1:1">
      <c r="A863" s="20"/>
    </row>
    <row r="864" spans="1:1">
      <c r="A864" s="20"/>
    </row>
    <row r="865" spans="1:1">
      <c r="A865" s="20"/>
    </row>
    <row r="866" spans="1:1">
      <c r="A866" s="20"/>
    </row>
    <row r="867" spans="1:1">
      <c r="A867" s="20"/>
    </row>
    <row r="868" spans="1:1">
      <c r="A868" s="20"/>
    </row>
    <row r="869" spans="1:1">
      <c r="A869" s="20"/>
    </row>
    <row r="870" spans="1:1">
      <c r="A870" s="20"/>
    </row>
    <row r="871" spans="1:1">
      <c r="A871" s="20"/>
    </row>
    <row r="872" spans="1:1">
      <c r="A872" s="20"/>
    </row>
    <row r="873" spans="1:1">
      <c r="A873" s="20"/>
    </row>
    <row r="874" spans="1:1">
      <c r="A874" s="20"/>
    </row>
    <row r="875" spans="1:1">
      <c r="A875" s="20"/>
    </row>
    <row r="876" spans="1:1">
      <c r="A876" s="20"/>
    </row>
    <row r="877" spans="1:1">
      <c r="A877" s="20"/>
    </row>
    <row r="878" spans="1:1">
      <c r="A878" s="20"/>
    </row>
    <row r="879" spans="1:1">
      <c r="A879" s="20"/>
    </row>
    <row r="880" spans="1:1">
      <c r="A880" s="20"/>
    </row>
    <row r="881" spans="1:1">
      <c r="A881" s="20"/>
    </row>
    <row r="882" spans="1:1">
      <c r="A882" s="20"/>
    </row>
    <row r="883" spans="1:1">
      <c r="A883" s="20"/>
    </row>
    <row r="884" spans="1:1">
      <c r="A884" s="20"/>
    </row>
    <row r="885" spans="1:1">
      <c r="A885" s="20"/>
    </row>
    <row r="886" spans="1:1">
      <c r="A886" s="20"/>
    </row>
    <row r="887" spans="1:1">
      <c r="A887" s="20"/>
    </row>
    <row r="888" spans="1:1">
      <c r="A888" s="20"/>
    </row>
    <row r="889" spans="1:1">
      <c r="A889" s="20"/>
    </row>
    <row r="890" spans="1:1">
      <c r="A890" s="20"/>
    </row>
    <row r="891" spans="1:1">
      <c r="A891" s="20"/>
    </row>
    <row r="892" spans="1:1">
      <c r="A892" s="20"/>
    </row>
    <row r="893" spans="1:1">
      <c r="A893" s="20"/>
    </row>
    <row r="894" spans="1:1">
      <c r="A894" s="20"/>
    </row>
    <row r="895" spans="1:1">
      <c r="A895" s="20"/>
    </row>
    <row r="896" spans="1:1">
      <c r="A896" s="20"/>
    </row>
    <row r="897" spans="1:1">
      <c r="A897" s="20"/>
    </row>
    <row r="898" spans="1:1">
      <c r="A898" s="20"/>
    </row>
    <row r="899" spans="1:1">
      <c r="A899" s="20"/>
    </row>
    <row r="900" spans="1:1">
      <c r="A900" s="20"/>
    </row>
    <row r="901" spans="1:1">
      <c r="A901" s="20"/>
    </row>
    <row r="902" spans="1:1">
      <c r="A902" s="20"/>
    </row>
    <row r="903" spans="1:1">
      <c r="A903" s="20"/>
    </row>
    <row r="904" spans="1:1">
      <c r="A904" s="20"/>
    </row>
    <row r="905" spans="1:1">
      <c r="A905" s="20"/>
    </row>
    <row r="906" spans="1:1">
      <c r="A906" s="20"/>
    </row>
    <row r="907" spans="1:1">
      <c r="A907" s="20"/>
    </row>
    <row r="908" spans="1:1">
      <c r="A908" s="20"/>
    </row>
    <row r="909" spans="1:1">
      <c r="A909" s="20"/>
    </row>
    <row r="910" spans="1:1">
      <c r="A910" s="20"/>
    </row>
    <row r="911" spans="1:1">
      <c r="A911" s="20"/>
    </row>
    <row r="912" spans="1:1">
      <c r="A912" s="20"/>
    </row>
    <row r="913" spans="1:1">
      <c r="A913" s="20"/>
    </row>
    <row r="914" spans="1:1">
      <c r="A914" s="20"/>
    </row>
    <row r="915" spans="1:1">
      <c r="A915" s="20"/>
    </row>
    <row r="916" spans="1:1">
      <c r="A916" s="20"/>
    </row>
    <row r="917" spans="1:1">
      <c r="A917" s="20"/>
    </row>
    <row r="918" spans="1:1">
      <c r="A918" s="20"/>
    </row>
    <row r="919" spans="1:1">
      <c r="A919" s="20"/>
    </row>
    <row r="920" spans="1:1">
      <c r="A920" s="20"/>
    </row>
    <row r="921" spans="1:1">
      <c r="A921" s="20"/>
    </row>
    <row r="922" spans="1:1">
      <c r="A922" s="20"/>
    </row>
    <row r="923" spans="1:1">
      <c r="A923" s="20"/>
    </row>
    <row r="924" spans="1:1">
      <c r="A924" s="20"/>
    </row>
    <row r="925" spans="1:1">
      <c r="A925" s="20"/>
    </row>
    <row r="926" spans="1:1">
      <c r="A926" s="20"/>
    </row>
    <row r="927" spans="1:1">
      <c r="A927" s="20"/>
    </row>
    <row r="928" spans="1:1">
      <c r="A928" s="20"/>
    </row>
    <row r="929" spans="1:1">
      <c r="A929" s="20"/>
    </row>
    <row r="930" spans="1:1">
      <c r="A930" s="20"/>
    </row>
    <row r="931" spans="1:1">
      <c r="A931" s="20"/>
    </row>
    <row r="932" spans="1:1">
      <c r="A932" s="20"/>
    </row>
    <row r="933" spans="1:1">
      <c r="A933" s="20"/>
    </row>
    <row r="934" spans="1:1">
      <c r="A934" s="20"/>
    </row>
    <row r="935" spans="1:1">
      <c r="A935" s="20"/>
    </row>
    <row r="936" spans="1:1">
      <c r="A936" s="20"/>
    </row>
    <row r="937" spans="1:1">
      <c r="A937" s="20"/>
    </row>
    <row r="938" spans="1:1">
      <c r="A938" s="20"/>
    </row>
    <row r="939" spans="1:1">
      <c r="A939" s="20"/>
    </row>
    <row r="940" spans="1:1">
      <c r="A940" s="20"/>
    </row>
    <row r="941" spans="1:1">
      <c r="A941" s="20"/>
    </row>
    <row r="942" spans="1:1">
      <c r="A942" s="20"/>
    </row>
    <row r="943" spans="1:1">
      <c r="A943" s="20"/>
    </row>
    <row r="944" spans="1:1">
      <c r="A944" s="20"/>
    </row>
    <row r="945" spans="1:1">
      <c r="A945" s="20"/>
    </row>
    <row r="946" spans="1:1">
      <c r="A946" s="20"/>
    </row>
    <row r="947" spans="1:1">
      <c r="A947" s="20"/>
    </row>
    <row r="948" spans="1:1">
      <c r="A948" s="20"/>
    </row>
    <row r="949" spans="1:1">
      <c r="A949" s="20"/>
    </row>
    <row r="950" spans="1:1">
      <c r="A950" s="20"/>
    </row>
    <row r="951" spans="1:1">
      <c r="A951" s="20"/>
    </row>
    <row r="952" spans="1:1">
      <c r="A952" s="20"/>
    </row>
    <row r="953" spans="1:1">
      <c r="A953" s="20"/>
    </row>
    <row r="954" spans="1:1">
      <c r="A954" s="20"/>
    </row>
    <row r="955" spans="1:1">
      <c r="A955" s="20"/>
    </row>
    <row r="956" spans="1:1">
      <c r="A956" s="20"/>
    </row>
    <row r="957" spans="1:1">
      <c r="A957" s="20"/>
    </row>
    <row r="958" spans="1:1">
      <c r="A958" s="20"/>
    </row>
    <row r="959" spans="1:1">
      <c r="A959" s="20"/>
    </row>
    <row r="960" spans="1:1">
      <c r="A960" s="20"/>
    </row>
    <row r="961" spans="1:1">
      <c r="A961" s="20"/>
    </row>
    <row r="962" spans="1:1">
      <c r="A962" s="20"/>
    </row>
    <row r="963" spans="1:1">
      <c r="A963" s="20"/>
    </row>
    <row r="964" spans="1:1">
      <c r="A964" s="20"/>
    </row>
    <row r="965" spans="1:1">
      <c r="A965" s="20"/>
    </row>
    <row r="966" spans="1:1">
      <c r="A966" s="20"/>
    </row>
    <row r="967" spans="1:1">
      <c r="A967" s="20"/>
    </row>
    <row r="968" spans="1:1">
      <c r="A968" s="20"/>
    </row>
    <row r="969" spans="1:1">
      <c r="A969" s="20"/>
    </row>
    <row r="970" spans="1:1">
      <c r="A970" s="20"/>
    </row>
    <row r="971" spans="1:1">
      <c r="A971" s="20"/>
    </row>
    <row r="972" spans="1:1">
      <c r="A972" s="20"/>
    </row>
    <row r="973" spans="1:1">
      <c r="A973" s="20"/>
    </row>
    <row r="974" spans="1:1">
      <c r="A974" s="20"/>
    </row>
    <row r="975" spans="1:1">
      <c r="A975" s="20"/>
    </row>
    <row r="976" spans="1:1">
      <c r="A976" s="20"/>
    </row>
    <row r="977" spans="1:1">
      <c r="A977" s="20"/>
    </row>
    <row r="978" spans="1:1">
      <c r="A978" s="20"/>
    </row>
    <row r="979" spans="1:1">
      <c r="A979" s="20"/>
    </row>
    <row r="980" spans="1:1">
      <c r="A980" s="20"/>
    </row>
    <row r="981" spans="1:1">
      <c r="A981" s="20"/>
    </row>
    <row r="982" spans="1:1">
      <c r="A982" s="20"/>
    </row>
    <row r="983" spans="1:1">
      <c r="A983" s="20"/>
    </row>
    <row r="984" spans="1:1">
      <c r="A984" s="20"/>
    </row>
    <row r="985" spans="1:1">
      <c r="A985" s="20"/>
    </row>
    <row r="986" spans="1:1">
      <c r="A986" s="20"/>
    </row>
    <row r="987" spans="1:1">
      <c r="A987" s="20"/>
    </row>
    <row r="988" spans="1:1">
      <c r="A988" s="20"/>
    </row>
    <row r="989" spans="1:1">
      <c r="A989" s="20"/>
    </row>
    <row r="990" spans="1:1">
      <c r="A990" s="20"/>
    </row>
    <row r="991" spans="1:1">
      <c r="A991" s="20"/>
    </row>
    <row r="992" spans="1:1">
      <c r="A992" s="20"/>
    </row>
    <row r="993" spans="1:1">
      <c r="A993" s="20"/>
    </row>
    <row r="994" spans="1:1">
      <c r="A994" s="20"/>
    </row>
    <row r="995" spans="1:1">
      <c r="A995" s="20"/>
    </row>
    <row r="996" spans="1:1">
      <c r="A996" s="20"/>
    </row>
    <row r="997" spans="1:1">
      <c r="A997" s="20"/>
    </row>
    <row r="998" spans="1:1">
      <c r="A998" s="20"/>
    </row>
    <row r="999" spans="1:1">
      <c r="A999" s="20"/>
    </row>
    <row r="1000" spans="1:1">
      <c r="A1000" s="20"/>
    </row>
    <row r="1001" spans="1:1">
      <c r="A1001" s="20"/>
    </row>
    <row r="1002" spans="1:1">
      <c r="A1002" s="20"/>
    </row>
    <row r="1003" spans="1:1">
      <c r="A1003" s="20"/>
    </row>
    <row r="1004" spans="1:1">
      <c r="A1004" s="20"/>
    </row>
    <row r="1005" spans="1:1">
      <c r="A1005" s="20"/>
    </row>
    <row r="1006" spans="1:1">
      <c r="A1006" s="20"/>
    </row>
    <row r="1007" spans="1:1">
      <c r="A1007" s="20"/>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1000"/>
  <sheetViews>
    <sheetView workbookViewId="0"/>
  </sheetViews>
  <sheetFormatPr defaultRowHeight="13.8"/>
  <sheetData>
    <row r="1" spans="1:9" ht="31.2">
      <c r="A1" s="11"/>
      <c r="B1" s="142" t="s">
        <v>4188</v>
      </c>
    </row>
    <row r="2" spans="1:9">
      <c r="A2" s="11"/>
    </row>
    <row r="3" spans="1:9">
      <c r="A3" s="1">
        <v>1</v>
      </c>
      <c r="B3" s="94" t="s">
        <v>4006</v>
      </c>
      <c r="I3" s="6" t="s">
        <v>4189</v>
      </c>
    </row>
    <row r="4" spans="1:9">
      <c r="A4" s="11"/>
      <c r="B4" s="6" t="s">
        <v>4118</v>
      </c>
      <c r="I4" s="6" t="s">
        <v>4190</v>
      </c>
    </row>
    <row r="5" spans="1:9">
      <c r="A5" s="11"/>
      <c r="B5" s="6" t="s">
        <v>4119</v>
      </c>
    </row>
    <row r="6" spans="1:9">
      <c r="A6" s="11"/>
      <c r="B6" s="6" t="s">
        <v>4120</v>
      </c>
    </row>
    <row r="7" spans="1:9">
      <c r="A7" s="11"/>
    </row>
    <row r="8" spans="1:9">
      <c r="A8" s="1">
        <v>2</v>
      </c>
      <c r="B8" s="94" t="s">
        <v>4015</v>
      </c>
    </row>
    <row r="9" spans="1:9">
      <c r="A9" s="11"/>
      <c r="B9" s="6" t="s">
        <v>4191</v>
      </c>
    </row>
    <row r="10" spans="1:9">
      <c r="A10" s="11"/>
      <c r="B10" s="143" t="s">
        <v>4192</v>
      </c>
    </row>
    <row r="11" spans="1:9">
      <c r="A11" s="11"/>
    </row>
    <row r="12" spans="1:9">
      <c r="A12" s="1"/>
      <c r="B12" s="94" t="s">
        <v>4019</v>
      </c>
    </row>
    <row r="13" spans="1:9">
      <c r="A13" s="11"/>
      <c r="B13" s="6" t="s">
        <v>4193</v>
      </c>
    </row>
    <row r="14" spans="1:9">
      <c r="A14" s="11"/>
      <c r="B14" s="6" t="s">
        <v>4194</v>
      </c>
    </row>
    <row r="15" spans="1:9">
      <c r="A15" s="11"/>
      <c r="B15" s="6" t="s">
        <v>4195</v>
      </c>
    </row>
    <row r="16" spans="1:9">
      <c r="A16" s="11"/>
    </row>
    <row r="17" spans="1:3">
      <c r="A17" s="1">
        <v>3</v>
      </c>
      <c r="B17" s="94" t="s">
        <v>4028</v>
      </c>
    </row>
    <row r="18" spans="1:3">
      <c r="A18" s="11"/>
      <c r="B18" s="6" t="s">
        <v>4196</v>
      </c>
    </row>
    <row r="19" spans="1:3">
      <c r="A19" s="11"/>
      <c r="B19" s="6" t="s">
        <v>4197</v>
      </c>
    </row>
    <row r="20" spans="1:3">
      <c r="A20" s="11"/>
      <c r="B20" s="6" t="s">
        <v>4198</v>
      </c>
    </row>
    <row r="21" spans="1:3">
      <c r="A21" s="11"/>
      <c r="B21" s="6" t="s">
        <v>4199</v>
      </c>
    </row>
    <row r="22" spans="1:3">
      <c r="A22" s="11"/>
    </row>
    <row r="23" spans="1:3">
      <c r="A23" s="1">
        <v>4</v>
      </c>
      <c r="B23" s="94" t="s">
        <v>4033</v>
      </c>
    </row>
    <row r="24" spans="1:3">
      <c r="A24" s="11"/>
      <c r="B24" s="6" t="s">
        <v>4149</v>
      </c>
    </row>
    <row r="25" spans="1:3">
      <c r="A25" s="11"/>
      <c r="B25" s="6" t="s">
        <v>4150</v>
      </c>
    </row>
    <row r="26" spans="1:3">
      <c r="A26" s="11"/>
    </row>
    <row r="27" spans="1:3">
      <c r="A27" s="1">
        <v>5</v>
      </c>
      <c r="B27" s="94" t="s">
        <v>4037</v>
      </c>
    </row>
    <row r="28" spans="1:3">
      <c r="A28" s="11"/>
      <c r="B28" s="145"/>
      <c r="C28" s="94" t="s">
        <v>4038</v>
      </c>
    </row>
    <row r="29" spans="1:3">
      <c r="A29" s="11"/>
      <c r="C29" s="6" t="s">
        <v>4151</v>
      </c>
    </row>
    <row r="30" spans="1:3">
      <c r="A30" s="11"/>
      <c r="C30" s="6" t="s">
        <v>4152</v>
      </c>
    </row>
    <row r="31" spans="1:3">
      <c r="A31" s="11"/>
    </row>
    <row r="32" spans="1:3">
      <c r="A32" s="11"/>
      <c r="B32" s="145"/>
      <c r="C32" s="94" t="s">
        <v>4054</v>
      </c>
    </row>
    <row r="33" spans="1:5">
      <c r="A33" s="11"/>
      <c r="C33" s="6" t="s">
        <v>4153</v>
      </c>
    </row>
    <row r="34" spans="1:5">
      <c r="A34" s="11"/>
    </row>
    <row r="35" spans="1:5">
      <c r="A35" s="1"/>
      <c r="B35" s="94" t="s">
        <v>4073</v>
      </c>
    </row>
    <row r="36" spans="1:5">
      <c r="A36" s="11"/>
      <c r="B36" s="6" t="s">
        <v>4200</v>
      </c>
    </row>
    <row r="37" spans="1:5">
      <c r="A37" s="11"/>
    </row>
    <row r="38" spans="1:5">
      <c r="A38" s="1"/>
      <c r="B38" s="94" t="s">
        <v>4066</v>
      </c>
    </row>
    <row r="39" spans="1:5">
      <c r="A39" s="11"/>
      <c r="B39" s="6" t="s">
        <v>4201</v>
      </c>
    </row>
    <row r="40" spans="1:5">
      <c r="A40" s="11"/>
      <c r="B40" s="6" t="s">
        <v>4202</v>
      </c>
    </row>
    <row r="41" spans="1:5">
      <c r="A41" s="11"/>
      <c r="B41" s="6" t="s">
        <v>4203</v>
      </c>
    </row>
    <row r="42" spans="1:5">
      <c r="A42" s="11"/>
      <c r="B42" s="6" t="s">
        <v>4204</v>
      </c>
    </row>
    <row r="43" spans="1:5">
      <c r="A43" s="11"/>
      <c r="B43" s="6" t="s">
        <v>4205</v>
      </c>
    </row>
    <row r="44" spans="1:5">
      <c r="A44" s="11"/>
    </row>
    <row r="45" spans="1:5">
      <c r="A45" s="1"/>
      <c r="B45" s="94" t="s">
        <v>4167</v>
      </c>
    </row>
    <row r="46" spans="1:5" ht="41.4">
      <c r="A46" s="11"/>
      <c r="B46" s="147" t="s">
        <v>4168</v>
      </c>
      <c r="C46" s="147" t="s">
        <v>4169</v>
      </c>
      <c r="D46" s="147" t="s">
        <v>4170</v>
      </c>
      <c r="E46" s="147" t="s">
        <v>4171</v>
      </c>
    </row>
    <row r="47" spans="1:5">
      <c r="A47" s="11"/>
      <c r="B47" s="62" t="s">
        <v>4172</v>
      </c>
      <c r="C47" s="62" t="s">
        <v>97</v>
      </c>
      <c r="D47" s="62">
        <v>20</v>
      </c>
      <c r="E47" s="62">
        <v>100</v>
      </c>
    </row>
    <row r="48" spans="1:5">
      <c r="A48" s="11"/>
    </row>
    <row r="49" spans="1:2">
      <c r="A49" s="1">
        <v>6</v>
      </c>
      <c r="B49" s="94" t="s">
        <v>4173</v>
      </c>
    </row>
    <row r="50" spans="1:2">
      <c r="A50" s="11"/>
      <c r="B50" s="6" t="s">
        <v>4174</v>
      </c>
    </row>
    <row r="51" spans="1:2">
      <c r="A51" s="11"/>
      <c r="B51" s="6" t="s">
        <v>4206</v>
      </c>
    </row>
    <row r="52" spans="1:2">
      <c r="A52" s="11"/>
      <c r="B52" s="6" t="s">
        <v>4176</v>
      </c>
    </row>
    <row r="53" spans="1:2">
      <c r="A53" s="11"/>
      <c r="B53" s="6" t="s">
        <v>4177</v>
      </c>
    </row>
    <row r="54" spans="1:2">
      <c r="A54" s="11"/>
      <c r="B54" s="6" t="s">
        <v>4178</v>
      </c>
    </row>
    <row r="55" spans="1:2">
      <c r="A55" s="11"/>
      <c r="B55" s="6" t="s">
        <v>4179</v>
      </c>
    </row>
    <row r="56" spans="1:2">
      <c r="A56" s="11"/>
      <c r="B56" s="6" t="s">
        <v>4180</v>
      </c>
    </row>
    <row r="57" spans="1:2">
      <c r="A57" s="11"/>
    </row>
    <row r="58" spans="1:2">
      <c r="A58" s="1">
        <v>7</v>
      </c>
      <c r="B58" s="94" t="s">
        <v>4094</v>
      </c>
    </row>
    <row r="59" spans="1:2">
      <c r="A59" s="1">
        <v>8</v>
      </c>
      <c r="B59" s="94" t="s">
        <v>4095</v>
      </c>
    </row>
    <row r="60" spans="1:2">
      <c r="A60" s="11"/>
    </row>
    <row r="61" spans="1:2">
      <c r="A61" s="1">
        <v>9</v>
      </c>
      <c r="B61" s="94" t="s">
        <v>4096</v>
      </c>
    </row>
    <row r="62" spans="1:2">
      <c r="A62" s="11"/>
      <c r="B62" s="94" t="s">
        <v>4181</v>
      </c>
    </row>
    <row r="63" spans="1:2">
      <c r="A63" s="11"/>
      <c r="B63" s="6" t="s">
        <v>4182</v>
      </c>
    </row>
    <row r="64" spans="1:2">
      <c r="A64" s="11"/>
      <c r="B64" s="6" t="s">
        <v>24</v>
      </c>
    </row>
    <row r="65" spans="1:3">
      <c r="A65" s="11"/>
      <c r="B65" s="6" t="s">
        <v>22</v>
      </c>
    </row>
    <row r="66" spans="1:3">
      <c r="A66" s="11"/>
      <c r="B66" s="6" t="s">
        <v>4183</v>
      </c>
    </row>
    <row r="67" spans="1:3">
      <c r="A67" s="11"/>
    </row>
    <row r="68" spans="1:3">
      <c r="A68" s="11"/>
      <c r="B68" s="145"/>
      <c r="C68" s="94" t="s">
        <v>4097</v>
      </c>
    </row>
    <row r="69" spans="1:3">
      <c r="A69" s="11"/>
      <c r="C69" s="6" t="s">
        <v>4098</v>
      </c>
    </row>
    <row r="70" spans="1:3">
      <c r="A70" s="11"/>
      <c r="C70" s="6" t="s">
        <v>4099</v>
      </c>
    </row>
    <row r="71" spans="1:3">
      <c r="A71" s="11"/>
      <c r="C71" s="6" t="s">
        <v>4100</v>
      </c>
    </row>
    <row r="72" spans="1:3">
      <c r="A72" s="11"/>
      <c r="C72" s="6" t="s">
        <v>4101</v>
      </c>
    </row>
    <row r="73" spans="1:3">
      <c r="A73" s="11"/>
      <c r="C73" s="6" t="s">
        <v>4102</v>
      </c>
    </row>
    <row r="74" spans="1:3">
      <c r="A74" s="11"/>
      <c r="C74" s="6" t="s">
        <v>4103</v>
      </c>
    </row>
    <row r="75" spans="1:3">
      <c r="A75" s="11"/>
    </row>
    <row r="76" spans="1:3">
      <c r="A76" s="11"/>
      <c r="B76" s="145"/>
      <c r="C76" s="6" t="s">
        <v>4104</v>
      </c>
    </row>
    <row r="77" spans="1:3">
      <c r="A77" s="11"/>
      <c r="C77" s="143" t="s">
        <v>4105</v>
      </c>
    </row>
    <row r="78" spans="1:3">
      <c r="A78" s="11"/>
    </row>
    <row r="79" spans="1:3">
      <c r="A79" s="11"/>
      <c r="B79" s="145"/>
      <c r="C79" s="94" t="s">
        <v>4106</v>
      </c>
    </row>
    <row r="80" spans="1:3">
      <c r="A80" s="11"/>
      <c r="C80" s="6" t="s">
        <v>4107</v>
      </c>
    </row>
    <row r="81" spans="1:3">
      <c r="A81" s="11"/>
      <c r="C81" s="6" t="s">
        <v>4108</v>
      </c>
    </row>
    <row r="82" spans="1:3">
      <c r="A82" s="11"/>
      <c r="C82" s="6" t="s">
        <v>4109</v>
      </c>
    </row>
    <row r="83" spans="1:3">
      <c r="A83" s="11"/>
      <c r="C83" s="6" t="s">
        <v>4110</v>
      </c>
    </row>
    <row r="84" spans="1:3">
      <c r="A84" s="11"/>
    </row>
    <row r="85" spans="1:3">
      <c r="A85" s="1">
        <v>10</v>
      </c>
      <c r="B85" s="94" t="s">
        <v>4111</v>
      </c>
    </row>
    <row r="86" spans="1:3">
      <c r="A86" s="11"/>
    </row>
    <row r="87" spans="1:3">
      <c r="A87" s="1" t="s">
        <v>4184</v>
      </c>
      <c r="B87" s="94" t="s">
        <v>4185</v>
      </c>
    </row>
    <row r="88" spans="1:3">
      <c r="A88" s="11"/>
      <c r="B88" s="6" t="s">
        <v>4186</v>
      </c>
    </row>
    <row r="89" spans="1:3">
      <c r="A89" s="11"/>
      <c r="B89" s="143" t="s">
        <v>4187</v>
      </c>
    </row>
    <row r="90" spans="1:3">
      <c r="A90" s="11"/>
    </row>
    <row r="91" spans="1:3">
      <c r="A91" s="11"/>
    </row>
    <row r="92" spans="1:3">
      <c r="A92" s="11"/>
    </row>
    <row r="93" spans="1:3">
      <c r="A93" s="11"/>
    </row>
    <row r="94" spans="1:3">
      <c r="A94" s="11"/>
    </row>
    <row r="95" spans="1:3">
      <c r="A95" s="11"/>
    </row>
    <row r="96" spans="1:3">
      <c r="A96" s="11"/>
    </row>
    <row r="97" spans="1:1">
      <c r="A97" s="11"/>
    </row>
    <row r="98" spans="1:1">
      <c r="A98" s="11"/>
    </row>
    <row r="99" spans="1:1">
      <c r="A99" s="11"/>
    </row>
    <row r="100" spans="1:1">
      <c r="A100" s="11"/>
    </row>
    <row r="101" spans="1:1">
      <c r="A101" s="11"/>
    </row>
    <row r="102" spans="1:1">
      <c r="A102" s="11"/>
    </row>
    <row r="103" spans="1:1">
      <c r="A103" s="11"/>
    </row>
    <row r="104" spans="1:1">
      <c r="A104" s="11"/>
    </row>
    <row r="105" spans="1:1">
      <c r="A105" s="11"/>
    </row>
    <row r="106" spans="1:1">
      <c r="A106" s="11"/>
    </row>
    <row r="107" spans="1:1">
      <c r="A107" s="11"/>
    </row>
    <row r="108" spans="1:1">
      <c r="A108" s="11"/>
    </row>
    <row r="109" spans="1:1">
      <c r="A109" s="11"/>
    </row>
    <row r="110" spans="1:1">
      <c r="A110" s="11"/>
    </row>
    <row r="111" spans="1:1">
      <c r="A111" s="11"/>
    </row>
    <row r="112" spans="1:1">
      <c r="A112" s="11"/>
    </row>
    <row r="113" spans="1:1">
      <c r="A113" s="11"/>
    </row>
    <row r="114" spans="1:1">
      <c r="A114" s="11"/>
    </row>
    <row r="115" spans="1:1">
      <c r="A115" s="11"/>
    </row>
    <row r="116" spans="1:1">
      <c r="A116" s="11"/>
    </row>
    <row r="117" spans="1:1">
      <c r="A117" s="11"/>
    </row>
    <row r="118" spans="1:1">
      <c r="A118" s="11"/>
    </row>
    <row r="119" spans="1:1">
      <c r="A119" s="11"/>
    </row>
    <row r="120" spans="1:1">
      <c r="A120" s="11"/>
    </row>
    <row r="121" spans="1:1">
      <c r="A121" s="11"/>
    </row>
    <row r="122" spans="1:1">
      <c r="A122" s="11"/>
    </row>
    <row r="123" spans="1:1">
      <c r="A123" s="11"/>
    </row>
    <row r="124" spans="1:1">
      <c r="A124" s="11"/>
    </row>
    <row r="125" spans="1:1">
      <c r="A125" s="11"/>
    </row>
    <row r="126" spans="1:1">
      <c r="A126" s="11"/>
    </row>
    <row r="127" spans="1:1">
      <c r="A127" s="11"/>
    </row>
    <row r="128" spans="1:1">
      <c r="A128" s="11"/>
    </row>
    <row r="129" spans="1:1">
      <c r="A129" s="11"/>
    </row>
    <row r="130" spans="1:1">
      <c r="A130" s="11"/>
    </row>
    <row r="131" spans="1:1">
      <c r="A131" s="11"/>
    </row>
    <row r="132" spans="1:1">
      <c r="A132" s="11"/>
    </row>
    <row r="133" spans="1:1">
      <c r="A133" s="11"/>
    </row>
    <row r="134" spans="1:1">
      <c r="A134" s="11"/>
    </row>
    <row r="135" spans="1:1">
      <c r="A135" s="11"/>
    </row>
    <row r="136" spans="1:1">
      <c r="A136" s="11"/>
    </row>
    <row r="137" spans="1:1">
      <c r="A137" s="11"/>
    </row>
    <row r="138" spans="1:1">
      <c r="A138" s="11"/>
    </row>
    <row r="139" spans="1:1">
      <c r="A139" s="11"/>
    </row>
    <row r="140" spans="1:1">
      <c r="A140" s="11"/>
    </row>
    <row r="141" spans="1:1">
      <c r="A141" s="11"/>
    </row>
    <row r="142" spans="1:1">
      <c r="A142" s="11"/>
    </row>
    <row r="143" spans="1:1">
      <c r="A143" s="11"/>
    </row>
    <row r="144" spans="1:1">
      <c r="A144" s="11"/>
    </row>
    <row r="145" spans="1:1">
      <c r="A145" s="11"/>
    </row>
    <row r="146" spans="1:1">
      <c r="A146" s="11"/>
    </row>
    <row r="147" spans="1:1">
      <c r="A147" s="11"/>
    </row>
    <row r="148" spans="1:1">
      <c r="A148" s="11"/>
    </row>
    <row r="149" spans="1:1">
      <c r="A149" s="11"/>
    </row>
    <row r="150" spans="1:1">
      <c r="A150" s="11"/>
    </row>
    <row r="151" spans="1:1">
      <c r="A151" s="11"/>
    </row>
    <row r="152" spans="1:1">
      <c r="A152" s="11"/>
    </row>
    <row r="153" spans="1:1">
      <c r="A153" s="11"/>
    </row>
    <row r="154" spans="1:1">
      <c r="A154" s="11"/>
    </row>
    <row r="155" spans="1:1">
      <c r="A155" s="11"/>
    </row>
    <row r="156" spans="1:1">
      <c r="A156" s="11"/>
    </row>
    <row r="157" spans="1:1">
      <c r="A157" s="11"/>
    </row>
    <row r="158" spans="1:1">
      <c r="A158" s="11"/>
    </row>
    <row r="159" spans="1:1">
      <c r="A159" s="11"/>
    </row>
    <row r="160" spans="1:1">
      <c r="A160" s="11"/>
    </row>
    <row r="161" spans="1:1">
      <c r="A161" s="11"/>
    </row>
    <row r="162" spans="1:1">
      <c r="A162" s="11"/>
    </row>
    <row r="163" spans="1:1">
      <c r="A163" s="11"/>
    </row>
    <row r="164" spans="1:1">
      <c r="A164" s="11"/>
    </row>
    <row r="165" spans="1:1">
      <c r="A165" s="11"/>
    </row>
    <row r="166" spans="1:1">
      <c r="A166" s="11"/>
    </row>
    <row r="167" spans="1:1">
      <c r="A167" s="11"/>
    </row>
    <row r="168" spans="1:1">
      <c r="A168" s="11"/>
    </row>
    <row r="169" spans="1:1">
      <c r="A169" s="11"/>
    </row>
    <row r="170" spans="1:1">
      <c r="A170" s="11"/>
    </row>
    <row r="171" spans="1:1">
      <c r="A171" s="11"/>
    </row>
    <row r="172" spans="1:1">
      <c r="A172" s="11"/>
    </row>
    <row r="173" spans="1:1">
      <c r="A173" s="11"/>
    </row>
    <row r="174" spans="1:1">
      <c r="A174" s="11"/>
    </row>
    <row r="175" spans="1:1">
      <c r="A175" s="11"/>
    </row>
    <row r="176" spans="1:1">
      <c r="A176" s="11"/>
    </row>
    <row r="177" spans="1:1">
      <c r="A177" s="11"/>
    </row>
    <row r="178" spans="1:1">
      <c r="A178" s="11"/>
    </row>
    <row r="179" spans="1:1">
      <c r="A179" s="11"/>
    </row>
    <row r="180" spans="1:1">
      <c r="A180" s="11"/>
    </row>
    <row r="181" spans="1:1">
      <c r="A181" s="11"/>
    </row>
    <row r="182" spans="1:1">
      <c r="A182" s="11"/>
    </row>
    <row r="183" spans="1:1">
      <c r="A183" s="11"/>
    </row>
    <row r="184" spans="1:1">
      <c r="A184" s="11"/>
    </row>
    <row r="185" spans="1:1">
      <c r="A185" s="11"/>
    </row>
    <row r="186" spans="1:1">
      <c r="A186" s="11"/>
    </row>
    <row r="187" spans="1:1">
      <c r="A187" s="11"/>
    </row>
    <row r="188" spans="1:1">
      <c r="A188" s="11"/>
    </row>
    <row r="189" spans="1:1">
      <c r="A189" s="11"/>
    </row>
    <row r="190" spans="1:1">
      <c r="A190" s="11"/>
    </row>
    <row r="191" spans="1:1">
      <c r="A191" s="11"/>
    </row>
    <row r="192" spans="1:1">
      <c r="A192" s="11"/>
    </row>
    <row r="193" spans="1:1">
      <c r="A193" s="11"/>
    </row>
    <row r="194" spans="1:1">
      <c r="A194" s="11"/>
    </row>
    <row r="195" spans="1:1">
      <c r="A195" s="11"/>
    </row>
    <row r="196" spans="1:1">
      <c r="A196" s="11"/>
    </row>
    <row r="197" spans="1:1">
      <c r="A197" s="11"/>
    </row>
    <row r="198" spans="1:1">
      <c r="A198" s="11"/>
    </row>
    <row r="199" spans="1:1">
      <c r="A199" s="11"/>
    </row>
    <row r="200" spans="1:1">
      <c r="A200" s="11"/>
    </row>
    <row r="201" spans="1:1">
      <c r="A201" s="11"/>
    </row>
    <row r="202" spans="1:1">
      <c r="A202" s="11"/>
    </row>
    <row r="203" spans="1:1">
      <c r="A203" s="11"/>
    </row>
    <row r="204" spans="1:1">
      <c r="A204" s="11"/>
    </row>
    <row r="205" spans="1:1">
      <c r="A205" s="11"/>
    </row>
    <row r="206" spans="1:1">
      <c r="A206" s="11"/>
    </row>
    <row r="207" spans="1:1">
      <c r="A207" s="11"/>
    </row>
    <row r="208" spans="1:1">
      <c r="A208" s="11"/>
    </row>
    <row r="209" spans="1:1">
      <c r="A209" s="11"/>
    </row>
    <row r="210" spans="1:1">
      <c r="A210" s="11"/>
    </row>
    <row r="211" spans="1:1">
      <c r="A211" s="11"/>
    </row>
    <row r="212" spans="1:1">
      <c r="A212" s="11"/>
    </row>
    <row r="213" spans="1:1">
      <c r="A213" s="11"/>
    </row>
    <row r="214" spans="1:1">
      <c r="A214" s="11"/>
    </row>
    <row r="215" spans="1:1">
      <c r="A215" s="11"/>
    </row>
    <row r="216" spans="1:1">
      <c r="A216" s="11"/>
    </row>
    <row r="217" spans="1:1">
      <c r="A217" s="11"/>
    </row>
    <row r="218" spans="1:1">
      <c r="A218" s="11"/>
    </row>
    <row r="219" spans="1:1">
      <c r="A219" s="11"/>
    </row>
    <row r="220" spans="1:1">
      <c r="A220" s="11"/>
    </row>
    <row r="221" spans="1:1">
      <c r="A221" s="11"/>
    </row>
    <row r="222" spans="1:1">
      <c r="A222" s="11"/>
    </row>
    <row r="223" spans="1:1">
      <c r="A223" s="11"/>
    </row>
    <row r="224" spans="1:1">
      <c r="A224" s="11"/>
    </row>
    <row r="225" spans="1:1">
      <c r="A225" s="11"/>
    </row>
    <row r="226" spans="1:1">
      <c r="A226" s="11"/>
    </row>
    <row r="227" spans="1:1">
      <c r="A227" s="11"/>
    </row>
    <row r="228" spans="1:1">
      <c r="A228" s="11"/>
    </row>
    <row r="229" spans="1:1">
      <c r="A229" s="11"/>
    </row>
    <row r="230" spans="1:1">
      <c r="A230" s="11"/>
    </row>
    <row r="231" spans="1:1">
      <c r="A231" s="11"/>
    </row>
    <row r="232" spans="1:1">
      <c r="A232" s="11"/>
    </row>
    <row r="233" spans="1:1">
      <c r="A233" s="11"/>
    </row>
    <row r="234" spans="1:1">
      <c r="A234" s="11"/>
    </row>
    <row r="235" spans="1:1">
      <c r="A235" s="11"/>
    </row>
    <row r="236" spans="1:1">
      <c r="A236" s="11"/>
    </row>
    <row r="237" spans="1:1">
      <c r="A237" s="11"/>
    </row>
    <row r="238" spans="1:1">
      <c r="A238" s="11"/>
    </row>
    <row r="239" spans="1:1">
      <c r="A239" s="11"/>
    </row>
    <row r="240" spans="1:1">
      <c r="A240" s="11"/>
    </row>
    <row r="241" spans="1:1">
      <c r="A241" s="11"/>
    </row>
    <row r="242" spans="1:1">
      <c r="A242" s="11"/>
    </row>
    <row r="243" spans="1:1">
      <c r="A243" s="11"/>
    </row>
    <row r="244" spans="1:1">
      <c r="A244" s="11"/>
    </row>
    <row r="245" spans="1:1">
      <c r="A245" s="11"/>
    </row>
    <row r="246" spans="1:1">
      <c r="A246" s="11"/>
    </row>
    <row r="247" spans="1:1">
      <c r="A247" s="11"/>
    </row>
    <row r="248" spans="1:1">
      <c r="A248" s="11"/>
    </row>
    <row r="249" spans="1:1">
      <c r="A249" s="11"/>
    </row>
    <row r="250" spans="1:1">
      <c r="A250" s="11"/>
    </row>
    <row r="251" spans="1:1">
      <c r="A251" s="11"/>
    </row>
    <row r="252" spans="1:1">
      <c r="A252" s="11"/>
    </row>
    <row r="253" spans="1:1">
      <c r="A253" s="11"/>
    </row>
    <row r="254" spans="1:1">
      <c r="A254" s="11"/>
    </row>
    <row r="255" spans="1:1">
      <c r="A255" s="11"/>
    </row>
    <row r="256" spans="1:1">
      <c r="A256" s="11"/>
    </row>
    <row r="257" spans="1:1">
      <c r="A257" s="11"/>
    </row>
    <row r="258" spans="1:1">
      <c r="A258" s="11"/>
    </row>
    <row r="259" spans="1:1">
      <c r="A259" s="11"/>
    </row>
    <row r="260" spans="1:1">
      <c r="A260" s="11"/>
    </row>
    <row r="261" spans="1:1">
      <c r="A261" s="11"/>
    </row>
    <row r="262" spans="1:1">
      <c r="A262" s="11"/>
    </row>
    <row r="263" spans="1:1">
      <c r="A263" s="11"/>
    </row>
    <row r="264" spans="1:1">
      <c r="A264" s="11"/>
    </row>
    <row r="265" spans="1:1">
      <c r="A265" s="11"/>
    </row>
    <row r="266" spans="1:1">
      <c r="A266" s="11"/>
    </row>
    <row r="267" spans="1:1">
      <c r="A267" s="11"/>
    </row>
    <row r="268" spans="1:1">
      <c r="A268" s="11"/>
    </row>
    <row r="269" spans="1:1">
      <c r="A269" s="11"/>
    </row>
    <row r="270" spans="1:1">
      <c r="A270" s="11"/>
    </row>
    <row r="271" spans="1:1">
      <c r="A271" s="11"/>
    </row>
    <row r="272" spans="1:1">
      <c r="A272" s="11"/>
    </row>
    <row r="273" spans="1:1">
      <c r="A273" s="11"/>
    </row>
    <row r="274" spans="1:1">
      <c r="A274" s="11"/>
    </row>
    <row r="275" spans="1:1">
      <c r="A275" s="11"/>
    </row>
    <row r="276" spans="1:1">
      <c r="A276" s="11"/>
    </row>
    <row r="277" spans="1:1">
      <c r="A277" s="11"/>
    </row>
    <row r="278" spans="1:1">
      <c r="A278" s="11"/>
    </row>
    <row r="279" spans="1:1">
      <c r="A279" s="11"/>
    </row>
    <row r="280" spans="1:1">
      <c r="A280" s="11"/>
    </row>
    <row r="281" spans="1:1">
      <c r="A281" s="11"/>
    </row>
    <row r="282" spans="1:1">
      <c r="A282" s="11"/>
    </row>
    <row r="283" spans="1:1">
      <c r="A283" s="11"/>
    </row>
    <row r="284" spans="1:1">
      <c r="A284" s="11"/>
    </row>
    <row r="285" spans="1:1">
      <c r="A285" s="11"/>
    </row>
    <row r="286" spans="1:1">
      <c r="A286" s="11"/>
    </row>
    <row r="287" spans="1:1">
      <c r="A287" s="11"/>
    </row>
    <row r="288" spans="1:1">
      <c r="A288" s="11"/>
    </row>
    <row r="289" spans="1:1">
      <c r="A289" s="11"/>
    </row>
    <row r="290" spans="1:1">
      <c r="A290" s="11"/>
    </row>
    <row r="291" spans="1:1">
      <c r="A291" s="11"/>
    </row>
    <row r="292" spans="1:1">
      <c r="A292" s="11"/>
    </row>
    <row r="293" spans="1:1">
      <c r="A293" s="11"/>
    </row>
    <row r="294" spans="1:1">
      <c r="A294" s="11"/>
    </row>
    <row r="295" spans="1:1">
      <c r="A295" s="11"/>
    </row>
    <row r="296" spans="1:1">
      <c r="A296" s="11"/>
    </row>
    <row r="297" spans="1:1">
      <c r="A297" s="11"/>
    </row>
    <row r="298" spans="1:1">
      <c r="A298" s="11"/>
    </row>
    <row r="299" spans="1:1">
      <c r="A299" s="11"/>
    </row>
    <row r="300" spans="1:1">
      <c r="A300" s="11"/>
    </row>
    <row r="301" spans="1:1">
      <c r="A301" s="11"/>
    </row>
    <row r="302" spans="1:1">
      <c r="A302" s="11"/>
    </row>
    <row r="303" spans="1:1">
      <c r="A303" s="11"/>
    </row>
    <row r="304" spans="1:1">
      <c r="A304" s="11"/>
    </row>
    <row r="305" spans="1:1">
      <c r="A305" s="11"/>
    </row>
    <row r="306" spans="1:1">
      <c r="A306" s="11"/>
    </row>
    <row r="307" spans="1:1">
      <c r="A307" s="11"/>
    </row>
    <row r="308" spans="1:1">
      <c r="A308" s="11"/>
    </row>
    <row r="309" spans="1:1">
      <c r="A309" s="11"/>
    </row>
    <row r="310" spans="1:1">
      <c r="A310" s="11"/>
    </row>
    <row r="311" spans="1:1">
      <c r="A311" s="11"/>
    </row>
    <row r="312" spans="1:1">
      <c r="A312" s="11"/>
    </row>
    <row r="313" spans="1:1">
      <c r="A313" s="11"/>
    </row>
    <row r="314" spans="1:1">
      <c r="A314" s="11"/>
    </row>
    <row r="315" spans="1:1">
      <c r="A315" s="11"/>
    </row>
    <row r="316" spans="1:1">
      <c r="A316" s="11"/>
    </row>
    <row r="317" spans="1:1">
      <c r="A317" s="11"/>
    </row>
    <row r="318" spans="1:1">
      <c r="A318" s="11"/>
    </row>
    <row r="319" spans="1:1">
      <c r="A319" s="11"/>
    </row>
    <row r="320" spans="1:1">
      <c r="A320" s="11"/>
    </row>
    <row r="321" spans="1:1">
      <c r="A321" s="11"/>
    </row>
    <row r="322" spans="1:1">
      <c r="A322" s="11"/>
    </row>
    <row r="323" spans="1:1">
      <c r="A323" s="11"/>
    </row>
    <row r="324" spans="1:1">
      <c r="A324" s="11"/>
    </row>
    <row r="325" spans="1:1">
      <c r="A325" s="11"/>
    </row>
    <row r="326" spans="1:1">
      <c r="A326" s="11"/>
    </row>
    <row r="327" spans="1:1">
      <c r="A327" s="11"/>
    </row>
    <row r="328" spans="1:1">
      <c r="A328" s="11"/>
    </row>
    <row r="329" spans="1:1">
      <c r="A329" s="11"/>
    </row>
    <row r="330" spans="1:1">
      <c r="A330" s="11"/>
    </row>
    <row r="331" spans="1:1">
      <c r="A331" s="11"/>
    </row>
    <row r="332" spans="1:1">
      <c r="A332" s="11"/>
    </row>
    <row r="333" spans="1:1">
      <c r="A333" s="11"/>
    </row>
    <row r="334" spans="1:1">
      <c r="A334" s="11"/>
    </row>
    <row r="335" spans="1:1">
      <c r="A335" s="11"/>
    </row>
    <row r="336" spans="1:1">
      <c r="A336" s="11"/>
    </row>
    <row r="337" spans="1:1">
      <c r="A337" s="11"/>
    </row>
    <row r="338" spans="1:1">
      <c r="A338" s="11"/>
    </row>
    <row r="339" spans="1:1">
      <c r="A339" s="11"/>
    </row>
    <row r="340" spans="1:1">
      <c r="A340" s="11"/>
    </row>
    <row r="341" spans="1:1">
      <c r="A341" s="11"/>
    </row>
    <row r="342" spans="1:1">
      <c r="A342" s="11"/>
    </row>
    <row r="343" spans="1:1">
      <c r="A343" s="11"/>
    </row>
    <row r="344" spans="1:1">
      <c r="A344" s="11"/>
    </row>
    <row r="345" spans="1:1">
      <c r="A345" s="11"/>
    </row>
    <row r="346" spans="1:1">
      <c r="A346" s="11"/>
    </row>
    <row r="347" spans="1:1">
      <c r="A347" s="11"/>
    </row>
    <row r="348" spans="1:1">
      <c r="A348" s="11"/>
    </row>
    <row r="349" spans="1:1">
      <c r="A349" s="11"/>
    </row>
    <row r="350" spans="1:1">
      <c r="A350" s="11"/>
    </row>
    <row r="351" spans="1:1">
      <c r="A351" s="11"/>
    </row>
    <row r="352" spans="1:1">
      <c r="A352" s="11"/>
    </row>
    <row r="353" spans="1:1">
      <c r="A353" s="11"/>
    </row>
    <row r="354" spans="1:1">
      <c r="A354" s="11"/>
    </row>
    <row r="355" spans="1:1">
      <c r="A355" s="11"/>
    </row>
    <row r="356" spans="1:1">
      <c r="A356" s="11"/>
    </row>
    <row r="357" spans="1:1">
      <c r="A357" s="11"/>
    </row>
    <row r="358" spans="1:1">
      <c r="A358" s="11"/>
    </row>
    <row r="359" spans="1:1">
      <c r="A359" s="11"/>
    </row>
    <row r="360" spans="1:1">
      <c r="A360" s="11"/>
    </row>
    <row r="361" spans="1:1">
      <c r="A361" s="11"/>
    </row>
    <row r="362" spans="1:1">
      <c r="A362" s="11"/>
    </row>
    <row r="363" spans="1:1">
      <c r="A363" s="11"/>
    </row>
    <row r="364" spans="1:1">
      <c r="A364" s="11"/>
    </row>
    <row r="365" spans="1:1">
      <c r="A365" s="11"/>
    </row>
    <row r="366" spans="1:1">
      <c r="A366" s="11"/>
    </row>
    <row r="367" spans="1:1">
      <c r="A367" s="11"/>
    </row>
    <row r="368" spans="1:1">
      <c r="A368" s="11"/>
    </row>
    <row r="369" spans="1:1">
      <c r="A369" s="11"/>
    </row>
    <row r="370" spans="1:1">
      <c r="A370" s="11"/>
    </row>
    <row r="371" spans="1:1">
      <c r="A371" s="11"/>
    </row>
    <row r="372" spans="1:1">
      <c r="A372" s="11"/>
    </row>
    <row r="373" spans="1:1">
      <c r="A373" s="11"/>
    </row>
    <row r="374" spans="1:1">
      <c r="A374" s="11"/>
    </row>
    <row r="375" spans="1:1">
      <c r="A375" s="11"/>
    </row>
    <row r="376" spans="1:1">
      <c r="A376" s="11"/>
    </row>
    <row r="377" spans="1:1">
      <c r="A377" s="11"/>
    </row>
    <row r="378" spans="1:1">
      <c r="A378" s="11"/>
    </row>
    <row r="379" spans="1:1">
      <c r="A379" s="11"/>
    </row>
    <row r="380" spans="1:1">
      <c r="A380" s="11"/>
    </row>
    <row r="381" spans="1:1">
      <c r="A381" s="11"/>
    </row>
    <row r="382" spans="1:1">
      <c r="A382" s="11"/>
    </row>
    <row r="383" spans="1:1">
      <c r="A383" s="11"/>
    </row>
    <row r="384" spans="1:1">
      <c r="A384" s="11"/>
    </row>
    <row r="385" spans="1:1">
      <c r="A385" s="11"/>
    </row>
    <row r="386" spans="1:1">
      <c r="A386" s="11"/>
    </row>
    <row r="387" spans="1:1">
      <c r="A387" s="11"/>
    </row>
    <row r="388" spans="1:1">
      <c r="A388" s="11"/>
    </row>
    <row r="389" spans="1:1">
      <c r="A389" s="11"/>
    </row>
    <row r="390" spans="1:1">
      <c r="A390" s="11"/>
    </row>
    <row r="391" spans="1:1">
      <c r="A391" s="11"/>
    </row>
    <row r="392" spans="1:1">
      <c r="A392" s="11"/>
    </row>
    <row r="393" spans="1:1">
      <c r="A393" s="11"/>
    </row>
    <row r="394" spans="1:1">
      <c r="A394" s="11"/>
    </row>
    <row r="395" spans="1:1">
      <c r="A395" s="11"/>
    </row>
    <row r="396" spans="1:1">
      <c r="A396" s="11"/>
    </row>
    <row r="397" spans="1:1">
      <c r="A397" s="11"/>
    </row>
    <row r="398" spans="1:1">
      <c r="A398" s="11"/>
    </row>
    <row r="399" spans="1:1">
      <c r="A399" s="11"/>
    </row>
    <row r="400" spans="1:1">
      <c r="A400" s="11"/>
    </row>
    <row r="401" spans="1:1">
      <c r="A401" s="11"/>
    </row>
    <row r="402" spans="1:1">
      <c r="A402" s="11"/>
    </row>
    <row r="403" spans="1:1">
      <c r="A403" s="11"/>
    </row>
    <row r="404" spans="1:1">
      <c r="A404" s="11"/>
    </row>
    <row r="405" spans="1:1">
      <c r="A405" s="11"/>
    </row>
    <row r="406" spans="1:1">
      <c r="A406" s="11"/>
    </row>
    <row r="407" spans="1:1">
      <c r="A407" s="11"/>
    </row>
    <row r="408" spans="1:1">
      <c r="A408" s="11"/>
    </row>
    <row r="409" spans="1:1">
      <c r="A409" s="11"/>
    </row>
    <row r="410" spans="1:1">
      <c r="A410" s="11"/>
    </row>
    <row r="411" spans="1:1">
      <c r="A411" s="11"/>
    </row>
    <row r="412" spans="1:1">
      <c r="A412" s="11"/>
    </row>
    <row r="413" spans="1:1">
      <c r="A413" s="11"/>
    </row>
    <row r="414" spans="1:1">
      <c r="A414" s="11"/>
    </row>
    <row r="415" spans="1:1">
      <c r="A415" s="11"/>
    </row>
    <row r="416" spans="1:1">
      <c r="A416" s="11"/>
    </row>
    <row r="417" spans="1:1">
      <c r="A417" s="11"/>
    </row>
    <row r="418" spans="1:1">
      <c r="A418" s="11"/>
    </row>
    <row r="419" spans="1:1">
      <c r="A419" s="11"/>
    </row>
    <row r="420" spans="1:1">
      <c r="A420" s="11"/>
    </row>
    <row r="421" spans="1:1">
      <c r="A421" s="11"/>
    </row>
    <row r="422" spans="1:1">
      <c r="A422" s="11"/>
    </row>
    <row r="423" spans="1:1">
      <c r="A423" s="11"/>
    </row>
    <row r="424" spans="1:1">
      <c r="A424" s="11"/>
    </row>
    <row r="425" spans="1:1">
      <c r="A425" s="11"/>
    </row>
    <row r="426" spans="1:1">
      <c r="A426" s="11"/>
    </row>
    <row r="427" spans="1:1">
      <c r="A427" s="11"/>
    </row>
    <row r="428" spans="1:1">
      <c r="A428" s="11"/>
    </row>
    <row r="429" spans="1:1">
      <c r="A429" s="11"/>
    </row>
    <row r="430" spans="1:1">
      <c r="A430" s="11"/>
    </row>
    <row r="431" spans="1:1">
      <c r="A431" s="11"/>
    </row>
    <row r="432" spans="1:1">
      <c r="A432" s="11"/>
    </row>
    <row r="433" spans="1:1">
      <c r="A433" s="11"/>
    </row>
    <row r="434" spans="1:1">
      <c r="A434" s="11"/>
    </row>
    <row r="435" spans="1:1">
      <c r="A435" s="11"/>
    </row>
    <row r="436" spans="1:1">
      <c r="A436" s="11"/>
    </row>
    <row r="437" spans="1:1">
      <c r="A437" s="11"/>
    </row>
    <row r="438" spans="1:1">
      <c r="A438" s="11"/>
    </row>
    <row r="439" spans="1:1">
      <c r="A439" s="11"/>
    </row>
    <row r="440" spans="1:1">
      <c r="A440" s="11"/>
    </row>
    <row r="441" spans="1:1">
      <c r="A441" s="11"/>
    </row>
    <row r="442" spans="1:1">
      <c r="A442" s="11"/>
    </row>
    <row r="443" spans="1:1">
      <c r="A443" s="11"/>
    </row>
    <row r="444" spans="1:1">
      <c r="A444" s="11"/>
    </row>
    <row r="445" spans="1:1">
      <c r="A445" s="11"/>
    </row>
    <row r="446" spans="1:1">
      <c r="A446" s="11"/>
    </row>
    <row r="447" spans="1:1">
      <c r="A447" s="11"/>
    </row>
    <row r="448" spans="1:1">
      <c r="A448" s="11"/>
    </row>
    <row r="449" spans="1:1">
      <c r="A449" s="11"/>
    </row>
    <row r="450" spans="1:1">
      <c r="A450" s="11"/>
    </row>
    <row r="451" spans="1:1">
      <c r="A451" s="11"/>
    </row>
    <row r="452" spans="1:1">
      <c r="A452" s="11"/>
    </row>
    <row r="453" spans="1:1">
      <c r="A453" s="11"/>
    </row>
    <row r="454" spans="1:1">
      <c r="A454" s="11"/>
    </row>
    <row r="455" spans="1:1">
      <c r="A455" s="11"/>
    </row>
    <row r="456" spans="1:1">
      <c r="A456" s="11"/>
    </row>
    <row r="457" spans="1:1">
      <c r="A457" s="11"/>
    </row>
    <row r="458" spans="1:1">
      <c r="A458" s="11"/>
    </row>
    <row r="459" spans="1:1">
      <c r="A459" s="11"/>
    </row>
    <row r="460" spans="1:1">
      <c r="A460" s="11"/>
    </row>
    <row r="461" spans="1:1">
      <c r="A461" s="11"/>
    </row>
    <row r="462" spans="1:1">
      <c r="A462" s="11"/>
    </row>
    <row r="463" spans="1:1">
      <c r="A463" s="11"/>
    </row>
    <row r="464" spans="1:1">
      <c r="A464" s="11"/>
    </row>
    <row r="465" spans="1:1">
      <c r="A465" s="11"/>
    </row>
    <row r="466" spans="1:1">
      <c r="A466" s="11"/>
    </row>
    <row r="467" spans="1:1">
      <c r="A467" s="11"/>
    </row>
    <row r="468" spans="1:1">
      <c r="A468" s="11"/>
    </row>
    <row r="469" spans="1:1">
      <c r="A469" s="11"/>
    </row>
    <row r="470" spans="1:1">
      <c r="A470" s="11"/>
    </row>
    <row r="471" spans="1:1">
      <c r="A471" s="11"/>
    </row>
    <row r="472" spans="1:1">
      <c r="A472" s="11"/>
    </row>
    <row r="473" spans="1:1">
      <c r="A473" s="11"/>
    </row>
    <row r="474" spans="1:1">
      <c r="A474" s="11"/>
    </row>
    <row r="475" spans="1:1">
      <c r="A475" s="11"/>
    </row>
    <row r="476" spans="1:1">
      <c r="A476" s="11"/>
    </row>
    <row r="477" spans="1:1">
      <c r="A477" s="11"/>
    </row>
    <row r="478" spans="1:1">
      <c r="A478" s="11"/>
    </row>
    <row r="479" spans="1:1">
      <c r="A479" s="11"/>
    </row>
    <row r="480" spans="1:1">
      <c r="A480" s="11"/>
    </row>
    <row r="481" spans="1:1">
      <c r="A481" s="11"/>
    </row>
    <row r="482" spans="1:1">
      <c r="A482" s="11"/>
    </row>
    <row r="483" spans="1:1">
      <c r="A483" s="11"/>
    </row>
    <row r="484" spans="1:1">
      <c r="A484" s="11"/>
    </row>
    <row r="485" spans="1:1">
      <c r="A485" s="11"/>
    </row>
    <row r="486" spans="1:1">
      <c r="A486" s="11"/>
    </row>
    <row r="487" spans="1:1">
      <c r="A487" s="11"/>
    </row>
    <row r="488" spans="1:1">
      <c r="A488" s="11"/>
    </row>
    <row r="489" spans="1:1">
      <c r="A489" s="11"/>
    </row>
    <row r="490" spans="1:1">
      <c r="A490" s="11"/>
    </row>
    <row r="491" spans="1:1">
      <c r="A491" s="11"/>
    </row>
    <row r="492" spans="1:1">
      <c r="A492" s="11"/>
    </row>
    <row r="493" spans="1:1">
      <c r="A493" s="11"/>
    </row>
    <row r="494" spans="1:1">
      <c r="A494" s="11"/>
    </row>
    <row r="495" spans="1:1">
      <c r="A495" s="11"/>
    </row>
    <row r="496" spans="1:1">
      <c r="A496" s="11"/>
    </row>
    <row r="497" spans="1:1">
      <c r="A497" s="11"/>
    </row>
    <row r="498" spans="1:1">
      <c r="A498" s="11"/>
    </row>
    <row r="499" spans="1:1">
      <c r="A499" s="11"/>
    </row>
    <row r="500" spans="1:1">
      <c r="A500" s="11"/>
    </row>
    <row r="501" spans="1:1">
      <c r="A501" s="11"/>
    </row>
    <row r="502" spans="1:1">
      <c r="A502" s="11"/>
    </row>
    <row r="503" spans="1:1">
      <c r="A503" s="11"/>
    </row>
    <row r="504" spans="1:1">
      <c r="A504" s="11"/>
    </row>
    <row r="505" spans="1:1">
      <c r="A505" s="11"/>
    </row>
    <row r="506" spans="1:1">
      <c r="A506" s="11"/>
    </row>
    <row r="507" spans="1:1">
      <c r="A507" s="11"/>
    </row>
    <row r="508" spans="1:1">
      <c r="A508" s="11"/>
    </row>
    <row r="509" spans="1:1">
      <c r="A509" s="11"/>
    </row>
    <row r="510" spans="1:1">
      <c r="A510" s="11"/>
    </row>
    <row r="511" spans="1:1">
      <c r="A511" s="11"/>
    </row>
    <row r="512" spans="1:1">
      <c r="A512" s="11"/>
    </row>
    <row r="513" spans="1:1">
      <c r="A513" s="11"/>
    </row>
    <row r="514" spans="1:1">
      <c r="A514" s="11"/>
    </row>
    <row r="515" spans="1:1">
      <c r="A515" s="11"/>
    </row>
    <row r="516" spans="1:1">
      <c r="A516" s="11"/>
    </row>
    <row r="517" spans="1:1">
      <c r="A517" s="11"/>
    </row>
    <row r="518" spans="1:1">
      <c r="A518" s="11"/>
    </row>
    <row r="519" spans="1:1">
      <c r="A519" s="11"/>
    </row>
    <row r="520" spans="1:1">
      <c r="A520" s="11"/>
    </row>
    <row r="521" spans="1:1">
      <c r="A521" s="11"/>
    </row>
    <row r="522" spans="1:1">
      <c r="A522" s="11"/>
    </row>
    <row r="523" spans="1:1">
      <c r="A523" s="11"/>
    </row>
    <row r="524" spans="1:1">
      <c r="A524" s="11"/>
    </row>
    <row r="525" spans="1:1">
      <c r="A525" s="11"/>
    </row>
    <row r="526" spans="1:1">
      <c r="A526" s="11"/>
    </row>
    <row r="527" spans="1:1">
      <c r="A527" s="11"/>
    </row>
    <row r="528" spans="1:1">
      <c r="A528" s="11"/>
    </row>
    <row r="529" spans="1:1">
      <c r="A529" s="11"/>
    </row>
    <row r="530" spans="1:1">
      <c r="A530" s="11"/>
    </row>
    <row r="531" spans="1:1">
      <c r="A531" s="11"/>
    </row>
    <row r="532" spans="1:1">
      <c r="A532" s="11"/>
    </row>
    <row r="533" spans="1:1">
      <c r="A533" s="11"/>
    </row>
    <row r="534" spans="1:1">
      <c r="A534" s="11"/>
    </row>
    <row r="535" spans="1:1">
      <c r="A535" s="11"/>
    </row>
    <row r="536" spans="1:1">
      <c r="A536" s="11"/>
    </row>
    <row r="537" spans="1:1">
      <c r="A537" s="11"/>
    </row>
    <row r="538" spans="1:1">
      <c r="A538" s="11"/>
    </row>
    <row r="539" spans="1:1">
      <c r="A539" s="11"/>
    </row>
    <row r="540" spans="1:1">
      <c r="A540" s="11"/>
    </row>
    <row r="541" spans="1:1">
      <c r="A541" s="11"/>
    </row>
    <row r="542" spans="1:1">
      <c r="A542" s="11"/>
    </row>
    <row r="543" spans="1:1">
      <c r="A543" s="11"/>
    </row>
    <row r="544" spans="1:1">
      <c r="A544" s="11"/>
    </row>
    <row r="545" spans="1:1">
      <c r="A545" s="11"/>
    </row>
    <row r="546" spans="1:1">
      <c r="A546" s="11"/>
    </row>
    <row r="547" spans="1:1">
      <c r="A547" s="11"/>
    </row>
    <row r="548" spans="1:1">
      <c r="A548" s="11"/>
    </row>
    <row r="549" spans="1:1">
      <c r="A549" s="11"/>
    </row>
    <row r="550" spans="1:1">
      <c r="A550" s="11"/>
    </row>
    <row r="551" spans="1:1">
      <c r="A551" s="11"/>
    </row>
    <row r="552" spans="1:1">
      <c r="A552" s="11"/>
    </row>
    <row r="553" spans="1:1">
      <c r="A553" s="11"/>
    </row>
    <row r="554" spans="1:1">
      <c r="A554" s="11"/>
    </row>
    <row r="555" spans="1:1">
      <c r="A555" s="11"/>
    </row>
    <row r="556" spans="1:1">
      <c r="A556" s="11"/>
    </row>
    <row r="557" spans="1:1">
      <c r="A557" s="11"/>
    </row>
    <row r="558" spans="1:1">
      <c r="A558" s="11"/>
    </row>
    <row r="559" spans="1:1">
      <c r="A559" s="11"/>
    </row>
    <row r="560" spans="1:1">
      <c r="A560" s="11"/>
    </row>
    <row r="561" spans="1:1">
      <c r="A561" s="11"/>
    </row>
    <row r="562" spans="1:1">
      <c r="A562" s="11"/>
    </row>
    <row r="563" spans="1:1">
      <c r="A563" s="11"/>
    </row>
    <row r="564" spans="1:1">
      <c r="A564" s="11"/>
    </row>
    <row r="565" spans="1:1">
      <c r="A565" s="11"/>
    </row>
    <row r="566" spans="1:1">
      <c r="A566" s="11"/>
    </row>
    <row r="567" spans="1:1">
      <c r="A567" s="11"/>
    </row>
    <row r="568" spans="1:1">
      <c r="A568" s="11"/>
    </row>
    <row r="569" spans="1:1">
      <c r="A569" s="11"/>
    </row>
    <row r="570" spans="1:1">
      <c r="A570" s="11"/>
    </row>
    <row r="571" spans="1:1">
      <c r="A571" s="11"/>
    </row>
    <row r="572" spans="1:1">
      <c r="A572" s="11"/>
    </row>
    <row r="573" spans="1:1">
      <c r="A573" s="11"/>
    </row>
    <row r="574" spans="1:1">
      <c r="A574" s="11"/>
    </row>
    <row r="575" spans="1:1">
      <c r="A575" s="11"/>
    </row>
    <row r="576" spans="1:1">
      <c r="A576" s="11"/>
    </row>
    <row r="577" spans="1:1">
      <c r="A577" s="11"/>
    </row>
    <row r="578" spans="1:1">
      <c r="A578" s="11"/>
    </row>
    <row r="579" spans="1:1">
      <c r="A579" s="11"/>
    </row>
    <row r="580" spans="1:1">
      <c r="A580" s="11"/>
    </row>
    <row r="581" spans="1:1">
      <c r="A581" s="11"/>
    </row>
    <row r="582" spans="1:1">
      <c r="A582" s="11"/>
    </row>
    <row r="583" spans="1:1">
      <c r="A583" s="11"/>
    </row>
    <row r="584" spans="1:1">
      <c r="A584" s="11"/>
    </row>
    <row r="585" spans="1:1">
      <c r="A585" s="11"/>
    </row>
    <row r="586" spans="1:1">
      <c r="A586" s="11"/>
    </row>
    <row r="587" spans="1:1">
      <c r="A587" s="11"/>
    </row>
    <row r="588" spans="1:1">
      <c r="A588" s="11"/>
    </row>
    <row r="589" spans="1:1">
      <c r="A589" s="11"/>
    </row>
    <row r="590" spans="1:1">
      <c r="A590" s="11"/>
    </row>
    <row r="591" spans="1:1">
      <c r="A591" s="11"/>
    </row>
    <row r="592" spans="1:1">
      <c r="A592" s="11"/>
    </row>
    <row r="593" spans="1:1">
      <c r="A593" s="11"/>
    </row>
    <row r="594" spans="1:1">
      <c r="A594" s="11"/>
    </row>
    <row r="595" spans="1:1">
      <c r="A595" s="11"/>
    </row>
    <row r="596" spans="1:1">
      <c r="A596" s="11"/>
    </row>
    <row r="597" spans="1:1">
      <c r="A597" s="11"/>
    </row>
    <row r="598" spans="1:1">
      <c r="A598" s="11"/>
    </row>
    <row r="599" spans="1:1">
      <c r="A599" s="11"/>
    </row>
    <row r="600" spans="1:1">
      <c r="A600" s="11"/>
    </row>
    <row r="601" spans="1:1">
      <c r="A601" s="11"/>
    </row>
    <row r="602" spans="1:1">
      <c r="A602" s="11"/>
    </row>
    <row r="603" spans="1:1">
      <c r="A603" s="11"/>
    </row>
    <row r="604" spans="1:1">
      <c r="A604" s="11"/>
    </row>
    <row r="605" spans="1:1">
      <c r="A605" s="11"/>
    </row>
    <row r="606" spans="1:1">
      <c r="A606" s="11"/>
    </row>
    <row r="607" spans="1:1">
      <c r="A607" s="11"/>
    </row>
    <row r="608" spans="1:1">
      <c r="A608" s="11"/>
    </row>
    <row r="609" spans="1:1">
      <c r="A609" s="11"/>
    </row>
    <row r="610" spans="1:1">
      <c r="A610" s="11"/>
    </row>
    <row r="611" spans="1:1">
      <c r="A611" s="11"/>
    </row>
    <row r="612" spans="1:1">
      <c r="A612" s="11"/>
    </row>
    <row r="613" spans="1:1">
      <c r="A613" s="11"/>
    </row>
    <row r="614" spans="1:1">
      <c r="A614" s="11"/>
    </row>
    <row r="615" spans="1:1">
      <c r="A615" s="11"/>
    </row>
    <row r="616" spans="1:1">
      <c r="A616" s="11"/>
    </row>
    <row r="617" spans="1:1">
      <c r="A617" s="11"/>
    </row>
    <row r="618" spans="1:1">
      <c r="A618" s="11"/>
    </row>
    <row r="619" spans="1:1">
      <c r="A619" s="11"/>
    </row>
    <row r="620" spans="1:1">
      <c r="A620" s="11"/>
    </row>
    <row r="621" spans="1:1">
      <c r="A621" s="11"/>
    </row>
    <row r="622" spans="1:1">
      <c r="A622" s="11"/>
    </row>
    <row r="623" spans="1:1">
      <c r="A623" s="11"/>
    </row>
    <row r="624" spans="1:1">
      <c r="A624" s="11"/>
    </row>
    <row r="625" spans="1:1">
      <c r="A625" s="11"/>
    </row>
    <row r="626" spans="1:1">
      <c r="A626" s="11"/>
    </row>
    <row r="627" spans="1:1">
      <c r="A627" s="11"/>
    </row>
    <row r="628" spans="1:1">
      <c r="A628" s="11"/>
    </row>
    <row r="629" spans="1:1">
      <c r="A629" s="11"/>
    </row>
    <row r="630" spans="1:1">
      <c r="A630" s="11"/>
    </row>
    <row r="631" spans="1:1">
      <c r="A631" s="11"/>
    </row>
    <row r="632" spans="1:1">
      <c r="A632" s="11"/>
    </row>
    <row r="633" spans="1:1">
      <c r="A633" s="11"/>
    </row>
    <row r="634" spans="1:1">
      <c r="A634" s="11"/>
    </row>
    <row r="635" spans="1:1">
      <c r="A635" s="11"/>
    </row>
    <row r="636" spans="1:1">
      <c r="A636" s="11"/>
    </row>
    <row r="637" spans="1:1">
      <c r="A637" s="11"/>
    </row>
    <row r="638" spans="1:1">
      <c r="A638" s="11"/>
    </row>
    <row r="639" spans="1:1">
      <c r="A639" s="11"/>
    </row>
    <row r="640" spans="1:1">
      <c r="A640" s="11"/>
    </row>
    <row r="641" spans="1:1">
      <c r="A641" s="11"/>
    </row>
    <row r="642" spans="1:1">
      <c r="A642" s="11"/>
    </row>
    <row r="643" spans="1:1">
      <c r="A643" s="11"/>
    </row>
    <row r="644" spans="1:1">
      <c r="A644" s="11"/>
    </row>
    <row r="645" spans="1:1">
      <c r="A645" s="11"/>
    </row>
    <row r="646" spans="1:1">
      <c r="A646" s="11"/>
    </row>
    <row r="647" spans="1:1">
      <c r="A647" s="11"/>
    </row>
    <row r="648" spans="1:1">
      <c r="A648" s="11"/>
    </row>
    <row r="649" spans="1:1">
      <c r="A649" s="11"/>
    </row>
    <row r="650" spans="1:1">
      <c r="A650" s="11"/>
    </row>
    <row r="651" spans="1:1">
      <c r="A651" s="11"/>
    </row>
    <row r="652" spans="1:1">
      <c r="A652" s="11"/>
    </row>
    <row r="653" spans="1:1">
      <c r="A653" s="11"/>
    </row>
    <row r="654" spans="1:1">
      <c r="A654" s="11"/>
    </row>
    <row r="655" spans="1:1">
      <c r="A655" s="11"/>
    </row>
    <row r="656" spans="1:1">
      <c r="A656" s="11"/>
    </row>
    <row r="657" spans="1:1">
      <c r="A657" s="11"/>
    </row>
    <row r="658" spans="1:1">
      <c r="A658" s="11"/>
    </row>
    <row r="659" spans="1:1">
      <c r="A659" s="11"/>
    </row>
    <row r="660" spans="1:1">
      <c r="A660" s="11"/>
    </row>
    <row r="661" spans="1:1">
      <c r="A661" s="11"/>
    </row>
    <row r="662" spans="1:1">
      <c r="A662" s="11"/>
    </row>
    <row r="663" spans="1:1">
      <c r="A663" s="11"/>
    </row>
    <row r="664" spans="1:1">
      <c r="A664" s="11"/>
    </row>
    <row r="665" spans="1:1">
      <c r="A665" s="11"/>
    </row>
    <row r="666" spans="1:1">
      <c r="A666" s="11"/>
    </row>
    <row r="667" spans="1:1">
      <c r="A667" s="11"/>
    </row>
    <row r="668" spans="1:1">
      <c r="A668" s="11"/>
    </row>
    <row r="669" spans="1:1">
      <c r="A669" s="11"/>
    </row>
    <row r="670" spans="1:1">
      <c r="A670" s="11"/>
    </row>
    <row r="671" spans="1:1">
      <c r="A671" s="11"/>
    </row>
    <row r="672" spans="1:1">
      <c r="A672" s="11"/>
    </row>
    <row r="673" spans="1:1">
      <c r="A673" s="11"/>
    </row>
    <row r="674" spans="1:1">
      <c r="A674" s="11"/>
    </row>
    <row r="675" spans="1:1">
      <c r="A675" s="11"/>
    </row>
    <row r="676" spans="1:1">
      <c r="A676" s="11"/>
    </row>
    <row r="677" spans="1:1">
      <c r="A677" s="11"/>
    </row>
    <row r="678" spans="1:1">
      <c r="A678" s="11"/>
    </row>
    <row r="679" spans="1:1">
      <c r="A679" s="11"/>
    </row>
    <row r="680" spans="1:1">
      <c r="A680" s="11"/>
    </row>
    <row r="681" spans="1:1">
      <c r="A681" s="11"/>
    </row>
    <row r="682" spans="1:1">
      <c r="A682" s="11"/>
    </row>
    <row r="683" spans="1:1">
      <c r="A683" s="11"/>
    </row>
    <row r="684" spans="1:1">
      <c r="A684" s="11"/>
    </row>
    <row r="685" spans="1:1">
      <c r="A685" s="11"/>
    </row>
    <row r="686" spans="1:1">
      <c r="A686" s="11"/>
    </row>
    <row r="687" spans="1:1">
      <c r="A687" s="11"/>
    </row>
    <row r="688" spans="1:1">
      <c r="A688" s="11"/>
    </row>
    <row r="689" spans="1:1">
      <c r="A689" s="11"/>
    </row>
    <row r="690" spans="1:1">
      <c r="A690" s="11"/>
    </row>
    <row r="691" spans="1:1">
      <c r="A691" s="11"/>
    </row>
    <row r="692" spans="1:1">
      <c r="A692" s="11"/>
    </row>
    <row r="693" spans="1:1">
      <c r="A693" s="11"/>
    </row>
    <row r="694" spans="1:1">
      <c r="A694" s="11"/>
    </row>
    <row r="695" spans="1:1">
      <c r="A695" s="11"/>
    </row>
    <row r="696" spans="1:1">
      <c r="A696" s="11"/>
    </row>
    <row r="697" spans="1:1">
      <c r="A697" s="11"/>
    </row>
    <row r="698" spans="1:1">
      <c r="A698" s="11"/>
    </row>
    <row r="699" spans="1:1">
      <c r="A699" s="11"/>
    </row>
    <row r="700" spans="1:1">
      <c r="A700" s="11"/>
    </row>
    <row r="701" spans="1:1">
      <c r="A701" s="11"/>
    </row>
    <row r="702" spans="1:1">
      <c r="A702" s="11"/>
    </row>
    <row r="703" spans="1:1">
      <c r="A703" s="11"/>
    </row>
    <row r="704" spans="1:1">
      <c r="A704" s="11"/>
    </row>
    <row r="705" spans="1:1">
      <c r="A705" s="11"/>
    </row>
    <row r="706" spans="1:1">
      <c r="A706" s="11"/>
    </row>
    <row r="707" spans="1:1">
      <c r="A707" s="11"/>
    </row>
    <row r="708" spans="1:1">
      <c r="A708" s="11"/>
    </row>
    <row r="709" spans="1:1">
      <c r="A709" s="11"/>
    </row>
    <row r="710" spans="1:1">
      <c r="A710" s="11"/>
    </row>
    <row r="711" spans="1:1">
      <c r="A711" s="11"/>
    </row>
    <row r="712" spans="1:1">
      <c r="A712" s="11"/>
    </row>
    <row r="713" spans="1:1">
      <c r="A713" s="11"/>
    </row>
    <row r="714" spans="1:1">
      <c r="A714" s="11"/>
    </row>
    <row r="715" spans="1:1">
      <c r="A715" s="11"/>
    </row>
    <row r="716" spans="1:1">
      <c r="A716" s="11"/>
    </row>
    <row r="717" spans="1:1">
      <c r="A717" s="11"/>
    </row>
    <row r="718" spans="1:1">
      <c r="A718" s="11"/>
    </row>
    <row r="719" spans="1:1">
      <c r="A719" s="11"/>
    </row>
    <row r="720" spans="1:1">
      <c r="A720" s="11"/>
    </row>
    <row r="721" spans="1:1">
      <c r="A721" s="11"/>
    </row>
    <row r="722" spans="1:1">
      <c r="A722" s="11"/>
    </row>
    <row r="723" spans="1:1">
      <c r="A723" s="11"/>
    </row>
    <row r="724" spans="1:1">
      <c r="A724" s="11"/>
    </row>
    <row r="725" spans="1:1">
      <c r="A725" s="11"/>
    </row>
    <row r="726" spans="1:1">
      <c r="A726" s="11"/>
    </row>
    <row r="727" spans="1:1">
      <c r="A727" s="11"/>
    </row>
    <row r="728" spans="1:1">
      <c r="A728" s="11"/>
    </row>
    <row r="729" spans="1:1">
      <c r="A729" s="11"/>
    </row>
    <row r="730" spans="1:1">
      <c r="A730" s="11"/>
    </row>
    <row r="731" spans="1:1">
      <c r="A731" s="11"/>
    </row>
    <row r="732" spans="1:1">
      <c r="A732" s="11"/>
    </row>
    <row r="733" spans="1:1">
      <c r="A733" s="11"/>
    </row>
    <row r="734" spans="1:1">
      <c r="A734" s="11"/>
    </row>
    <row r="735" spans="1:1">
      <c r="A735" s="11"/>
    </row>
    <row r="736" spans="1:1">
      <c r="A736" s="11"/>
    </row>
    <row r="737" spans="1:1">
      <c r="A737" s="11"/>
    </row>
    <row r="738" spans="1:1">
      <c r="A738" s="11"/>
    </row>
    <row r="739" spans="1:1">
      <c r="A739" s="11"/>
    </row>
    <row r="740" spans="1:1">
      <c r="A740" s="11"/>
    </row>
    <row r="741" spans="1:1">
      <c r="A741" s="11"/>
    </row>
    <row r="742" spans="1:1">
      <c r="A742" s="11"/>
    </row>
    <row r="743" spans="1:1">
      <c r="A743" s="11"/>
    </row>
    <row r="744" spans="1:1">
      <c r="A744" s="11"/>
    </row>
    <row r="745" spans="1:1">
      <c r="A745" s="11"/>
    </row>
    <row r="746" spans="1:1">
      <c r="A746" s="11"/>
    </row>
    <row r="747" spans="1:1">
      <c r="A747" s="11"/>
    </row>
    <row r="748" spans="1:1">
      <c r="A748" s="11"/>
    </row>
    <row r="749" spans="1:1">
      <c r="A749" s="11"/>
    </row>
    <row r="750" spans="1:1">
      <c r="A750" s="11"/>
    </row>
    <row r="751" spans="1:1">
      <c r="A751" s="11"/>
    </row>
    <row r="752" spans="1:1">
      <c r="A752" s="11"/>
    </row>
    <row r="753" spans="1:1">
      <c r="A753" s="11"/>
    </row>
    <row r="754" spans="1:1">
      <c r="A754" s="11"/>
    </row>
    <row r="755" spans="1:1">
      <c r="A755" s="11"/>
    </row>
    <row r="756" spans="1:1">
      <c r="A756" s="11"/>
    </row>
    <row r="757" spans="1:1">
      <c r="A757" s="11"/>
    </row>
    <row r="758" spans="1:1">
      <c r="A758" s="11"/>
    </row>
    <row r="759" spans="1:1">
      <c r="A759" s="11"/>
    </row>
    <row r="760" spans="1:1">
      <c r="A760" s="11"/>
    </row>
    <row r="761" spans="1:1">
      <c r="A761" s="11"/>
    </row>
    <row r="762" spans="1:1">
      <c r="A762" s="11"/>
    </row>
    <row r="763" spans="1:1">
      <c r="A763" s="11"/>
    </row>
    <row r="764" spans="1:1">
      <c r="A764" s="11"/>
    </row>
    <row r="765" spans="1:1">
      <c r="A765" s="11"/>
    </row>
    <row r="766" spans="1:1">
      <c r="A766" s="11"/>
    </row>
    <row r="767" spans="1:1">
      <c r="A767" s="11"/>
    </row>
    <row r="768" spans="1:1">
      <c r="A768" s="11"/>
    </row>
    <row r="769" spans="1:1">
      <c r="A769" s="11"/>
    </row>
    <row r="770" spans="1:1">
      <c r="A770" s="11"/>
    </row>
    <row r="771" spans="1:1">
      <c r="A771" s="11"/>
    </row>
    <row r="772" spans="1:1">
      <c r="A772" s="11"/>
    </row>
    <row r="773" spans="1:1">
      <c r="A773" s="11"/>
    </row>
    <row r="774" spans="1:1">
      <c r="A774" s="11"/>
    </row>
    <row r="775" spans="1:1">
      <c r="A775" s="11"/>
    </row>
    <row r="776" spans="1:1">
      <c r="A776" s="11"/>
    </row>
    <row r="777" spans="1:1">
      <c r="A777" s="11"/>
    </row>
    <row r="778" spans="1:1">
      <c r="A778" s="11"/>
    </row>
    <row r="779" spans="1:1">
      <c r="A779" s="11"/>
    </row>
    <row r="780" spans="1:1">
      <c r="A780" s="11"/>
    </row>
    <row r="781" spans="1:1">
      <c r="A781" s="11"/>
    </row>
    <row r="782" spans="1:1">
      <c r="A782" s="11"/>
    </row>
    <row r="783" spans="1:1">
      <c r="A783" s="11"/>
    </row>
    <row r="784" spans="1:1">
      <c r="A784" s="11"/>
    </row>
    <row r="785" spans="1:1">
      <c r="A785" s="11"/>
    </row>
    <row r="786" spans="1:1">
      <c r="A786" s="11"/>
    </row>
    <row r="787" spans="1:1">
      <c r="A787" s="11"/>
    </row>
    <row r="788" spans="1:1">
      <c r="A788" s="11"/>
    </row>
    <row r="789" spans="1:1">
      <c r="A789" s="11"/>
    </row>
    <row r="790" spans="1:1">
      <c r="A790" s="11"/>
    </row>
    <row r="791" spans="1:1">
      <c r="A791" s="11"/>
    </row>
    <row r="792" spans="1:1">
      <c r="A792" s="11"/>
    </row>
    <row r="793" spans="1:1">
      <c r="A793" s="11"/>
    </row>
    <row r="794" spans="1:1">
      <c r="A794" s="11"/>
    </row>
    <row r="795" spans="1:1">
      <c r="A795" s="11"/>
    </row>
    <row r="796" spans="1:1">
      <c r="A796" s="11"/>
    </row>
    <row r="797" spans="1:1">
      <c r="A797" s="11"/>
    </row>
    <row r="798" spans="1:1">
      <c r="A798" s="11"/>
    </row>
    <row r="799" spans="1:1">
      <c r="A799" s="11"/>
    </row>
    <row r="800" spans="1:1">
      <c r="A800" s="11"/>
    </row>
    <row r="801" spans="1:1">
      <c r="A801" s="11"/>
    </row>
    <row r="802" spans="1:1">
      <c r="A802" s="11"/>
    </row>
    <row r="803" spans="1:1">
      <c r="A803" s="11"/>
    </row>
    <row r="804" spans="1:1">
      <c r="A804" s="11"/>
    </row>
    <row r="805" spans="1:1">
      <c r="A805" s="11"/>
    </row>
    <row r="806" spans="1:1">
      <c r="A806" s="11"/>
    </row>
    <row r="807" spans="1:1">
      <c r="A807" s="11"/>
    </row>
    <row r="808" spans="1:1">
      <c r="A808" s="11"/>
    </row>
    <row r="809" spans="1:1">
      <c r="A809" s="11"/>
    </row>
    <row r="810" spans="1:1">
      <c r="A810" s="11"/>
    </row>
    <row r="811" spans="1:1">
      <c r="A811" s="11"/>
    </row>
    <row r="812" spans="1:1">
      <c r="A812" s="11"/>
    </row>
    <row r="813" spans="1:1">
      <c r="A813" s="11"/>
    </row>
    <row r="814" spans="1:1">
      <c r="A814" s="11"/>
    </row>
    <row r="815" spans="1:1">
      <c r="A815" s="11"/>
    </row>
    <row r="816" spans="1:1">
      <c r="A816" s="11"/>
    </row>
    <row r="817" spans="1:1">
      <c r="A817" s="11"/>
    </row>
    <row r="818" spans="1:1">
      <c r="A818" s="11"/>
    </row>
    <row r="819" spans="1:1">
      <c r="A819" s="11"/>
    </row>
    <row r="820" spans="1:1">
      <c r="A820" s="11"/>
    </row>
    <row r="821" spans="1:1">
      <c r="A821" s="11"/>
    </row>
    <row r="822" spans="1:1">
      <c r="A822" s="11"/>
    </row>
    <row r="823" spans="1:1">
      <c r="A823" s="11"/>
    </row>
    <row r="824" spans="1:1">
      <c r="A824" s="11"/>
    </row>
    <row r="825" spans="1:1">
      <c r="A825" s="11"/>
    </row>
    <row r="826" spans="1:1">
      <c r="A826" s="11"/>
    </row>
    <row r="827" spans="1:1">
      <c r="A827" s="11"/>
    </row>
    <row r="828" spans="1:1">
      <c r="A828" s="11"/>
    </row>
    <row r="829" spans="1:1">
      <c r="A829" s="11"/>
    </row>
    <row r="830" spans="1:1">
      <c r="A830" s="11"/>
    </row>
    <row r="831" spans="1:1">
      <c r="A831" s="11"/>
    </row>
    <row r="832" spans="1:1">
      <c r="A832" s="11"/>
    </row>
    <row r="833" spans="1:1">
      <c r="A833" s="11"/>
    </row>
    <row r="834" spans="1:1">
      <c r="A834" s="11"/>
    </row>
    <row r="835" spans="1:1">
      <c r="A835" s="11"/>
    </row>
    <row r="836" spans="1:1">
      <c r="A836" s="11"/>
    </row>
    <row r="837" spans="1:1">
      <c r="A837" s="11"/>
    </row>
    <row r="838" spans="1:1">
      <c r="A838" s="11"/>
    </row>
    <row r="839" spans="1:1">
      <c r="A839" s="11"/>
    </row>
    <row r="840" spans="1:1">
      <c r="A840" s="11"/>
    </row>
    <row r="841" spans="1:1">
      <c r="A841" s="11"/>
    </row>
    <row r="842" spans="1:1">
      <c r="A842" s="11"/>
    </row>
    <row r="843" spans="1:1">
      <c r="A843" s="11"/>
    </row>
    <row r="844" spans="1:1">
      <c r="A844" s="11"/>
    </row>
    <row r="845" spans="1:1">
      <c r="A845" s="11"/>
    </row>
    <row r="846" spans="1:1">
      <c r="A846" s="11"/>
    </row>
    <row r="847" spans="1:1">
      <c r="A847" s="11"/>
    </row>
    <row r="848" spans="1:1">
      <c r="A848" s="11"/>
    </row>
    <row r="849" spans="1:1">
      <c r="A849" s="11"/>
    </row>
    <row r="850" spans="1:1">
      <c r="A850" s="11"/>
    </row>
    <row r="851" spans="1:1">
      <c r="A851" s="11"/>
    </row>
    <row r="852" spans="1:1">
      <c r="A852" s="11"/>
    </row>
    <row r="853" spans="1:1">
      <c r="A853" s="11"/>
    </row>
    <row r="854" spans="1:1">
      <c r="A854" s="11"/>
    </row>
    <row r="855" spans="1:1">
      <c r="A855" s="11"/>
    </row>
    <row r="856" spans="1:1">
      <c r="A856" s="11"/>
    </row>
    <row r="857" spans="1:1">
      <c r="A857" s="11"/>
    </row>
    <row r="858" spans="1:1">
      <c r="A858" s="11"/>
    </row>
    <row r="859" spans="1:1">
      <c r="A859" s="11"/>
    </row>
    <row r="860" spans="1:1">
      <c r="A860" s="11"/>
    </row>
    <row r="861" spans="1:1">
      <c r="A861" s="11"/>
    </row>
    <row r="862" spans="1:1">
      <c r="A862" s="11"/>
    </row>
    <row r="863" spans="1:1">
      <c r="A863" s="11"/>
    </row>
    <row r="864" spans="1:1">
      <c r="A864" s="11"/>
    </row>
    <row r="865" spans="1:1">
      <c r="A865" s="11"/>
    </row>
    <row r="866" spans="1:1">
      <c r="A866" s="11"/>
    </row>
    <row r="867" spans="1:1">
      <c r="A867" s="11"/>
    </row>
    <row r="868" spans="1:1">
      <c r="A868" s="11"/>
    </row>
    <row r="869" spans="1:1">
      <c r="A869" s="11"/>
    </row>
    <row r="870" spans="1:1">
      <c r="A870" s="11"/>
    </row>
    <row r="871" spans="1:1">
      <c r="A871" s="11"/>
    </row>
    <row r="872" spans="1:1">
      <c r="A872" s="11"/>
    </row>
    <row r="873" spans="1:1">
      <c r="A873" s="11"/>
    </row>
    <row r="874" spans="1:1">
      <c r="A874" s="11"/>
    </row>
    <row r="875" spans="1:1">
      <c r="A875" s="11"/>
    </row>
    <row r="876" spans="1:1">
      <c r="A876" s="11"/>
    </row>
    <row r="877" spans="1:1">
      <c r="A877" s="11"/>
    </row>
    <row r="878" spans="1:1">
      <c r="A878" s="11"/>
    </row>
    <row r="879" spans="1:1">
      <c r="A879" s="11"/>
    </row>
    <row r="880" spans="1:1">
      <c r="A880" s="11"/>
    </row>
    <row r="881" spans="1:1">
      <c r="A881" s="11"/>
    </row>
    <row r="882" spans="1:1">
      <c r="A882" s="11"/>
    </row>
    <row r="883" spans="1:1">
      <c r="A883" s="11"/>
    </row>
    <row r="884" spans="1:1">
      <c r="A884" s="11"/>
    </row>
    <row r="885" spans="1:1">
      <c r="A885" s="11"/>
    </row>
    <row r="886" spans="1:1">
      <c r="A886" s="11"/>
    </row>
    <row r="887" spans="1:1">
      <c r="A887" s="11"/>
    </row>
    <row r="888" spans="1:1">
      <c r="A888" s="11"/>
    </row>
    <row r="889" spans="1:1">
      <c r="A889" s="11"/>
    </row>
    <row r="890" spans="1:1">
      <c r="A890" s="11"/>
    </row>
    <row r="891" spans="1:1">
      <c r="A891" s="11"/>
    </row>
    <row r="892" spans="1:1">
      <c r="A892" s="11"/>
    </row>
    <row r="893" spans="1:1">
      <c r="A893" s="11"/>
    </row>
    <row r="894" spans="1:1">
      <c r="A894" s="11"/>
    </row>
    <row r="895" spans="1:1">
      <c r="A895" s="11"/>
    </row>
    <row r="896" spans="1:1">
      <c r="A896" s="11"/>
    </row>
    <row r="897" spans="1:1">
      <c r="A897" s="11"/>
    </row>
    <row r="898" spans="1:1">
      <c r="A898" s="11"/>
    </row>
    <row r="899" spans="1:1">
      <c r="A899" s="11"/>
    </row>
    <row r="900" spans="1:1">
      <c r="A900" s="11"/>
    </row>
    <row r="901" spans="1:1">
      <c r="A901" s="11"/>
    </row>
    <row r="902" spans="1:1">
      <c r="A902" s="11"/>
    </row>
    <row r="903" spans="1:1">
      <c r="A903" s="11"/>
    </row>
    <row r="904" spans="1:1">
      <c r="A904" s="11"/>
    </row>
    <row r="905" spans="1:1">
      <c r="A905" s="11"/>
    </row>
    <row r="906" spans="1:1">
      <c r="A906" s="11"/>
    </row>
    <row r="907" spans="1:1">
      <c r="A907" s="11"/>
    </row>
    <row r="908" spans="1:1">
      <c r="A908" s="11"/>
    </row>
    <row r="909" spans="1:1">
      <c r="A909" s="11"/>
    </row>
    <row r="910" spans="1:1">
      <c r="A910" s="11"/>
    </row>
    <row r="911" spans="1:1">
      <c r="A911" s="11"/>
    </row>
    <row r="912" spans="1:1">
      <c r="A912" s="11"/>
    </row>
    <row r="913" spans="1:1">
      <c r="A913" s="11"/>
    </row>
    <row r="914" spans="1:1">
      <c r="A914" s="11"/>
    </row>
    <row r="915" spans="1:1">
      <c r="A915" s="11"/>
    </row>
    <row r="916" spans="1:1">
      <c r="A916" s="11"/>
    </row>
    <row r="917" spans="1:1">
      <c r="A917" s="11"/>
    </row>
    <row r="918" spans="1:1">
      <c r="A918" s="11"/>
    </row>
    <row r="919" spans="1:1">
      <c r="A919" s="11"/>
    </row>
    <row r="920" spans="1:1">
      <c r="A920" s="11"/>
    </row>
    <row r="921" spans="1:1">
      <c r="A921" s="11"/>
    </row>
    <row r="922" spans="1:1">
      <c r="A922" s="11"/>
    </row>
    <row r="923" spans="1:1">
      <c r="A923" s="11"/>
    </row>
    <row r="924" spans="1:1">
      <c r="A924" s="11"/>
    </row>
    <row r="925" spans="1:1">
      <c r="A925" s="11"/>
    </row>
    <row r="926" spans="1:1">
      <c r="A926" s="11"/>
    </row>
    <row r="927" spans="1:1">
      <c r="A927" s="11"/>
    </row>
    <row r="928" spans="1:1">
      <c r="A928" s="11"/>
    </row>
    <row r="929" spans="1:1">
      <c r="A929" s="11"/>
    </row>
    <row r="930" spans="1:1">
      <c r="A930" s="11"/>
    </row>
    <row r="931" spans="1:1">
      <c r="A931" s="11"/>
    </row>
    <row r="932" spans="1:1">
      <c r="A932" s="11"/>
    </row>
    <row r="933" spans="1:1">
      <c r="A933" s="11"/>
    </row>
    <row r="934" spans="1:1">
      <c r="A934" s="11"/>
    </row>
    <row r="935" spans="1:1">
      <c r="A935" s="11"/>
    </row>
    <row r="936" spans="1:1">
      <c r="A936" s="11"/>
    </row>
    <row r="937" spans="1:1">
      <c r="A937" s="11"/>
    </row>
    <row r="938" spans="1:1">
      <c r="A938" s="11"/>
    </row>
    <row r="939" spans="1:1">
      <c r="A939" s="11"/>
    </row>
    <row r="940" spans="1:1">
      <c r="A940" s="11"/>
    </row>
    <row r="941" spans="1:1">
      <c r="A941" s="11"/>
    </row>
    <row r="942" spans="1:1">
      <c r="A942" s="11"/>
    </row>
    <row r="943" spans="1:1">
      <c r="A943" s="11"/>
    </row>
    <row r="944" spans="1:1">
      <c r="A944" s="11"/>
    </row>
    <row r="945" spans="1:1">
      <c r="A945" s="11"/>
    </row>
    <row r="946" spans="1:1">
      <c r="A946" s="11"/>
    </row>
    <row r="947" spans="1:1">
      <c r="A947" s="11"/>
    </row>
    <row r="948" spans="1:1">
      <c r="A948" s="11"/>
    </row>
    <row r="949" spans="1:1">
      <c r="A949" s="11"/>
    </row>
    <row r="950" spans="1:1">
      <c r="A950" s="11"/>
    </row>
    <row r="951" spans="1:1">
      <c r="A951" s="11"/>
    </row>
    <row r="952" spans="1:1">
      <c r="A952" s="11"/>
    </row>
    <row r="953" spans="1:1">
      <c r="A953" s="11"/>
    </row>
    <row r="954" spans="1:1">
      <c r="A954" s="11"/>
    </row>
    <row r="955" spans="1:1">
      <c r="A955" s="11"/>
    </row>
    <row r="956" spans="1:1">
      <c r="A956" s="11"/>
    </row>
    <row r="957" spans="1:1">
      <c r="A957" s="11"/>
    </row>
    <row r="958" spans="1:1">
      <c r="A958" s="11"/>
    </row>
    <row r="959" spans="1:1">
      <c r="A959" s="11"/>
    </row>
    <row r="960" spans="1:1">
      <c r="A960" s="11"/>
    </row>
    <row r="961" spans="1:1">
      <c r="A961" s="11"/>
    </row>
    <row r="962" spans="1:1">
      <c r="A962" s="11"/>
    </row>
    <row r="963" spans="1:1">
      <c r="A963" s="11"/>
    </row>
    <row r="964" spans="1:1">
      <c r="A964" s="11"/>
    </row>
    <row r="965" spans="1:1">
      <c r="A965" s="11"/>
    </row>
    <row r="966" spans="1:1">
      <c r="A966" s="11"/>
    </row>
    <row r="967" spans="1:1">
      <c r="A967" s="11"/>
    </row>
    <row r="968" spans="1:1">
      <c r="A968" s="11"/>
    </row>
    <row r="969" spans="1:1">
      <c r="A969" s="11"/>
    </row>
    <row r="970" spans="1:1">
      <c r="A970" s="11"/>
    </row>
    <row r="971" spans="1:1">
      <c r="A971" s="11"/>
    </row>
    <row r="972" spans="1:1">
      <c r="A972" s="11"/>
    </row>
    <row r="973" spans="1:1">
      <c r="A973" s="11"/>
    </row>
    <row r="974" spans="1:1">
      <c r="A974" s="11"/>
    </row>
    <row r="975" spans="1:1">
      <c r="A975" s="11"/>
    </row>
    <row r="976" spans="1:1">
      <c r="A976" s="11"/>
    </row>
    <row r="977" spans="1:1">
      <c r="A977" s="11"/>
    </row>
    <row r="978" spans="1:1">
      <c r="A978" s="11"/>
    </row>
    <row r="979" spans="1:1">
      <c r="A979" s="11"/>
    </row>
    <row r="980" spans="1:1">
      <c r="A980" s="11"/>
    </row>
    <row r="981" spans="1:1">
      <c r="A981" s="11"/>
    </row>
    <row r="982" spans="1:1">
      <c r="A982" s="11"/>
    </row>
    <row r="983" spans="1:1">
      <c r="A983" s="11"/>
    </row>
    <row r="984" spans="1:1">
      <c r="A984" s="11"/>
    </row>
    <row r="985" spans="1:1">
      <c r="A985" s="11"/>
    </row>
    <row r="986" spans="1:1">
      <c r="A986" s="11"/>
    </row>
    <row r="987" spans="1:1">
      <c r="A987" s="11"/>
    </row>
    <row r="988" spans="1:1">
      <c r="A988" s="11"/>
    </row>
    <row r="989" spans="1:1">
      <c r="A989" s="11"/>
    </row>
    <row r="990" spans="1:1">
      <c r="A990" s="11"/>
    </row>
    <row r="991" spans="1:1">
      <c r="A991" s="11"/>
    </row>
    <row r="992" spans="1:1">
      <c r="A992" s="11"/>
    </row>
    <row r="993" spans="1:1">
      <c r="A993" s="11"/>
    </row>
    <row r="994" spans="1:1">
      <c r="A994" s="11"/>
    </row>
    <row r="995" spans="1:1">
      <c r="A995" s="11"/>
    </row>
    <row r="996" spans="1:1">
      <c r="A996" s="11"/>
    </row>
    <row r="997" spans="1:1">
      <c r="A997" s="11"/>
    </row>
    <row r="998" spans="1:1">
      <c r="A998" s="11"/>
    </row>
    <row r="999" spans="1:1">
      <c r="A999" s="11"/>
    </row>
    <row r="1000" spans="1:1">
      <c r="A1000" s="1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F118"/>
  <sheetViews>
    <sheetView workbookViewId="0"/>
  </sheetViews>
  <sheetFormatPr defaultRowHeight="13.8"/>
  <sheetData>
    <row r="1" spans="1:3" ht="31.2">
      <c r="B1" s="142" t="s">
        <v>4207</v>
      </c>
    </row>
    <row r="3" spans="1:3">
      <c r="A3" s="1">
        <v>1</v>
      </c>
      <c r="B3" s="94" t="s">
        <v>4006</v>
      </c>
    </row>
    <row r="4" spans="1:3">
      <c r="B4" s="6" t="s">
        <v>4208</v>
      </c>
    </row>
    <row r="5" spans="1:3">
      <c r="B5" s="143" t="s">
        <v>4209</v>
      </c>
    </row>
    <row r="7" spans="1:3">
      <c r="B7" s="6" t="s">
        <v>4210</v>
      </c>
    </row>
    <row r="9" spans="1:3">
      <c r="A9" s="1">
        <v>2</v>
      </c>
      <c r="B9" s="94" t="s">
        <v>4015</v>
      </c>
    </row>
    <row r="10" spans="1:3">
      <c r="B10" s="145"/>
      <c r="C10" s="94" t="s">
        <v>4121</v>
      </c>
    </row>
    <row r="11" spans="1:3">
      <c r="C11" s="6" t="s">
        <v>4122</v>
      </c>
    </row>
    <row r="13" spans="1:3">
      <c r="B13" s="145"/>
      <c r="C13" s="94" t="s">
        <v>4123</v>
      </c>
    </row>
    <row r="14" spans="1:3">
      <c r="C14" s="6" t="s">
        <v>4124</v>
      </c>
    </row>
    <row r="15" spans="1:3">
      <c r="C15" s="6" t="s">
        <v>4125</v>
      </c>
    </row>
    <row r="16" spans="1:3">
      <c r="C16" s="6" t="s">
        <v>4126</v>
      </c>
    </row>
    <row r="17" spans="1:3">
      <c r="C17" s="6" t="s">
        <v>4127</v>
      </c>
    </row>
    <row r="19" spans="1:3">
      <c r="B19" s="145"/>
      <c r="C19" s="6" t="s">
        <v>4128</v>
      </c>
    </row>
    <row r="20" spans="1:3">
      <c r="C20" s="6" t="s">
        <v>4129</v>
      </c>
    </row>
    <row r="21" spans="1:3">
      <c r="C21" s="6" t="s">
        <v>4130</v>
      </c>
    </row>
    <row r="22" spans="1:3">
      <c r="C22" s="6" t="s">
        <v>4131</v>
      </c>
    </row>
    <row r="24" spans="1:3">
      <c r="A24" s="144"/>
      <c r="B24" s="94" t="s">
        <v>4019</v>
      </c>
    </row>
    <row r="25" spans="1:3">
      <c r="B25" s="6" t="s">
        <v>4211</v>
      </c>
    </row>
    <row r="26" spans="1:3">
      <c r="B26" s="6" t="s">
        <v>4212</v>
      </c>
    </row>
    <row r="27" spans="1:3">
      <c r="B27" s="6" t="s">
        <v>4213</v>
      </c>
    </row>
    <row r="28" spans="1:3">
      <c r="B28" s="6" t="s">
        <v>4214</v>
      </c>
    </row>
    <row r="29" spans="1:3">
      <c r="B29" s="6" t="s">
        <v>4215</v>
      </c>
    </row>
    <row r="30" spans="1:3">
      <c r="B30" s="6" t="s">
        <v>4216</v>
      </c>
    </row>
    <row r="31" spans="1:3">
      <c r="B31" s="6" t="s">
        <v>4217</v>
      </c>
    </row>
    <row r="32" spans="1:3">
      <c r="B32" s="6" t="s">
        <v>4218</v>
      </c>
    </row>
    <row r="34" spans="1:3">
      <c r="A34" s="144"/>
      <c r="B34" s="94" t="s">
        <v>4219</v>
      </c>
    </row>
    <row r="35" spans="1:3">
      <c r="B35" s="6" t="s">
        <v>4220</v>
      </c>
    </row>
    <row r="36" spans="1:3">
      <c r="B36" s="143" t="s">
        <v>4221</v>
      </c>
    </row>
    <row r="38" spans="1:3">
      <c r="A38" s="1">
        <v>3</v>
      </c>
      <c r="B38" s="94" t="s">
        <v>4028</v>
      </c>
    </row>
    <row r="39" spans="1:3">
      <c r="B39" s="6" t="s">
        <v>4145</v>
      </c>
    </row>
    <row r="40" spans="1:3">
      <c r="B40" s="6" t="s">
        <v>4146</v>
      </c>
    </row>
    <row r="41" spans="1:3">
      <c r="B41" s="6" t="s">
        <v>4147</v>
      </c>
    </row>
    <row r="42" spans="1:3">
      <c r="B42" s="6" t="s">
        <v>4148</v>
      </c>
    </row>
    <row r="44" spans="1:3">
      <c r="A44" s="1">
        <v>4</v>
      </c>
      <c r="B44" s="94" t="s">
        <v>4033</v>
      </c>
    </row>
    <row r="45" spans="1:3">
      <c r="B45" s="6" t="s">
        <v>4222</v>
      </c>
    </row>
    <row r="47" spans="1:3">
      <c r="A47" s="1">
        <v>5</v>
      </c>
      <c r="B47" s="94" t="s">
        <v>4037</v>
      </c>
    </row>
    <row r="48" spans="1:3">
      <c r="B48" s="145"/>
      <c r="C48" s="94" t="s">
        <v>4038</v>
      </c>
    </row>
    <row r="49" spans="2:5">
      <c r="B49" s="94">
        <v>1</v>
      </c>
      <c r="C49" s="94" t="s">
        <v>4039</v>
      </c>
      <c r="E49" s="6">
        <v>21238</v>
      </c>
    </row>
    <row r="50" spans="2:5">
      <c r="C50" s="6" t="s">
        <v>4040</v>
      </c>
    </row>
    <row r="51" spans="2:5">
      <c r="C51" s="6" t="s">
        <v>4223</v>
      </c>
    </row>
    <row r="52" spans="2:5">
      <c r="C52" s="6" t="s">
        <v>4224</v>
      </c>
    </row>
    <row r="53" spans="2:5">
      <c r="C53" s="6" t="s">
        <v>4225</v>
      </c>
    </row>
    <row r="54" spans="2:5">
      <c r="C54" s="6" t="s">
        <v>4226</v>
      </c>
    </row>
    <row r="56" spans="2:5">
      <c r="B56" s="94">
        <v>2</v>
      </c>
      <c r="C56" s="94" t="s">
        <v>4043</v>
      </c>
      <c r="E56" s="6">
        <v>27138</v>
      </c>
    </row>
    <row r="57" spans="2:5">
      <c r="C57" s="6" t="s">
        <v>4044</v>
      </c>
    </row>
    <row r="58" spans="2:5">
      <c r="C58" s="6" t="s">
        <v>4045</v>
      </c>
    </row>
    <row r="60" spans="2:5">
      <c r="B60" s="94" t="s">
        <v>4227</v>
      </c>
      <c r="C60" s="6" t="s">
        <v>4228</v>
      </c>
      <c r="D60" s="6" t="s">
        <v>4229</v>
      </c>
    </row>
    <row r="61" spans="2:5">
      <c r="B61" s="94"/>
      <c r="C61" s="6" t="s">
        <v>4230</v>
      </c>
      <c r="D61" s="6" t="s">
        <v>4231</v>
      </c>
    </row>
    <row r="62" spans="2:5">
      <c r="B62" s="94"/>
      <c r="C62" s="6"/>
    </row>
    <row r="63" spans="2:5">
      <c r="B63" s="94" t="s">
        <v>4048</v>
      </c>
      <c r="C63" s="6" t="s">
        <v>4049</v>
      </c>
    </row>
    <row r="64" spans="2:5">
      <c r="C64" s="6" t="s">
        <v>4050</v>
      </c>
    </row>
    <row r="65" spans="1:5">
      <c r="C65" s="6" t="s">
        <v>4051</v>
      </c>
    </row>
    <row r="66" spans="1:5">
      <c r="C66" s="6" t="s">
        <v>4052</v>
      </c>
    </row>
    <row r="67" spans="1:5">
      <c r="C67" s="6" t="s">
        <v>4053</v>
      </c>
    </row>
    <row r="69" spans="1:5">
      <c r="B69" s="145"/>
      <c r="C69" s="94" t="s">
        <v>4054</v>
      </c>
    </row>
    <row r="70" spans="1:5">
      <c r="C70" s="6" t="s">
        <v>4055</v>
      </c>
      <c r="D70" s="6" t="s">
        <v>4056</v>
      </c>
    </row>
    <row r="71" spans="1:5">
      <c r="C71" s="6" t="s">
        <v>4057</v>
      </c>
    </row>
    <row r="72" spans="1:5">
      <c r="C72" s="145"/>
    </row>
    <row r="73" spans="1:5">
      <c r="C73" s="6" t="s">
        <v>4232</v>
      </c>
    </row>
    <row r="74" spans="1:5">
      <c r="C74" s="143" t="s">
        <v>4064</v>
      </c>
    </row>
    <row r="75" spans="1:5">
      <c r="C75" s="143" t="s">
        <v>4065</v>
      </c>
    </row>
    <row r="77" spans="1:5">
      <c r="A77" s="144"/>
      <c r="B77" s="94" t="s">
        <v>4073</v>
      </c>
      <c r="D77" s="94" t="s">
        <v>4233</v>
      </c>
      <c r="E77" s="18" t="s">
        <v>4234</v>
      </c>
    </row>
    <row r="78" spans="1:5">
      <c r="B78" s="6" t="s">
        <v>4235</v>
      </c>
    </row>
    <row r="79" spans="1:5">
      <c r="B79" s="6" t="s">
        <v>4236</v>
      </c>
    </row>
    <row r="80" spans="1:5">
      <c r="B80" s="6">
        <v>1</v>
      </c>
      <c r="C80" s="6" t="s">
        <v>4237</v>
      </c>
    </row>
    <row r="81" spans="1:6">
      <c r="B81" s="6">
        <v>2</v>
      </c>
      <c r="C81" s="6" t="s">
        <v>4238</v>
      </c>
      <c r="F81" s="6" t="s">
        <v>4239</v>
      </c>
    </row>
    <row r="82" spans="1:6">
      <c r="B82" s="6" t="s">
        <v>4240</v>
      </c>
    </row>
    <row r="83" spans="1:6">
      <c r="B83" s="6" t="s">
        <v>4241</v>
      </c>
    </row>
    <row r="84" spans="1:6">
      <c r="B84" s="6" t="s">
        <v>4242</v>
      </c>
      <c r="E84" s="18" t="s">
        <v>4243</v>
      </c>
    </row>
    <row r="85" spans="1:6">
      <c r="B85" s="6" t="s">
        <v>4244</v>
      </c>
    </row>
    <row r="86" spans="1:6">
      <c r="B86" s="6" t="s">
        <v>4245</v>
      </c>
    </row>
    <row r="87" spans="1:6">
      <c r="B87" s="6" t="s">
        <v>4246</v>
      </c>
    </row>
    <row r="89" spans="1:6">
      <c r="A89" s="144"/>
      <c r="B89" s="94" t="s">
        <v>4066</v>
      </c>
    </row>
    <row r="90" spans="1:6">
      <c r="B90" s="6" t="s">
        <v>4247</v>
      </c>
    </row>
    <row r="91" spans="1:6">
      <c r="B91" s="6" t="s">
        <v>4248</v>
      </c>
    </row>
    <row r="92" spans="1:6">
      <c r="B92" s="6" t="s">
        <v>4249</v>
      </c>
    </row>
    <row r="93" spans="1:6">
      <c r="B93" s="6" t="s">
        <v>4250</v>
      </c>
    </row>
    <row r="94" spans="1:6">
      <c r="B94" s="6" t="s">
        <v>4251</v>
      </c>
    </row>
    <row r="95" spans="1:6">
      <c r="B95" s="6" t="s">
        <v>4252</v>
      </c>
    </row>
    <row r="97" spans="1:3">
      <c r="A97" s="1">
        <v>6</v>
      </c>
      <c r="B97" s="94" t="s">
        <v>4094</v>
      </c>
    </row>
    <row r="98" spans="1:3">
      <c r="A98" s="1">
        <v>7</v>
      </c>
      <c r="B98" s="94" t="s">
        <v>4095</v>
      </c>
    </row>
    <row r="99" spans="1:3">
      <c r="A99" s="20"/>
    </row>
    <row r="100" spans="1:3">
      <c r="A100" s="1">
        <v>8</v>
      </c>
      <c r="B100" s="94" t="s">
        <v>4096</v>
      </c>
    </row>
    <row r="101" spans="1:3">
      <c r="B101" s="145"/>
      <c r="C101" s="94" t="s">
        <v>4097</v>
      </c>
    </row>
    <row r="102" spans="1:3">
      <c r="C102" s="6" t="s">
        <v>4098</v>
      </c>
    </row>
    <row r="103" spans="1:3">
      <c r="C103" s="6" t="s">
        <v>4099</v>
      </c>
    </row>
    <row r="104" spans="1:3">
      <c r="C104" s="6" t="s">
        <v>4100</v>
      </c>
    </row>
    <row r="105" spans="1:3">
      <c r="C105" s="6" t="s">
        <v>4101</v>
      </c>
    </row>
    <row r="106" spans="1:3">
      <c r="C106" s="6" t="s">
        <v>4102</v>
      </c>
    </row>
    <row r="107" spans="1:3">
      <c r="C107" s="6" t="s">
        <v>4103</v>
      </c>
    </row>
    <row r="109" spans="1:3">
      <c r="B109" s="145"/>
      <c r="C109" s="6" t="s">
        <v>4104</v>
      </c>
    </row>
    <row r="110" spans="1:3">
      <c r="C110" s="143" t="s">
        <v>4105</v>
      </c>
    </row>
    <row r="112" spans="1:3">
      <c r="B112" s="145"/>
      <c r="C112" s="94" t="s">
        <v>4106</v>
      </c>
    </row>
    <row r="113" spans="1:3">
      <c r="C113" s="6" t="s">
        <v>4107</v>
      </c>
    </row>
    <row r="114" spans="1:3">
      <c r="C114" s="6" t="s">
        <v>4108</v>
      </c>
    </row>
    <row r="115" spans="1:3">
      <c r="C115" s="6" t="s">
        <v>4109</v>
      </c>
    </row>
    <row r="116" spans="1:3">
      <c r="C116" s="6" t="s">
        <v>4110</v>
      </c>
    </row>
    <row r="118" spans="1:3">
      <c r="A118" s="1">
        <v>9</v>
      </c>
      <c r="B118" s="94" t="s">
        <v>4111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119"/>
  <sheetViews>
    <sheetView workbookViewId="0"/>
  </sheetViews>
  <sheetFormatPr defaultRowHeight="13.8"/>
  <sheetData>
    <row r="1" spans="1:12" ht="31.2">
      <c r="B1" s="142" t="s">
        <v>4253</v>
      </c>
      <c r="L1" s="6" t="s">
        <v>4254</v>
      </c>
    </row>
    <row r="2" spans="1:12">
      <c r="L2" s="6" t="s">
        <v>4255</v>
      </c>
    </row>
    <row r="3" spans="1:12">
      <c r="A3" s="1">
        <v>1</v>
      </c>
      <c r="B3" s="94" t="s">
        <v>4006</v>
      </c>
    </row>
    <row r="4" spans="1:12">
      <c r="B4" s="6" t="s">
        <v>4256</v>
      </c>
    </row>
    <row r="5" spans="1:12">
      <c r="B5" s="143" t="s">
        <v>4257</v>
      </c>
    </row>
    <row r="6" spans="1:12">
      <c r="B6" s="143" t="s">
        <v>4258</v>
      </c>
    </row>
    <row r="8" spans="1:12">
      <c r="A8" s="145"/>
      <c r="B8" s="6" t="s">
        <v>4259</v>
      </c>
    </row>
    <row r="9" spans="1:12">
      <c r="B9" s="143" t="s">
        <v>4260</v>
      </c>
    </row>
    <row r="10" spans="1:12">
      <c r="B10" s="6" t="s">
        <v>4261</v>
      </c>
    </row>
    <row r="11" spans="1:12">
      <c r="A11" s="148"/>
      <c r="B11" s="94" t="s">
        <v>4262</v>
      </c>
    </row>
    <row r="12" spans="1:12">
      <c r="A12" s="148"/>
      <c r="B12" s="94"/>
    </row>
    <row r="13" spans="1:12">
      <c r="A13" s="1">
        <v>2</v>
      </c>
      <c r="B13" s="94" t="s">
        <v>4015</v>
      </c>
    </row>
    <row r="14" spans="1:12">
      <c r="B14" s="6" t="s">
        <v>4263</v>
      </c>
    </row>
    <row r="15" spans="1:12">
      <c r="B15" s="143" t="s">
        <v>4264</v>
      </c>
    </row>
    <row r="16" spans="1:12">
      <c r="B16" s="6" t="s">
        <v>4265</v>
      </c>
    </row>
    <row r="18" spans="1:2">
      <c r="A18" s="144"/>
      <c r="B18" s="94" t="s">
        <v>4019</v>
      </c>
    </row>
    <row r="19" spans="1:2">
      <c r="B19" s="6" t="s">
        <v>4266</v>
      </c>
    </row>
    <row r="20" spans="1:2">
      <c r="B20" s="6" t="s">
        <v>4267</v>
      </c>
    </row>
    <row r="21" spans="1:2">
      <c r="B21" s="6" t="s">
        <v>4268</v>
      </c>
    </row>
    <row r="22" spans="1:2">
      <c r="B22" s="6" t="s">
        <v>4269</v>
      </c>
    </row>
    <row r="23" spans="1:2">
      <c r="B23" s="6" t="s">
        <v>4270</v>
      </c>
    </row>
    <row r="25" spans="1:2">
      <c r="A25" s="144"/>
      <c r="B25" s="94" t="s">
        <v>4219</v>
      </c>
    </row>
    <row r="26" spans="1:2">
      <c r="B26" s="6" t="s">
        <v>4271</v>
      </c>
    </row>
    <row r="28" spans="1:2">
      <c r="A28" s="1">
        <v>3</v>
      </c>
      <c r="B28" s="94" t="s">
        <v>4028</v>
      </c>
    </row>
    <row r="29" spans="1:2">
      <c r="B29" s="6" t="s">
        <v>4272</v>
      </c>
    </row>
    <row r="30" spans="1:2">
      <c r="B30" s="6" t="s">
        <v>4273</v>
      </c>
    </row>
    <row r="31" spans="1:2">
      <c r="B31" s="6" t="s">
        <v>4274</v>
      </c>
    </row>
    <row r="32" spans="1:2">
      <c r="B32" s="6" t="s">
        <v>4275</v>
      </c>
    </row>
    <row r="34" spans="1:6">
      <c r="A34" s="1">
        <v>4</v>
      </c>
      <c r="B34" s="94" t="s">
        <v>4033</v>
      </c>
    </row>
    <row r="35" spans="1:6">
      <c r="B35" s="6" t="s">
        <v>4276</v>
      </c>
    </row>
    <row r="36" spans="1:6">
      <c r="B36" s="6" t="s">
        <v>4277</v>
      </c>
    </row>
    <row r="38" spans="1:6">
      <c r="A38" s="1">
        <v>5</v>
      </c>
      <c r="B38" s="94" t="s">
        <v>4037</v>
      </c>
    </row>
    <row r="39" spans="1:6">
      <c r="B39" s="145"/>
      <c r="C39" s="94" t="s">
        <v>4038</v>
      </c>
      <c r="F39" s="94" t="s">
        <v>4278</v>
      </c>
    </row>
    <row r="40" spans="1:6">
      <c r="B40" s="94">
        <v>1</v>
      </c>
      <c r="C40" s="94" t="s">
        <v>4039</v>
      </c>
      <c r="D40" s="94"/>
      <c r="E40" s="94" t="s">
        <v>4279</v>
      </c>
      <c r="F40" s="94">
        <v>14089</v>
      </c>
    </row>
    <row r="41" spans="1:6">
      <c r="C41" s="6" t="s">
        <v>4040</v>
      </c>
    </row>
    <row r="42" spans="1:6">
      <c r="C42" s="6" t="s">
        <v>4223</v>
      </c>
    </row>
    <row r="43" spans="1:6">
      <c r="C43" s="6" t="s">
        <v>4224</v>
      </c>
    </row>
    <row r="44" spans="1:6">
      <c r="C44" s="6" t="s">
        <v>4225</v>
      </c>
    </row>
    <row r="45" spans="1:6">
      <c r="C45" s="6" t="s">
        <v>4226</v>
      </c>
    </row>
    <row r="47" spans="1:6">
      <c r="B47" s="94">
        <v>2</v>
      </c>
      <c r="C47" s="94" t="s">
        <v>4043</v>
      </c>
      <c r="E47" s="94" t="s">
        <v>4280</v>
      </c>
      <c r="F47" s="94">
        <v>15930</v>
      </c>
    </row>
    <row r="48" spans="1:6">
      <c r="C48" s="6" t="s">
        <v>4044</v>
      </c>
    </row>
    <row r="49" spans="2:4">
      <c r="C49" s="6" t="s">
        <v>4045</v>
      </c>
    </row>
    <row r="51" spans="2:4">
      <c r="B51" s="94" t="s">
        <v>4227</v>
      </c>
      <c r="C51" s="6" t="s">
        <v>4281</v>
      </c>
      <c r="D51" s="6" t="s">
        <v>4282</v>
      </c>
    </row>
    <row r="52" spans="2:4">
      <c r="B52" s="94"/>
      <c r="C52" s="6" t="s">
        <v>4283</v>
      </c>
      <c r="D52" s="6" t="s">
        <v>4284</v>
      </c>
    </row>
    <row r="53" spans="2:4">
      <c r="B53" s="94"/>
      <c r="C53" s="6"/>
    </row>
    <row r="54" spans="2:4">
      <c r="B54" s="94" t="s">
        <v>4048</v>
      </c>
      <c r="C54" s="6" t="s">
        <v>4049</v>
      </c>
    </row>
    <row r="55" spans="2:4">
      <c r="C55" s="6" t="s">
        <v>4050</v>
      </c>
    </row>
    <row r="56" spans="2:4">
      <c r="C56" s="6" t="s">
        <v>4051</v>
      </c>
    </row>
    <row r="57" spans="2:4">
      <c r="C57" s="6" t="s">
        <v>4052</v>
      </c>
    </row>
    <row r="58" spans="2:4">
      <c r="C58" s="6" t="s">
        <v>4053</v>
      </c>
    </row>
    <row r="60" spans="2:4">
      <c r="B60" s="145"/>
      <c r="C60" s="94" t="s">
        <v>4054</v>
      </c>
    </row>
    <row r="61" spans="2:4">
      <c r="C61" s="6" t="s">
        <v>4285</v>
      </c>
    </row>
    <row r="62" spans="2:4">
      <c r="C62" s="6" t="s">
        <v>4286</v>
      </c>
    </row>
    <row r="63" spans="2:4">
      <c r="C63" s="143" t="s">
        <v>4287</v>
      </c>
    </row>
    <row r="64" spans="2:4">
      <c r="C64" s="145"/>
    </row>
    <row r="65" spans="1:13">
      <c r="C65" s="6" t="s">
        <v>4288</v>
      </c>
    </row>
    <row r="66" spans="1:13">
      <c r="C66" s="143" t="s">
        <v>4064</v>
      </c>
    </row>
    <row r="67" spans="1:13">
      <c r="C67" s="143" t="s">
        <v>4065</v>
      </c>
    </row>
    <row r="69" spans="1:13">
      <c r="A69" s="144"/>
      <c r="B69" s="94" t="s">
        <v>4073</v>
      </c>
      <c r="D69" s="18" t="s">
        <v>4289</v>
      </c>
    </row>
    <row r="70" spans="1:13">
      <c r="B70" s="6" t="s">
        <v>4290</v>
      </c>
    </row>
    <row r="71" spans="1:13">
      <c r="B71" s="6" t="s">
        <v>4291</v>
      </c>
    </row>
    <row r="72" spans="1:13">
      <c r="C72" s="6" t="s">
        <v>4292</v>
      </c>
      <c r="E72" s="6" t="s">
        <v>4293</v>
      </c>
    </row>
    <row r="73" spans="1:13">
      <c r="C73" s="6" t="s">
        <v>4294</v>
      </c>
      <c r="E73" s="6" t="s">
        <v>4295</v>
      </c>
      <c r="K73" s="6" t="s">
        <v>4296</v>
      </c>
    </row>
    <row r="74" spans="1:13">
      <c r="B74" s="6" t="s">
        <v>4297</v>
      </c>
    </row>
    <row r="75" spans="1:13">
      <c r="K75" s="6">
        <f>15930*0.75</f>
        <v>11947.5</v>
      </c>
    </row>
    <row r="76" spans="1:13">
      <c r="A76" s="144"/>
      <c r="B76" s="94" t="s">
        <v>4298</v>
      </c>
      <c r="E76" s="18" t="s">
        <v>4299</v>
      </c>
      <c r="L76" s="6">
        <f>13500*0.75</f>
        <v>10125</v>
      </c>
      <c r="M76" s="6">
        <f>L76*0.18</f>
        <v>1822.5</v>
      </c>
    </row>
    <row r="77" spans="1:13" ht="41.4">
      <c r="B77" s="147" t="s">
        <v>4168</v>
      </c>
      <c r="C77" s="147" t="s">
        <v>4300</v>
      </c>
      <c r="D77" s="147" t="s">
        <v>4301</v>
      </c>
      <c r="E77" s="147" t="s">
        <v>4171</v>
      </c>
      <c r="L77" s="6">
        <f>L76+M76</f>
        <v>11947.5</v>
      </c>
    </row>
    <row r="78" spans="1:13">
      <c r="B78" s="62" t="s">
        <v>22</v>
      </c>
      <c r="C78" s="62" t="s">
        <v>22</v>
      </c>
      <c r="D78" s="62">
        <v>30</v>
      </c>
      <c r="E78" s="62">
        <v>100</v>
      </c>
    </row>
    <row r="80" spans="1:13">
      <c r="A80" s="144"/>
      <c r="B80" s="94" t="s">
        <v>4066</v>
      </c>
    </row>
    <row r="81" spans="1:8">
      <c r="B81" s="6" t="s">
        <v>4302</v>
      </c>
    </row>
    <row r="82" spans="1:8">
      <c r="B82" s="6" t="s">
        <v>4303</v>
      </c>
    </row>
    <row r="83" spans="1:8">
      <c r="B83" s="6" t="s">
        <v>4224</v>
      </c>
    </row>
    <row r="84" spans="1:8">
      <c r="B84" s="6" t="s">
        <v>4304</v>
      </c>
    </row>
    <row r="85" spans="1:8">
      <c r="B85" s="6" t="s">
        <v>4305</v>
      </c>
    </row>
    <row r="86" spans="1:8">
      <c r="B86" s="6" t="s">
        <v>4306</v>
      </c>
    </row>
    <row r="88" spans="1:8">
      <c r="A88" s="1">
        <v>6</v>
      </c>
      <c r="B88" s="94" t="s">
        <v>4307</v>
      </c>
      <c r="D88" s="18" t="s">
        <v>4308</v>
      </c>
    </row>
    <row r="89" spans="1:8">
      <c r="B89" s="6" t="s">
        <v>4309</v>
      </c>
      <c r="D89" s="18" t="s">
        <v>4310</v>
      </c>
    </row>
    <row r="90" spans="1:8">
      <c r="B90" s="6" t="s">
        <v>4311</v>
      </c>
      <c r="D90" s="18" t="s">
        <v>4312</v>
      </c>
    </row>
    <row r="91" spans="1:8">
      <c r="B91" s="6" t="s">
        <v>4313</v>
      </c>
      <c r="D91" s="18" t="s">
        <v>4314</v>
      </c>
    </row>
    <row r="92" spans="1:8">
      <c r="B92" s="6" t="s">
        <v>4315</v>
      </c>
    </row>
    <row r="93" spans="1:8">
      <c r="B93" s="6" t="s">
        <v>4316</v>
      </c>
    </row>
    <row r="94" spans="1:8">
      <c r="B94" s="6" t="s">
        <v>4317</v>
      </c>
    </row>
    <row r="95" spans="1:8">
      <c r="B95" s="6" t="s">
        <v>4318</v>
      </c>
      <c r="H95" s="6" t="s">
        <v>4319</v>
      </c>
    </row>
    <row r="96" spans="1:8">
      <c r="B96" s="6" t="s">
        <v>4320</v>
      </c>
      <c r="H96" s="6" t="s">
        <v>413</v>
      </c>
    </row>
    <row r="98" spans="1:3">
      <c r="A98" s="1">
        <v>7</v>
      </c>
      <c r="B98" s="94" t="s">
        <v>4094</v>
      </c>
    </row>
    <row r="99" spans="1:3">
      <c r="A99" s="1">
        <v>8</v>
      </c>
      <c r="B99" s="94" t="s">
        <v>4095</v>
      </c>
    </row>
    <row r="100" spans="1:3">
      <c r="A100" s="20"/>
    </row>
    <row r="101" spans="1:3">
      <c r="A101" s="1">
        <v>9</v>
      </c>
      <c r="B101" s="94" t="s">
        <v>4096</v>
      </c>
    </row>
    <row r="102" spans="1:3">
      <c r="B102" s="145"/>
      <c r="C102" s="94" t="s">
        <v>4097</v>
      </c>
    </row>
    <row r="103" spans="1:3">
      <c r="C103" s="6" t="s">
        <v>4098</v>
      </c>
    </row>
    <row r="104" spans="1:3">
      <c r="C104" s="6" t="s">
        <v>4099</v>
      </c>
    </row>
    <row r="105" spans="1:3">
      <c r="C105" s="6" t="s">
        <v>4100</v>
      </c>
    </row>
    <row r="106" spans="1:3">
      <c r="C106" s="6" t="s">
        <v>4101</v>
      </c>
    </row>
    <row r="107" spans="1:3">
      <c r="C107" s="6" t="s">
        <v>4102</v>
      </c>
    </row>
    <row r="108" spans="1:3">
      <c r="C108" s="6" t="s">
        <v>4103</v>
      </c>
    </row>
    <row r="110" spans="1:3">
      <c r="B110" s="145"/>
      <c r="C110" s="6" t="s">
        <v>4104</v>
      </c>
    </row>
    <row r="111" spans="1:3">
      <c r="C111" s="143" t="s">
        <v>4105</v>
      </c>
    </row>
    <row r="113" spans="1:3">
      <c r="B113" s="145"/>
      <c r="C113" s="94" t="s">
        <v>4106</v>
      </c>
    </row>
    <row r="114" spans="1:3">
      <c r="C114" s="6" t="s">
        <v>4107</v>
      </c>
    </row>
    <row r="115" spans="1:3">
      <c r="C115" s="6" t="s">
        <v>4108</v>
      </c>
    </row>
    <row r="116" spans="1:3">
      <c r="C116" s="6" t="s">
        <v>4109</v>
      </c>
    </row>
    <row r="117" spans="1:3">
      <c r="C117" s="6" t="s">
        <v>4110</v>
      </c>
    </row>
    <row r="119" spans="1:3">
      <c r="A119" s="1">
        <v>10</v>
      </c>
      <c r="B119" s="94" t="s">
        <v>4111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3:B55"/>
  <sheetViews>
    <sheetView workbookViewId="0"/>
  </sheetViews>
  <sheetFormatPr defaultRowHeight="13.8"/>
  <sheetData>
    <row r="3" spans="1:2">
      <c r="A3" s="1">
        <v>1</v>
      </c>
      <c r="B3" s="94" t="s">
        <v>4006</v>
      </c>
    </row>
    <row r="4" spans="1:2">
      <c r="B4" s="6" t="s">
        <v>4321</v>
      </c>
    </row>
    <row r="5" spans="1:2">
      <c r="B5" s="6" t="s">
        <v>4322</v>
      </c>
    </row>
    <row r="6" spans="1:2">
      <c r="B6" s="6" t="s">
        <v>4323</v>
      </c>
    </row>
    <row r="7" spans="1:2">
      <c r="B7" s="6" t="s">
        <v>4324</v>
      </c>
    </row>
    <row r="9" spans="1:2">
      <c r="A9" s="1">
        <v>2</v>
      </c>
      <c r="B9" s="94" t="s">
        <v>4015</v>
      </c>
    </row>
    <row r="10" spans="1:2">
      <c r="B10" s="6" t="s">
        <v>4325</v>
      </c>
    </row>
    <row r="11" spans="1:2">
      <c r="B11" s="143" t="s">
        <v>4326</v>
      </c>
    </row>
    <row r="13" spans="1:2">
      <c r="B13" s="143" t="s">
        <v>4327</v>
      </c>
    </row>
    <row r="14" spans="1:2">
      <c r="B14" s="143" t="s">
        <v>4328</v>
      </c>
    </row>
    <row r="16" spans="1:2">
      <c r="A16" s="144"/>
      <c r="B16" s="94" t="s">
        <v>4019</v>
      </c>
    </row>
    <row r="17" spans="1:2">
      <c r="B17" s="6" t="s">
        <v>4329</v>
      </c>
    </row>
    <row r="18" spans="1:2">
      <c r="B18" s="6" t="s">
        <v>4330</v>
      </c>
    </row>
    <row r="19" spans="1:2">
      <c r="B19" s="6" t="s">
        <v>4331</v>
      </c>
    </row>
    <row r="20" spans="1:2">
      <c r="B20" s="6" t="s">
        <v>4332</v>
      </c>
    </row>
    <row r="21" spans="1:2">
      <c r="B21" s="6" t="s">
        <v>4333</v>
      </c>
    </row>
    <row r="22" spans="1:2">
      <c r="B22" s="6" t="s">
        <v>4334</v>
      </c>
    </row>
    <row r="23" spans="1:2">
      <c r="B23" s="6" t="s">
        <v>4335</v>
      </c>
    </row>
    <row r="24" spans="1:2">
      <c r="B24" s="6" t="s">
        <v>4336</v>
      </c>
    </row>
    <row r="25" spans="1:2">
      <c r="B25" s="6" t="s">
        <v>4337</v>
      </c>
    </row>
    <row r="27" spans="1:2">
      <c r="A27" s="149"/>
      <c r="B27" s="94" t="s">
        <v>4338</v>
      </c>
    </row>
    <row r="28" spans="1:2">
      <c r="B28" s="6" t="s">
        <v>4339</v>
      </c>
    </row>
    <row r="29" spans="1:2">
      <c r="B29" s="6" t="s">
        <v>4340</v>
      </c>
    </row>
    <row r="31" spans="1:2">
      <c r="A31" s="1">
        <v>3</v>
      </c>
      <c r="B31" s="94" t="s">
        <v>4341</v>
      </c>
    </row>
    <row r="44" spans="1:2">
      <c r="A44" s="1">
        <v>4</v>
      </c>
      <c r="B44" s="94" t="s">
        <v>4342</v>
      </c>
    </row>
    <row r="45" spans="1:2">
      <c r="B45" s="6" t="s">
        <v>4343</v>
      </c>
    </row>
    <row r="47" spans="1:2">
      <c r="B47" s="6" t="s">
        <v>4344</v>
      </c>
    </row>
    <row r="48" spans="1:2">
      <c r="B48" s="6" t="s">
        <v>4345</v>
      </c>
    </row>
    <row r="49" spans="1:2">
      <c r="B49" s="143" t="s">
        <v>4346</v>
      </c>
    </row>
    <row r="51" spans="1:2">
      <c r="B51" s="6" t="s">
        <v>4347</v>
      </c>
    </row>
    <row r="52" spans="1:2">
      <c r="B52" s="6" t="s">
        <v>4348</v>
      </c>
    </row>
    <row r="53" spans="1:2">
      <c r="B53" s="6" t="s">
        <v>4349</v>
      </c>
    </row>
    <row r="55" spans="1:2">
      <c r="A55" s="1">
        <v>5</v>
      </c>
      <c r="B55" s="94" t="s">
        <v>4037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M89"/>
  <sheetViews>
    <sheetView workbookViewId="0"/>
  </sheetViews>
  <sheetFormatPr defaultRowHeight="13.8"/>
  <sheetData>
    <row r="1" spans="1:13" ht="31.2">
      <c r="B1" s="142" t="s">
        <v>4350</v>
      </c>
      <c r="K1" s="6" t="s">
        <v>4351</v>
      </c>
      <c r="M1" s="6" t="s">
        <v>4352</v>
      </c>
    </row>
    <row r="3" spans="1:13">
      <c r="A3" s="1">
        <v>1</v>
      </c>
      <c r="B3" s="94" t="s">
        <v>4006</v>
      </c>
    </row>
    <row r="4" spans="1:13">
      <c r="B4" s="6" t="s">
        <v>4353</v>
      </c>
    </row>
    <row r="5" spans="1:13">
      <c r="B5" s="6" t="s">
        <v>4354</v>
      </c>
    </row>
    <row r="7" spans="1:13">
      <c r="A7" s="1">
        <v>2</v>
      </c>
      <c r="B7" s="94" t="s">
        <v>4015</v>
      </c>
    </row>
    <row r="8" spans="1:13">
      <c r="B8" s="6" t="s">
        <v>4355</v>
      </c>
    </row>
    <row r="9" spans="1:13">
      <c r="B9" s="143" t="s">
        <v>4356</v>
      </c>
    </row>
    <row r="11" spans="1:13">
      <c r="A11" s="144"/>
      <c r="B11" s="94" t="s">
        <v>4019</v>
      </c>
    </row>
    <row r="12" spans="1:13">
      <c r="B12" s="6" t="s">
        <v>4357</v>
      </c>
    </row>
    <row r="13" spans="1:13">
      <c r="B13" s="6" t="s">
        <v>4358</v>
      </c>
    </row>
    <row r="14" spans="1:13">
      <c r="B14" s="6" t="s">
        <v>4359</v>
      </c>
    </row>
    <row r="15" spans="1:13">
      <c r="B15" s="6" t="s">
        <v>4360</v>
      </c>
    </row>
    <row r="16" spans="1:13">
      <c r="B16" s="6" t="s">
        <v>4361</v>
      </c>
    </row>
    <row r="18" spans="1:3">
      <c r="A18" s="1">
        <v>3</v>
      </c>
      <c r="B18" s="94" t="s">
        <v>4028</v>
      </c>
    </row>
    <row r="19" spans="1:3">
      <c r="A19" s="20"/>
      <c r="B19" s="6" t="s">
        <v>4145</v>
      </c>
    </row>
    <row r="20" spans="1:3">
      <c r="A20" s="20"/>
      <c r="B20" s="6" t="s">
        <v>4146</v>
      </c>
    </row>
    <row r="21" spans="1:3">
      <c r="A21" s="20"/>
      <c r="B21" s="6" t="s">
        <v>4147</v>
      </c>
    </row>
    <row r="22" spans="1:3">
      <c r="A22" s="20"/>
      <c r="B22" s="6" t="s">
        <v>4148</v>
      </c>
    </row>
    <row r="24" spans="1:3">
      <c r="A24" s="1">
        <v>4</v>
      </c>
      <c r="B24" s="94" t="s">
        <v>4033</v>
      </c>
    </row>
    <row r="25" spans="1:3">
      <c r="A25" s="20"/>
      <c r="B25" s="6" t="s">
        <v>4149</v>
      </c>
    </row>
    <row r="26" spans="1:3">
      <c r="A26" s="20"/>
      <c r="B26" s="6" t="s">
        <v>4150</v>
      </c>
    </row>
    <row r="28" spans="1:3">
      <c r="A28" s="1">
        <v>5</v>
      </c>
      <c r="B28" s="94" t="s">
        <v>4037</v>
      </c>
    </row>
    <row r="29" spans="1:3">
      <c r="B29" s="145"/>
      <c r="C29" s="94" t="s">
        <v>4038</v>
      </c>
    </row>
    <row r="30" spans="1:3">
      <c r="C30" s="6" t="s">
        <v>4151</v>
      </c>
    </row>
    <row r="31" spans="1:3">
      <c r="C31" s="6" t="s">
        <v>4152</v>
      </c>
    </row>
    <row r="33" spans="1:5">
      <c r="B33" s="145"/>
      <c r="C33" s="94" t="s">
        <v>4054</v>
      </c>
    </row>
    <row r="34" spans="1:5">
      <c r="C34" s="6" t="s">
        <v>4153</v>
      </c>
    </row>
    <row r="36" spans="1:5">
      <c r="A36" s="144"/>
      <c r="B36" s="94" t="s">
        <v>4073</v>
      </c>
    </row>
    <row r="37" spans="1:5">
      <c r="B37" s="6" t="s">
        <v>4362</v>
      </c>
    </row>
    <row r="39" spans="1:5">
      <c r="A39" s="144"/>
      <c r="B39" s="94" t="s">
        <v>4066</v>
      </c>
    </row>
    <row r="40" spans="1:5">
      <c r="B40" s="135" t="s">
        <v>4151</v>
      </c>
    </row>
    <row r="41" spans="1:5">
      <c r="B41" s="150" t="s">
        <v>4163</v>
      </c>
    </row>
    <row r="42" spans="1:5">
      <c r="B42" s="150" t="s">
        <v>4164</v>
      </c>
    </row>
    <row r="43" spans="1:5">
      <c r="B43" s="150" t="s">
        <v>4205</v>
      </c>
    </row>
    <row r="45" spans="1:5">
      <c r="A45" s="144"/>
      <c r="B45" s="94" t="s">
        <v>4167</v>
      </c>
    </row>
    <row r="46" spans="1:5" ht="41.4">
      <c r="B46" s="147" t="s">
        <v>4168</v>
      </c>
      <c r="C46" s="147" t="s">
        <v>4169</v>
      </c>
      <c r="D46" s="147" t="s">
        <v>4170</v>
      </c>
      <c r="E46" s="147" t="s">
        <v>4171</v>
      </c>
    </row>
    <row r="47" spans="1:5">
      <c r="B47" s="62" t="s">
        <v>4363</v>
      </c>
      <c r="C47" s="62" t="s">
        <v>1762</v>
      </c>
      <c r="D47" s="62">
        <v>30</v>
      </c>
      <c r="E47" s="151">
        <v>175</v>
      </c>
    </row>
    <row r="49" spans="1:2">
      <c r="A49" s="1">
        <v>6</v>
      </c>
      <c r="B49" s="94" t="s">
        <v>4173</v>
      </c>
    </row>
    <row r="50" spans="1:2">
      <c r="A50" s="20"/>
      <c r="B50" s="6" t="s">
        <v>4174</v>
      </c>
    </row>
    <row r="51" spans="1:2">
      <c r="A51" s="20"/>
      <c r="B51" s="6" t="s">
        <v>4206</v>
      </c>
    </row>
    <row r="52" spans="1:2">
      <c r="A52" s="20"/>
      <c r="B52" s="6" t="s">
        <v>4176</v>
      </c>
    </row>
    <row r="53" spans="1:2">
      <c r="A53" s="20"/>
      <c r="B53" s="6" t="s">
        <v>4177</v>
      </c>
    </row>
    <row r="54" spans="1:2">
      <c r="A54" s="20"/>
      <c r="B54" s="6" t="s">
        <v>4178</v>
      </c>
    </row>
    <row r="55" spans="1:2">
      <c r="A55" s="20"/>
      <c r="B55" s="6" t="s">
        <v>4179</v>
      </c>
    </row>
    <row r="56" spans="1:2">
      <c r="A56" s="20"/>
      <c r="B56" s="6" t="s">
        <v>4180</v>
      </c>
    </row>
    <row r="58" spans="1:2">
      <c r="A58" s="1">
        <v>7</v>
      </c>
      <c r="B58" s="94" t="s">
        <v>4094</v>
      </c>
    </row>
    <row r="59" spans="1:2">
      <c r="A59" s="1">
        <v>8</v>
      </c>
      <c r="B59" s="94" t="s">
        <v>4095</v>
      </c>
    </row>
    <row r="60" spans="1:2">
      <c r="A60" s="20"/>
    </row>
    <row r="61" spans="1:2">
      <c r="A61" s="1">
        <v>9</v>
      </c>
      <c r="B61" s="94" t="s">
        <v>4096</v>
      </c>
    </row>
    <row r="62" spans="1:2">
      <c r="A62" s="20"/>
      <c r="B62" s="152" t="s">
        <v>4181</v>
      </c>
    </row>
    <row r="63" spans="1:2">
      <c r="A63" s="20"/>
      <c r="B63" s="150" t="s">
        <v>4182</v>
      </c>
    </row>
    <row r="64" spans="1:2">
      <c r="A64" s="20"/>
      <c r="B64" s="150" t="s">
        <v>24</v>
      </c>
    </row>
    <row r="65" spans="1:3">
      <c r="A65" s="20"/>
      <c r="B65" s="150" t="s">
        <v>22</v>
      </c>
    </row>
    <row r="66" spans="1:3">
      <c r="A66" s="20"/>
      <c r="B66" s="150" t="s">
        <v>4183</v>
      </c>
    </row>
    <row r="67" spans="1:3">
      <c r="A67" s="20"/>
    </row>
    <row r="68" spans="1:3">
      <c r="A68" s="20"/>
      <c r="B68" s="145"/>
      <c r="C68" s="94" t="s">
        <v>4097</v>
      </c>
    </row>
    <row r="69" spans="1:3">
      <c r="A69" s="20"/>
      <c r="C69" s="6" t="s">
        <v>4098</v>
      </c>
    </row>
    <row r="70" spans="1:3">
      <c r="A70" s="20"/>
      <c r="C70" s="6" t="s">
        <v>4099</v>
      </c>
    </row>
    <row r="71" spans="1:3">
      <c r="A71" s="20"/>
      <c r="C71" s="6" t="s">
        <v>4100</v>
      </c>
    </row>
    <row r="72" spans="1:3">
      <c r="A72" s="20"/>
      <c r="C72" s="6" t="s">
        <v>4101</v>
      </c>
    </row>
    <row r="73" spans="1:3">
      <c r="A73" s="20"/>
      <c r="C73" s="6" t="s">
        <v>4102</v>
      </c>
    </row>
    <row r="74" spans="1:3">
      <c r="A74" s="20"/>
      <c r="C74" s="6" t="s">
        <v>4103</v>
      </c>
    </row>
    <row r="75" spans="1:3">
      <c r="A75" s="20"/>
    </row>
    <row r="76" spans="1:3">
      <c r="A76" s="20"/>
      <c r="B76" s="145"/>
      <c r="C76" s="6" t="s">
        <v>4104</v>
      </c>
    </row>
    <row r="77" spans="1:3">
      <c r="A77" s="20"/>
      <c r="C77" s="143" t="s">
        <v>4105</v>
      </c>
    </row>
    <row r="78" spans="1:3">
      <c r="A78" s="20"/>
    </row>
    <row r="79" spans="1:3">
      <c r="A79" s="20"/>
      <c r="B79" s="145"/>
      <c r="C79" s="94" t="s">
        <v>4106</v>
      </c>
    </row>
    <row r="80" spans="1:3">
      <c r="A80" s="20"/>
      <c r="C80" s="6" t="s">
        <v>4107</v>
      </c>
    </row>
    <row r="81" spans="1:3">
      <c r="A81" s="20"/>
      <c r="C81" s="6" t="s">
        <v>4108</v>
      </c>
    </row>
    <row r="82" spans="1:3">
      <c r="A82" s="20"/>
      <c r="C82" s="6" t="s">
        <v>4109</v>
      </c>
    </row>
    <row r="83" spans="1:3">
      <c r="A83" s="20"/>
      <c r="C83" s="6" t="s">
        <v>4110</v>
      </c>
    </row>
    <row r="85" spans="1:3">
      <c r="A85" s="1">
        <v>10</v>
      </c>
      <c r="B85" s="94" t="s">
        <v>4111</v>
      </c>
    </row>
    <row r="86" spans="1:3">
      <c r="A86" s="20"/>
    </row>
    <row r="87" spans="1:3">
      <c r="A87" s="1" t="s">
        <v>4184</v>
      </c>
      <c r="B87" s="94" t="s">
        <v>4185</v>
      </c>
    </row>
    <row r="88" spans="1:3">
      <c r="A88" s="20"/>
      <c r="B88" s="6" t="s">
        <v>4186</v>
      </c>
    </row>
    <row r="89" spans="1:3">
      <c r="A89" s="20"/>
      <c r="B89" s="143" t="s">
        <v>4187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3.8"/>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493"/>
  <sheetViews>
    <sheetView workbookViewId="0"/>
  </sheetViews>
  <sheetFormatPr defaultRowHeight="13.8"/>
  <sheetData>
    <row r="1" spans="1:14">
      <c r="A1" s="153" t="s">
        <v>236</v>
      </c>
      <c r="B1" s="153" t="s">
        <v>4364</v>
      </c>
      <c r="C1" s="153" t="s">
        <v>8</v>
      </c>
      <c r="D1" s="153" t="s">
        <v>9</v>
      </c>
      <c r="E1" s="153" t="s">
        <v>4365</v>
      </c>
      <c r="F1" s="153" t="s">
        <v>150</v>
      </c>
      <c r="G1" s="153" t="s">
        <v>3</v>
      </c>
      <c r="H1" s="153" t="s">
        <v>10</v>
      </c>
      <c r="I1" s="153" t="s">
        <v>4366</v>
      </c>
      <c r="J1" s="153" t="s">
        <v>263</v>
      </c>
      <c r="K1" s="153" t="s">
        <v>264</v>
      </c>
      <c r="L1" s="153" t="s">
        <v>265</v>
      </c>
      <c r="M1" s="153" t="s">
        <v>4367</v>
      </c>
      <c r="N1" s="153" t="s">
        <v>11</v>
      </c>
    </row>
    <row r="2" spans="1:14" ht="14.4">
      <c r="A2" s="154" t="s">
        <v>3999</v>
      </c>
      <c r="B2" s="113">
        <v>44228</v>
      </c>
      <c r="C2" s="2" t="s">
        <v>4368</v>
      </c>
      <c r="D2" s="155" t="s">
        <v>4369</v>
      </c>
      <c r="E2" s="114">
        <v>9173508808</v>
      </c>
      <c r="F2" s="2" t="s">
        <v>941</v>
      </c>
      <c r="G2" s="2" t="s">
        <v>150</v>
      </c>
      <c r="H2" s="2" t="s">
        <v>17</v>
      </c>
      <c r="I2" s="2" t="str">
        <f>IFERROR(VLOOKUP($D2,'Sales Data'!$C:$E,4,0),"SAME")</f>
        <v>SAME</v>
      </c>
      <c r="J2" s="2"/>
      <c r="K2" s="2" t="str">
        <f>IFERROR(VLOOKUP($D2,'Sales Data'!$C:$G,6,0),"NA")</f>
        <v>NA</v>
      </c>
      <c r="L2" s="2"/>
      <c r="M2" s="2"/>
      <c r="N2" s="2"/>
    </row>
    <row r="3" spans="1:14" ht="14.4">
      <c r="A3" s="154" t="s">
        <v>3999</v>
      </c>
      <c r="B3" s="113">
        <v>44232</v>
      </c>
      <c r="C3" s="2" t="s">
        <v>4370</v>
      </c>
      <c r="D3" s="155" t="s">
        <v>708</v>
      </c>
      <c r="E3" s="114">
        <v>7338818080</v>
      </c>
      <c r="F3" s="2" t="s">
        <v>941</v>
      </c>
      <c r="G3" s="2" t="s">
        <v>7</v>
      </c>
      <c r="H3" s="3" t="s">
        <v>4371</v>
      </c>
      <c r="I3" s="2" t="str">
        <f>IFERROR(VLOOKUP($D3,'Sales Data'!$C:$E,4,0),"SAME")</f>
        <v>SAME</v>
      </c>
      <c r="J3" s="2"/>
      <c r="K3" s="2" t="str">
        <f>IFERROR(VLOOKUP($D3,'Sales Data'!$C:$G,6,0),"NA")</f>
        <v>NA</v>
      </c>
      <c r="L3" s="126">
        <v>40000</v>
      </c>
      <c r="M3" s="2"/>
      <c r="N3" s="3" t="s">
        <v>4372</v>
      </c>
    </row>
    <row r="4" spans="1:14" ht="14.4">
      <c r="A4" s="154" t="s">
        <v>3999</v>
      </c>
      <c r="B4" s="113">
        <v>44235</v>
      </c>
      <c r="C4" s="2" t="s">
        <v>4373</v>
      </c>
      <c r="D4" s="155" t="s">
        <v>4374</v>
      </c>
      <c r="E4" s="114">
        <v>9620322966</v>
      </c>
      <c r="F4" s="2" t="s">
        <v>303</v>
      </c>
      <c r="G4" s="2" t="s">
        <v>150</v>
      </c>
      <c r="H4" s="3" t="s">
        <v>4371</v>
      </c>
      <c r="I4" s="2" t="str">
        <f>IFERROR(VLOOKUP($D4,'Sales Data'!$C:$E,4,0),"SAME")</f>
        <v>SAME</v>
      </c>
      <c r="J4" s="2"/>
      <c r="K4" s="2" t="str">
        <f>IFERROR(VLOOKUP($D4,'Sales Data'!$C:$G,6,0),"NA")</f>
        <v>NA</v>
      </c>
      <c r="L4" s="126">
        <v>21000</v>
      </c>
      <c r="M4" s="2"/>
      <c r="N4" s="3" t="s">
        <v>4375</v>
      </c>
    </row>
    <row r="5" spans="1:14" ht="14.4">
      <c r="A5" s="154" t="s">
        <v>3999</v>
      </c>
      <c r="B5" s="113">
        <v>44235</v>
      </c>
      <c r="C5" s="2" t="s">
        <v>4376</v>
      </c>
      <c r="D5" s="155" t="s">
        <v>4377</v>
      </c>
      <c r="E5" s="10" t="s">
        <v>1294</v>
      </c>
      <c r="F5" s="2" t="s">
        <v>303</v>
      </c>
      <c r="G5" s="2" t="s">
        <v>4378</v>
      </c>
      <c r="H5" s="2" t="s">
        <v>1294</v>
      </c>
      <c r="I5" s="2" t="str">
        <f>IFERROR(VLOOKUP($D5,'Sales Data'!$C:$E,4,0),"SAME")</f>
        <v>SAME</v>
      </c>
      <c r="J5" s="2"/>
      <c r="K5" s="2" t="str">
        <f>IFERROR(VLOOKUP($D5,'Sales Data'!$C:$G,6,0),"NA")</f>
        <v>NA</v>
      </c>
      <c r="L5" s="2"/>
      <c r="M5" s="2"/>
      <c r="N5" s="3" t="s">
        <v>4379</v>
      </c>
    </row>
    <row r="6" spans="1:14" ht="14.4">
      <c r="A6" s="154" t="s">
        <v>3999</v>
      </c>
      <c r="B6" s="113">
        <v>44235</v>
      </c>
      <c r="C6" s="2" t="s">
        <v>4380</v>
      </c>
      <c r="D6" s="155" t="s">
        <v>4381</v>
      </c>
      <c r="E6" s="114">
        <v>9937188222</v>
      </c>
      <c r="F6" s="2" t="s">
        <v>319</v>
      </c>
      <c r="G6" s="2" t="s">
        <v>195</v>
      </c>
      <c r="H6" s="2" t="s">
        <v>13</v>
      </c>
      <c r="I6" s="2" t="str">
        <f>IFERROR(VLOOKUP($D6,'Sales Data'!$C:$E,4,0),"SAME")</f>
        <v>SAME</v>
      </c>
      <c r="J6" s="2"/>
      <c r="K6" s="2" t="str">
        <f>IFERROR(VLOOKUP($D6,'Sales Data'!$C:$G,6,0),"NA")</f>
        <v>NA</v>
      </c>
      <c r="L6" s="2"/>
      <c r="M6" s="2"/>
      <c r="N6" s="3" t="s">
        <v>4382</v>
      </c>
    </row>
    <row r="7" spans="1:14" ht="14.4">
      <c r="A7" s="154" t="s">
        <v>3999</v>
      </c>
      <c r="B7" s="113">
        <v>44235</v>
      </c>
      <c r="C7" s="2" t="s">
        <v>4383</v>
      </c>
      <c r="D7" s="155" t="s">
        <v>4384</v>
      </c>
      <c r="E7" s="114">
        <v>9840850647</v>
      </c>
      <c r="F7" s="2" t="s">
        <v>319</v>
      </c>
      <c r="G7" s="2" t="s">
        <v>195</v>
      </c>
      <c r="H7" s="2" t="s">
        <v>17</v>
      </c>
      <c r="I7" s="2" t="str">
        <f>IFERROR(VLOOKUP($D7,'Sales Data'!$C:$E,4,0),"SAME")</f>
        <v>SAME</v>
      </c>
      <c r="J7" s="2"/>
      <c r="K7" s="2" t="str">
        <f>IFERROR(VLOOKUP($D7,'Sales Data'!$C:$G,6,0),"NA")</f>
        <v>NA</v>
      </c>
      <c r="L7" s="2"/>
      <c r="M7" s="2"/>
      <c r="N7" s="2"/>
    </row>
    <row r="8" spans="1:14" ht="14.4">
      <c r="A8" s="154" t="s">
        <v>3999</v>
      </c>
      <c r="B8" s="113">
        <v>44236</v>
      </c>
      <c r="C8" s="2" t="s">
        <v>4385</v>
      </c>
      <c r="D8" s="155" t="s">
        <v>1274</v>
      </c>
      <c r="E8" s="114">
        <v>9677137990</v>
      </c>
      <c r="F8" s="2" t="s">
        <v>319</v>
      </c>
      <c r="G8" s="2" t="s">
        <v>7</v>
      </c>
      <c r="H8" s="3" t="s">
        <v>4371</v>
      </c>
      <c r="I8" s="2" t="str">
        <f>IFERROR(VLOOKUP($D8,'Sales Data'!$C:$E,4,0),"SAME")</f>
        <v>SAME</v>
      </c>
      <c r="J8" s="2"/>
      <c r="K8" s="2" t="str">
        <f>IFERROR(VLOOKUP($D8,'Sales Data'!$C:$G,6,0),"NA")</f>
        <v>NA</v>
      </c>
      <c r="L8" s="126">
        <v>53100</v>
      </c>
      <c r="M8" s="2"/>
      <c r="N8" s="3" t="s">
        <v>4386</v>
      </c>
    </row>
    <row r="9" spans="1:14" ht="14.4">
      <c r="A9" s="154" t="s">
        <v>3999</v>
      </c>
      <c r="B9" s="113">
        <v>44236</v>
      </c>
      <c r="C9" s="2" t="s">
        <v>4387</v>
      </c>
      <c r="D9" s="155" t="s">
        <v>4388</v>
      </c>
      <c r="E9" s="114">
        <v>9820322310</v>
      </c>
      <c r="F9" s="2" t="s">
        <v>941</v>
      </c>
      <c r="G9" s="2" t="s">
        <v>150</v>
      </c>
      <c r="H9" s="2" t="s">
        <v>17</v>
      </c>
      <c r="I9" s="2" t="str">
        <f>IFERROR(VLOOKUP($D9,'Sales Data'!$C:$E,4,0),"SAME")</f>
        <v>SAME</v>
      </c>
      <c r="J9" s="2"/>
      <c r="K9" s="2" t="str">
        <f>IFERROR(VLOOKUP($D9,'Sales Data'!$C:$G,6,0),"NA")</f>
        <v>NA</v>
      </c>
      <c r="L9" s="2"/>
      <c r="M9" s="2"/>
      <c r="N9" s="2"/>
    </row>
    <row r="10" spans="1:14" ht="14.4">
      <c r="A10" s="154" t="s">
        <v>3999</v>
      </c>
      <c r="B10" s="113">
        <v>44236</v>
      </c>
      <c r="C10" s="2" t="s">
        <v>4389</v>
      </c>
      <c r="D10" s="155" t="s">
        <v>4390</v>
      </c>
      <c r="E10" s="114">
        <v>9853592552</v>
      </c>
      <c r="F10" s="2" t="s">
        <v>319</v>
      </c>
      <c r="G10" s="2" t="s">
        <v>4378</v>
      </c>
      <c r="H10" s="2" t="s">
        <v>17</v>
      </c>
      <c r="I10" s="2" t="str">
        <f>IFERROR(VLOOKUP($D10,'Sales Data'!$C:$E,4,0),"SAME")</f>
        <v>SAME</v>
      </c>
      <c r="J10" s="2"/>
      <c r="K10" s="2" t="str">
        <f>IFERROR(VLOOKUP($D10,'Sales Data'!$C:$G,6,0),"NA")</f>
        <v>NA</v>
      </c>
      <c r="L10" s="2"/>
      <c r="M10" s="2"/>
      <c r="N10" s="3" t="s">
        <v>4391</v>
      </c>
    </row>
    <row r="11" spans="1:14" ht="14.4">
      <c r="A11" s="154" t="s">
        <v>3999</v>
      </c>
      <c r="B11" s="113">
        <v>44236</v>
      </c>
      <c r="C11" s="2" t="s">
        <v>846</v>
      </c>
      <c r="D11" s="155" t="s">
        <v>847</v>
      </c>
      <c r="E11" s="114">
        <v>9059048784</v>
      </c>
      <c r="F11" s="2" t="s">
        <v>303</v>
      </c>
      <c r="G11" s="2" t="s">
        <v>4378</v>
      </c>
      <c r="H11" s="3" t="s">
        <v>4371</v>
      </c>
      <c r="I11" s="2" t="str">
        <f>IFERROR(VLOOKUP($D11,'Sales Data'!$C:$E,4,0),"SAME")</f>
        <v>SAME</v>
      </c>
      <c r="J11" s="2"/>
      <c r="K11" s="2" t="str">
        <f>IFERROR(VLOOKUP($D11,'Sales Data'!$C:$G,6,0),"NA")</f>
        <v>NA</v>
      </c>
      <c r="L11" s="126">
        <v>53100</v>
      </c>
      <c r="M11" s="2"/>
      <c r="N11" s="3" t="s">
        <v>4392</v>
      </c>
    </row>
    <row r="12" spans="1:14" ht="14.4">
      <c r="A12" s="154" t="s">
        <v>3999</v>
      </c>
      <c r="B12" s="113">
        <v>44237</v>
      </c>
      <c r="C12" s="2" t="s">
        <v>4393</v>
      </c>
      <c r="D12" s="155" t="s">
        <v>857</v>
      </c>
      <c r="E12" s="114">
        <v>7406570570</v>
      </c>
      <c r="F12" s="2" t="s">
        <v>319</v>
      </c>
      <c r="G12" s="2" t="s">
        <v>150</v>
      </c>
      <c r="H12" s="2" t="s">
        <v>4394</v>
      </c>
      <c r="I12" s="2" t="str">
        <f>IFERROR(VLOOKUP($D12,'Sales Data'!$C:$E,4,0),"SAME")</f>
        <v>SAME</v>
      </c>
      <c r="J12" s="2"/>
      <c r="K12" s="2" t="str">
        <f>IFERROR(VLOOKUP($D12,'Sales Data'!$C:$G,6,0),"NA")</f>
        <v>NA</v>
      </c>
      <c r="L12" s="126">
        <v>21000</v>
      </c>
      <c r="M12" s="2"/>
      <c r="N12" s="3" t="s">
        <v>4395</v>
      </c>
    </row>
    <row r="13" spans="1:14" ht="14.4">
      <c r="A13" s="154" t="s">
        <v>3999</v>
      </c>
      <c r="B13" s="113">
        <v>44238</v>
      </c>
      <c r="C13" s="2" t="s">
        <v>4396</v>
      </c>
      <c r="D13" s="156" t="s">
        <v>4397</v>
      </c>
      <c r="E13" s="114">
        <v>9619480233</v>
      </c>
      <c r="F13" s="2" t="s">
        <v>303</v>
      </c>
      <c r="G13" s="2" t="s">
        <v>4378</v>
      </c>
      <c r="H13" s="2" t="s">
        <v>13</v>
      </c>
      <c r="I13" s="2" t="str">
        <f>IFERROR(VLOOKUP($D13,'Sales Data'!$C:$E,4,0),"SAME")</f>
        <v>SAME</v>
      </c>
      <c r="J13" s="2"/>
      <c r="K13" s="2" t="str">
        <f>IFERROR(VLOOKUP($D13,'Sales Data'!$C:$G,6,0),"NA")</f>
        <v>NA</v>
      </c>
      <c r="L13" s="2"/>
      <c r="M13" s="2"/>
      <c r="N13" s="3" t="s">
        <v>4398</v>
      </c>
    </row>
    <row r="14" spans="1:14" ht="14.4">
      <c r="A14" s="154" t="s">
        <v>3999</v>
      </c>
      <c r="B14" s="113">
        <v>44239</v>
      </c>
      <c r="C14" s="2" t="s">
        <v>4399</v>
      </c>
      <c r="D14" s="155" t="s">
        <v>816</v>
      </c>
      <c r="E14" s="114">
        <v>9900962783</v>
      </c>
      <c r="F14" s="2" t="s">
        <v>297</v>
      </c>
      <c r="G14" s="2" t="s">
        <v>150</v>
      </c>
      <c r="H14" s="2" t="s">
        <v>4400</v>
      </c>
      <c r="I14" s="2" t="str">
        <f>IFERROR(VLOOKUP($D14,'Sales Data'!$C:$E,4,0),"SAME")</f>
        <v>SAME</v>
      </c>
      <c r="J14" s="2"/>
      <c r="K14" s="2" t="str">
        <f>IFERROR(VLOOKUP($D14,'Sales Data'!$C:$G,6,0),"NA")</f>
        <v>NA</v>
      </c>
      <c r="L14" s="2"/>
      <c r="M14" s="2"/>
      <c r="N14" s="3" t="s">
        <v>4401</v>
      </c>
    </row>
    <row r="15" spans="1:14" ht="14.4">
      <c r="A15" s="154" t="s">
        <v>3999</v>
      </c>
      <c r="B15" s="113">
        <v>44240</v>
      </c>
      <c r="C15" s="2" t="s">
        <v>864</v>
      </c>
      <c r="D15" s="155" t="s">
        <v>865</v>
      </c>
      <c r="E15" s="114">
        <v>9953447720</v>
      </c>
      <c r="F15" s="2" t="s">
        <v>303</v>
      </c>
      <c r="G15" s="2" t="s">
        <v>4378</v>
      </c>
      <c r="H15" s="2" t="s">
        <v>17</v>
      </c>
      <c r="I15" s="2" t="str">
        <f>IFERROR(VLOOKUP($D15,'Sales Data'!$C:$E,4,0),"SAME")</f>
        <v>SAME</v>
      </c>
      <c r="J15" s="2"/>
      <c r="K15" s="2" t="str">
        <f>IFERROR(VLOOKUP($D15,'Sales Data'!$C:$G,6,0),"NA")</f>
        <v>NA</v>
      </c>
      <c r="L15" s="2"/>
      <c r="M15" s="2"/>
      <c r="N15" s="3" t="s">
        <v>4402</v>
      </c>
    </row>
    <row r="16" spans="1:14" ht="14.4">
      <c r="A16" s="154" t="s">
        <v>3999</v>
      </c>
      <c r="B16" s="113">
        <v>44241</v>
      </c>
      <c r="C16" s="2" t="s">
        <v>4403</v>
      </c>
      <c r="D16" s="155" t="s">
        <v>872</v>
      </c>
      <c r="E16" s="114">
        <v>9940132140</v>
      </c>
      <c r="F16" s="2" t="s">
        <v>303</v>
      </c>
      <c r="G16" s="2" t="s">
        <v>4378</v>
      </c>
      <c r="H16" s="2" t="s">
        <v>17</v>
      </c>
      <c r="I16" s="2" t="str">
        <f>IFERROR(VLOOKUP($D16,'Sales Data'!$C:$E,4,0),"SAME")</f>
        <v>SAME</v>
      </c>
      <c r="J16" s="2"/>
      <c r="K16" s="2" t="str">
        <f>IFERROR(VLOOKUP($D16,'Sales Data'!$C:$G,6,0),"NA")</f>
        <v>NA</v>
      </c>
      <c r="L16" s="2"/>
      <c r="M16" s="2"/>
      <c r="N16" s="3" t="s">
        <v>4402</v>
      </c>
    </row>
    <row r="17" spans="1:14" ht="14.4">
      <c r="A17" s="154" t="s">
        <v>3999</v>
      </c>
      <c r="B17" s="113">
        <v>44242</v>
      </c>
      <c r="C17" s="2" t="s">
        <v>4404</v>
      </c>
      <c r="D17" s="155" t="s">
        <v>1929</v>
      </c>
      <c r="E17" s="10" t="s">
        <v>1294</v>
      </c>
      <c r="F17" s="2" t="s">
        <v>303</v>
      </c>
      <c r="G17" s="2" t="s">
        <v>4378</v>
      </c>
      <c r="H17" s="2" t="s">
        <v>1294</v>
      </c>
      <c r="I17" s="2" t="str">
        <f>IFERROR(VLOOKUP($D17,'Sales Data'!$C:$E,4,0),"SAME")</f>
        <v>SAME</v>
      </c>
      <c r="J17" s="2"/>
      <c r="K17" s="2" t="str">
        <f>IFERROR(VLOOKUP($D17,'Sales Data'!$C:$G,6,0),"NA")</f>
        <v>NA</v>
      </c>
      <c r="L17" s="2"/>
      <c r="M17" s="2"/>
      <c r="N17" s="3" t="s">
        <v>4405</v>
      </c>
    </row>
    <row r="18" spans="1:14" ht="14.4">
      <c r="A18" s="154" t="s">
        <v>3999</v>
      </c>
      <c r="B18" s="113">
        <v>44242</v>
      </c>
      <c r="C18" s="2" t="s">
        <v>934</v>
      </c>
      <c r="D18" s="155" t="s">
        <v>935</v>
      </c>
      <c r="E18" s="114">
        <v>9711455827</v>
      </c>
      <c r="F18" s="2" t="s">
        <v>303</v>
      </c>
      <c r="G18" s="2" t="s">
        <v>4378</v>
      </c>
      <c r="H18" s="2" t="s">
        <v>17</v>
      </c>
      <c r="I18" s="2" t="str">
        <f>IFERROR(VLOOKUP($D18,'Sales Data'!$C:$E,4,0),"SAME")</f>
        <v>SAME</v>
      </c>
      <c r="J18" s="2"/>
      <c r="K18" s="2" t="str">
        <f>IFERROR(VLOOKUP($D18,'Sales Data'!$C:$G,6,0),"NA")</f>
        <v>NA</v>
      </c>
      <c r="L18" s="126">
        <v>53100</v>
      </c>
      <c r="M18" s="2"/>
      <c r="N18" s="3" t="s">
        <v>4406</v>
      </c>
    </row>
    <row r="19" spans="1:14" ht="14.4">
      <c r="A19" s="154" t="s">
        <v>3999</v>
      </c>
      <c r="B19" s="113">
        <v>44242</v>
      </c>
      <c r="C19" s="2" t="s">
        <v>4407</v>
      </c>
      <c r="D19" s="118" t="s">
        <v>4408</v>
      </c>
      <c r="E19" s="2" t="s">
        <v>1294</v>
      </c>
      <c r="F19" s="2" t="s">
        <v>287</v>
      </c>
      <c r="G19" s="2" t="s">
        <v>4378</v>
      </c>
      <c r="H19" s="2" t="s">
        <v>1294</v>
      </c>
      <c r="I19" s="2" t="str">
        <f>IFERROR(VLOOKUP($D19,'Sales Data'!$C:$E,4,0),"SAME")</f>
        <v>SAME</v>
      </c>
      <c r="J19" s="2"/>
      <c r="K19" s="2" t="str">
        <f>IFERROR(VLOOKUP($D19,'Sales Data'!$C:$G,6,0),"NA")</f>
        <v>NA</v>
      </c>
      <c r="L19" s="2"/>
      <c r="M19" s="2"/>
      <c r="N19" s="3" t="s">
        <v>4405</v>
      </c>
    </row>
    <row r="20" spans="1:14" ht="14.4">
      <c r="A20" s="154" t="s">
        <v>3999</v>
      </c>
      <c r="B20" s="113">
        <v>44243</v>
      </c>
      <c r="C20" s="2" t="s">
        <v>4409</v>
      </c>
      <c r="D20" s="155" t="s">
        <v>4410</v>
      </c>
      <c r="E20" s="114">
        <v>9012764110</v>
      </c>
      <c r="F20" s="2" t="s">
        <v>303</v>
      </c>
      <c r="G20" s="2" t="s">
        <v>6</v>
      </c>
      <c r="H20" s="2" t="s">
        <v>3997</v>
      </c>
      <c r="I20" s="2" t="str">
        <f>IFERROR(VLOOKUP($D20,'Sales Data'!$C:$E,4,0),"SAME")</f>
        <v>SAME</v>
      </c>
      <c r="J20" s="2"/>
      <c r="K20" s="2" t="str">
        <f>IFERROR(VLOOKUP($D20,'Sales Data'!$C:$G,6,0),"NA")</f>
        <v>NA</v>
      </c>
      <c r="L20" s="2"/>
      <c r="M20" s="2"/>
      <c r="N20" s="3" t="s">
        <v>4411</v>
      </c>
    </row>
    <row r="21" spans="1:14" ht="14.4">
      <c r="A21" s="154" t="s">
        <v>3999</v>
      </c>
      <c r="B21" s="113">
        <v>44243</v>
      </c>
      <c r="C21" s="2" t="s">
        <v>877</v>
      </c>
      <c r="D21" s="155" t="s">
        <v>878</v>
      </c>
      <c r="E21" s="114">
        <v>9561869409</v>
      </c>
      <c r="F21" s="2" t="s">
        <v>303</v>
      </c>
      <c r="G21" s="2" t="s">
        <v>150</v>
      </c>
      <c r="H21" s="2" t="s">
        <v>17</v>
      </c>
      <c r="I21" s="2" t="str">
        <f>IFERROR(VLOOKUP($D21,'Sales Data'!$C:$E,4,0),"SAME")</f>
        <v>SAME</v>
      </c>
      <c r="J21" s="2"/>
      <c r="K21" s="2" t="str">
        <f>IFERROR(VLOOKUP($D21,'Sales Data'!$C:$G,6,0),"NA")</f>
        <v>NA</v>
      </c>
      <c r="L21" s="2"/>
      <c r="M21" s="2"/>
      <c r="N21" s="2"/>
    </row>
    <row r="22" spans="1:14" ht="14.4">
      <c r="A22" s="154" t="s">
        <v>3999</v>
      </c>
      <c r="B22" s="113">
        <v>44243</v>
      </c>
      <c r="C22" s="2" t="s">
        <v>888</v>
      </c>
      <c r="D22" s="155" t="s">
        <v>889</v>
      </c>
      <c r="E22" s="114">
        <v>9791012862</v>
      </c>
      <c r="F22" s="2" t="s">
        <v>291</v>
      </c>
      <c r="G22" s="2" t="s">
        <v>4378</v>
      </c>
      <c r="H22" s="2" t="s">
        <v>28</v>
      </c>
      <c r="I22" s="2" t="str">
        <f>IFERROR(VLOOKUP($D22,'Sales Data'!$C:$E,4,0),"SAME")</f>
        <v>SAME</v>
      </c>
      <c r="J22" s="2"/>
      <c r="K22" s="2" t="str">
        <f>IFERROR(VLOOKUP($D22,'Sales Data'!$C:$G,6,0),"NA")</f>
        <v>NA</v>
      </c>
      <c r="L22" s="126">
        <v>45000</v>
      </c>
      <c r="M22" s="2"/>
      <c r="N22" s="3" t="s">
        <v>4412</v>
      </c>
    </row>
    <row r="23" spans="1:14" ht="14.4">
      <c r="A23" s="154" t="s">
        <v>3999</v>
      </c>
      <c r="B23" s="113">
        <v>44243</v>
      </c>
      <c r="C23" s="2" t="s">
        <v>4413</v>
      </c>
      <c r="D23" s="155" t="s">
        <v>4414</v>
      </c>
      <c r="E23" s="114">
        <v>7904112795</v>
      </c>
      <c r="F23" s="2" t="s">
        <v>291</v>
      </c>
      <c r="G23" s="2" t="s">
        <v>4378</v>
      </c>
      <c r="H23" s="2" t="s">
        <v>17</v>
      </c>
      <c r="I23" s="2" t="str">
        <f>IFERROR(VLOOKUP($D23,'Sales Data'!$C:$E,4,0),"SAME")</f>
        <v>SAME</v>
      </c>
      <c r="J23" s="2"/>
      <c r="K23" s="2" t="str">
        <f>IFERROR(VLOOKUP($D23,'Sales Data'!$C:$G,6,0),"NA")</f>
        <v>NA</v>
      </c>
      <c r="L23" s="2"/>
      <c r="M23" s="2"/>
      <c r="N23" s="2"/>
    </row>
    <row r="24" spans="1:14" ht="14.4">
      <c r="A24" s="154" t="s">
        <v>3999</v>
      </c>
      <c r="B24" s="113">
        <v>44243</v>
      </c>
      <c r="C24" s="2" t="s">
        <v>4415</v>
      </c>
      <c r="D24" s="155" t="s">
        <v>880</v>
      </c>
      <c r="E24" s="114">
        <v>7799000312</v>
      </c>
      <c r="F24" s="2" t="s">
        <v>303</v>
      </c>
      <c r="G24" s="2" t="s">
        <v>4378</v>
      </c>
      <c r="H24" s="2" t="s">
        <v>28</v>
      </c>
      <c r="I24" s="2" t="str">
        <f>IFERROR(VLOOKUP($D24,'Sales Data'!$C:$E,4,0),"SAME")</f>
        <v>SAME</v>
      </c>
      <c r="J24" s="2"/>
      <c r="K24" s="2" t="str">
        <f>IFERROR(VLOOKUP($D24,'Sales Data'!$C:$G,6,0),"NA")</f>
        <v>NA</v>
      </c>
      <c r="L24" s="126">
        <v>45000</v>
      </c>
      <c r="M24" s="2"/>
      <c r="N24" s="3" t="s">
        <v>4416</v>
      </c>
    </row>
    <row r="25" spans="1:14" ht="14.4">
      <c r="A25" s="154" t="s">
        <v>3999</v>
      </c>
      <c r="B25" s="113">
        <v>44243</v>
      </c>
      <c r="C25" s="2" t="s">
        <v>4417</v>
      </c>
      <c r="D25" s="155" t="s">
        <v>4418</v>
      </c>
      <c r="E25" s="114">
        <v>8342080255</v>
      </c>
      <c r="F25" s="2" t="s">
        <v>291</v>
      </c>
      <c r="G25" s="2" t="s">
        <v>4378</v>
      </c>
      <c r="H25" s="2" t="s">
        <v>3997</v>
      </c>
      <c r="I25" s="2" t="str">
        <f>IFERROR(VLOOKUP($D25,'Sales Data'!$C:$E,4,0),"SAME")</f>
        <v>SAME</v>
      </c>
      <c r="J25" s="2"/>
      <c r="K25" s="2" t="str">
        <f>IFERROR(VLOOKUP($D25,'Sales Data'!$C:$G,6,0),"NA")</f>
        <v>NA</v>
      </c>
      <c r="L25" s="2"/>
      <c r="M25" s="2"/>
      <c r="N25" s="3" t="s">
        <v>4419</v>
      </c>
    </row>
    <row r="26" spans="1:14" ht="14.4">
      <c r="A26" s="154" t="s">
        <v>3999</v>
      </c>
      <c r="B26" s="113">
        <v>44243</v>
      </c>
      <c r="C26" s="2" t="s">
        <v>4420</v>
      </c>
      <c r="D26" s="155" t="s">
        <v>4421</v>
      </c>
      <c r="E26" s="10" t="s">
        <v>4422</v>
      </c>
      <c r="F26" s="2" t="s">
        <v>291</v>
      </c>
      <c r="G26" s="2" t="s">
        <v>4378</v>
      </c>
      <c r="H26" s="3" t="s">
        <v>3996</v>
      </c>
      <c r="I26" s="2" t="str">
        <f>IFERROR(VLOOKUP($D26,'Sales Data'!$C:$E,4,0),"SAME")</f>
        <v>SAME</v>
      </c>
      <c r="J26" s="2"/>
      <c r="K26" s="2" t="str">
        <f>IFERROR(VLOOKUP($D26,'Sales Data'!$C:$G,6,0),"NA")</f>
        <v>NA</v>
      </c>
      <c r="L26" s="2"/>
      <c r="M26" s="2"/>
      <c r="N26" s="3" t="s">
        <v>4423</v>
      </c>
    </row>
    <row r="27" spans="1:14" ht="14.4">
      <c r="A27" s="154" t="s">
        <v>3999</v>
      </c>
      <c r="B27" s="113">
        <v>44244</v>
      </c>
      <c r="C27" s="2" t="s">
        <v>4424</v>
      </c>
      <c r="D27" s="155" t="s">
        <v>4425</v>
      </c>
      <c r="E27" s="114">
        <v>8149815616</v>
      </c>
      <c r="F27" s="2" t="s">
        <v>319</v>
      </c>
      <c r="G27" s="2" t="s">
        <v>6</v>
      </c>
      <c r="H27" s="2" t="s">
        <v>17</v>
      </c>
      <c r="I27" s="2" t="str">
        <f>IFERROR(VLOOKUP($D27,'Sales Data'!$C:$E,4,0),"SAME")</f>
        <v>SAME</v>
      </c>
      <c r="J27" s="2"/>
      <c r="K27" s="2" t="str">
        <f>IFERROR(VLOOKUP($D27,'Sales Data'!$C:$G,6,0),"NA")</f>
        <v>NA</v>
      </c>
      <c r="L27" s="2"/>
      <c r="M27" s="2"/>
      <c r="N27" s="2"/>
    </row>
    <row r="28" spans="1:14" ht="14.4">
      <c r="A28" s="154" t="s">
        <v>3999</v>
      </c>
      <c r="B28" s="113">
        <v>44244</v>
      </c>
      <c r="C28" s="2" t="s">
        <v>4426</v>
      </c>
      <c r="D28" s="155" t="s">
        <v>4427</v>
      </c>
      <c r="E28" s="114">
        <v>9940225248</v>
      </c>
      <c r="F28" s="2" t="s">
        <v>303</v>
      </c>
      <c r="G28" s="2" t="s">
        <v>150</v>
      </c>
      <c r="H28" s="2" t="s">
        <v>17</v>
      </c>
      <c r="I28" s="2" t="str">
        <f>IFERROR(VLOOKUP($D28,'Sales Data'!$C:$E,4,0),"SAME")</f>
        <v>SAME</v>
      </c>
      <c r="J28" s="2"/>
      <c r="K28" s="2" t="str">
        <f>IFERROR(VLOOKUP($D28,'Sales Data'!$C:$G,6,0),"NA")</f>
        <v>NA</v>
      </c>
      <c r="L28" s="2"/>
      <c r="M28" s="2"/>
      <c r="N28" s="3" t="s">
        <v>4428</v>
      </c>
    </row>
    <row r="29" spans="1:14" ht="14.4">
      <c r="A29" s="154" t="s">
        <v>3999</v>
      </c>
      <c r="B29" s="113">
        <v>44244</v>
      </c>
      <c r="C29" s="2" t="s">
        <v>4429</v>
      </c>
      <c r="D29" s="155" t="s">
        <v>4430</v>
      </c>
      <c r="E29" s="114">
        <v>8956771620</v>
      </c>
      <c r="F29" s="2" t="s">
        <v>291</v>
      </c>
      <c r="G29" s="2" t="s">
        <v>4378</v>
      </c>
      <c r="H29" s="2" t="s">
        <v>28</v>
      </c>
      <c r="I29" s="2" t="str">
        <f>IFERROR(VLOOKUP($D29,'Sales Data'!$C:$E,4,0),"SAME")</f>
        <v>SAME</v>
      </c>
      <c r="J29" s="2"/>
      <c r="K29" s="2" t="str">
        <f>IFERROR(VLOOKUP($D29,'Sales Data'!$C:$G,6,0),"NA")</f>
        <v>NA</v>
      </c>
      <c r="L29" s="126">
        <v>20000</v>
      </c>
      <c r="M29" s="2"/>
      <c r="N29" s="3" t="s">
        <v>4431</v>
      </c>
    </row>
    <row r="30" spans="1:14" ht="14.4">
      <c r="A30" s="154" t="s">
        <v>3999</v>
      </c>
      <c r="B30" s="113">
        <v>44245</v>
      </c>
      <c r="C30" s="2" t="s">
        <v>4432</v>
      </c>
      <c r="D30" s="155" t="s">
        <v>4433</v>
      </c>
      <c r="E30" s="114">
        <v>8901490886</v>
      </c>
      <c r="F30" s="2" t="s">
        <v>319</v>
      </c>
      <c r="G30" s="2" t="s">
        <v>150</v>
      </c>
      <c r="H30" s="2" t="s">
        <v>13</v>
      </c>
      <c r="I30" s="2" t="str">
        <f>IFERROR(VLOOKUP($D30,'Sales Data'!$C:$E,4,0),"SAME")</f>
        <v>SAME</v>
      </c>
      <c r="J30" s="2"/>
      <c r="K30" s="2" t="str">
        <f>IFERROR(VLOOKUP($D30,'Sales Data'!$C:$G,6,0),"NA")</f>
        <v>NA</v>
      </c>
      <c r="L30" s="2"/>
      <c r="M30" s="2"/>
      <c r="N30" s="3" t="s">
        <v>4434</v>
      </c>
    </row>
    <row r="31" spans="1:14" ht="14.4">
      <c r="A31" s="154" t="s">
        <v>3999</v>
      </c>
      <c r="B31" s="113">
        <v>44245</v>
      </c>
      <c r="C31" s="2" t="s">
        <v>934</v>
      </c>
      <c r="D31" s="155" t="s">
        <v>4435</v>
      </c>
      <c r="E31" s="114">
        <v>9953840961</v>
      </c>
      <c r="F31" s="2" t="s">
        <v>319</v>
      </c>
      <c r="G31" s="2" t="s">
        <v>4378</v>
      </c>
      <c r="H31" s="2" t="s">
        <v>28</v>
      </c>
      <c r="I31" s="2" t="str">
        <f>IFERROR(VLOOKUP($D31,'Sales Data'!$C:$E,4,0),"SAME")</f>
        <v>SAME</v>
      </c>
      <c r="J31" s="2"/>
      <c r="K31" s="2" t="str">
        <f>IFERROR(VLOOKUP($D31,'Sales Data'!$C:$G,6,0),"NA")</f>
        <v>NA</v>
      </c>
      <c r="L31" s="126">
        <v>45000</v>
      </c>
      <c r="M31" s="2"/>
      <c r="N31" s="3" t="s">
        <v>4436</v>
      </c>
    </row>
    <row r="32" spans="1:14" ht="14.4">
      <c r="A32" s="154" t="s">
        <v>3999</v>
      </c>
      <c r="B32" s="113">
        <v>44245</v>
      </c>
      <c r="C32" s="2" t="s">
        <v>4437</v>
      </c>
      <c r="D32" s="155" t="s">
        <v>4438</v>
      </c>
      <c r="E32" s="114">
        <v>9686295795</v>
      </c>
      <c r="F32" s="2" t="s">
        <v>303</v>
      </c>
      <c r="G32" s="2" t="s">
        <v>4378</v>
      </c>
      <c r="H32" s="2" t="s">
        <v>17</v>
      </c>
      <c r="I32" s="2" t="str">
        <f>IFERROR(VLOOKUP($D32,'Sales Data'!$C:$E,4,0),"SAME")</f>
        <v>SAME</v>
      </c>
      <c r="J32" s="2"/>
      <c r="K32" s="2" t="str">
        <f>IFERROR(VLOOKUP($D32,'Sales Data'!$C:$G,6,0),"NA")</f>
        <v>NA</v>
      </c>
      <c r="L32" s="2"/>
      <c r="M32" s="2"/>
      <c r="N32" s="3" t="s">
        <v>4439</v>
      </c>
    </row>
    <row r="33" spans="1:14" ht="14.4">
      <c r="A33" s="154" t="s">
        <v>3999</v>
      </c>
      <c r="B33" s="113">
        <v>44245</v>
      </c>
      <c r="C33" s="2" t="s">
        <v>4440</v>
      </c>
      <c r="D33" s="155" t="s">
        <v>918</v>
      </c>
      <c r="E33" s="114">
        <v>9833916897</v>
      </c>
      <c r="F33" s="2" t="s">
        <v>303</v>
      </c>
      <c r="G33" s="2" t="s">
        <v>4378</v>
      </c>
      <c r="H33" s="2" t="s">
        <v>26</v>
      </c>
      <c r="I33" s="2" t="str">
        <f>IFERROR(VLOOKUP($D33,'Sales Data'!$C:$E,4,0),"SAME")</f>
        <v>SAME</v>
      </c>
      <c r="J33" s="2"/>
      <c r="K33" s="2" t="str">
        <f>IFERROR(VLOOKUP($D33,'Sales Data'!$C:$G,6,0),"NA")</f>
        <v>NA</v>
      </c>
      <c r="L33" s="2"/>
      <c r="M33" s="2"/>
      <c r="N33" s="2"/>
    </row>
    <row r="34" spans="1:14" ht="14.4">
      <c r="A34" s="154" t="s">
        <v>3999</v>
      </c>
      <c r="B34" s="113">
        <v>44245</v>
      </c>
      <c r="C34" s="2" t="s">
        <v>4441</v>
      </c>
      <c r="D34" s="155" t="s">
        <v>4442</v>
      </c>
      <c r="E34" s="114">
        <v>9916339341</v>
      </c>
      <c r="F34" s="2" t="s">
        <v>291</v>
      </c>
      <c r="G34" s="2" t="s">
        <v>4378</v>
      </c>
      <c r="H34" s="2" t="s">
        <v>17</v>
      </c>
      <c r="I34" s="2" t="str">
        <f>IFERROR(VLOOKUP($D34,'Sales Data'!$C:$E,4,0),"SAME")</f>
        <v>SAME</v>
      </c>
      <c r="J34" s="2"/>
      <c r="K34" s="2" t="str">
        <f>IFERROR(VLOOKUP($D34,'Sales Data'!$C:$G,6,0),"NA")</f>
        <v>NA</v>
      </c>
      <c r="L34" s="2"/>
      <c r="M34" s="2"/>
      <c r="N34" s="3" t="s">
        <v>4443</v>
      </c>
    </row>
    <row r="35" spans="1:14" ht="14.4">
      <c r="A35" s="154" t="s">
        <v>3999</v>
      </c>
      <c r="B35" s="113">
        <v>44245</v>
      </c>
      <c r="C35" s="2" t="s">
        <v>893</v>
      </c>
      <c r="D35" s="155" t="s">
        <v>894</v>
      </c>
      <c r="E35" s="114">
        <v>9850841229</v>
      </c>
      <c r="F35" s="2" t="s">
        <v>303</v>
      </c>
      <c r="G35" s="2" t="s">
        <v>4378</v>
      </c>
      <c r="H35" s="2" t="s">
        <v>17</v>
      </c>
      <c r="I35" s="2" t="str">
        <f>IFERROR(VLOOKUP($D35,'Sales Data'!$C:$E,4,0),"SAME")</f>
        <v>SAME</v>
      </c>
      <c r="J35" s="2"/>
      <c r="K35" s="2" t="str">
        <f>IFERROR(VLOOKUP($D35,'Sales Data'!$C:$G,6,0),"NA")</f>
        <v>NA</v>
      </c>
      <c r="L35" s="2"/>
      <c r="M35" s="2"/>
      <c r="N35" s="2"/>
    </row>
    <row r="36" spans="1:14" ht="14.4">
      <c r="A36" s="154" t="s">
        <v>3999</v>
      </c>
      <c r="B36" s="113">
        <v>44245</v>
      </c>
      <c r="C36" s="2" t="s">
        <v>4444</v>
      </c>
      <c r="D36" s="157" t="s">
        <v>4445</v>
      </c>
      <c r="E36" s="114">
        <v>9535193359</v>
      </c>
      <c r="F36" s="2" t="s">
        <v>319</v>
      </c>
      <c r="G36" s="2" t="s">
        <v>4378</v>
      </c>
      <c r="H36" s="2" t="s">
        <v>13</v>
      </c>
      <c r="I36" s="2" t="str">
        <f>IFERROR(VLOOKUP($D36,'Sales Data'!$C:$E,4,0),"SAME")</f>
        <v>SAME</v>
      </c>
      <c r="J36" s="2"/>
      <c r="K36" s="2" t="str">
        <f>IFERROR(VLOOKUP($D36,'Sales Data'!$C:$G,6,0),"NA")</f>
        <v>NA</v>
      </c>
      <c r="L36" s="126">
        <v>46000</v>
      </c>
      <c r="M36" s="2"/>
      <c r="N36" s="3" t="s">
        <v>4446</v>
      </c>
    </row>
    <row r="37" spans="1:14" ht="14.4">
      <c r="A37" s="154" t="s">
        <v>3999</v>
      </c>
      <c r="B37" s="113">
        <v>44245</v>
      </c>
      <c r="C37" s="2" t="s">
        <v>895</v>
      </c>
      <c r="D37" s="155" t="s">
        <v>896</v>
      </c>
      <c r="E37" s="114">
        <v>9739430954</v>
      </c>
      <c r="F37" s="2" t="s">
        <v>303</v>
      </c>
      <c r="G37" s="2" t="s">
        <v>4378</v>
      </c>
      <c r="H37" s="2" t="s">
        <v>28</v>
      </c>
      <c r="I37" s="2" t="str">
        <f>IFERROR(VLOOKUP($D37,'Sales Data'!$C:$E,4,0),"SAME")</f>
        <v>SAME</v>
      </c>
      <c r="J37" s="2"/>
      <c r="K37" s="2" t="str">
        <f>IFERROR(VLOOKUP($D37,'Sales Data'!$C:$G,6,0),"NA")</f>
        <v>NA</v>
      </c>
      <c r="L37" s="126">
        <v>53100</v>
      </c>
      <c r="M37" s="2"/>
      <c r="N37" s="3" t="s">
        <v>4447</v>
      </c>
    </row>
    <row r="38" spans="1:14" ht="14.4">
      <c r="A38" s="154" t="s">
        <v>3999</v>
      </c>
      <c r="B38" s="113">
        <v>44245</v>
      </c>
      <c r="C38" s="2" t="s">
        <v>4448</v>
      </c>
      <c r="D38" s="10" t="s">
        <v>4449</v>
      </c>
      <c r="E38" s="114">
        <v>9811895924</v>
      </c>
      <c r="F38" s="2" t="s">
        <v>287</v>
      </c>
      <c r="G38" s="2" t="s">
        <v>4378</v>
      </c>
      <c r="H38" s="2" t="s">
        <v>17</v>
      </c>
      <c r="I38" s="2" t="str">
        <f>IFERROR(VLOOKUP($D38,'Sales Data'!$C:$E,4,0),"SAME")</f>
        <v>SAME</v>
      </c>
      <c r="J38" s="2"/>
      <c r="K38" s="2" t="str">
        <f>IFERROR(VLOOKUP($D38,'Sales Data'!$C:$G,6,0),"NA")</f>
        <v>NA</v>
      </c>
      <c r="L38" s="2"/>
      <c r="M38" s="2"/>
      <c r="N38" s="3" t="s">
        <v>4450</v>
      </c>
    </row>
    <row r="39" spans="1:14" ht="14.4">
      <c r="A39" s="154" t="s">
        <v>3999</v>
      </c>
      <c r="B39" s="113">
        <v>44246</v>
      </c>
      <c r="C39" s="2" t="s">
        <v>4451</v>
      </c>
      <c r="D39" s="118" t="s">
        <v>4452</v>
      </c>
      <c r="E39" s="114">
        <v>9108658877</v>
      </c>
      <c r="F39" s="2" t="s">
        <v>303</v>
      </c>
      <c r="G39" s="2" t="s">
        <v>4378</v>
      </c>
      <c r="H39" s="2" t="s">
        <v>17</v>
      </c>
      <c r="I39" s="2" t="str">
        <f>IFERROR(VLOOKUP($D39,'Sales Data'!$C:$E,4,0),"SAME")</f>
        <v>SAME</v>
      </c>
      <c r="J39" s="2"/>
      <c r="K39" s="2" t="str">
        <f>IFERROR(VLOOKUP($D39,'Sales Data'!$C:$G,6,0),"NA")</f>
        <v>NA</v>
      </c>
      <c r="L39" s="2"/>
      <c r="M39" s="2"/>
      <c r="N39" s="3" t="s">
        <v>4453</v>
      </c>
    </row>
    <row r="40" spans="1:14" ht="14.4">
      <c r="A40" s="154" t="s">
        <v>3999</v>
      </c>
      <c r="B40" s="113">
        <v>44246</v>
      </c>
      <c r="C40" s="2" t="s">
        <v>4454</v>
      </c>
      <c r="D40" s="118" t="s">
        <v>4455</v>
      </c>
      <c r="E40" s="114">
        <v>9850998220</v>
      </c>
      <c r="F40" s="2" t="s">
        <v>287</v>
      </c>
      <c r="G40" s="2" t="s">
        <v>7</v>
      </c>
      <c r="H40" s="2" t="s">
        <v>26</v>
      </c>
      <c r="I40" s="2" t="str">
        <f>IFERROR(VLOOKUP($D40,'Sales Data'!$C:$E,4,0),"SAME")</f>
        <v>SAME</v>
      </c>
      <c r="J40" s="2"/>
      <c r="K40" s="2" t="str">
        <f>IFERROR(VLOOKUP($D40,'Sales Data'!$C:$G,6,0),"NA")</f>
        <v>NA</v>
      </c>
      <c r="L40" s="2"/>
      <c r="M40" s="2"/>
      <c r="N40" s="2"/>
    </row>
    <row r="41" spans="1:14" ht="14.4">
      <c r="A41" s="154" t="s">
        <v>3999</v>
      </c>
      <c r="B41" s="113">
        <v>44246</v>
      </c>
      <c r="C41" s="2" t="s">
        <v>900</v>
      </c>
      <c r="D41" s="118" t="s">
        <v>901</v>
      </c>
      <c r="E41" s="114">
        <v>9686679821</v>
      </c>
      <c r="F41" s="2" t="s">
        <v>306</v>
      </c>
      <c r="G41" s="2" t="s">
        <v>4378</v>
      </c>
      <c r="H41" s="2" t="s">
        <v>28</v>
      </c>
      <c r="I41" s="2" t="str">
        <f>IFERROR(VLOOKUP($D41,'Sales Data'!$C:$E,4,0),"SAME")</f>
        <v>SAME</v>
      </c>
      <c r="J41" s="2"/>
      <c r="K41" s="2" t="str">
        <f>IFERROR(VLOOKUP($D41,'Sales Data'!$C:$G,6,0),"NA")</f>
        <v>NA</v>
      </c>
      <c r="L41" s="126">
        <v>45000</v>
      </c>
      <c r="M41" s="2"/>
      <c r="N41" s="3" t="s">
        <v>4456</v>
      </c>
    </row>
    <row r="42" spans="1:14" ht="14.4">
      <c r="A42" s="154" t="s">
        <v>3999</v>
      </c>
      <c r="B42" s="113">
        <v>44246</v>
      </c>
      <c r="C42" s="2" t="s">
        <v>912</v>
      </c>
      <c r="D42" s="118" t="s">
        <v>913</v>
      </c>
      <c r="E42" s="114">
        <v>9909348866</v>
      </c>
      <c r="F42" s="2" t="s">
        <v>319</v>
      </c>
      <c r="G42" s="2" t="s">
        <v>150</v>
      </c>
      <c r="H42" s="2" t="s">
        <v>28</v>
      </c>
      <c r="I42" s="2" t="str">
        <f>IFERROR(VLOOKUP($D42,'Sales Data'!$C:$E,4,0),"SAME")</f>
        <v>SAME</v>
      </c>
      <c r="J42" s="2"/>
      <c r="K42" s="2" t="str">
        <f>IFERROR(VLOOKUP($D42,'Sales Data'!$C:$G,6,0),"NA")</f>
        <v>NA</v>
      </c>
      <c r="L42" s="126">
        <v>21000</v>
      </c>
      <c r="M42" s="2"/>
      <c r="N42" s="3" t="s">
        <v>4457</v>
      </c>
    </row>
    <row r="43" spans="1:14" ht="14.4">
      <c r="A43" s="154" t="s">
        <v>3999</v>
      </c>
      <c r="B43" s="113">
        <v>44246</v>
      </c>
      <c r="C43" s="2" t="s">
        <v>4458</v>
      </c>
      <c r="D43" s="118" t="s">
        <v>4459</v>
      </c>
      <c r="E43" s="114">
        <v>9717174775</v>
      </c>
      <c r="F43" s="2" t="s">
        <v>287</v>
      </c>
      <c r="G43" s="2" t="s">
        <v>6</v>
      </c>
      <c r="H43" s="2" t="s">
        <v>17</v>
      </c>
      <c r="I43" s="2" t="str">
        <f>IFERROR(VLOOKUP($D43,'Sales Data'!$C:$E,4,0),"SAME")</f>
        <v>SAME</v>
      </c>
      <c r="J43" s="2"/>
      <c r="K43" s="2" t="str">
        <f>IFERROR(VLOOKUP($D43,'Sales Data'!$C:$G,6,0),"NA")</f>
        <v>NA</v>
      </c>
      <c r="L43" s="2"/>
      <c r="M43" s="2"/>
      <c r="N43" s="3" t="s">
        <v>4460</v>
      </c>
    </row>
    <row r="44" spans="1:14" ht="14.4">
      <c r="A44" s="154" t="s">
        <v>3999</v>
      </c>
      <c r="B44" s="113">
        <v>44246</v>
      </c>
      <c r="C44" s="2" t="s">
        <v>1030</v>
      </c>
      <c r="D44" s="118" t="s">
        <v>1031</v>
      </c>
      <c r="E44" s="114">
        <v>9874119286</v>
      </c>
      <c r="F44" s="2" t="s">
        <v>287</v>
      </c>
      <c r="G44" s="2" t="s">
        <v>7</v>
      </c>
      <c r="H44" s="2" t="s">
        <v>28</v>
      </c>
      <c r="I44" s="2" t="str">
        <f>IFERROR(VLOOKUP($D44,'Sales Data'!$C:$E,4,0),"SAME")</f>
        <v>SAME</v>
      </c>
      <c r="J44" s="2"/>
      <c r="K44" s="2" t="str">
        <f>IFERROR(VLOOKUP($D44,'Sales Data'!$C:$G,6,0),"NA")</f>
        <v>NA</v>
      </c>
      <c r="L44" s="126">
        <v>22500</v>
      </c>
      <c r="M44" s="2"/>
      <c r="N44" s="3" t="s">
        <v>4461</v>
      </c>
    </row>
    <row r="45" spans="1:14" ht="14.4">
      <c r="A45" s="154" t="s">
        <v>3999</v>
      </c>
      <c r="B45" s="113">
        <v>44247</v>
      </c>
      <c r="C45" s="2" t="s">
        <v>910</v>
      </c>
      <c r="D45" s="118" t="s">
        <v>911</v>
      </c>
      <c r="E45" s="114">
        <v>8073749074</v>
      </c>
      <c r="F45" s="2" t="s">
        <v>319</v>
      </c>
      <c r="G45" s="2" t="s">
        <v>4378</v>
      </c>
      <c r="H45" s="2" t="s">
        <v>28</v>
      </c>
      <c r="I45" s="2" t="str">
        <f>IFERROR(VLOOKUP($D45,'Sales Data'!$C:$E,4,0),"SAME")</f>
        <v>SAME</v>
      </c>
      <c r="J45" s="2"/>
      <c r="K45" s="2" t="str">
        <f>IFERROR(VLOOKUP($D45,'Sales Data'!$C:$G,6,0),"NA")</f>
        <v>NA</v>
      </c>
      <c r="L45" s="126">
        <v>20500</v>
      </c>
      <c r="M45" s="2"/>
      <c r="N45" s="3" t="s">
        <v>4462</v>
      </c>
    </row>
    <row r="46" spans="1:14" ht="14.4">
      <c r="A46" s="154" t="s">
        <v>3999</v>
      </c>
      <c r="B46" s="113">
        <v>44247</v>
      </c>
      <c r="C46" s="2" t="s">
        <v>897</v>
      </c>
      <c r="D46" s="118" t="s">
        <v>898</v>
      </c>
      <c r="E46" s="114">
        <v>9960733231</v>
      </c>
      <c r="F46" s="2" t="s">
        <v>303</v>
      </c>
      <c r="G46" s="2" t="s">
        <v>151</v>
      </c>
      <c r="H46" s="2" t="s">
        <v>28</v>
      </c>
      <c r="I46" s="2" t="str">
        <f>IFERROR(VLOOKUP($D46,'Sales Data'!$C:$E,4,0),"SAME")</f>
        <v>SAME</v>
      </c>
      <c r="J46" s="2"/>
      <c r="K46" s="2" t="str">
        <f>IFERROR(VLOOKUP($D46,'Sales Data'!$C:$G,6,0),"NA")</f>
        <v>NA</v>
      </c>
      <c r="L46" s="126">
        <v>21000</v>
      </c>
      <c r="M46" s="2"/>
      <c r="N46" s="3" t="s">
        <v>4463</v>
      </c>
    </row>
    <row r="47" spans="1:14" ht="14.4">
      <c r="A47" s="154" t="s">
        <v>3999</v>
      </c>
      <c r="B47" s="113">
        <v>44247</v>
      </c>
      <c r="C47" s="2" t="s">
        <v>4464</v>
      </c>
      <c r="D47" s="118" t="s">
        <v>4465</v>
      </c>
      <c r="E47" s="114">
        <v>8087103544</v>
      </c>
      <c r="F47" s="2" t="s">
        <v>319</v>
      </c>
      <c r="G47" s="2" t="s">
        <v>4378</v>
      </c>
      <c r="H47" s="2" t="s">
        <v>17</v>
      </c>
      <c r="I47" s="2" t="str">
        <f>IFERROR(VLOOKUP($D47,'Sales Data'!$C:$E,4,0),"SAME")</f>
        <v>SAME</v>
      </c>
      <c r="J47" s="2"/>
      <c r="K47" s="2" t="str">
        <f>IFERROR(VLOOKUP($D47,'Sales Data'!$C:$G,6,0),"NA")</f>
        <v>NA</v>
      </c>
      <c r="L47" s="126">
        <v>21000</v>
      </c>
      <c r="M47" s="2"/>
      <c r="N47" s="3" t="s">
        <v>4466</v>
      </c>
    </row>
    <row r="48" spans="1:14" ht="14.4">
      <c r="A48" s="154" t="s">
        <v>3999</v>
      </c>
      <c r="B48" s="113">
        <v>44247</v>
      </c>
      <c r="C48" s="2" t="s">
        <v>4467</v>
      </c>
      <c r="D48" s="118" t="s">
        <v>4468</v>
      </c>
      <c r="E48" s="114">
        <v>992737395</v>
      </c>
      <c r="F48" s="2" t="s">
        <v>291</v>
      </c>
      <c r="G48" s="2" t="s">
        <v>4378</v>
      </c>
      <c r="H48" s="2" t="s">
        <v>3997</v>
      </c>
      <c r="I48" s="2" t="str">
        <f>IFERROR(VLOOKUP($D48,'Sales Data'!$C:$E,4,0),"SAME")</f>
        <v>SAME</v>
      </c>
      <c r="J48" s="2"/>
      <c r="K48" s="2" t="str">
        <f>IFERROR(VLOOKUP($D48,'Sales Data'!$C:$G,6,0),"NA")</f>
        <v>NA</v>
      </c>
      <c r="L48" s="2"/>
      <c r="M48" s="2"/>
      <c r="N48" s="3" t="s">
        <v>4469</v>
      </c>
    </row>
    <row r="49" spans="1:14" ht="14.4">
      <c r="A49" s="154" t="s">
        <v>3999</v>
      </c>
      <c r="B49" s="113">
        <v>44248</v>
      </c>
      <c r="C49" s="2" t="s">
        <v>4470</v>
      </c>
      <c r="D49" s="118" t="s">
        <v>4471</v>
      </c>
      <c r="E49" s="2" t="s">
        <v>1294</v>
      </c>
      <c r="F49" s="2" t="s">
        <v>303</v>
      </c>
      <c r="G49" s="2" t="s">
        <v>4378</v>
      </c>
      <c r="H49" s="2" t="s">
        <v>1294</v>
      </c>
      <c r="I49" s="2" t="str">
        <f>IFERROR(VLOOKUP($D49,'Sales Data'!$C:$E,4,0),"SAME")</f>
        <v>SAME</v>
      </c>
      <c r="J49" s="2"/>
      <c r="K49" s="2" t="str">
        <f>IFERROR(VLOOKUP($D49,'Sales Data'!$C:$G,6,0),"NA")</f>
        <v>NA</v>
      </c>
      <c r="L49" s="2"/>
      <c r="M49" s="2"/>
      <c r="N49" s="3" t="s">
        <v>4472</v>
      </c>
    </row>
    <row r="50" spans="1:14" ht="14.4">
      <c r="A50" s="154" t="s">
        <v>3999</v>
      </c>
      <c r="B50" s="127">
        <v>44248</v>
      </c>
      <c r="C50" s="2" t="s">
        <v>1579</v>
      </c>
      <c r="D50" s="118" t="s">
        <v>4473</v>
      </c>
      <c r="E50" s="114">
        <v>9999645999</v>
      </c>
      <c r="F50" s="2" t="s">
        <v>291</v>
      </c>
      <c r="G50" s="2" t="s">
        <v>4378</v>
      </c>
      <c r="H50" s="2" t="s">
        <v>17</v>
      </c>
      <c r="I50" s="2" t="str">
        <f>IFERROR(VLOOKUP($D50,'Sales Data'!$C:$E,4,0),"SAME")</f>
        <v>SAME</v>
      </c>
      <c r="J50" s="2"/>
      <c r="K50" s="2" t="str">
        <f>IFERROR(VLOOKUP($D50,'Sales Data'!$C:$G,6,0),"NA")</f>
        <v>NA</v>
      </c>
      <c r="L50" s="2"/>
      <c r="M50" s="2"/>
      <c r="N50" s="2"/>
    </row>
    <row r="51" spans="1:14" ht="14.4">
      <c r="A51" s="154" t="s">
        <v>3999</v>
      </c>
      <c r="B51" s="113">
        <v>44248</v>
      </c>
      <c r="C51" s="2" t="s">
        <v>1680</v>
      </c>
      <c r="D51" s="118" t="s">
        <v>1681</v>
      </c>
      <c r="E51" s="114">
        <v>9007034940</v>
      </c>
      <c r="F51" s="2" t="s">
        <v>571</v>
      </c>
      <c r="G51" s="2" t="s">
        <v>4378</v>
      </c>
      <c r="H51" s="2" t="s">
        <v>17</v>
      </c>
      <c r="I51" s="2" t="str">
        <f>IFERROR(VLOOKUP($D51,'Sales Data'!$C:$E,4,0),"SAME")</f>
        <v>SAME</v>
      </c>
      <c r="J51" s="2"/>
      <c r="K51" s="2" t="str">
        <f>IFERROR(VLOOKUP($D51,'Sales Data'!$C:$G,6,0),"NA")</f>
        <v>NA</v>
      </c>
      <c r="L51" s="2"/>
      <c r="M51" s="2"/>
      <c r="N51" s="2"/>
    </row>
    <row r="52" spans="1:14" ht="14.4">
      <c r="A52" s="154" t="s">
        <v>3999</v>
      </c>
      <c r="B52" s="127">
        <v>44249</v>
      </c>
      <c r="C52" s="2" t="s">
        <v>907</v>
      </c>
      <c r="D52" s="118" t="s">
        <v>908</v>
      </c>
      <c r="E52" s="114">
        <v>9986507321</v>
      </c>
      <c r="F52" s="2" t="s">
        <v>287</v>
      </c>
      <c r="G52" s="2" t="s">
        <v>150</v>
      </c>
      <c r="H52" s="2" t="s">
        <v>28</v>
      </c>
      <c r="I52" s="2" t="str">
        <f>IFERROR(VLOOKUP($D52,'Sales Data'!$C:$E,4,0),"SAME")</f>
        <v>SAME</v>
      </c>
      <c r="J52" s="2"/>
      <c r="K52" s="2" t="str">
        <f>IFERROR(VLOOKUP($D52,'Sales Data'!$C:$G,6,0),"NA")</f>
        <v>NA</v>
      </c>
      <c r="L52" s="126">
        <v>20500</v>
      </c>
      <c r="M52" s="2"/>
      <c r="N52" s="3" t="s">
        <v>4474</v>
      </c>
    </row>
    <row r="53" spans="1:14" ht="14.4">
      <c r="A53" s="154" t="s">
        <v>3999</v>
      </c>
      <c r="B53" s="113">
        <v>44249</v>
      </c>
      <c r="C53" s="2" t="s">
        <v>4475</v>
      </c>
      <c r="D53" s="118" t="s">
        <v>4476</v>
      </c>
      <c r="E53" s="114">
        <v>9582942147</v>
      </c>
      <c r="F53" s="2" t="s">
        <v>303</v>
      </c>
      <c r="G53" s="2" t="s">
        <v>4378</v>
      </c>
      <c r="H53" s="2" t="s">
        <v>3997</v>
      </c>
      <c r="I53" s="2" t="str">
        <f>IFERROR(VLOOKUP($D53,'Sales Data'!$C:$E,4,0),"SAME")</f>
        <v>SAME</v>
      </c>
      <c r="J53" s="2"/>
      <c r="K53" s="2" t="str">
        <f>IFERROR(VLOOKUP($D53,'Sales Data'!$C:$G,6,0),"NA")</f>
        <v>NA</v>
      </c>
      <c r="L53" s="2"/>
      <c r="M53" s="2"/>
      <c r="N53" s="2"/>
    </row>
    <row r="54" spans="1:14" ht="14.4">
      <c r="A54" s="154" t="s">
        <v>3999</v>
      </c>
      <c r="B54" s="113">
        <v>44249</v>
      </c>
      <c r="C54" s="2" t="s">
        <v>4477</v>
      </c>
      <c r="D54" s="118" t="s">
        <v>4478</v>
      </c>
      <c r="E54" s="114">
        <v>9833788582</v>
      </c>
      <c r="F54" s="2" t="s">
        <v>495</v>
      </c>
      <c r="G54" s="2" t="s">
        <v>150</v>
      </c>
      <c r="H54" s="2" t="s">
        <v>4479</v>
      </c>
      <c r="I54" s="2" t="str">
        <f>IFERROR(VLOOKUP($D54,'Sales Data'!$C:$E,4,0),"SAME")</f>
        <v>SAME</v>
      </c>
      <c r="J54" s="2"/>
      <c r="K54" s="2" t="str">
        <f>IFERROR(VLOOKUP($D54,'Sales Data'!$C:$G,6,0),"NA")</f>
        <v>NA</v>
      </c>
      <c r="L54" s="2"/>
      <c r="M54" s="2"/>
      <c r="N54" s="3" t="s">
        <v>4480</v>
      </c>
    </row>
    <row r="55" spans="1:14" ht="14.4">
      <c r="A55" s="154" t="s">
        <v>3999</v>
      </c>
      <c r="B55" s="113">
        <v>44249</v>
      </c>
      <c r="C55" s="2" t="s">
        <v>4481</v>
      </c>
      <c r="D55" s="118" t="s">
        <v>4482</v>
      </c>
      <c r="E55" s="114">
        <v>9845466554</v>
      </c>
      <c r="F55" s="2" t="s">
        <v>319</v>
      </c>
      <c r="G55" s="2" t="s">
        <v>4378</v>
      </c>
      <c r="H55" s="2" t="s">
        <v>17</v>
      </c>
      <c r="I55" s="2" t="str">
        <f>IFERROR(VLOOKUP($D55,'Sales Data'!$C:$E,4,0),"SAME")</f>
        <v>SAME</v>
      </c>
      <c r="J55" s="2"/>
      <c r="K55" s="2" t="str">
        <f>IFERROR(VLOOKUP($D55,'Sales Data'!$C:$G,6,0),"NA")</f>
        <v>NA</v>
      </c>
      <c r="L55" s="126">
        <v>53100</v>
      </c>
      <c r="M55" s="2"/>
      <c r="N55" s="3" t="s">
        <v>4483</v>
      </c>
    </row>
    <row r="56" spans="1:14" ht="14.4">
      <c r="A56" s="154" t="s">
        <v>3999</v>
      </c>
      <c r="B56" s="113">
        <v>44250</v>
      </c>
      <c r="C56" s="2" t="s">
        <v>4484</v>
      </c>
      <c r="D56" s="118" t="s">
        <v>4485</v>
      </c>
      <c r="E56" s="114">
        <v>8884068866</v>
      </c>
      <c r="F56" s="2" t="s">
        <v>287</v>
      </c>
      <c r="G56" s="2" t="s">
        <v>4378</v>
      </c>
      <c r="H56" s="2" t="s">
        <v>17</v>
      </c>
      <c r="I56" s="2" t="str">
        <f>IFERROR(VLOOKUP($D56,'Sales Data'!$C:$E,4,0),"SAME")</f>
        <v>SAME</v>
      </c>
      <c r="J56" s="2"/>
      <c r="K56" s="2" t="str">
        <f>IFERROR(VLOOKUP($D56,'Sales Data'!$C:$G,6,0),"NA")</f>
        <v>NA</v>
      </c>
      <c r="L56" s="126">
        <v>20500</v>
      </c>
      <c r="M56" s="2"/>
      <c r="N56" s="3" t="s">
        <v>4486</v>
      </c>
    </row>
    <row r="57" spans="1:14" ht="14.4">
      <c r="A57" s="154" t="s">
        <v>3999</v>
      </c>
      <c r="B57" s="113">
        <v>44250</v>
      </c>
      <c r="C57" s="2" t="s">
        <v>886</v>
      </c>
      <c r="D57" s="118" t="s">
        <v>887</v>
      </c>
      <c r="E57" s="114">
        <v>9941709016</v>
      </c>
      <c r="F57" s="2" t="s">
        <v>306</v>
      </c>
      <c r="G57" s="2" t="s">
        <v>7</v>
      </c>
      <c r="H57" s="2" t="s">
        <v>28</v>
      </c>
      <c r="I57" s="2" t="str">
        <f>IFERROR(VLOOKUP($D57,'Sales Data'!$C:$E,4,0),"SAME")</f>
        <v>SAME</v>
      </c>
      <c r="J57" s="2"/>
      <c r="K57" s="2" t="str">
        <f>IFERROR(VLOOKUP($D57,'Sales Data'!$C:$G,6,0),"NA")</f>
        <v>NA</v>
      </c>
      <c r="L57" s="126">
        <v>45000</v>
      </c>
      <c r="M57" s="2"/>
      <c r="N57" s="3" t="s">
        <v>4487</v>
      </c>
    </row>
    <row r="58" spans="1:14" ht="14.4">
      <c r="A58" s="154" t="s">
        <v>3999</v>
      </c>
      <c r="B58" s="113">
        <v>44250</v>
      </c>
      <c r="C58" s="2" t="s">
        <v>4488</v>
      </c>
      <c r="D58" s="118" t="s">
        <v>4489</v>
      </c>
      <c r="E58" s="114">
        <v>7305835042</v>
      </c>
      <c r="F58" s="2" t="s">
        <v>303</v>
      </c>
      <c r="G58" s="2" t="s">
        <v>7</v>
      </c>
      <c r="H58" s="2" t="s">
        <v>26</v>
      </c>
      <c r="I58" s="2" t="str">
        <f>IFERROR(VLOOKUP($D58,'Sales Data'!$C:$E,4,0),"SAME")</f>
        <v>SAME</v>
      </c>
      <c r="J58" s="2"/>
      <c r="K58" s="2" t="str">
        <f>IFERROR(VLOOKUP($D58,'Sales Data'!$C:$G,6,0),"NA")</f>
        <v>NA</v>
      </c>
      <c r="L58" s="2"/>
      <c r="M58" s="2"/>
      <c r="N58" s="2"/>
    </row>
    <row r="59" spans="1:14" ht="14.4">
      <c r="A59" s="154" t="s">
        <v>3999</v>
      </c>
      <c r="B59" s="113">
        <v>44250</v>
      </c>
      <c r="C59" s="2" t="s">
        <v>4490</v>
      </c>
      <c r="D59" s="118" t="s">
        <v>4491</v>
      </c>
      <c r="E59" s="114">
        <v>7338665861</v>
      </c>
      <c r="F59" s="2" t="s">
        <v>287</v>
      </c>
      <c r="G59" s="2" t="s">
        <v>150</v>
      </c>
      <c r="H59" s="2" t="s">
        <v>17</v>
      </c>
      <c r="I59" s="2" t="str">
        <f>IFERROR(VLOOKUP($D59,'Sales Data'!$C:$E,4,0),"SAME")</f>
        <v>SAME</v>
      </c>
      <c r="J59" s="2"/>
      <c r="K59" s="2" t="str">
        <f>IFERROR(VLOOKUP($D59,'Sales Data'!$C:$G,6,0),"NA")</f>
        <v>NA</v>
      </c>
      <c r="L59" s="2"/>
      <c r="M59" s="2"/>
      <c r="N59" s="2"/>
    </row>
    <row r="60" spans="1:14" ht="14.4">
      <c r="A60" s="154" t="s">
        <v>3999</v>
      </c>
      <c r="B60" s="113">
        <v>44250</v>
      </c>
      <c r="C60" s="2" t="s">
        <v>4492</v>
      </c>
      <c r="D60" s="118" t="s">
        <v>4493</v>
      </c>
      <c r="E60" s="114">
        <v>7013783790</v>
      </c>
      <c r="F60" s="2" t="s">
        <v>287</v>
      </c>
      <c r="G60" s="2" t="s">
        <v>4378</v>
      </c>
      <c r="H60" s="2" t="s">
        <v>17</v>
      </c>
      <c r="I60" s="2" t="str">
        <f>IFERROR(VLOOKUP($D60,'Sales Data'!$C:$E,4,0),"SAME")</f>
        <v>SAME</v>
      </c>
      <c r="J60" s="2"/>
      <c r="K60" s="2" t="str">
        <f>IFERROR(VLOOKUP($D60,'Sales Data'!$C:$G,6,0),"NA")</f>
        <v>NA</v>
      </c>
      <c r="L60" s="2"/>
      <c r="M60" s="2"/>
      <c r="N60" s="3" t="s">
        <v>4494</v>
      </c>
    </row>
    <row r="61" spans="1:14" ht="14.4">
      <c r="A61" s="154" t="s">
        <v>3999</v>
      </c>
      <c r="B61" s="113">
        <v>44250</v>
      </c>
      <c r="C61" s="2" t="s">
        <v>939</v>
      </c>
      <c r="D61" s="118" t="s">
        <v>940</v>
      </c>
      <c r="E61" s="114">
        <v>9538668177</v>
      </c>
      <c r="F61" s="2" t="s">
        <v>319</v>
      </c>
      <c r="G61" s="2" t="s">
        <v>7</v>
      </c>
      <c r="H61" s="2" t="s">
        <v>28</v>
      </c>
      <c r="I61" s="2" t="str">
        <f>IFERROR(VLOOKUP($D61,'Sales Data'!$C:$E,4,0),"SAME")</f>
        <v>SAME</v>
      </c>
      <c r="J61" s="2"/>
      <c r="K61" s="2" t="str">
        <f>IFERROR(VLOOKUP($D61,'Sales Data'!$C:$G,6,0),"NA")</f>
        <v>NA</v>
      </c>
      <c r="L61" s="2"/>
      <c r="M61" s="2"/>
      <c r="N61" s="2"/>
    </row>
    <row r="62" spans="1:14" ht="14.4">
      <c r="A62" s="154" t="s">
        <v>3999</v>
      </c>
      <c r="B62" s="113">
        <v>44251</v>
      </c>
      <c r="C62" s="2" t="s">
        <v>4495</v>
      </c>
      <c r="D62" s="118" t="s">
        <v>4496</v>
      </c>
      <c r="E62" s="114">
        <v>9717263456</v>
      </c>
      <c r="F62" s="2" t="s">
        <v>319</v>
      </c>
      <c r="G62" s="2" t="s">
        <v>4378</v>
      </c>
      <c r="H62" s="2" t="s">
        <v>3997</v>
      </c>
      <c r="I62" s="2" t="str">
        <f>IFERROR(VLOOKUP($D62,'Sales Data'!$C:$E,4,0),"SAME")</f>
        <v>SAME</v>
      </c>
      <c r="J62" s="2"/>
      <c r="K62" s="2" t="str">
        <f>IFERROR(VLOOKUP($D62,'Sales Data'!$C:$G,6,0),"NA")</f>
        <v>NA</v>
      </c>
      <c r="L62" s="2"/>
      <c r="M62" s="2"/>
      <c r="N62" s="2"/>
    </row>
    <row r="63" spans="1:14" ht="14.4">
      <c r="A63" s="154" t="s">
        <v>3999</v>
      </c>
      <c r="B63" s="113">
        <v>44251</v>
      </c>
      <c r="C63" s="2" t="s">
        <v>2046</v>
      </c>
      <c r="D63" s="118" t="s">
        <v>2047</v>
      </c>
      <c r="E63" s="114">
        <v>9970662763</v>
      </c>
      <c r="F63" s="2" t="s">
        <v>319</v>
      </c>
      <c r="G63" s="2" t="s">
        <v>150</v>
      </c>
      <c r="H63" s="2" t="s">
        <v>17</v>
      </c>
      <c r="I63" s="2" t="str">
        <f>IFERROR(VLOOKUP($D63,'Sales Data'!$C:$E,4,0),"SAME")</f>
        <v>SAME</v>
      </c>
      <c r="J63" s="2"/>
      <c r="K63" s="2" t="str">
        <f>IFERROR(VLOOKUP($D63,'Sales Data'!$C:$G,6,0),"NA")</f>
        <v>NA</v>
      </c>
      <c r="L63" s="2"/>
      <c r="M63" s="2"/>
      <c r="N63" s="2"/>
    </row>
    <row r="64" spans="1:14" ht="14.4">
      <c r="A64" s="154" t="s">
        <v>3999</v>
      </c>
      <c r="B64" s="113">
        <v>44251</v>
      </c>
      <c r="C64" s="2" t="s">
        <v>4497</v>
      </c>
      <c r="D64" s="118" t="s">
        <v>4498</v>
      </c>
      <c r="E64" s="114">
        <v>9962006585</v>
      </c>
      <c r="F64" s="2" t="s">
        <v>297</v>
      </c>
      <c r="G64" s="2" t="s">
        <v>150</v>
      </c>
      <c r="H64" s="2" t="s">
        <v>4479</v>
      </c>
      <c r="I64" s="2" t="str">
        <f>IFERROR(VLOOKUP($D64,'Sales Data'!$C:$E,4,0),"SAME")</f>
        <v>SAME</v>
      </c>
      <c r="J64" s="2"/>
      <c r="K64" s="2" t="str">
        <f>IFERROR(VLOOKUP($D64,'Sales Data'!$C:$G,6,0),"NA")</f>
        <v>NA</v>
      </c>
      <c r="L64" s="2"/>
      <c r="M64" s="2"/>
      <c r="N64" s="2"/>
    </row>
    <row r="65" spans="1:14" ht="14.4">
      <c r="A65" s="154" t="s">
        <v>3999</v>
      </c>
      <c r="B65" s="113">
        <v>44251</v>
      </c>
      <c r="C65" s="2" t="s">
        <v>4499</v>
      </c>
      <c r="D65" s="118" t="s">
        <v>4500</v>
      </c>
      <c r="E65" s="114">
        <v>9640062686</v>
      </c>
      <c r="F65" s="2" t="s">
        <v>287</v>
      </c>
      <c r="G65" s="2" t="s">
        <v>4378</v>
      </c>
      <c r="H65" s="2" t="s">
        <v>28</v>
      </c>
      <c r="I65" s="2" t="str">
        <f>IFERROR(VLOOKUP($D65,'Sales Data'!$C:$E,4,0),"SAME")</f>
        <v>SAME</v>
      </c>
      <c r="J65" s="2"/>
      <c r="K65" s="2" t="str">
        <f>IFERROR(VLOOKUP($D65,'Sales Data'!$C:$G,6,0),"NA")</f>
        <v>NA</v>
      </c>
      <c r="L65" s="126">
        <v>45000</v>
      </c>
      <c r="M65" s="2"/>
      <c r="N65" s="3" t="s">
        <v>4501</v>
      </c>
    </row>
    <row r="66" spans="1:14" ht="14.4">
      <c r="A66" s="154" t="s">
        <v>3999</v>
      </c>
      <c r="B66" s="113">
        <v>44251</v>
      </c>
      <c r="C66" s="2" t="s">
        <v>4502</v>
      </c>
      <c r="D66" s="118" t="s">
        <v>4503</v>
      </c>
      <c r="E66" s="114">
        <v>9599098700</v>
      </c>
      <c r="F66" s="2" t="s">
        <v>319</v>
      </c>
      <c r="G66" s="2" t="s">
        <v>4378</v>
      </c>
      <c r="H66" s="2" t="s">
        <v>28</v>
      </c>
      <c r="I66" s="2" t="str">
        <f>IFERROR(VLOOKUP($D66,'Sales Data'!$C:$E,4,0),"SAME")</f>
        <v>SAME</v>
      </c>
      <c r="J66" s="2"/>
      <c r="K66" s="2" t="str">
        <f>IFERROR(VLOOKUP($D66,'Sales Data'!$C:$G,6,0),"NA")</f>
        <v>NA</v>
      </c>
      <c r="L66" s="126">
        <v>45000</v>
      </c>
      <c r="M66" s="2"/>
      <c r="N66" s="3" t="s">
        <v>4504</v>
      </c>
    </row>
    <row r="67" spans="1:14" ht="14.4">
      <c r="A67" s="154" t="s">
        <v>3999</v>
      </c>
      <c r="B67" s="113">
        <v>44251</v>
      </c>
      <c r="C67" s="2" t="s">
        <v>943</v>
      </c>
      <c r="D67" s="118" t="s">
        <v>944</v>
      </c>
      <c r="E67" s="114">
        <v>8884638383</v>
      </c>
      <c r="F67" s="2" t="s">
        <v>319</v>
      </c>
      <c r="G67" s="2" t="s">
        <v>150</v>
      </c>
      <c r="H67" s="2" t="s">
        <v>28</v>
      </c>
      <c r="I67" s="2" t="str">
        <f>IFERROR(VLOOKUP($D67,'Sales Data'!$C:$E,4,0),"SAME")</f>
        <v>SAME</v>
      </c>
      <c r="J67" s="2"/>
      <c r="K67" s="2" t="str">
        <f>IFERROR(VLOOKUP($D67,'Sales Data'!$C:$G,6,0),"NA")</f>
        <v>NA</v>
      </c>
      <c r="L67" s="126">
        <v>21000</v>
      </c>
      <c r="M67" s="127">
        <v>44253</v>
      </c>
      <c r="N67" s="3" t="s">
        <v>4505</v>
      </c>
    </row>
    <row r="68" spans="1:14" ht="14.4">
      <c r="A68" s="154" t="s">
        <v>3999</v>
      </c>
      <c r="B68" s="113">
        <v>44251</v>
      </c>
      <c r="C68" s="2" t="s">
        <v>1121</v>
      </c>
      <c r="D68" s="118" t="s">
        <v>4506</v>
      </c>
      <c r="E68" s="114">
        <v>8056229262</v>
      </c>
      <c r="F68" s="2" t="s">
        <v>303</v>
      </c>
      <c r="G68" s="2" t="s">
        <v>151</v>
      </c>
      <c r="H68" s="2" t="s">
        <v>28</v>
      </c>
      <c r="I68" s="2" t="str">
        <f>IFERROR(VLOOKUP($D68,'Sales Data'!$C:$E,4,0),"SAME")</f>
        <v>SAME</v>
      </c>
      <c r="J68" s="2"/>
      <c r="K68" s="2" t="str">
        <f>IFERROR(VLOOKUP($D68,'Sales Data'!$C:$G,6,0),"NA")</f>
        <v>NA</v>
      </c>
      <c r="L68" s="2"/>
      <c r="M68" s="2"/>
      <c r="N68" s="2"/>
    </row>
    <row r="69" spans="1:14" ht="14.4">
      <c r="A69" s="154" t="s">
        <v>3999</v>
      </c>
      <c r="B69" s="113">
        <v>44251</v>
      </c>
      <c r="C69" s="2" t="s">
        <v>4507</v>
      </c>
      <c r="D69" s="118" t="s">
        <v>4508</v>
      </c>
      <c r="E69" s="114">
        <v>9650330075</v>
      </c>
      <c r="F69" s="2" t="s">
        <v>303</v>
      </c>
      <c r="G69" s="2" t="s">
        <v>4378</v>
      </c>
      <c r="H69" s="2" t="s">
        <v>17</v>
      </c>
      <c r="I69" s="2" t="str">
        <f>IFERROR(VLOOKUP($D69,'Sales Data'!$C:$E,4,0),"SAME")</f>
        <v>SAME</v>
      </c>
      <c r="J69" s="2"/>
      <c r="K69" s="2" t="str">
        <f>IFERROR(VLOOKUP($D69,'Sales Data'!$C:$G,6,0),"NA")</f>
        <v>NA</v>
      </c>
      <c r="L69" s="2"/>
      <c r="M69" s="2"/>
      <c r="N69" s="2"/>
    </row>
    <row r="70" spans="1:14" ht="14.4">
      <c r="A70" s="154" t="s">
        <v>3999</v>
      </c>
      <c r="B70" s="113">
        <v>44251</v>
      </c>
      <c r="C70" s="2" t="s">
        <v>1375</v>
      </c>
      <c r="D70" s="118" t="s">
        <v>4509</v>
      </c>
      <c r="E70" s="2" t="s">
        <v>1294</v>
      </c>
      <c r="F70" s="2" t="s">
        <v>287</v>
      </c>
      <c r="G70" s="2" t="s">
        <v>4378</v>
      </c>
      <c r="H70" s="2" t="s">
        <v>1294</v>
      </c>
      <c r="I70" s="2" t="str">
        <f>IFERROR(VLOOKUP($D70,'Sales Data'!$C:$E,4,0),"SAME")</f>
        <v>SAME</v>
      </c>
      <c r="J70" s="2"/>
      <c r="K70" s="2" t="str">
        <f>IFERROR(VLOOKUP($D70,'Sales Data'!$C:$G,6,0),"NA")</f>
        <v>NA</v>
      </c>
      <c r="L70" s="2"/>
      <c r="M70" s="2"/>
      <c r="N70" s="2"/>
    </row>
    <row r="71" spans="1:14" ht="14.4">
      <c r="A71" s="154" t="s">
        <v>3999</v>
      </c>
      <c r="B71" s="127">
        <v>44252</v>
      </c>
      <c r="C71" s="2" t="s">
        <v>921</v>
      </c>
      <c r="D71" s="118" t="s">
        <v>922</v>
      </c>
      <c r="E71" s="114">
        <v>9538849481</v>
      </c>
      <c r="F71" s="2" t="s">
        <v>303</v>
      </c>
      <c r="G71" s="2" t="s">
        <v>4378</v>
      </c>
      <c r="H71" s="2" t="s">
        <v>28</v>
      </c>
      <c r="I71" s="2" t="str">
        <f>IFERROR(VLOOKUP($D71,'Sales Data'!$C:$E,4,0),"SAME")</f>
        <v>SAME</v>
      </c>
      <c r="J71" s="2"/>
      <c r="K71" s="2" t="str">
        <f>IFERROR(VLOOKUP($D71,'Sales Data'!$C:$G,6,0),"NA")</f>
        <v>NA</v>
      </c>
      <c r="L71" s="126">
        <v>45000</v>
      </c>
      <c r="M71" s="127">
        <v>44253</v>
      </c>
      <c r="N71" s="3" t="s">
        <v>4505</v>
      </c>
    </row>
    <row r="72" spans="1:14" ht="14.4">
      <c r="A72" s="154" t="s">
        <v>3999</v>
      </c>
      <c r="B72" s="113">
        <v>44252</v>
      </c>
      <c r="C72" s="2" t="s">
        <v>4510</v>
      </c>
      <c r="D72" s="118" t="s">
        <v>4511</v>
      </c>
      <c r="E72" s="114">
        <v>9527185922</v>
      </c>
      <c r="F72" s="2" t="s">
        <v>941</v>
      </c>
      <c r="G72" s="2" t="s">
        <v>150</v>
      </c>
      <c r="H72" s="2" t="s">
        <v>4479</v>
      </c>
      <c r="I72" s="2" t="str">
        <f>IFERROR(VLOOKUP($D72,'Sales Data'!$C:$E,4,0),"SAME")</f>
        <v>SAME</v>
      </c>
      <c r="J72" s="2"/>
      <c r="K72" s="2" t="str">
        <f>IFERROR(VLOOKUP($D72,'Sales Data'!$C:$G,6,0),"NA")</f>
        <v>NA</v>
      </c>
      <c r="L72" s="2"/>
      <c r="M72" s="2"/>
      <c r="N72" s="2"/>
    </row>
    <row r="73" spans="1:14" ht="14.4">
      <c r="A73" s="154" t="s">
        <v>3999</v>
      </c>
      <c r="B73" s="113">
        <v>44252</v>
      </c>
      <c r="C73" s="2" t="s">
        <v>1347</v>
      </c>
      <c r="D73" s="118" t="s">
        <v>1348</v>
      </c>
      <c r="E73" s="114">
        <v>9930571853</v>
      </c>
      <c r="F73" s="2" t="s">
        <v>306</v>
      </c>
      <c r="G73" s="2" t="s">
        <v>6</v>
      </c>
      <c r="H73" s="2" t="s">
        <v>28</v>
      </c>
      <c r="I73" s="2" t="str">
        <f>IFERROR(VLOOKUP($D73,'Sales Data'!$C:$E,4,0),"SAME")</f>
        <v>SAME</v>
      </c>
      <c r="J73" s="2"/>
      <c r="K73" s="2" t="str">
        <f>IFERROR(VLOOKUP($D73,'Sales Data'!$C:$G,6,0),"NA")</f>
        <v>NA</v>
      </c>
      <c r="L73" s="126">
        <v>53100</v>
      </c>
      <c r="M73" s="127">
        <v>44254</v>
      </c>
      <c r="N73" s="3" t="s">
        <v>4512</v>
      </c>
    </row>
    <row r="74" spans="1:14" ht="14.4">
      <c r="A74" s="154" t="s">
        <v>3999</v>
      </c>
      <c r="B74" s="113">
        <v>44252</v>
      </c>
      <c r="C74" s="2" t="s">
        <v>945</v>
      </c>
      <c r="D74" s="118" t="s">
        <v>946</v>
      </c>
      <c r="E74" s="114">
        <v>9790060508</v>
      </c>
      <c r="F74" s="2" t="s">
        <v>303</v>
      </c>
      <c r="G74" s="2" t="s">
        <v>7</v>
      </c>
      <c r="H74" s="2" t="s">
        <v>28</v>
      </c>
      <c r="I74" s="2" t="str">
        <f>IFERROR(VLOOKUP($D74,'Sales Data'!$C:$E,4,0),"SAME")</f>
        <v>SAME</v>
      </c>
      <c r="J74" s="2"/>
      <c r="K74" s="2" t="str">
        <f>IFERROR(VLOOKUP($D74,'Sales Data'!$C:$G,6,0),"NA")</f>
        <v>NA</v>
      </c>
      <c r="L74" s="126">
        <v>53100</v>
      </c>
      <c r="M74" s="127">
        <v>44253</v>
      </c>
      <c r="N74" s="3" t="s">
        <v>4513</v>
      </c>
    </row>
    <row r="75" spans="1:14" ht="14.4">
      <c r="A75" s="154" t="s">
        <v>3999</v>
      </c>
      <c r="B75" s="113">
        <v>44252</v>
      </c>
      <c r="C75" s="2" t="s">
        <v>4514</v>
      </c>
      <c r="D75" s="118" t="s">
        <v>4515</v>
      </c>
      <c r="E75" s="114">
        <v>9848185379</v>
      </c>
      <c r="F75" s="2" t="s">
        <v>291</v>
      </c>
      <c r="G75" s="2" t="s">
        <v>4378</v>
      </c>
      <c r="H75" s="2" t="s">
        <v>26</v>
      </c>
      <c r="I75" s="2" t="str">
        <f>IFERROR(VLOOKUP($D75,'Sales Data'!$C:$E,4,0),"SAME")</f>
        <v>SAME</v>
      </c>
      <c r="J75" s="2"/>
      <c r="K75" s="2" t="str">
        <f>IFERROR(VLOOKUP($D75,'Sales Data'!$C:$G,6,0),"NA")</f>
        <v>NA</v>
      </c>
      <c r="L75" s="2"/>
      <c r="M75" s="2"/>
      <c r="N75" s="2"/>
    </row>
    <row r="76" spans="1:14" ht="14.4">
      <c r="A76" s="154" t="s">
        <v>3999</v>
      </c>
      <c r="B76" s="113">
        <v>44252</v>
      </c>
      <c r="C76" s="2" t="s">
        <v>952</v>
      </c>
      <c r="D76" s="118" t="s">
        <v>953</v>
      </c>
      <c r="E76" s="114">
        <v>8886528883</v>
      </c>
      <c r="F76" s="2" t="s">
        <v>319</v>
      </c>
      <c r="G76" s="2" t="s">
        <v>151</v>
      </c>
      <c r="H76" s="2" t="s">
        <v>28</v>
      </c>
      <c r="I76" s="2" t="str">
        <f>IFERROR(VLOOKUP($D76,'Sales Data'!$C:$E,4,0),"SAME")</f>
        <v>SAME</v>
      </c>
      <c r="J76" s="2"/>
      <c r="K76" s="2" t="str">
        <f>IFERROR(VLOOKUP($D76,'Sales Data'!$C:$G,6,0),"NA")</f>
        <v>NA</v>
      </c>
      <c r="L76" s="126">
        <v>21000</v>
      </c>
      <c r="M76" s="125">
        <v>44256</v>
      </c>
      <c r="N76" s="2"/>
    </row>
    <row r="77" spans="1:14" ht="14.4">
      <c r="A77" s="154" t="s">
        <v>3999</v>
      </c>
      <c r="B77" s="113">
        <v>44252</v>
      </c>
      <c r="C77" s="2" t="s">
        <v>4516</v>
      </c>
      <c r="D77" s="118" t="s">
        <v>959</v>
      </c>
      <c r="E77" s="114">
        <v>9632800337</v>
      </c>
      <c r="F77" s="2" t="s">
        <v>319</v>
      </c>
      <c r="G77" s="2" t="s">
        <v>4378</v>
      </c>
      <c r="H77" s="2" t="s">
        <v>26</v>
      </c>
      <c r="I77" s="2" t="str">
        <f>IFERROR(VLOOKUP($D77,'Sales Data'!$C:$E,4,0),"SAME")</f>
        <v>SAME</v>
      </c>
      <c r="J77" s="2"/>
      <c r="K77" s="2" t="str">
        <f>IFERROR(VLOOKUP($D77,'Sales Data'!$C:$G,6,0),"NA")</f>
        <v>NA</v>
      </c>
      <c r="L77" s="2"/>
      <c r="M77" s="2"/>
      <c r="N77" s="2"/>
    </row>
    <row r="78" spans="1:14" ht="14.4">
      <c r="A78" s="154" t="s">
        <v>3999</v>
      </c>
      <c r="B78" s="113">
        <v>44252</v>
      </c>
      <c r="C78" s="2" t="s">
        <v>926</v>
      </c>
      <c r="D78" s="118" t="s">
        <v>927</v>
      </c>
      <c r="E78" s="114">
        <v>9765000509</v>
      </c>
      <c r="F78" s="2" t="s">
        <v>319</v>
      </c>
      <c r="G78" s="2" t="s">
        <v>150</v>
      </c>
      <c r="H78" s="2" t="s">
        <v>28</v>
      </c>
      <c r="I78" s="2" t="str">
        <f>IFERROR(VLOOKUP($D78,'Sales Data'!$C:$E,4,0),"SAME")</f>
        <v>SAME</v>
      </c>
      <c r="J78" s="2"/>
      <c r="K78" s="2" t="str">
        <f>IFERROR(VLOOKUP($D78,'Sales Data'!$C:$G,6,0),"NA")</f>
        <v>NA</v>
      </c>
      <c r="L78" s="2"/>
      <c r="M78" s="2"/>
      <c r="N78" s="2"/>
    </row>
    <row r="79" spans="1:14" ht="14.4">
      <c r="A79" s="154" t="s">
        <v>3999</v>
      </c>
      <c r="B79" s="113">
        <v>44252</v>
      </c>
      <c r="C79" s="2" t="s">
        <v>4517</v>
      </c>
      <c r="D79" s="118" t="s">
        <v>4518</v>
      </c>
      <c r="E79" s="114">
        <v>8655925846</v>
      </c>
      <c r="F79" s="2" t="s">
        <v>319</v>
      </c>
      <c r="G79" s="2" t="s">
        <v>7</v>
      </c>
      <c r="H79" s="2" t="s">
        <v>26</v>
      </c>
      <c r="I79" s="2" t="str">
        <f>IFERROR(VLOOKUP($D79,'Sales Data'!$C:$E,4,0),"SAME")</f>
        <v>SAME</v>
      </c>
      <c r="J79" s="2"/>
      <c r="K79" s="2" t="str">
        <f>IFERROR(VLOOKUP($D79,'Sales Data'!$C:$G,6,0),"NA")</f>
        <v>NA</v>
      </c>
      <c r="L79" s="2"/>
      <c r="M79" s="2"/>
      <c r="N79" s="2"/>
    </row>
    <row r="80" spans="1:14" ht="14.4">
      <c r="A80" s="154" t="s">
        <v>3999</v>
      </c>
      <c r="B80" s="113">
        <v>44253</v>
      </c>
      <c r="C80" s="2" t="s">
        <v>4519</v>
      </c>
      <c r="D80" s="118" t="s">
        <v>4520</v>
      </c>
      <c r="E80" s="114">
        <v>9441032927</v>
      </c>
      <c r="F80" s="2" t="s">
        <v>287</v>
      </c>
      <c r="G80" s="2" t="s">
        <v>4378</v>
      </c>
      <c r="H80" s="2" t="s">
        <v>26</v>
      </c>
      <c r="I80" s="2" t="str">
        <f>IFERROR(VLOOKUP($D80,'Sales Data'!$C:$E,4,0),"SAME")</f>
        <v>SAME</v>
      </c>
      <c r="J80" s="2"/>
      <c r="K80" s="2" t="str">
        <f>IFERROR(VLOOKUP($D80,'Sales Data'!$C:$G,6,0),"NA")</f>
        <v>NA</v>
      </c>
      <c r="L80" s="2"/>
      <c r="M80" s="2"/>
      <c r="N80" s="2"/>
    </row>
    <row r="81" spans="1:14" ht="14.4">
      <c r="A81" s="154" t="s">
        <v>3999</v>
      </c>
      <c r="B81" s="113">
        <v>44253</v>
      </c>
      <c r="C81" s="2" t="s">
        <v>4521</v>
      </c>
      <c r="D81" s="118" t="s">
        <v>4522</v>
      </c>
      <c r="E81" s="114">
        <v>9845002676</v>
      </c>
      <c r="F81" s="2" t="s">
        <v>303</v>
      </c>
      <c r="G81" s="2" t="s">
        <v>7</v>
      </c>
      <c r="H81" s="2" t="s">
        <v>26</v>
      </c>
      <c r="I81" s="2" t="str">
        <f>IFERROR(VLOOKUP($D81,'Sales Data'!$C:$E,4,0),"SAME")</f>
        <v>SAME</v>
      </c>
      <c r="J81" s="2"/>
      <c r="K81" s="2" t="str">
        <f>IFERROR(VLOOKUP($D81,'Sales Data'!$C:$G,6,0),"NA")</f>
        <v>NA</v>
      </c>
      <c r="L81" s="2"/>
      <c r="M81" s="2"/>
      <c r="N81" s="2"/>
    </row>
    <row r="82" spans="1:14" ht="14.4">
      <c r="A82" s="154" t="s">
        <v>3999</v>
      </c>
      <c r="B82" s="113">
        <v>44253</v>
      </c>
      <c r="C82" s="2" t="s">
        <v>956</v>
      </c>
      <c r="D82" s="118" t="s">
        <v>957</v>
      </c>
      <c r="E82" s="2" t="s">
        <v>1294</v>
      </c>
      <c r="F82" s="2" t="s">
        <v>287</v>
      </c>
      <c r="G82" s="2" t="s">
        <v>151</v>
      </c>
      <c r="H82" s="2" t="s">
        <v>1294</v>
      </c>
      <c r="I82" s="2" t="str">
        <f>IFERROR(VLOOKUP($D82,'Sales Data'!$C:$E,4,0),"SAME")</f>
        <v>SAME</v>
      </c>
      <c r="J82" s="2"/>
      <c r="K82" s="2" t="str">
        <f>IFERROR(VLOOKUP($D82,'Sales Data'!$C:$G,6,0),"NA")</f>
        <v>NA</v>
      </c>
      <c r="L82" s="2"/>
      <c r="M82" s="2"/>
      <c r="N82" s="2"/>
    </row>
    <row r="83" spans="1:14" ht="14.4">
      <c r="A83" s="154" t="s">
        <v>3999</v>
      </c>
      <c r="B83" s="113">
        <v>44253</v>
      </c>
      <c r="C83" s="2" t="s">
        <v>4523</v>
      </c>
      <c r="D83" s="105" t="s">
        <v>4524</v>
      </c>
      <c r="E83" s="114">
        <v>9840043314</v>
      </c>
      <c r="F83" s="2" t="s">
        <v>571</v>
      </c>
      <c r="G83" s="2" t="s">
        <v>7</v>
      </c>
      <c r="H83" s="2" t="s">
        <v>28</v>
      </c>
      <c r="I83" s="2" t="str">
        <f>IFERROR(VLOOKUP($D83,'Sales Data'!$C:$E,4,0),"SAME")</f>
        <v>SAME</v>
      </c>
      <c r="J83" s="2"/>
      <c r="K83" s="2" t="str">
        <f>IFERROR(VLOOKUP($D83,'Sales Data'!$C:$G,6,0),"NA")</f>
        <v>NA</v>
      </c>
      <c r="L83" s="126">
        <v>20500</v>
      </c>
      <c r="M83" s="2"/>
      <c r="N83" s="2"/>
    </row>
    <row r="84" spans="1:14" ht="14.4">
      <c r="A84" s="154" t="s">
        <v>3999</v>
      </c>
      <c r="B84" s="113">
        <v>44253</v>
      </c>
      <c r="C84" s="2" t="s">
        <v>4525</v>
      </c>
      <c r="D84" s="118" t="s">
        <v>4526</v>
      </c>
      <c r="E84" s="114">
        <v>7207710615</v>
      </c>
      <c r="F84" s="2" t="s">
        <v>319</v>
      </c>
      <c r="G84" s="2" t="s">
        <v>7</v>
      </c>
      <c r="H84" s="2" t="s">
        <v>4479</v>
      </c>
      <c r="I84" s="2" t="str">
        <f>IFERROR(VLOOKUP($D84,'Sales Data'!$C:$E,4,0),"SAME")</f>
        <v>SAME</v>
      </c>
      <c r="J84" s="2"/>
      <c r="K84" s="2" t="str">
        <f>IFERROR(VLOOKUP($D84,'Sales Data'!$C:$G,6,0),"NA")</f>
        <v>NA</v>
      </c>
      <c r="L84" s="2"/>
      <c r="M84" s="2"/>
      <c r="N84" s="3" t="s">
        <v>4527</v>
      </c>
    </row>
    <row r="85" spans="1:14" ht="14.4">
      <c r="A85" s="154" t="s">
        <v>3999</v>
      </c>
      <c r="B85" s="113">
        <v>44254</v>
      </c>
      <c r="C85" s="2" t="s">
        <v>4528</v>
      </c>
      <c r="D85" s="118" t="s">
        <v>4529</v>
      </c>
      <c r="E85" s="114">
        <v>7291889013</v>
      </c>
      <c r="F85" s="2" t="s">
        <v>291</v>
      </c>
      <c r="G85" s="2" t="s">
        <v>4378</v>
      </c>
      <c r="H85" s="2" t="s">
        <v>26</v>
      </c>
      <c r="I85" s="2" t="str">
        <f>IFERROR(VLOOKUP($D85,'Sales Data'!$C:$E,4,0),"SAME")</f>
        <v>SAME</v>
      </c>
      <c r="J85" s="2"/>
      <c r="K85" s="2" t="str">
        <f>IFERROR(VLOOKUP($D85,'Sales Data'!$C:$G,6,0),"NA")</f>
        <v>NA</v>
      </c>
      <c r="L85" s="2"/>
      <c r="M85" s="2"/>
      <c r="N85" s="2"/>
    </row>
    <row r="86" spans="1:14" ht="14.4">
      <c r="A86" s="154" t="s">
        <v>3999</v>
      </c>
      <c r="B86" s="113">
        <v>44254</v>
      </c>
      <c r="C86" s="2" t="s">
        <v>4530</v>
      </c>
      <c r="D86" s="118" t="s">
        <v>963</v>
      </c>
      <c r="E86" s="114">
        <v>9818784254</v>
      </c>
      <c r="F86" s="2" t="s">
        <v>303</v>
      </c>
      <c r="G86" s="2" t="s">
        <v>4378</v>
      </c>
      <c r="H86" s="2" t="s">
        <v>28</v>
      </c>
      <c r="I86" s="2" t="str">
        <f>IFERROR(VLOOKUP($D86,'Sales Data'!$C:$E,4,0),"SAME")</f>
        <v>SAME</v>
      </c>
      <c r="J86" s="2"/>
      <c r="K86" s="2" t="str">
        <f>IFERROR(VLOOKUP($D86,'Sales Data'!$C:$G,6,0),"NA")</f>
        <v>NA</v>
      </c>
      <c r="L86" s="126">
        <v>45000</v>
      </c>
      <c r="M86" s="125">
        <v>44265</v>
      </c>
      <c r="N86" s="2"/>
    </row>
    <row r="87" spans="1:14" ht="14.4">
      <c r="A87" s="154" t="s">
        <v>3999</v>
      </c>
      <c r="B87" s="113">
        <v>44254</v>
      </c>
      <c r="C87" s="2" t="s">
        <v>964</v>
      </c>
      <c r="D87" s="118" t="s">
        <v>965</v>
      </c>
      <c r="E87" s="114">
        <v>7676160778</v>
      </c>
      <c r="F87" s="2" t="s">
        <v>319</v>
      </c>
      <c r="G87" s="2" t="s">
        <v>4378</v>
      </c>
      <c r="H87" s="2" t="s">
        <v>28</v>
      </c>
      <c r="I87" s="2" t="str">
        <f>IFERROR(VLOOKUP($D87,'Sales Data'!$C:$E,4,0),"SAME")</f>
        <v>SAME</v>
      </c>
      <c r="J87" s="2"/>
      <c r="K87" s="2" t="str">
        <f>IFERROR(VLOOKUP($D87,'Sales Data'!$C:$G,6,0),"NA")</f>
        <v>NA</v>
      </c>
      <c r="L87" s="126">
        <v>19000</v>
      </c>
      <c r="M87" s="125">
        <v>44262</v>
      </c>
      <c r="N87" s="2"/>
    </row>
    <row r="88" spans="1:14" ht="14.4">
      <c r="A88" s="154" t="s">
        <v>3999</v>
      </c>
      <c r="B88" s="113">
        <v>44254</v>
      </c>
      <c r="C88" s="2" t="s">
        <v>991</v>
      </c>
      <c r="D88" s="118" t="s">
        <v>992</v>
      </c>
      <c r="E88" s="10" t="s">
        <v>4531</v>
      </c>
      <c r="F88" s="2" t="s">
        <v>287</v>
      </c>
      <c r="G88" s="2" t="s">
        <v>4378</v>
      </c>
      <c r="H88" s="2" t="s">
        <v>17</v>
      </c>
      <c r="I88" s="2" t="str">
        <f>IFERROR(VLOOKUP($D88,'Sales Data'!$C:$E,4,0),"SAME")</f>
        <v>SAME</v>
      </c>
      <c r="J88" s="2"/>
      <c r="K88" s="2" t="str">
        <f>IFERROR(VLOOKUP($D88,'Sales Data'!$C:$G,6,0),"NA")</f>
        <v>NA</v>
      </c>
      <c r="L88" s="126">
        <v>45000</v>
      </c>
      <c r="M88" s="139">
        <v>44256</v>
      </c>
      <c r="N88" s="2"/>
    </row>
    <row r="89" spans="1:14" ht="14.4">
      <c r="A89" s="154" t="s">
        <v>3999</v>
      </c>
      <c r="B89" s="113">
        <v>44254</v>
      </c>
      <c r="C89" s="2" t="s">
        <v>4532</v>
      </c>
      <c r="D89" s="118" t="s">
        <v>4533</v>
      </c>
      <c r="E89" s="114">
        <v>9340486657</v>
      </c>
      <c r="F89" s="2" t="s">
        <v>319</v>
      </c>
      <c r="G89" s="2" t="s">
        <v>6</v>
      </c>
      <c r="H89" s="2" t="s">
        <v>26</v>
      </c>
      <c r="I89" s="2" t="str">
        <f>IFERROR(VLOOKUP($D89,'Sales Data'!$C:$E,4,0),"SAME")</f>
        <v>SAME</v>
      </c>
      <c r="J89" s="2"/>
      <c r="K89" s="2" t="str">
        <f>IFERROR(VLOOKUP($D89,'Sales Data'!$C:$G,6,0),"NA")</f>
        <v>NA</v>
      </c>
      <c r="L89" s="2"/>
      <c r="M89" s="2"/>
      <c r="N89" s="2"/>
    </row>
    <row r="90" spans="1:14" ht="14.4">
      <c r="A90" s="154" t="s">
        <v>3999</v>
      </c>
      <c r="B90" s="113">
        <v>44254</v>
      </c>
      <c r="C90" s="2" t="s">
        <v>4534</v>
      </c>
      <c r="D90" s="118" t="s">
        <v>4535</v>
      </c>
      <c r="E90" s="114">
        <v>7359400295</v>
      </c>
      <c r="F90" s="2" t="s">
        <v>291</v>
      </c>
      <c r="G90" s="2" t="s">
        <v>4378</v>
      </c>
      <c r="H90" s="2" t="s">
        <v>4479</v>
      </c>
      <c r="I90" s="2" t="str">
        <f>IFERROR(VLOOKUP($D90,'Sales Data'!$C:$E,4,0),"SAME")</f>
        <v>SAME</v>
      </c>
      <c r="J90" s="2"/>
      <c r="K90" s="2" t="str">
        <f>IFERROR(VLOOKUP($D90,'Sales Data'!$C:$G,6,0),"NA")</f>
        <v>NA</v>
      </c>
      <c r="L90" s="2"/>
      <c r="M90" s="2"/>
      <c r="N90" s="2"/>
    </row>
    <row r="91" spans="1:14" ht="14.4">
      <c r="A91" s="154" t="s">
        <v>3999</v>
      </c>
      <c r="B91" s="113">
        <v>44254</v>
      </c>
      <c r="C91" s="2" t="s">
        <v>4536</v>
      </c>
      <c r="D91" s="118" t="s">
        <v>4537</v>
      </c>
      <c r="E91" s="114">
        <v>9766549664</v>
      </c>
      <c r="F91" s="2" t="s">
        <v>319</v>
      </c>
      <c r="G91" s="2" t="s">
        <v>4378</v>
      </c>
      <c r="H91" s="2" t="s">
        <v>17</v>
      </c>
      <c r="I91" s="2" t="str">
        <f>IFERROR(VLOOKUP($D91,'Sales Data'!$C:$E,4,0),"SAME")</f>
        <v>SAME</v>
      </c>
      <c r="J91" s="2"/>
      <c r="K91" s="2" t="str">
        <f>IFERROR(VLOOKUP($D91,'Sales Data'!$C:$G,6,0),"NA")</f>
        <v>NA</v>
      </c>
      <c r="L91" s="126">
        <v>48000</v>
      </c>
      <c r="M91" s="2"/>
      <c r="N91" s="2"/>
    </row>
    <row r="92" spans="1:14" ht="14.4">
      <c r="A92" s="154" t="s">
        <v>3999</v>
      </c>
      <c r="B92" s="113">
        <v>44255</v>
      </c>
      <c r="C92" s="2" t="s">
        <v>4538</v>
      </c>
      <c r="D92" s="118" t="s">
        <v>4539</v>
      </c>
      <c r="E92" s="2" t="s">
        <v>1294</v>
      </c>
      <c r="F92" s="2" t="s">
        <v>303</v>
      </c>
      <c r="G92" s="2" t="s">
        <v>4378</v>
      </c>
      <c r="H92" s="2" t="s">
        <v>1294</v>
      </c>
      <c r="I92" s="2" t="str">
        <f>IFERROR(VLOOKUP($D92,'Sales Data'!$C:$E,4,0),"SAME")</f>
        <v>SAME</v>
      </c>
      <c r="J92" s="2"/>
      <c r="K92" s="2" t="str">
        <f>IFERROR(VLOOKUP($D92,'Sales Data'!$C:$G,6,0),"NA")</f>
        <v>NA</v>
      </c>
      <c r="L92" s="2"/>
      <c r="M92" s="2"/>
      <c r="N92" s="2"/>
    </row>
    <row r="93" spans="1:14" ht="14.4">
      <c r="A93" s="154" t="s">
        <v>3999</v>
      </c>
      <c r="B93" s="113">
        <v>44255</v>
      </c>
      <c r="C93" s="2" t="s">
        <v>4540</v>
      </c>
      <c r="D93" s="118" t="s">
        <v>4541</v>
      </c>
      <c r="E93" s="114">
        <v>565656565</v>
      </c>
      <c r="F93" s="2" t="s">
        <v>291</v>
      </c>
      <c r="G93" s="2" t="s">
        <v>4378</v>
      </c>
      <c r="H93" s="2" t="s">
        <v>4400</v>
      </c>
      <c r="I93" s="2" t="str">
        <f>IFERROR(VLOOKUP($D93,'Sales Data'!$C:$E,4,0),"SAME")</f>
        <v>SAME</v>
      </c>
      <c r="J93" s="2"/>
      <c r="K93" s="2" t="str">
        <f>IFERROR(VLOOKUP($D93,'Sales Data'!$C:$G,6,0),"NA")</f>
        <v>NA</v>
      </c>
      <c r="L93" s="2"/>
      <c r="M93" s="2"/>
      <c r="N93" s="2"/>
    </row>
    <row r="94" spans="1:14" ht="14.4">
      <c r="A94" s="154" t="s">
        <v>3999</v>
      </c>
      <c r="B94" s="113">
        <v>44255</v>
      </c>
      <c r="C94" s="2" t="s">
        <v>4542</v>
      </c>
      <c r="D94" s="118" t="s">
        <v>4543</v>
      </c>
      <c r="E94" s="114">
        <v>7702501296</v>
      </c>
      <c r="F94" s="2" t="s">
        <v>287</v>
      </c>
      <c r="G94" s="2" t="s">
        <v>4378</v>
      </c>
      <c r="H94" s="2" t="s">
        <v>26</v>
      </c>
      <c r="I94" s="2" t="str">
        <f>IFERROR(VLOOKUP($D94,'Sales Data'!$C:$E,4,0),"SAME")</f>
        <v>SAME</v>
      </c>
      <c r="J94" s="2"/>
      <c r="K94" s="2" t="str">
        <f>IFERROR(VLOOKUP($D94,'Sales Data'!$C:$G,6,0),"NA")</f>
        <v>NA</v>
      </c>
      <c r="L94" s="2"/>
      <c r="M94" s="2"/>
      <c r="N94" s="2"/>
    </row>
    <row r="95" spans="1:14" ht="14.4">
      <c r="A95" s="154" t="s">
        <v>3999</v>
      </c>
      <c r="B95" s="113">
        <v>44255</v>
      </c>
      <c r="C95" s="2" t="s">
        <v>4544</v>
      </c>
      <c r="D95" s="118" t="s">
        <v>4545</v>
      </c>
      <c r="E95" s="114">
        <v>9511820371</v>
      </c>
      <c r="F95" s="2" t="s">
        <v>291</v>
      </c>
      <c r="G95" s="2" t="s">
        <v>4378</v>
      </c>
      <c r="H95" s="2" t="s">
        <v>17</v>
      </c>
      <c r="I95" s="2" t="str">
        <f>IFERROR(VLOOKUP($D95,'Sales Data'!$C:$E,4,0),"SAME")</f>
        <v>SAME</v>
      </c>
      <c r="J95" s="2"/>
      <c r="K95" s="2" t="str">
        <f>IFERROR(VLOOKUP($D95,'Sales Data'!$C:$G,6,0),"NA")</f>
        <v>NA</v>
      </c>
      <c r="L95" s="126">
        <v>53100</v>
      </c>
      <c r="M95" s="2"/>
      <c r="N95" s="3" t="s">
        <v>4546</v>
      </c>
    </row>
    <row r="96" spans="1:14" ht="14.4">
      <c r="A96" s="154" t="s">
        <v>3999</v>
      </c>
      <c r="B96" s="113">
        <v>44255</v>
      </c>
      <c r="C96" s="2" t="s">
        <v>4547</v>
      </c>
      <c r="D96" s="118" t="s">
        <v>4548</v>
      </c>
      <c r="E96" s="114">
        <v>9987544919</v>
      </c>
      <c r="F96" s="2" t="s">
        <v>319</v>
      </c>
      <c r="G96" s="2" t="s">
        <v>6</v>
      </c>
      <c r="H96" s="2" t="s">
        <v>26</v>
      </c>
      <c r="I96" s="2" t="str">
        <f>IFERROR(VLOOKUP($D96,'Sales Data'!$C:$E,4,0),"SAME")</f>
        <v>SAME</v>
      </c>
      <c r="J96" s="2"/>
      <c r="K96" s="2" t="str">
        <f>IFERROR(VLOOKUP($D96,'Sales Data'!$C:$G,6,0),"NA")</f>
        <v>NA</v>
      </c>
      <c r="L96" s="2"/>
      <c r="M96" s="2"/>
      <c r="N96" s="2"/>
    </row>
    <row r="97" spans="1:14" ht="14.4">
      <c r="A97" s="154" t="s">
        <v>3999</v>
      </c>
      <c r="B97" s="113">
        <v>44255</v>
      </c>
      <c r="C97" s="2" t="s">
        <v>950</v>
      </c>
      <c r="D97" s="118" t="s">
        <v>951</v>
      </c>
      <c r="E97" s="114">
        <v>9914600941</v>
      </c>
      <c r="F97" s="2" t="s">
        <v>319</v>
      </c>
      <c r="G97" s="2" t="s">
        <v>7</v>
      </c>
      <c r="H97" s="2" t="s">
        <v>28</v>
      </c>
      <c r="I97" s="2" t="str">
        <f>IFERROR(VLOOKUP($D97,'Sales Data'!$C:$E,4,0),"SAME")</f>
        <v>SAME</v>
      </c>
      <c r="J97" s="2"/>
      <c r="K97" s="2" t="str">
        <f>IFERROR(VLOOKUP($D97,'Sales Data'!$C:$G,6,0),"NA")</f>
        <v>NA</v>
      </c>
      <c r="L97" s="126">
        <v>20000</v>
      </c>
      <c r="M97" s="125">
        <v>44256</v>
      </c>
      <c r="N97" s="3" t="s">
        <v>4549</v>
      </c>
    </row>
    <row r="98" spans="1:14" ht="14.4">
      <c r="A98" s="154" t="s">
        <v>3999</v>
      </c>
      <c r="B98" s="113">
        <v>44255</v>
      </c>
      <c r="C98" s="2" t="s">
        <v>4550</v>
      </c>
      <c r="D98" s="118" t="s">
        <v>4551</v>
      </c>
      <c r="E98" s="114">
        <v>8800117488</v>
      </c>
      <c r="F98" s="2" t="s">
        <v>319</v>
      </c>
      <c r="G98" s="2" t="s">
        <v>6</v>
      </c>
      <c r="H98" s="2" t="s">
        <v>28</v>
      </c>
      <c r="I98" s="2" t="str">
        <f>IFERROR(VLOOKUP($D98,'Sales Data'!$C:$E,4,0),"SAME")</f>
        <v>SAME</v>
      </c>
      <c r="J98" s="2"/>
      <c r="K98" s="2" t="str">
        <f>IFERROR(VLOOKUP($D98,'Sales Data'!$C:$G,6,0),"NA")</f>
        <v>NA</v>
      </c>
      <c r="L98" s="126">
        <v>50000</v>
      </c>
      <c r="M98" s="2"/>
      <c r="N98" s="2"/>
    </row>
    <row r="99" spans="1:14" ht="14.4">
      <c r="A99" s="154" t="s">
        <v>4000</v>
      </c>
      <c r="B99" s="113">
        <v>44200</v>
      </c>
      <c r="C99" s="2" t="s">
        <v>4552</v>
      </c>
      <c r="D99" s="155" t="s">
        <v>4553</v>
      </c>
      <c r="E99" s="114">
        <v>9880440503</v>
      </c>
      <c r="F99" s="2" t="s">
        <v>303</v>
      </c>
      <c r="G99" s="2" t="s">
        <v>4378</v>
      </c>
      <c r="H99" s="2" t="s">
        <v>17</v>
      </c>
      <c r="I99" s="2" t="str">
        <f>IFERROR(VLOOKUP($D99,'Sales Data'!$C:$E,4,0),"SAME")</f>
        <v>SAME</v>
      </c>
      <c r="J99" s="2"/>
      <c r="K99" s="2" t="str">
        <f>IFERROR(VLOOKUP($D99,'Sales Data'!$C:$G,6,0),"NA")</f>
        <v>NA</v>
      </c>
      <c r="L99" s="126">
        <v>45000</v>
      </c>
      <c r="M99" s="2"/>
      <c r="N99" s="3" t="s">
        <v>4554</v>
      </c>
    </row>
    <row r="100" spans="1:14" ht="14.4">
      <c r="A100" s="154" t="s">
        <v>4000</v>
      </c>
      <c r="B100" s="113">
        <v>44201</v>
      </c>
      <c r="C100" s="2" t="s">
        <v>780</v>
      </c>
      <c r="D100" s="155" t="s">
        <v>781</v>
      </c>
      <c r="E100" s="114">
        <v>7829448160</v>
      </c>
      <c r="F100" s="2" t="s">
        <v>303</v>
      </c>
      <c r="G100" s="2" t="s">
        <v>4378</v>
      </c>
      <c r="H100" s="3" t="s">
        <v>4371</v>
      </c>
      <c r="I100" s="2" t="str">
        <f>IFERROR(VLOOKUP($D100,'Sales Data'!$C:$E,4,0),"SAME")</f>
        <v>SAME</v>
      </c>
      <c r="J100" s="2"/>
      <c r="K100" s="2" t="str">
        <f>IFERROR(VLOOKUP($D100,'Sales Data'!$C:$G,6,0),"NA")</f>
        <v>NA</v>
      </c>
      <c r="L100" s="126">
        <v>50000</v>
      </c>
      <c r="M100" s="2"/>
      <c r="N100" s="3" t="s">
        <v>4555</v>
      </c>
    </row>
    <row r="101" spans="1:14" ht="14.4">
      <c r="A101" s="154" t="s">
        <v>4000</v>
      </c>
      <c r="B101" s="113">
        <v>44202</v>
      </c>
      <c r="C101" s="2" t="s">
        <v>4556</v>
      </c>
      <c r="D101" s="155" t="s">
        <v>4557</v>
      </c>
      <c r="E101" s="114">
        <v>7043042651</v>
      </c>
      <c r="F101" s="2" t="s">
        <v>941</v>
      </c>
      <c r="G101" s="2" t="s">
        <v>150</v>
      </c>
      <c r="H101" s="2" t="s">
        <v>13</v>
      </c>
      <c r="I101" s="2" t="str">
        <f>IFERROR(VLOOKUP($D101,'Sales Data'!$C:$E,4,0),"SAME")</f>
        <v>SAME</v>
      </c>
      <c r="J101" s="2"/>
      <c r="K101" s="2" t="str">
        <f>IFERROR(VLOOKUP($D101,'Sales Data'!$C:$G,6,0),"NA")</f>
        <v>NA</v>
      </c>
      <c r="L101" s="2"/>
      <c r="M101" s="2"/>
      <c r="N101" s="2" t="s">
        <v>4558</v>
      </c>
    </row>
    <row r="102" spans="1:14" ht="14.4">
      <c r="A102" s="154" t="s">
        <v>4000</v>
      </c>
      <c r="B102" s="113">
        <v>44202</v>
      </c>
      <c r="C102" s="2" t="s">
        <v>663</v>
      </c>
      <c r="D102" s="155" t="s">
        <v>664</v>
      </c>
      <c r="E102" s="114">
        <v>8860477748</v>
      </c>
      <c r="F102" s="2" t="s">
        <v>319</v>
      </c>
      <c r="G102" s="2" t="s">
        <v>4378</v>
      </c>
      <c r="H102" s="3" t="s">
        <v>4371</v>
      </c>
      <c r="I102" s="2" t="str">
        <f>IFERROR(VLOOKUP($D102,'Sales Data'!$C:$E,4,0),"SAME")</f>
        <v>SAME</v>
      </c>
      <c r="J102" s="2"/>
      <c r="K102" s="2" t="str">
        <f>IFERROR(VLOOKUP($D102,'Sales Data'!$C:$G,6,0),"NA")</f>
        <v>NA</v>
      </c>
      <c r="L102" s="126">
        <v>48000</v>
      </c>
      <c r="M102" s="2"/>
      <c r="N102" s="3" t="s">
        <v>4559</v>
      </c>
    </row>
    <row r="103" spans="1:14" ht="14.4">
      <c r="A103" s="154" t="s">
        <v>4000</v>
      </c>
      <c r="B103" s="113">
        <v>44202</v>
      </c>
      <c r="C103" s="2" t="s">
        <v>4560</v>
      </c>
      <c r="D103" s="155" t="s">
        <v>4561</v>
      </c>
      <c r="E103" s="114">
        <v>8860005430</v>
      </c>
      <c r="F103" s="2" t="s">
        <v>319</v>
      </c>
      <c r="G103" s="2" t="s">
        <v>4378</v>
      </c>
      <c r="H103" s="2" t="s">
        <v>13</v>
      </c>
      <c r="I103" s="2" t="str">
        <f>IFERROR(VLOOKUP($D103,'Sales Data'!$C:$E,4,0),"SAME")</f>
        <v>SAME</v>
      </c>
      <c r="J103" s="2"/>
      <c r="K103" s="2" t="str">
        <f>IFERROR(VLOOKUP($D103,'Sales Data'!$C:$G,6,0),"NA")</f>
        <v>NA</v>
      </c>
      <c r="L103" s="2"/>
      <c r="M103" s="2"/>
      <c r="N103" s="3" t="s">
        <v>4562</v>
      </c>
    </row>
    <row r="104" spans="1:14" ht="14.4">
      <c r="A104" s="154" t="s">
        <v>4000</v>
      </c>
      <c r="B104" s="113">
        <v>44203</v>
      </c>
      <c r="C104" s="2" t="s">
        <v>4563</v>
      </c>
      <c r="D104" s="155" t="s">
        <v>4564</v>
      </c>
      <c r="E104" s="114">
        <v>8073706627</v>
      </c>
      <c r="F104" s="2" t="s">
        <v>303</v>
      </c>
      <c r="G104" s="2" t="s">
        <v>4378</v>
      </c>
      <c r="H104" s="2" t="s">
        <v>17</v>
      </c>
      <c r="I104" s="2" t="str">
        <f>IFERROR(VLOOKUP($D104,'Sales Data'!$C:$E,4,0),"SAME")</f>
        <v>SAME</v>
      </c>
      <c r="J104" s="2"/>
      <c r="K104" s="2" t="str">
        <f>IFERROR(VLOOKUP($D104,'Sales Data'!$C:$G,6,0),"NA")</f>
        <v>NA</v>
      </c>
      <c r="L104" s="2"/>
      <c r="M104" s="2"/>
      <c r="N104" s="2"/>
    </row>
    <row r="105" spans="1:14" ht="14.4">
      <c r="A105" s="154" t="s">
        <v>4000</v>
      </c>
      <c r="B105" s="113">
        <v>44204</v>
      </c>
      <c r="C105" s="2" t="s">
        <v>4565</v>
      </c>
      <c r="D105" s="155" t="s">
        <v>4566</v>
      </c>
      <c r="E105" s="114">
        <v>7011154408</v>
      </c>
      <c r="F105" s="2" t="s">
        <v>303</v>
      </c>
      <c r="G105" s="2" t="s">
        <v>6</v>
      </c>
      <c r="H105" s="2" t="s">
        <v>17</v>
      </c>
      <c r="I105" s="2" t="str">
        <f>IFERROR(VLOOKUP($D105,'Sales Data'!$C:$E,4,0),"SAME")</f>
        <v>SAME</v>
      </c>
      <c r="J105" s="2"/>
      <c r="K105" s="2" t="str">
        <f>IFERROR(VLOOKUP($D105,'Sales Data'!$C:$G,6,0),"NA")</f>
        <v>NA</v>
      </c>
      <c r="L105" s="2"/>
      <c r="M105" s="2"/>
      <c r="N105" s="3" t="s">
        <v>4567</v>
      </c>
    </row>
    <row r="106" spans="1:14" ht="14.4">
      <c r="A106" s="154" t="s">
        <v>4000</v>
      </c>
      <c r="B106" s="113">
        <v>44206</v>
      </c>
      <c r="C106" s="2" t="s">
        <v>4568</v>
      </c>
      <c r="D106" s="155" t="s">
        <v>4569</v>
      </c>
      <c r="E106" s="10" t="s">
        <v>4570</v>
      </c>
      <c r="F106" s="2" t="s">
        <v>291</v>
      </c>
      <c r="G106" s="2" t="s">
        <v>4378</v>
      </c>
      <c r="H106" s="3" t="s">
        <v>3996</v>
      </c>
      <c r="I106" s="2" t="str">
        <f>IFERROR(VLOOKUP($D106,'Sales Data'!$C:$E,4,0),"SAME")</f>
        <v>SAME</v>
      </c>
      <c r="J106" s="2"/>
      <c r="K106" s="2" t="str">
        <f>IFERROR(VLOOKUP($D106,'Sales Data'!$C:$G,6,0),"NA")</f>
        <v>NA</v>
      </c>
      <c r="L106" s="2"/>
      <c r="M106" s="2"/>
      <c r="N106" s="3" t="s">
        <v>4571</v>
      </c>
    </row>
    <row r="107" spans="1:14" ht="14.4">
      <c r="A107" s="154" t="s">
        <v>4000</v>
      </c>
      <c r="B107" s="113">
        <v>44206</v>
      </c>
      <c r="C107" s="2" t="s">
        <v>4572</v>
      </c>
      <c r="D107" s="118" t="s">
        <v>4573</v>
      </c>
      <c r="E107" s="114">
        <v>8971030530</v>
      </c>
      <c r="F107" s="2" t="s">
        <v>287</v>
      </c>
      <c r="G107" s="2" t="s">
        <v>4378</v>
      </c>
      <c r="H107" s="2" t="s">
        <v>17</v>
      </c>
      <c r="I107" s="2" t="str">
        <f>IFERROR(VLOOKUP($D107,'Sales Data'!$C:$E,4,0),"SAME")</f>
        <v>SAME</v>
      </c>
      <c r="J107" s="2"/>
      <c r="K107" s="2" t="str">
        <f>IFERROR(VLOOKUP($D107,'Sales Data'!$C:$G,6,0),"NA")</f>
        <v>NA</v>
      </c>
      <c r="L107" s="2"/>
      <c r="M107" s="2"/>
      <c r="N107" s="2"/>
    </row>
    <row r="108" spans="1:14" ht="14.4">
      <c r="A108" s="154" t="s">
        <v>4000</v>
      </c>
      <c r="B108" s="113">
        <v>44207</v>
      </c>
      <c r="C108" s="2" t="s">
        <v>4574</v>
      </c>
      <c r="D108" s="155" t="s">
        <v>4575</v>
      </c>
      <c r="E108" s="114">
        <v>9881060029</v>
      </c>
      <c r="F108" s="2" t="s">
        <v>303</v>
      </c>
      <c r="G108" s="2" t="s">
        <v>6</v>
      </c>
      <c r="H108" s="2" t="s">
        <v>17</v>
      </c>
      <c r="I108" s="2" t="str">
        <f>IFERROR(VLOOKUP($D108,'Sales Data'!$C:$E,4,0),"SAME")</f>
        <v>SAME</v>
      </c>
      <c r="J108" s="2"/>
      <c r="K108" s="2" t="str">
        <f>IFERROR(VLOOKUP($D108,'Sales Data'!$C:$G,6,0),"NA")</f>
        <v>NA</v>
      </c>
      <c r="L108" s="2"/>
      <c r="M108" s="2"/>
      <c r="N108" s="2"/>
    </row>
    <row r="109" spans="1:14" ht="14.4">
      <c r="A109" s="154" t="s">
        <v>4000</v>
      </c>
      <c r="B109" s="113">
        <v>44207</v>
      </c>
      <c r="C109" s="2" t="s">
        <v>4576</v>
      </c>
      <c r="D109" s="155" t="s">
        <v>4577</v>
      </c>
      <c r="E109" s="114">
        <v>9884492302</v>
      </c>
      <c r="F109" s="2" t="s">
        <v>303</v>
      </c>
      <c r="G109" s="2" t="s">
        <v>7</v>
      </c>
      <c r="H109" s="2" t="s">
        <v>17</v>
      </c>
      <c r="I109" s="2" t="str">
        <f>IFERROR(VLOOKUP($D109,'Sales Data'!$C:$E,4,0),"SAME")</f>
        <v>SAME</v>
      </c>
      <c r="J109" s="2"/>
      <c r="K109" s="2" t="str">
        <f>IFERROR(VLOOKUP($D109,'Sales Data'!$C:$G,6,0),"NA")</f>
        <v>NA</v>
      </c>
      <c r="L109" s="2"/>
      <c r="M109" s="2"/>
      <c r="N109" s="3" t="s">
        <v>4578</v>
      </c>
    </row>
    <row r="110" spans="1:14" ht="14.4">
      <c r="A110" s="154" t="s">
        <v>4000</v>
      </c>
      <c r="B110" s="113">
        <v>44209</v>
      </c>
      <c r="C110" s="2" t="s">
        <v>694</v>
      </c>
      <c r="D110" s="155" t="s">
        <v>695</v>
      </c>
      <c r="E110" s="114">
        <v>9836589487</v>
      </c>
      <c r="F110" s="2" t="s">
        <v>319</v>
      </c>
      <c r="G110" s="2" t="s">
        <v>6</v>
      </c>
      <c r="H110" s="3" t="s">
        <v>4579</v>
      </c>
      <c r="I110" s="2" t="str">
        <f>IFERROR(VLOOKUP($D110,'Sales Data'!$C:$E,4,0),"SAME")</f>
        <v>SAME</v>
      </c>
      <c r="J110" s="2"/>
      <c r="K110" s="2" t="str">
        <f>IFERROR(VLOOKUP($D110,'Sales Data'!$C:$G,6,0),"NA")</f>
        <v>NA</v>
      </c>
      <c r="L110" s="2"/>
      <c r="M110" s="2"/>
      <c r="N110" s="3" t="s">
        <v>4580</v>
      </c>
    </row>
    <row r="111" spans="1:14" ht="14.4">
      <c r="A111" s="154" t="s">
        <v>4000</v>
      </c>
      <c r="B111" s="113">
        <v>44211</v>
      </c>
      <c r="C111" s="2" t="s">
        <v>701</v>
      </c>
      <c r="D111" s="155" t="s">
        <v>702</v>
      </c>
      <c r="E111" s="114">
        <v>9849063535</v>
      </c>
      <c r="F111" s="2" t="s">
        <v>319</v>
      </c>
      <c r="G111" s="2" t="s">
        <v>150</v>
      </c>
      <c r="H111" s="2" t="s">
        <v>13</v>
      </c>
      <c r="I111" s="2" t="str">
        <f>IFERROR(VLOOKUP($D111,'Sales Data'!$C:$E,4,0),"SAME")</f>
        <v>SAME</v>
      </c>
      <c r="J111" s="2"/>
      <c r="K111" s="2" t="str">
        <f>IFERROR(VLOOKUP($D111,'Sales Data'!$C:$G,6,0),"NA")</f>
        <v>NA</v>
      </c>
      <c r="L111" s="2"/>
      <c r="M111" s="2"/>
      <c r="N111" s="3" t="s">
        <v>4571</v>
      </c>
    </row>
    <row r="112" spans="1:14" ht="14.4">
      <c r="A112" s="154" t="s">
        <v>4000</v>
      </c>
      <c r="B112" s="113">
        <v>44212</v>
      </c>
      <c r="C112" s="2" t="s">
        <v>4581</v>
      </c>
      <c r="D112" s="155" t="s">
        <v>4582</v>
      </c>
      <c r="E112" s="114">
        <v>8552036397</v>
      </c>
      <c r="F112" s="2" t="s">
        <v>303</v>
      </c>
      <c r="G112" s="2" t="s">
        <v>4378</v>
      </c>
      <c r="H112" s="2" t="s">
        <v>3997</v>
      </c>
      <c r="I112" s="2" t="str">
        <f>IFERROR(VLOOKUP($D112,'Sales Data'!$C:$E,4,0),"SAME")</f>
        <v>SAME</v>
      </c>
      <c r="J112" s="2"/>
      <c r="K112" s="2" t="str">
        <f>IFERROR(VLOOKUP($D112,'Sales Data'!$C:$G,6,0),"NA")</f>
        <v>NA</v>
      </c>
      <c r="L112" s="2"/>
      <c r="M112" s="2"/>
      <c r="N112" s="3" t="s">
        <v>4419</v>
      </c>
    </row>
    <row r="113" spans="1:14" ht="14.4">
      <c r="A113" s="154" t="s">
        <v>4000</v>
      </c>
      <c r="B113" s="113">
        <v>44213</v>
      </c>
      <c r="C113" s="2" t="s">
        <v>4583</v>
      </c>
      <c r="D113" s="155" t="s">
        <v>720</v>
      </c>
      <c r="E113" s="114">
        <v>9014029331</v>
      </c>
      <c r="F113" s="2" t="s">
        <v>303</v>
      </c>
      <c r="G113" s="2" t="s">
        <v>4378</v>
      </c>
      <c r="H113" s="3" t="s">
        <v>4371</v>
      </c>
      <c r="I113" s="2" t="str">
        <f>IFERROR(VLOOKUP($D113,'Sales Data'!$C:$E,4,0),"SAME")</f>
        <v>SAME</v>
      </c>
      <c r="J113" s="2"/>
      <c r="K113" s="2" t="str">
        <f>IFERROR(VLOOKUP($D113,'Sales Data'!$C:$G,6,0),"NA")</f>
        <v>NA</v>
      </c>
      <c r="L113" s="126">
        <v>53100</v>
      </c>
      <c r="M113" s="2"/>
      <c r="N113" s="3" t="s">
        <v>4584</v>
      </c>
    </row>
    <row r="114" spans="1:14" ht="14.4">
      <c r="A114" s="154" t="s">
        <v>4000</v>
      </c>
      <c r="B114" s="113">
        <v>44214</v>
      </c>
      <c r="C114" s="2" t="s">
        <v>4585</v>
      </c>
      <c r="D114" s="155" t="s">
        <v>4586</v>
      </c>
      <c r="E114" s="114">
        <v>7030175730</v>
      </c>
      <c r="F114" s="2" t="s">
        <v>303</v>
      </c>
      <c r="G114" s="2" t="s">
        <v>4378</v>
      </c>
      <c r="H114" s="2" t="s">
        <v>17</v>
      </c>
      <c r="I114" s="2" t="str">
        <f>IFERROR(VLOOKUP($D114,'Sales Data'!$C:$E,4,0),"SAME")</f>
        <v>SAME</v>
      </c>
      <c r="J114" s="2"/>
      <c r="K114" s="2" t="str">
        <f>IFERROR(VLOOKUP($D114,'Sales Data'!$C:$G,6,0),"NA")</f>
        <v>NA</v>
      </c>
      <c r="L114" s="2"/>
      <c r="M114" s="2"/>
      <c r="N114" s="2"/>
    </row>
    <row r="115" spans="1:14" ht="14.4">
      <c r="A115" s="154" t="s">
        <v>4000</v>
      </c>
      <c r="B115" s="113">
        <v>44214</v>
      </c>
      <c r="C115" s="2" t="s">
        <v>4587</v>
      </c>
      <c r="D115" s="155" t="s">
        <v>4588</v>
      </c>
      <c r="E115" s="10" t="s">
        <v>1294</v>
      </c>
      <c r="F115" s="2" t="s">
        <v>303</v>
      </c>
      <c r="G115" s="2" t="s">
        <v>4378</v>
      </c>
      <c r="H115" s="2" t="s">
        <v>1294</v>
      </c>
      <c r="I115" s="2" t="str">
        <f>IFERROR(VLOOKUP($D115,'Sales Data'!$C:$E,4,0),"SAME")</f>
        <v>SAME</v>
      </c>
      <c r="J115" s="2"/>
      <c r="K115" s="2" t="str">
        <f>IFERROR(VLOOKUP($D115,'Sales Data'!$C:$G,6,0),"NA")</f>
        <v>NA</v>
      </c>
      <c r="L115" s="2"/>
      <c r="M115" s="2"/>
      <c r="N115" s="3" t="s">
        <v>4589</v>
      </c>
    </row>
    <row r="116" spans="1:14" ht="14.4">
      <c r="A116" s="154" t="s">
        <v>4000</v>
      </c>
      <c r="B116" s="113">
        <v>44215</v>
      </c>
      <c r="C116" s="2" t="s">
        <v>725</v>
      </c>
      <c r="D116" s="155" t="s">
        <v>726</v>
      </c>
      <c r="E116" s="114">
        <v>9776824254</v>
      </c>
      <c r="F116" s="2" t="s">
        <v>941</v>
      </c>
      <c r="G116" s="2" t="s">
        <v>4378</v>
      </c>
      <c r="H116" s="2" t="s">
        <v>4479</v>
      </c>
      <c r="I116" s="2" t="str">
        <f>IFERROR(VLOOKUP($D116,'Sales Data'!$C:$E,4,0),"SAME")</f>
        <v>SAME</v>
      </c>
      <c r="J116" s="2"/>
      <c r="K116" s="2" t="str">
        <f>IFERROR(VLOOKUP($D116,'Sales Data'!$C:$G,6,0),"NA")</f>
        <v>NA</v>
      </c>
      <c r="L116" s="2"/>
      <c r="M116" s="2"/>
      <c r="N116" s="3" t="s">
        <v>4590</v>
      </c>
    </row>
    <row r="117" spans="1:14" ht="14.4">
      <c r="A117" s="154" t="s">
        <v>4000</v>
      </c>
      <c r="B117" s="113">
        <v>44216</v>
      </c>
      <c r="C117" s="2" t="s">
        <v>734</v>
      </c>
      <c r="D117" s="155" t="s">
        <v>735</v>
      </c>
      <c r="E117" s="114">
        <v>9566254926</v>
      </c>
      <c r="F117" s="2" t="s">
        <v>303</v>
      </c>
      <c r="G117" s="2" t="s">
        <v>7</v>
      </c>
      <c r="H117" s="2" t="s">
        <v>17</v>
      </c>
      <c r="I117" s="2" t="str">
        <f>IFERROR(VLOOKUP($D117,'Sales Data'!$C:$E,4,0),"SAME")</f>
        <v>SAME</v>
      </c>
      <c r="J117" s="2"/>
      <c r="K117" s="2" t="str">
        <f>IFERROR(VLOOKUP($D117,'Sales Data'!$C:$G,6,0),"NA")</f>
        <v>NA</v>
      </c>
      <c r="L117" s="2"/>
      <c r="M117" s="2"/>
      <c r="N117" s="2"/>
    </row>
    <row r="118" spans="1:14" ht="14.4">
      <c r="A118" s="154" t="s">
        <v>4000</v>
      </c>
      <c r="B118" s="113">
        <v>44217</v>
      </c>
      <c r="C118" s="2" t="s">
        <v>1203</v>
      </c>
      <c r="D118" s="155" t="s">
        <v>4591</v>
      </c>
      <c r="E118" s="114">
        <v>9820138523</v>
      </c>
      <c r="F118" s="2" t="s">
        <v>941</v>
      </c>
      <c r="G118" s="2" t="s">
        <v>150</v>
      </c>
      <c r="H118" s="3" t="s">
        <v>4371</v>
      </c>
      <c r="I118" s="2" t="str">
        <f>IFERROR(VLOOKUP($D118,'Sales Data'!$C:$E,4,0),"SAME")</f>
        <v>SAME</v>
      </c>
      <c r="J118" s="2"/>
      <c r="K118" s="2" t="str">
        <f>IFERROR(VLOOKUP($D118,'Sales Data'!$C:$G,6,0),"NA")</f>
        <v>NA</v>
      </c>
      <c r="L118" s="126">
        <v>21000</v>
      </c>
      <c r="M118" s="2"/>
      <c r="N118" s="3" t="s">
        <v>4592</v>
      </c>
    </row>
    <row r="119" spans="1:14" ht="14.4">
      <c r="A119" s="154" t="s">
        <v>4000</v>
      </c>
      <c r="B119" s="113">
        <v>44218</v>
      </c>
      <c r="C119" s="2" t="s">
        <v>703</v>
      </c>
      <c r="D119" s="118" t="s">
        <v>4593</v>
      </c>
      <c r="E119" s="158">
        <v>9172613019</v>
      </c>
      <c r="F119" s="2" t="s">
        <v>495</v>
      </c>
      <c r="G119" s="2" t="s">
        <v>6</v>
      </c>
      <c r="H119" s="2" t="s">
        <v>17</v>
      </c>
      <c r="I119" s="2" t="str">
        <f>IFERROR(VLOOKUP($D119,'Sales Data'!$C:$E,4,0),"SAME")</f>
        <v>SAME</v>
      </c>
      <c r="J119" s="2"/>
      <c r="K119" s="2" t="str">
        <f>IFERROR(VLOOKUP($D119,'Sales Data'!$C:$G,6,0),"NA")</f>
        <v>NA</v>
      </c>
      <c r="L119" s="2"/>
      <c r="M119" s="2"/>
      <c r="N119" s="2"/>
    </row>
    <row r="120" spans="1:14" ht="14.4">
      <c r="A120" s="154" t="s">
        <v>4002</v>
      </c>
      <c r="B120" s="113">
        <v>44256</v>
      </c>
      <c r="C120" s="2" t="s">
        <v>969</v>
      </c>
      <c r="D120" s="118" t="s">
        <v>970</v>
      </c>
      <c r="E120" s="114">
        <v>9051809380</v>
      </c>
      <c r="F120" s="2" t="s">
        <v>303</v>
      </c>
      <c r="G120" s="2" t="s">
        <v>7</v>
      </c>
      <c r="H120" s="2" t="s">
        <v>28</v>
      </c>
      <c r="I120" s="2" t="str">
        <f>IFERROR(VLOOKUP($D120,'Sales Data'!$C:$E,4,0),"SAME")</f>
        <v>SAME</v>
      </c>
      <c r="J120" s="2"/>
      <c r="K120" s="2" t="str">
        <f>IFERROR(VLOOKUP($D120,'Sales Data'!$C:$G,6,0),"NA")</f>
        <v>NA</v>
      </c>
      <c r="L120" s="126">
        <v>53100</v>
      </c>
      <c r="M120" s="139">
        <v>44256</v>
      </c>
      <c r="N120" s="3" t="s">
        <v>4594</v>
      </c>
    </row>
    <row r="121" spans="1:14" ht="14.4">
      <c r="A121" s="154" t="s">
        <v>4002</v>
      </c>
      <c r="B121" s="113">
        <v>44256</v>
      </c>
      <c r="C121" s="2" t="s">
        <v>4595</v>
      </c>
      <c r="D121" s="118" t="s">
        <v>4596</v>
      </c>
      <c r="E121" s="114">
        <v>9373511753</v>
      </c>
      <c r="F121" s="2" t="s">
        <v>319</v>
      </c>
      <c r="G121" s="2" t="s">
        <v>4378</v>
      </c>
      <c r="H121" s="2" t="s">
        <v>26</v>
      </c>
      <c r="I121" s="2" t="str">
        <f>IFERROR(VLOOKUP($D121,'Sales Data'!$C:$E,4,0),"SAME")</f>
        <v>SAME</v>
      </c>
      <c r="J121" s="2"/>
      <c r="K121" s="2" t="str">
        <f>IFERROR(VLOOKUP($D121,'Sales Data'!$C:$G,6,0),"NA")</f>
        <v>NA</v>
      </c>
      <c r="L121" s="2"/>
      <c r="M121" s="2"/>
      <c r="N121" s="2"/>
    </row>
    <row r="122" spans="1:14" ht="14.4">
      <c r="A122" s="154" t="s">
        <v>4002</v>
      </c>
      <c r="B122" s="113">
        <v>44256</v>
      </c>
      <c r="C122" s="2" t="s">
        <v>3097</v>
      </c>
      <c r="D122" s="118" t="s">
        <v>4597</v>
      </c>
      <c r="E122" s="114">
        <v>7095011100</v>
      </c>
      <c r="F122" s="2" t="s">
        <v>291</v>
      </c>
      <c r="G122" s="2" t="s">
        <v>4378</v>
      </c>
      <c r="H122" s="2" t="s">
        <v>17</v>
      </c>
      <c r="I122" s="2" t="str">
        <f>IFERROR(VLOOKUP($D122,'Sales Data'!$C:$E,4,0),"SAME")</f>
        <v>SAME</v>
      </c>
      <c r="J122" s="2"/>
      <c r="K122" s="2" t="str">
        <f>IFERROR(VLOOKUP($D122,'Sales Data'!$C:$G,6,0),"NA")</f>
        <v>NA</v>
      </c>
      <c r="L122" s="2"/>
      <c r="M122" s="2"/>
      <c r="N122" s="3" t="s">
        <v>4598</v>
      </c>
    </row>
    <row r="123" spans="1:14" ht="14.4">
      <c r="A123" s="154" t="s">
        <v>4002</v>
      </c>
      <c r="B123" s="113">
        <v>44256</v>
      </c>
      <c r="C123" s="2" t="s">
        <v>1121</v>
      </c>
      <c r="D123" s="118" t="s">
        <v>1122</v>
      </c>
      <c r="E123" s="114">
        <v>9742260607</v>
      </c>
      <c r="F123" s="2" t="s">
        <v>319</v>
      </c>
      <c r="G123" s="2" t="s">
        <v>4378</v>
      </c>
      <c r="H123" s="2" t="s">
        <v>17</v>
      </c>
      <c r="I123" s="2" t="str">
        <f>IFERROR(VLOOKUP($D123,'Sales Data'!$C:$E,4,0),"SAME")</f>
        <v>SAME</v>
      </c>
      <c r="J123" s="2"/>
      <c r="K123" s="2" t="str">
        <f>IFERROR(VLOOKUP($D123,'Sales Data'!$C:$G,6,0),"NA")</f>
        <v>NA</v>
      </c>
      <c r="L123" s="126">
        <v>45000</v>
      </c>
      <c r="M123" s="2"/>
      <c r="N123" s="3" t="s">
        <v>4599</v>
      </c>
    </row>
    <row r="124" spans="1:14" ht="14.4">
      <c r="A124" s="154" t="s">
        <v>4002</v>
      </c>
      <c r="B124" s="113">
        <v>44256</v>
      </c>
      <c r="C124" s="2" t="s">
        <v>1507</v>
      </c>
      <c r="D124" s="118" t="s">
        <v>4600</v>
      </c>
      <c r="E124" s="114">
        <v>9879526794</v>
      </c>
      <c r="F124" s="2" t="s">
        <v>291</v>
      </c>
      <c r="G124" s="2" t="s">
        <v>4378</v>
      </c>
      <c r="H124" s="2" t="s">
        <v>26</v>
      </c>
      <c r="I124" s="2" t="str">
        <f>IFERROR(VLOOKUP($D124,'Sales Data'!$C:$E,4,0),"SAME")</f>
        <v>SAME</v>
      </c>
      <c r="J124" s="2"/>
      <c r="K124" s="2" t="str">
        <f>IFERROR(VLOOKUP($D124,'Sales Data'!$C:$G,6,0),"NA")</f>
        <v>NA</v>
      </c>
      <c r="L124" s="2"/>
      <c r="M124" s="2"/>
      <c r="N124" s="2"/>
    </row>
    <row r="125" spans="1:14" ht="14.4">
      <c r="A125" s="154" t="s">
        <v>4002</v>
      </c>
      <c r="B125" s="113">
        <v>44256</v>
      </c>
      <c r="C125" s="2" t="s">
        <v>4601</v>
      </c>
      <c r="D125" s="118" t="s">
        <v>4602</v>
      </c>
      <c r="E125" s="114">
        <v>9036866829</v>
      </c>
      <c r="F125" s="2" t="s">
        <v>941</v>
      </c>
      <c r="G125" s="2" t="s">
        <v>4378</v>
      </c>
      <c r="H125" s="2" t="s">
        <v>17</v>
      </c>
      <c r="I125" s="2" t="str">
        <f>IFERROR(VLOOKUP($D125,'Sales Data'!$C:$E,4,0),"SAME")</f>
        <v>SAME</v>
      </c>
      <c r="J125" s="2"/>
      <c r="K125" s="2" t="str">
        <f>IFERROR(VLOOKUP($D125,'Sales Data'!$C:$G,6,0),"NA")</f>
        <v>NA</v>
      </c>
      <c r="L125" s="2"/>
      <c r="M125" s="2"/>
      <c r="N125" s="3" t="s">
        <v>4603</v>
      </c>
    </row>
    <row r="126" spans="1:14" ht="14.4">
      <c r="A126" s="154" t="s">
        <v>4002</v>
      </c>
      <c r="B126" s="113">
        <v>44256</v>
      </c>
      <c r="C126" s="2" t="s">
        <v>4604</v>
      </c>
      <c r="D126" s="118" t="s">
        <v>4605</v>
      </c>
      <c r="E126" s="114">
        <v>6363789663</v>
      </c>
      <c r="F126" s="2" t="s">
        <v>291</v>
      </c>
      <c r="G126" s="2" t="s">
        <v>4378</v>
      </c>
      <c r="H126" s="2" t="s">
        <v>4400</v>
      </c>
      <c r="I126" s="2" t="str">
        <f>IFERROR(VLOOKUP($D126,'Sales Data'!$C:$E,4,0),"SAME")</f>
        <v>SAME</v>
      </c>
      <c r="J126" s="2"/>
      <c r="K126" s="2" t="str">
        <f>IFERROR(VLOOKUP($D126,'Sales Data'!$C:$G,6,0),"NA")</f>
        <v>NA</v>
      </c>
      <c r="L126" s="2"/>
      <c r="M126" s="2"/>
      <c r="N126" s="2"/>
    </row>
    <row r="127" spans="1:14" ht="14.4">
      <c r="A127" s="154" t="s">
        <v>4002</v>
      </c>
      <c r="B127" s="113">
        <v>44256</v>
      </c>
      <c r="C127" s="2" t="s">
        <v>971</v>
      </c>
      <c r="D127" s="118" t="s">
        <v>972</v>
      </c>
      <c r="E127" s="114">
        <v>9677034961</v>
      </c>
      <c r="F127" s="2" t="s">
        <v>319</v>
      </c>
      <c r="G127" s="2" t="s">
        <v>4378</v>
      </c>
      <c r="H127" s="2" t="s">
        <v>28</v>
      </c>
      <c r="I127" s="2" t="str">
        <f>IFERROR(VLOOKUP($D127,'Sales Data'!$C:$E,4,0),"SAME")</f>
        <v>SAME</v>
      </c>
      <c r="J127" s="2"/>
      <c r="K127" s="2" t="str">
        <f>IFERROR(VLOOKUP($D127,'Sales Data'!$C:$G,6,0),"NA")</f>
        <v>NA</v>
      </c>
      <c r="L127" s="126">
        <v>20000</v>
      </c>
      <c r="M127" s="2"/>
      <c r="N127" s="3" t="s">
        <v>4606</v>
      </c>
    </row>
    <row r="128" spans="1:14" ht="14.4">
      <c r="A128" s="154" t="s">
        <v>4002</v>
      </c>
      <c r="B128" s="113">
        <v>44256</v>
      </c>
      <c r="C128" s="2" t="s">
        <v>4607</v>
      </c>
      <c r="D128" s="118" t="s">
        <v>4608</v>
      </c>
      <c r="E128" s="114">
        <v>9343859058</v>
      </c>
      <c r="F128" s="2" t="s">
        <v>319</v>
      </c>
      <c r="G128" s="2" t="s">
        <v>4378</v>
      </c>
      <c r="H128" s="2" t="s">
        <v>17</v>
      </c>
      <c r="I128" s="2" t="str">
        <f>IFERROR(VLOOKUP($D128,'Sales Data'!$C:$E,4,0),"SAME")</f>
        <v>SAME</v>
      </c>
      <c r="J128" s="2"/>
      <c r="K128" s="2" t="str">
        <f>IFERROR(VLOOKUP($D128,'Sales Data'!$C:$G,6,0),"NA")</f>
        <v>NA</v>
      </c>
      <c r="L128" s="126">
        <v>45000</v>
      </c>
      <c r="M128" s="2"/>
      <c r="N128" s="3" t="s">
        <v>4609</v>
      </c>
    </row>
    <row r="129" spans="1:14" ht="14.4">
      <c r="A129" s="154" t="s">
        <v>4002</v>
      </c>
      <c r="B129" s="113">
        <v>44256</v>
      </c>
      <c r="C129" s="2" t="s">
        <v>4610</v>
      </c>
      <c r="D129" s="118" t="s">
        <v>4611</v>
      </c>
      <c r="E129" s="114">
        <v>9160094777</v>
      </c>
      <c r="F129" s="2" t="s">
        <v>303</v>
      </c>
      <c r="G129" s="2" t="s">
        <v>7</v>
      </c>
      <c r="H129" s="2" t="s">
        <v>26</v>
      </c>
      <c r="I129" s="2" t="str">
        <f>IFERROR(VLOOKUP($D129,'Sales Data'!$C:$E,4,0),"SAME")</f>
        <v>SAME</v>
      </c>
      <c r="J129" s="2"/>
      <c r="K129" s="2" t="str">
        <f>IFERROR(VLOOKUP($D129,'Sales Data'!$C:$G,6,0),"NA")</f>
        <v>NA</v>
      </c>
      <c r="L129" s="2"/>
      <c r="M129" s="2"/>
      <c r="N129" s="2"/>
    </row>
    <row r="130" spans="1:14" ht="14.4">
      <c r="A130" s="154" t="s">
        <v>4002</v>
      </c>
      <c r="B130" s="113">
        <v>44256</v>
      </c>
      <c r="C130" s="2" t="s">
        <v>281</v>
      </c>
      <c r="D130" s="118" t="s">
        <v>282</v>
      </c>
      <c r="E130" s="114">
        <v>8008177011</v>
      </c>
      <c r="F130" s="2" t="s">
        <v>941</v>
      </c>
      <c r="G130" s="2" t="s">
        <v>4378</v>
      </c>
      <c r="H130" s="2" t="s">
        <v>26</v>
      </c>
      <c r="I130" s="2" t="str">
        <f>IFERROR(VLOOKUP($D130,'Sales Data'!$C:$E,4,0),"SAME")</f>
        <v>SAME</v>
      </c>
      <c r="J130" s="2"/>
      <c r="K130" s="2" t="str">
        <f>IFERROR(VLOOKUP($D130,'Sales Data'!$C:$G,6,0),"NA")</f>
        <v>NA</v>
      </c>
      <c r="L130" s="2"/>
      <c r="M130" s="2"/>
      <c r="N130" s="2"/>
    </row>
    <row r="131" spans="1:14" ht="14.4">
      <c r="A131" s="154" t="s">
        <v>4002</v>
      </c>
      <c r="B131" s="113">
        <v>44256</v>
      </c>
      <c r="C131" s="2" t="s">
        <v>1311</v>
      </c>
      <c r="D131" s="118" t="s">
        <v>1312</v>
      </c>
      <c r="E131" s="114">
        <v>9716974627</v>
      </c>
      <c r="F131" s="2" t="s">
        <v>941</v>
      </c>
      <c r="G131" s="2" t="s">
        <v>7</v>
      </c>
      <c r="H131" s="2" t="s">
        <v>26</v>
      </c>
      <c r="I131" s="2" t="str">
        <f>IFERROR(VLOOKUP($D131,'Sales Data'!$C:$E,4,0),"SAME")</f>
        <v>SAME</v>
      </c>
      <c r="J131" s="2"/>
      <c r="K131" s="2" t="str">
        <f>IFERROR(VLOOKUP($D131,'Sales Data'!$C:$G,6,0),"NA")</f>
        <v>NA</v>
      </c>
      <c r="L131" s="2"/>
      <c r="M131" s="2"/>
      <c r="N131" s="2"/>
    </row>
    <row r="132" spans="1:14" ht="14.4">
      <c r="A132" s="154" t="s">
        <v>4002</v>
      </c>
      <c r="B132" s="113">
        <v>44256</v>
      </c>
      <c r="C132" s="2" t="s">
        <v>4612</v>
      </c>
      <c r="D132" s="118" t="s">
        <v>4613</v>
      </c>
      <c r="E132" s="114">
        <v>9737310470</v>
      </c>
      <c r="F132" s="2" t="s">
        <v>291</v>
      </c>
      <c r="G132" s="2" t="s">
        <v>4378</v>
      </c>
      <c r="H132" s="2" t="s">
        <v>17</v>
      </c>
      <c r="I132" s="2" t="str">
        <f>IFERROR(VLOOKUP($D132,'Sales Data'!$C:$E,4,0),"SAME")</f>
        <v>SAME</v>
      </c>
      <c r="J132" s="2"/>
      <c r="K132" s="2" t="str">
        <f>IFERROR(VLOOKUP($D132,'Sales Data'!$C:$G,6,0),"NA")</f>
        <v>NA</v>
      </c>
      <c r="L132" s="126">
        <v>40000</v>
      </c>
      <c r="M132" s="2"/>
      <c r="N132" s="3" t="s">
        <v>4614</v>
      </c>
    </row>
    <row r="133" spans="1:14" ht="14.4">
      <c r="A133" s="154" t="s">
        <v>4002</v>
      </c>
      <c r="B133" s="113">
        <v>44257</v>
      </c>
      <c r="C133" s="2" t="s">
        <v>4615</v>
      </c>
      <c r="D133" s="118" t="s">
        <v>4616</v>
      </c>
      <c r="E133" s="114">
        <v>9711090839</v>
      </c>
      <c r="F133" s="2" t="s">
        <v>291</v>
      </c>
      <c r="G133" s="2" t="s">
        <v>4378</v>
      </c>
      <c r="H133" s="2" t="s">
        <v>4400</v>
      </c>
      <c r="I133" s="2" t="str">
        <f>IFERROR(VLOOKUP($D133,'Sales Data'!$C:$E,4,0),"SAME")</f>
        <v>SAME</v>
      </c>
      <c r="J133" s="2"/>
      <c r="K133" s="2" t="str">
        <f>IFERROR(VLOOKUP($D133,'Sales Data'!$C:$G,6,0),"NA")</f>
        <v>NA</v>
      </c>
      <c r="L133" s="2"/>
      <c r="M133" s="2"/>
      <c r="N133" s="2"/>
    </row>
    <row r="134" spans="1:14" ht="14.4">
      <c r="A134" s="154" t="s">
        <v>4002</v>
      </c>
      <c r="B134" s="113">
        <v>44257</v>
      </c>
      <c r="C134" s="2" t="s">
        <v>999</v>
      </c>
      <c r="D134" s="118" t="s">
        <v>1000</v>
      </c>
      <c r="E134" s="114">
        <v>9096696825</v>
      </c>
      <c r="F134" s="2" t="s">
        <v>306</v>
      </c>
      <c r="G134" s="2" t="s">
        <v>151</v>
      </c>
      <c r="H134" s="2" t="s">
        <v>28</v>
      </c>
      <c r="I134" s="2" t="str">
        <f>IFERROR(VLOOKUP($D134,'Sales Data'!$C:$E,4,0),"SAME")</f>
        <v>SAME</v>
      </c>
      <c r="J134" s="2"/>
      <c r="K134" s="2" t="str">
        <f>IFERROR(VLOOKUP($D134,'Sales Data'!$C:$G,6,0),"NA")</f>
        <v>NA</v>
      </c>
      <c r="L134" s="126">
        <v>20500</v>
      </c>
      <c r="M134" s="2"/>
      <c r="N134" s="2"/>
    </row>
    <row r="135" spans="1:14" ht="14.4">
      <c r="A135" s="154" t="s">
        <v>4002</v>
      </c>
      <c r="B135" s="113">
        <v>44257</v>
      </c>
      <c r="C135" s="2" t="s">
        <v>4617</v>
      </c>
      <c r="D135" s="118" t="s">
        <v>4618</v>
      </c>
      <c r="E135" s="114">
        <v>9884044948</v>
      </c>
      <c r="F135" s="2" t="s">
        <v>291</v>
      </c>
      <c r="G135" s="2" t="s">
        <v>4378</v>
      </c>
      <c r="H135" s="2" t="s">
        <v>17</v>
      </c>
      <c r="I135" s="2" t="str">
        <f>IFERROR(VLOOKUP($D135,'Sales Data'!$C:$E,4,0),"SAME")</f>
        <v>SAME</v>
      </c>
      <c r="J135" s="2"/>
      <c r="K135" s="2" t="str">
        <f>IFERROR(VLOOKUP($D135,'Sales Data'!$C:$G,6,0),"NA")</f>
        <v>NA</v>
      </c>
      <c r="L135" s="126">
        <v>53100</v>
      </c>
      <c r="M135" s="2"/>
      <c r="N135" s="3" t="s">
        <v>4619</v>
      </c>
    </row>
    <row r="136" spans="1:14" ht="14.4">
      <c r="A136" s="154" t="s">
        <v>4002</v>
      </c>
      <c r="B136" s="113">
        <v>44257</v>
      </c>
      <c r="C136" s="2" t="s">
        <v>977</v>
      </c>
      <c r="D136" s="118" t="s">
        <v>978</v>
      </c>
      <c r="E136" s="114">
        <v>9920727693</v>
      </c>
      <c r="F136" s="2" t="s">
        <v>319</v>
      </c>
      <c r="G136" s="2" t="s">
        <v>4378</v>
      </c>
      <c r="H136" s="2" t="s">
        <v>28</v>
      </c>
      <c r="I136" s="2" t="str">
        <f>IFERROR(VLOOKUP($D136,'Sales Data'!$C:$E,4,0),"SAME")</f>
        <v>SAME</v>
      </c>
      <c r="J136" s="2"/>
      <c r="K136" s="2" t="str">
        <f>IFERROR(VLOOKUP($D136,'Sales Data'!$C:$G,6,0),"NA")</f>
        <v>NA</v>
      </c>
      <c r="L136" s="126">
        <v>45000</v>
      </c>
      <c r="M136" s="2"/>
      <c r="N136" s="3" t="s">
        <v>4620</v>
      </c>
    </row>
    <row r="137" spans="1:14" ht="14.4">
      <c r="A137" s="154" t="s">
        <v>4002</v>
      </c>
      <c r="B137" s="113">
        <v>44257</v>
      </c>
      <c r="C137" s="2" t="s">
        <v>981</v>
      </c>
      <c r="D137" s="118" t="s">
        <v>982</v>
      </c>
      <c r="E137" s="114">
        <v>8408939524</v>
      </c>
      <c r="F137" s="2" t="s">
        <v>319</v>
      </c>
      <c r="G137" s="2" t="s">
        <v>4378</v>
      </c>
      <c r="H137" s="2" t="s">
        <v>28</v>
      </c>
      <c r="I137" s="2" t="str">
        <f>IFERROR(VLOOKUP($D137,'Sales Data'!$C:$E,4,0),"SAME")</f>
        <v>SAME</v>
      </c>
      <c r="J137" s="2"/>
      <c r="K137" s="2" t="str">
        <f>IFERROR(VLOOKUP($D137,'Sales Data'!$C:$G,6,0),"NA")</f>
        <v>NA</v>
      </c>
      <c r="L137" s="126">
        <v>45000</v>
      </c>
      <c r="M137" s="2"/>
      <c r="N137" s="3" t="s">
        <v>4621</v>
      </c>
    </row>
    <row r="138" spans="1:14" ht="14.4">
      <c r="A138" s="154" t="s">
        <v>4002</v>
      </c>
      <c r="B138" s="113">
        <v>44257</v>
      </c>
      <c r="C138" s="2" t="s">
        <v>4622</v>
      </c>
      <c r="D138" s="118" t="s">
        <v>4623</v>
      </c>
      <c r="E138" s="2" t="s">
        <v>1294</v>
      </c>
      <c r="F138" s="2" t="s">
        <v>303</v>
      </c>
      <c r="G138" s="2" t="s">
        <v>7</v>
      </c>
      <c r="H138" s="2" t="s">
        <v>1294</v>
      </c>
      <c r="I138" s="2" t="str">
        <f>IFERROR(VLOOKUP($D138,'Sales Data'!$C:$E,4,0),"SAME")</f>
        <v>SAME</v>
      </c>
      <c r="J138" s="2"/>
      <c r="K138" s="2" t="str">
        <f>IFERROR(VLOOKUP($D138,'Sales Data'!$C:$G,6,0),"NA")</f>
        <v>NA</v>
      </c>
      <c r="L138" s="2"/>
      <c r="M138" s="2"/>
      <c r="N138" s="2"/>
    </row>
    <row r="139" spans="1:14" ht="14.4">
      <c r="A139" s="154" t="s">
        <v>4002</v>
      </c>
      <c r="B139" s="113">
        <v>44257</v>
      </c>
      <c r="C139" s="2" t="s">
        <v>1153</v>
      </c>
      <c r="D139" s="118" t="s">
        <v>1154</v>
      </c>
      <c r="E139" s="159">
        <v>9900263836</v>
      </c>
      <c r="F139" s="2" t="s">
        <v>319</v>
      </c>
      <c r="G139" s="2" t="s">
        <v>4378</v>
      </c>
      <c r="H139" s="2" t="s">
        <v>17</v>
      </c>
      <c r="I139" s="2" t="str">
        <f>IFERROR(VLOOKUP($D139,'Sales Data'!$C:$E,4,0),"SAME")</f>
        <v>SAME</v>
      </c>
      <c r="J139" s="2"/>
      <c r="K139" s="2" t="str">
        <f>IFERROR(VLOOKUP($D139,'Sales Data'!$C:$G,6,0),"NA")</f>
        <v>NA</v>
      </c>
      <c r="L139" s="126">
        <v>44000</v>
      </c>
      <c r="M139" s="2"/>
      <c r="N139" s="2"/>
    </row>
    <row r="140" spans="1:14" ht="14.4">
      <c r="A140" s="154" t="s">
        <v>4002</v>
      </c>
      <c r="B140" s="113">
        <v>44258</v>
      </c>
      <c r="C140" s="2" t="s">
        <v>985</v>
      </c>
      <c r="D140" s="118" t="s">
        <v>986</v>
      </c>
      <c r="E140" s="114">
        <v>9923956909</v>
      </c>
      <c r="F140" s="2" t="s">
        <v>303</v>
      </c>
      <c r="G140" s="2" t="s">
        <v>7</v>
      </c>
      <c r="H140" s="2" t="s">
        <v>28</v>
      </c>
      <c r="I140" s="2" t="str">
        <f>IFERROR(VLOOKUP($D140,'Sales Data'!$C:$E,4,0),"SAME")</f>
        <v>SAME</v>
      </c>
      <c r="J140" s="2"/>
      <c r="K140" s="2" t="str">
        <f>IFERROR(VLOOKUP($D140,'Sales Data'!$C:$G,6,0),"NA")</f>
        <v>NA</v>
      </c>
      <c r="L140" s="126">
        <v>20000</v>
      </c>
      <c r="M140" s="2"/>
      <c r="N140" s="2"/>
    </row>
    <row r="141" spans="1:14" ht="14.4">
      <c r="A141" s="154" t="s">
        <v>4002</v>
      </c>
      <c r="B141" s="113">
        <v>44258</v>
      </c>
      <c r="C141" s="2" t="s">
        <v>4624</v>
      </c>
      <c r="D141" s="118" t="s">
        <v>4625</v>
      </c>
      <c r="E141" s="2" t="s">
        <v>1294</v>
      </c>
      <c r="F141" s="2" t="s">
        <v>303</v>
      </c>
      <c r="G141" s="2" t="s">
        <v>6</v>
      </c>
      <c r="H141" s="2" t="s">
        <v>1294</v>
      </c>
      <c r="I141" s="2" t="str">
        <f>IFERROR(VLOOKUP($D141,'Sales Data'!$C:$E,4,0),"SAME")</f>
        <v>SAME</v>
      </c>
      <c r="J141" s="2"/>
      <c r="K141" s="2" t="str">
        <f>IFERROR(VLOOKUP($D141,'Sales Data'!$C:$G,6,0),"NA")</f>
        <v>NA</v>
      </c>
      <c r="L141" s="2"/>
      <c r="M141" s="2"/>
      <c r="N141" s="2"/>
    </row>
    <row r="142" spans="1:14" ht="14.4">
      <c r="A142" s="154" t="s">
        <v>4002</v>
      </c>
      <c r="B142" s="113">
        <v>44258</v>
      </c>
      <c r="C142" s="2" t="s">
        <v>4626</v>
      </c>
      <c r="D142" s="118" t="s">
        <v>4627</v>
      </c>
      <c r="E142" s="114">
        <v>9611747341</v>
      </c>
      <c r="F142" s="2" t="s">
        <v>303</v>
      </c>
      <c r="G142" s="2" t="s">
        <v>4378</v>
      </c>
      <c r="H142" s="2" t="s">
        <v>17</v>
      </c>
      <c r="I142" s="2" t="str">
        <f>IFERROR(VLOOKUP($D142,'Sales Data'!$C:$E,4,0),"SAME")</f>
        <v>SAME</v>
      </c>
      <c r="J142" s="2"/>
      <c r="K142" s="2" t="str">
        <f>IFERROR(VLOOKUP($D142,'Sales Data'!$C:$G,6,0),"NA")</f>
        <v>NA</v>
      </c>
      <c r="L142" s="126">
        <v>45000</v>
      </c>
      <c r="M142" s="2"/>
      <c r="N142" s="2"/>
    </row>
    <row r="143" spans="1:14" ht="14.4">
      <c r="A143" s="154" t="s">
        <v>4002</v>
      </c>
      <c r="B143" s="113">
        <v>44259</v>
      </c>
      <c r="C143" s="2" t="s">
        <v>4628</v>
      </c>
      <c r="D143" s="118" t="s">
        <v>4629</v>
      </c>
      <c r="E143" s="10" t="s">
        <v>4630</v>
      </c>
      <c r="F143" s="2" t="s">
        <v>319</v>
      </c>
      <c r="G143" s="2" t="s">
        <v>6</v>
      </c>
      <c r="H143" s="3" t="s">
        <v>3996</v>
      </c>
      <c r="I143" s="2" t="str">
        <f>IFERROR(VLOOKUP($D143,'Sales Data'!$C:$E,4,0),"SAME")</f>
        <v>SAME</v>
      </c>
      <c r="J143" s="2"/>
      <c r="K143" s="2" t="str">
        <f>IFERROR(VLOOKUP($D143,'Sales Data'!$C:$G,6,0),"NA")</f>
        <v>NA</v>
      </c>
      <c r="L143" s="2"/>
      <c r="M143" s="2"/>
      <c r="N143" s="2"/>
    </row>
    <row r="144" spans="1:14" ht="14.4">
      <c r="A144" s="154" t="s">
        <v>4002</v>
      </c>
      <c r="B144" s="113">
        <v>44259</v>
      </c>
      <c r="C144" s="2" t="s">
        <v>285</v>
      </c>
      <c r="D144" s="118" t="s">
        <v>973</v>
      </c>
      <c r="E144" s="114">
        <v>9980036056</v>
      </c>
      <c r="F144" s="2" t="s">
        <v>303</v>
      </c>
      <c r="G144" s="2" t="s">
        <v>4378</v>
      </c>
      <c r="H144" s="2" t="s">
        <v>28</v>
      </c>
      <c r="I144" s="2" t="str">
        <f>IFERROR(VLOOKUP($D144,'Sales Data'!$C:$E,4,0),"SAME")</f>
        <v>SAME</v>
      </c>
      <c r="J144" s="2"/>
      <c r="K144" s="2" t="str">
        <f>IFERROR(VLOOKUP($D144,'Sales Data'!$C:$G,6,0),"NA")</f>
        <v>NA</v>
      </c>
      <c r="L144" s="126">
        <v>53100</v>
      </c>
      <c r="M144" s="2"/>
      <c r="N144" s="2"/>
    </row>
    <row r="145" spans="1:14" ht="14.4">
      <c r="A145" s="154" t="s">
        <v>4002</v>
      </c>
      <c r="B145" s="113">
        <v>44259</v>
      </c>
      <c r="C145" s="2" t="s">
        <v>4631</v>
      </c>
      <c r="D145" s="118" t="s">
        <v>4632</v>
      </c>
      <c r="E145" s="114">
        <v>9009619363</v>
      </c>
      <c r="F145" s="2" t="s">
        <v>319</v>
      </c>
      <c r="G145" s="2" t="s">
        <v>6</v>
      </c>
      <c r="H145" s="2" t="s">
        <v>26</v>
      </c>
      <c r="I145" s="2" t="str">
        <f>IFERROR(VLOOKUP($D145,'Sales Data'!$C:$E,4,0),"SAME")</f>
        <v>SAME</v>
      </c>
      <c r="J145" s="2"/>
      <c r="K145" s="2" t="str">
        <f>IFERROR(VLOOKUP($D145,'Sales Data'!$C:$G,6,0),"NA")</f>
        <v>NA</v>
      </c>
      <c r="L145" s="2"/>
      <c r="M145" s="2"/>
      <c r="N145" s="2"/>
    </row>
    <row r="146" spans="1:14" ht="14.4">
      <c r="A146" s="154" t="s">
        <v>4002</v>
      </c>
      <c r="B146" s="113">
        <v>44259</v>
      </c>
      <c r="C146" s="2" t="s">
        <v>4633</v>
      </c>
      <c r="D146" s="118" t="s">
        <v>4634</v>
      </c>
      <c r="E146" s="114">
        <v>9742091556</v>
      </c>
      <c r="F146" s="2" t="s">
        <v>287</v>
      </c>
      <c r="G146" s="2" t="s">
        <v>4378</v>
      </c>
      <c r="H146" s="2" t="s">
        <v>17</v>
      </c>
      <c r="I146" s="2" t="str">
        <f>IFERROR(VLOOKUP($D146,'Sales Data'!$C:$E,4,0),"SAME")</f>
        <v>SAME</v>
      </c>
      <c r="J146" s="2"/>
      <c r="K146" s="2" t="str">
        <f>IFERROR(VLOOKUP($D146,'Sales Data'!$C:$G,6,0),"NA")</f>
        <v>NA</v>
      </c>
      <c r="L146" s="126">
        <v>53100</v>
      </c>
      <c r="M146" s="2"/>
      <c r="N146" s="2"/>
    </row>
    <row r="147" spans="1:14" ht="14.4">
      <c r="A147" s="154" t="s">
        <v>4002</v>
      </c>
      <c r="B147" s="113">
        <v>44259</v>
      </c>
      <c r="C147" s="2" t="s">
        <v>4635</v>
      </c>
      <c r="D147" s="118" t="s">
        <v>4636</v>
      </c>
      <c r="E147" s="114">
        <v>9962331588</v>
      </c>
      <c r="F147" s="2" t="s">
        <v>303</v>
      </c>
      <c r="G147" s="2" t="s">
        <v>4378</v>
      </c>
      <c r="H147" s="2" t="s">
        <v>26</v>
      </c>
      <c r="I147" s="2" t="str">
        <f>IFERROR(VLOOKUP($D147,'Sales Data'!$C:$E,4,0),"SAME")</f>
        <v>SAME</v>
      </c>
      <c r="J147" s="2"/>
      <c r="K147" s="2" t="str">
        <f>IFERROR(VLOOKUP($D147,'Sales Data'!$C:$G,6,0),"NA")</f>
        <v>NA</v>
      </c>
      <c r="L147" s="2"/>
      <c r="M147" s="2"/>
      <c r="N147" s="2"/>
    </row>
    <row r="148" spans="1:14" ht="14.4">
      <c r="A148" s="154" t="s">
        <v>4002</v>
      </c>
      <c r="B148" s="113">
        <v>44259</v>
      </c>
      <c r="C148" s="2" t="s">
        <v>4637</v>
      </c>
      <c r="D148" s="118" t="s">
        <v>4638</v>
      </c>
      <c r="E148" s="114">
        <v>9886558059</v>
      </c>
      <c r="F148" s="2" t="s">
        <v>303</v>
      </c>
      <c r="G148" s="2" t="s">
        <v>4378</v>
      </c>
      <c r="H148" s="2" t="s">
        <v>17</v>
      </c>
      <c r="I148" s="2" t="str">
        <f>IFERROR(VLOOKUP($D148,'Sales Data'!$C:$E,4,0),"SAME")</f>
        <v>SAME</v>
      </c>
      <c r="J148" s="2"/>
      <c r="K148" s="2" t="str">
        <f>IFERROR(VLOOKUP($D148,'Sales Data'!$C:$G,6,0),"NA")</f>
        <v>NA</v>
      </c>
      <c r="L148" s="2"/>
      <c r="M148" s="2"/>
      <c r="N148" s="2"/>
    </row>
    <row r="149" spans="1:14" ht="14.4">
      <c r="A149" s="154" t="s">
        <v>4002</v>
      </c>
      <c r="B149" s="113">
        <v>44259</v>
      </c>
      <c r="C149" s="2" t="s">
        <v>1522</v>
      </c>
      <c r="D149" s="118" t="s">
        <v>4639</v>
      </c>
      <c r="E149" s="159">
        <v>7020757953</v>
      </c>
      <c r="F149" s="2" t="s">
        <v>303</v>
      </c>
      <c r="G149" s="2" t="s">
        <v>4378</v>
      </c>
      <c r="H149" s="2" t="s">
        <v>26</v>
      </c>
      <c r="I149" s="2" t="str">
        <f>IFERROR(VLOOKUP($D149,'Sales Data'!$C:$E,4,0),"SAME")</f>
        <v>SAME</v>
      </c>
      <c r="J149" s="2"/>
      <c r="K149" s="2" t="str">
        <f>IFERROR(VLOOKUP($D149,'Sales Data'!$C:$G,6,0),"NA")</f>
        <v>NA</v>
      </c>
      <c r="L149" s="2"/>
      <c r="M149" s="2"/>
      <c r="N149" s="2"/>
    </row>
    <row r="150" spans="1:14" ht="14.4">
      <c r="A150" s="154" t="s">
        <v>4002</v>
      </c>
      <c r="B150" s="113">
        <v>44259</v>
      </c>
      <c r="C150" s="2" t="s">
        <v>4640</v>
      </c>
      <c r="D150" s="118" t="s">
        <v>4641</v>
      </c>
      <c r="E150" s="2" t="s">
        <v>3997</v>
      </c>
      <c r="F150" s="2" t="s">
        <v>291</v>
      </c>
      <c r="G150" s="2" t="s">
        <v>4378</v>
      </c>
      <c r="H150" s="2" t="s">
        <v>3997</v>
      </c>
      <c r="I150" s="2" t="str">
        <f>IFERROR(VLOOKUP($D150,'Sales Data'!$C:$E,4,0),"SAME")</f>
        <v>SAME</v>
      </c>
      <c r="J150" s="2"/>
      <c r="K150" s="2" t="str">
        <f>IFERROR(VLOOKUP($D150,'Sales Data'!$C:$G,6,0),"NA")</f>
        <v>NA</v>
      </c>
      <c r="L150" s="2"/>
      <c r="M150" s="2"/>
      <c r="N150" s="2"/>
    </row>
    <row r="151" spans="1:14" ht="14.4">
      <c r="A151" s="154" t="s">
        <v>4002</v>
      </c>
      <c r="B151" s="113">
        <v>44259</v>
      </c>
      <c r="C151" s="2" t="s">
        <v>4642</v>
      </c>
      <c r="D151" s="118" t="s">
        <v>4643</v>
      </c>
      <c r="E151" s="159">
        <v>9603094376</v>
      </c>
      <c r="F151" s="2" t="s">
        <v>287</v>
      </c>
      <c r="G151" s="2" t="s">
        <v>7</v>
      </c>
      <c r="H151" s="2" t="s">
        <v>3997</v>
      </c>
      <c r="I151" s="2" t="str">
        <f>IFERROR(VLOOKUP($D151,'Sales Data'!$C:$E,4,0),"SAME")</f>
        <v>SAME</v>
      </c>
      <c r="J151" s="2"/>
      <c r="K151" s="2" t="str">
        <f>IFERROR(VLOOKUP($D151,'Sales Data'!$C:$G,6,0),"NA")</f>
        <v>NA</v>
      </c>
      <c r="L151" s="2"/>
      <c r="M151" s="2"/>
      <c r="N151" s="2"/>
    </row>
    <row r="152" spans="1:14" ht="14.4">
      <c r="A152" s="154" t="s">
        <v>4002</v>
      </c>
      <c r="B152" s="113">
        <v>44259</v>
      </c>
      <c r="C152" s="2" t="s">
        <v>4644</v>
      </c>
      <c r="D152" s="118" t="s">
        <v>4645</v>
      </c>
      <c r="E152" s="114">
        <v>8442881434</v>
      </c>
      <c r="F152" s="2" t="s">
        <v>291</v>
      </c>
      <c r="G152" s="2" t="s">
        <v>4378</v>
      </c>
      <c r="H152" s="2" t="s">
        <v>26</v>
      </c>
      <c r="I152" s="2" t="str">
        <f>IFERROR(VLOOKUP($D152,'Sales Data'!$C:$E,4,0),"SAME")</f>
        <v>SAME</v>
      </c>
      <c r="J152" s="2"/>
      <c r="K152" s="2" t="str">
        <f>IFERROR(VLOOKUP($D152,'Sales Data'!$C:$G,6,0),"NA")</f>
        <v>NA</v>
      </c>
      <c r="L152" s="2"/>
      <c r="M152" s="2"/>
      <c r="N152" s="2"/>
    </row>
    <row r="153" spans="1:14" ht="14.4">
      <c r="A153" s="154" t="s">
        <v>4002</v>
      </c>
      <c r="B153" s="113">
        <v>44259</v>
      </c>
      <c r="C153" s="2" t="s">
        <v>4646</v>
      </c>
      <c r="D153" s="118" t="s">
        <v>4647</v>
      </c>
      <c r="E153" s="114">
        <v>9994278097</v>
      </c>
      <c r="F153" s="2" t="s">
        <v>303</v>
      </c>
      <c r="G153" s="2" t="s">
        <v>7</v>
      </c>
      <c r="H153" s="2" t="s">
        <v>28</v>
      </c>
      <c r="I153" s="2" t="str">
        <f>IFERROR(VLOOKUP($D153,'Sales Data'!$C:$E,4,0),"SAME")</f>
        <v>SAME</v>
      </c>
      <c r="J153" s="2"/>
      <c r="K153" s="2" t="str">
        <f>IFERROR(VLOOKUP($D153,'Sales Data'!$C:$G,6,0),"NA")</f>
        <v>NA</v>
      </c>
      <c r="L153" s="126">
        <v>53100</v>
      </c>
      <c r="M153" s="2"/>
      <c r="N153" s="2"/>
    </row>
    <row r="154" spans="1:14" ht="14.4">
      <c r="A154" s="154" t="s">
        <v>4002</v>
      </c>
      <c r="B154" s="113">
        <v>44259</v>
      </c>
      <c r="C154" s="2" t="s">
        <v>4648</v>
      </c>
      <c r="D154" s="118" t="s">
        <v>4649</v>
      </c>
      <c r="E154" s="114">
        <v>9821345472</v>
      </c>
      <c r="F154" s="2" t="s">
        <v>319</v>
      </c>
      <c r="G154" s="2" t="s">
        <v>151</v>
      </c>
      <c r="H154" s="2" t="s">
        <v>17</v>
      </c>
      <c r="I154" s="2" t="str">
        <f>IFERROR(VLOOKUP($D154,'Sales Data'!$C:$E,4,0),"SAME")</f>
        <v>SAME</v>
      </c>
      <c r="J154" s="2"/>
      <c r="K154" s="2" t="str">
        <f>IFERROR(VLOOKUP($D154,'Sales Data'!$C:$G,6,0),"NA")</f>
        <v>NA</v>
      </c>
      <c r="L154" s="2"/>
      <c r="M154" s="2"/>
      <c r="N154" s="2"/>
    </row>
    <row r="155" spans="1:14" ht="14.4">
      <c r="A155" s="154" t="s">
        <v>4002</v>
      </c>
      <c r="B155" s="113">
        <v>44259</v>
      </c>
      <c r="C155" s="2" t="s">
        <v>4650</v>
      </c>
      <c r="D155" s="118" t="s">
        <v>4651</v>
      </c>
      <c r="E155" s="2" t="s">
        <v>1294</v>
      </c>
      <c r="F155" s="2" t="s">
        <v>303</v>
      </c>
      <c r="G155" s="2" t="s">
        <v>4378</v>
      </c>
      <c r="H155" s="2" t="s">
        <v>1294</v>
      </c>
      <c r="I155" s="2" t="str">
        <f>IFERROR(VLOOKUP($D155,'Sales Data'!$C:$E,4,0),"SAME")</f>
        <v>SAME</v>
      </c>
      <c r="J155" s="2"/>
      <c r="K155" s="2" t="str">
        <f>IFERROR(VLOOKUP($D155,'Sales Data'!$C:$G,6,0),"NA")</f>
        <v>NA</v>
      </c>
      <c r="L155" s="2"/>
      <c r="M155" s="2"/>
      <c r="N155" s="2"/>
    </row>
    <row r="156" spans="1:14" ht="14.4">
      <c r="A156" s="154" t="s">
        <v>4002</v>
      </c>
      <c r="B156" s="113">
        <v>44260</v>
      </c>
      <c r="C156" s="2" t="s">
        <v>4652</v>
      </c>
      <c r="D156" s="118" t="s">
        <v>4653</v>
      </c>
      <c r="E156" s="114">
        <v>9600989802</v>
      </c>
      <c r="F156" s="2" t="s">
        <v>319</v>
      </c>
      <c r="G156" s="2" t="s">
        <v>4378</v>
      </c>
      <c r="H156" s="2" t="s">
        <v>17</v>
      </c>
      <c r="I156" s="2" t="str">
        <f>IFERROR(VLOOKUP($D156,'Sales Data'!$C:$E,4,0),"SAME")</f>
        <v>SAME</v>
      </c>
      <c r="J156" s="2"/>
      <c r="K156" s="2" t="str">
        <f>IFERROR(VLOOKUP($D156,'Sales Data'!$C:$G,6,0),"NA")</f>
        <v>NA</v>
      </c>
      <c r="L156" s="2"/>
      <c r="M156" s="2"/>
      <c r="N156" s="2"/>
    </row>
    <row r="157" spans="1:14" ht="14.4">
      <c r="A157" s="154" t="s">
        <v>4002</v>
      </c>
      <c r="B157" s="113">
        <v>44260</v>
      </c>
      <c r="C157" s="2" t="s">
        <v>4654</v>
      </c>
      <c r="D157" s="160" t="s">
        <v>4655</v>
      </c>
      <c r="E157" s="2"/>
      <c r="F157" s="2" t="s">
        <v>303</v>
      </c>
      <c r="G157" s="2" t="s">
        <v>150</v>
      </c>
      <c r="H157" s="2" t="s">
        <v>17</v>
      </c>
      <c r="I157" s="2" t="str">
        <f>IFERROR(VLOOKUP($D157,'Sales Data'!$C:$E,4,0),"SAME")</f>
        <v>SAME</v>
      </c>
      <c r="J157" s="2"/>
      <c r="K157" s="2" t="str">
        <f>IFERROR(VLOOKUP($D157,'Sales Data'!$C:$G,6,0),"NA")</f>
        <v>NA</v>
      </c>
      <c r="L157" s="2"/>
      <c r="M157" s="2"/>
      <c r="N157" s="2"/>
    </row>
    <row r="158" spans="1:14" ht="14.4">
      <c r="A158" s="154" t="s">
        <v>4002</v>
      </c>
      <c r="B158" s="113">
        <v>44260</v>
      </c>
      <c r="C158" s="2" t="s">
        <v>4656</v>
      </c>
      <c r="D158" s="118" t="s">
        <v>4657</v>
      </c>
      <c r="E158" s="114">
        <v>9001848127</v>
      </c>
      <c r="F158" s="2" t="s">
        <v>287</v>
      </c>
      <c r="G158" s="2" t="s">
        <v>6</v>
      </c>
      <c r="H158" s="2" t="s">
        <v>17</v>
      </c>
      <c r="I158" s="2" t="str">
        <f>IFERROR(VLOOKUP($D158,'Sales Data'!$C:$E,4,0),"SAME")</f>
        <v>SAME</v>
      </c>
      <c r="J158" s="2"/>
      <c r="K158" s="2" t="str">
        <f>IFERROR(VLOOKUP($D158,'Sales Data'!$C:$G,6,0),"NA")</f>
        <v>NA</v>
      </c>
      <c r="L158" s="2"/>
      <c r="M158" s="2"/>
      <c r="N158" s="2"/>
    </row>
    <row r="159" spans="1:14" ht="14.4">
      <c r="A159" s="154" t="s">
        <v>4002</v>
      </c>
      <c r="B159" s="113">
        <v>44261</v>
      </c>
      <c r="C159" s="2" t="s">
        <v>4658</v>
      </c>
      <c r="D159" s="118" t="s">
        <v>4659</v>
      </c>
      <c r="E159" s="114">
        <v>8754599224</v>
      </c>
      <c r="F159" s="2" t="s">
        <v>291</v>
      </c>
      <c r="G159" s="2" t="s">
        <v>4378</v>
      </c>
      <c r="H159" s="2" t="s">
        <v>17</v>
      </c>
      <c r="I159" s="2" t="str">
        <f>IFERROR(VLOOKUP($D159,'Sales Data'!$C:$E,4,0),"SAME")</f>
        <v>SAME</v>
      </c>
      <c r="J159" s="2"/>
      <c r="K159" s="2" t="str">
        <f>IFERROR(VLOOKUP($D159,'Sales Data'!$C:$G,6,0),"NA")</f>
        <v>NA</v>
      </c>
      <c r="L159" s="2"/>
      <c r="M159" s="2"/>
      <c r="N159" s="2"/>
    </row>
    <row r="160" spans="1:14" ht="14.4">
      <c r="A160" s="154" t="s">
        <v>4002</v>
      </c>
      <c r="B160" s="113">
        <v>44262</v>
      </c>
      <c r="C160" s="2" t="s">
        <v>4660</v>
      </c>
      <c r="D160" s="118" t="s">
        <v>4661</v>
      </c>
      <c r="E160" s="2" t="s">
        <v>1294</v>
      </c>
      <c r="F160" s="2" t="s">
        <v>287</v>
      </c>
      <c r="G160" s="2" t="s">
        <v>4378</v>
      </c>
      <c r="H160" s="2" t="s">
        <v>1294</v>
      </c>
      <c r="I160" s="2" t="str">
        <f>IFERROR(VLOOKUP($D160,'Sales Data'!$C:$E,4,0),"SAME")</f>
        <v>SAME</v>
      </c>
      <c r="J160" s="2"/>
      <c r="K160" s="2" t="str">
        <f>IFERROR(VLOOKUP($D160,'Sales Data'!$C:$G,6,0),"NA")</f>
        <v>NA</v>
      </c>
      <c r="L160" s="2"/>
      <c r="M160" s="2"/>
      <c r="N160" s="2"/>
    </row>
    <row r="161" spans="1:14" ht="14.4">
      <c r="A161" s="154" t="s">
        <v>4002</v>
      </c>
      <c r="B161" s="113">
        <v>44262</v>
      </c>
      <c r="C161" s="2" t="s">
        <v>4662</v>
      </c>
      <c r="D161" s="118" t="s">
        <v>4663</v>
      </c>
      <c r="E161" s="114">
        <v>9888146800</v>
      </c>
      <c r="F161" s="2" t="s">
        <v>287</v>
      </c>
      <c r="G161" s="2" t="s">
        <v>4378</v>
      </c>
      <c r="H161" s="2" t="s">
        <v>17</v>
      </c>
      <c r="I161" s="2" t="str">
        <f>IFERROR(VLOOKUP($D161,'Sales Data'!$C:$E,4,0),"SAME")</f>
        <v>SAME</v>
      </c>
      <c r="J161" s="2"/>
      <c r="K161" s="2" t="str">
        <f>IFERROR(VLOOKUP($D161,'Sales Data'!$C:$G,6,0),"NA")</f>
        <v>NA</v>
      </c>
      <c r="L161" s="2"/>
      <c r="M161" s="2"/>
      <c r="N161" s="2"/>
    </row>
    <row r="162" spans="1:14" ht="14.4">
      <c r="A162" s="154" t="s">
        <v>4002</v>
      </c>
      <c r="B162" s="113">
        <v>44262</v>
      </c>
      <c r="C162" s="2" t="s">
        <v>4664</v>
      </c>
      <c r="D162" s="118" t="s">
        <v>4665</v>
      </c>
      <c r="E162" s="114">
        <v>9790784969</v>
      </c>
      <c r="F162" s="2" t="s">
        <v>303</v>
      </c>
      <c r="G162" s="2" t="s">
        <v>4378</v>
      </c>
      <c r="H162" s="2" t="s">
        <v>17</v>
      </c>
      <c r="I162" s="2" t="str">
        <f>IFERROR(VLOOKUP($D162,'Sales Data'!$C:$E,4,0),"SAME")</f>
        <v>SAME</v>
      </c>
      <c r="J162" s="2"/>
      <c r="K162" s="2" t="str">
        <f>IFERROR(VLOOKUP($D162,'Sales Data'!$C:$G,6,0),"NA")</f>
        <v>NA</v>
      </c>
      <c r="L162" s="2"/>
      <c r="M162" s="2"/>
      <c r="N162" s="2"/>
    </row>
    <row r="163" spans="1:14" ht="14.4">
      <c r="A163" s="154" t="s">
        <v>4002</v>
      </c>
      <c r="B163" s="113">
        <v>44262</v>
      </c>
      <c r="C163" s="2" t="s">
        <v>4666</v>
      </c>
      <c r="D163" s="118" t="s">
        <v>4667</v>
      </c>
      <c r="E163" s="114">
        <v>9886123856</v>
      </c>
      <c r="F163" s="2" t="s">
        <v>291</v>
      </c>
      <c r="G163" s="2" t="s">
        <v>4378</v>
      </c>
      <c r="H163" s="2" t="s">
        <v>17</v>
      </c>
      <c r="I163" s="2" t="str">
        <f>IFERROR(VLOOKUP($D163,'Sales Data'!$C:$E,4,0),"SAME")</f>
        <v>SAME</v>
      </c>
      <c r="J163" s="2"/>
      <c r="K163" s="2" t="str">
        <f>IFERROR(VLOOKUP($D163,'Sales Data'!$C:$G,6,0),"NA")</f>
        <v>NA</v>
      </c>
      <c r="L163" s="126">
        <v>45000</v>
      </c>
      <c r="M163" s="2"/>
      <c r="N163" s="2"/>
    </row>
    <row r="164" spans="1:14" ht="14.4">
      <c r="A164" s="154" t="s">
        <v>4002</v>
      </c>
      <c r="B164" s="113">
        <v>44263</v>
      </c>
      <c r="C164" s="2" t="s">
        <v>4668</v>
      </c>
      <c r="D164" s="118" t="s">
        <v>4669</v>
      </c>
      <c r="E164" s="114">
        <v>7720020388</v>
      </c>
      <c r="F164" s="2" t="s">
        <v>291</v>
      </c>
      <c r="G164" s="2" t="s">
        <v>4378</v>
      </c>
      <c r="H164" s="2" t="s">
        <v>26</v>
      </c>
      <c r="I164" s="2" t="str">
        <f>IFERROR(VLOOKUP($D164,'Sales Data'!$C:$E,4,0),"SAME")</f>
        <v>SAME</v>
      </c>
      <c r="J164" s="2"/>
      <c r="K164" s="2" t="str">
        <f>IFERROR(VLOOKUP($D164,'Sales Data'!$C:$G,6,0),"NA")</f>
        <v>NA</v>
      </c>
      <c r="L164" s="2"/>
      <c r="M164" s="2"/>
      <c r="N164" s="2"/>
    </row>
    <row r="165" spans="1:14" ht="14.4">
      <c r="A165" s="154" t="s">
        <v>4002</v>
      </c>
      <c r="B165" s="113">
        <v>44263</v>
      </c>
      <c r="C165" s="2" t="s">
        <v>1296</v>
      </c>
      <c r="D165" s="118" t="s">
        <v>1297</v>
      </c>
      <c r="E165" s="114">
        <v>9945365656</v>
      </c>
      <c r="F165" s="2" t="s">
        <v>291</v>
      </c>
      <c r="G165" s="2" t="s">
        <v>4378</v>
      </c>
      <c r="H165" s="2" t="s">
        <v>17</v>
      </c>
      <c r="I165" s="2" t="str">
        <f>IFERROR(VLOOKUP($D165,'Sales Data'!$C:$E,4,0),"SAME")</f>
        <v>SAME</v>
      </c>
      <c r="J165" s="2"/>
      <c r="K165" s="2" t="str">
        <f>IFERROR(VLOOKUP($D165,'Sales Data'!$C:$G,6,0),"NA")</f>
        <v>NA</v>
      </c>
      <c r="L165" s="2"/>
      <c r="M165" s="2"/>
      <c r="N165" s="2"/>
    </row>
    <row r="166" spans="1:14" ht="14.4">
      <c r="A166" s="154" t="s">
        <v>4002</v>
      </c>
      <c r="B166" s="113">
        <v>44263</v>
      </c>
      <c r="C166" s="2" t="s">
        <v>4670</v>
      </c>
      <c r="D166" s="118" t="s">
        <v>4671</v>
      </c>
      <c r="E166" s="114">
        <v>9766466007</v>
      </c>
      <c r="F166" s="2" t="s">
        <v>303</v>
      </c>
      <c r="G166" s="2" t="s">
        <v>4378</v>
      </c>
      <c r="H166" s="2" t="s">
        <v>17</v>
      </c>
      <c r="I166" s="2" t="str">
        <f>IFERROR(VLOOKUP($D166,'Sales Data'!$C:$E,4,0),"SAME")</f>
        <v>SAME</v>
      </c>
      <c r="J166" s="2"/>
      <c r="K166" s="2" t="str">
        <f>IFERROR(VLOOKUP($D166,'Sales Data'!$C:$G,6,0),"NA")</f>
        <v>NA</v>
      </c>
      <c r="L166" s="2"/>
      <c r="M166" s="2"/>
      <c r="N166" s="2"/>
    </row>
    <row r="167" spans="1:14" ht="14.4">
      <c r="A167" s="154" t="s">
        <v>4002</v>
      </c>
      <c r="B167" s="113">
        <v>44263</v>
      </c>
      <c r="C167" s="2" t="s">
        <v>4672</v>
      </c>
      <c r="D167" s="118" t="s">
        <v>4673</v>
      </c>
      <c r="E167" s="114">
        <v>9790744244</v>
      </c>
      <c r="F167" s="2" t="s">
        <v>319</v>
      </c>
      <c r="G167" s="2" t="s">
        <v>4378</v>
      </c>
      <c r="H167" s="2" t="s">
        <v>28</v>
      </c>
      <c r="I167" s="2" t="str">
        <f>IFERROR(VLOOKUP($D167,'Sales Data'!$C:$E,4,0),"SAME")</f>
        <v>SAME</v>
      </c>
      <c r="J167" s="2"/>
      <c r="K167" s="2" t="str">
        <f>IFERROR(VLOOKUP($D167,'Sales Data'!$C:$G,6,0),"NA")</f>
        <v>NA</v>
      </c>
      <c r="L167" s="126">
        <v>45000</v>
      </c>
      <c r="M167" s="2"/>
      <c r="N167" s="2"/>
    </row>
    <row r="168" spans="1:14" ht="14.4">
      <c r="A168" s="154" t="s">
        <v>4002</v>
      </c>
      <c r="B168" s="113">
        <v>44263</v>
      </c>
      <c r="C168" s="2" t="s">
        <v>4674</v>
      </c>
      <c r="D168" s="118" t="s">
        <v>4675</v>
      </c>
      <c r="E168" s="114">
        <v>9443540402</v>
      </c>
      <c r="F168" s="2" t="s">
        <v>291</v>
      </c>
      <c r="G168" s="2" t="s">
        <v>4378</v>
      </c>
      <c r="H168" s="2" t="s">
        <v>26</v>
      </c>
      <c r="I168" s="2" t="str">
        <f>IFERROR(VLOOKUP($D168,'Sales Data'!$C:$E,4,0),"SAME")</f>
        <v>SAME</v>
      </c>
      <c r="J168" s="2"/>
      <c r="K168" s="2" t="str">
        <f>IFERROR(VLOOKUP($D168,'Sales Data'!$C:$G,6,0),"NA")</f>
        <v>NA</v>
      </c>
      <c r="L168" s="2"/>
      <c r="M168" s="2"/>
      <c r="N168" s="2"/>
    </row>
    <row r="169" spans="1:14" ht="14.4">
      <c r="A169" s="154" t="s">
        <v>4002</v>
      </c>
      <c r="B169" s="113">
        <v>44263</v>
      </c>
      <c r="C169" s="2" t="s">
        <v>4674</v>
      </c>
      <c r="D169" s="118" t="s">
        <v>4675</v>
      </c>
      <c r="E169" s="114">
        <v>9443540402</v>
      </c>
      <c r="F169" s="2" t="s">
        <v>319</v>
      </c>
      <c r="G169" s="2" t="s">
        <v>7</v>
      </c>
      <c r="H169" s="2" t="s">
        <v>26</v>
      </c>
      <c r="I169" s="2" t="str">
        <f>IFERROR(VLOOKUP($D169,'Sales Data'!$C:$E,4,0),"SAME")</f>
        <v>SAME</v>
      </c>
      <c r="J169" s="2"/>
      <c r="K169" s="2" t="str">
        <f>IFERROR(VLOOKUP($D169,'Sales Data'!$C:$G,6,0),"NA")</f>
        <v>NA</v>
      </c>
      <c r="L169" s="2"/>
      <c r="M169" s="2"/>
      <c r="N169" s="2"/>
    </row>
    <row r="170" spans="1:14" ht="14.4">
      <c r="A170" s="154" t="s">
        <v>4002</v>
      </c>
      <c r="B170" s="113">
        <v>44263</v>
      </c>
      <c r="C170" s="2" t="s">
        <v>1011</v>
      </c>
      <c r="D170" s="118" t="s">
        <v>1012</v>
      </c>
      <c r="E170" s="114">
        <v>9920381708</v>
      </c>
      <c r="F170" s="2" t="s">
        <v>941</v>
      </c>
      <c r="G170" s="2" t="s">
        <v>7</v>
      </c>
      <c r="H170" s="2" t="s">
        <v>28</v>
      </c>
      <c r="I170" s="2" t="str">
        <f>IFERROR(VLOOKUP($D170,'Sales Data'!$C:$E,4,0),"SAME")</f>
        <v>SAME</v>
      </c>
      <c r="J170" s="2"/>
      <c r="K170" s="2" t="str">
        <f>IFERROR(VLOOKUP($D170,'Sales Data'!$C:$G,6,0),"NA")</f>
        <v>NA</v>
      </c>
      <c r="L170" s="2"/>
      <c r="M170" s="2"/>
      <c r="N170" s="2"/>
    </row>
    <row r="171" spans="1:14" ht="14.4">
      <c r="A171" s="154" t="s">
        <v>4002</v>
      </c>
      <c r="B171" s="113">
        <v>44264</v>
      </c>
      <c r="C171" s="2" t="s">
        <v>4676</v>
      </c>
      <c r="D171" s="118" t="s">
        <v>4677</v>
      </c>
      <c r="E171" s="114">
        <v>8095464684</v>
      </c>
      <c r="F171" s="2" t="s">
        <v>291</v>
      </c>
      <c r="G171" s="2" t="s">
        <v>4378</v>
      </c>
      <c r="H171" s="2" t="s">
        <v>17</v>
      </c>
      <c r="I171" s="2" t="str">
        <f>IFERROR(VLOOKUP($D171,'Sales Data'!$C:$E,4,0),"SAME")</f>
        <v>SAME</v>
      </c>
      <c r="J171" s="2"/>
      <c r="K171" s="2" t="str">
        <f>IFERROR(VLOOKUP($D171,'Sales Data'!$C:$G,6,0),"NA")</f>
        <v>NA</v>
      </c>
      <c r="L171" s="126">
        <v>45000</v>
      </c>
      <c r="M171" s="2"/>
      <c r="N171" s="2" t="s">
        <v>4678</v>
      </c>
    </row>
    <row r="172" spans="1:14" ht="14.4">
      <c r="A172" s="154" t="s">
        <v>4002</v>
      </c>
      <c r="B172" s="113">
        <v>44264</v>
      </c>
      <c r="C172" s="2" t="s">
        <v>4679</v>
      </c>
      <c r="D172" s="118" t="s">
        <v>4680</v>
      </c>
      <c r="E172" s="10" t="s">
        <v>4681</v>
      </c>
      <c r="F172" s="2" t="s">
        <v>303</v>
      </c>
      <c r="G172" s="2" t="s">
        <v>151</v>
      </c>
      <c r="H172" s="3" t="s">
        <v>3996</v>
      </c>
      <c r="I172" s="2" t="str">
        <f>IFERROR(VLOOKUP($D172,'Sales Data'!$C:$E,4,0),"SAME")</f>
        <v>SAME</v>
      </c>
      <c r="J172" s="2"/>
      <c r="K172" s="2" t="str">
        <f>IFERROR(VLOOKUP($D172,'Sales Data'!$C:$G,6,0),"NA")</f>
        <v>NA</v>
      </c>
      <c r="L172" s="2"/>
      <c r="M172" s="2"/>
      <c r="N172" s="2"/>
    </row>
    <row r="173" spans="1:14" ht="14.4">
      <c r="A173" s="154" t="s">
        <v>4002</v>
      </c>
      <c r="B173" s="113">
        <v>44264</v>
      </c>
      <c r="C173" s="2" t="s">
        <v>723</v>
      </c>
      <c r="D173" s="118" t="s">
        <v>4682</v>
      </c>
      <c r="E173" s="114">
        <v>9176144500</v>
      </c>
      <c r="F173" s="2" t="s">
        <v>319</v>
      </c>
      <c r="G173" s="2" t="s">
        <v>7</v>
      </c>
      <c r="H173" s="2" t="s">
        <v>26</v>
      </c>
      <c r="I173" s="2" t="str">
        <f>IFERROR(VLOOKUP($D173,'Sales Data'!$C:$E,4,0),"SAME")</f>
        <v>SAME</v>
      </c>
      <c r="J173" s="2"/>
      <c r="K173" s="2" t="str">
        <f>IFERROR(VLOOKUP($D173,'Sales Data'!$C:$G,6,0),"NA")</f>
        <v>NA</v>
      </c>
      <c r="L173" s="2"/>
      <c r="M173" s="2"/>
      <c r="N173" s="2"/>
    </row>
    <row r="174" spans="1:14" ht="14.4">
      <c r="A174" s="154" t="s">
        <v>4002</v>
      </c>
      <c r="B174" s="113">
        <v>44264</v>
      </c>
      <c r="C174" s="2" t="s">
        <v>4683</v>
      </c>
      <c r="D174" s="118" t="s">
        <v>4684</v>
      </c>
      <c r="E174" s="114">
        <v>9910587150</v>
      </c>
      <c r="F174" s="2" t="s">
        <v>319</v>
      </c>
      <c r="G174" s="2" t="s">
        <v>150</v>
      </c>
      <c r="H174" s="2" t="s">
        <v>4479</v>
      </c>
      <c r="I174" s="2" t="str">
        <f>IFERROR(VLOOKUP($D174,'Sales Data'!$C:$E,4,0),"SAME")</f>
        <v>SAME</v>
      </c>
      <c r="J174" s="2"/>
      <c r="K174" s="2" t="str">
        <f>IFERROR(VLOOKUP($D174,'Sales Data'!$C:$G,6,0),"NA")</f>
        <v>NA</v>
      </c>
      <c r="L174" s="2"/>
      <c r="M174" s="2"/>
      <c r="N174" s="2"/>
    </row>
    <row r="175" spans="1:14" ht="14.4">
      <c r="A175" s="154" t="s">
        <v>4002</v>
      </c>
      <c r="B175" s="113">
        <v>44264</v>
      </c>
      <c r="C175" s="2" t="s">
        <v>4685</v>
      </c>
      <c r="D175" s="118" t="s">
        <v>4686</v>
      </c>
      <c r="E175" s="114">
        <v>9599713568</v>
      </c>
      <c r="F175" s="2" t="s">
        <v>297</v>
      </c>
      <c r="G175" s="2" t="s">
        <v>151</v>
      </c>
      <c r="H175" s="2" t="s">
        <v>17</v>
      </c>
      <c r="I175" s="2" t="str">
        <f>IFERROR(VLOOKUP($D175,'Sales Data'!$C:$E,4,0),"SAME")</f>
        <v>SAME</v>
      </c>
      <c r="J175" s="2"/>
      <c r="K175" s="2" t="str">
        <f>IFERROR(VLOOKUP($D175,'Sales Data'!$C:$G,6,0),"NA")</f>
        <v>NA</v>
      </c>
      <c r="L175" s="2"/>
      <c r="M175" s="2"/>
      <c r="N175" s="2"/>
    </row>
    <row r="176" spans="1:14" ht="14.4">
      <c r="A176" s="154" t="s">
        <v>4002</v>
      </c>
      <c r="B176" s="113">
        <v>44264</v>
      </c>
      <c r="C176" s="2" t="s">
        <v>4687</v>
      </c>
      <c r="D176" s="118" t="s">
        <v>4688</v>
      </c>
      <c r="E176" s="114">
        <v>8105589604</v>
      </c>
      <c r="F176" s="2" t="s">
        <v>287</v>
      </c>
      <c r="G176" s="2" t="s">
        <v>6</v>
      </c>
      <c r="H176" s="2" t="s">
        <v>28</v>
      </c>
      <c r="I176" s="2" t="str">
        <f>IFERROR(VLOOKUP($D176,'Sales Data'!$C:$E,4,0),"SAME")</f>
        <v>SAME</v>
      </c>
      <c r="J176" s="2"/>
      <c r="K176" s="2" t="str">
        <f>IFERROR(VLOOKUP($D176,'Sales Data'!$C:$G,6,0),"NA")</f>
        <v>NA</v>
      </c>
      <c r="L176" s="126">
        <v>53100</v>
      </c>
      <c r="M176" s="2"/>
      <c r="N176" s="2"/>
    </row>
    <row r="177" spans="1:14" ht="14.4">
      <c r="A177" s="154" t="s">
        <v>4002</v>
      </c>
      <c r="B177" s="113">
        <v>44264</v>
      </c>
      <c r="C177" s="2" t="s">
        <v>1043</v>
      </c>
      <c r="D177" s="118" t="s">
        <v>4689</v>
      </c>
      <c r="E177" s="114">
        <v>8800787424</v>
      </c>
      <c r="F177" s="2" t="s">
        <v>319</v>
      </c>
      <c r="G177" s="2" t="s">
        <v>4378</v>
      </c>
      <c r="H177" s="2" t="s">
        <v>28</v>
      </c>
      <c r="I177" s="2" t="str">
        <f>IFERROR(VLOOKUP($D177,'Sales Data'!$C:$E,4,0),"SAME")</f>
        <v>SAME</v>
      </c>
      <c r="J177" s="2"/>
      <c r="K177" s="2" t="str">
        <f>IFERROR(VLOOKUP($D177,'Sales Data'!$C:$G,6,0),"NA")</f>
        <v>NA</v>
      </c>
      <c r="L177" s="126">
        <v>53100</v>
      </c>
      <c r="M177" s="2"/>
      <c r="N177" s="2"/>
    </row>
    <row r="178" spans="1:14" ht="14.4">
      <c r="A178" s="154" t="s">
        <v>4002</v>
      </c>
      <c r="B178" s="113">
        <v>44264</v>
      </c>
      <c r="C178" s="2" t="s">
        <v>4690</v>
      </c>
      <c r="D178" s="118" t="s">
        <v>4691</v>
      </c>
      <c r="E178" s="159">
        <v>7264922198</v>
      </c>
      <c r="F178" s="2" t="s">
        <v>291</v>
      </c>
      <c r="G178" s="2" t="s">
        <v>4378</v>
      </c>
      <c r="H178" s="2" t="s">
        <v>17</v>
      </c>
      <c r="I178" s="2" t="str">
        <f>IFERROR(VLOOKUP($D178,'Sales Data'!$C:$E,4,0),"SAME")</f>
        <v>SAME</v>
      </c>
      <c r="J178" s="2"/>
      <c r="K178" s="2" t="str">
        <f>IFERROR(VLOOKUP($D178,'Sales Data'!$C:$G,6,0),"NA")</f>
        <v>NA</v>
      </c>
      <c r="L178" s="2"/>
      <c r="M178" s="2"/>
      <c r="N178" s="2"/>
    </row>
    <row r="179" spans="1:14" ht="14.4">
      <c r="A179" s="154" t="s">
        <v>4002</v>
      </c>
      <c r="B179" s="113">
        <v>44264</v>
      </c>
      <c r="C179" s="2" t="s">
        <v>4692</v>
      </c>
      <c r="D179" s="118" t="s">
        <v>4693</v>
      </c>
      <c r="E179" s="114">
        <v>9818285939</v>
      </c>
      <c r="F179" s="2" t="s">
        <v>941</v>
      </c>
      <c r="G179" s="2" t="s">
        <v>150</v>
      </c>
      <c r="H179" s="2" t="s">
        <v>4479</v>
      </c>
      <c r="I179" s="2" t="str">
        <f>IFERROR(VLOOKUP($D179,'Sales Data'!$C:$E,4,0),"SAME")</f>
        <v>SAME</v>
      </c>
      <c r="J179" s="2"/>
      <c r="K179" s="2" t="str">
        <f>IFERROR(VLOOKUP($D179,'Sales Data'!$C:$G,6,0),"NA")</f>
        <v>NA</v>
      </c>
      <c r="L179" s="2"/>
      <c r="M179" s="2"/>
      <c r="N179" s="3" t="s">
        <v>4694</v>
      </c>
    </row>
    <row r="180" spans="1:14" ht="14.4">
      <c r="A180" s="154" t="s">
        <v>4002</v>
      </c>
      <c r="B180" s="113">
        <v>44264</v>
      </c>
      <c r="C180" s="2" t="s">
        <v>1009</v>
      </c>
      <c r="D180" s="118" t="s">
        <v>1010</v>
      </c>
      <c r="E180" s="114">
        <v>9871399081</v>
      </c>
      <c r="F180" s="2" t="s">
        <v>319</v>
      </c>
      <c r="G180" s="2" t="s">
        <v>4378</v>
      </c>
      <c r="H180" s="2" t="s">
        <v>28</v>
      </c>
      <c r="I180" s="2" t="str">
        <f>IFERROR(VLOOKUP($D180,'Sales Data'!$C:$E,4,0),"SAME")</f>
        <v>SAME</v>
      </c>
      <c r="J180" s="2"/>
      <c r="K180" s="2" t="str">
        <f>IFERROR(VLOOKUP($D180,'Sales Data'!$C:$G,6,0),"NA")</f>
        <v>NA</v>
      </c>
      <c r="L180" s="126">
        <v>45000</v>
      </c>
      <c r="M180" s="2"/>
      <c r="N180" s="2"/>
    </row>
    <row r="181" spans="1:14" ht="14.4">
      <c r="A181" s="154" t="s">
        <v>4002</v>
      </c>
      <c r="B181" s="113">
        <v>44265</v>
      </c>
      <c r="C181" s="2" t="s">
        <v>4695</v>
      </c>
      <c r="D181" s="118" t="s">
        <v>4696</v>
      </c>
      <c r="E181" s="114">
        <v>9840126436</v>
      </c>
      <c r="F181" s="2" t="s">
        <v>303</v>
      </c>
      <c r="G181" s="2" t="s">
        <v>4378</v>
      </c>
      <c r="H181" s="2" t="s">
        <v>26</v>
      </c>
      <c r="I181" s="2" t="str">
        <f>IFERROR(VLOOKUP($D181,'Sales Data'!$C:$E,4,0),"SAME")</f>
        <v>SAME</v>
      </c>
      <c r="J181" s="2"/>
      <c r="K181" s="2" t="str">
        <f>IFERROR(VLOOKUP($D181,'Sales Data'!$C:$G,6,0),"NA")</f>
        <v>NA</v>
      </c>
      <c r="L181" s="126">
        <v>53100</v>
      </c>
      <c r="M181" s="2"/>
      <c r="N181" s="2"/>
    </row>
    <row r="182" spans="1:14" ht="14.4">
      <c r="A182" s="154" t="s">
        <v>4002</v>
      </c>
      <c r="B182" s="113">
        <v>44265</v>
      </c>
      <c r="C182" s="2" t="s">
        <v>4697</v>
      </c>
      <c r="D182" s="118" t="s">
        <v>4698</v>
      </c>
      <c r="E182" s="114">
        <v>9840069603</v>
      </c>
      <c r="F182" s="2" t="s">
        <v>303</v>
      </c>
      <c r="G182" s="2" t="s">
        <v>4378</v>
      </c>
      <c r="H182" s="2" t="s">
        <v>26</v>
      </c>
      <c r="I182" s="2" t="str">
        <f>IFERROR(VLOOKUP($D182,'Sales Data'!$C:$E,4,0),"SAME")</f>
        <v>SAME</v>
      </c>
      <c r="J182" s="2"/>
      <c r="K182" s="2" t="str">
        <f>IFERROR(VLOOKUP($D182,'Sales Data'!$C:$G,6,0),"NA")</f>
        <v>NA</v>
      </c>
      <c r="L182" s="2"/>
      <c r="M182" s="2"/>
      <c r="N182" s="2"/>
    </row>
    <row r="183" spans="1:14" ht="14.4">
      <c r="A183" s="154" t="s">
        <v>4002</v>
      </c>
      <c r="B183" s="113">
        <v>44265</v>
      </c>
      <c r="C183" s="2" t="s">
        <v>4699</v>
      </c>
      <c r="D183" s="118" t="s">
        <v>4700</v>
      </c>
      <c r="E183" s="114">
        <v>9840709266</v>
      </c>
      <c r="F183" s="2" t="s">
        <v>303</v>
      </c>
      <c r="G183" s="2" t="s">
        <v>4378</v>
      </c>
      <c r="H183" s="2" t="s">
        <v>17</v>
      </c>
      <c r="I183" s="2" t="str">
        <f>IFERROR(VLOOKUP($D183,'Sales Data'!$C:$E,4,0),"SAME")</f>
        <v>SAME</v>
      </c>
      <c r="J183" s="2"/>
      <c r="K183" s="2" t="str">
        <f>IFERROR(VLOOKUP($D183,'Sales Data'!$C:$G,6,0),"NA")</f>
        <v>NA</v>
      </c>
      <c r="L183" s="2"/>
      <c r="M183" s="2"/>
      <c r="N183" s="2"/>
    </row>
    <row r="184" spans="1:14" ht="14.4">
      <c r="A184" s="154" t="s">
        <v>4002</v>
      </c>
      <c r="B184" s="113">
        <v>44265</v>
      </c>
      <c r="C184" s="2" t="s">
        <v>4701</v>
      </c>
      <c r="D184" s="118" t="s">
        <v>4702</v>
      </c>
      <c r="E184" s="114">
        <v>7838385466</v>
      </c>
      <c r="F184" s="2" t="s">
        <v>941</v>
      </c>
      <c r="G184" s="2" t="s">
        <v>7</v>
      </c>
      <c r="H184" s="2" t="s">
        <v>4479</v>
      </c>
      <c r="I184" s="2" t="str">
        <f>IFERROR(VLOOKUP($D184,'Sales Data'!$C:$E,4,0),"SAME")</f>
        <v>SAME</v>
      </c>
      <c r="J184" s="2"/>
      <c r="K184" s="2" t="str">
        <f>IFERROR(VLOOKUP($D184,'Sales Data'!$C:$G,6,0),"NA")</f>
        <v>NA</v>
      </c>
      <c r="L184" s="2"/>
      <c r="M184" s="2"/>
      <c r="N184" s="2"/>
    </row>
    <row r="185" spans="1:14" ht="14.4">
      <c r="A185" s="154" t="s">
        <v>4002</v>
      </c>
      <c r="B185" s="113">
        <v>44265</v>
      </c>
      <c r="C185" s="2" t="s">
        <v>4703</v>
      </c>
      <c r="D185" s="118" t="s">
        <v>4704</v>
      </c>
      <c r="E185" s="159">
        <v>9865986542</v>
      </c>
      <c r="F185" s="2" t="s">
        <v>291</v>
      </c>
      <c r="G185" s="2" t="s">
        <v>4378</v>
      </c>
      <c r="H185" s="2" t="s">
        <v>3997</v>
      </c>
      <c r="I185" s="2" t="str">
        <f>IFERROR(VLOOKUP($D185,'Sales Data'!$C:$E,4,0),"SAME")</f>
        <v>SAME</v>
      </c>
      <c r="J185" s="2"/>
      <c r="K185" s="2" t="str">
        <f>IFERROR(VLOOKUP($D185,'Sales Data'!$C:$G,6,0),"NA")</f>
        <v>NA</v>
      </c>
      <c r="L185" s="2"/>
      <c r="M185" s="2"/>
      <c r="N185" s="2"/>
    </row>
    <row r="186" spans="1:14" ht="14.4">
      <c r="A186" s="154" t="s">
        <v>4002</v>
      </c>
      <c r="B186" s="113">
        <v>44265</v>
      </c>
      <c r="C186" s="2" t="s">
        <v>4705</v>
      </c>
      <c r="D186" s="118" t="s">
        <v>4706</v>
      </c>
      <c r="E186" s="114">
        <v>7737357573</v>
      </c>
      <c r="F186" s="2" t="s">
        <v>306</v>
      </c>
      <c r="G186" s="2" t="s">
        <v>4378</v>
      </c>
      <c r="H186" s="2" t="s">
        <v>28</v>
      </c>
      <c r="I186" s="2" t="str">
        <f>IFERROR(VLOOKUP($D186,'Sales Data'!$C:$E,4,0),"SAME")</f>
        <v>SAME</v>
      </c>
      <c r="J186" s="2"/>
      <c r="K186" s="2" t="str">
        <f>IFERROR(VLOOKUP($D186,'Sales Data'!$C:$G,6,0),"NA")</f>
        <v>NA</v>
      </c>
      <c r="L186" s="126">
        <v>20000</v>
      </c>
      <c r="M186" s="2"/>
      <c r="N186" s="2"/>
    </row>
    <row r="187" spans="1:14" ht="14.4">
      <c r="A187" s="154" t="s">
        <v>4002</v>
      </c>
      <c r="B187" s="113">
        <v>44265</v>
      </c>
      <c r="C187" s="2" t="s">
        <v>4707</v>
      </c>
      <c r="D187" s="118" t="s">
        <v>4708</v>
      </c>
      <c r="E187" s="114">
        <v>9986632908</v>
      </c>
      <c r="F187" s="2" t="s">
        <v>303</v>
      </c>
      <c r="G187" s="2" t="s">
        <v>151</v>
      </c>
      <c r="H187" s="2" t="s">
        <v>28</v>
      </c>
      <c r="I187" s="2" t="str">
        <f>IFERROR(VLOOKUP($D187,'Sales Data'!$C:$E,4,0),"SAME")</f>
        <v>SAME</v>
      </c>
      <c r="J187" s="2"/>
      <c r="K187" s="2" t="str">
        <f>IFERROR(VLOOKUP($D187,'Sales Data'!$C:$G,6,0),"NA")</f>
        <v>NA</v>
      </c>
      <c r="L187" s="2"/>
      <c r="M187" s="2"/>
      <c r="N187" s="2"/>
    </row>
    <row r="188" spans="1:14" ht="14.4">
      <c r="A188" s="154" t="s">
        <v>4002</v>
      </c>
      <c r="B188" s="113">
        <v>44265</v>
      </c>
      <c r="C188" s="2" t="s">
        <v>4709</v>
      </c>
      <c r="D188" s="118" t="s">
        <v>1076</v>
      </c>
      <c r="E188" s="114">
        <v>9133423333</v>
      </c>
      <c r="F188" s="2" t="s">
        <v>291</v>
      </c>
      <c r="G188" s="2" t="s">
        <v>4378</v>
      </c>
      <c r="H188" s="2" t="s">
        <v>17</v>
      </c>
      <c r="I188" s="2" t="str">
        <f>IFERROR(VLOOKUP($D188,'Sales Data'!$C:$E,4,0),"SAME")</f>
        <v>SAME</v>
      </c>
      <c r="J188" s="2"/>
      <c r="K188" s="2" t="str">
        <f>IFERROR(VLOOKUP($D188,'Sales Data'!$C:$G,6,0),"NA")</f>
        <v>NA</v>
      </c>
      <c r="L188" s="2"/>
      <c r="M188" s="2"/>
      <c r="N188" s="2"/>
    </row>
    <row r="189" spans="1:14" ht="14.4">
      <c r="A189" s="154" t="s">
        <v>4002</v>
      </c>
      <c r="B189" s="113">
        <v>44266</v>
      </c>
      <c r="C189" s="2" t="s">
        <v>1026</v>
      </c>
      <c r="D189" s="118" t="s">
        <v>1027</v>
      </c>
      <c r="E189" s="114">
        <v>9940413014</v>
      </c>
      <c r="F189" s="2" t="s">
        <v>319</v>
      </c>
      <c r="G189" s="2" t="s">
        <v>6</v>
      </c>
      <c r="H189" s="2" t="s">
        <v>28</v>
      </c>
      <c r="I189" s="2" t="str">
        <f>IFERROR(VLOOKUP($D189,'Sales Data'!$C:$E,4,0),"SAME")</f>
        <v>SAME</v>
      </c>
      <c r="J189" s="2"/>
      <c r="K189" s="2" t="str">
        <f>IFERROR(VLOOKUP($D189,'Sales Data'!$C:$G,6,0),"NA")</f>
        <v>NA</v>
      </c>
      <c r="L189" s="2"/>
      <c r="M189" s="2"/>
      <c r="N189" s="2"/>
    </row>
    <row r="190" spans="1:14" ht="14.4">
      <c r="A190" s="154" t="s">
        <v>4002</v>
      </c>
      <c r="B190" s="113">
        <v>44266</v>
      </c>
      <c r="C190" s="2" t="s">
        <v>4710</v>
      </c>
      <c r="D190" s="118" t="s">
        <v>4711</v>
      </c>
      <c r="E190" s="114">
        <v>8374103399</v>
      </c>
      <c r="F190" s="2" t="s">
        <v>306</v>
      </c>
      <c r="G190" s="2" t="s">
        <v>150</v>
      </c>
      <c r="H190" s="2" t="s">
        <v>17</v>
      </c>
      <c r="I190" s="2" t="str">
        <f>IFERROR(VLOOKUP($D190,'Sales Data'!$C:$E,4,0),"SAME")</f>
        <v>SAME</v>
      </c>
      <c r="J190" s="2"/>
      <c r="K190" s="2" t="str">
        <f>IFERROR(VLOOKUP($D190,'Sales Data'!$C:$G,6,0),"NA")</f>
        <v>NA</v>
      </c>
      <c r="L190" s="2"/>
      <c r="M190" s="2"/>
      <c r="N190" s="2"/>
    </row>
    <row r="191" spans="1:14" ht="14.4">
      <c r="A191" s="154" t="s">
        <v>4002</v>
      </c>
      <c r="B191" s="113">
        <v>44266</v>
      </c>
      <c r="C191" s="2" t="s">
        <v>4712</v>
      </c>
      <c r="D191" s="118" t="s">
        <v>4713</v>
      </c>
      <c r="E191" s="114">
        <v>9632542898</v>
      </c>
      <c r="F191" s="2" t="s">
        <v>297</v>
      </c>
      <c r="G191" s="2" t="s">
        <v>151</v>
      </c>
      <c r="H191" s="2" t="s">
        <v>26</v>
      </c>
      <c r="I191" s="2" t="str">
        <f>IFERROR(VLOOKUP($D191,'Sales Data'!$C:$E,4,0),"SAME")</f>
        <v>SAME</v>
      </c>
      <c r="J191" s="2"/>
      <c r="K191" s="2" t="str">
        <f>IFERROR(VLOOKUP($D191,'Sales Data'!$C:$G,6,0),"NA")</f>
        <v>NA</v>
      </c>
      <c r="L191" s="2"/>
      <c r="M191" s="2"/>
      <c r="N191" s="2"/>
    </row>
    <row r="192" spans="1:14" ht="14.4">
      <c r="A192" s="154" t="s">
        <v>4002</v>
      </c>
      <c r="B192" s="113">
        <v>44267</v>
      </c>
      <c r="C192" s="2" t="s">
        <v>4714</v>
      </c>
      <c r="D192" s="118" t="s">
        <v>4715</v>
      </c>
      <c r="E192" s="114">
        <v>9538176767</v>
      </c>
      <c r="F192" s="2" t="s">
        <v>291</v>
      </c>
      <c r="G192" s="2" t="s">
        <v>4378</v>
      </c>
      <c r="H192" s="2" t="s">
        <v>17</v>
      </c>
      <c r="I192" s="2" t="str">
        <f>IFERROR(VLOOKUP($D192,'Sales Data'!$C:$E,4,0),"SAME")</f>
        <v>SAME</v>
      </c>
      <c r="J192" s="2"/>
      <c r="K192" s="2" t="str">
        <f>IFERROR(VLOOKUP($D192,'Sales Data'!$C:$G,6,0),"NA")</f>
        <v>NA</v>
      </c>
      <c r="L192" s="126">
        <v>45000</v>
      </c>
      <c r="M192" s="2"/>
      <c r="N192" s="2"/>
    </row>
    <row r="193" spans="1:14" ht="14.4">
      <c r="A193" s="154" t="s">
        <v>4002</v>
      </c>
      <c r="B193" s="113">
        <v>44267</v>
      </c>
      <c r="C193" s="2" t="s">
        <v>4716</v>
      </c>
      <c r="D193" s="118" t="s">
        <v>4717</v>
      </c>
      <c r="E193" s="114">
        <v>9538526111</v>
      </c>
      <c r="F193" s="2" t="s">
        <v>941</v>
      </c>
      <c r="G193" s="2" t="s">
        <v>151</v>
      </c>
      <c r="H193" s="2" t="s">
        <v>26</v>
      </c>
      <c r="I193" s="2" t="str">
        <f>IFERROR(VLOOKUP($D193,'Sales Data'!$C:$E,4,0),"SAME")</f>
        <v>SAME</v>
      </c>
      <c r="J193" s="2"/>
      <c r="K193" s="2" t="str">
        <f>IFERROR(VLOOKUP($D193,'Sales Data'!$C:$G,6,0),"NA")</f>
        <v>NA</v>
      </c>
      <c r="L193" s="2"/>
      <c r="M193" s="2"/>
      <c r="N193" s="2"/>
    </row>
    <row r="194" spans="1:14" ht="14.4">
      <c r="A194" s="154" t="s">
        <v>4002</v>
      </c>
      <c r="B194" s="113">
        <v>44267</v>
      </c>
      <c r="C194" s="2" t="s">
        <v>1024</v>
      </c>
      <c r="D194" s="118" t="s">
        <v>1025</v>
      </c>
      <c r="E194" s="114">
        <v>9958008522</v>
      </c>
      <c r="F194" s="2" t="s">
        <v>287</v>
      </c>
      <c r="G194" s="2" t="s">
        <v>151</v>
      </c>
      <c r="H194" s="2" t="s">
        <v>28</v>
      </c>
      <c r="I194" s="2" t="str">
        <f>IFERROR(VLOOKUP($D194,'Sales Data'!$C:$E,4,0),"SAME")</f>
        <v>SAME</v>
      </c>
      <c r="J194" s="2"/>
      <c r="K194" s="2" t="str">
        <f>IFERROR(VLOOKUP($D194,'Sales Data'!$C:$G,6,0),"NA")</f>
        <v>NA</v>
      </c>
      <c r="L194" s="2"/>
      <c r="M194" s="2"/>
      <c r="N194" s="2"/>
    </row>
    <row r="195" spans="1:14" ht="14.4">
      <c r="A195" s="154" t="s">
        <v>4002</v>
      </c>
      <c r="B195" s="113">
        <v>44267</v>
      </c>
      <c r="C195" s="2" t="s">
        <v>4718</v>
      </c>
      <c r="D195" s="118" t="s">
        <v>4719</v>
      </c>
      <c r="E195" s="114">
        <v>9903003160</v>
      </c>
      <c r="F195" s="2" t="s">
        <v>941</v>
      </c>
      <c r="G195" s="2" t="s">
        <v>7</v>
      </c>
      <c r="H195" s="2" t="s">
        <v>26</v>
      </c>
      <c r="I195" s="2" t="str">
        <f>IFERROR(VLOOKUP($D195,'Sales Data'!$C:$E,4,0),"SAME")</f>
        <v>SAME</v>
      </c>
      <c r="J195" s="2"/>
      <c r="K195" s="2" t="str">
        <f>IFERROR(VLOOKUP($D195,'Sales Data'!$C:$G,6,0),"NA")</f>
        <v>NA</v>
      </c>
      <c r="L195" s="2"/>
      <c r="M195" s="2"/>
      <c r="N195" s="2"/>
    </row>
    <row r="196" spans="1:14" ht="14.4">
      <c r="A196" s="154" t="s">
        <v>4002</v>
      </c>
      <c r="B196" s="113">
        <v>44268</v>
      </c>
      <c r="C196" s="2" t="s">
        <v>4720</v>
      </c>
      <c r="D196" s="118" t="s">
        <v>4721</v>
      </c>
      <c r="E196" s="114">
        <v>8374647243</v>
      </c>
      <c r="F196" s="2" t="s">
        <v>303</v>
      </c>
      <c r="G196" s="2" t="s">
        <v>4378</v>
      </c>
      <c r="H196" s="2" t="s">
        <v>26</v>
      </c>
      <c r="I196" s="2" t="str">
        <f>IFERROR(VLOOKUP($D196,'Sales Data'!$C:$E,4,0),"SAME")</f>
        <v>SAME</v>
      </c>
      <c r="J196" s="2"/>
      <c r="K196" s="2" t="str">
        <f>IFERROR(VLOOKUP($D196,'Sales Data'!$C:$G,6,0),"NA")</f>
        <v>NA</v>
      </c>
      <c r="L196" s="2"/>
      <c r="M196" s="2"/>
      <c r="N196" s="2"/>
    </row>
    <row r="197" spans="1:14" ht="14.4">
      <c r="A197" s="154" t="s">
        <v>4002</v>
      </c>
      <c r="B197" s="113">
        <v>44268</v>
      </c>
      <c r="C197" s="2" t="s">
        <v>4722</v>
      </c>
      <c r="D197" s="118" t="s">
        <v>4723</v>
      </c>
      <c r="E197" s="114">
        <v>9830528933</v>
      </c>
      <c r="F197" s="2" t="s">
        <v>303</v>
      </c>
      <c r="G197" s="2" t="s">
        <v>4378</v>
      </c>
      <c r="H197" s="2" t="s">
        <v>17</v>
      </c>
      <c r="I197" s="2" t="str">
        <f>IFERROR(VLOOKUP($D197,'Sales Data'!$C:$E,4,0),"SAME")</f>
        <v>SAME</v>
      </c>
      <c r="J197" s="2"/>
      <c r="K197" s="2" t="str">
        <f>IFERROR(VLOOKUP($D197,'Sales Data'!$C:$G,6,0),"NA")</f>
        <v>NA</v>
      </c>
      <c r="L197" s="126">
        <v>45000</v>
      </c>
      <c r="M197" s="2"/>
      <c r="N197" s="2"/>
    </row>
    <row r="198" spans="1:14" ht="14.4">
      <c r="A198" s="154" t="s">
        <v>4002</v>
      </c>
      <c r="B198" s="113">
        <v>44268</v>
      </c>
      <c r="C198" s="2" t="s">
        <v>4724</v>
      </c>
      <c r="D198" s="118" t="s">
        <v>4725</v>
      </c>
      <c r="E198" s="114">
        <v>9962937121</v>
      </c>
      <c r="F198" s="2" t="s">
        <v>319</v>
      </c>
      <c r="G198" s="2" t="s">
        <v>6</v>
      </c>
      <c r="H198" s="2" t="s">
        <v>17</v>
      </c>
      <c r="I198" s="2" t="str">
        <f>IFERROR(VLOOKUP($D198,'Sales Data'!$C:$E,4,0),"SAME")</f>
        <v>SAME</v>
      </c>
      <c r="J198" s="2"/>
      <c r="K198" s="2" t="str">
        <f>IFERROR(VLOOKUP($D198,'Sales Data'!$C:$G,6,0),"NA")</f>
        <v>NA</v>
      </c>
      <c r="L198" s="2"/>
      <c r="M198" s="2"/>
      <c r="N198" s="2"/>
    </row>
    <row r="199" spans="1:14" ht="14.4">
      <c r="A199" s="154" t="s">
        <v>4002</v>
      </c>
      <c r="B199" s="113">
        <v>44268</v>
      </c>
      <c r="C199" s="2" t="s">
        <v>1805</v>
      </c>
      <c r="D199" s="118" t="s">
        <v>4726</v>
      </c>
      <c r="E199" s="161">
        <v>9567021242</v>
      </c>
      <c r="F199" s="2" t="s">
        <v>303</v>
      </c>
      <c r="G199" s="2" t="s">
        <v>7</v>
      </c>
      <c r="H199" s="2" t="s">
        <v>28</v>
      </c>
      <c r="I199" s="2" t="str">
        <f>IFERROR(VLOOKUP($D199,'Sales Data'!$C:$E,4,0),"SAME")</f>
        <v>SAME</v>
      </c>
      <c r="J199" s="2"/>
      <c r="K199" s="2" t="str">
        <f>IFERROR(VLOOKUP($D199,'Sales Data'!$C:$G,6,0),"NA")</f>
        <v>NA</v>
      </c>
      <c r="L199" s="2"/>
      <c r="M199" s="2"/>
      <c r="N199" s="2"/>
    </row>
    <row r="200" spans="1:14" ht="14.4">
      <c r="A200" s="154" t="s">
        <v>4002</v>
      </c>
      <c r="B200" s="113">
        <v>44269</v>
      </c>
      <c r="C200" s="2" t="s">
        <v>4727</v>
      </c>
      <c r="D200" s="118" t="s">
        <v>4728</v>
      </c>
      <c r="E200" s="2" t="s">
        <v>1294</v>
      </c>
      <c r="F200" s="2" t="s">
        <v>303</v>
      </c>
      <c r="G200" s="2" t="s">
        <v>151</v>
      </c>
      <c r="H200" s="2" t="s">
        <v>1294</v>
      </c>
      <c r="I200" s="2" t="str">
        <f>IFERROR(VLOOKUP($D200,'Sales Data'!$C:$E,4,0),"SAME")</f>
        <v>SAME</v>
      </c>
      <c r="J200" s="2"/>
      <c r="K200" s="2" t="str">
        <f>IFERROR(VLOOKUP($D200,'Sales Data'!$C:$G,6,0),"NA")</f>
        <v>NA</v>
      </c>
      <c r="L200" s="2"/>
      <c r="M200" s="2"/>
      <c r="N200" s="2"/>
    </row>
    <row r="201" spans="1:14" ht="14.4">
      <c r="A201" s="154" t="s">
        <v>4002</v>
      </c>
      <c r="B201" s="113">
        <v>44269</v>
      </c>
      <c r="C201" s="2" t="s">
        <v>4729</v>
      </c>
      <c r="D201" s="118" t="s">
        <v>4730</v>
      </c>
      <c r="E201" s="114">
        <v>9879189107</v>
      </c>
      <c r="F201" s="2" t="s">
        <v>941</v>
      </c>
      <c r="G201" s="2" t="s">
        <v>7</v>
      </c>
      <c r="H201" s="3" t="s">
        <v>4731</v>
      </c>
      <c r="I201" s="2" t="str">
        <f>IFERROR(VLOOKUP($D201,'Sales Data'!$C:$E,4,0),"SAME")</f>
        <v>SAME</v>
      </c>
      <c r="J201" s="2"/>
      <c r="K201" s="2" t="str">
        <f>IFERROR(VLOOKUP($D201,'Sales Data'!$C:$G,6,0),"NA")</f>
        <v>NA</v>
      </c>
      <c r="L201" s="126">
        <v>53100</v>
      </c>
      <c r="M201" s="2"/>
      <c r="N201" s="2"/>
    </row>
    <row r="202" spans="1:14" ht="14.4">
      <c r="A202" s="154" t="s">
        <v>4002</v>
      </c>
      <c r="B202" s="113">
        <v>44269</v>
      </c>
      <c r="C202" s="2" t="s">
        <v>4732</v>
      </c>
      <c r="D202" s="118" t="s">
        <v>4733</v>
      </c>
      <c r="E202" s="2" t="s">
        <v>1294</v>
      </c>
      <c r="F202" s="2" t="s">
        <v>303</v>
      </c>
      <c r="G202" s="2" t="s">
        <v>4378</v>
      </c>
      <c r="H202" s="2" t="s">
        <v>1294</v>
      </c>
      <c r="I202" s="2" t="str">
        <f>IFERROR(VLOOKUP($D202,'Sales Data'!$C:$E,4,0),"SAME")</f>
        <v>SAME</v>
      </c>
      <c r="J202" s="2"/>
      <c r="K202" s="2" t="str">
        <f>IFERROR(VLOOKUP($D202,'Sales Data'!$C:$G,6,0),"NA")</f>
        <v>NA</v>
      </c>
      <c r="L202" s="2"/>
      <c r="M202" s="2"/>
      <c r="N202" s="2"/>
    </row>
    <row r="203" spans="1:14" ht="14.4">
      <c r="A203" s="154" t="s">
        <v>4002</v>
      </c>
      <c r="B203" s="113">
        <v>44270</v>
      </c>
      <c r="C203" s="2" t="s">
        <v>1032</v>
      </c>
      <c r="D203" s="118" t="s">
        <v>4734</v>
      </c>
      <c r="E203" s="114">
        <v>8921126691</v>
      </c>
      <c r="F203" s="2" t="s">
        <v>303</v>
      </c>
      <c r="G203" s="2" t="s">
        <v>151</v>
      </c>
      <c r="H203" s="2" t="s">
        <v>28</v>
      </c>
      <c r="I203" s="2" t="str">
        <f>IFERROR(VLOOKUP($D203,'Sales Data'!$C:$E,4,0),"SAME")</f>
        <v>SAME</v>
      </c>
      <c r="J203" s="2"/>
      <c r="K203" s="2" t="str">
        <f>IFERROR(VLOOKUP($D203,'Sales Data'!$C:$G,6,0),"NA")</f>
        <v>NA</v>
      </c>
      <c r="L203" s="2"/>
      <c r="M203" s="2"/>
      <c r="N203" s="2"/>
    </row>
    <row r="204" spans="1:14" ht="14.4">
      <c r="A204" s="154" t="s">
        <v>4002</v>
      </c>
      <c r="B204" s="113">
        <v>44270</v>
      </c>
      <c r="C204" s="2" t="s">
        <v>4735</v>
      </c>
      <c r="D204" s="118" t="s">
        <v>4736</v>
      </c>
      <c r="E204" s="114">
        <v>7892707320</v>
      </c>
      <c r="F204" s="2" t="s">
        <v>303</v>
      </c>
      <c r="G204" s="2" t="s">
        <v>150</v>
      </c>
      <c r="H204" s="2" t="s">
        <v>26</v>
      </c>
      <c r="I204" s="2" t="str">
        <f>IFERROR(VLOOKUP($D204,'Sales Data'!$C:$E,4,0),"SAME")</f>
        <v>SAME</v>
      </c>
      <c r="J204" s="2"/>
      <c r="K204" s="2" t="str">
        <f>IFERROR(VLOOKUP($D204,'Sales Data'!$C:$G,6,0),"NA")</f>
        <v>NA</v>
      </c>
      <c r="L204" s="2"/>
      <c r="M204" s="2"/>
      <c r="N204" s="2"/>
    </row>
    <row r="205" spans="1:14" ht="14.4">
      <c r="A205" s="154" t="s">
        <v>4002</v>
      </c>
      <c r="B205" s="113">
        <v>44270</v>
      </c>
      <c r="C205" s="2" t="s">
        <v>1035</v>
      </c>
      <c r="D205" s="118" t="s">
        <v>1036</v>
      </c>
      <c r="E205" s="114">
        <v>9886031436</v>
      </c>
      <c r="F205" s="2" t="s">
        <v>297</v>
      </c>
      <c r="G205" s="2" t="s">
        <v>151</v>
      </c>
      <c r="H205" s="2" t="s">
        <v>28</v>
      </c>
      <c r="I205" s="2" t="str">
        <f>IFERROR(VLOOKUP($D205,'Sales Data'!$C:$E,4,0),"SAME")</f>
        <v>SAME</v>
      </c>
      <c r="J205" s="2"/>
      <c r="K205" s="2" t="str">
        <f>IFERROR(VLOOKUP($D205,'Sales Data'!$C:$G,6,0),"NA")</f>
        <v>NA</v>
      </c>
      <c r="L205" s="2"/>
      <c r="M205" s="2"/>
      <c r="N205" s="2"/>
    </row>
    <row r="206" spans="1:14" ht="14.4">
      <c r="A206" s="154" t="s">
        <v>4002</v>
      </c>
      <c r="B206" s="113">
        <v>44270</v>
      </c>
      <c r="C206" s="2" t="s">
        <v>1045</v>
      </c>
      <c r="D206" s="118" t="s">
        <v>1046</v>
      </c>
      <c r="E206" s="114">
        <v>9970130002</v>
      </c>
      <c r="F206" s="2" t="s">
        <v>303</v>
      </c>
      <c r="G206" s="2" t="s">
        <v>4378</v>
      </c>
      <c r="H206" s="2" t="s">
        <v>28</v>
      </c>
      <c r="I206" s="2" t="str">
        <f>IFERROR(VLOOKUP($D206,'Sales Data'!$C:$E,4,0),"SAME")</f>
        <v>SAME</v>
      </c>
      <c r="J206" s="2"/>
      <c r="K206" s="2" t="str">
        <f>IFERROR(VLOOKUP($D206,'Sales Data'!$C:$G,6,0),"NA")</f>
        <v>NA</v>
      </c>
      <c r="L206" s="2"/>
      <c r="M206" s="2"/>
      <c r="N206" s="2"/>
    </row>
    <row r="207" spans="1:14" ht="14.4">
      <c r="A207" s="154" t="s">
        <v>4002</v>
      </c>
      <c r="B207" s="113">
        <v>44270</v>
      </c>
      <c r="C207" s="2" t="s">
        <v>4737</v>
      </c>
      <c r="D207" s="118" t="s">
        <v>4738</v>
      </c>
      <c r="E207" s="114">
        <v>9818180252</v>
      </c>
      <c r="F207" s="2" t="s">
        <v>319</v>
      </c>
      <c r="G207" s="2" t="s">
        <v>151</v>
      </c>
      <c r="H207" s="2" t="s">
        <v>17</v>
      </c>
      <c r="I207" s="2" t="str">
        <f>IFERROR(VLOOKUP($D207,'Sales Data'!$C:$E,4,0),"SAME")</f>
        <v>SAME</v>
      </c>
      <c r="J207" s="2"/>
      <c r="K207" s="2" t="str">
        <f>IFERROR(VLOOKUP($D207,'Sales Data'!$C:$G,6,0),"NA")</f>
        <v>NA</v>
      </c>
      <c r="L207" s="2"/>
      <c r="M207" s="2"/>
      <c r="N207" s="2"/>
    </row>
    <row r="208" spans="1:14" ht="14.4">
      <c r="A208" s="154" t="s">
        <v>4002</v>
      </c>
      <c r="B208" s="113">
        <v>44271</v>
      </c>
      <c r="C208" s="2" t="s">
        <v>4739</v>
      </c>
      <c r="D208" s="118" t="s">
        <v>4740</v>
      </c>
      <c r="E208" s="114">
        <v>9611857311</v>
      </c>
      <c r="F208" s="2" t="s">
        <v>303</v>
      </c>
      <c r="G208" s="2" t="s">
        <v>4378</v>
      </c>
      <c r="H208" s="2" t="s">
        <v>17</v>
      </c>
      <c r="I208" s="2" t="str">
        <f>IFERROR(VLOOKUP($D208,'Sales Data'!$C:$E,4,0),"SAME")</f>
        <v>SAME</v>
      </c>
      <c r="J208" s="2"/>
      <c r="K208" s="2" t="str">
        <f>IFERROR(VLOOKUP($D208,'Sales Data'!$C:$G,6,0),"NA")</f>
        <v>NA</v>
      </c>
      <c r="L208" s="126">
        <v>45000</v>
      </c>
      <c r="M208" s="2"/>
      <c r="N208" s="2"/>
    </row>
    <row r="209" spans="1:14" ht="14.4">
      <c r="A209" s="154" t="s">
        <v>4002</v>
      </c>
      <c r="B209" s="113">
        <v>44271</v>
      </c>
      <c r="C209" s="2" t="s">
        <v>4741</v>
      </c>
      <c r="D209" s="118" t="s">
        <v>4742</v>
      </c>
      <c r="E209" s="114">
        <v>9205474086</v>
      </c>
      <c r="F209" s="2" t="s">
        <v>287</v>
      </c>
      <c r="G209" s="2" t="s">
        <v>151</v>
      </c>
      <c r="H209" s="2" t="s">
        <v>17</v>
      </c>
      <c r="I209" s="2" t="str">
        <f>IFERROR(VLOOKUP($D209,'Sales Data'!$C:$E,4,0),"SAME")</f>
        <v>SAME</v>
      </c>
      <c r="J209" s="2"/>
      <c r="K209" s="2" t="str">
        <f>IFERROR(VLOOKUP($D209,'Sales Data'!$C:$G,6,0),"NA")</f>
        <v>NA</v>
      </c>
      <c r="L209" s="2"/>
      <c r="M209" s="2"/>
      <c r="N209" s="2"/>
    </row>
    <row r="210" spans="1:14" ht="14.4">
      <c r="A210" s="154" t="s">
        <v>4002</v>
      </c>
      <c r="B210" s="113">
        <v>44271</v>
      </c>
      <c r="C210" s="2" t="s">
        <v>801</v>
      </c>
      <c r="D210" s="118" t="s">
        <v>4743</v>
      </c>
      <c r="E210" s="2" t="s">
        <v>4400</v>
      </c>
      <c r="F210" s="2" t="s">
        <v>4400</v>
      </c>
      <c r="G210" s="2" t="s">
        <v>7</v>
      </c>
      <c r="H210" s="2" t="s">
        <v>4400</v>
      </c>
      <c r="I210" s="2" t="str">
        <f>IFERROR(VLOOKUP($D210,'Sales Data'!$C:$E,4,0),"SAME")</f>
        <v>SAME</v>
      </c>
      <c r="J210" s="2"/>
      <c r="K210" s="2" t="str">
        <f>IFERROR(VLOOKUP($D210,'Sales Data'!$C:$G,6,0),"NA")</f>
        <v>NA</v>
      </c>
      <c r="L210" s="2"/>
      <c r="M210" s="2"/>
      <c r="N210" s="2"/>
    </row>
    <row r="211" spans="1:14" ht="14.4">
      <c r="A211" s="154" t="s">
        <v>4002</v>
      </c>
      <c r="B211" s="113">
        <v>44271</v>
      </c>
      <c r="C211" s="2" t="s">
        <v>4744</v>
      </c>
      <c r="D211" s="118" t="s">
        <v>4745</v>
      </c>
      <c r="E211" s="114">
        <v>6369948441</v>
      </c>
      <c r="F211" s="2" t="s">
        <v>319</v>
      </c>
      <c r="G211" s="2" t="s">
        <v>150</v>
      </c>
      <c r="H211" s="2" t="s">
        <v>17</v>
      </c>
      <c r="I211" s="2" t="str">
        <f>IFERROR(VLOOKUP($D211,'Sales Data'!$C:$E,4,0),"SAME")</f>
        <v>SAME</v>
      </c>
      <c r="J211" s="2"/>
      <c r="K211" s="2" t="str">
        <f>IFERROR(VLOOKUP($D211,'Sales Data'!$C:$G,6,0),"NA")</f>
        <v>NA</v>
      </c>
      <c r="L211" s="2"/>
      <c r="M211" s="2"/>
      <c r="N211" s="2"/>
    </row>
    <row r="212" spans="1:14" ht="14.4">
      <c r="A212" s="154" t="s">
        <v>4002</v>
      </c>
      <c r="B212" s="113">
        <v>44272</v>
      </c>
      <c r="C212" s="2" t="s">
        <v>4746</v>
      </c>
      <c r="D212" s="118" t="s">
        <v>4747</v>
      </c>
      <c r="E212" s="114">
        <v>9611154109</v>
      </c>
      <c r="F212" s="2" t="s">
        <v>319</v>
      </c>
      <c r="G212" s="2" t="s">
        <v>6</v>
      </c>
      <c r="H212" s="2" t="s">
        <v>26</v>
      </c>
      <c r="I212" s="2" t="str">
        <f>IFERROR(VLOOKUP($D212,'Sales Data'!$C:$E,4,0),"SAME")</f>
        <v>SAME</v>
      </c>
      <c r="J212" s="2"/>
      <c r="K212" s="2" t="str">
        <f>IFERROR(VLOOKUP($D212,'Sales Data'!$C:$G,6,0),"NA")</f>
        <v>NA</v>
      </c>
      <c r="L212" s="2"/>
      <c r="M212" s="2"/>
      <c r="N212" s="2"/>
    </row>
    <row r="213" spans="1:14" ht="14.4">
      <c r="A213" s="154" t="s">
        <v>4002</v>
      </c>
      <c r="B213" s="113">
        <v>44272</v>
      </c>
      <c r="C213" s="2" t="s">
        <v>4748</v>
      </c>
      <c r="D213" s="118" t="s">
        <v>4749</v>
      </c>
      <c r="E213" s="114">
        <v>9033969313</v>
      </c>
      <c r="F213" s="2" t="s">
        <v>319</v>
      </c>
      <c r="G213" s="2" t="s">
        <v>4378</v>
      </c>
      <c r="H213" s="2" t="s">
        <v>17</v>
      </c>
      <c r="I213" s="2" t="str">
        <f>IFERROR(VLOOKUP($D213,'Sales Data'!$C:$E,4,0),"SAME")</f>
        <v>SAME</v>
      </c>
      <c r="J213" s="2"/>
      <c r="K213" s="2" t="str">
        <f>IFERROR(VLOOKUP($D213,'Sales Data'!$C:$G,6,0),"NA")</f>
        <v>NA</v>
      </c>
      <c r="L213" s="2"/>
      <c r="M213" s="2"/>
      <c r="N213" s="2"/>
    </row>
    <row r="214" spans="1:14" ht="14.4">
      <c r="A214" s="154" t="s">
        <v>4002</v>
      </c>
      <c r="B214" s="113">
        <v>44272</v>
      </c>
      <c r="C214" s="2" t="s">
        <v>4750</v>
      </c>
      <c r="D214" s="118" t="s">
        <v>4751</v>
      </c>
      <c r="E214" s="114">
        <v>9969325218</v>
      </c>
      <c r="F214" s="2" t="s">
        <v>319</v>
      </c>
      <c r="G214" s="2" t="s">
        <v>4378</v>
      </c>
      <c r="H214" s="2" t="s">
        <v>26</v>
      </c>
      <c r="I214" s="2" t="str">
        <f>IFERROR(VLOOKUP($D214,'Sales Data'!$C:$E,4,0),"SAME")</f>
        <v>SAME</v>
      </c>
      <c r="J214" s="2"/>
      <c r="K214" s="2" t="str">
        <f>IFERROR(VLOOKUP($D214,'Sales Data'!$C:$G,6,0),"NA")</f>
        <v>NA</v>
      </c>
      <c r="L214" s="2"/>
      <c r="M214" s="2"/>
      <c r="N214" s="2"/>
    </row>
    <row r="215" spans="1:14" ht="14.4">
      <c r="A215" s="154" t="s">
        <v>4002</v>
      </c>
      <c r="B215" s="113">
        <v>44272</v>
      </c>
      <c r="C215" s="2" t="s">
        <v>1052</v>
      </c>
      <c r="D215" s="118" t="s">
        <v>1053</v>
      </c>
      <c r="E215" s="114">
        <v>8806340010</v>
      </c>
      <c r="F215" s="2" t="s">
        <v>319</v>
      </c>
      <c r="G215" s="2" t="s">
        <v>151</v>
      </c>
      <c r="H215" s="2" t="s">
        <v>28</v>
      </c>
      <c r="I215" s="2" t="str">
        <f>IFERROR(VLOOKUP($D215,'Sales Data'!$C:$E,4,0),"SAME")</f>
        <v>SAME</v>
      </c>
      <c r="J215" s="2"/>
      <c r="K215" s="2" t="str">
        <f>IFERROR(VLOOKUP($D215,'Sales Data'!$C:$G,6,0),"NA")</f>
        <v>NA</v>
      </c>
      <c r="L215" s="2"/>
      <c r="M215" s="2"/>
      <c r="N215" s="2"/>
    </row>
    <row r="216" spans="1:14" ht="14.4">
      <c r="A216" s="154" t="s">
        <v>4002</v>
      </c>
      <c r="B216" s="113">
        <v>44272</v>
      </c>
      <c r="C216" s="2" t="s">
        <v>4752</v>
      </c>
      <c r="D216" s="118" t="s">
        <v>4753</v>
      </c>
      <c r="E216" s="114">
        <v>9894616997</v>
      </c>
      <c r="F216" s="2" t="s">
        <v>319</v>
      </c>
      <c r="G216" s="2" t="s">
        <v>6</v>
      </c>
      <c r="H216" s="2" t="s">
        <v>17</v>
      </c>
      <c r="I216" s="2" t="str">
        <f>IFERROR(VLOOKUP($D216,'Sales Data'!$C:$E,4,0),"SAME")</f>
        <v>SAME</v>
      </c>
      <c r="J216" s="2"/>
      <c r="K216" s="2" t="str">
        <f>IFERROR(VLOOKUP($D216,'Sales Data'!$C:$G,6,0),"NA")</f>
        <v>NA</v>
      </c>
      <c r="L216" s="2"/>
      <c r="M216" s="2"/>
      <c r="N216" s="2"/>
    </row>
    <row r="217" spans="1:14" ht="14.4">
      <c r="A217" s="154" t="s">
        <v>4002</v>
      </c>
      <c r="B217" s="113">
        <v>44272</v>
      </c>
      <c r="C217" s="2" t="s">
        <v>4754</v>
      </c>
      <c r="D217" s="118" t="s">
        <v>1319</v>
      </c>
      <c r="E217" s="161">
        <v>9611566448</v>
      </c>
      <c r="F217" s="2" t="s">
        <v>319</v>
      </c>
      <c r="G217" s="2" t="s">
        <v>4378</v>
      </c>
      <c r="H217" s="2" t="s">
        <v>4755</v>
      </c>
      <c r="I217" s="2" t="str">
        <f>IFERROR(VLOOKUP($D217,'Sales Data'!$C:$E,4,0),"SAME")</f>
        <v>SAME</v>
      </c>
      <c r="J217" s="2"/>
      <c r="K217" s="2" t="str">
        <f>IFERROR(VLOOKUP($D217,'Sales Data'!$C:$G,6,0),"NA")</f>
        <v>NA</v>
      </c>
      <c r="L217" s="126">
        <v>45000</v>
      </c>
      <c r="M217" s="2"/>
      <c r="N217" s="2"/>
    </row>
    <row r="218" spans="1:14" ht="14.4">
      <c r="A218" s="154" t="s">
        <v>4002</v>
      </c>
      <c r="B218" s="113">
        <v>44273</v>
      </c>
      <c r="C218" s="2" t="s">
        <v>2171</v>
      </c>
      <c r="D218" s="118" t="s">
        <v>4756</v>
      </c>
      <c r="E218" s="161">
        <v>9786619288</v>
      </c>
      <c r="F218" s="2" t="s">
        <v>303</v>
      </c>
      <c r="G218" s="2" t="s">
        <v>4378</v>
      </c>
      <c r="H218" s="2" t="s">
        <v>17</v>
      </c>
      <c r="I218" s="2" t="str">
        <f>IFERROR(VLOOKUP($D218,'Sales Data'!$C:$E,4,0),"SAME")</f>
        <v>SAME</v>
      </c>
      <c r="J218" s="2"/>
      <c r="K218" s="2" t="str">
        <f>IFERROR(VLOOKUP($D218,'Sales Data'!$C:$G,6,0),"NA")</f>
        <v>NA</v>
      </c>
      <c r="L218" s="2"/>
      <c r="M218" s="2"/>
      <c r="N218" s="2"/>
    </row>
    <row r="219" spans="1:14" ht="14.4">
      <c r="A219" s="154" t="s">
        <v>4002</v>
      </c>
      <c r="B219" s="113">
        <v>44273</v>
      </c>
      <c r="C219" s="2" t="s">
        <v>4757</v>
      </c>
      <c r="D219" s="118" t="s">
        <v>4758</v>
      </c>
      <c r="E219" s="161">
        <v>9895331977</v>
      </c>
      <c r="F219" s="2" t="s">
        <v>303</v>
      </c>
      <c r="G219" s="2" t="s">
        <v>150</v>
      </c>
      <c r="H219" s="2" t="s">
        <v>17</v>
      </c>
      <c r="I219" s="2" t="str">
        <f>IFERROR(VLOOKUP($D219,'Sales Data'!$C:$E,4,0),"SAME")</f>
        <v>SAME</v>
      </c>
      <c r="J219" s="2"/>
      <c r="K219" s="2" t="str">
        <f>IFERROR(VLOOKUP($D219,'Sales Data'!$C:$G,6,0),"NA")</f>
        <v>NA</v>
      </c>
      <c r="L219" s="2"/>
      <c r="M219" s="2"/>
      <c r="N219" s="2"/>
    </row>
    <row r="220" spans="1:14" ht="14.4">
      <c r="A220" s="154" t="s">
        <v>4002</v>
      </c>
      <c r="B220" s="113">
        <v>44274</v>
      </c>
      <c r="C220" s="2" t="s">
        <v>4759</v>
      </c>
      <c r="D220" s="118" t="s">
        <v>4760</v>
      </c>
      <c r="E220" s="114">
        <v>7766912630</v>
      </c>
      <c r="F220" s="2" t="s">
        <v>291</v>
      </c>
      <c r="G220" s="2" t="s">
        <v>4378</v>
      </c>
      <c r="H220" s="2" t="s">
        <v>26</v>
      </c>
      <c r="I220" s="2" t="str">
        <f>IFERROR(VLOOKUP($D220,'Sales Data'!$C:$E,4,0),"SAME")</f>
        <v>SAME</v>
      </c>
      <c r="J220" s="2"/>
      <c r="K220" s="2" t="str">
        <f>IFERROR(VLOOKUP($D220,'Sales Data'!$C:$G,6,0),"NA")</f>
        <v>NA</v>
      </c>
      <c r="L220" s="2"/>
      <c r="M220" s="2"/>
      <c r="N220" s="2"/>
    </row>
    <row r="221" spans="1:14" ht="14.4">
      <c r="A221" s="154" t="s">
        <v>4002</v>
      </c>
      <c r="B221" s="113">
        <v>44274</v>
      </c>
      <c r="C221" s="2" t="s">
        <v>4761</v>
      </c>
      <c r="D221" s="118" t="s">
        <v>4762</v>
      </c>
      <c r="E221" s="114">
        <v>8123344946</v>
      </c>
      <c r="F221" s="2" t="s">
        <v>303</v>
      </c>
      <c r="G221" s="2" t="s">
        <v>6</v>
      </c>
      <c r="H221" s="2" t="s">
        <v>26</v>
      </c>
      <c r="I221" s="2" t="str">
        <f>IFERROR(VLOOKUP($D221,'Sales Data'!$C:$E,4,0),"SAME")</f>
        <v>SAME</v>
      </c>
      <c r="J221" s="2"/>
      <c r="K221" s="2" t="str">
        <f>IFERROR(VLOOKUP($D221,'Sales Data'!$C:$G,6,0),"NA")</f>
        <v>NA</v>
      </c>
      <c r="L221" s="2"/>
      <c r="M221" s="2"/>
      <c r="N221" s="2"/>
    </row>
    <row r="222" spans="1:14" ht="14.4">
      <c r="A222" s="154" t="s">
        <v>4002</v>
      </c>
      <c r="B222" s="113">
        <v>44274</v>
      </c>
      <c r="C222" s="2" t="s">
        <v>4763</v>
      </c>
      <c r="D222" s="118" t="s">
        <v>4764</v>
      </c>
      <c r="E222" s="161">
        <v>9958597496</v>
      </c>
      <c r="F222" s="2" t="s">
        <v>303</v>
      </c>
      <c r="G222" s="2" t="s">
        <v>4378</v>
      </c>
      <c r="H222" s="2" t="s">
        <v>28</v>
      </c>
      <c r="I222" s="2" t="str">
        <f>IFERROR(VLOOKUP($D222,'Sales Data'!$C:$E,4,0),"SAME")</f>
        <v>SAME</v>
      </c>
      <c r="J222" s="2"/>
      <c r="K222" s="2" t="str">
        <f>IFERROR(VLOOKUP($D222,'Sales Data'!$C:$G,6,0),"NA")</f>
        <v>NA</v>
      </c>
      <c r="L222" s="2"/>
      <c r="M222" s="2"/>
      <c r="N222" s="2"/>
    </row>
    <row r="223" spans="1:14" ht="14.4">
      <c r="A223" s="154" t="s">
        <v>4002</v>
      </c>
      <c r="B223" s="113">
        <v>44274</v>
      </c>
      <c r="C223" s="2" t="s">
        <v>4765</v>
      </c>
      <c r="D223" s="118" t="s">
        <v>1388</v>
      </c>
      <c r="E223" s="161">
        <v>8141444615</v>
      </c>
      <c r="F223" s="2" t="s">
        <v>297</v>
      </c>
      <c r="G223" s="2" t="s">
        <v>151</v>
      </c>
      <c r="H223" s="2" t="s">
        <v>17</v>
      </c>
      <c r="I223" s="2" t="str">
        <f>IFERROR(VLOOKUP($D223,'Sales Data'!$C:$E,4,0),"SAME")</f>
        <v>SAME</v>
      </c>
      <c r="J223" s="2"/>
      <c r="K223" s="2" t="str">
        <f>IFERROR(VLOOKUP($D223,'Sales Data'!$C:$G,6,0),"NA")</f>
        <v>NA</v>
      </c>
      <c r="L223" s="2"/>
      <c r="M223" s="2"/>
      <c r="N223" s="2"/>
    </row>
    <row r="224" spans="1:14" ht="14.4">
      <c r="A224" s="154" t="s">
        <v>4002</v>
      </c>
      <c r="B224" s="113">
        <v>44276</v>
      </c>
      <c r="C224" s="2" t="s">
        <v>4766</v>
      </c>
      <c r="D224" s="118" t="s">
        <v>4767</v>
      </c>
      <c r="E224" s="114">
        <v>9730333148</v>
      </c>
      <c r="F224" s="2" t="s">
        <v>303</v>
      </c>
      <c r="G224" s="2" t="s">
        <v>4378</v>
      </c>
      <c r="H224" s="2" t="s">
        <v>26</v>
      </c>
      <c r="I224" s="2" t="str">
        <f>IFERROR(VLOOKUP($D224,'Sales Data'!$C:$E,4,0),"SAME")</f>
        <v>SAME</v>
      </c>
      <c r="J224" s="2"/>
      <c r="K224" s="2" t="str">
        <f>IFERROR(VLOOKUP($D224,'Sales Data'!$C:$G,6,0),"NA")</f>
        <v>NA</v>
      </c>
      <c r="L224" s="2"/>
      <c r="M224" s="2"/>
      <c r="N224" s="2"/>
    </row>
    <row r="225" spans="1:14" ht="14.4">
      <c r="A225" s="154" t="s">
        <v>4002</v>
      </c>
      <c r="B225" s="113">
        <v>44276</v>
      </c>
      <c r="C225" s="2" t="s">
        <v>1058</v>
      </c>
      <c r="D225" s="118" t="s">
        <v>1059</v>
      </c>
      <c r="E225" s="114">
        <v>8104492391</v>
      </c>
      <c r="F225" s="2" t="s">
        <v>319</v>
      </c>
      <c r="G225" s="2" t="s">
        <v>4378</v>
      </c>
      <c r="H225" s="2" t="s">
        <v>28</v>
      </c>
      <c r="I225" s="2" t="str">
        <f>IFERROR(VLOOKUP($D225,'Sales Data'!$C:$E,4,0),"SAME")</f>
        <v>SAME</v>
      </c>
      <c r="J225" s="2"/>
      <c r="K225" s="2" t="str">
        <f>IFERROR(VLOOKUP($D225,'Sales Data'!$C:$G,6,0),"NA")</f>
        <v>NA</v>
      </c>
      <c r="L225" s="126">
        <v>45000</v>
      </c>
      <c r="M225" s="2"/>
      <c r="N225" s="2"/>
    </row>
    <row r="226" spans="1:14" ht="14.4">
      <c r="A226" s="154" t="s">
        <v>4002</v>
      </c>
      <c r="B226" s="113">
        <v>44277</v>
      </c>
      <c r="C226" s="2" t="s">
        <v>4768</v>
      </c>
      <c r="D226" s="118" t="s">
        <v>4769</v>
      </c>
      <c r="E226" s="114">
        <v>8197299949</v>
      </c>
      <c r="F226" s="2" t="s">
        <v>319</v>
      </c>
      <c r="G226" s="2" t="s">
        <v>151</v>
      </c>
      <c r="H226" s="2" t="s">
        <v>26</v>
      </c>
      <c r="I226" s="2" t="str">
        <f>IFERROR(VLOOKUP($D226,'Sales Data'!$C:$E,4,0),"SAME")</f>
        <v>SAME</v>
      </c>
      <c r="J226" s="2"/>
      <c r="K226" s="2" t="str">
        <f>IFERROR(VLOOKUP($D226,'Sales Data'!$C:$G,6,0),"NA")</f>
        <v>NA</v>
      </c>
      <c r="L226" s="2"/>
      <c r="M226" s="2"/>
      <c r="N226" s="2"/>
    </row>
    <row r="227" spans="1:14" ht="14.4">
      <c r="A227" s="154" t="s">
        <v>4002</v>
      </c>
      <c r="B227" s="113">
        <v>44277</v>
      </c>
      <c r="C227" s="2" t="s">
        <v>4770</v>
      </c>
      <c r="D227" s="118" t="s">
        <v>1061</v>
      </c>
      <c r="E227" s="114">
        <v>9845672908</v>
      </c>
      <c r="F227" s="2" t="s">
        <v>319</v>
      </c>
      <c r="G227" s="2" t="s">
        <v>4378</v>
      </c>
      <c r="H227" s="2" t="s">
        <v>28</v>
      </c>
      <c r="I227" s="2" t="str">
        <f>IFERROR(VLOOKUP($D227,'Sales Data'!$C:$E,4,0),"SAME")</f>
        <v>SAME</v>
      </c>
      <c r="J227" s="2"/>
      <c r="K227" s="2" t="str">
        <f>IFERROR(VLOOKUP($D227,'Sales Data'!$C:$G,6,0),"NA")</f>
        <v>NA</v>
      </c>
      <c r="L227" s="126">
        <v>45000</v>
      </c>
      <c r="M227" s="2"/>
      <c r="N227" s="2"/>
    </row>
    <row r="228" spans="1:14" ht="14.4">
      <c r="A228" s="154" t="s">
        <v>4002</v>
      </c>
      <c r="B228" s="113">
        <v>44277</v>
      </c>
      <c r="C228" s="2" t="s">
        <v>4771</v>
      </c>
      <c r="D228" s="118" t="s">
        <v>4772</v>
      </c>
      <c r="E228" s="161">
        <v>9962400660</v>
      </c>
      <c r="F228" s="2" t="s">
        <v>303</v>
      </c>
      <c r="G228" s="2" t="s">
        <v>4378</v>
      </c>
      <c r="H228" s="2" t="s">
        <v>28</v>
      </c>
      <c r="I228" s="2" t="str">
        <f>IFERROR(VLOOKUP($D228,'Sales Data'!$C:$E,4,0),"SAME")</f>
        <v>SAME</v>
      </c>
      <c r="J228" s="2"/>
      <c r="K228" s="2" t="str">
        <f>IFERROR(VLOOKUP($D228,'Sales Data'!$C:$G,6,0),"NA")</f>
        <v>NA</v>
      </c>
      <c r="L228" s="2"/>
      <c r="M228" s="2"/>
      <c r="N228" s="2"/>
    </row>
    <row r="229" spans="1:14" ht="14.4">
      <c r="A229" s="154" t="s">
        <v>4002</v>
      </c>
      <c r="B229" s="113">
        <v>44278</v>
      </c>
      <c r="C229" s="2" t="s">
        <v>4773</v>
      </c>
      <c r="D229" s="118" t="s">
        <v>4774</v>
      </c>
      <c r="E229" s="161">
        <v>9820882301</v>
      </c>
      <c r="F229" s="2" t="s">
        <v>319</v>
      </c>
      <c r="G229" s="2" t="s">
        <v>7</v>
      </c>
      <c r="H229" s="2" t="s">
        <v>28</v>
      </c>
      <c r="I229" s="2" t="str">
        <f>IFERROR(VLOOKUP($D229,'Sales Data'!$C:$E,4,0),"SAME")</f>
        <v>SAME</v>
      </c>
      <c r="J229" s="2"/>
      <c r="K229" s="2" t="str">
        <f>IFERROR(VLOOKUP($D229,'Sales Data'!$C:$G,6,0),"NA")</f>
        <v>NA</v>
      </c>
      <c r="L229" s="2"/>
      <c r="M229" s="2"/>
      <c r="N229" s="2"/>
    </row>
    <row r="230" spans="1:14" ht="14.4">
      <c r="A230" s="154" t="s">
        <v>4002</v>
      </c>
      <c r="B230" s="113">
        <v>44278</v>
      </c>
      <c r="C230" s="2" t="s">
        <v>4775</v>
      </c>
      <c r="D230" s="118" t="s">
        <v>4776</v>
      </c>
      <c r="E230" s="161">
        <v>9677224104</v>
      </c>
      <c r="F230" s="2" t="s">
        <v>303</v>
      </c>
      <c r="G230" s="2" t="s">
        <v>6</v>
      </c>
      <c r="H230" s="2" t="s">
        <v>28</v>
      </c>
      <c r="I230" s="2" t="str">
        <f>IFERROR(VLOOKUP($D230,'Sales Data'!$C:$E,4,0),"SAME")</f>
        <v>SAME</v>
      </c>
      <c r="J230" s="2"/>
      <c r="K230" s="2" t="str">
        <f>IFERROR(VLOOKUP($D230,'Sales Data'!$C:$G,6,0),"NA")</f>
        <v>NA</v>
      </c>
      <c r="L230" s="2"/>
      <c r="M230" s="2"/>
      <c r="N230" s="2"/>
    </row>
    <row r="231" spans="1:14" ht="14.4">
      <c r="A231" s="154" t="s">
        <v>4002</v>
      </c>
      <c r="B231" s="113">
        <v>44278</v>
      </c>
      <c r="C231" s="2" t="s">
        <v>1047</v>
      </c>
      <c r="D231" s="118" t="s">
        <v>1048</v>
      </c>
      <c r="E231" s="161">
        <v>9106733868</v>
      </c>
      <c r="F231" s="2" t="s">
        <v>306</v>
      </c>
      <c r="G231" s="2" t="s">
        <v>151</v>
      </c>
      <c r="H231" s="2" t="s">
        <v>28</v>
      </c>
      <c r="I231" s="2" t="str">
        <f>IFERROR(VLOOKUP($D231,'Sales Data'!$C:$E,4,0),"SAME")</f>
        <v>SAME</v>
      </c>
      <c r="J231" s="2"/>
      <c r="K231" s="2" t="str">
        <f>IFERROR(VLOOKUP($D231,'Sales Data'!$C:$G,6,0),"NA")</f>
        <v>NA</v>
      </c>
      <c r="L231" s="2"/>
      <c r="M231" s="2"/>
      <c r="N231" s="2"/>
    </row>
    <row r="232" spans="1:14" ht="14.4">
      <c r="A232" s="154" t="s">
        <v>4002</v>
      </c>
      <c r="B232" s="113">
        <v>44278</v>
      </c>
      <c r="C232" s="2" t="s">
        <v>4777</v>
      </c>
      <c r="D232" s="118" t="s">
        <v>4778</v>
      </c>
      <c r="E232" s="161">
        <v>9881257639</v>
      </c>
      <c r="F232" s="2" t="s">
        <v>319</v>
      </c>
      <c r="G232" s="2" t="s">
        <v>4378</v>
      </c>
      <c r="H232" s="2" t="s">
        <v>28</v>
      </c>
      <c r="I232" s="2" t="str">
        <f>IFERROR(VLOOKUP($D232,'Sales Data'!$C:$E,4,0),"SAME")</f>
        <v>SAME</v>
      </c>
      <c r="J232" s="2"/>
      <c r="K232" s="2" t="str">
        <f>IFERROR(VLOOKUP($D232,'Sales Data'!$C:$G,6,0),"NA")</f>
        <v>NA</v>
      </c>
      <c r="L232" s="126">
        <v>45000</v>
      </c>
      <c r="M232" s="2"/>
      <c r="N232" s="2"/>
    </row>
    <row r="233" spans="1:14" ht="14.4">
      <c r="A233" s="154" t="s">
        <v>4002</v>
      </c>
      <c r="B233" s="113">
        <v>44278</v>
      </c>
      <c r="C233" s="2" t="s">
        <v>4779</v>
      </c>
      <c r="D233" s="118" t="s">
        <v>4780</v>
      </c>
      <c r="E233" s="161">
        <v>9818005369</v>
      </c>
      <c r="F233" s="2" t="s">
        <v>303</v>
      </c>
      <c r="G233" s="2" t="s">
        <v>4378</v>
      </c>
      <c r="H233" s="2" t="s">
        <v>28</v>
      </c>
      <c r="I233" s="2" t="str">
        <f>IFERROR(VLOOKUP($D233,'Sales Data'!$C:$E,4,0),"SAME")</f>
        <v>SAME</v>
      </c>
      <c r="J233" s="2"/>
      <c r="K233" s="2" t="str">
        <f>IFERROR(VLOOKUP($D233,'Sales Data'!$C:$G,6,0),"NA")</f>
        <v>NA</v>
      </c>
      <c r="L233" s="126">
        <v>45000</v>
      </c>
      <c r="M233" s="2"/>
      <c r="N233" s="2"/>
    </row>
    <row r="234" spans="1:14" ht="14.4">
      <c r="A234" s="154" t="s">
        <v>4002</v>
      </c>
      <c r="B234" s="113">
        <v>44278</v>
      </c>
      <c r="C234" s="2" t="s">
        <v>4781</v>
      </c>
      <c r="D234" s="118" t="s">
        <v>4782</v>
      </c>
      <c r="E234" s="161">
        <v>9746038238</v>
      </c>
      <c r="F234" s="2" t="s">
        <v>287</v>
      </c>
      <c r="G234" s="2" t="s">
        <v>4378</v>
      </c>
      <c r="H234" s="2" t="s">
        <v>17</v>
      </c>
      <c r="I234" s="2" t="str">
        <f>IFERROR(VLOOKUP($D234,'Sales Data'!$C:$E,4,0),"SAME")</f>
        <v>SAME</v>
      </c>
      <c r="J234" s="2"/>
      <c r="K234" s="2" t="str">
        <f>IFERROR(VLOOKUP($D234,'Sales Data'!$C:$G,6,0),"NA")</f>
        <v>NA</v>
      </c>
      <c r="L234" s="2"/>
      <c r="M234" s="2"/>
      <c r="N234" s="2"/>
    </row>
    <row r="235" spans="1:14" ht="14.4">
      <c r="A235" s="154" t="s">
        <v>4002</v>
      </c>
      <c r="B235" s="113">
        <v>44279</v>
      </c>
      <c r="C235" s="2" t="s">
        <v>4783</v>
      </c>
      <c r="D235" s="118" t="s">
        <v>4784</v>
      </c>
      <c r="E235" s="161">
        <v>8848801040</v>
      </c>
      <c r="F235" s="2" t="s">
        <v>303</v>
      </c>
      <c r="G235" s="2" t="s">
        <v>4378</v>
      </c>
      <c r="H235" s="2" t="s">
        <v>26</v>
      </c>
      <c r="I235" s="2" t="str">
        <f>IFERROR(VLOOKUP($D235,'Sales Data'!$C:$E,4,0),"SAME")</f>
        <v>SAME</v>
      </c>
      <c r="J235" s="2"/>
      <c r="K235" s="2" t="str">
        <f>IFERROR(VLOOKUP($D235,'Sales Data'!$C:$G,6,0),"NA")</f>
        <v>NA</v>
      </c>
      <c r="L235" s="2"/>
      <c r="M235" s="2"/>
      <c r="N235" s="2"/>
    </row>
    <row r="236" spans="1:14" ht="14.4">
      <c r="A236" s="154" t="s">
        <v>4002</v>
      </c>
      <c r="B236" s="113">
        <v>44279</v>
      </c>
      <c r="C236" s="2" t="s">
        <v>4785</v>
      </c>
      <c r="D236" s="118" t="s">
        <v>4786</v>
      </c>
      <c r="E236" s="161">
        <v>9035199777</v>
      </c>
      <c r="F236" s="2" t="s">
        <v>303</v>
      </c>
      <c r="G236" s="2" t="s">
        <v>4378</v>
      </c>
      <c r="H236" s="2" t="s">
        <v>26</v>
      </c>
      <c r="I236" s="2" t="str">
        <f>IFERROR(VLOOKUP($D236,'Sales Data'!$C:$E,4,0),"SAME")</f>
        <v>SAME</v>
      </c>
      <c r="J236" s="2"/>
      <c r="K236" s="2" t="str">
        <f>IFERROR(VLOOKUP($D236,'Sales Data'!$C:$G,6,0),"NA")</f>
        <v>NA</v>
      </c>
      <c r="L236" s="2"/>
      <c r="M236" s="2"/>
      <c r="N236" s="2"/>
    </row>
    <row r="237" spans="1:14" ht="14.4">
      <c r="A237" s="154" t="s">
        <v>4002</v>
      </c>
      <c r="B237" s="113">
        <v>44279</v>
      </c>
      <c r="C237" s="2" t="s">
        <v>4787</v>
      </c>
      <c r="D237" s="118" t="s">
        <v>4788</v>
      </c>
      <c r="E237" s="161">
        <v>9995639371</v>
      </c>
      <c r="F237" s="2" t="s">
        <v>291</v>
      </c>
      <c r="G237" s="2" t="s">
        <v>4378</v>
      </c>
      <c r="H237" s="2" t="s">
        <v>17</v>
      </c>
      <c r="I237" s="2" t="str">
        <f>IFERROR(VLOOKUP($D237,'Sales Data'!$C:$E,4,0),"SAME")</f>
        <v>SAME</v>
      </c>
      <c r="J237" s="2"/>
      <c r="K237" s="2" t="str">
        <f>IFERROR(VLOOKUP($D237,'Sales Data'!$C:$G,6,0),"NA")</f>
        <v>NA</v>
      </c>
      <c r="L237" s="2"/>
      <c r="M237" s="2"/>
      <c r="N237" s="2"/>
    </row>
    <row r="238" spans="1:14" ht="14.4">
      <c r="A238" s="154" t="s">
        <v>4002</v>
      </c>
      <c r="B238" s="113">
        <v>44279</v>
      </c>
      <c r="C238" s="2" t="s">
        <v>1094</v>
      </c>
      <c r="D238" s="118" t="s">
        <v>1095</v>
      </c>
      <c r="E238" s="161">
        <v>9686988331</v>
      </c>
      <c r="F238" s="2" t="s">
        <v>319</v>
      </c>
      <c r="G238" s="2" t="s">
        <v>4378</v>
      </c>
      <c r="H238" s="2" t="s">
        <v>28</v>
      </c>
      <c r="I238" s="2" t="str">
        <f>IFERROR(VLOOKUP($D238,'Sales Data'!$C:$E,4,0),"SAME")</f>
        <v>SAME</v>
      </c>
      <c r="J238" s="2"/>
      <c r="K238" s="2" t="str">
        <f>IFERROR(VLOOKUP($D238,'Sales Data'!$C:$G,6,0),"NA")</f>
        <v>NA</v>
      </c>
      <c r="L238" s="126">
        <v>44000</v>
      </c>
      <c r="M238" s="2"/>
      <c r="N238" s="2"/>
    </row>
    <row r="239" spans="1:14" ht="14.4">
      <c r="A239" s="154" t="s">
        <v>4002</v>
      </c>
      <c r="B239" s="113">
        <v>44279</v>
      </c>
      <c r="C239" s="2" t="s">
        <v>4789</v>
      </c>
      <c r="D239" s="118" t="s">
        <v>4790</v>
      </c>
      <c r="E239" s="161">
        <v>9885725401</v>
      </c>
      <c r="F239" s="2" t="s">
        <v>303</v>
      </c>
      <c r="G239" s="2" t="s">
        <v>4378</v>
      </c>
      <c r="H239" s="2" t="s">
        <v>28</v>
      </c>
      <c r="I239" s="2" t="str">
        <f>IFERROR(VLOOKUP($D239,'Sales Data'!$C:$E,4,0),"SAME")</f>
        <v>SAME</v>
      </c>
      <c r="J239" s="2"/>
      <c r="K239" s="2" t="str">
        <f>IFERROR(VLOOKUP($D239,'Sales Data'!$C:$G,6,0),"NA")</f>
        <v>NA</v>
      </c>
      <c r="L239" s="2"/>
      <c r="M239" s="2"/>
      <c r="N239" s="2"/>
    </row>
    <row r="240" spans="1:14" ht="14.4">
      <c r="A240" s="154" t="s">
        <v>4002</v>
      </c>
      <c r="B240" s="113">
        <v>44280</v>
      </c>
      <c r="C240" s="2" t="s">
        <v>1080</v>
      </c>
      <c r="D240" s="118" t="s">
        <v>1081</v>
      </c>
      <c r="E240" s="161">
        <v>9650115075</v>
      </c>
      <c r="F240" s="2" t="s">
        <v>287</v>
      </c>
      <c r="G240" s="2" t="s">
        <v>4378</v>
      </c>
      <c r="H240" s="2" t="s">
        <v>28</v>
      </c>
      <c r="I240" s="2" t="str">
        <f>IFERROR(VLOOKUP($D240,'Sales Data'!$C:$E,4,0),"SAME")</f>
        <v>SAME</v>
      </c>
      <c r="J240" s="2"/>
      <c r="K240" s="2" t="str">
        <f>IFERROR(VLOOKUP($D240,'Sales Data'!$C:$G,6,0),"NA")</f>
        <v>NA</v>
      </c>
      <c r="L240" s="2"/>
      <c r="M240" s="2"/>
      <c r="N240" s="2"/>
    </row>
    <row r="241" spans="1:14" ht="14.4">
      <c r="A241" s="154" t="s">
        <v>4002</v>
      </c>
      <c r="B241" s="113">
        <v>44280</v>
      </c>
      <c r="C241" s="2" t="s">
        <v>4791</v>
      </c>
      <c r="D241" s="118" t="s">
        <v>4792</v>
      </c>
      <c r="E241" s="161">
        <v>7569702025</v>
      </c>
      <c r="F241" s="2" t="s">
        <v>291</v>
      </c>
      <c r="G241" s="2" t="s">
        <v>4378</v>
      </c>
      <c r="H241" s="2" t="s">
        <v>26</v>
      </c>
      <c r="I241" s="2" t="str">
        <f>IFERROR(VLOOKUP($D241,'Sales Data'!$C:$E,4,0),"SAME")</f>
        <v>SAME</v>
      </c>
      <c r="J241" s="2"/>
      <c r="K241" s="2" t="str">
        <f>IFERROR(VLOOKUP($D241,'Sales Data'!$C:$G,6,0),"NA")</f>
        <v>NA</v>
      </c>
      <c r="L241" s="2"/>
      <c r="M241" s="2"/>
      <c r="N241" s="2"/>
    </row>
    <row r="242" spans="1:14" ht="14.4">
      <c r="A242" s="154" t="s">
        <v>4002</v>
      </c>
      <c r="B242" s="113">
        <v>44280</v>
      </c>
      <c r="C242" s="2" t="s">
        <v>4793</v>
      </c>
      <c r="D242" s="118" t="s">
        <v>4794</v>
      </c>
      <c r="E242" s="161">
        <v>528004687</v>
      </c>
      <c r="F242" s="2" t="s">
        <v>303</v>
      </c>
      <c r="G242" s="2" t="s">
        <v>4378</v>
      </c>
      <c r="H242" s="2" t="s">
        <v>26</v>
      </c>
      <c r="I242" s="2" t="str">
        <f>IFERROR(VLOOKUP($D242,'Sales Data'!$C:$E,4,0),"SAME")</f>
        <v>SAME</v>
      </c>
      <c r="J242" s="2"/>
      <c r="K242" s="2" t="str">
        <f>IFERROR(VLOOKUP($D242,'Sales Data'!$C:$G,6,0),"NA")</f>
        <v>NA</v>
      </c>
      <c r="L242" s="2"/>
      <c r="M242" s="2"/>
      <c r="N242" s="2"/>
    </row>
    <row r="243" spans="1:14" ht="14.4">
      <c r="A243" s="154" t="s">
        <v>4002</v>
      </c>
      <c r="B243" s="113">
        <v>44281</v>
      </c>
      <c r="C243" s="2" t="s">
        <v>4795</v>
      </c>
      <c r="D243" s="118" t="s">
        <v>4796</v>
      </c>
      <c r="E243" s="161">
        <v>9953159200</v>
      </c>
      <c r="F243" s="2" t="s">
        <v>303</v>
      </c>
      <c r="G243" s="2" t="s">
        <v>151</v>
      </c>
      <c r="H243" s="2" t="s">
        <v>26</v>
      </c>
      <c r="I243" s="2" t="str">
        <f>IFERROR(VLOOKUP($D243,'Sales Data'!$C:$E,4,0),"SAME")</f>
        <v>SAME</v>
      </c>
      <c r="J243" s="2"/>
      <c r="K243" s="2" t="str">
        <f>IFERROR(VLOOKUP($D243,'Sales Data'!$C:$G,6,0),"NA")</f>
        <v>NA</v>
      </c>
      <c r="L243" s="2"/>
      <c r="M243" s="2"/>
      <c r="N243" s="2"/>
    </row>
    <row r="244" spans="1:14" ht="14.4">
      <c r="A244" s="154" t="s">
        <v>4002</v>
      </c>
      <c r="B244" s="113">
        <v>44281</v>
      </c>
      <c r="C244" s="2" t="s">
        <v>1078</v>
      </c>
      <c r="D244" s="118" t="s">
        <v>1079</v>
      </c>
      <c r="E244" s="161">
        <v>9665741114</v>
      </c>
      <c r="F244" s="2" t="s">
        <v>303</v>
      </c>
      <c r="G244" s="2" t="s">
        <v>150</v>
      </c>
      <c r="H244" s="2" t="s">
        <v>28</v>
      </c>
      <c r="I244" s="2" t="str">
        <f>IFERROR(VLOOKUP($D244,'Sales Data'!$C:$E,4,0),"SAME")</f>
        <v>SAME</v>
      </c>
      <c r="J244" s="2"/>
      <c r="K244" s="2" t="str">
        <f>IFERROR(VLOOKUP($D244,'Sales Data'!$C:$G,6,0),"NA")</f>
        <v>NA</v>
      </c>
      <c r="L244" s="2"/>
      <c r="M244" s="2"/>
      <c r="N244" s="2"/>
    </row>
    <row r="245" spans="1:14" ht="14.4">
      <c r="A245" s="154" t="s">
        <v>4002</v>
      </c>
      <c r="B245" s="113">
        <v>44282</v>
      </c>
      <c r="C245" s="2" t="s">
        <v>4797</v>
      </c>
      <c r="D245" s="118" t="s">
        <v>4798</v>
      </c>
      <c r="E245" s="2" t="s">
        <v>1294</v>
      </c>
      <c r="F245" s="2" t="s">
        <v>287</v>
      </c>
      <c r="G245" s="2" t="s">
        <v>195</v>
      </c>
      <c r="H245" s="2" t="s">
        <v>1294</v>
      </c>
      <c r="I245" s="2" t="str">
        <f>IFERROR(VLOOKUP($D245,'Sales Data'!$C:$E,4,0),"SAME")</f>
        <v>SAME</v>
      </c>
      <c r="J245" s="2"/>
      <c r="K245" s="2" t="str">
        <f>IFERROR(VLOOKUP($D245,'Sales Data'!$C:$G,6,0),"NA")</f>
        <v>NA</v>
      </c>
      <c r="L245" s="2"/>
      <c r="M245" s="2"/>
      <c r="N245" s="2"/>
    </row>
    <row r="246" spans="1:14" ht="14.4">
      <c r="A246" s="154" t="s">
        <v>4002</v>
      </c>
      <c r="B246" s="113">
        <v>44283</v>
      </c>
      <c r="C246" s="2" t="s">
        <v>4799</v>
      </c>
      <c r="D246" s="118" t="s">
        <v>4800</v>
      </c>
      <c r="E246" s="114">
        <v>8822590780</v>
      </c>
      <c r="F246" s="2" t="s">
        <v>303</v>
      </c>
      <c r="G246" s="2" t="s">
        <v>150</v>
      </c>
      <c r="H246" s="2" t="s">
        <v>26</v>
      </c>
      <c r="I246" s="2" t="str">
        <f>IFERROR(VLOOKUP($D246,'Sales Data'!$C:$E,4,0),"SAME")</f>
        <v>SAME</v>
      </c>
      <c r="J246" s="2"/>
      <c r="K246" s="2" t="str">
        <f>IFERROR(VLOOKUP($D246,'Sales Data'!$C:$G,6,0),"NA")</f>
        <v>NA</v>
      </c>
      <c r="L246" s="2"/>
      <c r="M246" s="2"/>
      <c r="N246" s="2"/>
    </row>
    <row r="247" spans="1:14" ht="14.4">
      <c r="A247" s="154" t="s">
        <v>4002</v>
      </c>
      <c r="B247" s="113">
        <v>44283</v>
      </c>
      <c r="C247" s="2" t="s">
        <v>4801</v>
      </c>
      <c r="D247" s="118" t="s">
        <v>4802</v>
      </c>
      <c r="E247" s="114">
        <v>9028250342</v>
      </c>
      <c r="F247" s="2" t="s">
        <v>303</v>
      </c>
      <c r="G247" s="2" t="s">
        <v>150</v>
      </c>
      <c r="H247" s="2" t="s">
        <v>28</v>
      </c>
      <c r="I247" s="2" t="str">
        <f>IFERROR(VLOOKUP($D247,'Sales Data'!$C:$E,4,0),"SAME")</f>
        <v>SAME</v>
      </c>
      <c r="J247" s="2"/>
      <c r="K247" s="2" t="str">
        <f>IFERROR(VLOOKUP($D247,'Sales Data'!$C:$G,6,0),"NA")</f>
        <v>NA</v>
      </c>
      <c r="L247" s="2"/>
      <c r="M247" s="2"/>
      <c r="N247" s="2"/>
    </row>
    <row r="248" spans="1:14" ht="14.4">
      <c r="A248" s="154" t="s">
        <v>4002</v>
      </c>
      <c r="B248" s="113">
        <v>44284</v>
      </c>
      <c r="C248" s="2" t="s">
        <v>4803</v>
      </c>
      <c r="D248" s="118" t="s">
        <v>1113</v>
      </c>
      <c r="E248" s="114">
        <v>9916621421</v>
      </c>
      <c r="F248" s="2" t="s">
        <v>319</v>
      </c>
      <c r="G248" s="2" t="s">
        <v>195</v>
      </c>
      <c r="H248" s="2" t="s">
        <v>28</v>
      </c>
      <c r="I248" s="2" t="str">
        <f>IFERROR(VLOOKUP($D248,'Sales Data'!$C:$E,4,0),"SAME")</f>
        <v>SAME</v>
      </c>
      <c r="J248" s="2"/>
      <c r="K248" s="2" t="str">
        <f>IFERROR(VLOOKUP($D248,'Sales Data'!$C:$G,6,0),"NA")</f>
        <v>NA</v>
      </c>
      <c r="L248" s="2"/>
      <c r="M248" s="2"/>
      <c r="N248" s="2"/>
    </row>
    <row r="249" spans="1:14" ht="14.4">
      <c r="A249" s="154" t="s">
        <v>4002</v>
      </c>
      <c r="B249" s="113">
        <v>44284</v>
      </c>
      <c r="C249" s="2" t="s">
        <v>4804</v>
      </c>
      <c r="D249" s="118" t="s">
        <v>4805</v>
      </c>
      <c r="E249" s="114">
        <v>8971915177</v>
      </c>
      <c r="F249" s="2" t="s">
        <v>319</v>
      </c>
      <c r="G249" s="2" t="s">
        <v>6</v>
      </c>
      <c r="H249" s="2" t="s">
        <v>26</v>
      </c>
      <c r="I249" s="2" t="str">
        <f>IFERROR(VLOOKUP($D249,'Sales Data'!$C:$E,4,0),"SAME")</f>
        <v>SAME</v>
      </c>
      <c r="J249" s="2"/>
      <c r="K249" s="2" t="str">
        <f>IFERROR(VLOOKUP($D249,'Sales Data'!$C:$G,6,0),"NA")</f>
        <v>NA</v>
      </c>
      <c r="L249" s="2"/>
      <c r="M249" s="2"/>
      <c r="N249" s="2"/>
    </row>
    <row r="250" spans="1:14" ht="14.4">
      <c r="A250" s="154" t="s">
        <v>4002</v>
      </c>
      <c r="B250" s="113">
        <v>44284</v>
      </c>
      <c r="C250" s="2" t="s">
        <v>1072</v>
      </c>
      <c r="D250" s="118" t="s">
        <v>1073</v>
      </c>
      <c r="E250" s="114">
        <v>9953130460</v>
      </c>
      <c r="F250" s="2" t="s">
        <v>303</v>
      </c>
      <c r="G250" s="2" t="s">
        <v>150</v>
      </c>
      <c r="H250" s="2" t="s">
        <v>28</v>
      </c>
      <c r="I250" s="2" t="str">
        <f>IFERROR(VLOOKUP($D250,'Sales Data'!$C:$E,4,0),"SAME")</f>
        <v>SAME</v>
      </c>
      <c r="J250" s="2"/>
      <c r="K250" s="2" t="str">
        <f>IFERROR(VLOOKUP($D250,'Sales Data'!$C:$G,6,0),"NA")</f>
        <v>NA</v>
      </c>
      <c r="L250" s="2"/>
      <c r="M250" s="2"/>
      <c r="N250" s="2"/>
    </row>
    <row r="251" spans="1:14" ht="14.4">
      <c r="A251" s="154" t="s">
        <v>4002</v>
      </c>
      <c r="B251" s="113">
        <v>44285</v>
      </c>
      <c r="C251" s="2" t="s">
        <v>4806</v>
      </c>
      <c r="D251" s="118" t="s">
        <v>4807</v>
      </c>
      <c r="E251" s="161">
        <v>9574409613</v>
      </c>
      <c r="F251" s="2" t="s">
        <v>297</v>
      </c>
      <c r="G251" s="2" t="s">
        <v>151</v>
      </c>
      <c r="H251" s="2" t="s">
        <v>3997</v>
      </c>
      <c r="I251" s="2" t="str">
        <f>IFERROR(VLOOKUP($D251,'Sales Data'!$C:$E,4,0),"SAME")</f>
        <v>SAME</v>
      </c>
      <c r="J251" s="2"/>
      <c r="K251" s="2" t="str">
        <f>IFERROR(VLOOKUP($D251,'Sales Data'!$C:$G,6,0),"NA")</f>
        <v>NA</v>
      </c>
      <c r="L251" s="2"/>
      <c r="M251" s="2"/>
      <c r="N251" s="2"/>
    </row>
    <row r="252" spans="1:14" ht="14.4">
      <c r="A252" s="154" t="s">
        <v>4002</v>
      </c>
      <c r="B252" s="113">
        <v>44285</v>
      </c>
      <c r="C252" s="2" t="s">
        <v>4808</v>
      </c>
      <c r="D252" s="118" t="s">
        <v>4809</v>
      </c>
      <c r="E252" s="161">
        <v>7879983098</v>
      </c>
      <c r="F252" s="2" t="s">
        <v>287</v>
      </c>
      <c r="G252" s="2" t="s">
        <v>150</v>
      </c>
      <c r="H252" s="2" t="s">
        <v>28</v>
      </c>
      <c r="I252" s="2" t="str">
        <f>IFERROR(VLOOKUP($D252,'Sales Data'!$C:$E,4,0),"SAME")</f>
        <v>SAME</v>
      </c>
      <c r="J252" s="2"/>
      <c r="K252" s="2" t="str">
        <f>IFERROR(VLOOKUP($D252,'Sales Data'!$C:$G,6,0),"NA")</f>
        <v>NA</v>
      </c>
      <c r="L252" s="2"/>
      <c r="M252" s="2"/>
      <c r="N252" s="2"/>
    </row>
    <row r="253" spans="1:14" ht="14.4">
      <c r="A253" s="154" t="s">
        <v>4002</v>
      </c>
      <c r="B253" s="113">
        <v>44285</v>
      </c>
      <c r="C253" s="2" t="s">
        <v>4810</v>
      </c>
      <c r="D253" s="118" t="s">
        <v>4811</v>
      </c>
      <c r="E253" s="161">
        <v>8007598238</v>
      </c>
      <c r="F253" s="2" t="s">
        <v>287</v>
      </c>
      <c r="G253" s="2" t="s">
        <v>150</v>
      </c>
      <c r="H253" s="2" t="s">
        <v>28</v>
      </c>
      <c r="I253" s="2" t="str">
        <f>IFERROR(VLOOKUP($D253,'Sales Data'!$C:$E,4,0),"SAME")</f>
        <v>SAME</v>
      </c>
      <c r="J253" s="2"/>
      <c r="K253" s="2" t="str">
        <f>IFERROR(VLOOKUP($D253,'Sales Data'!$C:$G,6,0),"NA")</f>
        <v>NA</v>
      </c>
      <c r="L253" s="2"/>
      <c r="M253" s="2"/>
      <c r="N253" s="2"/>
    </row>
    <row r="254" spans="1:14" ht="14.4">
      <c r="A254" s="154" t="s">
        <v>4002</v>
      </c>
      <c r="B254" s="113">
        <v>44285</v>
      </c>
      <c r="C254" s="2" t="s">
        <v>4812</v>
      </c>
      <c r="D254" s="118" t="s">
        <v>4813</v>
      </c>
      <c r="E254" s="161">
        <v>9030104175</v>
      </c>
      <c r="F254" s="2" t="s">
        <v>291</v>
      </c>
      <c r="G254" s="2" t="s">
        <v>4378</v>
      </c>
      <c r="H254" s="2" t="s">
        <v>26</v>
      </c>
      <c r="I254" s="2" t="str">
        <f>IFERROR(VLOOKUP($D254,'Sales Data'!$C:$E,4,0),"SAME")</f>
        <v>SAME</v>
      </c>
      <c r="J254" s="2"/>
      <c r="K254" s="2" t="str">
        <f>IFERROR(VLOOKUP($D254,'Sales Data'!$C:$G,6,0),"NA")</f>
        <v>NA</v>
      </c>
      <c r="L254" s="2"/>
      <c r="M254" s="2"/>
      <c r="N254" s="2"/>
    </row>
    <row r="255" spans="1:14" ht="14.4">
      <c r="A255" s="154" t="s">
        <v>4002</v>
      </c>
      <c r="B255" s="113">
        <v>44285</v>
      </c>
      <c r="C255" s="2" t="s">
        <v>4814</v>
      </c>
      <c r="D255" s="118" t="s">
        <v>4815</v>
      </c>
      <c r="E255" s="2" t="s">
        <v>1294</v>
      </c>
      <c r="F255" s="2" t="s">
        <v>303</v>
      </c>
      <c r="G255" s="2" t="s">
        <v>4378</v>
      </c>
      <c r="H255" s="2" t="s">
        <v>1294</v>
      </c>
      <c r="I255" s="2" t="str">
        <f>IFERROR(VLOOKUP($D255,'Sales Data'!$C:$E,4,0),"SAME")</f>
        <v>SAME</v>
      </c>
      <c r="J255" s="2"/>
      <c r="K255" s="2" t="str">
        <f>IFERROR(VLOOKUP($D255,'Sales Data'!$C:$G,6,0),"NA")</f>
        <v>NA</v>
      </c>
      <c r="L255" s="2"/>
      <c r="M255" s="2"/>
      <c r="N255" s="2"/>
    </row>
    <row r="256" spans="1:14" ht="14.4">
      <c r="A256" s="154" t="s">
        <v>4002</v>
      </c>
      <c r="B256" s="113">
        <v>44285</v>
      </c>
      <c r="C256" s="2" t="s">
        <v>4816</v>
      </c>
      <c r="D256" s="118" t="s">
        <v>4817</v>
      </c>
      <c r="E256" s="161">
        <v>9899791028</v>
      </c>
      <c r="F256" s="2" t="s">
        <v>303</v>
      </c>
      <c r="G256" s="2" t="s">
        <v>4378</v>
      </c>
      <c r="H256" s="2" t="s">
        <v>26</v>
      </c>
      <c r="I256" s="2" t="str">
        <f>IFERROR(VLOOKUP($D256,'Sales Data'!$C:$E,4,0),"SAME")</f>
        <v>SAME</v>
      </c>
      <c r="J256" s="2"/>
      <c r="K256" s="2" t="str">
        <f>IFERROR(VLOOKUP($D256,'Sales Data'!$C:$G,6,0),"NA")</f>
        <v>NA</v>
      </c>
      <c r="L256" s="2"/>
      <c r="M256" s="2"/>
      <c r="N256" s="2"/>
    </row>
    <row r="257" spans="1:14" ht="14.4">
      <c r="A257" s="154" t="s">
        <v>4002</v>
      </c>
      <c r="B257" s="113">
        <v>44285</v>
      </c>
      <c r="C257" s="2" t="s">
        <v>4818</v>
      </c>
      <c r="D257" s="118" t="s">
        <v>4819</v>
      </c>
      <c r="E257" s="161">
        <v>9810749993</v>
      </c>
      <c r="F257" s="2" t="s">
        <v>319</v>
      </c>
      <c r="G257" s="2" t="s">
        <v>6</v>
      </c>
      <c r="H257" s="2" t="s">
        <v>26</v>
      </c>
      <c r="I257" s="2" t="str">
        <f>IFERROR(VLOOKUP($D257,'Sales Data'!$C:$E,4,0),"SAME")</f>
        <v>SAME</v>
      </c>
      <c r="J257" s="2"/>
      <c r="K257" s="2" t="str">
        <f>IFERROR(VLOOKUP($D257,'Sales Data'!$C:$G,6,0),"NA")</f>
        <v>NA</v>
      </c>
      <c r="L257" s="2"/>
      <c r="M257" s="2"/>
      <c r="N257" s="2"/>
    </row>
    <row r="258" spans="1:14" ht="14.4">
      <c r="A258" s="154" t="s">
        <v>4002</v>
      </c>
      <c r="B258" s="113">
        <v>44286</v>
      </c>
      <c r="C258" s="2" t="s">
        <v>1100</v>
      </c>
      <c r="D258" s="118" t="s">
        <v>1101</v>
      </c>
      <c r="E258" s="161">
        <v>9967102545</v>
      </c>
      <c r="F258" s="2" t="s">
        <v>303</v>
      </c>
      <c r="G258" s="2" t="s">
        <v>4378</v>
      </c>
      <c r="H258" s="2" t="s">
        <v>28</v>
      </c>
      <c r="I258" s="2" t="str">
        <f>IFERROR(VLOOKUP($D258,'Sales Data'!$C:$E,4,0),"SAME")</f>
        <v>SAME</v>
      </c>
      <c r="J258" s="2"/>
      <c r="K258" s="2" t="str">
        <f>IFERROR(VLOOKUP($D258,'Sales Data'!$C:$G,6,0),"NA")</f>
        <v>NA</v>
      </c>
      <c r="L258" s="2"/>
      <c r="M258" s="2"/>
      <c r="N258" s="2"/>
    </row>
    <row r="259" spans="1:14" ht="14.4">
      <c r="A259" s="154" t="s">
        <v>4002</v>
      </c>
      <c r="B259" s="113">
        <v>44286</v>
      </c>
      <c r="C259" s="2" t="s">
        <v>4820</v>
      </c>
      <c r="D259" s="118" t="s">
        <v>4821</v>
      </c>
      <c r="E259" s="161">
        <v>9741558877</v>
      </c>
      <c r="F259" s="2" t="s">
        <v>319</v>
      </c>
      <c r="G259" s="2" t="s">
        <v>4378</v>
      </c>
      <c r="H259" s="2" t="s">
        <v>26</v>
      </c>
      <c r="I259" s="2" t="str">
        <f>IFERROR(VLOOKUP($D259,'Sales Data'!$C:$E,4,0),"SAME")</f>
        <v>SAME</v>
      </c>
      <c r="J259" s="2"/>
      <c r="K259" s="2" t="str">
        <f>IFERROR(VLOOKUP($D259,'Sales Data'!$C:$G,6,0),"NA")</f>
        <v>NA</v>
      </c>
      <c r="L259" s="2"/>
      <c r="M259" s="2"/>
      <c r="N259" s="2"/>
    </row>
    <row r="260" spans="1:14" ht="14.4">
      <c r="A260" s="154" t="s">
        <v>4002</v>
      </c>
      <c r="B260" s="113">
        <v>44286</v>
      </c>
      <c r="C260" s="2" t="s">
        <v>4822</v>
      </c>
      <c r="D260" s="118" t="s">
        <v>4823</v>
      </c>
      <c r="E260" s="161">
        <v>9884199164</v>
      </c>
      <c r="F260" s="2" t="s">
        <v>291</v>
      </c>
      <c r="G260" s="2" t="s">
        <v>4378</v>
      </c>
      <c r="H260" s="2" t="s">
        <v>26</v>
      </c>
      <c r="I260" s="2" t="str">
        <f>IFERROR(VLOOKUP($D260,'Sales Data'!$C:$E,4,0),"SAME")</f>
        <v>SAME</v>
      </c>
      <c r="J260" s="2"/>
      <c r="K260" s="2" t="str">
        <f>IFERROR(VLOOKUP($D260,'Sales Data'!$C:$G,6,0),"NA")</f>
        <v>NA</v>
      </c>
      <c r="L260" s="2"/>
      <c r="M260" s="2"/>
      <c r="N260" s="2"/>
    </row>
    <row r="261" spans="1:14" ht="14.4">
      <c r="A261" s="154" t="s">
        <v>4002</v>
      </c>
      <c r="B261" s="113">
        <v>44286</v>
      </c>
      <c r="C261" s="2" t="s">
        <v>4824</v>
      </c>
      <c r="D261" s="118" t="s">
        <v>4825</v>
      </c>
      <c r="E261" s="2" t="s">
        <v>1294</v>
      </c>
      <c r="F261" s="2" t="s">
        <v>303</v>
      </c>
      <c r="G261" s="2" t="s">
        <v>4378</v>
      </c>
      <c r="H261" s="2" t="s">
        <v>1294</v>
      </c>
      <c r="I261" s="2" t="str">
        <f>IFERROR(VLOOKUP($D261,'Sales Data'!$C:$E,4,0),"SAME")</f>
        <v>SAME</v>
      </c>
      <c r="J261" s="2"/>
      <c r="K261" s="2" t="str">
        <f>IFERROR(VLOOKUP($D261,'Sales Data'!$C:$G,6,0),"NA")</f>
        <v>NA</v>
      </c>
      <c r="L261" s="2"/>
      <c r="M261" s="2"/>
      <c r="N261" s="2"/>
    </row>
    <row r="262" spans="1:14" ht="14.4">
      <c r="A262" s="154" t="s">
        <v>4002</v>
      </c>
      <c r="B262" s="113">
        <v>44286</v>
      </c>
      <c r="C262" s="2" t="s">
        <v>4826</v>
      </c>
      <c r="D262" s="118" t="s">
        <v>4827</v>
      </c>
      <c r="E262" s="161">
        <v>9849266105</v>
      </c>
      <c r="F262" s="2" t="s">
        <v>287</v>
      </c>
      <c r="G262" s="2" t="s">
        <v>7</v>
      </c>
      <c r="H262" s="2" t="s">
        <v>28</v>
      </c>
      <c r="I262" s="2" t="str">
        <f>IFERROR(VLOOKUP($D262,'Sales Data'!$C:$E,4,0),"SAME")</f>
        <v>SAME</v>
      </c>
      <c r="J262" s="2"/>
      <c r="K262" s="2" t="str">
        <f>IFERROR(VLOOKUP($D262,'Sales Data'!$C:$G,6,0),"NA")</f>
        <v>NA</v>
      </c>
      <c r="L262" s="2"/>
      <c r="M262" s="2"/>
      <c r="N262" s="2"/>
    </row>
    <row r="263" spans="1:14" ht="14.4">
      <c r="A263" s="154" t="s">
        <v>3998</v>
      </c>
      <c r="B263" s="113">
        <v>44287</v>
      </c>
      <c r="C263" s="2" t="s">
        <v>4828</v>
      </c>
      <c r="D263" s="118" t="s">
        <v>1129</v>
      </c>
      <c r="E263" s="161">
        <v>9861343117</v>
      </c>
      <c r="F263" s="2" t="s">
        <v>287</v>
      </c>
      <c r="G263" s="2" t="s">
        <v>150</v>
      </c>
      <c r="H263" s="2" t="s">
        <v>28</v>
      </c>
      <c r="I263" s="2" t="str">
        <f>IFERROR(VLOOKUP($D263,'Sales Data'!$C:$E,4,0),"SAME")</f>
        <v>SAME</v>
      </c>
      <c r="J263" s="2"/>
      <c r="K263" s="2" t="str">
        <f>IFERROR(VLOOKUP($D263,'Sales Data'!$C:$G,6,0),"NA")</f>
        <v>NA</v>
      </c>
      <c r="L263" s="2"/>
      <c r="M263" s="2"/>
      <c r="N263" s="2"/>
    </row>
    <row r="264" spans="1:14" ht="14.4">
      <c r="A264" s="154" t="s">
        <v>3998</v>
      </c>
      <c r="B264" s="113">
        <v>44287</v>
      </c>
      <c r="C264" s="2" t="s">
        <v>4829</v>
      </c>
      <c r="D264" s="118" t="s">
        <v>4830</v>
      </c>
      <c r="E264" s="161">
        <v>9886748613</v>
      </c>
      <c r="F264" s="2" t="s">
        <v>319</v>
      </c>
      <c r="G264" s="2" t="s">
        <v>150</v>
      </c>
      <c r="H264" s="2" t="s">
        <v>26</v>
      </c>
      <c r="I264" s="2" t="str">
        <f>IFERROR(VLOOKUP($D264,'Sales Data'!$C:$E,4,0),"SAME")</f>
        <v>SAME</v>
      </c>
      <c r="J264" s="2"/>
      <c r="K264" s="2" t="str">
        <f>IFERROR(VLOOKUP($D264,'Sales Data'!$C:$G,6,0),"NA")</f>
        <v>NA</v>
      </c>
      <c r="L264" s="2"/>
      <c r="M264" s="2"/>
      <c r="N264" s="2"/>
    </row>
    <row r="265" spans="1:14" ht="14.4">
      <c r="A265" s="154" t="s">
        <v>3998</v>
      </c>
      <c r="B265" s="113">
        <v>44287</v>
      </c>
      <c r="C265" s="2" t="s">
        <v>4831</v>
      </c>
      <c r="D265" s="118" t="s">
        <v>1351</v>
      </c>
      <c r="E265" s="161">
        <v>8886301919</v>
      </c>
      <c r="F265" s="2" t="s">
        <v>319</v>
      </c>
      <c r="G265" s="2" t="s">
        <v>7</v>
      </c>
      <c r="H265" s="2" t="s">
        <v>28</v>
      </c>
      <c r="I265" s="2" t="str">
        <f>IFERROR(VLOOKUP($D265,'Sales Data'!$C:$E,4,0),"SAME")</f>
        <v>SAME</v>
      </c>
      <c r="J265" s="2"/>
      <c r="K265" s="2" t="str">
        <f>IFERROR(VLOOKUP($D265,'Sales Data'!$C:$G,6,0),"NA")</f>
        <v>NA</v>
      </c>
      <c r="L265" s="126">
        <v>43000</v>
      </c>
      <c r="M265" s="2"/>
      <c r="N265" s="2"/>
    </row>
    <row r="266" spans="1:14" ht="14.4">
      <c r="A266" s="154" t="s">
        <v>3998</v>
      </c>
      <c r="B266" s="113">
        <v>44289</v>
      </c>
      <c r="C266" s="2" t="s">
        <v>1106</v>
      </c>
      <c r="D266" s="118" t="s">
        <v>1107</v>
      </c>
      <c r="E266" s="114">
        <v>9818333656</v>
      </c>
      <c r="F266" s="2" t="s">
        <v>303</v>
      </c>
      <c r="G266" s="2" t="s">
        <v>4378</v>
      </c>
      <c r="H266" s="2" t="s">
        <v>28</v>
      </c>
      <c r="I266" s="2" t="str">
        <f>IFERROR(VLOOKUP($D266,'Sales Data'!$C:$E,4,0),"SAME")</f>
        <v>SAME</v>
      </c>
      <c r="J266" s="2"/>
      <c r="K266" s="2" t="str">
        <f>IFERROR(VLOOKUP($D266,'Sales Data'!$C:$G,6,0),"NA")</f>
        <v>NA</v>
      </c>
      <c r="L266" s="126">
        <v>45000</v>
      </c>
      <c r="M266" s="2"/>
      <c r="N266" s="2"/>
    </row>
    <row r="267" spans="1:14" ht="14.4">
      <c r="A267" s="154" t="s">
        <v>3998</v>
      </c>
      <c r="B267" s="113">
        <v>44289</v>
      </c>
      <c r="C267" s="2" t="s">
        <v>4832</v>
      </c>
      <c r="D267" s="118" t="s">
        <v>4833</v>
      </c>
      <c r="E267" s="114">
        <v>9848314828</v>
      </c>
      <c r="F267" s="2" t="s">
        <v>303</v>
      </c>
      <c r="G267" s="2" t="s">
        <v>4378</v>
      </c>
      <c r="H267" s="2" t="s">
        <v>28</v>
      </c>
      <c r="I267" s="2" t="str">
        <f>IFERROR(VLOOKUP($D267,'Sales Data'!$C:$E,4,0),"SAME")</f>
        <v>SAME</v>
      </c>
      <c r="J267" s="2"/>
      <c r="K267" s="2" t="str">
        <f>IFERROR(VLOOKUP($D267,'Sales Data'!$C:$G,6,0),"NA")</f>
        <v>NA</v>
      </c>
      <c r="L267" s="2"/>
      <c r="M267" s="2"/>
      <c r="N267" s="2"/>
    </row>
    <row r="268" spans="1:14" ht="14.4">
      <c r="A268" s="154" t="s">
        <v>3998</v>
      </c>
      <c r="B268" s="113">
        <v>44289</v>
      </c>
      <c r="C268" s="2" t="s">
        <v>4834</v>
      </c>
      <c r="D268" s="118" t="s">
        <v>4835</v>
      </c>
      <c r="E268" s="114">
        <v>9986722237</v>
      </c>
      <c r="F268" s="2" t="s">
        <v>303</v>
      </c>
      <c r="G268" s="2" t="s">
        <v>7</v>
      </c>
      <c r="H268" s="2" t="s">
        <v>26</v>
      </c>
      <c r="I268" s="2" t="str">
        <f>IFERROR(VLOOKUP($D268,'Sales Data'!$C:$E,4,0),"SAME")</f>
        <v>SAME</v>
      </c>
      <c r="J268" s="2"/>
      <c r="K268" s="2" t="str">
        <f>IFERROR(VLOOKUP($D268,'Sales Data'!$C:$G,6,0),"NA")</f>
        <v>NA</v>
      </c>
      <c r="L268" s="2"/>
      <c r="M268" s="2"/>
      <c r="N268" s="2"/>
    </row>
    <row r="269" spans="1:14" ht="14.4">
      <c r="A269" s="154" t="s">
        <v>3998</v>
      </c>
      <c r="B269" s="113">
        <v>44290</v>
      </c>
      <c r="C269" s="2" t="s">
        <v>4836</v>
      </c>
      <c r="D269" s="118" t="s">
        <v>4837</v>
      </c>
      <c r="E269" s="114">
        <v>9881754344</v>
      </c>
      <c r="F269" s="2" t="s">
        <v>303</v>
      </c>
      <c r="G269" s="2" t="s">
        <v>195</v>
      </c>
      <c r="H269" s="2" t="s">
        <v>27</v>
      </c>
      <c r="I269" s="2" t="str">
        <f>IFERROR(VLOOKUP($D269,'Sales Data'!$C:$E,4,0),"SAME")</f>
        <v>SAME</v>
      </c>
      <c r="J269" s="2"/>
      <c r="K269" s="2" t="str">
        <f>IFERROR(VLOOKUP($D269,'Sales Data'!$C:$G,6,0),"NA")</f>
        <v>NA</v>
      </c>
      <c r="L269" s="2"/>
      <c r="M269" s="2"/>
      <c r="N269" s="2"/>
    </row>
    <row r="270" spans="1:14" ht="14.4">
      <c r="A270" s="154" t="s">
        <v>3998</v>
      </c>
      <c r="B270" s="113">
        <v>44290</v>
      </c>
      <c r="C270" s="2" t="s">
        <v>4838</v>
      </c>
      <c r="D270" s="118" t="s">
        <v>4839</v>
      </c>
      <c r="E270" s="114">
        <v>7600062747</v>
      </c>
      <c r="F270" s="2" t="s">
        <v>319</v>
      </c>
      <c r="G270" s="2" t="s">
        <v>150</v>
      </c>
      <c r="H270" s="2" t="s">
        <v>26</v>
      </c>
      <c r="I270" s="2" t="str">
        <f>IFERROR(VLOOKUP($D270,'Sales Data'!$C:$E,4,0),"SAME")</f>
        <v>SAME</v>
      </c>
      <c r="J270" s="2"/>
      <c r="K270" s="2" t="str">
        <f>IFERROR(VLOOKUP($D270,'Sales Data'!$C:$G,6,0),"NA")</f>
        <v>NA</v>
      </c>
      <c r="L270" s="2"/>
      <c r="M270" s="2"/>
      <c r="N270" s="2"/>
    </row>
    <row r="271" spans="1:14" ht="14.4">
      <c r="A271" s="154" t="s">
        <v>3998</v>
      </c>
      <c r="B271" s="113">
        <v>44290</v>
      </c>
      <c r="C271" s="2" t="s">
        <v>4840</v>
      </c>
      <c r="D271" s="118" t="s">
        <v>4841</v>
      </c>
      <c r="E271" s="114">
        <v>9881726108</v>
      </c>
      <c r="F271" s="2" t="s">
        <v>319</v>
      </c>
      <c r="G271" s="2" t="s">
        <v>6</v>
      </c>
      <c r="H271" s="2" t="s">
        <v>26</v>
      </c>
      <c r="I271" s="2" t="str">
        <f>IFERROR(VLOOKUP($D271,'Sales Data'!$C:$E,4,0),"SAME")</f>
        <v>SAME</v>
      </c>
      <c r="J271" s="2"/>
      <c r="K271" s="2" t="str">
        <f>IFERROR(VLOOKUP($D271,'Sales Data'!$C:$G,6,0),"NA")</f>
        <v>NA</v>
      </c>
      <c r="L271" s="2"/>
      <c r="M271" s="2"/>
      <c r="N271" s="2"/>
    </row>
    <row r="272" spans="1:14" ht="14.4">
      <c r="A272" s="154" t="s">
        <v>3998</v>
      </c>
      <c r="B272" s="113">
        <v>44291</v>
      </c>
      <c r="C272" s="2" t="s">
        <v>4842</v>
      </c>
      <c r="D272" s="118" t="s">
        <v>4843</v>
      </c>
      <c r="E272" s="114">
        <v>9949998400</v>
      </c>
      <c r="F272" s="2" t="s">
        <v>319</v>
      </c>
      <c r="G272" s="2" t="s">
        <v>4378</v>
      </c>
      <c r="H272" s="2" t="s">
        <v>26</v>
      </c>
      <c r="I272" s="2" t="str">
        <f>IFERROR(VLOOKUP($D272,'Sales Data'!$C:$E,4,0),"SAME")</f>
        <v>SAME</v>
      </c>
      <c r="J272" s="2"/>
      <c r="K272" s="2" t="str">
        <f>IFERROR(VLOOKUP($D272,'Sales Data'!$C:$G,6,0),"NA")</f>
        <v>NA</v>
      </c>
      <c r="L272" s="2"/>
      <c r="M272" s="2"/>
      <c r="N272" s="2"/>
    </row>
    <row r="273" spans="1:14" ht="14.4">
      <c r="A273" s="154" t="s">
        <v>3998</v>
      </c>
      <c r="B273" s="113">
        <v>44291</v>
      </c>
      <c r="C273" s="2" t="s">
        <v>1110</v>
      </c>
      <c r="D273" s="118" t="s">
        <v>1111</v>
      </c>
      <c r="E273" s="114">
        <v>9500012397</v>
      </c>
      <c r="F273" s="2" t="s">
        <v>297</v>
      </c>
      <c r="G273" s="2" t="s">
        <v>4378</v>
      </c>
      <c r="H273" s="2" t="s">
        <v>26</v>
      </c>
      <c r="I273" s="2" t="str">
        <f>IFERROR(VLOOKUP($D273,'Sales Data'!$C:$E,4,0),"SAME")</f>
        <v>SAME</v>
      </c>
      <c r="J273" s="2"/>
      <c r="K273" s="2" t="str">
        <f>IFERROR(VLOOKUP($D273,'Sales Data'!$C:$G,6,0),"NA")</f>
        <v>NA</v>
      </c>
      <c r="L273" s="2"/>
      <c r="M273" s="2"/>
      <c r="N273" s="2"/>
    </row>
    <row r="274" spans="1:14" ht="14.4">
      <c r="A274" s="154" t="s">
        <v>3998</v>
      </c>
      <c r="B274" s="113">
        <v>44291</v>
      </c>
      <c r="C274" s="2" t="s">
        <v>4844</v>
      </c>
      <c r="D274" s="118" t="s">
        <v>4845</v>
      </c>
      <c r="E274" s="114">
        <v>9191919191</v>
      </c>
      <c r="F274" s="2" t="s">
        <v>297</v>
      </c>
      <c r="G274" s="2" t="s">
        <v>6</v>
      </c>
      <c r="H274" s="2" t="s">
        <v>4400</v>
      </c>
      <c r="I274" s="2" t="str">
        <f>IFERROR(VLOOKUP($D274,'Sales Data'!$C:$E,4,0),"SAME")</f>
        <v>SAME</v>
      </c>
      <c r="J274" s="2"/>
      <c r="K274" s="2" t="str">
        <f>IFERROR(VLOOKUP($D274,'Sales Data'!$C:$G,6,0),"NA")</f>
        <v>NA</v>
      </c>
      <c r="L274" s="2"/>
      <c r="M274" s="2"/>
      <c r="N274" s="2"/>
    </row>
    <row r="275" spans="1:14" ht="14.4">
      <c r="A275" s="154" t="s">
        <v>3998</v>
      </c>
      <c r="B275" s="113">
        <v>44291</v>
      </c>
      <c r="C275" s="2" t="s">
        <v>4846</v>
      </c>
      <c r="D275" s="118" t="s">
        <v>4847</v>
      </c>
      <c r="E275" s="114">
        <v>9110633874</v>
      </c>
      <c r="F275" s="2" t="s">
        <v>303</v>
      </c>
      <c r="G275" s="2" t="s">
        <v>4378</v>
      </c>
      <c r="H275" s="2" t="s">
        <v>26</v>
      </c>
      <c r="I275" s="2" t="str">
        <f>IFERROR(VLOOKUP($D275,'Sales Data'!$C:$E,4,0),"SAME")</f>
        <v>SAME</v>
      </c>
      <c r="J275" s="2"/>
      <c r="K275" s="2" t="str">
        <f>IFERROR(VLOOKUP($D275,'Sales Data'!$C:$G,6,0),"NA")</f>
        <v>NA</v>
      </c>
      <c r="L275" s="2"/>
      <c r="M275" s="2"/>
      <c r="N275" s="2"/>
    </row>
    <row r="276" spans="1:14" ht="14.4">
      <c r="A276" s="154" t="s">
        <v>3998</v>
      </c>
      <c r="B276" s="113">
        <v>44291</v>
      </c>
      <c r="C276" s="2" t="s">
        <v>4848</v>
      </c>
      <c r="D276" s="118" t="s">
        <v>4849</v>
      </c>
      <c r="E276" s="114">
        <v>6363673091</v>
      </c>
      <c r="F276" s="2" t="s">
        <v>495</v>
      </c>
      <c r="G276" s="2" t="s">
        <v>7</v>
      </c>
      <c r="H276" s="2" t="s">
        <v>17</v>
      </c>
      <c r="I276" s="2" t="str">
        <f>IFERROR(VLOOKUP($D276,'Sales Data'!$C:$E,4,0),"SAME")</f>
        <v>SAME</v>
      </c>
      <c r="J276" s="2"/>
      <c r="K276" s="2" t="str">
        <f>IFERROR(VLOOKUP($D276,'Sales Data'!$C:$G,6,0),"NA")</f>
        <v>NA</v>
      </c>
      <c r="L276" s="2"/>
      <c r="M276" s="2"/>
      <c r="N276" s="2"/>
    </row>
    <row r="277" spans="1:14" ht="14.4">
      <c r="A277" s="154" t="s">
        <v>3998</v>
      </c>
      <c r="B277" s="113">
        <v>44291</v>
      </c>
      <c r="C277" s="2" t="s">
        <v>4850</v>
      </c>
      <c r="D277" s="118" t="s">
        <v>4851</v>
      </c>
      <c r="E277" s="2" t="s">
        <v>1294</v>
      </c>
      <c r="F277" s="2" t="s">
        <v>287</v>
      </c>
      <c r="G277" s="2" t="s">
        <v>4378</v>
      </c>
      <c r="H277" s="2"/>
      <c r="I277" s="2" t="str">
        <f>IFERROR(VLOOKUP($D277,'Sales Data'!$C:$E,4,0),"SAME")</f>
        <v>SAME</v>
      </c>
      <c r="J277" s="2"/>
      <c r="K277" s="2" t="str">
        <f>IFERROR(VLOOKUP($D277,'Sales Data'!$C:$G,6,0),"NA")</f>
        <v>NA</v>
      </c>
      <c r="L277" s="2"/>
      <c r="M277" s="2"/>
      <c r="N277" s="2"/>
    </row>
    <row r="278" spans="1:14" ht="14.4">
      <c r="A278" s="154" t="s">
        <v>3998</v>
      </c>
      <c r="B278" s="113">
        <v>44291</v>
      </c>
      <c r="C278" s="2" t="s">
        <v>4852</v>
      </c>
      <c r="D278" s="118" t="s">
        <v>4853</v>
      </c>
      <c r="E278" s="114">
        <v>8220982275</v>
      </c>
      <c r="F278" s="2" t="s">
        <v>297</v>
      </c>
      <c r="G278" s="2" t="s">
        <v>195</v>
      </c>
      <c r="H278" s="2" t="s">
        <v>4400</v>
      </c>
      <c r="I278" s="2" t="str">
        <f>IFERROR(VLOOKUP($D278,'Sales Data'!$C:$E,4,0),"SAME")</f>
        <v>SAME</v>
      </c>
      <c r="J278" s="2"/>
      <c r="K278" s="2" t="str">
        <f>IFERROR(VLOOKUP($D278,'Sales Data'!$C:$G,6,0),"NA")</f>
        <v>NA</v>
      </c>
      <c r="L278" s="2"/>
      <c r="M278" s="2"/>
      <c r="N278" s="3" t="s">
        <v>4854</v>
      </c>
    </row>
    <row r="279" spans="1:14" ht="14.4">
      <c r="A279" s="154" t="s">
        <v>3998</v>
      </c>
      <c r="B279" s="113">
        <v>44291</v>
      </c>
      <c r="C279" s="2" t="s">
        <v>4855</v>
      </c>
      <c r="D279" s="118" t="s">
        <v>4856</v>
      </c>
      <c r="E279" s="114">
        <v>9845326356</v>
      </c>
      <c r="F279" s="2" t="s">
        <v>291</v>
      </c>
      <c r="G279" s="2" t="s">
        <v>4378</v>
      </c>
      <c r="H279" s="2" t="s">
        <v>26</v>
      </c>
      <c r="I279" s="2" t="str">
        <f>IFERROR(VLOOKUP($D279,'Sales Data'!$C:$E,4,0),"SAME")</f>
        <v>SAME</v>
      </c>
      <c r="J279" s="2"/>
      <c r="K279" s="2" t="str">
        <f>IFERROR(VLOOKUP($D279,'Sales Data'!$C:$G,6,0),"NA")</f>
        <v>NA</v>
      </c>
      <c r="L279" s="2"/>
      <c r="M279" s="2"/>
      <c r="N279" s="2"/>
    </row>
    <row r="280" spans="1:14" ht="14.4">
      <c r="A280" s="154" t="s">
        <v>3998</v>
      </c>
      <c r="B280" s="113">
        <v>44292</v>
      </c>
      <c r="C280" s="2" t="s">
        <v>1142</v>
      </c>
      <c r="D280" s="118" t="s">
        <v>1143</v>
      </c>
      <c r="E280" s="114">
        <v>8095046123</v>
      </c>
      <c r="F280" s="2" t="s">
        <v>319</v>
      </c>
      <c r="G280" s="2" t="s">
        <v>150</v>
      </c>
      <c r="H280" s="2" t="s">
        <v>28</v>
      </c>
      <c r="I280" s="2" t="str">
        <f>IFERROR(VLOOKUP($D280,'Sales Data'!$C:$E,4,0),"SAME")</f>
        <v>SAME</v>
      </c>
      <c r="J280" s="2"/>
      <c r="K280" s="2" t="str">
        <f>IFERROR(VLOOKUP($D280,'Sales Data'!$C:$G,6,0),"NA")</f>
        <v>NA</v>
      </c>
      <c r="L280" s="2"/>
      <c r="M280" s="2"/>
      <c r="N280" s="2"/>
    </row>
    <row r="281" spans="1:14" ht="14.4">
      <c r="A281" s="154" t="s">
        <v>3998</v>
      </c>
      <c r="B281" s="113">
        <v>44293</v>
      </c>
      <c r="C281" s="2" t="s">
        <v>4857</v>
      </c>
      <c r="D281" s="118" t="s">
        <v>4858</v>
      </c>
      <c r="E281" s="161">
        <v>9742391542</v>
      </c>
      <c r="F281" s="2" t="s">
        <v>303</v>
      </c>
      <c r="G281" s="2" t="s">
        <v>4378</v>
      </c>
      <c r="H281" s="2" t="s">
        <v>26</v>
      </c>
      <c r="I281" s="2" t="str">
        <f>IFERROR(VLOOKUP($D281,'Sales Data'!$C:$E,4,0),"SAME")</f>
        <v>SAME</v>
      </c>
      <c r="J281" s="2"/>
      <c r="K281" s="2" t="str">
        <f>IFERROR(VLOOKUP($D281,'Sales Data'!$C:$G,6,0),"NA")</f>
        <v>NA</v>
      </c>
      <c r="L281" s="2"/>
      <c r="M281" s="2"/>
      <c r="N281" s="2"/>
    </row>
    <row r="282" spans="1:14" ht="14.4">
      <c r="A282" s="154" t="s">
        <v>3998</v>
      </c>
      <c r="B282" s="113">
        <v>44293</v>
      </c>
      <c r="C282" s="2" t="s">
        <v>1509</v>
      </c>
      <c r="D282" s="118" t="s">
        <v>1510</v>
      </c>
      <c r="E282" s="161">
        <v>9766494667</v>
      </c>
      <c r="F282" s="2" t="s">
        <v>319</v>
      </c>
      <c r="G282" s="2" t="s">
        <v>150</v>
      </c>
      <c r="H282" s="2" t="s">
        <v>26</v>
      </c>
      <c r="I282" s="2" t="str">
        <f>IFERROR(VLOOKUP($D282,'Sales Data'!$C:$E,4,0),"SAME")</f>
        <v>SAME</v>
      </c>
      <c r="J282" s="2"/>
      <c r="K282" s="2" t="str">
        <f>IFERROR(VLOOKUP($D282,'Sales Data'!$C:$G,6,0),"NA")</f>
        <v>NA</v>
      </c>
      <c r="L282" s="2"/>
      <c r="M282" s="2"/>
      <c r="N282" s="2"/>
    </row>
    <row r="283" spans="1:14" ht="14.4">
      <c r="A283" s="154" t="s">
        <v>3998</v>
      </c>
      <c r="B283" s="113">
        <v>44293</v>
      </c>
      <c r="C283" s="2" t="s">
        <v>4859</v>
      </c>
      <c r="D283" s="118" t="s">
        <v>4860</v>
      </c>
      <c r="E283" s="161">
        <v>9840176177</v>
      </c>
      <c r="F283" s="2" t="s">
        <v>303</v>
      </c>
      <c r="G283" s="2" t="s">
        <v>4378</v>
      </c>
      <c r="H283" s="2" t="s">
        <v>26</v>
      </c>
      <c r="I283" s="2" t="str">
        <f>IFERROR(VLOOKUP($D283,'Sales Data'!$C:$E,4,0),"SAME")</f>
        <v>SAME</v>
      </c>
      <c r="J283" s="2"/>
      <c r="K283" s="2" t="str">
        <f>IFERROR(VLOOKUP($D283,'Sales Data'!$C:$G,6,0),"NA")</f>
        <v>NA</v>
      </c>
      <c r="L283" s="2"/>
      <c r="M283" s="2"/>
      <c r="N283" s="2"/>
    </row>
    <row r="284" spans="1:14" ht="14.4">
      <c r="A284" s="154" t="s">
        <v>3998</v>
      </c>
      <c r="B284" s="113">
        <v>44294</v>
      </c>
      <c r="C284" s="2" t="s">
        <v>4861</v>
      </c>
      <c r="D284" s="118" t="s">
        <v>4862</v>
      </c>
      <c r="E284" s="2" t="s">
        <v>1294</v>
      </c>
      <c r="F284" s="2" t="s">
        <v>303</v>
      </c>
      <c r="G284" s="2" t="s">
        <v>6</v>
      </c>
      <c r="H284" s="2" t="s">
        <v>1294</v>
      </c>
      <c r="I284" s="2" t="str">
        <f>IFERROR(VLOOKUP($D284,'Sales Data'!$C:$E,4,0),"SAME")</f>
        <v>SAME</v>
      </c>
      <c r="J284" s="2"/>
      <c r="K284" s="2" t="str">
        <f>IFERROR(VLOOKUP($D284,'Sales Data'!$C:$G,6,0),"NA")</f>
        <v>NA</v>
      </c>
      <c r="L284" s="2"/>
      <c r="M284" s="2"/>
      <c r="N284" s="2"/>
    </row>
    <row r="285" spans="1:14" ht="14.4">
      <c r="A285" s="154" t="s">
        <v>3998</v>
      </c>
      <c r="B285" s="113">
        <v>44294</v>
      </c>
      <c r="C285" s="2" t="s">
        <v>1124</v>
      </c>
      <c r="D285" s="118" t="s">
        <v>1125</v>
      </c>
      <c r="E285" s="161">
        <v>9999376856</v>
      </c>
      <c r="F285" s="2" t="s">
        <v>287</v>
      </c>
      <c r="G285" s="2" t="s">
        <v>4378</v>
      </c>
      <c r="H285" s="2" t="s">
        <v>28</v>
      </c>
      <c r="I285" s="2" t="str">
        <f>IFERROR(VLOOKUP($D285,'Sales Data'!$C:$E,4,0),"SAME")</f>
        <v>SAME</v>
      </c>
      <c r="J285" s="2"/>
      <c r="K285" s="2" t="str">
        <f>IFERROR(VLOOKUP($D285,'Sales Data'!$C:$G,6,0),"NA")</f>
        <v>NA</v>
      </c>
      <c r="L285" s="2"/>
      <c r="M285" s="2"/>
      <c r="N285" s="2"/>
    </row>
    <row r="286" spans="1:14" ht="14.4">
      <c r="A286" s="154" t="s">
        <v>3998</v>
      </c>
      <c r="B286" s="113">
        <v>44294</v>
      </c>
      <c r="C286" s="2" t="s">
        <v>4863</v>
      </c>
      <c r="D286" s="118" t="s">
        <v>4864</v>
      </c>
      <c r="E286" s="161">
        <v>8285975601</v>
      </c>
      <c r="F286" s="2" t="s">
        <v>303</v>
      </c>
      <c r="G286" s="2" t="s">
        <v>4378</v>
      </c>
      <c r="H286" s="2" t="s">
        <v>28</v>
      </c>
      <c r="I286" s="2" t="str">
        <f>IFERROR(VLOOKUP($D286,'Sales Data'!$C:$E,4,0),"SAME")</f>
        <v>SAME</v>
      </c>
      <c r="J286" s="2"/>
      <c r="K286" s="2" t="str">
        <f>IFERROR(VLOOKUP($D286,'Sales Data'!$C:$G,6,0),"NA")</f>
        <v>NA</v>
      </c>
      <c r="L286" s="2"/>
      <c r="M286" s="2"/>
      <c r="N286" s="2"/>
    </row>
    <row r="287" spans="1:14" ht="14.4">
      <c r="A287" s="154" t="s">
        <v>3998</v>
      </c>
      <c r="B287" s="113">
        <v>44294</v>
      </c>
      <c r="C287" s="2" t="s">
        <v>2169</v>
      </c>
      <c r="D287" s="118" t="s">
        <v>4865</v>
      </c>
      <c r="E287" s="161">
        <v>9545554963</v>
      </c>
      <c r="F287" s="2" t="s">
        <v>303</v>
      </c>
      <c r="G287" s="2" t="s">
        <v>7</v>
      </c>
      <c r="H287" s="2" t="s">
        <v>26</v>
      </c>
      <c r="I287" s="2" t="str">
        <f>IFERROR(VLOOKUP($D287,'Sales Data'!$C:$E,4,0),"SAME")</f>
        <v>SAME</v>
      </c>
      <c r="J287" s="2"/>
      <c r="K287" s="2" t="str">
        <f>IFERROR(VLOOKUP($D287,'Sales Data'!$C:$G,6,0),"NA")</f>
        <v>NA</v>
      </c>
      <c r="L287" s="2"/>
      <c r="M287" s="2"/>
      <c r="N287" s="2"/>
    </row>
    <row r="288" spans="1:14" ht="14.4">
      <c r="A288" s="154" t="s">
        <v>3998</v>
      </c>
      <c r="B288" s="113">
        <v>44295</v>
      </c>
      <c r="C288" s="2" t="s">
        <v>4866</v>
      </c>
      <c r="D288" s="118" t="s">
        <v>4867</v>
      </c>
      <c r="E288" s="161">
        <v>9007044984</v>
      </c>
      <c r="F288" s="2" t="s">
        <v>303</v>
      </c>
      <c r="G288" s="2" t="s">
        <v>151</v>
      </c>
      <c r="H288" s="2" t="s">
        <v>26</v>
      </c>
      <c r="I288" s="2" t="str">
        <f>IFERROR(VLOOKUP($D288,'Sales Data'!$C:$E,4,0),"SAME")</f>
        <v>SAME</v>
      </c>
      <c r="J288" s="2"/>
      <c r="K288" s="2" t="str">
        <f>IFERROR(VLOOKUP($D288,'Sales Data'!$C:$G,6,0),"NA")</f>
        <v>NA</v>
      </c>
      <c r="L288" s="2"/>
      <c r="M288" s="2"/>
      <c r="N288" s="2"/>
    </row>
    <row r="289" spans="1:14" ht="14.4">
      <c r="A289" s="154" t="s">
        <v>3998</v>
      </c>
      <c r="B289" s="113">
        <v>44295</v>
      </c>
      <c r="C289" s="2" t="s">
        <v>4868</v>
      </c>
      <c r="D289" s="118" t="s">
        <v>4869</v>
      </c>
      <c r="E289" s="161">
        <v>9819640173</v>
      </c>
      <c r="F289" s="2" t="s">
        <v>904</v>
      </c>
      <c r="G289" s="2" t="s">
        <v>151</v>
      </c>
      <c r="H289" s="2" t="s">
        <v>26</v>
      </c>
      <c r="I289" s="2" t="str">
        <f>IFERROR(VLOOKUP($D289,'Sales Data'!$C:$E,4,0),"SAME")</f>
        <v>SAME</v>
      </c>
      <c r="J289" s="2"/>
      <c r="K289" s="2" t="str">
        <f>IFERROR(VLOOKUP($D289,'Sales Data'!$C:$G,6,0),"NA")</f>
        <v>NA</v>
      </c>
      <c r="L289" s="2"/>
      <c r="M289" s="2"/>
      <c r="N289" s="2"/>
    </row>
    <row r="290" spans="1:14" ht="14.4">
      <c r="A290" s="154" t="s">
        <v>3998</v>
      </c>
      <c r="B290" s="113">
        <v>44295</v>
      </c>
      <c r="C290" s="2" t="s">
        <v>1708</v>
      </c>
      <c r="D290" s="118" t="s">
        <v>4870</v>
      </c>
      <c r="E290" s="161">
        <v>9740335759</v>
      </c>
      <c r="F290" s="2" t="s">
        <v>303</v>
      </c>
      <c r="G290" s="2" t="s">
        <v>6</v>
      </c>
      <c r="H290" s="2" t="s">
        <v>28</v>
      </c>
      <c r="I290" s="2" t="str">
        <f>IFERROR(VLOOKUP($D290,'Sales Data'!$C:$E,4,0),"SAME")</f>
        <v>SAME</v>
      </c>
      <c r="J290" s="2"/>
      <c r="K290" s="2" t="str">
        <f>IFERROR(VLOOKUP($D290,'Sales Data'!$C:$G,6,0),"NA")</f>
        <v>NA</v>
      </c>
      <c r="L290" s="2"/>
      <c r="M290" s="2"/>
      <c r="N290" s="2"/>
    </row>
    <row r="291" spans="1:14" ht="14.4">
      <c r="A291" s="154" t="s">
        <v>3998</v>
      </c>
      <c r="B291" s="113">
        <v>44295</v>
      </c>
      <c r="C291" s="2" t="s">
        <v>4871</v>
      </c>
      <c r="D291" s="118" t="s">
        <v>4872</v>
      </c>
      <c r="E291" s="161">
        <v>9833482922</v>
      </c>
      <c r="F291" s="2" t="s">
        <v>291</v>
      </c>
      <c r="G291" s="2" t="s">
        <v>4378</v>
      </c>
      <c r="H291" s="2" t="s">
        <v>26</v>
      </c>
      <c r="I291" s="2" t="str">
        <f>IFERROR(VLOOKUP($D291,'Sales Data'!$C:$E,4,0),"SAME")</f>
        <v>SAME</v>
      </c>
      <c r="J291" s="2"/>
      <c r="K291" s="2" t="str">
        <f>IFERROR(VLOOKUP($D291,'Sales Data'!$C:$G,6,0),"NA")</f>
        <v>NA</v>
      </c>
      <c r="L291" s="2"/>
      <c r="M291" s="2"/>
      <c r="N291" s="2"/>
    </row>
    <row r="292" spans="1:14" ht="14.4">
      <c r="A292" s="154" t="s">
        <v>3998</v>
      </c>
      <c r="B292" s="113">
        <v>44295</v>
      </c>
      <c r="C292" s="2" t="s">
        <v>1133</v>
      </c>
      <c r="D292" s="118" t="s">
        <v>1134</v>
      </c>
      <c r="E292" s="161">
        <v>8584832151</v>
      </c>
      <c r="F292" s="2" t="s">
        <v>297</v>
      </c>
      <c r="G292" s="2" t="s">
        <v>150</v>
      </c>
      <c r="H292" s="2" t="s">
        <v>26</v>
      </c>
      <c r="I292" s="2" t="str">
        <f>IFERROR(VLOOKUP($D292,'Sales Data'!$C:$E,4,0),"SAME")</f>
        <v>SAME</v>
      </c>
      <c r="J292" s="2"/>
      <c r="K292" s="2" t="str">
        <f>IFERROR(VLOOKUP($D292,'Sales Data'!$C:$G,6,0),"NA")</f>
        <v>NA</v>
      </c>
      <c r="L292" s="2"/>
      <c r="M292" s="2"/>
      <c r="N292" s="2"/>
    </row>
    <row r="293" spans="1:14" ht="14.4">
      <c r="A293" s="154" t="s">
        <v>3998</v>
      </c>
      <c r="B293" s="113">
        <v>44295</v>
      </c>
      <c r="C293" s="2" t="s">
        <v>1135</v>
      </c>
      <c r="D293" s="118" t="s">
        <v>1136</v>
      </c>
      <c r="E293" s="161">
        <v>8089310443</v>
      </c>
      <c r="F293" s="2" t="s">
        <v>303</v>
      </c>
      <c r="G293" s="2" t="s">
        <v>6</v>
      </c>
      <c r="H293" s="2" t="s">
        <v>28</v>
      </c>
      <c r="I293" s="2" t="str">
        <f>IFERROR(VLOOKUP($D293,'Sales Data'!$C:$E,4,0),"SAME")</f>
        <v>SAME</v>
      </c>
      <c r="J293" s="2"/>
      <c r="K293" s="2" t="str">
        <f>IFERROR(VLOOKUP($D293,'Sales Data'!$C:$G,6,0),"NA")</f>
        <v>NA</v>
      </c>
      <c r="L293" s="126">
        <v>45000</v>
      </c>
      <c r="M293" s="2"/>
      <c r="N293" s="2"/>
    </row>
    <row r="294" spans="1:14" ht="14.4">
      <c r="A294" s="154" t="s">
        <v>3998</v>
      </c>
      <c r="B294" s="113">
        <v>44295</v>
      </c>
      <c r="C294" s="2" t="s">
        <v>4873</v>
      </c>
      <c r="D294" s="118" t="s">
        <v>4874</v>
      </c>
      <c r="E294" s="2" t="s">
        <v>1294</v>
      </c>
      <c r="F294" s="2" t="s">
        <v>297</v>
      </c>
      <c r="G294" s="2" t="s">
        <v>6</v>
      </c>
      <c r="H294" s="2" t="s">
        <v>1294</v>
      </c>
      <c r="I294" s="2" t="str">
        <f>IFERROR(VLOOKUP($D294,'Sales Data'!$C:$E,4,0),"SAME")</f>
        <v>SAME</v>
      </c>
      <c r="J294" s="2"/>
      <c r="K294" s="2" t="str">
        <f>IFERROR(VLOOKUP($D294,'Sales Data'!$C:$G,6,0),"NA")</f>
        <v>NA</v>
      </c>
      <c r="L294" s="2"/>
      <c r="M294" s="2"/>
      <c r="N294" s="2"/>
    </row>
    <row r="295" spans="1:14" ht="14.4">
      <c r="A295" s="154" t="s">
        <v>3998</v>
      </c>
      <c r="B295" s="113">
        <v>44296</v>
      </c>
      <c r="C295" s="2" t="s">
        <v>1126</v>
      </c>
      <c r="D295" s="118" t="s">
        <v>1127</v>
      </c>
      <c r="E295" s="161">
        <v>9619758184</v>
      </c>
      <c r="F295" s="2" t="s">
        <v>319</v>
      </c>
      <c r="G295" s="2" t="s">
        <v>6</v>
      </c>
      <c r="H295" s="2" t="s">
        <v>28</v>
      </c>
      <c r="I295" s="2" t="str">
        <f>IFERROR(VLOOKUP($D295,'Sales Data'!$C:$E,4,0),"SAME")</f>
        <v>SAME</v>
      </c>
      <c r="J295" s="2"/>
      <c r="K295" s="2" t="str">
        <f>IFERROR(VLOOKUP($D295,'Sales Data'!$C:$G,6,0),"NA")</f>
        <v>NA</v>
      </c>
      <c r="L295" s="2"/>
      <c r="M295" s="2"/>
      <c r="N295" s="2"/>
    </row>
    <row r="296" spans="1:14" ht="14.4">
      <c r="A296" s="154" t="s">
        <v>3998</v>
      </c>
      <c r="B296" s="113">
        <v>44296</v>
      </c>
      <c r="C296" s="2" t="s">
        <v>4875</v>
      </c>
      <c r="D296" s="118" t="s">
        <v>4876</v>
      </c>
      <c r="E296" s="161">
        <v>9482953171</v>
      </c>
      <c r="F296" s="2" t="s">
        <v>303</v>
      </c>
      <c r="G296" s="2" t="s">
        <v>4378</v>
      </c>
      <c r="H296" s="2" t="s">
        <v>28</v>
      </c>
      <c r="I296" s="2" t="str">
        <f>IFERROR(VLOOKUP($D296,'Sales Data'!$C:$E,4,0),"SAME")</f>
        <v>SAME</v>
      </c>
      <c r="J296" s="2"/>
      <c r="K296" s="2" t="str">
        <f>IFERROR(VLOOKUP($D296,'Sales Data'!$C:$G,6,0),"NA")</f>
        <v>NA</v>
      </c>
      <c r="L296" s="126">
        <v>45000</v>
      </c>
      <c r="M296" s="2"/>
      <c r="N296" s="2"/>
    </row>
    <row r="297" spans="1:14" ht="14.4">
      <c r="A297" s="154" t="s">
        <v>3998</v>
      </c>
      <c r="B297" s="113">
        <v>44297</v>
      </c>
      <c r="C297" s="2" t="s">
        <v>4877</v>
      </c>
      <c r="D297" s="118" t="s">
        <v>4878</v>
      </c>
      <c r="E297" s="114">
        <v>7506056794</v>
      </c>
      <c r="F297" s="2" t="s">
        <v>319</v>
      </c>
      <c r="G297" s="2" t="s">
        <v>1524</v>
      </c>
      <c r="H297" s="2" t="s">
        <v>28</v>
      </c>
      <c r="I297" s="2" t="str">
        <f>IFERROR(VLOOKUP($D297,'Sales Data'!$C:$E,4,0),"SAME")</f>
        <v>SAME</v>
      </c>
      <c r="J297" s="2"/>
      <c r="K297" s="2" t="str">
        <f>IFERROR(VLOOKUP($D297,'Sales Data'!$C:$G,6,0),"NA")</f>
        <v>NA</v>
      </c>
      <c r="L297" s="126">
        <v>24000</v>
      </c>
      <c r="M297" s="2"/>
      <c r="N297" s="2"/>
    </row>
    <row r="298" spans="1:14" ht="14.4">
      <c r="A298" s="154" t="s">
        <v>3998</v>
      </c>
      <c r="B298" s="113">
        <v>44297</v>
      </c>
      <c r="C298" s="2" t="s">
        <v>4879</v>
      </c>
      <c r="D298" s="118" t="s">
        <v>4880</v>
      </c>
      <c r="E298" s="114">
        <v>9741552045</v>
      </c>
      <c r="F298" s="2" t="s">
        <v>303</v>
      </c>
      <c r="G298" s="2" t="s">
        <v>4378</v>
      </c>
      <c r="H298" s="2" t="s">
        <v>28</v>
      </c>
      <c r="I298" s="2" t="str">
        <f>IFERROR(VLOOKUP($D298,'Sales Data'!$C:$E,4,0),"SAME")</f>
        <v>SAME</v>
      </c>
      <c r="J298" s="2"/>
      <c r="K298" s="2" t="str">
        <f>IFERROR(VLOOKUP($D298,'Sales Data'!$C:$G,6,0),"NA")</f>
        <v>NA</v>
      </c>
      <c r="L298" s="126">
        <v>45000</v>
      </c>
      <c r="M298" s="2"/>
      <c r="N298" s="2"/>
    </row>
    <row r="299" spans="1:14" ht="14.4">
      <c r="A299" s="154" t="s">
        <v>3998</v>
      </c>
      <c r="B299" s="113">
        <v>44298</v>
      </c>
      <c r="C299" s="2" t="s">
        <v>4881</v>
      </c>
      <c r="D299" s="118" t="s">
        <v>4882</v>
      </c>
      <c r="E299" s="114">
        <v>7358073523</v>
      </c>
      <c r="F299" s="2" t="s">
        <v>319</v>
      </c>
      <c r="G299" s="2" t="s">
        <v>7</v>
      </c>
      <c r="H299" s="2" t="s">
        <v>26</v>
      </c>
      <c r="I299" s="2" t="str">
        <f>IFERROR(VLOOKUP($D299,'Sales Data'!$C:$E,4,0),"SAME")</f>
        <v>SAME</v>
      </c>
      <c r="J299" s="2"/>
      <c r="K299" s="2" t="str">
        <f>IFERROR(VLOOKUP($D299,'Sales Data'!$C:$G,6,0),"NA")</f>
        <v>NA</v>
      </c>
      <c r="L299" s="2"/>
      <c r="M299" s="2"/>
      <c r="N299" s="2"/>
    </row>
    <row r="300" spans="1:14" ht="14.4">
      <c r="A300" s="154" t="s">
        <v>3998</v>
      </c>
      <c r="B300" s="113">
        <v>44298</v>
      </c>
      <c r="C300" s="2" t="s">
        <v>4883</v>
      </c>
      <c r="D300" s="118" t="s">
        <v>1189</v>
      </c>
      <c r="E300" s="114">
        <v>9818602198</v>
      </c>
      <c r="F300" s="2" t="s">
        <v>319</v>
      </c>
      <c r="G300" s="2" t="s">
        <v>7</v>
      </c>
      <c r="H300" s="2" t="s">
        <v>28</v>
      </c>
      <c r="I300" s="2" t="str">
        <f>IFERROR(VLOOKUP($D300,'Sales Data'!$C:$E,4,0),"SAME")</f>
        <v>SAME</v>
      </c>
      <c r="J300" s="2"/>
      <c r="K300" s="2" t="str">
        <f>IFERROR(VLOOKUP($D300,'Sales Data'!$C:$G,6,0),"NA")</f>
        <v>NA</v>
      </c>
      <c r="L300" s="2"/>
      <c r="M300" s="2"/>
      <c r="N300" s="2"/>
    </row>
    <row r="301" spans="1:14" ht="14.4">
      <c r="A301" s="154" t="s">
        <v>3998</v>
      </c>
      <c r="B301" s="113">
        <v>44298</v>
      </c>
      <c r="C301" s="2" t="s">
        <v>1186</v>
      </c>
      <c r="D301" s="118" t="s">
        <v>1187</v>
      </c>
      <c r="E301" s="114">
        <v>9845165710</v>
      </c>
      <c r="F301" s="2" t="s">
        <v>303</v>
      </c>
      <c r="G301" s="2" t="s">
        <v>4378</v>
      </c>
      <c r="H301" s="2" t="s">
        <v>26</v>
      </c>
      <c r="I301" s="2" t="str">
        <f>IFERROR(VLOOKUP($D301,'Sales Data'!$C:$E,4,0),"SAME")</f>
        <v>SAME</v>
      </c>
      <c r="J301" s="2"/>
      <c r="K301" s="2" t="str">
        <f>IFERROR(VLOOKUP($D301,'Sales Data'!$C:$G,6,0),"NA")</f>
        <v>NA</v>
      </c>
      <c r="L301" s="2"/>
      <c r="M301" s="2"/>
      <c r="N301" s="2"/>
    </row>
    <row r="302" spans="1:14" ht="14.4">
      <c r="A302" s="154" t="s">
        <v>3998</v>
      </c>
      <c r="B302" s="113">
        <v>44299</v>
      </c>
      <c r="C302" s="2" t="s">
        <v>4884</v>
      </c>
      <c r="D302" s="118" t="s">
        <v>4885</v>
      </c>
      <c r="E302" s="114">
        <v>7760649001</v>
      </c>
      <c r="F302" s="2" t="s">
        <v>297</v>
      </c>
      <c r="G302" s="2" t="s">
        <v>151</v>
      </c>
      <c r="H302" s="2" t="s">
        <v>4400</v>
      </c>
      <c r="I302" s="2" t="str">
        <f>IFERROR(VLOOKUP($D302,'Sales Data'!$C:$E,4,0),"SAME")</f>
        <v>SAME</v>
      </c>
      <c r="J302" s="2"/>
      <c r="K302" s="2" t="str">
        <f>IFERROR(VLOOKUP($D302,'Sales Data'!$C:$G,6,0),"NA")</f>
        <v>NA</v>
      </c>
      <c r="L302" s="2"/>
      <c r="M302" s="2"/>
      <c r="N302" s="2"/>
    </row>
    <row r="303" spans="1:14" ht="14.4">
      <c r="A303" s="154" t="s">
        <v>3998</v>
      </c>
      <c r="B303" s="113">
        <v>44299</v>
      </c>
      <c r="C303" s="2" t="s">
        <v>4886</v>
      </c>
      <c r="D303" s="118" t="s">
        <v>4887</v>
      </c>
      <c r="E303" s="114">
        <v>8939676129</v>
      </c>
      <c r="F303" s="2" t="s">
        <v>303</v>
      </c>
      <c r="G303" s="2" t="s">
        <v>4378</v>
      </c>
      <c r="H303" s="2" t="s">
        <v>26</v>
      </c>
      <c r="I303" s="2" t="str">
        <f>IFERROR(VLOOKUP($D303,'Sales Data'!$C:$E,4,0),"SAME")</f>
        <v>SAME</v>
      </c>
      <c r="J303" s="2"/>
      <c r="K303" s="2" t="str">
        <f>IFERROR(VLOOKUP($D303,'Sales Data'!$C:$G,6,0),"NA")</f>
        <v>NA</v>
      </c>
      <c r="L303" s="2"/>
      <c r="M303" s="2"/>
      <c r="N303" s="2"/>
    </row>
    <row r="304" spans="1:14" ht="14.4">
      <c r="A304" s="154" t="s">
        <v>3998</v>
      </c>
      <c r="B304" s="113">
        <v>44299</v>
      </c>
      <c r="C304" s="2" t="s">
        <v>1151</v>
      </c>
      <c r="D304" s="118" t="s">
        <v>1152</v>
      </c>
      <c r="E304" s="114">
        <v>9867052813</v>
      </c>
      <c r="F304" s="2" t="s">
        <v>303</v>
      </c>
      <c r="G304" s="2" t="s">
        <v>4378</v>
      </c>
      <c r="H304" s="2" t="s">
        <v>26</v>
      </c>
      <c r="I304" s="2" t="str">
        <f>IFERROR(VLOOKUP($D304,'Sales Data'!$C:$E,4,0),"SAME")</f>
        <v>SAME</v>
      </c>
      <c r="J304" s="2"/>
      <c r="K304" s="2" t="str">
        <f>IFERROR(VLOOKUP($D304,'Sales Data'!$C:$G,6,0),"NA")</f>
        <v>NA</v>
      </c>
      <c r="L304" s="2"/>
      <c r="M304" s="2"/>
      <c r="N304" s="2"/>
    </row>
    <row r="305" spans="1:14" ht="14.4">
      <c r="A305" s="154" t="s">
        <v>3998</v>
      </c>
      <c r="B305" s="113">
        <v>44299</v>
      </c>
      <c r="C305" s="2" t="s">
        <v>4888</v>
      </c>
      <c r="D305" s="118" t="s">
        <v>4889</v>
      </c>
      <c r="E305" s="114">
        <v>9886930691</v>
      </c>
      <c r="F305" s="2" t="s">
        <v>303</v>
      </c>
      <c r="G305" s="2" t="s">
        <v>4378</v>
      </c>
      <c r="H305" s="2" t="s">
        <v>26</v>
      </c>
      <c r="I305" s="2" t="str">
        <f>IFERROR(VLOOKUP($D305,'Sales Data'!$C:$E,4,0),"SAME")</f>
        <v>SAME</v>
      </c>
      <c r="J305" s="2"/>
      <c r="K305" s="2" t="str">
        <f>IFERROR(VLOOKUP($D305,'Sales Data'!$C:$G,6,0),"NA")</f>
        <v>NA</v>
      </c>
      <c r="L305" s="2"/>
      <c r="M305" s="2"/>
      <c r="N305" s="2"/>
    </row>
    <row r="306" spans="1:14" ht="14.4">
      <c r="A306" s="154" t="s">
        <v>3998</v>
      </c>
      <c r="B306" s="113">
        <v>44299</v>
      </c>
      <c r="C306" s="2" t="s">
        <v>4890</v>
      </c>
      <c r="D306" s="118" t="s">
        <v>4891</v>
      </c>
      <c r="E306" s="114">
        <v>9779674000</v>
      </c>
      <c r="F306" s="2" t="s">
        <v>319</v>
      </c>
      <c r="G306" s="2" t="s">
        <v>150</v>
      </c>
      <c r="H306" s="2" t="s">
        <v>28</v>
      </c>
      <c r="I306" s="2" t="str">
        <f>IFERROR(VLOOKUP($D306,'Sales Data'!$C:$E,4,0),"SAME")</f>
        <v>SAME</v>
      </c>
      <c r="J306" s="2"/>
      <c r="K306" s="2" t="str">
        <f>IFERROR(VLOOKUP($D306,'Sales Data'!$C:$G,6,0),"NA")</f>
        <v>NA</v>
      </c>
      <c r="L306" s="2"/>
      <c r="M306" s="2"/>
      <c r="N306" s="2"/>
    </row>
    <row r="307" spans="1:14" ht="14.4">
      <c r="A307" s="154" t="s">
        <v>3998</v>
      </c>
      <c r="B307" s="113">
        <v>44300</v>
      </c>
      <c r="C307" s="2" t="s">
        <v>4892</v>
      </c>
      <c r="D307" s="118" t="s">
        <v>4893</v>
      </c>
      <c r="E307" s="114">
        <v>9986184241</v>
      </c>
      <c r="F307" s="2" t="s">
        <v>303</v>
      </c>
      <c r="G307" s="2" t="s">
        <v>4378</v>
      </c>
      <c r="H307" s="2" t="s">
        <v>26</v>
      </c>
      <c r="I307" s="2" t="str">
        <f>IFERROR(VLOOKUP($D307,'Sales Data'!$C:$E,4,0),"SAME")</f>
        <v>SAME</v>
      </c>
      <c r="J307" s="2"/>
      <c r="K307" s="2" t="str">
        <f>IFERROR(VLOOKUP($D307,'Sales Data'!$C:$G,6,0),"NA")</f>
        <v>NA</v>
      </c>
      <c r="L307" s="2"/>
      <c r="M307" s="2"/>
      <c r="N307" s="2"/>
    </row>
    <row r="308" spans="1:14" ht="14.4">
      <c r="A308" s="154" t="s">
        <v>3998</v>
      </c>
      <c r="B308" s="113">
        <v>44301</v>
      </c>
      <c r="C308" s="2" t="s">
        <v>4894</v>
      </c>
      <c r="D308" s="118" t="s">
        <v>1139</v>
      </c>
      <c r="E308" s="161">
        <v>9158966688</v>
      </c>
      <c r="F308" s="2" t="s">
        <v>303</v>
      </c>
      <c r="G308" s="2" t="s">
        <v>150</v>
      </c>
      <c r="H308" s="2" t="s">
        <v>28</v>
      </c>
      <c r="I308" s="2" t="str">
        <f>IFERROR(VLOOKUP($D308,'Sales Data'!$C:$E,4,0),"SAME")</f>
        <v>SAME</v>
      </c>
      <c r="J308" s="2"/>
      <c r="K308" s="2" t="str">
        <f>IFERROR(VLOOKUP($D308,'Sales Data'!$C:$G,6,0),"NA")</f>
        <v>NA</v>
      </c>
      <c r="L308" s="2"/>
      <c r="M308" s="2"/>
      <c r="N308" s="2"/>
    </row>
    <row r="309" spans="1:14" ht="14.4">
      <c r="A309" s="154" t="s">
        <v>3998</v>
      </c>
      <c r="B309" s="113">
        <v>44301</v>
      </c>
      <c r="C309" s="2" t="s">
        <v>4895</v>
      </c>
      <c r="D309" s="118" t="s">
        <v>4896</v>
      </c>
      <c r="E309" s="161">
        <v>9843270996</v>
      </c>
      <c r="F309" s="2" t="s">
        <v>291</v>
      </c>
      <c r="G309" s="2" t="s">
        <v>4378</v>
      </c>
      <c r="H309" s="2" t="s">
        <v>27</v>
      </c>
      <c r="I309" s="2" t="str">
        <f>IFERROR(VLOOKUP($D309,'Sales Data'!$C:$E,4,0),"SAME")</f>
        <v>SAME</v>
      </c>
      <c r="J309" s="2"/>
      <c r="K309" s="2" t="str">
        <f>IFERROR(VLOOKUP($D309,'Sales Data'!$C:$G,6,0),"NA")</f>
        <v>NA</v>
      </c>
      <c r="L309" s="2"/>
      <c r="M309" s="2"/>
      <c r="N309" s="2"/>
    </row>
    <row r="310" spans="1:14" ht="14.4">
      <c r="A310" s="154" t="s">
        <v>3998</v>
      </c>
      <c r="B310" s="113">
        <v>44302</v>
      </c>
      <c r="C310" s="2" t="s">
        <v>4897</v>
      </c>
      <c r="D310" s="118" t="s">
        <v>4898</v>
      </c>
      <c r="E310" s="161">
        <v>9833977588</v>
      </c>
      <c r="F310" s="2" t="s">
        <v>291</v>
      </c>
      <c r="G310" s="2" t="s">
        <v>4378</v>
      </c>
      <c r="H310" s="2" t="s">
        <v>26</v>
      </c>
      <c r="I310" s="2" t="str">
        <f>IFERROR(VLOOKUP($D310,'Sales Data'!$C:$E,4,0),"SAME")</f>
        <v>SAME</v>
      </c>
      <c r="J310" s="2"/>
      <c r="K310" s="2" t="str">
        <f>IFERROR(VLOOKUP($D310,'Sales Data'!$C:$G,6,0),"NA")</f>
        <v>NA</v>
      </c>
      <c r="L310" s="2"/>
      <c r="M310" s="2"/>
      <c r="N310" s="2"/>
    </row>
    <row r="311" spans="1:14" ht="14.4">
      <c r="A311" s="154" t="s">
        <v>3998</v>
      </c>
      <c r="B311" s="113">
        <v>44302</v>
      </c>
      <c r="C311" s="2" t="s">
        <v>4899</v>
      </c>
      <c r="D311" s="118" t="s">
        <v>4900</v>
      </c>
      <c r="E311" s="161">
        <v>7767810357</v>
      </c>
      <c r="F311" s="2" t="s">
        <v>287</v>
      </c>
      <c r="G311" s="2" t="s">
        <v>151</v>
      </c>
      <c r="H311" s="2" t="s">
        <v>28</v>
      </c>
      <c r="I311" s="2" t="str">
        <f>IFERROR(VLOOKUP($D311,'Sales Data'!$C:$E,4,0),"SAME")</f>
        <v>SAME</v>
      </c>
      <c r="J311" s="2"/>
      <c r="K311" s="2" t="str">
        <f>IFERROR(VLOOKUP($D311,'Sales Data'!$C:$G,6,0),"NA")</f>
        <v>NA</v>
      </c>
      <c r="L311" s="2"/>
      <c r="M311" s="2"/>
      <c r="N311" s="2"/>
    </row>
    <row r="312" spans="1:14" ht="14.4">
      <c r="A312" s="154" t="s">
        <v>3998</v>
      </c>
      <c r="B312" s="113">
        <v>44302</v>
      </c>
      <c r="C312" s="2" t="s">
        <v>1146</v>
      </c>
      <c r="D312" s="118" t="s">
        <v>1147</v>
      </c>
      <c r="E312" s="161">
        <v>9008001100</v>
      </c>
      <c r="F312" s="2" t="s">
        <v>303</v>
      </c>
      <c r="G312" s="2" t="s">
        <v>4378</v>
      </c>
      <c r="H312" s="2" t="s">
        <v>28</v>
      </c>
      <c r="I312" s="2" t="str">
        <f>IFERROR(VLOOKUP($D312,'Sales Data'!$C:$E,4,0),"SAME")</f>
        <v>SAME</v>
      </c>
      <c r="J312" s="2"/>
      <c r="K312" s="2" t="str">
        <f>IFERROR(VLOOKUP($D312,'Sales Data'!$C:$G,6,0),"NA")</f>
        <v>NA</v>
      </c>
      <c r="L312" s="2"/>
      <c r="M312" s="2"/>
      <c r="N312" s="2"/>
    </row>
    <row r="313" spans="1:14" ht="14.4">
      <c r="A313" s="154" t="s">
        <v>3998</v>
      </c>
      <c r="B313" s="113">
        <v>44302</v>
      </c>
      <c r="C313" s="2" t="s">
        <v>4901</v>
      </c>
      <c r="D313" s="118" t="s">
        <v>4902</v>
      </c>
      <c r="E313" s="161">
        <v>9831083970</v>
      </c>
      <c r="F313" s="2" t="s">
        <v>303</v>
      </c>
      <c r="G313" s="2" t="s">
        <v>4378</v>
      </c>
      <c r="H313" s="2" t="s">
        <v>28</v>
      </c>
      <c r="I313" s="2" t="str">
        <f>IFERROR(VLOOKUP($D313,'Sales Data'!$C:$E,4,0),"SAME")</f>
        <v>SAME</v>
      </c>
      <c r="J313" s="2"/>
      <c r="K313" s="2" t="str">
        <f>IFERROR(VLOOKUP($D313,'Sales Data'!$C:$G,6,0),"NA")</f>
        <v>NA</v>
      </c>
      <c r="L313" s="2"/>
      <c r="M313" s="2"/>
      <c r="N313" s="2"/>
    </row>
    <row r="314" spans="1:14" ht="14.4">
      <c r="A314" s="154" t="s">
        <v>3998</v>
      </c>
      <c r="B314" s="113">
        <v>44302</v>
      </c>
      <c r="C314" s="2" t="s">
        <v>1233</v>
      </c>
      <c r="D314" s="118" t="s">
        <v>1234</v>
      </c>
      <c r="E314" s="161">
        <v>9049987919</v>
      </c>
      <c r="F314" s="2" t="s">
        <v>303</v>
      </c>
      <c r="G314" s="2" t="s">
        <v>4378</v>
      </c>
      <c r="H314" s="2" t="s">
        <v>28</v>
      </c>
      <c r="I314" s="2" t="str">
        <f>IFERROR(VLOOKUP($D314,'Sales Data'!$C:$E,4,0),"SAME")</f>
        <v>SAME</v>
      </c>
      <c r="J314" s="2"/>
      <c r="K314" s="2" t="str">
        <f>IFERROR(VLOOKUP($D314,'Sales Data'!$C:$G,6,0),"NA")</f>
        <v>NA</v>
      </c>
      <c r="L314" s="2"/>
      <c r="M314" s="2"/>
      <c r="N314" s="2"/>
    </row>
    <row r="315" spans="1:14" ht="14.4">
      <c r="A315" s="154" t="s">
        <v>3998</v>
      </c>
      <c r="B315" s="113">
        <v>44303</v>
      </c>
      <c r="C315" s="2" t="s">
        <v>4903</v>
      </c>
      <c r="D315" s="118" t="s">
        <v>4904</v>
      </c>
      <c r="E315" s="161">
        <v>9891881810</v>
      </c>
      <c r="F315" s="2" t="s">
        <v>306</v>
      </c>
      <c r="G315" s="2" t="s">
        <v>7</v>
      </c>
      <c r="H315" s="2" t="s">
        <v>27</v>
      </c>
      <c r="I315" s="2" t="str">
        <f>IFERROR(VLOOKUP($D315,'Sales Data'!$C:$E,4,0),"SAME")</f>
        <v>SAME</v>
      </c>
      <c r="J315" s="2"/>
      <c r="K315" s="2" t="str">
        <f>IFERROR(VLOOKUP($D315,'Sales Data'!$C:$G,6,0),"NA")</f>
        <v>NA</v>
      </c>
      <c r="L315" s="2"/>
      <c r="M315" s="2"/>
      <c r="N315" s="2"/>
    </row>
    <row r="316" spans="1:14" ht="14.4">
      <c r="A316" s="154" t="s">
        <v>3998</v>
      </c>
      <c r="B316" s="113">
        <v>44303</v>
      </c>
      <c r="C316" s="2" t="s">
        <v>1200</v>
      </c>
      <c r="D316" s="118" t="s">
        <v>1201</v>
      </c>
      <c r="E316" s="161">
        <v>8142030377</v>
      </c>
      <c r="F316" s="2" t="s">
        <v>495</v>
      </c>
      <c r="G316" s="2" t="s">
        <v>4378</v>
      </c>
      <c r="H316" s="2" t="s">
        <v>28</v>
      </c>
      <c r="I316" s="2" t="str">
        <f>IFERROR(VLOOKUP($D316,'Sales Data'!$C:$E,4,0),"SAME")</f>
        <v>SAME</v>
      </c>
      <c r="J316" s="2"/>
      <c r="K316" s="2" t="str">
        <f>IFERROR(VLOOKUP($D316,'Sales Data'!$C:$G,6,0),"NA")</f>
        <v>NA</v>
      </c>
      <c r="L316" s="2"/>
      <c r="M316" s="2"/>
      <c r="N316" s="2"/>
    </row>
    <row r="317" spans="1:14" ht="14.4">
      <c r="A317" s="154" t="s">
        <v>3998</v>
      </c>
      <c r="B317" s="113">
        <v>44304</v>
      </c>
      <c r="C317" s="2" t="s">
        <v>4905</v>
      </c>
      <c r="D317" s="118" t="s">
        <v>4906</v>
      </c>
      <c r="E317" s="161">
        <v>8553199485</v>
      </c>
      <c r="F317" s="2" t="s">
        <v>291</v>
      </c>
      <c r="G317" s="2" t="s">
        <v>4378</v>
      </c>
      <c r="H317" s="2" t="s">
        <v>28</v>
      </c>
      <c r="I317" s="2" t="str">
        <f>IFERROR(VLOOKUP($D317,'Sales Data'!$C:$E,4,0),"SAME")</f>
        <v>SAME</v>
      </c>
      <c r="J317" s="2"/>
      <c r="K317" s="2" t="str">
        <f>IFERROR(VLOOKUP($D317,'Sales Data'!$C:$G,6,0),"NA")</f>
        <v>NA</v>
      </c>
      <c r="L317" s="2"/>
      <c r="M317" s="2"/>
      <c r="N317" s="2"/>
    </row>
    <row r="318" spans="1:14" ht="14.4">
      <c r="A318" s="154" t="s">
        <v>3998</v>
      </c>
      <c r="B318" s="113">
        <v>44304</v>
      </c>
      <c r="C318" s="2" t="s">
        <v>1181</v>
      </c>
      <c r="D318" s="118" t="s">
        <v>1182</v>
      </c>
      <c r="E318" s="161">
        <v>9642446000</v>
      </c>
      <c r="F318" s="2" t="s">
        <v>291</v>
      </c>
      <c r="G318" s="2" t="s">
        <v>4378</v>
      </c>
      <c r="H318" s="2" t="s">
        <v>26</v>
      </c>
      <c r="I318" s="2" t="str">
        <f>IFERROR(VLOOKUP($D318,'Sales Data'!$C:$E,4,0),"SAME")</f>
        <v>SAME</v>
      </c>
      <c r="J318" s="2"/>
      <c r="K318" s="2" t="str">
        <f>IFERROR(VLOOKUP($D318,'Sales Data'!$C:$G,6,0),"NA")</f>
        <v>NA</v>
      </c>
      <c r="L318" s="2"/>
      <c r="M318" s="2"/>
      <c r="N318" s="2"/>
    </row>
    <row r="319" spans="1:14" ht="14.4">
      <c r="A319" s="154" t="s">
        <v>3998</v>
      </c>
      <c r="B319" s="113">
        <v>44304</v>
      </c>
      <c r="C319" s="2" t="s">
        <v>4907</v>
      </c>
      <c r="D319" s="118" t="s">
        <v>4908</v>
      </c>
      <c r="E319" s="161">
        <v>9880549303</v>
      </c>
      <c r="F319" s="2" t="s">
        <v>291</v>
      </c>
      <c r="G319" s="2" t="s">
        <v>4378</v>
      </c>
      <c r="H319" s="2" t="s">
        <v>26</v>
      </c>
      <c r="I319" s="2" t="str">
        <f>IFERROR(VLOOKUP($D319,'Sales Data'!$C:$E,4,0),"SAME")</f>
        <v>SAME</v>
      </c>
      <c r="J319" s="2"/>
      <c r="K319" s="2" t="str">
        <f>IFERROR(VLOOKUP($D319,'Sales Data'!$C:$G,6,0),"NA")</f>
        <v>NA</v>
      </c>
      <c r="L319" s="2"/>
      <c r="M319" s="2"/>
      <c r="N319" s="2"/>
    </row>
    <row r="320" spans="1:14" ht="14.4">
      <c r="A320" s="154" t="s">
        <v>3998</v>
      </c>
      <c r="B320" s="113">
        <v>44304</v>
      </c>
      <c r="C320" s="2" t="s">
        <v>4909</v>
      </c>
      <c r="D320" s="118" t="s">
        <v>1162</v>
      </c>
      <c r="E320" s="161">
        <v>9561287727</v>
      </c>
      <c r="F320" s="2" t="s">
        <v>303</v>
      </c>
      <c r="G320" s="2" t="s">
        <v>151</v>
      </c>
      <c r="H320" s="2" t="s">
        <v>28</v>
      </c>
      <c r="I320" s="2" t="str">
        <f>IFERROR(VLOOKUP($D320,'Sales Data'!$C:$E,4,0),"SAME")</f>
        <v>SAME</v>
      </c>
      <c r="J320" s="2"/>
      <c r="K320" s="2" t="str">
        <f>IFERROR(VLOOKUP($D320,'Sales Data'!$C:$G,6,0),"NA")</f>
        <v>NA</v>
      </c>
      <c r="L320" s="2"/>
      <c r="M320" s="2"/>
      <c r="N320" s="2"/>
    </row>
    <row r="321" spans="1:14" ht="14.4">
      <c r="A321" s="154" t="s">
        <v>3998</v>
      </c>
      <c r="B321" s="113">
        <v>44305</v>
      </c>
      <c r="C321" s="2" t="s">
        <v>4910</v>
      </c>
      <c r="D321" s="118" t="s">
        <v>4911</v>
      </c>
      <c r="E321" s="161">
        <v>9423553969</v>
      </c>
      <c r="F321" s="2" t="s">
        <v>287</v>
      </c>
      <c r="G321" s="2" t="s">
        <v>7</v>
      </c>
      <c r="H321" s="2" t="s">
        <v>26</v>
      </c>
      <c r="I321" s="2" t="str">
        <f>IFERROR(VLOOKUP($D321,'Sales Data'!$C:$E,4,0),"SAME")</f>
        <v>SAME</v>
      </c>
      <c r="J321" s="2"/>
      <c r="K321" s="2" t="str">
        <f>IFERROR(VLOOKUP($D321,'Sales Data'!$C:$G,6,0),"NA")</f>
        <v>NA</v>
      </c>
      <c r="L321" s="2"/>
      <c r="M321" s="2"/>
      <c r="N321" s="2"/>
    </row>
    <row r="322" spans="1:14" ht="14.4">
      <c r="A322" s="154" t="s">
        <v>3998</v>
      </c>
      <c r="B322" s="113">
        <v>44305</v>
      </c>
      <c r="C322" s="2" t="s">
        <v>4912</v>
      </c>
      <c r="D322" s="118" t="s">
        <v>4913</v>
      </c>
      <c r="E322" s="161">
        <v>9591134293</v>
      </c>
      <c r="F322" s="2" t="s">
        <v>287</v>
      </c>
      <c r="G322" s="2" t="s">
        <v>4378</v>
      </c>
      <c r="H322" s="2" t="s">
        <v>28</v>
      </c>
      <c r="I322" s="2" t="str">
        <f>IFERROR(VLOOKUP($D322,'Sales Data'!$C:$E,4,0),"SAME")</f>
        <v>SAME</v>
      </c>
      <c r="J322" s="2"/>
      <c r="K322" s="2" t="str">
        <f>IFERROR(VLOOKUP($D322,'Sales Data'!$C:$G,6,0),"NA")</f>
        <v>NA</v>
      </c>
      <c r="L322" s="2"/>
      <c r="M322" s="2"/>
      <c r="N322" s="2"/>
    </row>
    <row r="323" spans="1:14" ht="14.4">
      <c r="A323" s="154" t="s">
        <v>3998</v>
      </c>
      <c r="B323" s="113">
        <v>44305</v>
      </c>
      <c r="C323" s="2" t="s">
        <v>4914</v>
      </c>
      <c r="D323" s="118" t="s">
        <v>4915</v>
      </c>
      <c r="E323" s="161">
        <v>9884768476</v>
      </c>
      <c r="F323" s="2" t="s">
        <v>303</v>
      </c>
      <c r="G323" s="2" t="s">
        <v>151</v>
      </c>
      <c r="H323" s="2" t="s">
        <v>27</v>
      </c>
      <c r="I323" s="2" t="str">
        <f>IFERROR(VLOOKUP($D323,'Sales Data'!$C:$E,4,0),"SAME")</f>
        <v>SAME</v>
      </c>
      <c r="J323" s="2"/>
      <c r="K323" s="2" t="str">
        <f>IFERROR(VLOOKUP($D323,'Sales Data'!$C:$G,6,0),"NA")</f>
        <v>NA</v>
      </c>
      <c r="L323" s="2"/>
      <c r="M323" s="2"/>
      <c r="N323" s="2"/>
    </row>
    <row r="324" spans="1:14" ht="14.4">
      <c r="A324" s="154" t="s">
        <v>3998</v>
      </c>
      <c r="B324" s="113">
        <v>44306</v>
      </c>
      <c r="C324" s="2" t="s">
        <v>4916</v>
      </c>
      <c r="D324" s="118" t="s">
        <v>4917</v>
      </c>
      <c r="E324" s="161">
        <v>9611033338</v>
      </c>
      <c r="F324" s="2" t="s">
        <v>291</v>
      </c>
      <c r="G324" s="2" t="s">
        <v>4378</v>
      </c>
      <c r="H324" s="2" t="s">
        <v>3997</v>
      </c>
      <c r="I324" s="2" t="str">
        <f>IFERROR(VLOOKUP($D324,'Sales Data'!$C:$E,4,0),"SAME")</f>
        <v>SAME</v>
      </c>
      <c r="J324" s="2"/>
      <c r="K324" s="2" t="str">
        <f>IFERROR(VLOOKUP($D324,'Sales Data'!$C:$G,6,0),"NA")</f>
        <v>NA</v>
      </c>
      <c r="L324" s="2"/>
      <c r="M324" s="2"/>
      <c r="N324" s="2"/>
    </row>
    <row r="325" spans="1:14" ht="14.4">
      <c r="A325" s="154" t="s">
        <v>3998</v>
      </c>
      <c r="B325" s="113">
        <v>44306</v>
      </c>
      <c r="C325" s="2" t="s">
        <v>4918</v>
      </c>
      <c r="D325" s="118" t="s">
        <v>4919</v>
      </c>
      <c r="E325" s="161">
        <v>9990810988</v>
      </c>
      <c r="F325" s="2" t="s">
        <v>287</v>
      </c>
      <c r="G325" s="2" t="s">
        <v>150</v>
      </c>
      <c r="H325" s="2" t="s">
        <v>28</v>
      </c>
      <c r="I325" s="2" t="str">
        <f>IFERROR(VLOOKUP($D325,'Sales Data'!$C:$E,4,0),"SAME")</f>
        <v>SAME</v>
      </c>
      <c r="J325" s="2"/>
      <c r="K325" s="2" t="str">
        <f>IFERROR(VLOOKUP($D325,'Sales Data'!$C:$G,6,0),"NA")</f>
        <v>NA</v>
      </c>
      <c r="L325" s="2"/>
      <c r="M325" s="2"/>
      <c r="N325" s="2"/>
    </row>
    <row r="326" spans="1:14" ht="14.4">
      <c r="A326" s="154" t="s">
        <v>3998</v>
      </c>
      <c r="B326" s="113">
        <v>44306</v>
      </c>
      <c r="C326" s="2" t="s">
        <v>4920</v>
      </c>
      <c r="D326" s="118" t="s">
        <v>4921</v>
      </c>
      <c r="E326" s="161">
        <v>8208224608</v>
      </c>
      <c r="F326" s="2" t="s">
        <v>303</v>
      </c>
      <c r="G326" s="2" t="s">
        <v>4378</v>
      </c>
      <c r="H326" s="2" t="s">
        <v>26</v>
      </c>
      <c r="I326" s="2" t="str">
        <f>IFERROR(VLOOKUP($D326,'Sales Data'!$C:$E,4,0),"SAME")</f>
        <v>SAME</v>
      </c>
      <c r="J326" s="2"/>
      <c r="K326" s="2" t="str">
        <f>IFERROR(VLOOKUP($D326,'Sales Data'!$C:$G,6,0),"NA")</f>
        <v>NA</v>
      </c>
      <c r="L326" s="2"/>
      <c r="M326" s="2"/>
      <c r="N326" s="2"/>
    </row>
    <row r="327" spans="1:14" ht="14.4">
      <c r="A327" s="154" t="s">
        <v>3998</v>
      </c>
      <c r="B327" s="113">
        <v>44306</v>
      </c>
      <c r="C327" s="2" t="s">
        <v>1174</v>
      </c>
      <c r="D327" s="118" t="s">
        <v>1175</v>
      </c>
      <c r="E327" s="161">
        <v>9176148269</v>
      </c>
      <c r="F327" s="2" t="s">
        <v>287</v>
      </c>
      <c r="G327" s="2" t="s">
        <v>4378</v>
      </c>
      <c r="H327" s="2" t="s">
        <v>27</v>
      </c>
      <c r="I327" s="2" t="str">
        <f>IFERROR(VLOOKUP($D327,'Sales Data'!$C:$E,4,0),"SAME")</f>
        <v>SAME</v>
      </c>
      <c r="J327" s="2"/>
      <c r="K327" s="2" t="str">
        <f>IFERROR(VLOOKUP($D327,'Sales Data'!$C:$G,6,0),"NA")</f>
        <v>NA</v>
      </c>
      <c r="L327" s="2"/>
      <c r="M327" s="2"/>
      <c r="N327" s="2"/>
    </row>
    <row r="328" spans="1:14" ht="14.4">
      <c r="A328" s="154" t="s">
        <v>3998</v>
      </c>
      <c r="B328" s="113">
        <v>44307</v>
      </c>
      <c r="C328" s="2" t="s">
        <v>4922</v>
      </c>
      <c r="D328" s="118" t="s">
        <v>4923</v>
      </c>
      <c r="E328" s="161">
        <v>9886101129</v>
      </c>
      <c r="F328" s="2" t="s">
        <v>303</v>
      </c>
      <c r="G328" s="2" t="s">
        <v>6</v>
      </c>
      <c r="H328" s="2" t="s">
        <v>17</v>
      </c>
      <c r="I328" s="2" t="str">
        <f>IFERROR(VLOOKUP($D328,'Sales Data'!$C:$E,4,0),"SAME")</f>
        <v>SAME</v>
      </c>
      <c r="J328" s="2"/>
      <c r="K328" s="2" t="str">
        <f>IFERROR(VLOOKUP($D328,'Sales Data'!$C:$G,6,0),"NA")</f>
        <v>NA</v>
      </c>
      <c r="L328" s="2"/>
      <c r="M328" s="2"/>
      <c r="N328" s="2"/>
    </row>
    <row r="329" spans="1:14" ht="14.4">
      <c r="A329" s="154" t="s">
        <v>3998</v>
      </c>
      <c r="B329" s="113">
        <v>44307</v>
      </c>
      <c r="C329" s="2" t="s">
        <v>4924</v>
      </c>
      <c r="D329" s="118" t="s">
        <v>4925</v>
      </c>
      <c r="E329" s="161">
        <v>9971011016</v>
      </c>
      <c r="F329" s="2" t="s">
        <v>291</v>
      </c>
      <c r="G329" s="2" t="s">
        <v>4378</v>
      </c>
      <c r="H329" s="2" t="s">
        <v>26</v>
      </c>
      <c r="I329" s="2" t="str">
        <f>IFERROR(VLOOKUP($D329,'Sales Data'!$C:$E,4,0),"SAME")</f>
        <v>SAME</v>
      </c>
      <c r="J329" s="2"/>
      <c r="K329" s="2" t="str">
        <f>IFERROR(VLOOKUP($D329,'Sales Data'!$C:$G,6,0),"NA")</f>
        <v>NA</v>
      </c>
      <c r="L329" s="2"/>
      <c r="M329" s="2"/>
      <c r="N329" s="2"/>
    </row>
    <row r="330" spans="1:14" ht="14.4">
      <c r="A330" s="154" t="s">
        <v>3998</v>
      </c>
      <c r="B330" s="113">
        <v>44307</v>
      </c>
      <c r="C330" s="2" t="s">
        <v>4926</v>
      </c>
      <c r="D330" s="118" t="s">
        <v>4927</v>
      </c>
      <c r="E330" s="161">
        <v>11111111</v>
      </c>
      <c r="F330" s="2" t="s">
        <v>297</v>
      </c>
      <c r="G330" s="2" t="s">
        <v>6</v>
      </c>
      <c r="H330" s="2" t="s">
        <v>4400</v>
      </c>
      <c r="I330" s="2" t="str">
        <f>IFERROR(VLOOKUP($D330,'Sales Data'!$C:$E,4,0),"SAME")</f>
        <v>SAME</v>
      </c>
      <c r="J330" s="2"/>
      <c r="K330" s="2" t="str">
        <f>IFERROR(VLOOKUP($D330,'Sales Data'!$C:$G,6,0),"NA")</f>
        <v>NA</v>
      </c>
      <c r="L330" s="2"/>
      <c r="M330" s="2"/>
      <c r="N330" s="2"/>
    </row>
    <row r="331" spans="1:14" ht="14.4">
      <c r="A331" s="154" t="s">
        <v>3998</v>
      </c>
      <c r="B331" s="113">
        <v>44307</v>
      </c>
      <c r="C331" s="2" t="s">
        <v>4928</v>
      </c>
      <c r="D331" s="118" t="s">
        <v>4929</v>
      </c>
      <c r="E331" s="161">
        <v>9960436439</v>
      </c>
      <c r="F331" s="2" t="s">
        <v>297</v>
      </c>
      <c r="G331" s="2" t="s">
        <v>4378</v>
      </c>
      <c r="H331" s="2" t="s">
        <v>28</v>
      </c>
      <c r="I331" s="2" t="str">
        <f>IFERROR(VLOOKUP($D331,'Sales Data'!$C:$E,4,0),"SAME")</f>
        <v>SAME</v>
      </c>
      <c r="J331" s="2"/>
      <c r="K331" s="2" t="str">
        <f>IFERROR(VLOOKUP($D331,'Sales Data'!$C:$G,6,0),"NA")</f>
        <v>NA</v>
      </c>
      <c r="L331" s="2"/>
      <c r="M331" s="2"/>
      <c r="N331" s="2"/>
    </row>
    <row r="332" spans="1:14" ht="14.4">
      <c r="A332" s="154" t="s">
        <v>3998</v>
      </c>
      <c r="B332" s="113">
        <v>44308</v>
      </c>
      <c r="C332" s="2" t="s">
        <v>4930</v>
      </c>
      <c r="D332" s="118" t="s">
        <v>4931</v>
      </c>
      <c r="E332" s="161">
        <v>9972037667</v>
      </c>
      <c r="F332" s="2" t="s">
        <v>287</v>
      </c>
      <c r="G332" s="2" t="s">
        <v>195</v>
      </c>
      <c r="H332" s="2" t="s">
        <v>27</v>
      </c>
      <c r="I332" s="2" t="str">
        <f>IFERROR(VLOOKUP($D332,'Sales Data'!$C:$E,4,0),"SAME")</f>
        <v>SAME</v>
      </c>
      <c r="J332" s="2"/>
      <c r="K332" s="2" t="str">
        <f>IFERROR(VLOOKUP($D332,'Sales Data'!$C:$G,6,0),"NA")</f>
        <v>NA</v>
      </c>
      <c r="L332" s="2"/>
      <c r="M332" s="2"/>
      <c r="N332" s="2"/>
    </row>
    <row r="333" spans="1:14" ht="14.4">
      <c r="A333" s="154" t="s">
        <v>3998</v>
      </c>
      <c r="B333" s="113">
        <v>44308</v>
      </c>
      <c r="C333" s="2" t="s">
        <v>4932</v>
      </c>
      <c r="D333" s="118" t="s">
        <v>4933</v>
      </c>
      <c r="E333" s="161">
        <v>9840361629</v>
      </c>
      <c r="F333" s="2" t="s">
        <v>287</v>
      </c>
      <c r="G333" s="2" t="s">
        <v>4378</v>
      </c>
      <c r="H333" s="2" t="s">
        <v>26</v>
      </c>
      <c r="I333" s="2" t="str">
        <f>IFERROR(VLOOKUP($D333,'Sales Data'!$C:$E,4,0),"SAME")</f>
        <v>SAME</v>
      </c>
      <c r="J333" s="2"/>
      <c r="K333" s="2" t="str">
        <f>IFERROR(VLOOKUP($D333,'Sales Data'!$C:$G,6,0),"NA")</f>
        <v>NA</v>
      </c>
      <c r="L333" s="2"/>
      <c r="M333" s="2"/>
      <c r="N333" s="2"/>
    </row>
    <row r="334" spans="1:14" ht="14.4">
      <c r="A334" s="154" t="s">
        <v>3998</v>
      </c>
      <c r="B334" s="113">
        <v>44308</v>
      </c>
      <c r="C334" s="2" t="s">
        <v>4934</v>
      </c>
      <c r="D334" s="118" t="s">
        <v>4935</v>
      </c>
      <c r="E334" s="161">
        <v>988411895</v>
      </c>
      <c r="F334" s="2" t="s">
        <v>319</v>
      </c>
      <c r="G334" s="2" t="s">
        <v>150</v>
      </c>
      <c r="H334" s="2" t="s">
        <v>3997</v>
      </c>
      <c r="I334" s="2" t="str">
        <f>IFERROR(VLOOKUP($D334,'Sales Data'!$C:$E,4,0),"SAME")</f>
        <v>SAME</v>
      </c>
      <c r="J334" s="2"/>
      <c r="K334" s="2" t="str">
        <f>IFERROR(VLOOKUP($D334,'Sales Data'!$C:$G,6,0),"NA")</f>
        <v>NA</v>
      </c>
      <c r="L334" s="2"/>
      <c r="M334" s="2"/>
      <c r="N334" s="2"/>
    </row>
    <row r="335" spans="1:14" ht="14.4">
      <c r="A335" s="154" t="s">
        <v>3998</v>
      </c>
      <c r="B335" s="113">
        <v>44308</v>
      </c>
      <c r="C335" s="2" t="s">
        <v>1251</v>
      </c>
      <c r="D335" s="118" t="s">
        <v>1252</v>
      </c>
      <c r="E335" s="161">
        <v>9737007007</v>
      </c>
      <c r="F335" s="2" t="s">
        <v>287</v>
      </c>
      <c r="G335" s="2" t="s">
        <v>4378</v>
      </c>
      <c r="H335" s="2" t="s">
        <v>27</v>
      </c>
      <c r="I335" s="2" t="str">
        <f>IFERROR(VLOOKUP($D335,'Sales Data'!$C:$E,4,0),"SAME")</f>
        <v>SAME</v>
      </c>
      <c r="J335" s="2"/>
      <c r="K335" s="2" t="str">
        <f>IFERROR(VLOOKUP($D335,'Sales Data'!$C:$G,6,0),"NA")</f>
        <v>NA</v>
      </c>
      <c r="L335" s="2"/>
      <c r="M335" s="2"/>
      <c r="N335" s="2"/>
    </row>
    <row r="336" spans="1:14" ht="14.4">
      <c r="A336" s="154" t="s">
        <v>3998</v>
      </c>
      <c r="B336" s="113">
        <v>44309</v>
      </c>
      <c r="C336" s="2" t="s">
        <v>4936</v>
      </c>
      <c r="D336" s="118" t="s">
        <v>4937</v>
      </c>
      <c r="E336" s="161">
        <v>9886182320</v>
      </c>
      <c r="F336" s="2" t="s">
        <v>303</v>
      </c>
      <c r="G336" s="2" t="s">
        <v>150</v>
      </c>
      <c r="H336" s="2" t="s">
        <v>28</v>
      </c>
      <c r="I336" s="2" t="str">
        <f>IFERROR(VLOOKUP($D336,'Sales Data'!$C:$E,4,0),"SAME")</f>
        <v>SAME</v>
      </c>
      <c r="J336" s="2"/>
      <c r="K336" s="2" t="str">
        <f>IFERROR(VLOOKUP($D336,'Sales Data'!$C:$G,6,0),"NA")</f>
        <v>NA</v>
      </c>
      <c r="L336" s="2"/>
      <c r="M336" s="2"/>
      <c r="N336" s="2"/>
    </row>
    <row r="337" spans="1:14" ht="14.4">
      <c r="A337" s="154" t="s">
        <v>3998</v>
      </c>
      <c r="B337" s="113">
        <v>44309</v>
      </c>
      <c r="C337" s="2" t="s">
        <v>4938</v>
      </c>
      <c r="D337" s="118" t="s">
        <v>4939</v>
      </c>
      <c r="E337" s="161">
        <v>7829244333</v>
      </c>
      <c r="F337" s="2" t="s">
        <v>297</v>
      </c>
      <c r="G337" s="2" t="s">
        <v>4378</v>
      </c>
      <c r="H337" s="2" t="s">
        <v>27</v>
      </c>
      <c r="I337" s="2" t="str">
        <f>IFERROR(VLOOKUP($D337,'Sales Data'!$C:$E,4,0),"SAME")</f>
        <v>SAME</v>
      </c>
      <c r="J337" s="2"/>
      <c r="K337" s="2" t="str">
        <f>IFERROR(VLOOKUP($D337,'Sales Data'!$C:$G,6,0),"NA")</f>
        <v>NA</v>
      </c>
      <c r="L337" s="2"/>
      <c r="M337" s="2"/>
      <c r="N337" s="2"/>
    </row>
    <row r="338" spans="1:14" ht="14.4">
      <c r="A338" s="154" t="s">
        <v>3998</v>
      </c>
      <c r="B338" s="113">
        <v>44309</v>
      </c>
      <c r="C338" s="2" t="s">
        <v>4940</v>
      </c>
      <c r="D338" s="118" t="s">
        <v>4941</v>
      </c>
      <c r="E338" s="161">
        <v>9821471037</v>
      </c>
      <c r="F338" s="2" t="s">
        <v>297</v>
      </c>
      <c r="G338" s="2" t="s">
        <v>4378</v>
      </c>
      <c r="H338" s="2" t="s">
        <v>27</v>
      </c>
      <c r="I338" s="2" t="str">
        <f>IFERROR(VLOOKUP($D338,'Sales Data'!$C:$E,4,0),"SAME")</f>
        <v>SAME</v>
      </c>
      <c r="J338" s="2"/>
      <c r="K338" s="2" t="str">
        <f>IFERROR(VLOOKUP($D338,'Sales Data'!$C:$G,6,0),"NA")</f>
        <v>NA</v>
      </c>
      <c r="L338" s="2"/>
      <c r="M338" s="2"/>
      <c r="N338" s="2"/>
    </row>
    <row r="339" spans="1:14" ht="14.4">
      <c r="A339" s="154" t="s">
        <v>3998</v>
      </c>
      <c r="B339" s="113">
        <v>44310</v>
      </c>
      <c r="C339" s="2" t="s">
        <v>4942</v>
      </c>
      <c r="D339" s="118" t="s">
        <v>4943</v>
      </c>
      <c r="E339" s="161">
        <v>7353318182</v>
      </c>
      <c r="F339" s="2" t="s">
        <v>291</v>
      </c>
      <c r="G339" s="2" t="s">
        <v>4378</v>
      </c>
      <c r="H339" s="2" t="s">
        <v>26</v>
      </c>
      <c r="I339" s="2" t="str">
        <f>IFERROR(VLOOKUP($D339,'Sales Data'!$C:$E,4,0),"SAME")</f>
        <v>SAME</v>
      </c>
      <c r="J339" s="2"/>
      <c r="K339" s="2" t="str">
        <f>IFERROR(VLOOKUP($D339,'Sales Data'!$C:$G,6,0),"NA")</f>
        <v>NA</v>
      </c>
      <c r="L339" s="2"/>
      <c r="M339" s="2"/>
      <c r="N339" s="2"/>
    </row>
    <row r="340" spans="1:14" ht="14.4">
      <c r="A340" s="154" t="s">
        <v>3998</v>
      </c>
      <c r="B340" s="113">
        <v>44310</v>
      </c>
      <c r="C340" s="2" t="s">
        <v>4944</v>
      </c>
      <c r="D340" s="118" t="s">
        <v>4945</v>
      </c>
      <c r="E340" s="161">
        <v>9999638480</v>
      </c>
      <c r="F340" s="2" t="s">
        <v>303</v>
      </c>
      <c r="G340" s="2" t="s">
        <v>4378</v>
      </c>
      <c r="H340" s="2" t="s">
        <v>28</v>
      </c>
      <c r="I340" s="2" t="str">
        <f>IFERROR(VLOOKUP($D340,'Sales Data'!$C:$E,4,0),"SAME")</f>
        <v>SAME</v>
      </c>
      <c r="J340" s="2"/>
      <c r="K340" s="2" t="str">
        <f>IFERROR(VLOOKUP($D340,'Sales Data'!$C:$G,6,0),"NA")</f>
        <v>NA</v>
      </c>
      <c r="L340" s="2"/>
      <c r="M340" s="2"/>
      <c r="N340" s="2"/>
    </row>
    <row r="341" spans="1:14" ht="14.4">
      <c r="A341" s="154" t="s">
        <v>3998</v>
      </c>
      <c r="B341" s="113">
        <v>44311</v>
      </c>
      <c r="C341" s="2" t="s">
        <v>1198</v>
      </c>
      <c r="D341" s="118" t="s">
        <v>1199</v>
      </c>
      <c r="E341" s="161">
        <v>9742089850</v>
      </c>
      <c r="F341" s="2" t="s">
        <v>303</v>
      </c>
      <c r="G341" s="2" t="s">
        <v>4378</v>
      </c>
      <c r="H341" s="2" t="s">
        <v>28</v>
      </c>
      <c r="I341" s="2" t="str">
        <f>IFERROR(VLOOKUP($D341,'Sales Data'!$C:$E,4,0),"SAME")</f>
        <v>SAME</v>
      </c>
      <c r="J341" s="2"/>
      <c r="K341" s="2" t="str">
        <f>IFERROR(VLOOKUP($D341,'Sales Data'!$C:$G,6,0),"NA")</f>
        <v>NA</v>
      </c>
      <c r="L341" s="2"/>
      <c r="M341" s="2"/>
      <c r="N341" s="2"/>
    </row>
    <row r="342" spans="1:14" ht="14.4">
      <c r="A342" s="154" t="s">
        <v>3998</v>
      </c>
      <c r="B342" s="113">
        <v>44311</v>
      </c>
      <c r="C342" s="2" t="s">
        <v>4946</v>
      </c>
      <c r="D342" s="118" t="s">
        <v>4947</v>
      </c>
      <c r="E342" s="161">
        <v>8600544972</v>
      </c>
      <c r="F342" s="2" t="s">
        <v>319</v>
      </c>
      <c r="G342" s="2" t="s">
        <v>150</v>
      </c>
      <c r="H342" s="2" t="s">
        <v>27</v>
      </c>
      <c r="I342" s="2" t="str">
        <f>IFERROR(VLOOKUP($D342,'Sales Data'!$C:$E,4,0),"SAME")</f>
        <v>SAME</v>
      </c>
      <c r="J342" s="2"/>
      <c r="K342" s="2" t="str">
        <f>IFERROR(VLOOKUP($D342,'Sales Data'!$C:$G,6,0),"NA")</f>
        <v>NA</v>
      </c>
      <c r="L342" s="2"/>
      <c r="M342" s="2"/>
      <c r="N342" s="2"/>
    </row>
    <row r="343" spans="1:14" ht="14.4">
      <c r="A343" s="154" t="s">
        <v>3998</v>
      </c>
      <c r="B343" s="113">
        <v>44312</v>
      </c>
      <c r="C343" s="2" t="s">
        <v>4948</v>
      </c>
      <c r="D343" s="118" t="s">
        <v>4949</v>
      </c>
      <c r="E343" s="161">
        <v>9699380048</v>
      </c>
      <c r="F343" s="2" t="s">
        <v>303</v>
      </c>
      <c r="G343" s="2" t="s">
        <v>4378</v>
      </c>
      <c r="H343" s="2" t="s">
        <v>26</v>
      </c>
      <c r="I343" s="2" t="str">
        <f>IFERROR(VLOOKUP($D343,'Sales Data'!$C:$E,4,0),"SAME")</f>
        <v>SAME</v>
      </c>
      <c r="J343" s="2"/>
      <c r="K343" s="2" t="str">
        <f>IFERROR(VLOOKUP($D343,'Sales Data'!$C:$G,6,0),"NA")</f>
        <v>NA</v>
      </c>
      <c r="L343" s="2"/>
      <c r="M343" s="2"/>
      <c r="N343" s="2"/>
    </row>
    <row r="344" spans="1:14" ht="14.4">
      <c r="A344" s="154" t="s">
        <v>3998</v>
      </c>
      <c r="B344" s="113">
        <v>44312</v>
      </c>
      <c r="C344" s="2" t="s">
        <v>4950</v>
      </c>
      <c r="D344" s="118" t="s">
        <v>4951</v>
      </c>
      <c r="E344" s="161">
        <v>9711092824</v>
      </c>
      <c r="F344" s="2" t="s">
        <v>303</v>
      </c>
      <c r="G344" s="2" t="s">
        <v>7</v>
      </c>
      <c r="H344" s="2" t="s">
        <v>28</v>
      </c>
      <c r="I344" s="2" t="str">
        <f>IFERROR(VLOOKUP($D344,'Sales Data'!$C:$E,4,0),"SAME")</f>
        <v>SAME</v>
      </c>
      <c r="J344" s="2"/>
      <c r="K344" s="2" t="str">
        <f>IFERROR(VLOOKUP($D344,'Sales Data'!$C:$G,6,0),"NA")</f>
        <v>NA</v>
      </c>
      <c r="L344" s="2"/>
      <c r="M344" s="2"/>
      <c r="N344" s="2"/>
    </row>
    <row r="345" spans="1:14" ht="14.4">
      <c r="A345" s="154" t="s">
        <v>3998</v>
      </c>
      <c r="B345" s="113">
        <v>44312</v>
      </c>
      <c r="C345" s="2" t="s">
        <v>1176</v>
      </c>
      <c r="D345" s="118" t="s">
        <v>1177</v>
      </c>
      <c r="E345" s="161">
        <v>9820854457</v>
      </c>
      <c r="F345" s="2" t="s">
        <v>287</v>
      </c>
      <c r="G345" s="2" t="s">
        <v>4378</v>
      </c>
      <c r="H345" s="2" t="s">
        <v>28</v>
      </c>
      <c r="I345" s="2" t="str">
        <f>IFERROR(VLOOKUP($D345,'Sales Data'!$C:$E,4,0),"SAME")</f>
        <v>SAME</v>
      </c>
      <c r="J345" s="2"/>
      <c r="K345" s="2" t="str">
        <f>IFERROR(VLOOKUP($D345,'Sales Data'!$C:$G,6,0),"NA")</f>
        <v>NA</v>
      </c>
      <c r="L345" s="2"/>
      <c r="M345" s="2"/>
      <c r="N345" s="2"/>
    </row>
    <row r="346" spans="1:14" ht="14.4">
      <c r="A346" s="154" t="s">
        <v>3998</v>
      </c>
      <c r="B346" s="113">
        <v>44313</v>
      </c>
      <c r="C346" s="2" t="s">
        <v>4952</v>
      </c>
      <c r="D346" s="118" t="s">
        <v>4953</v>
      </c>
      <c r="E346" s="161">
        <v>7668997962</v>
      </c>
      <c r="F346" s="2" t="s">
        <v>319</v>
      </c>
      <c r="G346" s="2" t="s">
        <v>7</v>
      </c>
      <c r="H346" s="2" t="s">
        <v>26</v>
      </c>
      <c r="I346" s="2" t="str">
        <f>IFERROR(VLOOKUP($D346,'Sales Data'!$C:$E,4,0),"SAME")</f>
        <v>SAME</v>
      </c>
      <c r="J346" s="2"/>
      <c r="K346" s="2" t="str">
        <f>IFERROR(VLOOKUP($D346,'Sales Data'!$C:$G,6,0),"NA")</f>
        <v>NA</v>
      </c>
      <c r="L346" s="2"/>
      <c r="M346" s="2"/>
      <c r="N346" s="2"/>
    </row>
    <row r="347" spans="1:14" ht="14.4">
      <c r="A347" s="154" t="s">
        <v>3998</v>
      </c>
      <c r="B347" s="113">
        <v>44313</v>
      </c>
      <c r="C347" s="2" t="s">
        <v>4954</v>
      </c>
      <c r="D347" s="118" t="s">
        <v>4955</v>
      </c>
      <c r="E347" s="2" t="s">
        <v>1294</v>
      </c>
      <c r="F347" s="2" t="s">
        <v>303</v>
      </c>
      <c r="G347" s="2" t="s">
        <v>7</v>
      </c>
      <c r="H347" s="2" t="s">
        <v>1294</v>
      </c>
      <c r="I347" s="2" t="str">
        <f>IFERROR(VLOOKUP($D347,'Sales Data'!$C:$E,4,0),"SAME")</f>
        <v>SAME</v>
      </c>
      <c r="J347" s="2"/>
      <c r="K347" s="2" t="str">
        <f>IFERROR(VLOOKUP($D347,'Sales Data'!$C:$G,6,0),"NA")</f>
        <v>NA</v>
      </c>
      <c r="L347" s="2"/>
      <c r="M347" s="2"/>
      <c r="N347" s="2"/>
    </row>
    <row r="348" spans="1:14" ht="14.4">
      <c r="A348" s="154" t="s">
        <v>3998</v>
      </c>
      <c r="B348" s="113">
        <v>44313</v>
      </c>
      <c r="C348" s="2" t="s">
        <v>4956</v>
      </c>
      <c r="D348" s="118" t="s">
        <v>4957</v>
      </c>
      <c r="E348" s="2" t="s">
        <v>1294</v>
      </c>
      <c r="F348" s="2" t="s">
        <v>303</v>
      </c>
      <c r="G348" s="2" t="s">
        <v>7</v>
      </c>
      <c r="H348" s="2" t="s">
        <v>1294</v>
      </c>
      <c r="I348" s="2" t="str">
        <f>IFERROR(VLOOKUP($D348,'Sales Data'!$C:$E,4,0),"SAME")</f>
        <v>SAME</v>
      </c>
      <c r="J348" s="2"/>
      <c r="K348" s="2" t="str">
        <f>IFERROR(VLOOKUP($D348,'Sales Data'!$C:$G,6,0),"NA")</f>
        <v>NA</v>
      </c>
      <c r="L348" s="2"/>
      <c r="M348" s="2"/>
      <c r="N348" s="2"/>
    </row>
    <row r="349" spans="1:14" ht="14.4">
      <c r="A349" s="154" t="s">
        <v>3998</v>
      </c>
      <c r="B349" s="113">
        <v>44313</v>
      </c>
      <c r="C349" s="2" t="s">
        <v>1522</v>
      </c>
      <c r="D349" s="118" t="s">
        <v>4958</v>
      </c>
      <c r="E349" s="161">
        <v>9503400555</v>
      </c>
      <c r="F349" s="2" t="s">
        <v>319</v>
      </c>
      <c r="G349" s="2" t="s">
        <v>6</v>
      </c>
      <c r="H349" s="2" t="s">
        <v>28</v>
      </c>
      <c r="I349" s="2" t="str">
        <f>IFERROR(VLOOKUP($D349,'Sales Data'!$C:$E,4,0),"SAME")</f>
        <v>SAME</v>
      </c>
      <c r="J349" s="2"/>
      <c r="K349" s="2" t="str">
        <f>IFERROR(VLOOKUP($D349,'Sales Data'!$C:$G,6,0),"NA")</f>
        <v>NA</v>
      </c>
      <c r="L349" s="2"/>
      <c r="M349" s="2"/>
      <c r="N349" s="2"/>
    </row>
    <row r="350" spans="1:14" ht="14.4">
      <c r="A350" s="154" t="s">
        <v>3998</v>
      </c>
      <c r="B350" s="113">
        <v>44313</v>
      </c>
      <c r="C350" s="2" t="s">
        <v>4959</v>
      </c>
      <c r="D350" s="118" t="s">
        <v>4960</v>
      </c>
      <c r="E350" s="158">
        <v>8390899988</v>
      </c>
      <c r="F350" s="2" t="s">
        <v>303</v>
      </c>
      <c r="G350" s="2" t="s">
        <v>6</v>
      </c>
      <c r="H350" s="2" t="s">
        <v>28</v>
      </c>
      <c r="I350" s="2" t="str">
        <f>IFERROR(VLOOKUP($D350,'Sales Data'!$C:$E,4,0),"SAME")</f>
        <v>SAME</v>
      </c>
      <c r="J350" s="2"/>
      <c r="K350" s="2" t="str">
        <f>IFERROR(VLOOKUP($D350,'Sales Data'!$C:$G,6,0),"NA")</f>
        <v>NA</v>
      </c>
      <c r="L350" s="2"/>
      <c r="M350" s="2"/>
      <c r="N350" s="2"/>
    </row>
    <row r="351" spans="1:14" ht="14.4">
      <c r="A351" s="154" t="s">
        <v>3998</v>
      </c>
      <c r="B351" s="113">
        <v>44314</v>
      </c>
      <c r="C351" s="2" t="s">
        <v>4961</v>
      </c>
      <c r="D351" s="118" t="s">
        <v>4962</v>
      </c>
      <c r="E351" s="158">
        <v>8754294412</v>
      </c>
      <c r="F351" s="2" t="s">
        <v>319</v>
      </c>
      <c r="G351" s="2" t="s">
        <v>6</v>
      </c>
      <c r="H351" s="2" t="s">
        <v>28</v>
      </c>
      <c r="I351" s="2" t="str">
        <f>IFERROR(VLOOKUP($D351,'Sales Data'!$C:$E,4,0),"SAME")</f>
        <v>SAME</v>
      </c>
      <c r="J351" s="2"/>
      <c r="K351" s="2" t="str">
        <f>IFERROR(VLOOKUP($D351,'Sales Data'!$C:$G,6,0),"NA")</f>
        <v>NA</v>
      </c>
      <c r="L351" s="2"/>
      <c r="M351" s="2"/>
      <c r="N351" s="2"/>
    </row>
    <row r="352" spans="1:14" ht="14.4">
      <c r="A352" s="154" t="s">
        <v>3998</v>
      </c>
      <c r="B352" s="113">
        <v>44315</v>
      </c>
      <c r="C352" s="2" t="s">
        <v>4963</v>
      </c>
      <c r="D352" s="118" t="s">
        <v>4964</v>
      </c>
      <c r="E352" s="158">
        <v>172182545</v>
      </c>
      <c r="F352" s="2" t="s">
        <v>291</v>
      </c>
      <c r="G352" s="2" t="s">
        <v>4378</v>
      </c>
      <c r="H352" s="2" t="s">
        <v>3997</v>
      </c>
      <c r="I352" s="2" t="str">
        <f>IFERROR(VLOOKUP($D352,'Sales Data'!$C:$E,4,0),"SAME")</f>
        <v>SAME</v>
      </c>
      <c r="J352" s="2"/>
      <c r="K352" s="2" t="str">
        <f>IFERROR(VLOOKUP($D352,'Sales Data'!$C:$G,6,0),"NA")</f>
        <v>NA</v>
      </c>
      <c r="L352" s="2"/>
      <c r="M352" s="2"/>
      <c r="N352" s="2"/>
    </row>
    <row r="353" spans="1:14" ht="14.4">
      <c r="A353" s="154" t="s">
        <v>3998</v>
      </c>
      <c r="B353" s="113">
        <v>44315</v>
      </c>
      <c r="C353" s="2" t="s">
        <v>4965</v>
      </c>
      <c r="D353" s="118" t="s">
        <v>1206</v>
      </c>
      <c r="E353" s="158">
        <v>9486121525</v>
      </c>
      <c r="F353" s="2" t="s">
        <v>287</v>
      </c>
      <c r="G353" s="2" t="s">
        <v>4378</v>
      </c>
      <c r="H353" s="2" t="s">
        <v>28</v>
      </c>
      <c r="I353" s="2" t="str">
        <f>IFERROR(VLOOKUP($D353,'Sales Data'!$C:$E,4,0),"SAME")</f>
        <v>SAME</v>
      </c>
      <c r="J353" s="2"/>
      <c r="K353" s="2" t="str">
        <f>IFERROR(VLOOKUP($D353,'Sales Data'!$C:$G,6,0),"NA")</f>
        <v>NA</v>
      </c>
      <c r="L353" s="2"/>
      <c r="M353" s="2"/>
      <c r="N353" s="2"/>
    </row>
    <row r="354" spans="1:14" ht="14.4">
      <c r="A354" s="154" t="s">
        <v>3998</v>
      </c>
      <c r="B354" s="113">
        <v>44316</v>
      </c>
      <c r="C354" s="2" t="s">
        <v>4966</v>
      </c>
      <c r="D354" s="118" t="s">
        <v>4967</v>
      </c>
      <c r="E354" s="158">
        <v>9550751115</v>
      </c>
      <c r="F354" s="2" t="s">
        <v>319</v>
      </c>
      <c r="G354" s="2" t="s">
        <v>150</v>
      </c>
      <c r="H354" s="2" t="s">
        <v>28</v>
      </c>
      <c r="I354" s="2" t="str">
        <f>IFERROR(VLOOKUP($D354,'Sales Data'!$C:$E,4,0),"SAME")</f>
        <v>SAME</v>
      </c>
      <c r="J354" s="2"/>
      <c r="K354" s="2" t="str">
        <f>IFERROR(VLOOKUP($D354,'Sales Data'!$C:$G,6,0),"NA")</f>
        <v>NA</v>
      </c>
      <c r="L354" s="2"/>
      <c r="M354" s="2"/>
      <c r="N354" s="2"/>
    </row>
    <row r="355" spans="1:14" ht="14.4">
      <c r="A355" s="154" t="s">
        <v>3998</v>
      </c>
      <c r="B355" s="113">
        <v>44316</v>
      </c>
      <c r="C355" s="2" t="s">
        <v>4968</v>
      </c>
      <c r="D355" s="118" t="s">
        <v>4969</v>
      </c>
      <c r="E355" s="158">
        <v>8886041188</v>
      </c>
      <c r="F355" s="2" t="s">
        <v>287</v>
      </c>
      <c r="G355" s="2" t="s">
        <v>150</v>
      </c>
      <c r="H355" s="2" t="s">
        <v>27</v>
      </c>
      <c r="I355" s="2" t="str">
        <f>IFERROR(VLOOKUP($D355,'Sales Data'!$C:$E,4,0),"SAME")</f>
        <v>SAME</v>
      </c>
      <c r="J355" s="2"/>
      <c r="K355" s="2" t="str">
        <f>IFERROR(VLOOKUP($D355,'Sales Data'!$C:$G,6,0),"NA")</f>
        <v>NA</v>
      </c>
      <c r="L355" s="2"/>
      <c r="M355" s="2"/>
      <c r="N355" s="2"/>
    </row>
    <row r="356" spans="1:14" ht="14.4">
      <c r="A356" s="154" t="s">
        <v>3998</v>
      </c>
      <c r="B356" s="113">
        <v>44316</v>
      </c>
      <c r="C356" s="2" t="s">
        <v>4970</v>
      </c>
      <c r="D356" s="118" t="s">
        <v>4971</v>
      </c>
      <c r="E356" s="158">
        <v>8600401905</v>
      </c>
      <c r="F356" s="2" t="s">
        <v>319</v>
      </c>
      <c r="G356" s="2" t="s">
        <v>7</v>
      </c>
      <c r="H356" s="2" t="s">
        <v>28</v>
      </c>
      <c r="I356" s="2" t="str">
        <f>IFERROR(VLOOKUP($D356,'Sales Data'!$C:$E,4,0),"SAME")</f>
        <v>SAME</v>
      </c>
      <c r="J356" s="2"/>
      <c r="K356" s="2" t="str">
        <f>IFERROR(VLOOKUP($D356,'Sales Data'!$C:$G,6,0),"NA")</f>
        <v>NA</v>
      </c>
      <c r="L356" s="2"/>
      <c r="M356" s="2"/>
      <c r="N356" s="2"/>
    </row>
    <row r="357" spans="1:14" ht="14.4">
      <c r="A357" s="154" t="s">
        <v>4003</v>
      </c>
      <c r="B357" s="113">
        <v>44319</v>
      </c>
      <c r="C357" s="2" t="s">
        <v>2745</v>
      </c>
      <c r="D357" s="118" t="s">
        <v>2746</v>
      </c>
      <c r="E357" s="158">
        <v>9372298954</v>
      </c>
      <c r="F357" s="2" t="s">
        <v>303</v>
      </c>
      <c r="G357" s="2" t="s">
        <v>4378</v>
      </c>
      <c r="H357" s="2" t="s">
        <v>26</v>
      </c>
      <c r="I357" s="2" t="str">
        <f>IFERROR(VLOOKUP($D357,'Sales Data'!$C:$E,4,0),"SAME")</f>
        <v>SAME</v>
      </c>
      <c r="J357" s="2"/>
      <c r="K357" s="2" t="str">
        <f>IFERROR(VLOOKUP($D357,'Sales Data'!$C:$G,6,0),"NA")</f>
        <v>NA</v>
      </c>
      <c r="L357" s="2"/>
      <c r="M357" s="2"/>
      <c r="N357" s="2"/>
    </row>
    <row r="358" spans="1:14" ht="14.4">
      <c r="A358" s="154" t="s">
        <v>4003</v>
      </c>
      <c r="B358" s="113">
        <v>44319</v>
      </c>
      <c r="C358" s="2" t="s">
        <v>4972</v>
      </c>
      <c r="D358" s="118" t="s">
        <v>4973</v>
      </c>
      <c r="E358" s="158">
        <v>8007815371</v>
      </c>
      <c r="F358" s="2" t="s">
        <v>303</v>
      </c>
      <c r="G358" s="2" t="s">
        <v>151</v>
      </c>
      <c r="H358" s="2" t="s">
        <v>28</v>
      </c>
      <c r="I358" s="2" t="str">
        <f>IFERROR(VLOOKUP($D358,'Sales Data'!$C:$E,4,0),"SAME")</f>
        <v>SAME</v>
      </c>
      <c r="J358" s="2"/>
      <c r="K358" s="2" t="str">
        <f>IFERROR(VLOOKUP($D358,'Sales Data'!$C:$G,6,0),"NA")</f>
        <v>NA</v>
      </c>
      <c r="L358" s="2"/>
      <c r="M358" s="2"/>
      <c r="N358" s="2"/>
    </row>
    <row r="359" spans="1:14" ht="14.4">
      <c r="A359" s="154" t="s">
        <v>4003</v>
      </c>
      <c r="B359" s="113">
        <v>44320</v>
      </c>
      <c r="C359" s="2" t="s">
        <v>4974</v>
      </c>
      <c r="D359" s="118" t="s">
        <v>4975</v>
      </c>
      <c r="E359" s="158">
        <v>9495689100</v>
      </c>
      <c r="F359" s="2" t="s">
        <v>291</v>
      </c>
      <c r="G359" s="2" t="s">
        <v>4378</v>
      </c>
      <c r="H359" s="2" t="s">
        <v>4400</v>
      </c>
      <c r="I359" s="2" t="str">
        <f>IFERROR(VLOOKUP($D359,'Sales Data'!$C:$E,4,0),"SAME")</f>
        <v>SAME</v>
      </c>
      <c r="J359" s="2"/>
      <c r="K359" s="2" t="str">
        <f>IFERROR(VLOOKUP($D359,'Sales Data'!$C:$G,6,0),"NA")</f>
        <v>NA</v>
      </c>
      <c r="L359" s="2"/>
      <c r="M359" s="2"/>
      <c r="N359" s="2"/>
    </row>
    <row r="360" spans="1:14" ht="14.4">
      <c r="A360" s="154" t="s">
        <v>4003</v>
      </c>
      <c r="B360" s="113">
        <v>44319</v>
      </c>
      <c r="C360" s="2" t="s">
        <v>4976</v>
      </c>
      <c r="D360" s="118" t="s">
        <v>4977</v>
      </c>
      <c r="E360" s="158">
        <v>9840877216</v>
      </c>
      <c r="F360" s="2" t="s">
        <v>287</v>
      </c>
      <c r="G360" s="2" t="s">
        <v>151</v>
      </c>
      <c r="H360" s="2" t="s">
        <v>26</v>
      </c>
      <c r="I360" s="2" t="str">
        <f>IFERROR(VLOOKUP($D360,'Sales Data'!$C:$E,4,0),"SAME")</f>
        <v>SAME</v>
      </c>
      <c r="J360" s="2"/>
      <c r="K360" s="2" t="str">
        <f>IFERROR(VLOOKUP($D360,'Sales Data'!$C:$G,6,0),"NA")</f>
        <v>NA</v>
      </c>
      <c r="L360" s="2"/>
      <c r="M360" s="2"/>
      <c r="N360" s="2"/>
    </row>
    <row r="361" spans="1:14" ht="14.4">
      <c r="A361" s="154" t="s">
        <v>4003</v>
      </c>
      <c r="B361" s="113">
        <v>44319</v>
      </c>
      <c r="C361" s="2" t="s">
        <v>4978</v>
      </c>
      <c r="D361" s="118" t="s">
        <v>4979</v>
      </c>
      <c r="E361" s="158">
        <v>9108026916</v>
      </c>
      <c r="F361" s="2" t="s">
        <v>303</v>
      </c>
      <c r="G361" s="2" t="s">
        <v>6</v>
      </c>
      <c r="H361" s="2" t="s">
        <v>13</v>
      </c>
      <c r="I361" s="2" t="str">
        <f>IFERROR(VLOOKUP($D361,'Sales Data'!$C:$E,4,0),"SAME")</f>
        <v>SAME</v>
      </c>
      <c r="J361" s="2"/>
      <c r="K361" s="2" t="str">
        <f>IFERROR(VLOOKUP($D361,'Sales Data'!$C:$G,6,0),"NA")</f>
        <v>NA</v>
      </c>
      <c r="L361" s="2"/>
      <c r="M361" s="2"/>
      <c r="N361" s="2"/>
    </row>
    <row r="362" spans="1:14" ht="14.4">
      <c r="A362" s="154" t="s">
        <v>4003</v>
      </c>
      <c r="B362" s="113">
        <v>44321</v>
      </c>
      <c r="C362" s="2" t="s">
        <v>1877</v>
      </c>
      <c r="D362" s="118" t="s">
        <v>4980</v>
      </c>
      <c r="E362" s="158">
        <v>9876598766</v>
      </c>
      <c r="F362" s="2" t="s">
        <v>297</v>
      </c>
      <c r="G362" s="2" t="s">
        <v>150</v>
      </c>
      <c r="H362" s="2" t="s">
        <v>4400</v>
      </c>
      <c r="I362" s="2" t="str">
        <f>IFERROR(VLOOKUP($D362,'Sales Data'!$C:$E,4,0),"SAME")</f>
        <v>SAME</v>
      </c>
      <c r="J362" s="2"/>
      <c r="K362" s="2" t="str">
        <f>IFERROR(VLOOKUP($D362,'Sales Data'!$C:$G,6,0),"NA")</f>
        <v>NA</v>
      </c>
      <c r="L362" s="2"/>
      <c r="M362" s="2"/>
      <c r="N362" s="2"/>
    </row>
    <row r="363" spans="1:14" ht="14.4">
      <c r="A363" s="154" t="s">
        <v>4003</v>
      </c>
      <c r="B363" s="113">
        <v>44323</v>
      </c>
      <c r="C363" s="2" t="s">
        <v>4981</v>
      </c>
      <c r="D363" s="118" t="s">
        <v>4982</v>
      </c>
      <c r="E363" s="158">
        <v>9324567244</v>
      </c>
      <c r="F363" s="2" t="s">
        <v>291</v>
      </c>
      <c r="G363" s="2" t="s">
        <v>4378</v>
      </c>
      <c r="H363" s="2" t="s">
        <v>4400</v>
      </c>
      <c r="I363" s="2" t="str">
        <f>IFERROR(VLOOKUP($D363,'Sales Data'!$C:$E,4,0),"SAME")</f>
        <v>SAME</v>
      </c>
      <c r="J363" s="2"/>
      <c r="K363" s="2" t="str">
        <f>IFERROR(VLOOKUP($D363,'Sales Data'!$C:$G,6,0),"NA")</f>
        <v>NA</v>
      </c>
      <c r="L363" s="2"/>
      <c r="M363" s="2"/>
      <c r="N363" s="2"/>
    </row>
    <row r="364" spans="1:14" ht="14.4">
      <c r="A364" s="154" t="s">
        <v>4003</v>
      </c>
      <c r="B364" s="113">
        <v>44324</v>
      </c>
      <c r="C364" s="2" t="s">
        <v>4983</v>
      </c>
      <c r="D364" s="118" t="s">
        <v>4984</v>
      </c>
      <c r="E364" s="2" t="s">
        <v>4400</v>
      </c>
      <c r="F364" s="2" t="s">
        <v>297</v>
      </c>
      <c r="G364" s="2" t="s">
        <v>4378</v>
      </c>
      <c r="H364" s="2" t="s">
        <v>4400</v>
      </c>
      <c r="I364" s="2" t="str">
        <f>IFERROR(VLOOKUP($D364,'Sales Data'!$C:$E,4,0),"SAME")</f>
        <v>SAME</v>
      </c>
      <c r="J364" s="2"/>
      <c r="K364" s="2" t="str">
        <f>IFERROR(VLOOKUP($D364,'Sales Data'!$C:$G,6,0),"NA")</f>
        <v>NA</v>
      </c>
      <c r="L364" s="2"/>
      <c r="M364" s="2"/>
      <c r="N364" s="2"/>
    </row>
    <row r="365" spans="1:14" ht="14.4">
      <c r="A365" s="154" t="s">
        <v>4003</v>
      </c>
      <c r="B365" s="113">
        <v>44320</v>
      </c>
      <c r="C365" s="2" t="s">
        <v>4985</v>
      </c>
      <c r="D365" s="118" t="s">
        <v>4986</v>
      </c>
      <c r="E365" s="158">
        <v>9930597273</v>
      </c>
      <c r="F365" s="2" t="s">
        <v>303</v>
      </c>
      <c r="G365" s="2" t="s">
        <v>4378</v>
      </c>
      <c r="H365" s="2" t="s">
        <v>28</v>
      </c>
      <c r="I365" s="2" t="str">
        <f>IFERROR(VLOOKUP($D365,'Sales Data'!$C:$E,4,0),"SAME")</f>
        <v>SAME</v>
      </c>
      <c r="J365" s="2"/>
      <c r="K365" s="2" t="str">
        <f>IFERROR(VLOOKUP($D365,'Sales Data'!$C:$G,6,0),"NA")</f>
        <v>NA</v>
      </c>
      <c r="L365" s="2"/>
      <c r="M365" s="2"/>
      <c r="N365" s="2"/>
    </row>
    <row r="366" spans="1:14" ht="14.4">
      <c r="A366" s="154" t="s">
        <v>4003</v>
      </c>
      <c r="B366" s="113">
        <v>44320</v>
      </c>
      <c r="C366" s="2" t="s">
        <v>4987</v>
      </c>
      <c r="D366" s="118" t="s">
        <v>4988</v>
      </c>
      <c r="E366" s="158">
        <v>9426716224</v>
      </c>
      <c r="F366" s="2" t="s">
        <v>319</v>
      </c>
      <c r="G366" s="2" t="s">
        <v>150</v>
      </c>
      <c r="H366" s="2" t="s">
        <v>26</v>
      </c>
      <c r="I366" s="2" t="str">
        <f>IFERROR(VLOOKUP($D366,'Sales Data'!$C:$E,4,0),"SAME")</f>
        <v>SAME</v>
      </c>
      <c r="J366" s="2"/>
      <c r="K366" s="2" t="str">
        <f>IFERROR(VLOOKUP($D366,'Sales Data'!$C:$G,6,0),"NA")</f>
        <v>NA</v>
      </c>
      <c r="L366" s="2"/>
      <c r="M366" s="2"/>
      <c r="N366" s="2"/>
    </row>
    <row r="367" spans="1:14" ht="14.4">
      <c r="A367" s="154" t="s">
        <v>4003</v>
      </c>
      <c r="B367" s="113">
        <v>44320</v>
      </c>
      <c r="C367" s="2" t="s">
        <v>4989</v>
      </c>
      <c r="D367" s="118" t="s">
        <v>4990</v>
      </c>
      <c r="E367" s="158">
        <v>9566263406</v>
      </c>
      <c r="F367" s="2" t="s">
        <v>319</v>
      </c>
      <c r="G367" s="2" t="s">
        <v>4378</v>
      </c>
      <c r="H367" s="2" t="s">
        <v>13</v>
      </c>
      <c r="I367" s="2" t="str">
        <f>IFERROR(VLOOKUP($D367,'Sales Data'!$C:$E,4,0),"SAME")</f>
        <v>SAME</v>
      </c>
      <c r="J367" s="2"/>
      <c r="K367" s="2" t="str">
        <f>IFERROR(VLOOKUP($D367,'Sales Data'!$C:$G,6,0),"NA")</f>
        <v>NA</v>
      </c>
      <c r="L367" s="2"/>
      <c r="M367" s="2"/>
      <c r="N367" s="2"/>
    </row>
    <row r="368" spans="1:14" ht="14.4">
      <c r="A368" s="154" t="s">
        <v>4003</v>
      </c>
      <c r="B368" s="113">
        <v>44320</v>
      </c>
      <c r="C368" s="2" t="s">
        <v>4991</v>
      </c>
      <c r="D368" s="118" t="s">
        <v>4992</v>
      </c>
      <c r="E368" s="158">
        <v>8105150199</v>
      </c>
      <c r="F368" s="2" t="s">
        <v>287</v>
      </c>
      <c r="G368" s="2" t="s">
        <v>4378</v>
      </c>
      <c r="H368" s="2" t="s">
        <v>28</v>
      </c>
      <c r="I368" s="2" t="str">
        <f>IFERROR(VLOOKUP($D368,'Sales Data'!$C:$E,4,0),"SAME")</f>
        <v>SAME</v>
      </c>
      <c r="J368" s="2"/>
      <c r="K368" s="2" t="str">
        <f>IFERROR(VLOOKUP($D368,'Sales Data'!$C:$G,6,0),"NA")</f>
        <v>NA</v>
      </c>
      <c r="L368" s="2"/>
      <c r="M368" s="2"/>
      <c r="N368" s="2"/>
    </row>
    <row r="369" spans="1:14" ht="14.4">
      <c r="A369" s="154" t="s">
        <v>4003</v>
      </c>
      <c r="B369" s="113">
        <v>44320</v>
      </c>
      <c r="C369" s="2" t="s">
        <v>4993</v>
      </c>
      <c r="D369" s="118" t="s">
        <v>4994</v>
      </c>
      <c r="E369" s="158">
        <v>9620312488</v>
      </c>
      <c r="F369" s="2" t="s">
        <v>291</v>
      </c>
      <c r="G369" s="2" t="s">
        <v>4378</v>
      </c>
      <c r="H369" s="2" t="s">
        <v>27</v>
      </c>
      <c r="I369" s="2" t="str">
        <f>IFERROR(VLOOKUP($D369,'Sales Data'!$C:$E,4,0),"SAME")</f>
        <v>SAME</v>
      </c>
      <c r="J369" s="2"/>
      <c r="K369" s="2" t="str">
        <f>IFERROR(VLOOKUP($D369,'Sales Data'!$C:$G,6,0),"NA")</f>
        <v>NA</v>
      </c>
      <c r="L369" s="2"/>
      <c r="M369" s="2"/>
      <c r="N369" s="2"/>
    </row>
    <row r="370" spans="1:14" ht="14.4">
      <c r="A370" s="154" t="s">
        <v>4003</v>
      </c>
      <c r="B370" s="113">
        <v>44321</v>
      </c>
      <c r="C370" s="2" t="s">
        <v>4995</v>
      </c>
      <c r="D370" s="118" t="s">
        <v>1575</v>
      </c>
      <c r="E370" s="158">
        <v>9840915423</v>
      </c>
      <c r="F370" s="2" t="s">
        <v>291</v>
      </c>
      <c r="G370" s="2" t="s">
        <v>4378</v>
      </c>
      <c r="H370" s="2" t="s">
        <v>28</v>
      </c>
      <c r="I370" s="2" t="str">
        <f>IFERROR(VLOOKUP($D370,'Sales Data'!$C:$E,4,0),"SAME")</f>
        <v>SAME</v>
      </c>
      <c r="J370" s="2"/>
      <c r="K370" s="2" t="str">
        <f>IFERROR(VLOOKUP($D370,'Sales Data'!$C:$G,6,0),"NA")</f>
        <v>NA</v>
      </c>
      <c r="L370" s="2"/>
      <c r="M370" s="2"/>
      <c r="N370" s="2"/>
    </row>
    <row r="371" spans="1:14" ht="14.4">
      <c r="A371" s="154" t="s">
        <v>4003</v>
      </c>
      <c r="B371" s="113">
        <v>44321</v>
      </c>
      <c r="C371" s="2" t="s">
        <v>4996</v>
      </c>
      <c r="D371" s="118" t="s">
        <v>4997</v>
      </c>
      <c r="E371" s="158">
        <v>9704842008</v>
      </c>
      <c r="F371" s="2" t="s">
        <v>319</v>
      </c>
      <c r="G371" s="2" t="s">
        <v>150</v>
      </c>
      <c r="H371" s="2" t="s">
        <v>27</v>
      </c>
      <c r="I371" s="2" t="str">
        <f>IFERROR(VLOOKUP($D371,'Sales Data'!$C:$E,4,0),"SAME")</f>
        <v>SAME</v>
      </c>
      <c r="J371" s="2"/>
      <c r="K371" s="2" t="str">
        <f>IFERROR(VLOOKUP($D371,'Sales Data'!$C:$G,6,0),"NA")</f>
        <v>NA</v>
      </c>
      <c r="L371" s="2"/>
      <c r="M371" s="2"/>
      <c r="N371" s="2"/>
    </row>
    <row r="372" spans="1:14" ht="14.4">
      <c r="A372" s="154" t="s">
        <v>4003</v>
      </c>
      <c r="B372" s="113">
        <v>44319</v>
      </c>
      <c r="C372" s="2" t="s">
        <v>4998</v>
      </c>
      <c r="D372" s="118" t="s">
        <v>4999</v>
      </c>
      <c r="E372" s="2" t="s">
        <v>5000</v>
      </c>
      <c r="F372" s="2" t="s">
        <v>297</v>
      </c>
      <c r="G372" s="2" t="s">
        <v>151</v>
      </c>
      <c r="H372" s="2" t="s">
        <v>1294</v>
      </c>
      <c r="I372" s="2" t="str">
        <f>IFERROR(VLOOKUP($D372,'Sales Data'!$C:$E,4,0),"SAME")</f>
        <v>SAME</v>
      </c>
      <c r="J372" s="2"/>
      <c r="K372" s="2" t="str">
        <f>IFERROR(VLOOKUP($D372,'Sales Data'!$C:$G,6,0),"NA")</f>
        <v>NA</v>
      </c>
      <c r="L372" s="2"/>
      <c r="M372" s="2"/>
      <c r="N372" s="2"/>
    </row>
    <row r="373" spans="1:14" ht="14.4">
      <c r="A373" s="154" t="s">
        <v>4003</v>
      </c>
      <c r="B373" s="113">
        <v>44322</v>
      </c>
      <c r="C373" s="2" t="s">
        <v>5001</v>
      </c>
      <c r="D373" s="118" t="s">
        <v>5002</v>
      </c>
      <c r="E373" s="158">
        <v>9765541166</v>
      </c>
      <c r="F373" s="2" t="s">
        <v>319</v>
      </c>
      <c r="G373" s="2" t="s">
        <v>4378</v>
      </c>
      <c r="H373" s="2" t="s">
        <v>28</v>
      </c>
      <c r="I373" s="2" t="str">
        <f>IFERROR(VLOOKUP($D373,'Sales Data'!$C:$E,4,0),"SAME")</f>
        <v>SAME</v>
      </c>
      <c r="J373" s="2"/>
      <c r="K373" s="2" t="str">
        <f>IFERROR(VLOOKUP($D373,'Sales Data'!$C:$G,6,0),"NA")</f>
        <v>NA</v>
      </c>
      <c r="L373" s="2"/>
      <c r="M373" s="2"/>
      <c r="N373" s="2"/>
    </row>
    <row r="374" spans="1:14" ht="14.4">
      <c r="A374" s="154" t="s">
        <v>4003</v>
      </c>
      <c r="B374" s="113">
        <v>44322</v>
      </c>
      <c r="C374" s="2" t="s">
        <v>1207</v>
      </c>
      <c r="D374" s="118" t="s">
        <v>1208</v>
      </c>
      <c r="E374" s="158">
        <v>8050818926</v>
      </c>
      <c r="F374" s="2" t="s">
        <v>303</v>
      </c>
      <c r="G374" s="2" t="s">
        <v>150</v>
      </c>
      <c r="H374" s="2" t="s">
        <v>28</v>
      </c>
      <c r="I374" s="2" t="str">
        <f>IFERROR(VLOOKUP($D374,'Sales Data'!$C:$E,4,0),"SAME")</f>
        <v>SAME</v>
      </c>
      <c r="J374" s="2"/>
      <c r="K374" s="2" t="str">
        <f>IFERROR(VLOOKUP($D374,'Sales Data'!$C:$G,6,0),"NA")</f>
        <v>NA</v>
      </c>
      <c r="L374" s="2"/>
      <c r="M374" s="2"/>
      <c r="N374" s="2"/>
    </row>
    <row r="375" spans="1:14" ht="14.4">
      <c r="A375" s="154" t="s">
        <v>4003</v>
      </c>
      <c r="B375" s="113">
        <v>44322</v>
      </c>
      <c r="C375" s="2" t="s">
        <v>5003</v>
      </c>
      <c r="D375" s="118" t="s">
        <v>5004</v>
      </c>
      <c r="E375" s="158">
        <v>9841567443</v>
      </c>
      <c r="F375" s="2" t="s">
        <v>319</v>
      </c>
      <c r="G375" s="2" t="s">
        <v>151</v>
      </c>
      <c r="H375" s="2" t="s">
        <v>27</v>
      </c>
      <c r="I375" s="2" t="str">
        <f>IFERROR(VLOOKUP($D375,'Sales Data'!$C:$E,4,0),"SAME")</f>
        <v>SAME</v>
      </c>
      <c r="J375" s="2"/>
      <c r="K375" s="2" t="str">
        <f>IFERROR(VLOOKUP($D375,'Sales Data'!$C:$G,6,0),"NA")</f>
        <v>NA</v>
      </c>
      <c r="L375" s="2"/>
      <c r="M375" s="2"/>
      <c r="N375" s="2"/>
    </row>
    <row r="376" spans="1:14" ht="14.4">
      <c r="A376" s="154" t="s">
        <v>4003</v>
      </c>
      <c r="B376" s="113">
        <v>44322</v>
      </c>
      <c r="C376" s="2" t="s">
        <v>2436</v>
      </c>
      <c r="D376" s="118" t="s">
        <v>5005</v>
      </c>
      <c r="E376" s="158">
        <v>9836965888</v>
      </c>
      <c r="F376" s="2" t="s">
        <v>306</v>
      </c>
      <c r="G376" s="2" t="s">
        <v>7</v>
      </c>
      <c r="H376" s="2" t="s">
        <v>27</v>
      </c>
      <c r="I376" s="2" t="str">
        <f>IFERROR(VLOOKUP($D376,'Sales Data'!$C:$E,4,0),"SAME")</f>
        <v>SAME</v>
      </c>
      <c r="J376" s="2"/>
      <c r="K376" s="2" t="str">
        <f>IFERROR(VLOOKUP($D376,'Sales Data'!$C:$G,6,0),"NA")</f>
        <v>NA</v>
      </c>
      <c r="L376" s="2"/>
      <c r="M376" s="2"/>
      <c r="N376" s="2"/>
    </row>
    <row r="377" spans="1:14" ht="14.4">
      <c r="A377" s="154" t="s">
        <v>4003</v>
      </c>
      <c r="B377" s="113">
        <v>44322</v>
      </c>
      <c r="C377" s="2" t="s">
        <v>5006</v>
      </c>
      <c r="D377" s="118" t="s">
        <v>5007</v>
      </c>
      <c r="E377" s="158">
        <v>7373735522</v>
      </c>
      <c r="F377" s="2" t="s">
        <v>287</v>
      </c>
      <c r="G377" s="2" t="s">
        <v>150</v>
      </c>
      <c r="H377" s="2" t="s">
        <v>27</v>
      </c>
      <c r="I377" s="2" t="str">
        <f>IFERROR(VLOOKUP($D377,'Sales Data'!$C:$E,4,0),"SAME")</f>
        <v>SAME</v>
      </c>
      <c r="J377" s="2"/>
      <c r="K377" s="2" t="str">
        <f>IFERROR(VLOOKUP($D377,'Sales Data'!$C:$G,6,0),"NA")</f>
        <v>NA</v>
      </c>
      <c r="L377" s="2"/>
      <c r="M377" s="2"/>
      <c r="N377" s="2"/>
    </row>
    <row r="378" spans="1:14" ht="14.4">
      <c r="A378" s="154" t="s">
        <v>4003</v>
      </c>
      <c r="B378" s="113">
        <v>44323</v>
      </c>
      <c r="C378" s="2" t="s">
        <v>5008</v>
      </c>
      <c r="D378" s="118" t="s">
        <v>5009</v>
      </c>
      <c r="E378" s="158">
        <v>9923696375</v>
      </c>
      <c r="F378" s="2" t="s">
        <v>303</v>
      </c>
      <c r="G378" s="2" t="s">
        <v>7</v>
      </c>
      <c r="H378" s="2" t="s">
        <v>26</v>
      </c>
      <c r="I378" s="2" t="str">
        <f>IFERROR(VLOOKUP($D378,'Sales Data'!$C:$E,4,0),"SAME")</f>
        <v>SAME</v>
      </c>
      <c r="J378" s="2"/>
      <c r="K378" s="2" t="str">
        <f>IFERROR(VLOOKUP($D378,'Sales Data'!$C:$G,6,0),"NA")</f>
        <v>NA</v>
      </c>
      <c r="L378" s="2"/>
      <c r="M378" s="2"/>
      <c r="N378" s="2"/>
    </row>
    <row r="379" spans="1:14" ht="14.4">
      <c r="A379" s="154" t="s">
        <v>4003</v>
      </c>
      <c r="B379" s="113">
        <v>44319</v>
      </c>
      <c r="C379" s="2" t="s">
        <v>5010</v>
      </c>
      <c r="D379" s="118" t="s">
        <v>5011</v>
      </c>
      <c r="E379" s="2" t="s">
        <v>1294</v>
      </c>
      <c r="F379" s="2" t="s">
        <v>303</v>
      </c>
      <c r="G379" s="2" t="s">
        <v>4378</v>
      </c>
      <c r="H379" s="2" t="s">
        <v>1294</v>
      </c>
      <c r="I379" s="2" t="str">
        <f>IFERROR(VLOOKUP($D379,'Sales Data'!$C:$E,4,0),"SAME")</f>
        <v>SAME</v>
      </c>
      <c r="J379" s="2"/>
      <c r="K379" s="2" t="str">
        <f>IFERROR(VLOOKUP($D379,'Sales Data'!$C:$G,6,0),"NA")</f>
        <v>NA</v>
      </c>
      <c r="L379" s="2"/>
      <c r="M379" s="2"/>
      <c r="N379" s="2"/>
    </row>
    <row r="380" spans="1:14" ht="14.4">
      <c r="A380" s="154" t="s">
        <v>4003</v>
      </c>
      <c r="B380" s="113">
        <v>44319</v>
      </c>
      <c r="C380" s="2" t="s">
        <v>5012</v>
      </c>
      <c r="D380" s="118" t="s">
        <v>5013</v>
      </c>
      <c r="E380" s="2" t="s">
        <v>1294</v>
      </c>
      <c r="F380" s="2" t="s">
        <v>287</v>
      </c>
      <c r="G380" s="2" t="s">
        <v>4378</v>
      </c>
      <c r="H380" s="2" t="s">
        <v>1294</v>
      </c>
      <c r="I380" s="2" t="str">
        <f>IFERROR(VLOOKUP($D380,'Sales Data'!$C:$E,4,0),"SAME")</f>
        <v>SAME</v>
      </c>
      <c r="J380" s="2"/>
      <c r="K380" s="2" t="str">
        <f>IFERROR(VLOOKUP($D380,'Sales Data'!$C:$G,6,0),"NA")</f>
        <v>NA</v>
      </c>
      <c r="L380" s="2"/>
      <c r="M380" s="2"/>
      <c r="N380" s="2"/>
    </row>
    <row r="381" spans="1:14" ht="14.4">
      <c r="A381" s="154" t="s">
        <v>4003</v>
      </c>
      <c r="B381" s="113">
        <v>44323</v>
      </c>
      <c r="C381" s="2" t="s">
        <v>5014</v>
      </c>
      <c r="D381" s="118" t="s">
        <v>5015</v>
      </c>
      <c r="E381" s="158">
        <v>9940593193</v>
      </c>
      <c r="F381" s="2" t="s">
        <v>303</v>
      </c>
      <c r="G381" s="2" t="s">
        <v>7</v>
      </c>
      <c r="H381" s="2" t="s">
        <v>26</v>
      </c>
      <c r="I381" s="2" t="str">
        <f>IFERROR(VLOOKUP($D381,'Sales Data'!$C:$E,4,0),"SAME")</f>
        <v>SAME</v>
      </c>
      <c r="J381" s="2"/>
      <c r="K381" s="2" t="str">
        <f>IFERROR(VLOOKUP($D381,'Sales Data'!$C:$G,6,0),"NA")</f>
        <v>NA</v>
      </c>
      <c r="L381" s="2"/>
      <c r="M381" s="2"/>
      <c r="N381" s="2"/>
    </row>
    <row r="382" spans="1:14" ht="14.4">
      <c r="A382" s="154" t="s">
        <v>4003</v>
      </c>
      <c r="B382" s="113">
        <v>44323</v>
      </c>
      <c r="C382" s="2" t="s">
        <v>4389</v>
      </c>
      <c r="D382" s="118" t="s">
        <v>5016</v>
      </c>
      <c r="E382" s="2" t="s">
        <v>1294</v>
      </c>
      <c r="F382" s="2" t="s">
        <v>303</v>
      </c>
      <c r="G382" s="2" t="s">
        <v>151</v>
      </c>
      <c r="H382" s="2" t="s">
        <v>1294</v>
      </c>
      <c r="I382" s="2" t="str">
        <f>IFERROR(VLOOKUP($D382,'Sales Data'!$C:$E,4,0),"SAME")</f>
        <v>SAME</v>
      </c>
      <c r="J382" s="2"/>
      <c r="K382" s="2" t="str">
        <f>IFERROR(VLOOKUP($D382,'Sales Data'!$C:$G,6,0),"NA")</f>
        <v>NA</v>
      </c>
      <c r="L382" s="2"/>
      <c r="M382" s="2"/>
      <c r="N382" s="2"/>
    </row>
    <row r="383" spans="1:14" ht="14.4">
      <c r="A383" s="154" t="s">
        <v>4003</v>
      </c>
      <c r="B383" s="113">
        <v>44324</v>
      </c>
      <c r="C383" s="2" t="s">
        <v>5017</v>
      </c>
      <c r="D383" s="118" t="s">
        <v>5018</v>
      </c>
      <c r="E383" s="158">
        <v>9500105551</v>
      </c>
      <c r="F383" s="2" t="s">
        <v>319</v>
      </c>
      <c r="G383" s="2" t="s">
        <v>4378</v>
      </c>
      <c r="H383" s="2" t="s">
        <v>28</v>
      </c>
      <c r="I383" s="2" t="str">
        <f>IFERROR(VLOOKUP($D383,'Sales Data'!$C:$E,4,0),"SAME")</f>
        <v>SAME</v>
      </c>
      <c r="J383" s="2"/>
      <c r="K383" s="2" t="str">
        <f>IFERROR(VLOOKUP($D383,'Sales Data'!$C:$G,6,0),"NA")</f>
        <v>NA</v>
      </c>
      <c r="L383" s="2"/>
      <c r="M383" s="2"/>
      <c r="N383" s="2"/>
    </row>
    <row r="384" spans="1:14" ht="14.4">
      <c r="A384" s="154" t="s">
        <v>4003</v>
      </c>
      <c r="B384" s="113">
        <v>44324</v>
      </c>
      <c r="C384" s="2" t="s">
        <v>5019</v>
      </c>
      <c r="D384" s="118" t="s">
        <v>5020</v>
      </c>
      <c r="E384" s="158">
        <v>9884022757</v>
      </c>
      <c r="F384" s="2" t="s">
        <v>303</v>
      </c>
      <c r="G384" s="2" t="s">
        <v>4378</v>
      </c>
      <c r="H384" s="2" t="s">
        <v>26</v>
      </c>
      <c r="I384" s="2" t="str">
        <f>IFERROR(VLOOKUP($D384,'Sales Data'!$C:$E,4,0),"SAME")</f>
        <v>SAME</v>
      </c>
      <c r="J384" s="2"/>
      <c r="K384" s="2" t="str">
        <f>IFERROR(VLOOKUP($D384,'Sales Data'!$C:$G,6,0),"NA")</f>
        <v>NA</v>
      </c>
      <c r="L384" s="2"/>
      <c r="M384" s="2"/>
      <c r="N384" s="2"/>
    </row>
    <row r="385" spans="1:14" ht="14.4">
      <c r="A385" s="154" t="s">
        <v>4003</v>
      </c>
      <c r="B385" s="113">
        <v>44326</v>
      </c>
      <c r="C385" s="2" t="s">
        <v>5021</v>
      </c>
      <c r="D385" s="118" t="s">
        <v>5022</v>
      </c>
      <c r="E385" s="158">
        <v>9820890087</v>
      </c>
      <c r="F385" s="2" t="s">
        <v>303</v>
      </c>
      <c r="G385" s="2" t="s">
        <v>150</v>
      </c>
      <c r="H385" s="2" t="s">
        <v>28</v>
      </c>
      <c r="I385" s="2" t="str">
        <f>IFERROR(VLOOKUP($D385,'Sales Data'!$C:$E,4,0),"SAME")</f>
        <v>SAME</v>
      </c>
      <c r="J385" s="2"/>
      <c r="K385" s="2" t="str">
        <f>IFERROR(VLOOKUP($D385,'Sales Data'!$C:$G,6,0),"NA")</f>
        <v>NA</v>
      </c>
      <c r="L385" s="2"/>
      <c r="M385" s="2"/>
      <c r="N385" s="2"/>
    </row>
    <row r="386" spans="1:14" ht="14.4">
      <c r="A386" s="154" t="s">
        <v>4003</v>
      </c>
      <c r="B386" s="113">
        <v>44326</v>
      </c>
      <c r="C386" s="2" t="s">
        <v>5023</v>
      </c>
      <c r="D386" s="118" t="s">
        <v>5024</v>
      </c>
      <c r="E386" s="158">
        <v>9840424360</v>
      </c>
      <c r="F386" s="2" t="s">
        <v>287</v>
      </c>
      <c r="G386" s="2" t="s">
        <v>195</v>
      </c>
      <c r="H386" s="2" t="s">
        <v>26</v>
      </c>
      <c r="I386" s="2" t="str">
        <f>IFERROR(VLOOKUP($D386,'Sales Data'!$C:$E,4,0),"SAME")</f>
        <v>SAME</v>
      </c>
      <c r="J386" s="2"/>
      <c r="K386" s="2" t="str">
        <f>IFERROR(VLOOKUP($D386,'Sales Data'!$C:$G,6,0),"NA")</f>
        <v>NA</v>
      </c>
      <c r="L386" s="2"/>
      <c r="M386" s="2"/>
      <c r="N386" s="2"/>
    </row>
    <row r="387" spans="1:14" ht="14.4">
      <c r="A387" s="154" t="s">
        <v>4003</v>
      </c>
      <c r="B387" s="113">
        <v>44326</v>
      </c>
      <c r="C387" s="2" t="s">
        <v>5025</v>
      </c>
      <c r="D387" s="118" t="s">
        <v>1244</v>
      </c>
      <c r="E387" s="158">
        <v>9986002443</v>
      </c>
      <c r="F387" s="2" t="s">
        <v>319</v>
      </c>
      <c r="G387" s="2" t="s">
        <v>6</v>
      </c>
      <c r="H387" s="2" t="s">
        <v>28</v>
      </c>
      <c r="I387" s="2" t="str">
        <f>IFERROR(VLOOKUP($D387,'Sales Data'!$C:$E,4,0),"SAME")</f>
        <v>SAME</v>
      </c>
      <c r="J387" s="2"/>
      <c r="K387" s="2" t="str">
        <f>IFERROR(VLOOKUP($D387,'Sales Data'!$C:$G,6,0),"NA")</f>
        <v>NA</v>
      </c>
      <c r="L387" s="2"/>
      <c r="M387" s="2"/>
      <c r="N387" s="2"/>
    </row>
    <row r="388" spans="1:14" ht="14.4">
      <c r="A388" s="154" t="s">
        <v>4003</v>
      </c>
      <c r="B388" s="113">
        <v>44326</v>
      </c>
      <c r="C388" s="2" t="s">
        <v>5026</v>
      </c>
      <c r="D388" s="118" t="s">
        <v>5027</v>
      </c>
      <c r="E388" s="158">
        <v>7387287774</v>
      </c>
      <c r="F388" s="2" t="s">
        <v>303</v>
      </c>
      <c r="G388" s="2" t="s">
        <v>4378</v>
      </c>
      <c r="H388" s="2" t="s">
        <v>28</v>
      </c>
      <c r="I388" s="2" t="str">
        <f>IFERROR(VLOOKUP($D388,'Sales Data'!$C:$E,4,0),"SAME")</f>
        <v>SAME</v>
      </c>
      <c r="J388" s="2"/>
      <c r="K388" s="2" t="str">
        <f>IFERROR(VLOOKUP($D388,'Sales Data'!$C:$G,6,0),"NA")</f>
        <v>NA</v>
      </c>
      <c r="L388" s="2"/>
      <c r="M388" s="2"/>
      <c r="N388" s="2"/>
    </row>
    <row r="389" spans="1:14" ht="14.4">
      <c r="A389" s="154" t="s">
        <v>4003</v>
      </c>
      <c r="B389" s="113">
        <v>44326</v>
      </c>
      <c r="C389" s="2" t="s">
        <v>5028</v>
      </c>
      <c r="D389" s="118" t="s">
        <v>5029</v>
      </c>
      <c r="E389" s="158">
        <v>8006752191</v>
      </c>
      <c r="F389" s="2" t="s">
        <v>287</v>
      </c>
      <c r="G389" s="2" t="s">
        <v>4378</v>
      </c>
      <c r="H389" s="2" t="s">
        <v>26</v>
      </c>
      <c r="I389" s="2" t="str">
        <f>IFERROR(VLOOKUP($D389,'Sales Data'!$C:$E,4,0),"SAME")</f>
        <v>SAME</v>
      </c>
      <c r="J389" s="2"/>
      <c r="K389" s="2" t="str">
        <f>IFERROR(VLOOKUP($D389,'Sales Data'!$C:$G,6,0),"NA")</f>
        <v>NA</v>
      </c>
      <c r="L389" s="2"/>
      <c r="M389" s="2"/>
      <c r="N389" s="2"/>
    </row>
    <row r="390" spans="1:14" ht="14.4">
      <c r="A390" s="154" t="s">
        <v>4003</v>
      </c>
      <c r="B390" s="113">
        <v>44326</v>
      </c>
      <c r="C390" s="2" t="s">
        <v>1217</v>
      </c>
      <c r="D390" s="118" t="s">
        <v>1211</v>
      </c>
      <c r="E390" s="158">
        <v>8123015687</v>
      </c>
      <c r="F390" s="2" t="s">
        <v>303</v>
      </c>
      <c r="G390" s="2" t="s">
        <v>4378</v>
      </c>
      <c r="H390" s="2" t="s">
        <v>16</v>
      </c>
      <c r="I390" s="2" t="str">
        <f>IFERROR(VLOOKUP($D390,'Sales Data'!$C:$E,4,0),"SAME")</f>
        <v>SAME</v>
      </c>
      <c r="J390" s="2"/>
      <c r="K390" s="2" t="str">
        <f>IFERROR(VLOOKUP($D390,'Sales Data'!$C:$G,6,0),"NA")</f>
        <v>NA</v>
      </c>
      <c r="L390" s="2"/>
      <c r="M390" s="2"/>
      <c r="N390" s="2"/>
    </row>
    <row r="391" spans="1:14" ht="14.4">
      <c r="A391" s="154" t="s">
        <v>4003</v>
      </c>
      <c r="B391" s="113">
        <v>44326</v>
      </c>
      <c r="C391" s="2" t="s">
        <v>5030</v>
      </c>
      <c r="D391" s="118" t="s">
        <v>5031</v>
      </c>
      <c r="E391" s="158">
        <v>9448751406</v>
      </c>
      <c r="F391" s="2" t="s">
        <v>319</v>
      </c>
      <c r="G391" s="2" t="s">
        <v>6</v>
      </c>
      <c r="H391" s="2" t="s">
        <v>26</v>
      </c>
      <c r="I391" s="2" t="str">
        <f>IFERROR(VLOOKUP($D391,'Sales Data'!$C:$E,4,0),"SAME")</f>
        <v>SAME</v>
      </c>
      <c r="J391" s="2"/>
      <c r="K391" s="2" t="str">
        <f>IFERROR(VLOOKUP($D391,'Sales Data'!$C:$G,6,0),"NA")</f>
        <v>NA</v>
      </c>
      <c r="L391" s="2"/>
      <c r="M391" s="2"/>
      <c r="N391" s="2"/>
    </row>
    <row r="392" spans="1:14" ht="14.4">
      <c r="A392" s="154" t="s">
        <v>4003</v>
      </c>
      <c r="B392" s="113">
        <v>44326</v>
      </c>
      <c r="C392" s="2" t="s">
        <v>1209</v>
      </c>
      <c r="D392" s="118" t="s">
        <v>1210</v>
      </c>
      <c r="E392" s="158">
        <v>8277058676</v>
      </c>
      <c r="F392" s="2" t="s">
        <v>303</v>
      </c>
      <c r="G392" s="2" t="s">
        <v>150</v>
      </c>
      <c r="H392" s="2" t="s">
        <v>28</v>
      </c>
      <c r="I392" s="2" t="str">
        <f>IFERROR(VLOOKUP($D392,'Sales Data'!$C:$E,4,0),"SAME")</f>
        <v>SAME</v>
      </c>
      <c r="J392" s="2"/>
      <c r="K392" s="2" t="str">
        <f>IFERROR(VLOOKUP($D392,'Sales Data'!$C:$G,6,0),"NA")</f>
        <v>NA</v>
      </c>
      <c r="L392" s="2"/>
      <c r="M392" s="2"/>
      <c r="N392" s="2"/>
    </row>
    <row r="393" spans="1:14" ht="14.4">
      <c r="A393" s="154" t="s">
        <v>4003</v>
      </c>
      <c r="B393" s="113">
        <v>44326</v>
      </c>
      <c r="C393" s="2" t="s">
        <v>4983</v>
      </c>
      <c r="D393" s="118" t="s">
        <v>4984</v>
      </c>
      <c r="E393" s="2" t="s">
        <v>4400</v>
      </c>
      <c r="F393" s="2" t="s">
        <v>297</v>
      </c>
      <c r="G393" s="2" t="s">
        <v>4378</v>
      </c>
      <c r="H393" s="2" t="s">
        <v>4400</v>
      </c>
      <c r="I393" s="2" t="str">
        <f>IFERROR(VLOOKUP($D393,'Sales Data'!$C:$E,4,0),"SAME")</f>
        <v>SAME</v>
      </c>
      <c r="J393" s="2"/>
      <c r="K393" s="2" t="str">
        <f>IFERROR(VLOOKUP($D393,'Sales Data'!$C:$G,6,0),"NA")</f>
        <v>NA</v>
      </c>
      <c r="L393" s="2"/>
      <c r="M393" s="2"/>
      <c r="N393" s="2"/>
    </row>
    <row r="394" spans="1:14" ht="14.4">
      <c r="A394" s="154" t="s">
        <v>4003</v>
      </c>
      <c r="B394" s="113">
        <v>44326</v>
      </c>
      <c r="C394" s="2" t="s">
        <v>5032</v>
      </c>
      <c r="D394" s="118" t="s">
        <v>5033</v>
      </c>
      <c r="E394" s="158">
        <v>8109676816</v>
      </c>
      <c r="F394" s="2" t="s">
        <v>319</v>
      </c>
      <c r="G394" s="2" t="s">
        <v>195</v>
      </c>
      <c r="H394" s="2" t="s">
        <v>4479</v>
      </c>
      <c r="I394" s="2" t="str">
        <f>IFERROR(VLOOKUP($D394,'Sales Data'!$C:$E,4,0),"SAME")</f>
        <v>SAME</v>
      </c>
      <c r="J394" s="2"/>
      <c r="K394" s="2" t="str">
        <f>IFERROR(VLOOKUP($D394,'Sales Data'!$C:$G,6,0),"NA")</f>
        <v>NA</v>
      </c>
      <c r="L394" s="2"/>
      <c r="M394" s="2"/>
      <c r="N394" s="2"/>
    </row>
    <row r="395" spans="1:14" ht="14.4">
      <c r="A395" s="154" t="s">
        <v>4003</v>
      </c>
      <c r="B395" s="113">
        <v>44327</v>
      </c>
      <c r="C395" s="2" t="s">
        <v>5034</v>
      </c>
      <c r="D395" s="118" t="s">
        <v>5035</v>
      </c>
      <c r="E395" s="158">
        <v>9148584957</v>
      </c>
      <c r="F395" s="2" t="s">
        <v>303</v>
      </c>
      <c r="G395" s="2" t="s">
        <v>4378</v>
      </c>
      <c r="H395" s="2" t="s">
        <v>28</v>
      </c>
      <c r="I395" s="2" t="str">
        <f>IFERROR(VLOOKUP($D395,'Sales Data'!$C:$E,4,0),"SAME")</f>
        <v>SAME</v>
      </c>
      <c r="J395" s="2"/>
      <c r="K395" s="2" t="str">
        <f>IFERROR(VLOOKUP($D395,'Sales Data'!$C:$G,6,0),"NA")</f>
        <v>NA</v>
      </c>
      <c r="L395" s="2"/>
      <c r="M395" s="2"/>
      <c r="N395" s="2"/>
    </row>
    <row r="396" spans="1:14" ht="14.4">
      <c r="A396" s="154" t="s">
        <v>4003</v>
      </c>
      <c r="B396" s="113">
        <v>44327</v>
      </c>
      <c r="C396" s="2" t="s">
        <v>5036</v>
      </c>
      <c r="D396" s="118" t="s">
        <v>5037</v>
      </c>
      <c r="E396" s="158">
        <v>9790956382</v>
      </c>
      <c r="F396" s="2" t="s">
        <v>303</v>
      </c>
      <c r="G396" s="2" t="s">
        <v>150</v>
      </c>
      <c r="H396" s="2" t="s">
        <v>28</v>
      </c>
      <c r="I396" s="2" t="str">
        <f>IFERROR(VLOOKUP($D396,'Sales Data'!$C:$E,4,0),"SAME")</f>
        <v>SAME</v>
      </c>
      <c r="J396" s="2"/>
      <c r="K396" s="2" t="str">
        <f>IFERROR(VLOOKUP($D396,'Sales Data'!$C:$G,6,0),"NA")</f>
        <v>NA</v>
      </c>
      <c r="L396" s="2"/>
      <c r="M396" s="2"/>
      <c r="N396" s="2"/>
    </row>
    <row r="397" spans="1:14" ht="14.4">
      <c r="A397" s="154" t="s">
        <v>4003</v>
      </c>
      <c r="B397" s="113">
        <v>44327</v>
      </c>
      <c r="C397" s="2" t="s">
        <v>5038</v>
      </c>
      <c r="D397" s="118" t="s">
        <v>5039</v>
      </c>
      <c r="E397" s="158">
        <v>9008977202</v>
      </c>
      <c r="F397" s="2" t="s">
        <v>287</v>
      </c>
      <c r="G397" s="2" t="s">
        <v>150</v>
      </c>
      <c r="H397" s="2" t="s">
        <v>27</v>
      </c>
      <c r="I397" s="2" t="str">
        <f>IFERROR(VLOOKUP($D397,'Sales Data'!$C:$E,4,0),"SAME")</f>
        <v>SAME</v>
      </c>
      <c r="J397" s="2"/>
      <c r="K397" s="2" t="str">
        <f>IFERROR(VLOOKUP($D397,'Sales Data'!$C:$G,6,0),"NA")</f>
        <v>NA</v>
      </c>
      <c r="L397" s="2"/>
      <c r="M397" s="2"/>
      <c r="N397" s="2"/>
    </row>
    <row r="398" spans="1:14" ht="14.4">
      <c r="A398" s="154" t="s">
        <v>4003</v>
      </c>
      <c r="B398" s="113">
        <v>44327</v>
      </c>
      <c r="C398" s="2" t="s">
        <v>5040</v>
      </c>
      <c r="D398" s="118" t="s">
        <v>5041</v>
      </c>
      <c r="E398" s="158">
        <v>8073944732</v>
      </c>
      <c r="F398" s="2" t="s">
        <v>297</v>
      </c>
      <c r="G398" s="2" t="s">
        <v>7</v>
      </c>
      <c r="H398" s="2" t="s">
        <v>4400</v>
      </c>
      <c r="I398" s="2" t="str">
        <f>IFERROR(VLOOKUP($D398,'Sales Data'!$C:$E,4,0),"SAME")</f>
        <v>SAME</v>
      </c>
      <c r="J398" s="2"/>
      <c r="K398" s="2" t="str">
        <f>IFERROR(VLOOKUP($D398,'Sales Data'!$C:$G,6,0),"NA")</f>
        <v>NA</v>
      </c>
      <c r="L398" s="2"/>
      <c r="M398" s="2"/>
      <c r="N398" s="2"/>
    </row>
    <row r="399" spans="1:14" ht="14.4">
      <c r="A399" s="154" t="s">
        <v>4003</v>
      </c>
      <c r="B399" s="113">
        <v>44327</v>
      </c>
      <c r="C399" s="2" t="s">
        <v>5042</v>
      </c>
      <c r="D399" s="118" t="s">
        <v>5043</v>
      </c>
      <c r="E399" s="158">
        <v>9038811632</v>
      </c>
      <c r="F399" s="2" t="s">
        <v>287</v>
      </c>
      <c r="G399" s="2" t="s">
        <v>150</v>
      </c>
      <c r="H399" s="2" t="s">
        <v>27</v>
      </c>
      <c r="I399" s="2" t="str">
        <f>IFERROR(VLOOKUP($D399,'Sales Data'!$C:$E,4,0),"SAME")</f>
        <v>SAME</v>
      </c>
      <c r="J399" s="2"/>
      <c r="K399" s="2" t="str">
        <f>IFERROR(VLOOKUP($D399,'Sales Data'!$C:$G,6,0),"NA")</f>
        <v>NA</v>
      </c>
      <c r="L399" s="2"/>
      <c r="M399" s="2"/>
      <c r="N399" s="2"/>
    </row>
    <row r="400" spans="1:14" ht="14.4">
      <c r="A400" s="154" t="s">
        <v>4003</v>
      </c>
      <c r="B400" s="113">
        <v>44328</v>
      </c>
      <c r="C400" s="2" t="s">
        <v>1227</v>
      </c>
      <c r="D400" s="118" t="s">
        <v>1228</v>
      </c>
      <c r="E400" s="158">
        <v>9607968405</v>
      </c>
      <c r="F400" s="2" t="s">
        <v>303</v>
      </c>
      <c r="G400" s="2" t="s">
        <v>7</v>
      </c>
      <c r="H400" s="2" t="s">
        <v>28</v>
      </c>
      <c r="I400" s="2" t="str">
        <f>IFERROR(VLOOKUP($D400,'Sales Data'!$C:$E,4,0),"SAME")</f>
        <v>SAME</v>
      </c>
      <c r="J400" s="2"/>
      <c r="K400" s="2" t="str">
        <f>IFERROR(VLOOKUP($D400,'Sales Data'!$C:$G,6,0),"NA")</f>
        <v>NA</v>
      </c>
      <c r="L400" s="2"/>
      <c r="M400" s="2"/>
      <c r="N400" s="2"/>
    </row>
    <row r="401" spans="1:14" ht="14.4">
      <c r="A401" s="154" t="s">
        <v>4003</v>
      </c>
      <c r="B401" s="113">
        <v>44329</v>
      </c>
      <c r="C401" s="2" t="s">
        <v>5044</v>
      </c>
      <c r="D401" s="118" t="s">
        <v>5045</v>
      </c>
      <c r="E401" s="158">
        <v>9840720219</v>
      </c>
      <c r="F401" s="2" t="s">
        <v>303</v>
      </c>
      <c r="G401" s="2" t="s">
        <v>7</v>
      </c>
      <c r="H401" s="2" t="s">
        <v>26</v>
      </c>
      <c r="I401" s="2" t="str">
        <f>IFERROR(VLOOKUP($D401,'Sales Data'!$C:$E,4,0),"SAME")</f>
        <v>SAME</v>
      </c>
      <c r="J401" s="2"/>
      <c r="K401" s="2" t="str">
        <f>IFERROR(VLOOKUP($D401,'Sales Data'!$C:$G,6,0),"NA")</f>
        <v>NA</v>
      </c>
      <c r="L401" s="2"/>
      <c r="M401" s="2"/>
      <c r="N401" s="2"/>
    </row>
    <row r="402" spans="1:14" ht="14.4">
      <c r="A402" s="154" t="s">
        <v>4003</v>
      </c>
      <c r="B402" s="113">
        <v>44329</v>
      </c>
      <c r="C402" s="2" t="s">
        <v>1221</v>
      </c>
      <c r="D402" s="118" t="s">
        <v>1222</v>
      </c>
      <c r="E402" s="158">
        <v>9645273327</v>
      </c>
      <c r="F402" s="2" t="s">
        <v>303</v>
      </c>
      <c r="G402" s="2" t="s">
        <v>150</v>
      </c>
      <c r="H402" s="2" t="s">
        <v>28</v>
      </c>
      <c r="I402" s="2" t="str">
        <f>IFERROR(VLOOKUP($D402,'Sales Data'!$C:$E,4,0),"SAME")</f>
        <v>SAME</v>
      </c>
      <c r="J402" s="2"/>
      <c r="K402" s="2" t="str">
        <f>IFERROR(VLOOKUP($D402,'Sales Data'!$C:$G,6,0),"NA")</f>
        <v>NA</v>
      </c>
      <c r="L402" s="2"/>
      <c r="M402" s="2"/>
      <c r="N402" s="2"/>
    </row>
    <row r="403" spans="1:14" ht="14.4">
      <c r="A403" s="154" t="s">
        <v>4003</v>
      </c>
      <c r="B403" s="113">
        <v>44330</v>
      </c>
      <c r="C403" s="2" t="s">
        <v>5046</v>
      </c>
      <c r="D403" s="118" t="s">
        <v>5047</v>
      </c>
      <c r="E403" s="158">
        <v>7838176078</v>
      </c>
      <c r="F403" s="2" t="s">
        <v>287</v>
      </c>
      <c r="G403" s="2" t="s">
        <v>151</v>
      </c>
      <c r="H403" s="2" t="s">
        <v>28</v>
      </c>
      <c r="I403" s="2" t="str">
        <f>IFERROR(VLOOKUP($D403,'Sales Data'!$C:$E,4,0),"SAME")</f>
        <v>SAME</v>
      </c>
      <c r="J403" s="2"/>
      <c r="K403" s="2" t="str">
        <f>IFERROR(VLOOKUP($D403,'Sales Data'!$C:$G,6,0),"NA")</f>
        <v>NA</v>
      </c>
      <c r="L403" s="2"/>
      <c r="M403" s="2"/>
      <c r="N403" s="2"/>
    </row>
    <row r="404" spans="1:14" ht="14.4">
      <c r="A404" s="154" t="s">
        <v>4003</v>
      </c>
      <c r="B404" s="113">
        <v>44330</v>
      </c>
      <c r="C404" s="2" t="s">
        <v>5048</v>
      </c>
      <c r="D404" s="118" t="s">
        <v>5049</v>
      </c>
      <c r="E404" s="158">
        <v>9818110861</v>
      </c>
      <c r="F404" s="2" t="s">
        <v>297</v>
      </c>
      <c r="G404" s="2" t="s">
        <v>4378</v>
      </c>
      <c r="H404" s="2" t="s">
        <v>27</v>
      </c>
      <c r="I404" s="2" t="str">
        <f>IFERROR(VLOOKUP($D404,'Sales Data'!$C:$E,4,0),"SAME")</f>
        <v>SAME</v>
      </c>
      <c r="J404" s="2"/>
      <c r="K404" s="2" t="str">
        <f>IFERROR(VLOOKUP($D404,'Sales Data'!$C:$G,6,0),"NA")</f>
        <v>NA</v>
      </c>
      <c r="L404" s="2"/>
      <c r="M404" s="2"/>
      <c r="N404" s="2"/>
    </row>
    <row r="405" spans="1:14" ht="14.4">
      <c r="A405" s="154" t="s">
        <v>4003</v>
      </c>
      <c r="B405" s="113">
        <v>44330</v>
      </c>
      <c r="C405" s="2" t="s">
        <v>5050</v>
      </c>
      <c r="D405" s="118" t="s">
        <v>5051</v>
      </c>
      <c r="E405" s="158">
        <v>7774076103</v>
      </c>
      <c r="F405" s="2" t="s">
        <v>287</v>
      </c>
      <c r="G405" s="2" t="s">
        <v>4378</v>
      </c>
      <c r="H405" s="2" t="s">
        <v>28</v>
      </c>
      <c r="I405" s="2" t="str">
        <f>IFERROR(VLOOKUP($D405,'Sales Data'!$C:$E,4,0),"SAME")</f>
        <v>SAME</v>
      </c>
      <c r="J405" s="2"/>
      <c r="K405" s="2" t="str">
        <f>IFERROR(VLOOKUP($D405,'Sales Data'!$C:$G,6,0),"NA")</f>
        <v>NA</v>
      </c>
      <c r="L405" s="2"/>
      <c r="M405" s="2"/>
      <c r="N405" s="2"/>
    </row>
    <row r="406" spans="1:14" ht="14.4">
      <c r="A406" s="154" t="s">
        <v>4003</v>
      </c>
      <c r="B406" s="113">
        <v>44330</v>
      </c>
      <c r="C406" s="2" t="s">
        <v>5052</v>
      </c>
      <c r="D406" s="118" t="s">
        <v>5053</v>
      </c>
      <c r="E406" s="158">
        <v>8756002185</v>
      </c>
      <c r="F406" s="2" t="s">
        <v>303</v>
      </c>
      <c r="G406" s="2" t="s">
        <v>4378</v>
      </c>
      <c r="H406" s="2" t="s">
        <v>3997</v>
      </c>
      <c r="I406" s="2" t="str">
        <f>IFERROR(VLOOKUP($D406,'Sales Data'!$C:$E,4,0),"SAME")</f>
        <v>SAME</v>
      </c>
      <c r="J406" s="2"/>
      <c r="K406" s="2" t="str">
        <f>IFERROR(VLOOKUP($D406,'Sales Data'!$C:$G,6,0),"NA")</f>
        <v>NA</v>
      </c>
      <c r="L406" s="2"/>
      <c r="M406" s="2"/>
      <c r="N406" s="2"/>
    </row>
    <row r="407" spans="1:14" ht="14.4">
      <c r="A407" s="154" t="s">
        <v>4003</v>
      </c>
      <c r="B407" s="113">
        <v>44331</v>
      </c>
      <c r="C407" s="2" t="s">
        <v>1224</v>
      </c>
      <c r="D407" s="118" t="s">
        <v>5054</v>
      </c>
      <c r="E407" s="158">
        <v>9880080344</v>
      </c>
      <c r="F407" s="2" t="s">
        <v>287</v>
      </c>
      <c r="G407" s="2" t="s">
        <v>4378</v>
      </c>
      <c r="H407" s="2" t="s">
        <v>28</v>
      </c>
      <c r="I407" s="2" t="str">
        <f>IFERROR(VLOOKUP($D407,'Sales Data'!$C:$E,4,0),"SAME")</f>
        <v>SAME</v>
      </c>
      <c r="J407" s="2"/>
      <c r="K407" s="2" t="str">
        <f>IFERROR(VLOOKUP($D407,'Sales Data'!$C:$G,6,0),"NA")</f>
        <v>NA</v>
      </c>
      <c r="L407" s="2"/>
      <c r="M407" s="2"/>
      <c r="N407" s="2"/>
    </row>
    <row r="408" spans="1:14" ht="14.4">
      <c r="A408" s="154" t="s">
        <v>4003</v>
      </c>
      <c r="B408" s="113">
        <v>44331</v>
      </c>
      <c r="C408" s="2" t="s">
        <v>5055</v>
      </c>
      <c r="D408" s="118" t="s">
        <v>5056</v>
      </c>
      <c r="E408" s="158">
        <v>7032755123</v>
      </c>
      <c r="F408" s="2" t="s">
        <v>297</v>
      </c>
      <c r="G408" s="2" t="s">
        <v>6</v>
      </c>
      <c r="H408" s="2" t="s">
        <v>3997</v>
      </c>
      <c r="I408" s="2" t="str">
        <f>IFERROR(VLOOKUP($D408,'Sales Data'!$C:$E,4,0),"SAME")</f>
        <v>SAME</v>
      </c>
      <c r="J408" s="2"/>
      <c r="K408" s="2" t="str">
        <f>IFERROR(VLOOKUP($D408,'Sales Data'!$C:$G,6,0),"NA")</f>
        <v>NA</v>
      </c>
      <c r="L408" s="2"/>
      <c r="M408" s="2"/>
      <c r="N408" s="2"/>
    </row>
    <row r="409" spans="1:14" ht="14.4">
      <c r="A409" s="154" t="s">
        <v>4003</v>
      </c>
      <c r="B409" s="113">
        <v>44333</v>
      </c>
      <c r="C409" s="2" t="s">
        <v>1307</v>
      </c>
      <c r="D409" s="118" t="s">
        <v>1308</v>
      </c>
      <c r="E409" s="158">
        <v>9890136459</v>
      </c>
      <c r="F409" s="2" t="s">
        <v>319</v>
      </c>
      <c r="G409" s="2" t="s">
        <v>150</v>
      </c>
      <c r="H409" s="2" t="s">
        <v>28</v>
      </c>
      <c r="I409" s="2" t="str">
        <f>IFERROR(VLOOKUP($D409,'Sales Data'!$C:$E,4,0),"SAME")</f>
        <v>SAME</v>
      </c>
      <c r="J409" s="2"/>
      <c r="K409" s="2" t="str">
        <f>IFERROR(VLOOKUP($D409,'Sales Data'!$C:$G,6,0),"NA")</f>
        <v>NA</v>
      </c>
      <c r="L409" s="2"/>
      <c r="M409" s="2"/>
      <c r="N409" s="2"/>
    </row>
    <row r="410" spans="1:14" ht="14.4">
      <c r="A410" s="154" t="s">
        <v>4003</v>
      </c>
      <c r="B410" s="113">
        <v>44333</v>
      </c>
      <c r="C410" s="2" t="s">
        <v>5057</v>
      </c>
      <c r="D410" s="118" t="s">
        <v>1486</v>
      </c>
      <c r="E410" s="158">
        <v>7798982817</v>
      </c>
      <c r="F410" s="2" t="s">
        <v>303</v>
      </c>
      <c r="G410" s="2" t="s">
        <v>150</v>
      </c>
      <c r="H410" s="2" t="s">
        <v>28</v>
      </c>
      <c r="I410" s="2" t="str">
        <f>IFERROR(VLOOKUP($D410,'Sales Data'!$C:$E,4,0),"SAME")</f>
        <v>SAME</v>
      </c>
      <c r="J410" s="2"/>
      <c r="K410" s="2" t="str">
        <f>IFERROR(VLOOKUP($D410,'Sales Data'!$C:$G,6,0),"NA")</f>
        <v>NA</v>
      </c>
      <c r="L410" s="2"/>
      <c r="M410" s="2"/>
      <c r="N410" s="2"/>
    </row>
    <row r="411" spans="1:14" ht="14.4">
      <c r="A411" s="154" t="s">
        <v>4003</v>
      </c>
      <c r="B411" s="113">
        <v>44333</v>
      </c>
      <c r="C411" s="2" t="s">
        <v>5058</v>
      </c>
      <c r="D411" s="118" t="s">
        <v>5059</v>
      </c>
      <c r="E411" s="158">
        <v>8860324152</v>
      </c>
      <c r="F411" s="2" t="s">
        <v>319</v>
      </c>
      <c r="G411" s="2" t="s">
        <v>6</v>
      </c>
      <c r="H411" s="2" t="s">
        <v>17</v>
      </c>
      <c r="I411" s="2" t="str">
        <f>IFERROR(VLOOKUP($D411,'Sales Data'!$C:$E,4,0),"SAME")</f>
        <v>SAME</v>
      </c>
      <c r="J411" s="2"/>
      <c r="K411" s="2" t="str">
        <f>IFERROR(VLOOKUP($D411,'Sales Data'!$C:$G,6,0),"NA")</f>
        <v>NA</v>
      </c>
      <c r="L411" s="2"/>
      <c r="M411" s="2"/>
      <c r="N411" s="2"/>
    </row>
    <row r="412" spans="1:14" ht="14.4">
      <c r="A412" s="154" t="s">
        <v>4003</v>
      </c>
      <c r="B412" s="113">
        <v>44333</v>
      </c>
      <c r="C412" s="2" t="s">
        <v>5060</v>
      </c>
      <c r="D412" s="118" t="s">
        <v>5061</v>
      </c>
      <c r="E412" s="2" t="s">
        <v>1294</v>
      </c>
      <c r="F412" s="2" t="s">
        <v>303</v>
      </c>
      <c r="G412" s="2" t="s">
        <v>4378</v>
      </c>
      <c r="H412" s="2" t="s">
        <v>1294</v>
      </c>
      <c r="I412" s="2" t="str">
        <f>IFERROR(VLOOKUP($D412,'Sales Data'!$C:$E,4,0),"SAME")</f>
        <v>SAME</v>
      </c>
      <c r="J412" s="2"/>
      <c r="K412" s="2" t="str">
        <f>IFERROR(VLOOKUP($D412,'Sales Data'!$C:$G,6,0),"NA")</f>
        <v>NA</v>
      </c>
      <c r="L412" s="2"/>
      <c r="M412" s="2"/>
      <c r="N412" s="2"/>
    </row>
    <row r="413" spans="1:14" ht="14.4">
      <c r="A413" s="154" t="s">
        <v>4003</v>
      </c>
      <c r="B413" s="113">
        <v>44333</v>
      </c>
      <c r="C413" s="2" t="s">
        <v>5062</v>
      </c>
      <c r="D413" s="118" t="s">
        <v>5063</v>
      </c>
      <c r="E413" s="158">
        <v>8695393850</v>
      </c>
      <c r="F413" s="2" t="s">
        <v>287</v>
      </c>
      <c r="G413" s="2" t="s">
        <v>4378</v>
      </c>
      <c r="H413" s="2" t="s">
        <v>27</v>
      </c>
      <c r="I413" s="2" t="str">
        <f>IFERROR(VLOOKUP($D413,'Sales Data'!$C:$E,4,0),"SAME")</f>
        <v>SAME</v>
      </c>
      <c r="J413" s="2"/>
      <c r="K413" s="2" t="str">
        <f>IFERROR(VLOOKUP($D413,'Sales Data'!$C:$G,6,0),"NA")</f>
        <v>NA</v>
      </c>
      <c r="L413" s="2"/>
      <c r="M413" s="2"/>
      <c r="N413" s="2"/>
    </row>
    <row r="414" spans="1:14" ht="14.4">
      <c r="A414" s="154" t="s">
        <v>4003</v>
      </c>
      <c r="B414" s="113">
        <v>44333</v>
      </c>
      <c r="C414" s="2" t="s">
        <v>5064</v>
      </c>
      <c r="D414" s="118" t="s">
        <v>5065</v>
      </c>
      <c r="E414" s="158">
        <v>9818539641</v>
      </c>
      <c r="F414" s="2" t="s">
        <v>291</v>
      </c>
      <c r="G414" s="2" t="s">
        <v>4378</v>
      </c>
      <c r="H414" s="2" t="s">
        <v>17</v>
      </c>
      <c r="I414" s="2" t="str">
        <f>IFERROR(VLOOKUP($D414,'Sales Data'!$C:$E,4,0),"SAME")</f>
        <v>SAME</v>
      </c>
      <c r="J414" s="2"/>
      <c r="K414" s="2" t="str">
        <f>IFERROR(VLOOKUP($D414,'Sales Data'!$C:$G,6,0),"NA")</f>
        <v>NA</v>
      </c>
      <c r="L414" s="2"/>
      <c r="M414" s="2"/>
      <c r="N414" s="2"/>
    </row>
    <row r="415" spans="1:14" ht="14.4">
      <c r="A415" s="154" t="s">
        <v>4003</v>
      </c>
      <c r="B415" s="113">
        <v>44333</v>
      </c>
      <c r="C415" s="2" t="s">
        <v>3108</v>
      </c>
      <c r="D415" s="118" t="s">
        <v>3109</v>
      </c>
      <c r="E415" s="158">
        <v>9003661611</v>
      </c>
      <c r="F415" s="2" t="s">
        <v>319</v>
      </c>
      <c r="G415" s="2" t="s">
        <v>4378</v>
      </c>
      <c r="H415" s="2" t="s">
        <v>28</v>
      </c>
      <c r="I415" s="2" t="str">
        <f>IFERROR(VLOOKUP($D415,'Sales Data'!$C:$E,4,0),"SAME")</f>
        <v>SAME</v>
      </c>
      <c r="J415" s="2"/>
      <c r="K415" s="2" t="str">
        <f>IFERROR(VLOOKUP($D415,'Sales Data'!$C:$G,6,0),"NA")</f>
        <v>NA</v>
      </c>
      <c r="L415" s="2"/>
      <c r="M415" s="2"/>
      <c r="N415" s="2"/>
    </row>
    <row r="416" spans="1:14" ht="14.4">
      <c r="A416" s="154" t="s">
        <v>4003</v>
      </c>
      <c r="B416" s="113">
        <v>44334</v>
      </c>
      <c r="C416" s="2" t="s">
        <v>1541</v>
      </c>
      <c r="D416" s="118" t="s">
        <v>1542</v>
      </c>
      <c r="E416" s="158">
        <v>9923700991</v>
      </c>
      <c r="F416" s="2" t="s">
        <v>495</v>
      </c>
      <c r="G416" s="2" t="s">
        <v>7</v>
      </c>
      <c r="H416" s="2" t="s">
        <v>26</v>
      </c>
      <c r="I416" s="2" t="str">
        <f>IFERROR(VLOOKUP($D416,'Sales Data'!$C:$E,4,0),"SAME")</f>
        <v>SAME</v>
      </c>
      <c r="J416" s="2"/>
      <c r="K416" s="2" t="str">
        <f>IFERROR(VLOOKUP($D416,'Sales Data'!$C:$G,6,0),"NA")</f>
        <v>NA</v>
      </c>
      <c r="L416" s="2"/>
      <c r="M416" s="2"/>
      <c r="N416" s="2"/>
    </row>
    <row r="417" spans="1:14" ht="14.4">
      <c r="A417" s="154" t="s">
        <v>4003</v>
      </c>
      <c r="B417" s="113">
        <v>44334</v>
      </c>
      <c r="C417" s="2" t="s">
        <v>5066</v>
      </c>
      <c r="D417" s="118" t="s">
        <v>1280</v>
      </c>
      <c r="E417" s="158">
        <v>9867374404</v>
      </c>
      <c r="F417" s="2" t="s">
        <v>303</v>
      </c>
      <c r="G417" s="2" t="s">
        <v>150</v>
      </c>
      <c r="H417" s="2" t="s">
        <v>17</v>
      </c>
      <c r="I417" s="2" t="str">
        <f>IFERROR(VLOOKUP($D417,'Sales Data'!$C:$E,4,0),"SAME")</f>
        <v>SAME</v>
      </c>
      <c r="J417" s="2"/>
      <c r="K417" s="2" t="str">
        <f>IFERROR(VLOOKUP($D417,'Sales Data'!$C:$G,6,0),"NA")</f>
        <v>NA</v>
      </c>
      <c r="L417" s="2"/>
      <c r="M417" s="2"/>
      <c r="N417" s="2"/>
    </row>
    <row r="418" spans="1:14" ht="14.4">
      <c r="A418" s="154" t="s">
        <v>4003</v>
      </c>
      <c r="B418" s="113">
        <v>44334</v>
      </c>
      <c r="C418" s="2" t="s">
        <v>897</v>
      </c>
      <c r="D418" s="118" t="s">
        <v>5067</v>
      </c>
      <c r="E418" s="158">
        <v>9960733231</v>
      </c>
      <c r="F418" s="2" t="s">
        <v>287</v>
      </c>
      <c r="G418" s="2" t="s">
        <v>151</v>
      </c>
      <c r="H418" s="2" t="s">
        <v>5068</v>
      </c>
      <c r="I418" s="2" t="str">
        <f>IFERROR(VLOOKUP($D418,'Sales Data'!$C:$E,4,0),"SAME")</f>
        <v>SAME</v>
      </c>
      <c r="J418" s="2"/>
      <c r="K418" s="2" t="str">
        <f>IFERROR(VLOOKUP($D418,'Sales Data'!$C:$G,6,0),"NA")</f>
        <v>NA</v>
      </c>
      <c r="L418" s="2"/>
      <c r="M418" s="2"/>
      <c r="N418" s="2"/>
    </row>
    <row r="419" spans="1:14" ht="14.4">
      <c r="A419" s="154" t="s">
        <v>4003</v>
      </c>
      <c r="B419" s="113">
        <v>44334</v>
      </c>
      <c r="C419" s="2" t="s">
        <v>5069</v>
      </c>
      <c r="D419" s="118" t="s">
        <v>5070</v>
      </c>
      <c r="E419" s="158">
        <v>8050541926</v>
      </c>
      <c r="F419" s="2" t="s">
        <v>319</v>
      </c>
      <c r="G419" s="2" t="s">
        <v>150</v>
      </c>
      <c r="H419" s="2" t="s">
        <v>27</v>
      </c>
      <c r="I419" s="2" t="str">
        <f>IFERROR(VLOOKUP($D419,'Sales Data'!$C:$E,4,0),"SAME")</f>
        <v>SAME</v>
      </c>
      <c r="J419" s="2"/>
      <c r="K419" s="2" t="str">
        <f>IFERROR(VLOOKUP($D419,'Sales Data'!$C:$G,6,0),"NA")</f>
        <v>NA</v>
      </c>
      <c r="L419" s="2"/>
      <c r="M419" s="2"/>
      <c r="N419" s="2"/>
    </row>
    <row r="420" spans="1:14" ht="14.4">
      <c r="A420" s="154" t="s">
        <v>4003</v>
      </c>
      <c r="B420" s="113">
        <v>44334</v>
      </c>
      <c r="C420" s="2" t="s">
        <v>5071</v>
      </c>
      <c r="D420" s="118" t="s">
        <v>1242</v>
      </c>
      <c r="E420" s="158">
        <v>8884296309</v>
      </c>
      <c r="F420" s="2" t="s">
        <v>287</v>
      </c>
      <c r="G420" s="2" t="s">
        <v>4378</v>
      </c>
      <c r="H420" s="2" t="s">
        <v>28</v>
      </c>
      <c r="I420" s="2" t="str">
        <f>IFERROR(VLOOKUP($D420,'Sales Data'!$C:$E,4,0),"SAME")</f>
        <v>SAME</v>
      </c>
      <c r="J420" s="2"/>
      <c r="K420" s="2" t="str">
        <f>IFERROR(VLOOKUP($D420,'Sales Data'!$C:$G,6,0),"NA")</f>
        <v>NA</v>
      </c>
      <c r="L420" s="2"/>
      <c r="M420" s="2"/>
      <c r="N420" s="2"/>
    </row>
    <row r="421" spans="1:14" ht="14.4">
      <c r="A421" s="154" t="s">
        <v>4003</v>
      </c>
      <c r="B421" s="113">
        <v>44335</v>
      </c>
      <c r="C421" s="2" t="s">
        <v>5072</v>
      </c>
      <c r="D421" s="118" t="s">
        <v>5073</v>
      </c>
      <c r="E421" s="158">
        <v>8742993669</v>
      </c>
      <c r="F421" s="2" t="s">
        <v>303</v>
      </c>
      <c r="G421" s="2" t="s">
        <v>4378</v>
      </c>
      <c r="H421" s="2" t="s">
        <v>26</v>
      </c>
      <c r="I421" s="2" t="str">
        <f>IFERROR(VLOOKUP($D421,'Sales Data'!$C:$E,4,0),"SAME")</f>
        <v>SAME</v>
      </c>
      <c r="J421" s="2"/>
      <c r="K421" s="2" t="str">
        <f>IFERROR(VLOOKUP($D421,'Sales Data'!$C:$G,6,0),"NA")</f>
        <v>NA</v>
      </c>
      <c r="L421" s="2"/>
      <c r="M421" s="2"/>
      <c r="N421" s="2"/>
    </row>
    <row r="422" spans="1:14" ht="14.4">
      <c r="A422" s="154" t="s">
        <v>4003</v>
      </c>
      <c r="B422" s="113">
        <v>44335</v>
      </c>
      <c r="C422" s="2" t="s">
        <v>5074</v>
      </c>
      <c r="D422" s="118" t="s">
        <v>5075</v>
      </c>
      <c r="E422" s="158">
        <v>9022118421</v>
      </c>
      <c r="F422" s="2" t="s">
        <v>291</v>
      </c>
      <c r="G422" s="2" t="s">
        <v>4378</v>
      </c>
      <c r="H422" s="2" t="s">
        <v>26</v>
      </c>
      <c r="I422" s="2" t="str">
        <f>IFERROR(VLOOKUP($D422,'Sales Data'!$C:$E,4,0),"SAME")</f>
        <v>SAME</v>
      </c>
      <c r="J422" s="2"/>
      <c r="K422" s="2" t="str">
        <f>IFERROR(VLOOKUP($D422,'Sales Data'!$C:$G,6,0),"NA")</f>
        <v>NA</v>
      </c>
      <c r="L422" s="2"/>
      <c r="M422" s="2"/>
      <c r="N422" s="2"/>
    </row>
    <row r="423" spans="1:14" ht="14.4">
      <c r="A423" s="154" t="s">
        <v>4003</v>
      </c>
      <c r="B423" s="113">
        <v>44335</v>
      </c>
      <c r="C423" s="2" t="s">
        <v>5076</v>
      </c>
      <c r="D423" s="118" t="s">
        <v>5077</v>
      </c>
      <c r="E423" s="158">
        <v>8497059089</v>
      </c>
      <c r="F423" s="2" t="s">
        <v>319</v>
      </c>
      <c r="G423" s="2" t="s">
        <v>150</v>
      </c>
      <c r="H423" s="2" t="s">
        <v>17</v>
      </c>
      <c r="I423" s="2" t="str">
        <f>IFERROR(VLOOKUP($D423,'Sales Data'!$C:$E,4,0),"SAME")</f>
        <v>SAME</v>
      </c>
      <c r="J423" s="2"/>
      <c r="K423" s="2" t="str">
        <f>IFERROR(VLOOKUP($D423,'Sales Data'!$C:$G,6,0),"NA")</f>
        <v>NA</v>
      </c>
      <c r="L423" s="2"/>
      <c r="M423" s="2"/>
      <c r="N423" s="2"/>
    </row>
    <row r="424" spans="1:14" ht="14.4">
      <c r="A424" s="154" t="s">
        <v>4003</v>
      </c>
      <c r="B424" s="113">
        <v>44335</v>
      </c>
      <c r="C424" s="2" t="s">
        <v>5078</v>
      </c>
      <c r="D424" s="118" t="s">
        <v>1236</v>
      </c>
      <c r="E424" s="158">
        <v>9886575595</v>
      </c>
      <c r="F424" s="2" t="s">
        <v>319</v>
      </c>
      <c r="G424" s="2" t="s">
        <v>150</v>
      </c>
      <c r="H424" s="2" t="s">
        <v>28</v>
      </c>
      <c r="I424" s="2" t="str">
        <f>IFERROR(VLOOKUP($D424,'Sales Data'!$C:$E,4,0),"SAME")</f>
        <v>SAME</v>
      </c>
      <c r="J424" s="2"/>
      <c r="K424" s="2" t="str">
        <f>IFERROR(VLOOKUP($D424,'Sales Data'!$C:$G,6,0),"NA")</f>
        <v>NA</v>
      </c>
      <c r="L424" s="2"/>
      <c r="M424" s="2"/>
      <c r="N424" s="2"/>
    </row>
    <row r="425" spans="1:14" ht="14.4">
      <c r="A425" s="154" t="s">
        <v>4003</v>
      </c>
      <c r="B425" s="113">
        <v>44335</v>
      </c>
      <c r="C425" s="2" t="s">
        <v>5079</v>
      </c>
      <c r="D425" s="118" t="s">
        <v>5080</v>
      </c>
      <c r="E425" s="158">
        <v>8604985565</v>
      </c>
      <c r="F425" s="2" t="s">
        <v>319</v>
      </c>
      <c r="G425" s="2" t="s">
        <v>7</v>
      </c>
      <c r="H425" s="2" t="s">
        <v>26</v>
      </c>
      <c r="I425" s="2" t="str">
        <f>IFERROR(VLOOKUP($D425,'Sales Data'!$C:$E,4,0),"SAME")</f>
        <v>SAME</v>
      </c>
      <c r="J425" s="2"/>
      <c r="K425" s="2" t="str">
        <f>IFERROR(VLOOKUP($D425,'Sales Data'!$C:$G,6,0),"NA")</f>
        <v>NA</v>
      </c>
      <c r="L425" s="2"/>
      <c r="M425" s="2"/>
      <c r="N425" s="2"/>
    </row>
    <row r="426" spans="1:14" ht="14.4">
      <c r="A426" s="154" t="s">
        <v>4003</v>
      </c>
      <c r="B426" s="113">
        <v>44336</v>
      </c>
      <c r="C426" s="2" t="s">
        <v>1263</v>
      </c>
      <c r="D426" s="118" t="s">
        <v>1264</v>
      </c>
      <c r="E426" s="158">
        <v>9986557674</v>
      </c>
      <c r="F426" s="2" t="s">
        <v>303</v>
      </c>
      <c r="G426" s="2" t="s">
        <v>6</v>
      </c>
      <c r="H426" s="2" t="s">
        <v>28</v>
      </c>
      <c r="I426" s="2" t="str">
        <f>IFERROR(VLOOKUP($D426,'Sales Data'!$C:$E,4,0),"SAME")</f>
        <v>SAME</v>
      </c>
      <c r="J426" s="2"/>
      <c r="K426" s="2" t="str">
        <f>IFERROR(VLOOKUP($D426,'Sales Data'!$C:$G,6,0),"NA")</f>
        <v>NA</v>
      </c>
      <c r="L426" s="2"/>
      <c r="M426" s="2"/>
      <c r="N426" s="2"/>
    </row>
    <row r="427" spans="1:14" ht="14.4">
      <c r="A427" s="154" t="s">
        <v>4003</v>
      </c>
      <c r="B427" s="113">
        <v>44336</v>
      </c>
      <c r="C427" s="2" t="s">
        <v>5081</v>
      </c>
      <c r="D427" s="118" t="s">
        <v>5082</v>
      </c>
      <c r="E427" s="158">
        <v>9060000056</v>
      </c>
      <c r="F427" s="2" t="s">
        <v>319</v>
      </c>
      <c r="G427" s="2" t="s">
        <v>6</v>
      </c>
      <c r="H427" s="2" t="s">
        <v>28</v>
      </c>
      <c r="I427" s="2" t="str">
        <f>IFERROR(VLOOKUP($D427,'Sales Data'!$C:$E,4,0),"SAME")</f>
        <v>SAME</v>
      </c>
      <c r="J427" s="2"/>
      <c r="K427" s="2" t="str">
        <f>IFERROR(VLOOKUP($D427,'Sales Data'!$C:$G,6,0),"NA")</f>
        <v>NA</v>
      </c>
      <c r="L427" s="2"/>
      <c r="M427" s="2"/>
      <c r="N427" s="2"/>
    </row>
    <row r="428" spans="1:14" ht="14.4">
      <c r="A428" s="154" t="s">
        <v>4003</v>
      </c>
      <c r="B428" s="113">
        <v>44336</v>
      </c>
      <c r="C428" s="2" t="s">
        <v>5083</v>
      </c>
      <c r="D428" s="118" t="s">
        <v>5084</v>
      </c>
      <c r="E428" s="158">
        <v>9731535726</v>
      </c>
      <c r="F428" s="2" t="s">
        <v>287</v>
      </c>
      <c r="G428" s="2" t="s">
        <v>150</v>
      </c>
      <c r="H428" s="2" t="s">
        <v>26</v>
      </c>
      <c r="I428" s="2" t="str">
        <f>IFERROR(VLOOKUP($D428,'Sales Data'!$C:$E,4,0),"SAME")</f>
        <v>SAME</v>
      </c>
      <c r="J428" s="2"/>
      <c r="K428" s="2" t="str">
        <f>IFERROR(VLOOKUP($D428,'Sales Data'!$C:$G,6,0),"NA")</f>
        <v>NA</v>
      </c>
      <c r="L428" s="2"/>
      <c r="M428" s="2"/>
      <c r="N428" s="2"/>
    </row>
    <row r="429" spans="1:14" ht="14.4">
      <c r="A429" s="154" t="s">
        <v>4003</v>
      </c>
      <c r="B429" s="113">
        <v>44336</v>
      </c>
      <c r="C429" s="2" t="s">
        <v>5085</v>
      </c>
      <c r="D429" s="118" t="s">
        <v>5086</v>
      </c>
      <c r="E429" s="158">
        <v>9952414170</v>
      </c>
      <c r="F429" s="2" t="s">
        <v>297</v>
      </c>
      <c r="G429" s="2" t="s">
        <v>4378</v>
      </c>
      <c r="H429" s="2" t="s">
        <v>26</v>
      </c>
      <c r="I429" s="2" t="str">
        <f>IFERROR(VLOOKUP($D429,'Sales Data'!$C:$E,4,0),"SAME")</f>
        <v>SAME</v>
      </c>
      <c r="J429" s="2"/>
      <c r="K429" s="2" t="str">
        <f>IFERROR(VLOOKUP($D429,'Sales Data'!$C:$G,6,0),"NA")</f>
        <v>NA</v>
      </c>
      <c r="L429" s="2"/>
      <c r="M429" s="2"/>
      <c r="N429" s="2"/>
    </row>
    <row r="430" spans="1:14" ht="14.4">
      <c r="A430" s="154" t="s">
        <v>4003</v>
      </c>
      <c r="B430" s="113">
        <v>44336</v>
      </c>
      <c r="C430" s="2" t="s">
        <v>1269</v>
      </c>
      <c r="D430" s="118" t="s">
        <v>5087</v>
      </c>
      <c r="E430" s="158">
        <v>9529239153</v>
      </c>
      <c r="F430" s="2" t="s">
        <v>303</v>
      </c>
      <c r="G430" s="2" t="s">
        <v>4378</v>
      </c>
      <c r="H430" s="2" t="s">
        <v>26</v>
      </c>
      <c r="I430" s="2" t="str">
        <f>IFERROR(VLOOKUP($D430,'Sales Data'!$C:$E,4,0),"SAME")</f>
        <v>SAME</v>
      </c>
      <c r="J430" s="2"/>
      <c r="K430" s="2" t="str">
        <f>IFERROR(VLOOKUP($D430,'Sales Data'!$C:$G,6,0),"NA")</f>
        <v>NA</v>
      </c>
      <c r="L430" s="2"/>
      <c r="M430" s="2"/>
      <c r="N430" s="2"/>
    </row>
    <row r="431" spans="1:14" ht="14.4">
      <c r="A431" s="154" t="s">
        <v>4003</v>
      </c>
      <c r="B431" s="113">
        <v>44336</v>
      </c>
      <c r="C431" s="2" t="s">
        <v>5032</v>
      </c>
      <c r="D431" s="118" t="s">
        <v>5088</v>
      </c>
      <c r="E431" s="158">
        <v>8109676815</v>
      </c>
      <c r="F431" s="2" t="s">
        <v>291</v>
      </c>
      <c r="G431" s="2" t="s">
        <v>4378</v>
      </c>
      <c r="H431" s="2" t="s">
        <v>3997</v>
      </c>
      <c r="I431" s="2" t="str">
        <f>IFERROR(VLOOKUP($D431,'Sales Data'!$C:$E,4,0),"SAME")</f>
        <v>SAME</v>
      </c>
      <c r="J431" s="2"/>
      <c r="K431" s="2" t="str">
        <f>IFERROR(VLOOKUP($D431,'Sales Data'!$C:$G,6,0),"NA")</f>
        <v>NA</v>
      </c>
      <c r="L431" s="2"/>
      <c r="M431" s="2"/>
      <c r="N431" s="2"/>
    </row>
    <row r="432" spans="1:14" ht="14.4">
      <c r="A432" s="154" t="s">
        <v>4003</v>
      </c>
      <c r="B432" s="113">
        <v>44336</v>
      </c>
      <c r="C432" s="2" t="s">
        <v>1368</v>
      </c>
      <c r="D432" s="118" t="s">
        <v>5089</v>
      </c>
      <c r="E432" s="158">
        <v>9029027627</v>
      </c>
      <c r="F432" s="2" t="s">
        <v>319</v>
      </c>
      <c r="G432" s="2" t="s">
        <v>150</v>
      </c>
      <c r="H432" s="2" t="s">
        <v>28</v>
      </c>
      <c r="I432" s="2" t="str">
        <f>IFERROR(VLOOKUP($D432,'Sales Data'!$C:$E,4,0),"SAME")</f>
        <v>SAME</v>
      </c>
      <c r="J432" s="2"/>
      <c r="K432" s="2" t="str">
        <f>IFERROR(VLOOKUP($D432,'Sales Data'!$C:$G,6,0),"NA")</f>
        <v>NA</v>
      </c>
      <c r="L432" s="2"/>
      <c r="M432" s="2"/>
      <c r="N432" s="2"/>
    </row>
    <row r="433" spans="1:14" ht="14.4">
      <c r="A433" s="154" t="s">
        <v>4003</v>
      </c>
      <c r="B433" s="113">
        <v>44336</v>
      </c>
      <c r="C433" s="2" t="s">
        <v>5090</v>
      </c>
      <c r="D433" s="118" t="s">
        <v>5091</v>
      </c>
      <c r="E433" s="158">
        <v>9940268288</v>
      </c>
      <c r="F433" s="2" t="s">
        <v>287</v>
      </c>
      <c r="G433" s="2" t="s">
        <v>195</v>
      </c>
      <c r="H433" s="2" t="s">
        <v>27</v>
      </c>
      <c r="I433" s="2" t="str">
        <f>IFERROR(VLOOKUP($D433,'Sales Data'!$C:$E,4,0),"SAME")</f>
        <v>SAME</v>
      </c>
      <c r="J433" s="2"/>
      <c r="K433" s="2" t="str">
        <f>IFERROR(VLOOKUP($D433,'Sales Data'!$C:$G,6,0),"NA")</f>
        <v>NA</v>
      </c>
      <c r="L433" s="2"/>
      <c r="M433" s="2"/>
      <c r="N433" s="2"/>
    </row>
    <row r="434" spans="1:14" ht="14.4">
      <c r="A434" s="154" t="s">
        <v>4003</v>
      </c>
      <c r="B434" s="113">
        <v>44337</v>
      </c>
      <c r="C434" s="2" t="s">
        <v>5092</v>
      </c>
      <c r="D434" s="118" t="s">
        <v>5093</v>
      </c>
      <c r="E434" s="158">
        <v>9808445407</v>
      </c>
      <c r="F434" s="2" t="s">
        <v>287</v>
      </c>
      <c r="G434" s="2" t="s">
        <v>4378</v>
      </c>
      <c r="H434" s="2" t="s">
        <v>26</v>
      </c>
      <c r="I434" s="2" t="str">
        <f>IFERROR(VLOOKUP($D434,'Sales Data'!$C:$E,4,0),"SAME")</f>
        <v>SAME</v>
      </c>
      <c r="J434" s="2"/>
      <c r="K434" s="2" t="str">
        <f>IFERROR(VLOOKUP($D434,'Sales Data'!$C:$G,6,0),"NA")</f>
        <v>NA</v>
      </c>
      <c r="L434" s="2"/>
      <c r="M434" s="2"/>
      <c r="N434" s="2"/>
    </row>
    <row r="435" spans="1:14" ht="14.4">
      <c r="A435" s="154" t="s">
        <v>4003</v>
      </c>
      <c r="B435" s="113">
        <v>44337</v>
      </c>
      <c r="C435" s="2" t="s">
        <v>5094</v>
      </c>
      <c r="D435" s="118" t="s">
        <v>5095</v>
      </c>
      <c r="E435" s="158">
        <v>9225520137</v>
      </c>
      <c r="F435" s="2" t="s">
        <v>291</v>
      </c>
      <c r="G435" s="2" t="s">
        <v>4378</v>
      </c>
      <c r="H435" s="2" t="s">
        <v>17</v>
      </c>
      <c r="I435" s="2" t="str">
        <f>IFERROR(VLOOKUP($D435,'Sales Data'!$C:$E,4,0),"SAME")</f>
        <v>SAME</v>
      </c>
      <c r="J435" s="2"/>
      <c r="K435" s="2" t="str">
        <f>IFERROR(VLOOKUP($D435,'Sales Data'!$C:$G,6,0),"NA")</f>
        <v>NA</v>
      </c>
      <c r="L435" s="2"/>
      <c r="M435" s="2"/>
      <c r="N435" s="2"/>
    </row>
    <row r="436" spans="1:14" ht="14.4">
      <c r="A436" s="154" t="s">
        <v>4003</v>
      </c>
      <c r="B436" s="113">
        <v>44337</v>
      </c>
      <c r="C436" s="2" t="s">
        <v>5096</v>
      </c>
      <c r="D436" s="118" t="s">
        <v>1262</v>
      </c>
      <c r="E436" s="158">
        <v>9986466684</v>
      </c>
      <c r="F436" s="2" t="s">
        <v>291</v>
      </c>
      <c r="G436" s="2" t="s">
        <v>4378</v>
      </c>
      <c r="H436" s="2" t="s">
        <v>26</v>
      </c>
      <c r="I436" s="2" t="str">
        <f>IFERROR(VLOOKUP($D436,'Sales Data'!$C:$E,4,0),"SAME")</f>
        <v>SAME</v>
      </c>
      <c r="J436" s="2"/>
      <c r="K436" s="2" t="str">
        <f>IFERROR(VLOOKUP($D436,'Sales Data'!$C:$G,6,0),"NA")</f>
        <v>NA</v>
      </c>
      <c r="L436" s="2"/>
      <c r="M436" s="2"/>
      <c r="N436" s="2"/>
    </row>
    <row r="437" spans="1:14" ht="14.4">
      <c r="A437" s="154" t="s">
        <v>4003</v>
      </c>
      <c r="B437" s="113">
        <v>44337</v>
      </c>
      <c r="C437" s="2" t="s">
        <v>5097</v>
      </c>
      <c r="D437" s="118" t="s">
        <v>5098</v>
      </c>
      <c r="E437" s="158">
        <v>7676057699</v>
      </c>
      <c r="F437" s="2" t="s">
        <v>287</v>
      </c>
      <c r="G437" s="2" t="s">
        <v>195</v>
      </c>
      <c r="H437" s="2" t="s">
        <v>17</v>
      </c>
      <c r="I437" s="2" t="str">
        <f>IFERROR(VLOOKUP($D437,'Sales Data'!$C:$E,4,0),"SAME")</f>
        <v>SAME</v>
      </c>
      <c r="J437" s="2"/>
      <c r="K437" s="2" t="str">
        <f>IFERROR(VLOOKUP($D437,'Sales Data'!$C:$G,6,0),"NA")</f>
        <v>NA</v>
      </c>
      <c r="L437" s="2"/>
      <c r="M437" s="2"/>
      <c r="N437" s="2"/>
    </row>
    <row r="438" spans="1:14" ht="14.4">
      <c r="A438" s="154" t="s">
        <v>4003</v>
      </c>
      <c r="B438" s="113">
        <v>44337</v>
      </c>
      <c r="C438" s="2" t="s">
        <v>5099</v>
      </c>
      <c r="D438" s="118" t="s">
        <v>5100</v>
      </c>
      <c r="E438" s="158">
        <v>9963688806</v>
      </c>
      <c r="F438" s="2" t="s">
        <v>287</v>
      </c>
      <c r="G438" s="2" t="s">
        <v>4378</v>
      </c>
      <c r="H438" s="2" t="s">
        <v>17</v>
      </c>
      <c r="I438" s="2" t="str">
        <f>IFERROR(VLOOKUP($D438,'Sales Data'!$C:$E,4,0),"SAME")</f>
        <v>SAME</v>
      </c>
      <c r="J438" s="2"/>
      <c r="K438" s="2" t="str">
        <f>IFERROR(VLOOKUP($D438,'Sales Data'!$C:$G,6,0),"NA")</f>
        <v>NA</v>
      </c>
      <c r="L438" s="2"/>
      <c r="M438" s="2"/>
      <c r="N438" s="2"/>
    </row>
    <row r="439" spans="1:14" ht="14.4">
      <c r="A439" s="154" t="s">
        <v>4003</v>
      </c>
      <c r="B439" s="113">
        <v>44340</v>
      </c>
      <c r="C439" s="2" t="s">
        <v>2169</v>
      </c>
      <c r="D439" s="118" t="s">
        <v>5101</v>
      </c>
      <c r="E439" s="2" t="s">
        <v>5000</v>
      </c>
      <c r="F439" s="2" t="s">
        <v>287</v>
      </c>
      <c r="G439" s="2" t="s">
        <v>4378</v>
      </c>
      <c r="H439" s="2" t="s">
        <v>1294</v>
      </c>
      <c r="I439" s="2" t="str">
        <f>IFERROR(VLOOKUP($D439,'Sales Data'!$C:$E,4,0),"SAME")</f>
        <v>SAME</v>
      </c>
      <c r="J439" s="2"/>
      <c r="K439" s="2" t="str">
        <f>IFERROR(VLOOKUP($D439,'Sales Data'!$C:$G,6,0),"NA")</f>
        <v>NA</v>
      </c>
      <c r="L439" s="2"/>
      <c r="M439" s="2"/>
      <c r="N439" s="2"/>
    </row>
    <row r="440" spans="1:14" ht="14.4">
      <c r="A440" s="154" t="s">
        <v>4003</v>
      </c>
      <c r="B440" s="113">
        <v>44340</v>
      </c>
      <c r="C440" s="2" t="s">
        <v>2235</v>
      </c>
      <c r="D440" s="118" t="s">
        <v>5102</v>
      </c>
      <c r="E440" s="158">
        <v>9885576710</v>
      </c>
      <c r="F440" s="2" t="s">
        <v>303</v>
      </c>
      <c r="G440" s="2" t="s">
        <v>4378</v>
      </c>
      <c r="H440" s="2" t="s">
        <v>26</v>
      </c>
      <c r="I440" s="2" t="str">
        <f>IFERROR(VLOOKUP($D440,'Sales Data'!$C:$E,4,0),"SAME")</f>
        <v>SAME</v>
      </c>
      <c r="J440" s="2"/>
      <c r="K440" s="2" t="str">
        <f>IFERROR(VLOOKUP($D440,'Sales Data'!$C:$G,6,0),"NA")</f>
        <v>NA</v>
      </c>
      <c r="L440" s="2"/>
      <c r="M440" s="2"/>
      <c r="N440" s="2"/>
    </row>
    <row r="441" spans="1:14" ht="14.4">
      <c r="A441" s="154" t="s">
        <v>4003</v>
      </c>
      <c r="B441" s="113">
        <v>44340</v>
      </c>
      <c r="C441" s="2" t="s">
        <v>5103</v>
      </c>
      <c r="D441" s="118" t="s">
        <v>5104</v>
      </c>
      <c r="E441" s="158">
        <v>9986197584</v>
      </c>
      <c r="F441" s="2" t="s">
        <v>319</v>
      </c>
      <c r="G441" s="2" t="s">
        <v>151</v>
      </c>
      <c r="H441" s="2" t="s">
        <v>17</v>
      </c>
      <c r="I441" s="2" t="str">
        <f>IFERROR(VLOOKUP($D441,'Sales Data'!$C:$E,4,0),"SAME")</f>
        <v>SAME</v>
      </c>
      <c r="J441" s="2"/>
      <c r="K441" s="2" t="str">
        <f>IFERROR(VLOOKUP($D441,'Sales Data'!$C:$G,6,0),"NA")</f>
        <v>NA</v>
      </c>
      <c r="L441" s="2"/>
      <c r="M441" s="2"/>
      <c r="N441" s="2"/>
    </row>
    <row r="442" spans="1:14" ht="14.4">
      <c r="A442" s="154" t="s">
        <v>4003</v>
      </c>
      <c r="B442" s="113">
        <v>44340</v>
      </c>
      <c r="C442" s="2" t="s">
        <v>5105</v>
      </c>
      <c r="D442" s="118" t="s">
        <v>5106</v>
      </c>
      <c r="E442" s="158">
        <v>8050535945</v>
      </c>
      <c r="F442" s="2" t="s">
        <v>291</v>
      </c>
      <c r="G442" s="2" t="s">
        <v>4378</v>
      </c>
      <c r="H442" s="2" t="s">
        <v>3997</v>
      </c>
      <c r="I442" s="2" t="str">
        <f>IFERROR(VLOOKUP($D442,'Sales Data'!$C:$E,4,0),"SAME")</f>
        <v>SAME</v>
      </c>
      <c r="J442" s="2"/>
      <c r="K442" s="2" t="str">
        <f>IFERROR(VLOOKUP($D442,'Sales Data'!$C:$G,6,0),"NA")</f>
        <v>NA</v>
      </c>
      <c r="L442" s="2"/>
      <c r="M442" s="2"/>
      <c r="N442" s="2"/>
    </row>
    <row r="443" spans="1:14" ht="14.4">
      <c r="A443" s="154" t="s">
        <v>4003</v>
      </c>
      <c r="B443" s="113">
        <v>44340</v>
      </c>
      <c r="C443" s="2" t="s">
        <v>5107</v>
      </c>
      <c r="D443" s="118" t="s">
        <v>5108</v>
      </c>
      <c r="E443" s="158">
        <v>9036442824</v>
      </c>
      <c r="F443" s="2" t="s">
        <v>291</v>
      </c>
      <c r="G443" s="2" t="s">
        <v>4378</v>
      </c>
      <c r="H443" s="2" t="s">
        <v>28</v>
      </c>
      <c r="I443" s="2" t="str">
        <f>IFERROR(VLOOKUP($D443,'Sales Data'!$C:$E,4,0),"SAME")</f>
        <v>SAME</v>
      </c>
      <c r="J443" s="2"/>
      <c r="K443" s="2" t="str">
        <f>IFERROR(VLOOKUP($D443,'Sales Data'!$C:$G,6,0),"NA")</f>
        <v>NA</v>
      </c>
      <c r="L443" s="2"/>
      <c r="M443" s="2"/>
      <c r="N443" s="2"/>
    </row>
    <row r="444" spans="1:14" ht="14.4">
      <c r="A444" s="154" t="s">
        <v>4003</v>
      </c>
      <c r="B444" s="113">
        <v>44340</v>
      </c>
      <c r="C444" s="2" t="s">
        <v>1257</v>
      </c>
      <c r="D444" s="118" t="s">
        <v>1258</v>
      </c>
      <c r="E444" s="158">
        <v>8956274732</v>
      </c>
      <c r="F444" s="2" t="s">
        <v>287</v>
      </c>
      <c r="G444" s="2" t="s">
        <v>6</v>
      </c>
      <c r="H444" s="2" t="s">
        <v>28</v>
      </c>
      <c r="I444" s="2" t="str">
        <f>IFERROR(VLOOKUP($D444,'Sales Data'!$C:$E,4,0),"SAME")</f>
        <v>SAME</v>
      </c>
      <c r="J444" s="2"/>
      <c r="K444" s="2" t="str">
        <f>IFERROR(VLOOKUP($D444,'Sales Data'!$C:$G,6,0),"NA")</f>
        <v>NA</v>
      </c>
      <c r="L444" s="2"/>
      <c r="M444" s="2"/>
      <c r="N444" s="2"/>
    </row>
    <row r="445" spans="1:14" ht="14.4">
      <c r="A445" s="154" t="s">
        <v>4003</v>
      </c>
      <c r="B445" s="113">
        <v>44340</v>
      </c>
      <c r="C445" s="2" t="s">
        <v>5109</v>
      </c>
      <c r="D445" s="118" t="s">
        <v>5110</v>
      </c>
      <c r="E445" s="158">
        <v>8605011008</v>
      </c>
      <c r="F445" s="2" t="s">
        <v>291</v>
      </c>
      <c r="G445" s="2" t="s">
        <v>4378</v>
      </c>
      <c r="H445" s="2" t="s">
        <v>3997</v>
      </c>
      <c r="I445" s="2" t="str">
        <f>IFERROR(VLOOKUP($D445,'Sales Data'!$C:$E,4,0),"SAME")</f>
        <v>SAME</v>
      </c>
      <c r="J445" s="2"/>
      <c r="K445" s="2" t="str">
        <f>IFERROR(VLOOKUP($D445,'Sales Data'!$C:$G,6,0),"NA")</f>
        <v>NA</v>
      </c>
      <c r="L445" s="2"/>
      <c r="M445" s="2"/>
      <c r="N445" s="2"/>
    </row>
    <row r="446" spans="1:14" ht="14.4">
      <c r="A446" s="154" t="s">
        <v>4003</v>
      </c>
      <c r="B446" s="113">
        <v>44340</v>
      </c>
      <c r="C446" s="2" t="s">
        <v>5111</v>
      </c>
      <c r="D446" s="118" t="s">
        <v>5112</v>
      </c>
      <c r="E446" s="158">
        <v>9959002288</v>
      </c>
      <c r="F446" s="2" t="s">
        <v>319</v>
      </c>
      <c r="G446" s="2" t="s">
        <v>4378</v>
      </c>
      <c r="H446" s="2" t="s">
        <v>28</v>
      </c>
      <c r="I446" s="2" t="str">
        <f>IFERROR(VLOOKUP($D446,'Sales Data'!$C:$E,4,0),"SAME")</f>
        <v>SAME</v>
      </c>
      <c r="J446" s="2"/>
      <c r="K446" s="2" t="str">
        <f>IFERROR(VLOOKUP($D446,'Sales Data'!$C:$G,6,0),"NA")</f>
        <v>NA</v>
      </c>
      <c r="L446" s="2"/>
      <c r="M446" s="2"/>
      <c r="N446" s="2"/>
    </row>
    <row r="447" spans="1:14" ht="14.4">
      <c r="A447" s="154" t="s">
        <v>4003</v>
      </c>
      <c r="B447" s="113">
        <v>44340</v>
      </c>
      <c r="C447" s="2" t="s">
        <v>1320</v>
      </c>
      <c r="D447" s="118" t="s">
        <v>1321</v>
      </c>
      <c r="E447" s="158">
        <v>9823554360</v>
      </c>
      <c r="F447" s="2" t="s">
        <v>291</v>
      </c>
      <c r="G447" s="2" t="s">
        <v>4378</v>
      </c>
      <c r="H447" s="2" t="s">
        <v>28</v>
      </c>
      <c r="I447" s="2" t="str">
        <f>IFERROR(VLOOKUP($D447,'Sales Data'!$C:$E,4,0),"SAME")</f>
        <v>SAME</v>
      </c>
      <c r="J447" s="2"/>
      <c r="K447" s="2" t="str">
        <f>IFERROR(VLOOKUP($D447,'Sales Data'!$C:$G,6,0),"NA")</f>
        <v>NA</v>
      </c>
      <c r="L447" s="2"/>
      <c r="M447" s="2"/>
      <c r="N447" s="2"/>
    </row>
    <row r="448" spans="1:14" ht="14.4">
      <c r="A448" s="154" t="s">
        <v>4003</v>
      </c>
      <c r="B448" s="113">
        <v>44341</v>
      </c>
      <c r="C448" s="2" t="s">
        <v>5113</v>
      </c>
      <c r="D448" s="118" t="s">
        <v>5114</v>
      </c>
      <c r="E448" s="158">
        <v>9916373909</v>
      </c>
      <c r="F448" s="2" t="s">
        <v>303</v>
      </c>
      <c r="G448" s="2" t="s">
        <v>151</v>
      </c>
      <c r="H448" s="2" t="s">
        <v>26</v>
      </c>
      <c r="I448" s="2" t="str">
        <f>IFERROR(VLOOKUP($D448,'Sales Data'!$C:$E,4,0),"SAME")</f>
        <v>SAME</v>
      </c>
      <c r="J448" s="2"/>
      <c r="K448" s="2" t="str">
        <f>IFERROR(VLOOKUP($D448,'Sales Data'!$C:$G,6,0),"NA")</f>
        <v>NA</v>
      </c>
      <c r="L448" s="2"/>
      <c r="M448" s="2"/>
      <c r="N448" s="2"/>
    </row>
    <row r="449" spans="1:14" ht="14.4">
      <c r="A449" s="154" t="s">
        <v>4003</v>
      </c>
      <c r="B449" s="113">
        <v>44341</v>
      </c>
      <c r="C449" s="2" t="s">
        <v>5115</v>
      </c>
      <c r="D449" s="118" t="s">
        <v>5116</v>
      </c>
      <c r="E449" s="158">
        <v>9391679619</v>
      </c>
      <c r="F449" s="2" t="s">
        <v>291</v>
      </c>
      <c r="G449" s="2" t="s">
        <v>4378</v>
      </c>
      <c r="H449" s="2" t="s">
        <v>4400</v>
      </c>
      <c r="I449" s="2" t="str">
        <f>IFERROR(VLOOKUP($D449,'Sales Data'!$C:$E,4,0),"SAME")</f>
        <v>SAME</v>
      </c>
      <c r="J449" s="2"/>
      <c r="K449" s="2" t="str">
        <f>IFERROR(VLOOKUP($D449,'Sales Data'!$C:$G,6,0),"NA")</f>
        <v>NA</v>
      </c>
      <c r="L449" s="2"/>
      <c r="M449" s="2"/>
      <c r="N449" s="2"/>
    </row>
    <row r="450" spans="1:14" ht="14.4">
      <c r="A450" s="154" t="s">
        <v>4003</v>
      </c>
      <c r="B450" s="113">
        <v>44341</v>
      </c>
      <c r="C450" s="2" t="s">
        <v>414</v>
      </c>
      <c r="D450" s="118" t="s">
        <v>5117</v>
      </c>
      <c r="E450" s="158">
        <v>9716863430</v>
      </c>
      <c r="F450" s="2" t="s">
        <v>303</v>
      </c>
      <c r="G450" s="2" t="s">
        <v>6</v>
      </c>
      <c r="H450" s="2" t="s">
        <v>28</v>
      </c>
      <c r="I450" s="2" t="str">
        <f>IFERROR(VLOOKUP($D450,'Sales Data'!$C:$E,4,0),"SAME")</f>
        <v>SAME</v>
      </c>
      <c r="J450" s="2"/>
      <c r="K450" s="2" t="str">
        <f>IFERROR(VLOOKUP($D450,'Sales Data'!$C:$G,6,0),"NA")</f>
        <v>NA</v>
      </c>
      <c r="L450" s="2"/>
      <c r="M450" s="2"/>
      <c r="N450" s="2"/>
    </row>
    <row r="451" spans="1:14" ht="14.4">
      <c r="A451" s="154" t="s">
        <v>4003</v>
      </c>
      <c r="B451" s="113">
        <v>44341</v>
      </c>
      <c r="C451" s="2" t="s">
        <v>1753</v>
      </c>
      <c r="D451" s="118" t="s">
        <v>1754</v>
      </c>
      <c r="E451" s="158">
        <v>9944662347</v>
      </c>
      <c r="F451" s="2" t="s">
        <v>319</v>
      </c>
      <c r="G451" s="2" t="s">
        <v>6</v>
      </c>
      <c r="H451" s="2" t="s">
        <v>28</v>
      </c>
      <c r="I451" s="2" t="str">
        <f>IFERROR(VLOOKUP($D451,'Sales Data'!$C:$E,4,0),"SAME")</f>
        <v>SAME</v>
      </c>
      <c r="J451" s="2"/>
      <c r="K451" s="2" t="str">
        <f>IFERROR(VLOOKUP($D451,'Sales Data'!$C:$G,6,0),"NA")</f>
        <v>NA</v>
      </c>
      <c r="L451" s="2"/>
      <c r="M451" s="2"/>
      <c r="N451" s="2"/>
    </row>
    <row r="452" spans="1:14" ht="14.4">
      <c r="A452" s="154" t="s">
        <v>4003</v>
      </c>
      <c r="B452" s="113">
        <v>44342</v>
      </c>
      <c r="C452" s="2" t="s">
        <v>5118</v>
      </c>
      <c r="D452" s="118" t="s">
        <v>5119</v>
      </c>
      <c r="E452" s="158">
        <v>9325524979</v>
      </c>
      <c r="F452" s="2" t="s">
        <v>303</v>
      </c>
      <c r="G452" s="2" t="s">
        <v>150</v>
      </c>
      <c r="H452" s="2" t="s">
        <v>28</v>
      </c>
      <c r="I452" s="2" t="str">
        <f>IFERROR(VLOOKUP($D452,'Sales Data'!$C:$E,4,0),"SAME")</f>
        <v>SAME</v>
      </c>
      <c r="J452" s="2"/>
      <c r="K452" s="2" t="str">
        <f>IFERROR(VLOOKUP($D452,'Sales Data'!$C:$G,6,0),"NA")</f>
        <v>NA</v>
      </c>
      <c r="L452" s="2"/>
      <c r="M452" s="2"/>
      <c r="N452" s="2"/>
    </row>
    <row r="453" spans="1:14" ht="14.4">
      <c r="A453" s="154" t="s">
        <v>4003</v>
      </c>
      <c r="B453" s="113">
        <v>44342</v>
      </c>
      <c r="C453" s="2" t="s">
        <v>5120</v>
      </c>
      <c r="D453" s="118" t="s">
        <v>5121</v>
      </c>
      <c r="E453" s="158">
        <v>9789067868</v>
      </c>
      <c r="F453" s="2" t="s">
        <v>319</v>
      </c>
      <c r="G453" s="2" t="s">
        <v>150</v>
      </c>
      <c r="H453" s="2" t="s">
        <v>17</v>
      </c>
      <c r="I453" s="2" t="str">
        <f>IFERROR(VLOOKUP($D453,'Sales Data'!$C:$E,4,0),"SAME")</f>
        <v>SAME</v>
      </c>
      <c r="J453" s="2"/>
      <c r="K453" s="2" t="str">
        <f>IFERROR(VLOOKUP($D453,'Sales Data'!$C:$G,6,0),"NA")</f>
        <v>NA</v>
      </c>
      <c r="L453" s="2"/>
      <c r="M453" s="2"/>
      <c r="N453" s="2"/>
    </row>
    <row r="454" spans="1:14" ht="14.4">
      <c r="A454" s="154" t="s">
        <v>4003</v>
      </c>
      <c r="B454" s="113">
        <v>44342</v>
      </c>
      <c r="C454" s="2" t="s">
        <v>1389</v>
      </c>
      <c r="D454" s="118" t="s">
        <v>1390</v>
      </c>
      <c r="E454" s="158">
        <v>8826567427</v>
      </c>
      <c r="F454" s="2" t="s">
        <v>319</v>
      </c>
      <c r="G454" s="2" t="s">
        <v>150</v>
      </c>
      <c r="H454" s="2" t="s">
        <v>28</v>
      </c>
      <c r="I454" s="2" t="str">
        <f>IFERROR(VLOOKUP($D454,'Sales Data'!$C:$E,4,0),"SAME")</f>
        <v>SAME</v>
      </c>
      <c r="J454" s="2"/>
      <c r="K454" s="2" t="str">
        <f>IFERROR(VLOOKUP($D454,'Sales Data'!$C:$G,6,0),"NA")</f>
        <v>NA</v>
      </c>
      <c r="L454" s="2"/>
      <c r="M454" s="2"/>
      <c r="N454" s="2"/>
    </row>
    <row r="455" spans="1:14" ht="14.4">
      <c r="A455" s="154" t="s">
        <v>4003</v>
      </c>
      <c r="B455" s="113">
        <v>44342</v>
      </c>
      <c r="C455" s="2" t="s">
        <v>5122</v>
      </c>
      <c r="D455" s="118" t="s">
        <v>5123</v>
      </c>
      <c r="E455" s="158">
        <v>9566572488</v>
      </c>
      <c r="F455" s="2" t="s">
        <v>303</v>
      </c>
      <c r="G455" s="2" t="s">
        <v>151</v>
      </c>
      <c r="H455" s="2" t="s">
        <v>26</v>
      </c>
      <c r="I455" s="2" t="str">
        <f>IFERROR(VLOOKUP($D455,'Sales Data'!$C:$E,4,0),"SAME")</f>
        <v>SAME</v>
      </c>
      <c r="J455" s="2"/>
      <c r="K455" s="2" t="str">
        <f>IFERROR(VLOOKUP($D455,'Sales Data'!$C:$G,6,0),"NA")</f>
        <v>NA</v>
      </c>
      <c r="L455" s="2"/>
      <c r="M455" s="2"/>
      <c r="N455" s="2"/>
    </row>
    <row r="456" spans="1:14" ht="14.4">
      <c r="A456" s="154" t="s">
        <v>4003</v>
      </c>
      <c r="B456" s="113">
        <v>44342</v>
      </c>
      <c r="C456" s="2" t="s">
        <v>5124</v>
      </c>
      <c r="D456" s="118" t="s">
        <v>5125</v>
      </c>
      <c r="E456" s="158">
        <v>9989443611</v>
      </c>
      <c r="F456" s="2" t="s">
        <v>303</v>
      </c>
      <c r="G456" s="2" t="s">
        <v>6</v>
      </c>
      <c r="H456" s="2" t="s">
        <v>26</v>
      </c>
      <c r="I456" s="2" t="str">
        <f>IFERROR(VLOOKUP($D456,'Sales Data'!$C:$E,4,0),"SAME")</f>
        <v>SAME</v>
      </c>
      <c r="J456" s="2"/>
      <c r="K456" s="2" t="str">
        <f>IFERROR(VLOOKUP($D456,'Sales Data'!$C:$G,6,0),"NA")</f>
        <v>NA</v>
      </c>
      <c r="L456" s="2"/>
      <c r="M456" s="2"/>
      <c r="N456" s="2"/>
    </row>
    <row r="457" spans="1:14" ht="14.4">
      <c r="A457" s="154" t="s">
        <v>4003</v>
      </c>
      <c r="B457" s="113">
        <v>44343</v>
      </c>
      <c r="C457" s="2" t="s">
        <v>1267</v>
      </c>
      <c r="D457" s="118" t="s">
        <v>1268</v>
      </c>
      <c r="E457" s="158">
        <v>8971524000</v>
      </c>
      <c r="F457" s="2" t="s">
        <v>287</v>
      </c>
      <c r="G457" s="2" t="s">
        <v>4378</v>
      </c>
      <c r="H457" s="2" t="s">
        <v>28</v>
      </c>
      <c r="I457" s="2" t="str">
        <f>IFERROR(VLOOKUP($D457,'Sales Data'!$C:$E,4,0),"SAME")</f>
        <v>SAME</v>
      </c>
      <c r="J457" s="2"/>
      <c r="K457" s="2" t="str">
        <f>IFERROR(VLOOKUP($D457,'Sales Data'!$C:$G,6,0),"NA")</f>
        <v>NA</v>
      </c>
      <c r="L457" s="2"/>
      <c r="M457" s="2"/>
      <c r="N457" s="2"/>
    </row>
    <row r="458" spans="1:14" ht="14.4">
      <c r="A458" s="154" t="s">
        <v>4003</v>
      </c>
      <c r="B458" s="113">
        <v>44343</v>
      </c>
      <c r="C458" s="2" t="s">
        <v>5126</v>
      </c>
      <c r="D458" s="118" t="s">
        <v>5127</v>
      </c>
      <c r="E458" s="158">
        <v>8910129527</v>
      </c>
      <c r="F458" s="2" t="s">
        <v>303</v>
      </c>
      <c r="G458" s="2" t="s">
        <v>4378</v>
      </c>
      <c r="H458" s="2" t="s">
        <v>28</v>
      </c>
      <c r="I458" s="2" t="str">
        <f>IFERROR(VLOOKUP($D458,'Sales Data'!$C:$E,4,0),"SAME")</f>
        <v>SAME</v>
      </c>
      <c r="J458" s="2"/>
      <c r="K458" s="2" t="str">
        <f>IFERROR(VLOOKUP($D458,'Sales Data'!$C:$G,6,0),"NA")</f>
        <v>NA</v>
      </c>
      <c r="L458" s="2"/>
      <c r="M458" s="2"/>
      <c r="N458" s="2"/>
    </row>
    <row r="459" spans="1:14" ht="14.4">
      <c r="A459" s="154" t="s">
        <v>4003</v>
      </c>
      <c r="B459" s="113">
        <v>44344</v>
      </c>
      <c r="C459" s="2" t="s">
        <v>5128</v>
      </c>
      <c r="D459" s="118" t="s">
        <v>5129</v>
      </c>
      <c r="E459" s="158">
        <v>9933333425</v>
      </c>
      <c r="F459" s="2" t="s">
        <v>291</v>
      </c>
      <c r="G459" s="2" t="s">
        <v>4378</v>
      </c>
      <c r="H459" s="2" t="s">
        <v>4400</v>
      </c>
      <c r="I459" s="2" t="str">
        <f>IFERROR(VLOOKUP($D459,'Sales Data'!$C:$E,4,0),"SAME")</f>
        <v>SAME</v>
      </c>
      <c r="J459" s="2"/>
      <c r="K459" s="2" t="str">
        <f>IFERROR(VLOOKUP($D459,'Sales Data'!$C:$G,6,0),"NA")</f>
        <v>NA</v>
      </c>
      <c r="L459" s="2"/>
      <c r="M459" s="2"/>
      <c r="N459" s="2"/>
    </row>
    <row r="460" spans="1:14" ht="14.4">
      <c r="A460" s="154" t="s">
        <v>4003</v>
      </c>
      <c r="B460" s="113">
        <v>44344</v>
      </c>
      <c r="C460" s="2" t="s">
        <v>5130</v>
      </c>
      <c r="D460" s="118" t="s">
        <v>5131</v>
      </c>
      <c r="E460" s="158">
        <v>9810252158</v>
      </c>
      <c r="F460" s="2" t="s">
        <v>291</v>
      </c>
      <c r="G460" s="2" t="s">
        <v>4378</v>
      </c>
      <c r="H460" s="2" t="s">
        <v>28</v>
      </c>
      <c r="I460" s="2" t="str">
        <f>IFERROR(VLOOKUP($D460,'Sales Data'!$C:$E,4,0),"SAME")</f>
        <v>SAME</v>
      </c>
      <c r="J460" s="2"/>
      <c r="K460" s="2" t="str">
        <f>IFERROR(VLOOKUP($D460,'Sales Data'!$C:$G,6,0),"NA")</f>
        <v>NA</v>
      </c>
      <c r="L460" s="2"/>
      <c r="M460" s="2"/>
      <c r="N460" s="2"/>
    </row>
    <row r="461" spans="1:14" ht="14.4">
      <c r="A461" s="154" t="s">
        <v>4003</v>
      </c>
      <c r="B461" s="113">
        <v>44344</v>
      </c>
      <c r="C461" s="2" t="s">
        <v>1372</v>
      </c>
      <c r="D461" s="118" t="s">
        <v>1373</v>
      </c>
      <c r="E461" s="158">
        <v>8010702444</v>
      </c>
      <c r="F461" s="2" t="s">
        <v>297</v>
      </c>
      <c r="G461" s="2" t="s">
        <v>150</v>
      </c>
      <c r="H461" s="2" t="s">
        <v>26</v>
      </c>
      <c r="I461" s="2" t="str">
        <f>IFERROR(VLOOKUP($D461,'Sales Data'!$C:$E,4,0),"SAME")</f>
        <v>SAME</v>
      </c>
      <c r="J461" s="2"/>
      <c r="K461" s="2" t="str">
        <f>IFERROR(VLOOKUP($D461,'Sales Data'!$C:$G,6,0),"NA")</f>
        <v>NA</v>
      </c>
      <c r="L461" s="2"/>
      <c r="M461" s="2"/>
      <c r="N461" s="2"/>
    </row>
    <row r="462" spans="1:14" ht="14.4">
      <c r="A462" s="154" t="s">
        <v>4003</v>
      </c>
      <c r="B462" s="113">
        <v>44346</v>
      </c>
      <c r="C462" s="2" t="s">
        <v>5132</v>
      </c>
      <c r="D462" s="118" t="s">
        <v>5133</v>
      </c>
      <c r="E462" s="158">
        <v>9269140411</v>
      </c>
      <c r="F462" s="2" t="s">
        <v>319</v>
      </c>
      <c r="G462" s="2" t="s">
        <v>150</v>
      </c>
      <c r="H462" s="2" t="s">
        <v>27</v>
      </c>
      <c r="I462" s="2" t="str">
        <f>IFERROR(VLOOKUP($D462,'Sales Data'!$C:$E,4,0),"SAME")</f>
        <v>SAME</v>
      </c>
      <c r="J462" s="2"/>
      <c r="K462" s="2" t="str">
        <f>IFERROR(VLOOKUP($D462,'Sales Data'!$C:$G,6,0),"NA")</f>
        <v>NA</v>
      </c>
      <c r="L462" s="2"/>
      <c r="M462" s="2"/>
      <c r="N462" s="2"/>
    </row>
    <row r="463" spans="1:14" ht="14.4">
      <c r="A463" s="154" t="s">
        <v>4003</v>
      </c>
      <c r="B463" s="113">
        <v>44346</v>
      </c>
      <c r="C463" s="2" t="s">
        <v>5134</v>
      </c>
      <c r="D463" s="118" t="s">
        <v>5135</v>
      </c>
      <c r="E463" s="158">
        <v>9916938877</v>
      </c>
      <c r="F463" s="2" t="s">
        <v>291</v>
      </c>
      <c r="G463" s="2" t="s">
        <v>4378</v>
      </c>
      <c r="H463" s="2" t="s">
        <v>26</v>
      </c>
      <c r="I463" s="2" t="str">
        <f>IFERROR(VLOOKUP($D463,'Sales Data'!$C:$E,4,0),"SAME")</f>
        <v>SAME</v>
      </c>
      <c r="J463" s="2"/>
      <c r="K463" s="2" t="str">
        <f>IFERROR(VLOOKUP($D463,'Sales Data'!$C:$G,6,0),"NA")</f>
        <v>NA</v>
      </c>
      <c r="L463" s="2"/>
      <c r="M463" s="2"/>
      <c r="N463" s="2"/>
    </row>
    <row r="464" spans="1:14" ht="14.4">
      <c r="A464" s="154" t="s">
        <v>4003</v>
      </c>
      <c r="B464" s="113">
        <v>44346</v>
      </c>
      <c r="C464" s="2" t="s">
        <v>5136</v>
      </c>
      <c r="D464" s="118" t="s">
        <v>5137</v>
      </c>
      <c r="E464" s="158">
        <v>9429651513</v>
      </c>
      <c r="F464" s="2" t="s">
        <v>291</v>
      </c>
      <c r="G464" s="2" t="s">
        <v>4378</v>
      </c>
      <c r="H464" s="2" t="s">
        <v>28</v>
      </c>
      <c r="I464" s="2" t="str">
        <f>IFERROR(VLOOKUP($D464,'Sales Data'!$C:$E,4,0),"SAME")</f>
        <v>SAME</v>
      </c>
      <c r="J464" s="2"/>
      <c r="K464" s="2" t="str">
        <f>IFERROR(VLOOKUP($D464,'Sales Data'!$C:$G,6,0),"NA")</f>
        <v>NA</v>
      </c>
      <c r="L464" s="2"/>
      <c r="M464" s="2"/>
      <c r="N464" s="2"/>
    </row>
    <row r="465" spans="1:14" ht="14.4">
      <c r="A465" s="154" t="s">
        <v>4003</v>
      </c>
      <c r="B465" s="113">
        <v>44346</v>
      </c>
      <c r="C465" s="2" t="s">
        <v>1287</v>
      </c>
      <c r="D465" s="118" t="s">
        <v>1288</v>
      </c>
      <c r="E465" s="158">
        <v>9985010212</v>
      </c>
      <c r="F465" s="2" t="s">
        <v>306</v>
      </c>
      <c r="G465" s="2" t="s">
        <v>6</v>
      </c>
      <c r="H465" s="2" t="s">
        <v>28</v>
      </c>
      <c r="I465" s="2" t="str">
        <f>IFERROR(VLOOKUP($D465,'Sales Data'!$C:$E,4,0),"SAME")</f>
        <v>SAME</v>
      </c>
      <c r="J465" s="2"/>
      <c r="K465" s="2" t="str">
        <f>IFERROR(VLOOKUP($D465,'Sales Data'!$C:$G,6,0),"NA")</f>
        <v>NA</v>
      </c>
      <c r="L465" s="2"/>
      <c r="M465" s="2"/>
      <c r="N465" s="2"/>
    </row>
    <row r="466" spans="1:14" ht="14.4">
      <c r="A466" s="154" t="s">
        <v>4003</v>
      </c>
      <c r="B466" s="113">
        <v>44347</v>
      </c>
      <c r="C466" s="2" t="s">
        <v>5138</v>
      </c>
      <c r="D466" s="118" t="s">
        <v>5139</v>
      </c>
      <c r="E466" s="158">
        <v>9980338564</v>
      </c>
      <c r="F466" s="2" t="s">
        <v>319</v>
      </c>
      <c r="G466" s="2" t="s">
        <v>4378</v>
      </c>
      <c r="H466" s="2" t="s">
        <v>26</v>
      </c>
      <c r="I466" s="2" t="str">
        <f>IFERROR(VLOOKUP($D466,'Sales Data'!$C:$E,4,0),"SAME")</f>
        <v>SAME</v>
      </c>
      <c r="J466" s="2"/>
      <c r="K466" s="2" t="str">
        <f>IFERROR(VLOOKUP($D466,'Sales Data'!$C:$G,6,0),"NA")</f>
        <v>NA</v>
      </c>
      <c r="L466" s="2"/>
      <c r="M466" s="2"/>
      <c r="N466" s="2"/>
    </row>
    <row r="467" spans="1:14" ht="14.4">
      <c r="A467" s="154" t="s">
        <v>4003</v>
      </c>
      <c r="B467" s="113">
        <v>44347</v>
      </c>
      <c r="C467" s="2" t="s">
        <v>5140</v>
      </c>
      <c r="D467" s="118" t="s">
        <v>5141</v>
      </c>
      <c r="E467" s="158">
        <v>9764577864</v>
      </c>
      <c r="F467" s="2" t="s">
        <v>303</v>
      </c>
      <c r="G467" s="2" t="s">
        <v>4378</v>
      </c>
      <c r="H467" s="2" t="s">
        <v>28</v>
      </c>
      <c r="I467" s="2" t="str">
        <f>IFERROR(VLOOKUP($D467,'Sales Data'!$C:$E,4,0),"SAME")</f>
        <v>SAME</v>
      </c>
      <c r="J467" s="2"/>
      <c r="K467" s="2" t="str">
        <f>IFERROR(VLOOKUP($D467,'Sales Data'!$C:$G,6,0),"NA")</f>
        <v>NA</v>
      </c>
      <c r="L467" s="2"/>
      <c r="M467" s="2"/>
      <c r="N467" s="2"/>
    </row>
    <row r="468" spans="1:14" ht="14.4">
      <c r="A468" s="154" t="s">
        <v>4003</v>
      </c>
      <c r="B468" s="113">
        <v>44347</v>
      </c>
      <c r="C468" s="2" t="s">
        <v>5142</v>
      </c>
      <c r="D468" s="118" t="s">
        <v>5143</v>
      </c>
      <c r="E468" s="158">
        <v>9958065393</v>
      </c>
      <c r="F468" s="2" t="s">
        <v>297</v>
      </c>
      <c r="G468" s="2" t="s">
        <v>7</v>
      </c>
      <c r="H468" s="2" t="s">
        <v>17</v>
      </c>
      <c r="I468" s="2" t="str">
        <f>IFERROR(VLOOKUP($D468,'Sales Data'!$C:$E,4,0),"SAME")</f>
        <v>SAME</v>
      </c>
      <c r="J468" s="2"/>
      <c r="K468" s="2" t="str">
        <f>IFERROR(VLOOKUP($D468,'Sales Data'!$C:$G,6,0),"NA")</f>
        <v>NA</v>
      </c>
      <c r="L468" s="2"/>
      <c r="M468" s="2"/>
      <c r="N468" s="2"/>
    </row>
    <row r="469" spans="1:14" ht="14.4">
      <c r="A469" s="154" t="s">
        <v>4003</v>
      </c>
      <c r="B469" s="113">
        <v>44347</v>
      </c>
      <c r="C469" s="2" t="s">
        <v>1298</v>
      </c>
      <c r="D469" s="118" t="s">
        <v>1299</v>
      </c>
      <c r="E469" s="158">
        <v>9940174423</v>
      </c>
      <c r="F469" s="2" t="s">
        <v>291</v>
      </c>
      <c r="G469" s="2" t="s">
        <v>4378</v>
      </c>
      <c r="H469" s="2" t="s">
        <v>26</v>
      </c>
      <c r="I469" s="2" t="str">
        <f>IFERROR(VLOOKUP($D469,'Sales Data'!$C:$E,4,0),"SAME")</f>
        <v>SAME</v>
      </c>
      <c r="J469" s="2"/>
      <c r="K469" s="2" t="str">
        <f>IFERROR(VLOOKUP($D469,'Sales Data'!$C:$G,6,0),"NA")</f>
        <v>NA</v>
      </c>
      <c r="L469" s="2"/>
      <c r="M469" s="2"/>
      <c r="N469" s="2"/>
    </row>
    <row r="470" spans="1:14" ht="14.4">
      <c r="A470" s="154" t="s">
        <v>4001</v>
      </c>
      <c r="B470" s="113">
        <v>44348</v>
      </c>
      <c r="C470" s="2" t="s">
        <v>2084</v>
      </c>
      <c r="D470" s="118" t="s">
        <v>5144</v>
      </c>
      <c r="E470" s="158">
        <v>9582763275</v>
      </c>
      <c r="F470" s="2" t="s">
        <v>319</v>
      </c>
      <c r="G470" s="2" t="s">
        <v>6</v>
      </c>
      <c r="H470" s="2" t="s">
        <v>17</v>
      </c>
      <c r="I470" s="2" t="str">
        <f>IFERROR(VLOOKUP($D470,'Sales Data'!$C:$E,4,0),"SAME")</f>
        <v>SAME</v>
      </c>
      <c r="J470" s="2"/>
      <c r="K470" s="2" t="str">
        <f>IFERROR(VLOOKUP($D470,'Sales Data'!$C:$G,6,0),"NA")</f>
        <v>NA</v>
      </c>
      <c r="L470" s="2"/>
      <c r="M470" s="2"/>
      <c r="N470" s="2"/>
    </row>
    <row r="471" spans="1:14" ht="14.4">
      <c r="A471" s="154" t="s">
        <v>4001</v>
      </c>
      <c r="B471" s="113">
        <v>44348</v>
      </c>
      <c r="C471" s="2" t="s">
        <v>5145</v>
      </c>
      <c r="D471" s="118" t="s">
        <v>5146</v>
      </c>
      <c r="E471" s="158">
        <v>9920669451</v>
      </c>
      <c r="F471" s="2" t="s">
        <v>319</v>
      </c>
      <c r="G471" s="2" t="s">
        <v>4378</v>
      </c>
      <c r="H471" s="2" t="s">
        <v>13</v>
      </c>
      <c r="I471" s="2" t="str">
        <f>IFERROR(VLOOKUP($D471,'Sales Data'!$C:$E,4,0),"SAME")</f>
        <v>SAME</v>
      </c>
      <c r="J471" s="2"/>
      <c r="K471" s="2" t="str">
        <f>IFERROR(VLOOKUP($D471,'Sales Data'!$C:$G,6,0),"NA")</f>
        <v>NA</v>
      </c>
      <c r="L471" s="2"/>
      <c r="M471" s="2"/>
      <c r="N471" s="2"/>
    </row>
    <row r="472" spans="1:14" ht="14.4">
      <c r="A472" s="154" t="s">
        <v>4001</v>
      </c>
      <c r="B472" s="113">
        <v>44349</v>
      </c>
      <c r="C472" s="2" t="s">
        <v>1281</v>
      </c>
      <c r="D472" s="118" t="s">
        <v>1282</v>
      </c>
      <c r="E472" s="158">
        <v>9834868058</v>
      </c>
      <c r="F472" s="2" t="s">
        <v>303</v>
      </c>
      <c r="G472" s="2" t="s">
        <v>4378</v>
      </c>
      <c r="H472" s="2" t="s">
        <v>16</v>
      </c>
      <c r="I472" s="2" t="str">
        <f>IFERROR(VLOOKUP($D472,'Sales Data'!$C:$E,4,0),"SAME")</f>
        <v>SAME</v>
      </c>
      <c r="J472" s="2"/>
      <c r="K472" s="2" t="str">
        <f>IFERROR(VLOOKUP($D472,'Sales Data'!$C:$G,6,0),"NA")</f>
        <v>NA</v>
      </c>
      <c r="L472" s="2"/>
      <c r="M472" s="2"/>
      <c r="N472" s="2"/>
    </row>
    <row r="473" spans="1:14" ht="14.4">
      <c r="A473" s="154" t="s">
        <v>4001</v>
      </c>
      <c r="B473" s="113">
        <v>44349</v>
      </c>
      <c r="C473" s="2" t="s">
        <v>5147</v>
      </c>
      <c r="D473" s="118" t="s">
        <v>5148</v>
      </c>
      <c r="E473" s="158">
        <v>9035743408</v>
      </c>
      <c r="F473" s="2" t="s">
        <v>291</v>
      </c>
      <c r="G473" s="2" t="s">
        <v>4378</v>
      </c>
      <c r="H473" s="2" t="s">
        <v>17</v>
      </c>
      <c r="I473" s="2" t="str">
        <f>IFERROR(VLOOKUP($D473,'Sales Data'!$C:$E,4,0),"SAME")</f>
        <v>SAME</v>
      </c>
      <c r="J473" s="2"/>
      <c r="K473" s="2" t="str">
        <f>IFERROR(VLOOKUP($D473,'Sales Data'!$C:$G,6,0),"NA")</f>
        <v>NA</v>
      </c>
      <c r="L473" s="2"/>
      <c r="M473" s="2"/>
      <c r="N473" s="2"/>
    </row>
    <row r="474" spans="1:14" ht="14.4">
      <c r="A474" s="154" t="s">
        <v>4001</v>
      </c>
      <c r="B474" s="113">
        <v>44349</v>
      </c>
      <c r="C474" s="2" t="s">
        <v>2</v>
      </c>
      <c r="D474" s="118" t="s">
        <v>5149</v>
      </c>
      <c r="E474" s="158">
        <v>9841295998</v>
      </c>
      <c r="F474" s="2" t="s">
        <v>319</v>
      </c>
      <c r="G474" s="2" t="s">
        <v>7</v>
      </c>
      <c r="H474" s="2" t="s">
        <v>28</v>
      </c>
      <c r="I474" s="2" t="str">
        <f>IFERROR(VLOOKUP($D474,'Sales Data'!$C:$E,4,0),"SAME")</f>
        <v>SAME</v>
      </c>
      <c r="J474" s="2"/>
      <c r="K474" s="2" t="str">
        <f>IFERROR(VLOOKUP($D474,'Sales Data'!$C:$G,6,0),"NA")</f>
        <v>NA</v>
      </c>
      <c r="L474" s="2"/>
      <c r="M474" s="2"/>
      <c r="N474" s="2"/>
    </row>
    <row r="475" spans="1:14" ht="14.4">
      <c r="A475" s="154" t="s">
        <v>4001</v>
      </c>
      <c r="B475" s="113">
        <v>44349</v>
      </c>
      <c r="C475" s="2" t="s">
        <v>5150</v>
      </c>
      <c r="D475" s="118" t="s">
        <v>5151</v>
      </c>
      <c r="E475" s="158">
        <v>8779138508</v>
      </c>
      <c r="F475" s="2" t="s">
        <v>303</v>
      </c>
      <c r="G475" s="2" t="s">
        <v>7</v>
      </c>
      <c r="H475" s="2" t="s">
        <v>28</v>
      </c>
      <c r="I475" s="2" t="str">
        <f>IFERROR(VLOOKUP($D475,'Sales Data'!$C:$E,4,0),"SAME")</f>
        <v>SAME</v>
      </c>
      <c r="J475" s="2"/>
      <c r="K475" s="2" t="str">
        <f>IFERROR(VLOOKUP($D475,'Sales Data'!$C:$G,6,0),"NA")</f>
        <v>NA</v>
      </c>
      <c r="L475" s="2"/>
      <c r="M475" s="2"/>
      <c r="N475" s="2"/>
    </row>
    <row r="476" spans="1:14" ht="14.4">
      <c r="A476" s="154" t="s">
        <v>4001</v>
      </c>
      <c r="B476" s="113">
        <v>44349</v>
      </c>
      <c r="C476" s="2" t="s">
        <v>5152</v>
      </c>
      <c r="D476" s="118" t="s">
        <v>5153</v>
      </c>
      <c r="E476" s="158">
        <v>6565656598</v>
      </c>
      <c r="F476" s="2" t="s">
        <v>291</v>
      </c>
      <c r="G476" s="2" t="s">
        <v>4378</v>
      </c>
      <c r="H476" s="2" t="s">
        <v>4400</v>
      </c>
      <c r="I476" s="2" t="str">
        <f>IFERROR(VLOOKUP($D476,'Sales Data'!$C:$E,4,0),"SAME")</f>
        <v>SAME</v>
      </c>
      <c r="J476" s="2"/>
      <c r="K476" s="2" t="str">
        <f>IFERROR(VLOOKUP($D476,'Sales Data'!$C:$G,6,0),"NA")</f>
        <v>NA</v>
      </c>
      <c r="L476" s="2"/>
      <c r="M476" s="2"/>
      <c r="N476" s="2"/>
    </row>
    <row r="477" spans="1:14" ht="14.4">
      <c r="A477" s="154" t="s">
        <v>4001</v>
      </c>
      <c r="B477" s="113">
        <v>44349</v>
      </c>
      <c r="C477" s="2" t="s">
        <v>5154</v>
      </c>
      <c r="D477" s="118" t="s">
        <v>5155</v>
      </c>
      <c r="E477" s="158">
        <v>9487903134</v>
      </c>
      <c r="F477" s="2" t="s">
        <v>291</v>
      </c>
      <c r="G477" s="2" t="s">
        <v>4378</v>
      </c>
      <c r="H477" s="2" t="s">
        <v>17</v>
      </c>
      <c r="I477" s="2" t="str">
        <f>IFERROR(VLOOKUP($D477,'Sales Data'!$C:$E,4,0),"SAME")</f>
        <v>SAME</v>
      </c>
      <c r="J477" s="2"/>
      <c r="K477" s="2" t="str">
        <f>IFERROR(VLOOKUP($D477,'Sales Data'!$C:$G,6,0),"NA")</f>
        <v>NA</v>
      </c>
      <c r="L477" s="2"/>
      <c r="M477" s="2"/>
      <c r="N477" s="2"/>
    </row>
    <row r="478" spans="1:14" ht="14.4">
      <c r="A478" s="154" t="s">
        <v>4001</v>
      </c>
      <c r="B478" s="113">
        <v>44349</v>
      </c>
      <c r="C478" s="2" t="s">
        <v>5156</v>
      </c>
      <c r="D478" s="118" t="s">
        <v>5157</v>
      </c>
      <c r="E478" s="158">
        <v>8378990579</v>
      </c>
      <c r="F478" s="2" t="s">
        <v>303</v>
      </c>
      <c r="G478" s="2" t="s">
        <v>4378</v>
      </c>
      <c r="H478" s="2" t="s">
        <v>26</v>
      </c>
      <c r="I478" s="2" t="str">
        <f>IFERROR(VLOOKUP($D478,'Sales Data'!$C:$E,4,0),"SAME")</f>
        <v>SAME</v>
      </c>
      <c r="J478" s="2"/>
      <c r="K478" s="2" t="str">
        <f>IFERROR(VLOOKUP($D478,'Sales Data'!$C:$G,6,0),"NA")</f>
        <v>NA</v>
      </c>
      <c r="L478" s="2"/>
      <c r="M478" s="2"/>
      <c r="N478" s="2"/>
    </row>
    <row r="479" spans="1:14" ht="14.4">
      <c r="A479" s="154" t="s">
        <v>4001</v>
      </c>
      <c r="B479" s="113">
        <v>44349</v>
      </c>
      <c r="C479" s="2" t="s">
        <v>1325</v>
      </c>
      <c r="D479" s="118" t="s">
        <v>1326</v>
      </c>
      <c r="E479" s="158">
        <v>7838158317</v>
      </c>
      <c r="F479" s="2" t="s">
        <v>291</v>
      </c>
      <c r="G479" s="2" t="s">
        <v>4378</v>
      </c>
      <c r="H479" s="2" t="s">
        <v>26</v>
      </c>
      <c r="I479" s="2" t="str">
        <f>IFERROR(VLOOKUP($D479,'Sales Data'!$C:$E,4,0),"SAME")</f>
        <v>SAME</v>
      </c>
      <c r="J479" s="2"/>
      <c r="K479" s="2" t="str">
        <f>IFERROR(VLOOKUP($D479,'Sales Data'!$C:$G,6,0),"NA")</f>
        <v>NA</v>
      </c>
      <c r="L479" s="2"/>
      <c r="M479" s="2"/>
      <c r="N479" s="2"/>
    </row>
    <row r="480" spans="1:14" ht="14.4">
      <c r="A480" s="154" t="s">
        <v>4001</v>
      </c>
      <c r="B480" s="113">
        <v>44350</v>
      </c>
      <c r="C480" s="2" t="s">
        <v>1303</v>
      </c>
      <c r="D480" s="118" t="s">
        <v>1304</v>
      </c>
      <c r="E480" s="158">
        <v>9899172558</v>
      </c>
      <c r="F480" s="2" t="s">
        <v>303</v>
      </c>
      <c r="G480" s="2" t="s">
        <v>4378</v>
      </c>
      <c r="H480" s="2" t="s">
        <v>28</v>
      </c>
      <c r="I480" s="2" t="str">
        <f>IFERROR(VLOOKUP($D480,'Sales Data'!$C:$E,4,0),"SAME")</f>
        <v>SAME</v>
      </c>
      <c r="J480" s="2"/>
      <c r="K480" s="2" t="str">
        <f>IFERROR(VLOOKUP($D480,'Sales Data'!$C:$G,6,0),"NA")</f>
        <v>NA</v>
      </c>
      <c r="L480" s="2"/>
      <c r="M480" s="2"/>
      <c r="N480" s="2"/>
    </row>
    <row r="481" spans="1:14" ht="14.4">
      <c r="A481" s="154" t="s">
        <v>4001</v>
      </c>
      <c r="B481" s="113">
        <v>44350</v>
      </c>
      <c r="C481" s="2" t="s">
        <v>5158</v>
      </c>
      <c r="D481" s="118" t="s">
        <v>5159</v>
      </c>
      <c r="E481" s="158">
        <v>9980892045</v>
      </c>
      <c r="F481" s="2" t="s">
        <v>287</v>
      </c>
      <c r="G481" s="2" t="s">
        <v>150</v>
      </c>
      <c r="H481" s="2" t="s">
        <v>17</v>
      </c>
      <c r="I481" s="2" t="str">
        <f>IFERROR(VLOOKUP($D481,'Sales Data'!$C:$E,4,0),"SAME")</f>
        <v>SAME</v>
      </c>
      <c r="J481" s="2"/>
      <c r="K481" s="2" t="str">
        <f>IFERROR(VLOOKUP($D481,'Sales Data'!$C:$G,6,0),"NA")</f>
        <v>NA</v>
      </c>
      <c r="L481" s="2"/>
      <c r="M481" s="2"/>
      <c r="N481" s="2"/>
    </row>
    <row r="482" spans="1:14" ht="14.4">
      <c r="A482" s="154" t="s">
        <v>4001</v>
      </c>
      <c r="B482" s="113">
        <v>44350</v>
      </c>
      <c r="C482" s="2" t="s">
        <v>5160</v>
      </c>
      <c r="D482" s="118" t="s">
        <v>5161</v>
      </c>
      <c r="E482" s="2" t="s">
        <v>1294</v>
      </c>
      <c r="F482" s="2" t="s">
        <v>303</v>
      </c>
      <c r="G482" s="2" t="s">
        <v>4378</v>
      </c>
      <c r="H482" s="2" t="s">
        <v>1294</v>
      </c>
      <c r="I482" s="2" t="str">
        <f>IFERROR(VLOOKUP($D482,'Sales Data'!$C:$E,4,0),"SAME")</f>
        <v>SAME</v>
      </c>
      <c r="J482" s="2"/>
      <c r="K482" s="2" t="str">
        <f>IFERROR(VLOOKUP($D482,'Sales Data'!$C:$G,6,0),"NA")</f>
        <v>NA</v>
      </c>
      <c r="L482" s="2"/>
      <c r="M482" s="2"/>
      <c r="N482" s="2"/>
    </row>
    <row r="483" spans="1:14" ht="14.4">
      <c r="A483" s="154" t="s">
        <v>4001</v>
      </c>
      <c r="B483" s="113">
        <v>44350</v>
      </c>
      <c r="C483" s="2" t="s">
        <v>1289</v>
      </c>
      <c r="D483" s="118" t="s">
        <v>1290</v>
      </c>
      <c r="E483" s="114">
        <v>9985162631</v>
      </c>
      <c r="F483" s="2" t="s">
        <v>1291</v>
      </c>
      <c r="G483" s="2" t="s">
        <v>6</v>
      </c>
      <c r="H483" s="2" t="s">
        <v>16</v>
      </c>
      <c r="I483" s="2" t="str">
        <f>IFERROR(VLOOKUP($D483,'Sales Data'!$C:$E,4,0),"SAME")</f>
        <v>SAME</v>
      </c>
      <c r="J483" s="2"/>
      <c r="K483" s="2" t="str">
        <f>IFERROR(VLOOKUP($D483,'Sales Data'!$C:$G,6,0),"NA")</f>
        <v>NA</v>
      </c>
      <c r="L483" s="2"/>
      <c r="M483" s="2"/>
      <c r="N483" s="2"/>
    </row>
    <row r="484" spans="1:14" ht="14.4">
      <c r="A484" s="154" t="s">
        <v>4001</v>
      </c>
      <c r="B484" s="113">
        <v>44351</v>
      </c>
      <c r="C484" s="2" t="s">
        <v>5162</v>
      </c>
      <c r="D484" s="118" t="s">
        <v>5163</v>
      </c>
      <c r="E484" s="158">
        <v>9823333496</v>
      </c>
      <c r="F484" s="2" t="s">
        <v>303</v>
      </c>
      <c r="G484" s="2" t="s">
        <v>4378</v>
      </c>
      <c r="H484" s="2" t="s">
        <v>26</v>
      </c>
      <c r="I484" s="2" t="str">
        <f>IFERROR(VLOOKUP($D484,'Sales Data'!$C:$E,4,0),"SAME")</f>
        <v>SAME</v>
      </c>
      <c r="J484" s="2"/>
      <c r="K484" s="2" t="str">
        <f>IFERROR(VLOOKUP($D484,'Sales Data'!$C:$G,6,0),"NA")</f>
        <v>NA</v>
      </c>
      <c r="L484" s="2"/>
      <c r="M484" s="2"/>
      <c r="N484" s="2"/>
    </row>
    <row r="485" spans="1:14" ht="14.4">
      <c r="A485" s="154" t="s">
        <v>4001</v>
      </c>
      <c r="B485" s="113">
        <v>44351</v>
      </c>
      <c r="C485" s="2" t="s">
        <v>5164</v>
      </c>
      <c r="D485" s="118" t="s">
        <v>5165</v>
      </c>
      <c r="E485" s="158">
        <v>9962033580</v>
      </c>
      <c r="F485" s="2" t="s">
        <v>287</v>
      </c>
      <c r="G485" s="2" t="s">
        <v>150</v>
      </c>
      <c r="H485" s="2" t="s">
        <v>28</v>
      </c>
      <c r="I485" s="2" t="str">
        <f>IFERROR(VLOOKUP($D485,'Sales Data'!$C:$E,4,0),"SAME")</f>
        <v>SAME</v>
      </c>
      <c r="J485" s="2"/>
      <c r="K485" s="2" t="str">
        <f>IFERROR(VLOOKUP($D485,'Sales Data'!$C:$G,6,0),"NA")</f>
        <v>NA</v>
      </c>
      <c r="L485" s="2"/>
      <c r="M485" s="2"/>
      <c r="N485" s="2"/>
    </row>
    <row r="486" spans="1:14" ht="14.4">
      <c r="A486" s="154" t="s">
        <v>4001</v>
      </c>
      <c r="B486" s="113">
        <v>44351</v>
      </c>
      <c r="C486" s="2" t="s">
        <v>5166</v>
      </c>
      <c r="D486" s="118" t="s">
        <v>5167</v>
      </c>
      <c r="E486" s="158">
        <v>7030930950</v>
      </c>
      <c r="F486" s="2" t="s">
        <v>303</v>
      </c>
      <c r="G486" s="2" t="s">
        <v>4378</v>
      </c>
      <c r="H486" s="2" t="s">
        <v>26</v>
      </c>
      <c r="I486" s="2" t="str">
        <f>IFERROR(VLOOKUP($D486,'Sales Data'!$C:$E,4,0),"SAME")</f>
        <v>SAME</v>
      </c>
      <c r="J486" s="2"/>
      <c r="K486" s="2" t="str">
        <f>IFERROR(VLOOKUP($D486,'Sales Data'!$C:$G,6,0),"NA")</f>
        <v>NA</v>
      </c>
      <c r="L486" s="2"/>
      <c r="M486" s="2"/>
      <c r="N486" s="2"/>
    </row>
    <row r="487" spans="1:14" ht="14.4">
      <c r="A487" s="154" t="s">
        <v>4001</v>
      </c>
      <c r="B487" s="113">
        <v>44351</v>
      </c>
      <c r="C487" s="2" t="s">
        <v>5168</v>
      </c>
      <c r="D487" s="118" t="s">
        <v>5169</v>
      </c>
      <c r="E487" s="158">
        <v>7895286854</v>
      </c>
      <c r="F487" s="2" t="s">
        <v>303</v>
      </c>
      <c r="G487" s="2" t="s">
        <v>4378</v>
      </c>
      <c r="H487" s="2" t="s">
        <v>28</v>
      </c>
      <c r="I487" s="2" t="str">
        <f>IFERROR(VLOOKUP($D487,'Sales Data'!$C:$E,4,0),"SAME")</f>
        <v>SAME</v>
      </c>
      <c r="J487" s="2"/>
      <c r="K487" s="2" t="str">
        <f>IFERROR(VLOOKUP($D487,'Sales Data'!$C:$G,6,0),"NA")</f>
        <v>NA</v>
      </c>
      <c r="L487" s="2"/>
      <c r="M487" s="2"/>
      <c r="N487" s="2"/>
    </row>
    <row r="488" spans="1:14" ht="14.4">
      <c r="A488" s="154" t="s">
        <v>4001</v>
      </c>
      <c r="B488" s="113">
        <v>44351</v>
      </c>
      <c r="C488" s="2" t="s">
        <v>5170</v>
      </c>
      <c r="D488" s="118" t="s">
        <v>5171</v>
      </c>
      <c r="E488" s="158">
        <v>9999999999</v>
      </c>
      <c r="F488" s="2" t="s">
        <v>291</v>
      </c>
      <c r="G488" s="2" t="s">
        <v>4378</v>
      </c>
      <c r="H488" s="2" t="s">
        <v>4400</v>
      </c>
      <c r="I488" s="2" t="str">
        <f>IFERROR(VLOOKUP($D488,'Sales Data'!$C:$E,4,0),"SAME")</f>
        <v>SAME</v>
      </c>
      <c r="J488" s="2"/>
      <c r="K488" s="2" t="str">
        <f>IFERROR(VLOOKUP($D488,'Sales Data'!$C:$G,6,0),"NA")</f>
        <v>NA</v>
      </c>
      <c r="L488" s="2"/>
      <c r="M488" s="2"/>
      <c r="N488" s="2"/>
    </row>
    <row r="489" spans="1:14" ht="14.4">
      <c r="A489" s="154" t="s">
        <v>4001</v>
      </c>
      <c r="B489" s="113">
        <v>44351</v>
      </c>
      <c r="C489" s="2" t="s">
        <v>5172</v>
      </c>
      <c r="D489" s="118" t="s">
        <v>5173</v>
      </c>
      <c r="E489" s="158">
        <v>8494948805</v>
      </c>
      <c r="F489" s="2" t="s">
        <v>303</v>
      </c>
      <c r="G489" s="2" t="s">
        <v>151</v>
      </c>
      <c r="H489" s="2" t="s">
        <v>28</v>
      </c>
      <c r="I489" s="2" t="str">
        <f>IFERROR(VLOOKUP($D489,'Sales Data'!$C:$E,4,0),"SAME")</f>
        <v>SAME</v>
      </c>
      <c r="J489" s="2"/>
      <c r="K489" s="2" t="str">
        <f>IFERROR(VLOOKUP($D489,'Sales Data'!$C:$G,6,0),"NA")</f>
        <v>NA</v>
      </c>
      <c r="L489" s="2"/>
      <c r="M489" s="2"/>
      <c r="N489" s="2"/>
    </row>
    <row r="490" spans="1:14" ht="14.4">
      <c r="A490" s="154" t="s">
        <v>4001</v>
      </c>
      <c r="B490" s="113">
        <v>44351</v>
      </c>
      <c r="C490" s="2" t="s">
        <v>5174</v>
      </c>
      <c r="D490" s="118" t="s">
        <v>5175</v>
      </c>
      <c r="E490" s="158">
        <v>9446645331</v>
      </c>
      <c r="F490" s="2" t="s">
        <v>303</v>
      </c>
      <c r="G490" s="2" t="s">
        <v>151</v>
      </c>
      <c r="H490" s="2" t="s">
        <v>28</v>
      </c>
      <c r="I490" s="2" t="str">
        <f>IFERROR(VLOOKUP($D490,'Sales Data'!$C:$E,4,0),"SAME")</f>
        <v>SAME</v>
      </c>
      <c r="J490" s="2"/>
      <c r="K490" s="2" t="str">
        <f>IFERROR(VLOOKUP($D490,'Sales Data'!$C:$G,6,0),"NA")</f>
        <v>NA</v>
      </c>
      <c r="L490" s="2"/>
      <c r="M490" s="2"/>
      <c r="N490" s="2"/>
    </row>
    <row r="491" spans="1:14" ht="14.4">
      <c r="A491" s="154" t="s">
        <v>4001</v>
      </c>
      <c r="B491" s="113">
        <v>44351</v>
      </c>
      <c r="C491" s="2" t="s">
        <v>5176</v>
      </c>
      <c r="D491" s="118" t="s">
        <v>5177</v>
      </c>
      <c r="E491" s="158">
        <v>8073944732</v>
      </c>
      <c r="F491" s="2" t="s">
        <v>297</v>
      </c>
      <c r="G491" s="2" t="s">
        <v>4378</v>
      </c>
      <c r="H491" s="2" t="s">
        <v>4400</v>
      </c>
      <c r="I491" s="2" t="str">
        <f>IFERROR(VLOOKUP($D491,'Sales Data'!$C:$E,4,0),"SAME")</f>
        <v>SAME</v>
      </c>
      <c r="J491" s="2"/>
      <c r="K491" s="2" t="str">
        <f>IFERROR(VLOOKUP($D491,'Sales Data'!$C:$G,6,0),"NA")</f>
        <v>NA</v>
      </c>
      <c r="L491" s="2"/>
      <c r="M491" s="2"/>
      <c r="N491" s="2"/>
    </row>
    <row r="492" spans="1:14" ht="14.4">
      <c r="A492" s="154" t="s">
        <v>4001</v>
      </c>
      <c r="B492" s="113">
        <v>44351</v>
      </c>
      <c r="C492" s="2" t="s">
        <v>5178</v>
      </c>
      <c r="D492" s="118" t="s">
        <v>5179</v>
      </c>
      <c r="E492" s="118" t="s">
        <v>5180</v>
      </c>
      <c r="F492" s="2" t="s">
        <v>319</v>
      </c>
      <c r="G492" s="2" t="s">
        <v>4378</v>
      </c>
      <c r="H492" s="2" t="s">
        <v>26</v>
      </c>
      <c r="I492" s="2" t="str">
        <f>IFERROR(VLOOKUP($D492,'Sales Data'!$C:$E,4,0),"SAME")</f>
        <v>SAME</v>
      </c>
      <c r="J492" s="2"/>
      <c r="K492" s="2" t="str">
        <f>IFERROR(VLOOKUP($D492,'Sales Data'!$C:$G,6,0),"NA")</f>
        <v>NA</v>
      </c>
      <c r="L492" s="2"/>
      <c r="M492" s="2"/>
      <c r="N492" s="2"/>
    </row>
    <row r="493" spans="1:14" ht="14.4">
      <c r="A493" s="154" t="s">
        <v>4001</v>
      </c>
      <c r="B493" s="113">
        <v>44352</v>
      </c>
      <c r="C493" s="2" t="s">
        <v>1327</v>
      </c>
      <c r="D493" s="118" t="s">
        <v>1328</v>
      </c>
      <c r="E493" s="158">
        <v>8685055423</v>
      </c>
      <c r="F493" s="2" t="s">
        <v>287</v>
      </c>
      <c r="G493" s="2" t="s">
        <v>151</v>
      </c>
      <c r="H493" s="2" t="s">
        <v>28</v>
      </c>
      <c r="I493" s="2" t="str">
        <f>IFERROR(VLOOKUP($D493,'Sales Data'!$C:$E,4,0),"SAME")</f>
        <v>SAME</v>
      </c>
      <c r="J493" s="2"/>
      <c r="K493" s="2" t="str">
        <f>IFERROR(VLOOKUP($D493,'Sales Data'!$C:$G,6,0),"NA")</f>
        <v>NA</v>
      </c>
      <c r="L493" s="2"/>
      <c r="M493" s="2"/>
      <c r="N493" s="2"/>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Sheet12</vt:lpstr>
      <vt:lpstr>Monthly Goals</vt:lpstr>
      <vt:lpstr>Weekly Goals</vt:lpstr>
      <vt:lpstr>Dashboard_1</vt:lpstr>
      <vt:lpstr>Trend Analysis</vt:lpstr>
      <vt:lpstr>Sales Data</vt:lpstr>
      <vt:lpstr>Sales Table</vt:lpstr>
      <vt:lpstr>Monthly Achievement</vt:lpstr>
      <vt:lpstr>Top 10 Courses</vt:lpstr>
      <vt:lpstr>Category wise Sales</vt:lpstr>
      <vt:lpstr>Top Lead Sources</vt:lpstr>
      <vt:lpstr>Monthly Trend</vt:lpstr>
      <vt:lpstr>Quarterly Trend</vt:lpstr>
      <vt:lpstr>Top Courses By tickets</vt:lpstr>
      <vt:lpstr>Top Courses By Revenue</vt:lpstr>
      <vt:lpstr>Yearly Trend</vt:lpstr>
      <vt:lpstr>QuerySheet</vt:lpstr>
      <vt:lpstr>CBAP</vt:lpstr>
      <vt:lpstr>CSM</vt:lpstr>
      <vt:lpstr>CSPO</vt:lpstr>
      <vt:lpstr>ASM</vt:lpstr>
      <vt:lpstr>PMI-ACP</vt:lpstr>
      <vt:lpstr>PG Agile</vt:lpstr>
      <vt:lpstr>A-CSM</vt:lpstr>
      <vt:lpstr>Pivot Table 8</vt:lpstr>
      <vt:lpstr>SAFe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Shankar R</dc:creator>
  <cp:lastModifiedBy>Nikhil Shankar R</cp:lastModifiedBy>
  <dcterms:created xsi:type="dcterms:W3CDTF">2023-10-16T13:00:03Z</dcterms:created>
  <dcterms:modified xsi:type="dcterms:W3CDTF">2023-10-19T05:29:35Z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2023-10-16T12:59:54Z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92964bb7-3864-4794-b261-01c7ba87fbcd</vt:lpwstr>
  </property>
  <property fmtid="{D5CDD505-2E9C-101B-9397-08002B2CF9AE}" pid="7" name="MSIP_Label_defa4170-0d19-0005-0004-bc88714345d2_ActionId">
    <vt:lpwstr>87cd28b6-20d9-4d14-a73f-df9aad142632</vt:lpwstr>
  </property>
  <property fmtid="{D5CDD505-2E9C-101B-9397-08002B2CF9AE}" pid="8" name="MSIP_Label_defa4170-0d19-0005-0004-bc88714345d2_ContentBits">
    <vt:lpwstr>0</vt:lpwstr>
  </property>
</Properties>
</file>